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L:\Ledelse&amp;Økonomi\LandbrugsInfo\01-LandbrugsInfo\23-Promille\"/>
    </mc:Choice>
  </mc:AlternateContent>
  <xr:revisionPtr revIDLastSave="0" documentId="8_{C372D0D5-A977-492E-9AEF-FF4EA9D0F8C4}" xr6:coauthVersionLast="47" xr6:coauthVersionMax="47" xr10:uidLastSave="{00000000-0000-0000-0000-000000000000}"/>
  <bookViews>
    <workbookView xWindow="25080" yWindow="-465" windowWidth="29040" windowHeight="15840" xr2:uid="{A6EBB429-055C-4E54-8E88-1A20A83B8ACB}"/>
  </bookViews>
  <sheets>
    <sheet name="Introduktion og vejledning" sheetId="13" r:id="rId1"/>
    <sheet name="Forudsætninger" sheetId="7" r:id="rId2"/>
    <sheet name="Resultat" sheetId="11" r:id="rId3"/>
    <sheet name="Vækstfunktion, hol" sheetId="3" r:id="rId4"/>
    <sheet name="Vækstfunktion, kry tyr" sheetId="8" r:id="rId5"/>
    <sheet name="Vækstfunktion, kry kvie" sheetId="9" r:id="rId6"/>
    <sheet name="Model tilvækst, slagteform, fe" sheetId="12" r:id="rId7"/>
  </sheets>
  <externalReferences>
    <externalReference r:id="rId8"/>
  </externalReferences>
  <definedNames>
    <definedName name="Buffer_stald_til_mindste_grise_ved_tømning">#REF!</definedName>
    <definedName name="Bufferstald_kapacitet_i_pct._af_hold">#REF!</definedName>
    <definedName name="Dage_til_rengøring">#REF!</definedName>
    <definedName name="DC__Sektionsvis">'[1]Alle afregningsmasker'!$A$309</definedName>
    <definedName name="DC__Sektionsvis__efter_uge_18__2014">'[1]Alle afregningsmasker'!$A$308</definedName>
    <definedName name="Driftsform">#REF!</definedName>
    <definedName name="Dødelighed">#REF!</definedName>
    <definedName name="Ekstra_opholdstid_bufferstaldsgrise">#REF!</definedName>
    <definedName name="Faktor_for_leverede_dyr_til_DE">#REF!</definedName>
    <definedName name="Foderforbrug_konstant">#REF!</definedName>
    <definedName name="Forventet_efterbetaling__kr._kg">#REF!</definedName>
    <definedName name="Fra_slagtevægt_til_levende_vægt__faktor">#REF!</definedName>
    <definedName name="Gnsvægt_fradrag">'[1]Alle afregningsmasker'!$A$314:$B$321</definedName>
    <definedName name="Indlagte_masker">'[1]Noteringer og tillæg'!$N$11:$X$45</definedName>
    <definedName name="Indsættelsesvægt">#REF!</definedName>
    <definedName name="justering_af_tvægt">#REF!</definedName>
    <definedName name="Justering_kg">'[1]Optimal slagtevægt'!$L$235:$L$255</definedName>
    <definedName name="Kasserede">#REF!</definedName>
    <definedName name="Kødprocent_hældning___10_kg_slagtekrop">#REF!</definedName>
    <definedName name="Maksimal_opholdstid_sektion_sektion_sti">#REF!</definedName>
    <definedName name="Procent_tilladte_i___med_overvægt">#REF!</definedName>
    <definedName name="Procent_tilladte_i___med_undervægt__er_korrigeret_ved_AI_AU">#REF!</definedName>
    <definedName name="Rente_besætning">#REF!</definedName>
    <definedName name="Slagteri_korrektion_i_kr._gris">#REF!</definedName>
    <definedName name="solver_adj" localSheetId="1" hidden="1">Forudsætninger!#REF!,Forudsætninger!#REF!</definedName>
    <definedName name="solver_adj" localSheetId="2" hidden="1">Resultat!#REF!,Resultat!#REF!</definedName>
    <definedName name="solver_cvg" localSheetId="1" hidden="1">0.0001</definedName>
    <definedName name="solver_cvg" localSheetId="2" hidden="1">0.0001</definedName>
    <definedName name="solver_drv" localSheetId="1" hidden="1">2</definedName>
    <definedName name="solver_drv" localSheetId="2" hidden="1">2</definedName>
    <definedName name="solver_eng" localSheetId="1" hidden="1">1</definedName>
    <definedName name="solver_eng" localSheetId="2" hidden="1">1</definedName>
    <definedName name="solver_est" localSheetId="1" hidden="1">1</definedName>
    <definedName name="solver_est" localSheetId="2" hidden="1">1</definedName>
    <definedName name="solver_itr" localSheetId="1" hidden="1">2147483647</definedName>
    <definedName name="solver_itr" localSheetId="2" hidden="1">2147483647</definedName>
    <definedName name="solver_lhs1" localSheetId="1" hidden="1">Forudsætninger!#REF!</definedName>
    <definedName name="solver_lhs1" localSheetId="2" hidden="1">Resultat!#REF!</definedName>
    <definedName name="solver_lhs2" localSheetId="1" hidden="1">Forudsætninger!#REF!</definedName>
    <definedName name="solver_lhs2" localSheetId="2" hidden="1">Resultat!#REF!</definedName>
    <definedName name="solver_mip" localSheetId="1" hidden="1">2147483647</definedName>
    <definedName name="solver_mip" localSheetId="2" hidden="1">2147483647</definedName>
    <definedName name="solver_mni" localSheetId="1" hidden="1">30</definedName>
    <definedName name="solver_mni" localSheetId="2" hidden="1">30</definedName>
    <definedName name="solver_mrt" localSheetId="1" hidden="1">0.075</definedName>
    <definedName name="solver_mrt" localSheetId="2" hidden="1">0.075</definedName>
    <definedName name="solver_msl" localSheetId="1" hidden="1">2</definedName>
    <definedName name="solver_msl" localSheetId="2" hidden="1">2</definedName>
    <definedName name="solver_neg" localSheetId="1" hidden="1">1</definedName>
    <definedName name="solver_neg" localSheetId="2" hidden="1">1</definedName>
    <definedName name="solver_nod" localSheetId="1" hidden="1">2147483647</definedName>
    <definedName name="solver_nod" localSheetId="2" hidden="1">2147483647</definedName>
    <definedName name="solver_num" localSheetId="1" hidden="1">2</definedName>
    <definedName name="solver_num" localSheetId="2" hidden="1">2</definedName>
    <definedName name="solver_nwt" localSheetId="1" hidden="1">1</definedName>
    <definedName name="solver_nwt" localSheetId="2" hidden="1">1</definedName>
    <definedName name="solver_opt" localSheetId="1" hidden="1">Forudsætninger!#REF!</definedName>
    <definedName name="solver_opt" localSheetId="2" hidden="1">Resultat!#REF!</definedName>
    <definedName name="solver_pre" localSheetId="1" hidden="1">0.000001</definedName>
    <definedName name="solver_pre" localSheetId="2" hidden="1">0.000001</definedName>
    <definedName name="solver_rbv" localSheetId="1" hidden="1">2</definedName>
    <definedName name="solver_rbv" localSheetId="2" hidden="1">2</definedName>
    <definedName name="solver_rel1" localSheetId="1" hidden="1">4</definedName>
    <definedName name="solver_rel1" localSheetId="2" hidden="1">4</definedName>
    <definedName name="solver_rel2" localSheetId="1" hidden="1">4</definedName>
    <definedName name="solver_rel2" localSheetId="2" hidden="1">4</definedName>
    <definedName name="solver_rhs1" localSheetId="1" hidden="1">heltal</definedName>
    <definedName name="solver_rhs1" localSheetId="2" hidden="1">heltal</definedName>
    <definedName name="solver_rhs2" localSheetId="1" hidden="1">heltal</definedName>
    <definedName name="solver_rhs2" localSheetId="2" hidden="1">heltal</definedName>
    <definedName name="solver_rlx" localSheetId="1" hidden="1">2</definedName>
    <definedName name="solver_rlx" localSheetId="2" hidden="1">2</definedName>
    <definedName name="solver_rsd" localSheetId="1" hidden="1">0</definedName>
    <definedName name="solver_rsd" localSheetId="2" hidden="1">0</definedName>
    <definedName name="solver_scl" localSheetId="1" hidden="1">2</definedName>
    <definedName name="solver_scl" localSheetId="2" hidden="1">2</definedName>
    <definedName name="solver_sho" localSheetId="1" hidden="1">2</definedName>
    <definedName name="solver_sho" localSheetId="2" hidden="1">2</definedName>
    <definedName name="solver_ssz" localSheetId="1" hidden="1">100</definedName>
    <definedName name="solver_ssz" localSheetId="2" hidden="1">100</definedName>
    <definedName name="solver_tim" localSheetId="1" hidden="1">2147483647</definedName>
    <definedName name="solver_tim" localSheetId="2" hidden="1">2147483647</definedName>
    <definedName name="solver_tol" localSheetId="1" hidden="1">0.01</definedName>
    <definedName name="solver_tol" localSheetId="2" hidden="1">0.01</definedName>
    <definedName name="solver_typ" localSheetId="1" hidden="1">1</definedName>
    <definedName name="solver_typ" localSheetId="2" hidden="1">1</definedName>
    <definedName name="solver_val" localSheetId="1" hidden="1">0</definedName>
    <definedName name="solver_val" localSheetId="2" hidden="1">0</definedName>
    <definedName name="solver_ver" localSheetId="1" hidden="1">3</definedName>
    <definedName name="solver_ver" localSheetId="2" hidden="1">3</definedName>
    <definedName name="Tomdagsfaktor_pga._udleveringer">#REF!</definedName>
    <definedName name="Valgtmaske">#REF!</definedName>
    <definedName name="Vægtkonstant_Gompertz">[1]Vækstfunktion!$G$9</definedName>
    <definedName name="Vækstkoefficent">[1]Vækstfunktion!$G$18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74" i="12" l="1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9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5" i="12"/>
  <c r="B10" i="12"/>
  <c r="B11" i="12"/>
  <c r="B12" i="12"/>
  <c r="B13" i="12"/>
  <c r="B14" i="12"/>
  <c r="B9" i="12"/>
  <c r="D32" i="7" l="1"/>
  <c r="D44" i="7"/>
  <c r="E43" i="7"/>
  <c r="E44" i="7"/>
  <c r="E42" i="7"/>
  <c r="D43" i="7"/>
  <c r="G43" i="7" s="1"/>
  <c r="D42" i="7"/>
  <c r="D39" i="7"/>
  <c r="D38" i="7"/>
  <c r="D37" i="7"/>
  <c r="E33" i="7"/>
  <c r="E32" i="7"/>
  <c r="E31" i="7"/>
  <c r="D33" i="7"/>
  <c r="D31" i="7"/>
  <c r="E28" i="7"/>
  <c r="E27" i="7"/>
  <c r="E26" i="7"/>
  <c r="D28" i="7"/>
  <c r="D26" i="7"/>
  <c r="D27" i="7"/>
  <c r="BC373" i="12"/>
  <c r="BC374" i="12"/>
  <c r="BC375" i="12"/>
  <c r="BC318" i="12"/>
  <c r="BC319" i="12"/>
  <c r="BC320" i="12"/>
  <c r="BC321" i="12"/>
  <c r="BC322" i="12"/>
  <c r="BC323" i="12"/>
  <c r="BC324" i="12"/>
  <c r="BC325" i="12"/>
  <c r="BC326" i="12"/>
  <c r="BC327" i="12"/>
  <c r="BC328" i="12"/>
  <c r="BC329" i="12"/>
  <c r="BC330" i="12"/>
  <c r="BC331" i="12"/>
  <c r="BC332" i="12"/>
  <c r="BC333" i="12"/>
  <c r="BC334" i="12"/>
  <c r="BC335" i="12"/>
  <c r="BC336" i="12"/>
  <c r="BC337" i="12"/>
  <c r="BC338" i="12"/>
  <c r="BC339" i="12"/>
  <c r="BC340" i="12"/>
  <c r="BC341" i="12"/>
  <c r="BC342" i="12"/>
  <c r="BC343" i="12"/>
  <c r="BC344" i="12"/>
  <c r="BC345" i="12"/>
  <c r="BC346" i="12"/>
  <c r="BC347" i="12"/>
  <c r="BC348" i="12"/>
  <c r="BC349" i="12"/>
  <c r="BC350" i="12"/>
  <c r="BC351" i="12"/>
  <c r="BC352" i="12"/>
  <c r="BC353" i="12"/>
  <c r="BC354" i="12"/>
  <c r="BC355" i="12"/>
  <c r="BC356" i="12"/>
  <c r="BC357" i="12"/>
  <c r="BC358" i="12"/>
  <c r="BC359" i="12"/>
  <c r="BC360" i="12"/>
  <c r="BC361" i="12"/>
  <c r="BC362" i="12"/>
  <c r="BC363" i="12"/>
  <c r="BC364" i="12"/>
  <c r="BC365" i="12"/>
  <c r="BC366" i="12"/>
  <c r="BC367" i="12"/>
  <c r="BC368" i="12"/>
  <c r="BC369" i="12"/>
  <c r="BC370" i="12"/>
  <c r="BC371" i="12"/>
  <c r="BC372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BC125" i="12"/>
  <c r="BC126" i="12"/>
  <c r="BC127" i="12"/>
  <c r="BC128" i="12"/>
  <c r="BC129" i="12"/>
  <c r="BC130" i="12"/>
  <c r="BC131" i="12"/>
  <c r="BC132" i="12"/>
  <c r="BC133" i="12"/>
  <c r="BC134" i="12"/>
  <c r="BC135" i="12"/>
  <c r="BC136" i="12"/>
  <c r="BC137" i="12"/>
  <c r="BC138" i="12"/>
  <c r="BC139" i="12"/>
  <c r="BC140" i="12"/>
  <c r="BC141" i="12"/>
  <c r="BC142" i="12"/>
  <c r="BC143" i="12"/>
  <c r="BC144" i="12"/>
  <c r="BC145" i="12"/>
  <c r="BC146" i="12"/>
  <c r="BC147" i="12"/>
  <c r="BC148" i="12"/>
  <c r="BC149" i="12"/>
  <c r="BC150" i="12"/>
  <c r="BC151" i="12"/>
  <c r="BC152" i="12"/>
  <c r="BC153" i="12"/>
  <c r="BC154" i="12"/>
  <c r="BC155" i="12"/>
  <c r="BC156" i="12"/>
  <c r="BC157" i="12"/>
  <c r="BC158" i="12"/>
  <c r="BC159" i="12"/>
  <c r="BC160" i="12"/>
  <c r="BC161" i="12"/>
  <c r="BC162" i="12"/>
  <c r="BC163" i="12"/>
  <c r="BC164" i="12"/>
  <c r="BC165" i="12"/>
  <c r="BC166" i="12"/>
  <c r="BC167" i="12"/>
  <c r="BC168" i="12"/>
  <c r="BC169" i="12"/>
  <c r="BC170" i="12"/>
  <c r="BC171" i="12"/>
  <c r="BC172" i="12"/>
  <c r="BC173" i="12"/>
  <c r="BC174" i="12"/>
  <c r="BC175" i="12"/>
  <c r="BC176" i="12"/>
  <c r="BC177" i="12"/>
  <c r="BC178" i="12"/>
  <c r="BC179" i="12"/>
  <c r="BC180" i="12"/>
  <c r="BC181" i="12"/>
  <c r="BC182" i="12"/>
  <c r="BC183" i="12"/>
  <c r="BC184" i="12"/>
  <c r="BC185" i="12"/>
  <c r="BC186" i="12"/>
  <c r="BC187" i="12"/>
  <c r="BC188" i="12"/>
  <c r="BC189" i="12"/>
  <c r="BC190" i="12"/>
  <c r="BC191" i="12"/>
  <c r="BC192" i="12"/>
  <c r="BC193" i="12"/>
  <c r="BC194" i="12"/>
  <c r="BC195" i="12"/>
  <c r="BC196" i="12"/>
  <c r="BC197" i="12"/>
  <c r="BC198" i="12"/>
  <c r="BC199" i="12"/>
  <c r="BC200" i="12"/>
  <c r="BC201" i="12"/>
  <c r="BC202" i="12"/>
  <c r="BC203" i="12"/>
  <c r="BC204" i="12"/>
  <c r="BC205" i="12"/>
  <c r="BC206" i="12"/>
  <c r="BC207" i="12"/>
  <c r="BC208" i="12"/>
  <c r="BC209" i="12"/>
  <c r="BC210" i="12"/>
  <c r="BC211" i="12"/>
  <c r="BC212" i="12"/>
  <c r="BC213" i="12"/>
  <c r="BC214" i="12"/>
  <c r="BC215" i="12"/>
  <c r="BC216" i="12"/>
  <c r="BC217" i="12"/>
  <c r="BC218" i="12"/>
  <c r="BC219" i="12"/>
  <c r="BC220" i="12"/>
  <c r="BC221" i="12"/>
  <c r="BC222" i="12"/>
  <c r="BC223" i="12"/>
  <c r="BC224" i="12"/>
  <c r="BC225" i="12"/>
  <c r="BC226" i="12"/>
  <c r="BC227" i="12"/>
  <c r="BC228" i="12"/>
  <c r="BC229" i="12"/>
  <c r="BC230" i="12"/>
  <c r="BC231" i="12"/>
  <c r="BC232" i="12"/>
  <c r="BC233" i="12"/>
  <c r="BC234" i="12"/>
  <c r="BC235" i="12"/>
  <c r="BC236" i="12"/>
  <c r="BC237" i="12"/>
  <c r="BC238" i="12"/>
  <c r="BC239" i="12"/>
  <c r="BC240" i="12"/>
  <c r="BC241" i="12"/>
  <c r="BC242" i="12"/>
  <c r="BC243" i="12"/>
  <c r="BC244" i="12"/>
  <c r="BC245" i="12"/>
  <c r="BC246" i="12"/>
  <c r="BC247" i="12"/>
  <c r="BC248" i="12"/>
  <c r="BC249" i="12"/>
  <c r="BC250" i="12"/>
  <c r="BC251" i="12"/>
  <c r="BC252" i="12"/>
  <c r="BC253" i="12"/>
  <c r="BC254" i="12"/>
  <c r="BC255" i="12"/>
  <c r="BC256" i="12"/>
  <c r="BC257" i="12"/>
  <c r="BC258" i="12"/>
  <c r="BC259" i="12"/>
  <c r="BC260" i="12"/>
  <c r="BC261" i="12"/>
  <c r="BC262" i="12"/>
  <c r="BC263" i="12"/>
  <c r="BC264" i="12"/>
  <c r="BC265" i="12"/>
  <c r="BC266" i="12"/>
  <c r="BC267" i="12"/>
  <c r="BC268" i="12"/>
  <c r="BC269" i="12"/>
  <c r="BC270" i="12"/>
  <c r="BC271" i="12"/>
  <c r="BC272" i="12"/>
  <c r="BC273" i="12"/>
  <c r="BC274" i="12"/>
  <c r="BC275" i="12"/>
  <c r="BC276" i="12"/>
  <c r="BC277" i="12"/>
  <c r="BC278" i="12"/>
  <c r="BC279" i="12"/>
  <c r="BC280" i="12"/>
  <c r="BC281" i="12"/>
  <c r="BC282" i="12"/>
  <c r="BC283" i="12"/>
  <c r="BC284" i="12"/>
  <c r="BC285" i="12"/>
  <c r="BC286" i="12"/>
  <c r="BC287" i="12"/>
  <c r="BC288" i="12"/>
  <c r="BC289" i="12"/>
  <c r="BC290" i="12"/>
  <c r="BC291" i="12"/>
  <c r="BC292" i="12"/>
  <c r="BC293" i="12"/>
  <c r="BC294" i="12"/>
  <c r="BC295" i="12"/>
  <c r="BC296" i="12"/>
  <c r="BC297" i="12"/>
  <c r="BC298" i="12"/>
  <c r="BC299" i="12"/>
  <c r="BC300" i="12"/>
  <c r="BC301" i="12"/>
  <c r="BC302" i="12"/>
  <c r="BC303" i="12"/>
  <c r="BC304" i="12"/>
  <c r="BC305" i="12"/>
  <c r="BC306" i="12"/>
  <c r="BC307" i="12"/>
  <c r="BC308" i="12"/>
  <c r="BC309" i="12"/>
  <c r="BC310" i="12"/>
  <c r="BC311" i="12"/>
  <c r="BC312" i="12"/>
  <c r="BC313" i="12"/>
  <c r="BC314" i="12"/>
  <c r="BC315" i="12"/>
  <c r="BC316" i="12"/>
  <c r="BC317" i="12"/>
  <c r="BC9" i="12"/>
  <c r="BC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117" i="12"/>
  <c r="Y118" i="12"/>
  <c r="Y119" i="12"/>
  <c r="Y120" i="12"/>
  <c r="Y121" i="12"/>
  <c r="Y122" i="12"/>
  <c r="Y123" i="12"/>
  <c r="Y124" i="12"/>
  <c r="Y125" i="12"/>
  <c r="Y126" i="12"/>
  <c r="Y127" i="12"/>
  <c r="Y128" i="12"/>
  <c r="Y129" i="12"/>
  <c r="Y130" i="12"/>
  <c r="Y131" i="12"/>
  <c r="Y132" i="12"/>
  <c r="Y133" i="12"/>
  <c r="Y134" i="12"/>
  <c r="Y135" i="12"/>
  <c r="Y136" i="12"/>
  <c r="Y137" i="12"/>
  <c r="Y138" i="12"/>
  <c r="Y139" i="12"/>
  <c r="Y140" i="12"/>
  <c r="Y141" i="12"/>
  <c r="Y142" i="12"/>
  <c r="Y143" i="12"/>
  <c r="Y144" i="12"/>
  <c r="Y145" i="12"/>
  <c r="Y146" i="12"/>
  <c r="Y147" i="12"/>
  <c r="Y148" i="12"/>
  <c r="Y149" i="12"/>
  <c r="Y150" i="12"/>
  <c r="Y151" i="12"/>
  <c r="Y152" i="12"/>
  <c r="Y153" i="12"/>
  <c r="Y154" i="12"/>
  <c r="Y155" i="12"/>
  <c r="Y156" i="12"/>
  <c r="Y157" i="12"/>
  <c r="Y158" i="12"/>
  <c r="Y159" i="12"/>
  <c r="Y160" i="12"/>
  <c r="Y161" i="12"/>
  <c r="Y162" i="12"/>
  <c r="Y163" i="12"/>
  <c r="Y164" i="12"/>
  <c r="Y165" i="12"/>
  <c r="Y166" i="12"/>
  <c r="Y167" i="12"/>
  <c r="Y168" i="12"/>
  <c r="Y169" i="12"/>
  <c r="Y170" i="12"/>
  <c r="Y171" i="12"/>
  <c r="Y172" i="12"/>
  <c r="Y173" i="12"/>
  <c r="Y174" i="12"/>
  <c r="Y175" i="12"/>
  <c r="Y176" i="12"/>
  <c r="Y177" i="12"/>
  <c r="Y178" i="12"/>
  <c r="Y179" i="12"/>
  <c r="Y180" i="12"/>
  <c r="Y181" i="12"/>
  <c r="Y182" i="12"/>
  <c r="Y183" i="12"/>
  <c r="Y184" i="12"/>
  <c r="Y185" i="12"/>
  <c r="Y186" i="12"/>
  <c r="Y187" i="12"/>
  <c r="Y188" i="12"/>
  <c r="Y189" i="12"/>
  <c r="Y190" i="12"/>
  <c r="Y191" i="12"/>
  <c r="Y192" i="12"/>
  <c r="Y193" i="12"/>
  <c r="Y194" i="12"/>
  <c r="Y195" i="12"/>
  <c r="Y196" i="12"/>
  <c r="Y197" i="12"/>
  <c r="Y198" i="12"/>
  <c r="Y199" i="12"/>
  <c r="Y200" i="12"/>
  <c r="Y201" i="12"/>
  <c r="Y202" i="12"/>
  <c r="Y203" i="12"/>
  <c r="Y204" i="12"/>
  <c r="Y205" i="12"/>
  <c r="Y206" i="12"/>
  <c r="Y207" i="12"/>
  <c r="Y208" i="12"/>
  <c r="Y209" i="12"/>
  <c r="Y210" i="12"/>
  <c r="Y211" i="12"/>
  <c r="Y212" i="12"/>
  <c r="Y213" i="12"/>
  <c r="Y214" i="12"/>
  <c r="Y215" i="12"/>
  <c r="Y216" i="12"/>
  <c r="Y217" i="12"/>
  <c r="Y218" i="12"/>
  <c r="Y219" i="12"/>
  <c r="Y220" i="12"/>
  <c r="Y221" i="12"/>
  <c r="Y222" i="12"/>
  <c r="Y223" i="12"/>
  <c r="Y224" i="12"/>
  <c r="Y225" i="12"/>
  <c r="Y226" i="12"/>
  <c r="Y227" i="12"/>
  <c r="Y228" i="12"/>
  <c r="Y229" i="12"/>
  <c r="Y230" i="12"/>
  <c r="Y231" i="12"/>
  <c r="Y232" i="12"/>
  <c r="Y233" i="12"/>
  <c r="Y234" i="12"/>
  <c r="Y235" i="12"/>
  <c r="Y236" i="12"/>
  <c r="Y237" i="12"/>
  <c r="Y238" i="12"/>
  <c r="Y239" i="12"/>
  <c r="Y240" i="12"/>
  <c r="Y241" i="12"/>
  <c r="Y242" i="12"/>
  <c r="Y243" i="12"/>
  <c r="Y244" i="12"/>
  <c r="Y245" i="12"/>
  <c r="Y246" i="12"/>
  <c r="Y247" i="12"/>
  <c r="Y248" i="12"/>
  <c r="Y249" i="12"/>
  <c r="Y250" i="12"/>
  <c r="Y251" i="12"/>
  <c r="Y252" i="12"/>
  <c r="Y253" i="12"/>
  <c r="Y254" i="12"/>
  <c r="Y255" i="12"/>
  <c r="Y256" i="12"/>
  <c r="Y257" i="12"/>
  <c r="Y258" i="12"/>
  <c r="Y259" i="12"/>
  <c r="Y260" i="12"/>
  <c r="Y261" i="12"/>
  <c r="Y262" i="12"/>
  <c r="Y263" i="12"/>
  <c r="Y264" i="12"/>
  <c r="Y265" i="12"/>
  <c r="Y266" i="12"/>
  <c r="Y267" i="12"/>
  <c r="Y268" i="12"/>
  <c r="Y269" i="12"/>
  <c r="Y270" i="12"/>
  <c r="Y271" i="12"/>
  <c r="Y272" i="12"/>
  <c r="Y273" i="12"/>
  <c r="Y274" i="12"/>
  <c r="Y275" i="12"/>
  <c r="Y276" i="12"/>
  <c r="Y277" i="12"/>
  <c r="Y278" i="12"/>
  <c r="Y279" i="12"/>
  <c r="Y280" i="12"/>
  <c r="Y281" i="12"/>
  <c r="Y282" i="12"/>
  <c r="Y283" i="12"/>
  <c r="Y284" i="12"/>
  <c r="Y285" i="12"/>
  <c r="Y286" i="12"/>
  <c r="Y287" i="12"/>
  <c r="Y288" i="12"/>
  <c r="Y289" i="12"/>
  <c r="Y290" i="12"/>
  <c r="Y291" i="12"/>
  <c r="Y292" i="12"/>
  <c r="Y293" i="12"/>
  <c r="Y294" i="12"/>
  <c r="Y295" i="12"/>
  <c r="Y296" i="12"/>
  <c r="Y297" i="12"/>
  <c r="Y298" i="12"/>
  <c r="Y299" i="12"/>
  <c r="Y300" i="12"/>
  <c r="Y301" i="12"/>
  <c r="Y302" i="12"/>
  <c r="Y303" i="12"/>
  <c r="Y304" i="12"/>
  <c r="Y305" i="12"/>
  <c r="Y306" i="12"/>
  <c r="Y307" i="12"/>
  <c r="Y308" i="12"/>
  <c r="Y309" i="12"/>
  <c r="Y310" i="12"/>
  <c r="Y311" i="12"/>
  <c r="Y312" i="12"/>
  <c r="Y313" i="12"/>
  <c r="Y314" i="12"/>
  <c r="Y315" i="12"/>
  <c r="Y316" i="12"/>
  <c r="Y317" i="12"/>
  <c r="Y318" i="12"/>
  <c r="Y319" i="12"/>
  <c r="Y320" i="12"/>
  <c r="Y321" i="12"/>
  <c r="Y322" i="12"/>
  <c r="Y323" i="12"/>
  <c r="Y324" i="12"/>
  <c r="Y325" i="12"/>
  <c r="Y326" i="12"/>
  <c r="Y327" i="12"/>
  <c r="Y328" i="12"/>
  <c r="Y329" i="12"/>
  <c r="Y330" i="12"/>
  <c r="Y331" i="12"/>
  <c r="Y332" i="12"/>
  <c r="Y333" i="12"/>
  <c r="Y334" i="12"/>
  <c r="Y335" i="12"/>
  <c r="Y336" i="12"/>
  <c r="Y337" i="12"/>
  <c r="Y338" i="12"/>
  <c r="Y339" i="12"/>
  <c r="Y340" i="12"/>
  <c r="Y341" i="12"/>
  <c r="Y342" i="12"/>
  <c r="Y343" i="12"/>
  <c r="Y344" i="12"/>
  <c r="Y345" i="12"/>
  <c r="Y346" i="12"/>
  <c r="Y347" i="12"/>
  <c r="Y348" i="12"/>
  <c r="Y349" i="12"/>
  <c r="Y350" i="12"/>
  <c r="Y351" i="12"/>
  <c r="Y352" i="12"/>
  <c r="Y353" i="12"/>
  <c r="Y354" i="12"/>
  <c r="Y355" i="12"/>
  <c r="Y356" i="12"/>
  <c r="Y357" i="12"/>
  <c r="Y358" i="12"/>
  <c r="Y359" i="12"/>
  <c r="Y360" i="12"/>
  <c r="Y361" i="12"/>
  <c r="Y362" i="12"/>
  <c r="Y363" i="12"/>
  <c r="Y364" i="12"/>
  <c r="Y365" i="12"/>
  <c r="Y366" i="12"/>
  <c r="Y367" i="12"/>
  <c r="Y368" i="12"/>
  <c r="Y369" i="12"/>
  <c r="Y370" i="12"/>
  <c r="Y371" i="12"/>
  <c r="Y372" i="12"/>
  <c r="Y373" i="12"/>
  <c r="Y374" i="12"/>
  <c r="Y375" i="12"/>
  <c r="Y10" i="12"/>
  <c r="Z11" i="12"/>
  <c r="BD11" i="12" s="1"/>
  <c r="Z12" i="12"/>
  <c r="BD12" i="12" s="1"/>
  <c r="Z13" i="12"/>
  <c r="BD13" i="12" s="1"/>
  <c r="Z14" i="12"/>
  <c r="BD14" i="12" s="1"/>
  <c r="Z15" i="12"/>
  <c r="BD15" i="12" s="1"/>
  <c r="Z16" i="12"/>
  <c r="BD16" i="12" s="1"/>
  <c r="Z17" i="12"/>
  <c r="BD17" i="12" s="1"/>
  <c r="Z18" i="12"/>
  <c r="BD18" i="12" s="1"/>
  <c r="Z19" i="12"/>
  <c r="BD19" i="12" s="1"/>
  <c r="Z20" i="12"/>
  <c r="BD20" i="12" s="1"/>
  <c r="Z21" i="12"/>
  <c r="BD21" i="12" s="1"/>
  <c r="Z22" i="12"/>
  <c r="BD22" i="12" s="1"/>
  <c r="Z23" i="12"/>
  <c r="BD23" i="12" s="1"/>
  <c r="Z24" i="12"/>
  <c r="BD24" i="12" s="1"/>
  <c r="Z25" i="12"/>
  <c r="BD25" i="12" s="1"/>
  <c r="Z26" i="12"/>
  <c r="BD26" i="12" s="1"/>
  <c r="Z27" i="12"/>
  <c r="BD27" i="12" s="1"/>
  <c r="Z28" i="12"/>
  <c r="BD28" i="12" s="1"/>
  <c r="Z29" i="12"/>
  <c r="BD29" i="12" s="1"/>
  <c r="Z30" i="12"/>
  <c r="BD30" i="12" s="1"/>
  <c r="Z31" i="12"/>
  <c r="BD31" i="12" s="1"/>
  <c r="Z32" i="12"/>
  <c r="BD32" i="12" s="1"/>
  <c r="Z33" i="12"/>
  <c r="BD33" i="12" s="1"/>
  <c r="Z34" i="12"/>
  <c r="BD34" i="12" s="1"/>
  <c r="Z35" i="12"/>
  <c r="BD35" i="12" s="1"/>
  <c r="Z36" i="12"/>
  <c r="BD36" i="12" s="1"/>
  <c r="Z37" i="12"/>
  <c r="BD37" i="12" s="1"/>
  <c r="Z38" i="12"/>
  <c r="BD38" i="12" s="1"/>
  <c r="Z39" i="12"/>
  <c r="BD39" i="12" s="1"/>
  <c r="Z40" i="12"/>
  <c r="BD40" i="12" s="1"/>
  <c r="Z41" i="12"/>
  <c r="BD41" i="12" s="1"/>
  <c r="Z42" i="12"/>
  <c r="BD42" i="12" s="1"/>
  <c r="Z43" i="12"/>
  <c r="BD43" i="12" s="1"/>
  <c r="Z44" i="12"/>
  <c r="BD44" i="12" s="1"/>
  <c r="Z45" i="12"/>
  <c r="BD45" i="12" s="1"/>
  <c r="Z46" i="12"/>
  <c r="BD46" i="12" s="1"/>
  <c r="Z47" i="12"/>
  <c r="BD47" i="12" s="1"/>
  <c r="Z48" i="12"/>
  <c r="BD48" i="12" s="1"/>
  <c r="Z49" i="12"/>
  <c r="BD49" i="12" s="1"/>
  <c r="Z50" i="12"/>
  <c r="BD50" i="12" s="1"/>
  <c r="Z51" i="12"/>
  <c r="BD51" i="12" s="1"/>
  <c r="Z52" i="12"/>
  <c r="BD52" i="12" s="1"/>
  <c r="Z53" i="12"/>
  <c r="BD53" i="12" s="1"/>
  <c r="Z54" i="12"/>
  <c r="BD54" i="12" s="1"/>
  <c r="Z55" i="12"/>
  <c r="BD55" i="12" s="1"/>
  <c r="Z56" i="12"/>
  <c r="BD56" i="12" s="1"/>
  <c r="Z57" i="12"/>
  <c r="BD57" i="12" s="1"/>
  <c r="Z58" i="12"/>
  <c r="BD58" i="12" s="1"/>
  <c r="Z59" i="12"/>
  <c r="BD59" i="12" s="1"/>
  <c r="Z60" i="12"/>
  <c r="BD60" i="12" s="1"/>
  <c r="Z61" i="12"/>
  <c r="BD61" i="12" s="1"/>
  <c r="Z62" i="12"/>
  <c r="BD62" i="12" s="1"/>
  <c r="Z63" i="12"/>
  <c r="BD63" i="12" s="1"/>
  <c r="Z64" i="12"/>
  <c r="BD64" i="12" s="1"/>
  <c r="Z65" i="12"/>
  <c r="BD65" i="12" s="1"/>
  <c r="Z66" i="12"/>
  <c r="BD66" i="12" s="1"/>
  <c r="Z67" i="12"/>
  <c r="BD67" i="12" s="1"/>
  <c r="Z68" i="12"/>
  <c r="BD68" i="12" s="1"/>
  <c r="Z69" i="12"/>
  <c r="BD69" i="12" s="1"/>
  <c r="Z70" i="12"/>
  <c r="BD70" i="12" s="1"/>
  <c r="Z71" i="12"/>
  <c r="BD71" i="12" s="1"/>
  <c r="Z72" i="12"/>
  <c r="BD72" i="12" s="1"/>
  <c r="Z73" i="12"/>
  <c r="BD73" i="12" s="1"/>
  <c r="Z74" i="12"/>
  <c r="BD74" i="12" s="1"/>
  <c r="Z75" i="12"/>
  <c r="BD75" i="12" s="1"/>
  <c r="Z76" i="12"/>
  <c r="BD76" i="12" s="1"/>
  <c r="Z77" i="12"/>
  <c r="BD77" i="12" s="1"/>
  <c r="Z78" i="12"/>
  <c r="BD78" i="12" s="1"/>
  <c r="Z79" i="12"/>
  <c r="BD79" i="12" s="1"/>
  <c r="Z80" i="12"/>
  <c r="BD80" i="12" s="1"/>
  <c r="Z81" i="12"/>
  <c r="BD81" i="12" s="1"/>
  <c r="Z82" i="12"/>
  <c r="BD82" i="12" s="1"/>
  <c r="Z83" i="12"/>
  <c r="BD83" i="12" s="1"/>
  <c r="Z84" i="12"/>
  <c r="BD84" i="12" s="1"/>
  <c r="Z85" i="12"/>
  <c r="BD85" i="12" s="1"/>
  <c r="Z86" i="12"/>
  <c r="BD86" i="12" s="1"/>
  <c r="Z87" i="12"/>
  <c r="BD87" i="12" s="1"/>
  <c r="Z88" i="12"/>
  <c r="BD88" i="12" s="1"/>
  <c r="Z89" i="12"/>
  <c r="BD89" i="12" s="1"/>
  <c r="Z90" i="12"/>
  <c r="BD90" i="12" s="1"/>
  <c r="Z91" i="12"/>
  <c r="BD91" i="12" s="1"/>
  <c r="Z92" i="12"/>
  <c r="BD92" i="12" s="1"/>
  <c r="Z93" i="12"/>
  <c r="BD93" i="12" s="1"/>
  <c r="Z94" i="12"/>
  <c r="BD94" i="12" s="1"/>
  <c r="Z95" i="12"/>
  <c r="BD95" i="12" s="1"/>
  <c r="Z96" i="12"/>
  <c r="BD96" i="12" s="1"/>
  <c r="Z97" i="12"/>
  <c r="BD97" i="12" s="1"/>
  <c r="Z98" i="12"/>
  <c r="BD98" i="12" s="1"/>
  <c r="Z99" i="12"/>
  <c r="BD99" i="12" s="1"/>
  <c r="Z100" i="12"/>
  <c r="BD100" i="12" s="1"/>
  <c r="Z101" i="12"/>
  <c r="BD101" i="12" s="1"/>
  <c r="Z102" i="12"/>
  <c r="BD102" i="12" s="1"/>
  <c r="Z103" i="12"/>
  <c r="BD103" i="12" s="1"/>
  <c r="Z104" i="12"/>
  <c r="BD104" i="12" s="1"/>
  <c r="Z105" i="12"/>
  <c r="BD105" i="12" s="1"/>
  <c r="Z106" i="12"/>
  <c r="BD106" i="12" s="1"/>
  <c r="Z107" i="12"/>
  <c r="BD107" i="12" s="1"/>
  <c r="Z108" i="12"/>
  <c r="BD108" i="12" s="1"/>
  <c r="Z109" i="12"/>
  <c r="BD109" i="12" s="1"/>
  <c r="Z110" i="12"/>
  <c r="BD110" i="12" s="1"/>
  <c r="Z111" i="12"/>
  <c r="BD111" i="12" s="1"/>
  <c r="Z112" i="12"/>
  <c r="BD112" i="12" s="1"/>
  <c r="Z113" i="12"/>
  <c r="BD113" i="12" s="1"/>
  <c r="Z114" i="12"/>
  <c r="BD114" i="12" s="1"/>
  <c r="Z115" i="12"/>
  <c r="BD115" i="12" s="1"/>
  <c r="Z116" i="12"/>
  <c r="BD116" i="12" s="1"/>
  <c r="Z117" i="12"/>
  <c r="BD117" i="12" s="1"/>
  <c r="Z118" i="12"/>
  <c r="BD118" i="12" s="1"/>
  <c r="Z119" i="12"/>
  <c r="BD119" i="12" s="1"/>
  <c r="Z120" i="12"/>
  <c r="BD120" i="12" s="1"/>
  <c r="Z121" i="12"/>
  <c r="BD121" i="12" s="1"/>
  <c r="Z122" i="12"/>
  <c r="BD122" i="12" s="1"/>
  <c r="Z123" i="12"/>
  <c r="BD123" i="12" s="1"/>
  <c r="Z124" i="12"/>
  <c r="BD124" i="12" s="1"/>
  <c r="Z125" i="12"/>
  <c r="BD125" i="12" s="1"/>
  <c r="Z126" i="12"/>
  <c r="BD126" i="12" s="1"/>
  <c r="Z127" i="12"/>
  <c r="BD127" i="12" s="1"/>
  <c r="Z128" i="12"/>
  <c r="BD128" i="12" s="1"/>
  <c r="Z129" i="12"/>
  <c r="BD129" i="12" s="1"/>
  <c r="Z130" i="12"/>
  <c r="BD130" i="12" s="1"/>
  <c r="Z131" i="12"/>
  <c r="BD131" i="12" s="1"/>
  <c r="Z132" i="12"/>
  <c r="BD132" i="12" s="1"/>
  <c r="Z133" i="12"/>
  <c r="BD133" i="12" s="1"/>
  <c r="Z134" i="12"/>
  <c r="BD134" i="12" s="1"/>
  <c r="Z135" i="12"/>
  <c r="BD135" i="12" s="1"/>
  <c r="Z136" i="12"/>
  <c r="BD136" i="12" s="1"/>
  <c r="Z137" i="12"/>
  <c r="BD137" i="12" s="1"/>
  <c r="Z138" i="12"/>
  <c r="BD138" i="12" s="1"/>
  <c r="Z139" i="12"/>
  <c r="BD139" i="12" s="1"/>
  <c r="Z140" i="12"/>
  <c r="BD140" i="12" s="1"/>
  <c r="Z141" i="12"/>
  <c r="BD141" i="12" s="1"/>
  <c r="Z142" i="12"/>
  <c r="BD142" i="12" s="1"/>
  <c r="Z143" i="12"/>
  <c r="BD143" i="12" s="1"/>
  <c r="Z144" i="12"/>
  <c r="BD144" i="12" s="1"/>
  <c r="Z145" i="12"/>
  <c r="BD145" i="12" s="1"/>
  <c r="Z146" i="12"/>
  <c r="BD146" i="12" s="1"/>
  <c r="Z147" i="12"/>
  <c r="BD147" i="12" s="1"/>
  <c r="Z148" i="12"/>
  <c r="BD148" i="12" s="1"/>
  <c r="Z149" i="12"/>
  <c r="BD149" i="12" s="1"/>
  <c r="Z150" i="12"/>
  <c r="BD150" i="12" s="1"/>
  <c r="Z151" i="12"/>
  <c r="BD151" i="12" s="1"/>
  <c r="Z152" i="12"/>
  <c r="BD152" i="12" s="1"/>
  <c r="Z153" i="12"/>
  <c r="BD153" i="12" s="1"/>
  <c r="Z154" i="12"/>
  <c r="BD154" i="12" s="1"/>
  <c r="Z155" i="12"/>
  <c r="BD155" i="12" s="1"/>
  <c r="Z156" i="12"/>
  <c r="BD156" i="12" s="1"/>
  <c r="Z157" i="12"/>
  <c r="BD157" i="12" s="1"/>
  <c r="Z158" i="12"/>
  <c r="BD158" i="12" s="1"/>
  <c r="Z159" i="12"/>
  <c r="BD159" i="12" s="1"/>
  <c r="Z160" i="12"/>
  <c r="BD160" i="12" s="1"/>
  <c r="Z161" i="12"/>
  <c r="BD161" i="12" s="1"/>
  <c r="Z162" i="12"/>
  <c r="BD162" i="12" s="1"/>
  <c r="Z163" i="12"/>
  <c r="BD163" i="12" s="1"/>
  <c r="Z164" i="12"/>
  <c r="BD164" i="12" s="1"/>
  <c r="Z165" i="12"/>
  <c r="BD165" i="12" s="1"/>
  <c r="Z166" i="12"/>
  <c r="BD166" i="12" s="1"/>
  <c r="Z167" i="12"/>
  <c r="BD167" i="12" s="1"/>
  <c r="Z168" i="12"/>
  <c r="BD168" i="12" s="1"/>
  <c r="Z169" i="12"/>
  <c r="BD169" i="12" s="1"/>
  <c r="Z170" i="12"/>
  <c r="BD170" i="12" s="1"/>
  <c r="Z171" i="12"/>
  <c r="BD171" i="12" s="1"/>
  <c r="Z172" i="12"/>
  <c r="BD172" i="12" s="1"/>
  <c r="Z173" i="12"/>
  <c r="BD173" i="12" s="1"/>
  <c r="Z174" i="12"/>
  <c r="BD174" i="12" s="1"/>
  <c r="Z175" i="12"/>
  <c r="BD175" i="12" s="1"/>
  <c r="Z176" i="12"/>
  <c r="BD176" i="12" s="1"/>
  <c r="Z177" i="12"/>
  <c r="BD177" i="12" s="1"/>
  <c r="Z178" i="12"/>
  <c r="BD178" i="12" s="1"/>
  <c r="Z179" i="12"/>
  <c r="BD179" i="12" s="1"/>
  <c r="Z180" i="12"/>
  <c r="BD180" i="12" s="1"/>
  <c r="Z181" i="12"/>
  <c r="BD181" i="12" s="1"/>
  <c r="Z182" i="12"/>
  <c r="BD182" i="12" s="1"/>
  <c r="Z183" i="12"/>
  <c r="BD183" i="12" s="1"/>
  <c r="Z184" i="12"/>
  <c r="BD184" i="12" s="1"/>
  <c r="Z185" i="12"/>
  <c r="BD185" i="12" s="1"/>
  <c r="Z186" i="12"/>
  <c r="BD186" i="12" s="1"/>
  <c r="Z187" i="12"/>
  <c r="BD187" i="12" s="1"/>
  <c r="Z188" i="12"/>
  <c r="BD188" i="12" s="1"/>
  <c r="Z189" i="12"/>
  <c r="BD189" i="12" s="1"/>
  <c r="Z190" i="12"/>
  <c r="BD190" i="12" s="1"/>
  <c r="Z191" i="12"/>
  <c r="BD191" i="12" s="1"/>
  <c r="Z192" i="12"/>
  <c r="BD192" i="12" s="1"/>
  <c r="Z193" i="12"/>
  <c r="BD193" i="12" s="1"/>
  <c r="Z194" i="12"/>
  <c r="BD194" i="12" s="1"/>
  <c r="Z195" i="12"/>
  <c r="BD195" i="12" s="1"/>
  <c r="Z196" i="12"/>
  <c r="BD196" i="12" s="1"/>
  <c r="Z197" i="12"/>
  <c r="BD197" i="12" s="1"/>
  <c r="Z198" i="12"/>
  <c r="BD198" i="12" s="1"/>
  <c r="Z199" i="12"/>
  <c r="BD199" i="12" s="1"/>
  <c r="Z200" i="12"/>
  <c r="BD200" i="12" s="1"/>
  <c r="Z201" i="12"/>
  <c r="BD201" i="12" s="1"/>
  <c r="Z202" i="12"/>
  <c r="BD202" i="12" s="1"/>
  <c r="Z203" i="12"/>
  <c r="BD203" i="12" s="1"/>
  <c r="Z204" i="12"/>
  <c r="BD204" i="12" s="1"/>
  <c r="Z205" i="12"/>
  <c r="BD205" i="12" s="1"/>
  <c r="Z206" i="12"/>
  <c r="BD206" i="12" s="1"/>
  <c r="Z207" i="12"/>
  <c r="BD207" i="12" s="1"/>
  <c r="Z208" i="12"/>
  <c r="BD208" i="12" s="1"/>
  <c r="Z209" i="12"/>
  <c r="BD209" i="12" s="1"/>
  <c r="Z210" i="12"/>
  <c r="BD210" i="12" s="1"/>
  <c r="Z211" i="12"/>
  <c r="BD211" i="12" s="1"/>
  <c r="Z212" i="12"/>
  <c r="BD212" i="12" s="1"/>
  <c r="Z213" i="12"/>
  <c r="BD213" i="12" s="1"/>
  <c r="Z214" i="12"/>
  <c r="BD214" i="12" s="1"/>
  <c r="Z215" i="12"/>
  <c r="BD215" i="12" s="1"/>
  <c r="Z216" i="12"/>
  <c r="BD216" i="12" s="1"/>
  <c r="Z217" i="12"/>
  <c r="BD217" i="12" s="1"/>
  <c r="Z218" i="12"/>
  <c r="BD218" i="12" s="1"/>
  <c r="Z219" i="12"/>
  <c r="BD219" i="12" s="1"/>
  <c r="Z220" i="12"/>
  <c r="BD220" i="12" s="1"/>
  <c r="Z221" i="12"/>
  <c r="BD221" i="12" s="1"/>
  <c r="Z222" i="12"/>
  <c r="BD222" i="12" s="1"/>
  <c r="Z223" i="12"/>
  <c r="BD223" i="12" s="1"/>
  <c r="Z224" i="12"/>
  <c r="BD224" i="12" s="1"/>
  <c r="Z225" i="12"/>
  <c r="BD225" i="12" s="1"/>
  <c r="Z226" i="12"/>
  <c r="BD226" i="12" s="1"/>
  <c r="Z227" i="12"/>
  <c r="BD227" i="12" s="1"/>
  <c r="Z228" i="12"/>
  <c r="BD228" i="12" s="1"/>
  <c r="Z229" i="12"/>
  <c r="BD229" i="12" s="1"/>
  <c r="Z230" i="12"/>
  <c r="BD230" i="12" s="1"/>
  <c r="Z231" i="12"/>
  <c r="BD231" i="12" s="1"/>
  <c r="Z232" i="12"/>
  <c r="BD232" i="12" s="1"/>
  <c r="Z233" i="12"/>
  <c r="BD233" i="12" s="1"/>
  <c r="Z234" i="12"/>
  <c r="BD234" i="12" s="1"/>
  <c r="Z235" i="12"/>
  <c r="BD235" i="12" s="1"/>
  <c r="Z236" i="12"/>
  <c r="BD236" i="12" s="1"/>
  <c r="Z237" i="12"/>
  <c r="BD237" i="12" s="1"/>
  <c r="Z238" i="12"/>
  <c r="BD238" i="12" s="1"/>
  <c r="Z239" i="12"/>
  <c r="BD239" i="12" s="1"/>
  <c r="Z240" i="12"/>
  <c r="BD240" i="12" s="1"/>
  <c r="Z241" i="12"/>
  <c r="BD241" i="12" s="1"/>
  <c r="Z242" i="12"/>
  <c r="BD242" i="12" s="1"/>
  <c r="Z243" i="12"/>
  <c r="BD243" i="12" s="1"/>
  <c r="Z244" i="12"/>
  <c r="BD244" i="12" s="1"/>
  <c r="Z245" i="12"/>
  <c r="BD245" i="12" s="1"/>
  <c r="Z246" i="12"/>
  <c r="BD246" i="12" s="1"/>
  <c r="Z247" i="12"/>
  <c r="BD247" i="12" s="1"/>
  <c r="Z248" i="12"/>
  <c r="BD248" i="12" s="1"/>
  <c r="Z249" i="12"/>
  <c r="BD249" i="12" s="1"/>
  <c r="Z250" i="12"/>
  <c r="BD250" i="12" s="1"/>
  <c r="Z251" i="12"/>
  <c r="BD251" i="12" s="1"/>
  <c r="Z252" i="12"/>
  <c r="BD252" i="12" s="1"/>
  <c r="Z253" i="12"/>
  <c r="BD253" i="12" s="1"/>
  <c r="Z254" i="12"/>
  <c r="BD254" i="12" s="1"/>
  <c r="Z255" i="12"/>
  <c r="BD255" i="12" s="1"/>
  <c r="Z256" i="12"/>
  <c r="BD256" i="12" s="1"/>
  <c r="Z257" i="12"/>
  <c r="BD257" i="12" s="1"/>
  <c r="Z258" i="12"/>
  <c r="BD258" i="12" s="1"/>
  <c r="Z259" i="12"/>
  <c r="BD259" i="12" s="1"/>
  <c r="Z260" i="12"/>
  <c r="BD260" i="12" s="1"/>
  <c r="Z261" i="12"/>
  <c r="BD261" i="12" s="1"/>
  <c r="Z262" i="12"/>
  <c r="BD262" i="12" s="1"/>
  <c r="Z263" i="12"/>
  <c r="BD263" i="12" s="1"/>
  <c r="Z264" i="12"/>
  <c r="BD264" i="12" s="1"/>
  <c r="Z265" i="12"/>
  <c r="BD265" i="12" s="1"/>
  <c r="Z266" i="12"/>
  <c r="BD266" i="12" s="1"/>
  <c r="Z267" i="12"/>
  <c r="BD267" i="12" s="1"/>
  <c r="Z268" i="12"/>
  <c r="BD268" i="12" s="1"/>
  <c r="Z269" i="12"/>
  <c r="BD269" i="12" s="1"/>
  <c r="Z270" i="12"/>
  <c r="BD270" i="12" s="1"/>
  <c r="Z271" i="12"/>
  <c r="BD271" i="12" s="1"/>
  <c r="Z272" i="12"/>
  <c r="BD272" i="12" s="1"/>
  <c r="Z273" i="12"/>
  <c r="BD273" i="12" s="1"/>
  <c r="Z274" i="12"/>
  <c r="BD274" i="12" s="1"/>
  <c r="Z275" i="12"/>
  <c r="BD275" i="12" s="1"/>
  <c r="Z276" i="12"/>
  <c r="BD276" i="12" s="1"/>
  <c r="Z277" i="12"/>
  <c r="BD277" i="12" s="1"/>
  <c r="Z278" i="12"/>
  <c r="BD278" i="12" s="1"/>
  <c r="Z279" i="12"/>
  <c r="BD279" i="12" s="1"/>
  <c r="Z280" i="12"/>
  <c r="BD280" i="12" s="1"/>
  <c r="Z281" i="12"/>
  <c r="BD281" i="12" s="1"/>
  <c r="Z282" i="12"/>
  <c r="BD282" i="12" s="1"/>
  <c r="Z283" i="12"/>
  <c r="BD283" i="12" s="1"/>
  <c r="Z284" i="12"/>
  <c r="BD284" i="12" s="1"/>
  <c r="Z285" i="12"/>
  <c r="BD285" i="12" s="1"/>
  <c r="Z286" i="12"/>
  <c r="BD286" i="12" s="1"/>
  <c r="Z287" i="12"/>
  <c r="BD287" i="12" s="1"/>
  <c r="Z288" i="12"/>
  <c r="BD288" i="12" s="1"/>
  <c r="Z289" i="12"/>
  <c r="BD289" i="12" s="1"/>
  <c r="Z290" i="12"/>
  <c r="BD290" i="12" s="1"/>
  <c r="Z291" i="12"/>
  <c r="BD291" i="12" s="1"/>
  <c r="Z292" i="12"/>
  <c r="BD292" i="12" s="1"/>
  <c r="Z293" i="12"/>
  <c r="BD293" i="12" s="1"/>
  <c r="Z294" i="12"/>
  <c r="BD294" i="12" s="1"/>
  <c r="Z295" i="12"/>
  <c r="BD295" i="12" s="1"/>
  <c r="Z296" i="12"/>
  <c r="BD296" i="12" s="1"/>
  <c r="Z297" i="12"/>
  <c r="BD297" i="12" s="1"/>
  <c r="Z298" i="12"/>
  <c r="BD298" i="12" s="1"/>
  <c r="Z299" i="12"/>
  <c r="BD299" i="12" s="1"/>
  <c r="Z300" i="12"/>
  <c r="BD300" i="12" s="1"/>
  <c r="Z301" i="12"/>
  <c r="BD301" i="12" s="1"/>
  <c r="Z302" i="12"/>
  <c r="BD302" i="12" s="1"/>
  <c r="Z303" i="12"/>
  <c r="BD303" i="12" s="1"/>
  <c r="Z304" i="12"/>
  <c r="BD304" i="12" s="1"/>
  <c r="Z305" i="12"/>
  <c r="BD305" i="12" s="1"/>
  <c r="Z306" i="12"/>
  <c r="BD306" i="12" s="1"/>
  <c r="Z307" i="12"/>
  <c r="BD307" i="12" s="1"/>
  <c r="Z308" i="12"/>
  <c r="BD308" i="12" s="1"/>
  <c r="Z309" i="12"/>
  <c r="BD309" i="12" s="1"/>
  <c r="Z310" i="12"/>
  <c r="BD310" i="12" s="1"/>
  <c r="Z311" i="12"/>
  <c r="BD311" i="12" s="1"/>
  <c r="Z312" i="12"/>
  <c r="BD312" i="12" s="1"/>
  <c r="Z313" i="12"/>
  <c r="BD313" i="12" s="1"/>
  <c r="Z314" i="12"/>
  <c r="BD314" i="12" s="1"/>
  <c r="Z315" i="12"/>
  <c r="BD315" i="12" s="1"/>
  <c r="Z316" i="12"/>
  <c r="BD316" i="12" s="1"/>
  <c r="Z317" i="12"/>
  <c r="BD317" i="12" s="1"/>
  <c r="Z318" i="12"/>
  <c r="BD318" i="12" s="1"/>
  <c r="Z319" i="12"/>
  <c r="BD319" i="12" s="1"/>
  <c r="Z320" i="12"/>
  <c r="BD320" i="12" s="1"/>
  <c r="Z321" i="12"/>
  <c r="BD321" i="12" s="1"/>
  <c r="Z322" i="12"/>
  <c r="BD322" i="12" s="1"/>
  <c r="Z323" i="12"/>
  <c r="BD323" i="12" s="1"/>
  <c r="Z324" i="12"/>
  <c r="BD324" i="12" s="1"/>
  <c r="Z325" i="12"/>
  <c r="BD325" i="12" s="1"/>
  <c r="Z326" i="12"/>
  <c r="BD326" i="12" s="1"/>
  <c r="Z327" i="12"/>
  <c r="BD327" i="12" s="1"/>
  <c r="Z328" i="12"/>
  <c r="BD328" i="12" s="1"/>
  <c r="Z329" i="12"/>
  <c r="BD329" i="12" s="1"/>
  <c r="Z330" i="12"/>
  <c r="BD330" i="12" s="1"/>
  <c r="Z331" i="12"/>
  <c r="BD331" i="12" s="1"/>
  <c r="Z332" i="12"/>
  <c r="BD332" i="12" s="1"/>
  <c r="Z333" i="12"/>
  <c r="BD333" i="12" s="1"/>
  <c r="Z334" i="12"/>
  <c r="BD334" i="12" s="1"/>
  <c r="Z335" i="12"/>
  <c r="BD335" i="12" s="1"/>
  <c r="Z336" i="12"/>
  <c r="BD336" i="12" s="1"/>
  <c r="Z337" i="12"/>
  <c r="BD337" i="12" s="1"/>
  <c r="Z338" i="12"/>
  <c r="BD338" i="12" s="1"/>
  <c r="Z339" i="12"/>
  <c r="BD339" i="12" s="1"/>
  <c r="Z340" i="12"/>
  <c r="BD340" i="12" s="1"/>
  <c r="Z341" i="12"/>
  <c r="BD341" i="12" s="1"/>
  <c r="Z342" i="12"/>
  <c r="BD342" i="12" s="1"/>
  <c r="Z343" i="12"/>
  <c r="BD343" i="12" s="1"/>
  <c r="Z344" i="12"/>
  <c r="BD344" i="12" s="1"/>
  <c r="Z345" i="12"/>
  <c r="BD345" i="12" s="1"/>
  <c r="Z346" i="12"/>
  <c r="BD346" i="12" s="1"/>
  <c r="Z347" i="12"/>
  <c r="BD347" i="12" s="1"/>
  <c r="Z348" i="12"/>
  <c r="BD348" i="12" s="1"/>
  <c r="Z349" i="12"/>
  <c r="BD349" i="12" s="1"/>
  <c r="Z350" i="12"/>
  <c r="BD350" i="12" s="1"/>
  <c r="Z351" i="12"/>
  <c r="BD351" i="12" s="1"/>
  <c r="Z352" i="12"/>
  <c r="BD352" i="12" s="1"/>
  <c r="Z353" i="12"/>
  <c r="BD353" i="12" s="1"/>
  <c r="Z354" i="12"/>
  <c r="BD354" i="12" s="1"/>
  <c r="Z355" i="12"/>
  <c r="BD355" i="12" s="1"/>
  <c r="Z356" i="12"/>
  <c r="BD356" i="12" s="1"/>
  <c r="Z357" i="12"/>
  <c r="BD357" i="12" s="1"/>
  <c r="Z358" i="12"/>
  <c r="BD358" i="12" s="1"/>
  <c r="Z359" i="12"/>
  <c r="BD359" i="12" s="1"/>
  <c r="Z360" i="12"/>
  <c r="BD360" i="12" s="1"/>
  <c r="Z361" i="12"/>
  <c r="BD361" i="12" s="1"/>
  <c r="Z362" i="12"/>
  <c r="BD362" i="12" s="1"/>
  <c r="Z363" i="12"/>
  <c r="BD363" i="12" s="1"/>
  <c r="Z364" i="12"/>
  <c r="BD364" i="12" s="1"/>
  <c r="Z365" i="12"/>
  <c r="BD365" i="12" s="1"/>
  <c r="Z366" i="12"/>
  <c r="BD366" i="12" s="1"/>
  <c r="Z367" i="12"/>
  <c r="BD367" i="12" s="1"/>
  <c r="Z368" i="12"/>
  <c r="BD368" i="12" s="1"/>
  <c r="Z369" i="12"/>
  <c r="BD369" i="12" s="1"/>
  <c r="Z370" i="12"/>
  <c r="BD370" i="12" s="1"/>
  <c r="Z371" i="12"/>
  <c r="BD371" i="12" s="1"/>
  <c r="Z372" i="12"/>
  <c r="BD372" i="12" s="1"/>
  <c r="Z373" i="12"/>
  <c r="BD373" i="12" s="1"/>
  <c r="Z374" i="12"/>
  <c r="BD374" i="12" s="1"/>
  <c r="Z375" i="12"/>
  <c r="BD375" i="12" s="1"/>
  <c r="Z10" i="12"/>
  <c r="BD10" i="12" s="1"/>
  <c r="W10" i="12"/>
  <c r="BL10" i="12" s="1"/>
  <c r="W11" i="12"/>
  <c r="BL11" i="12" s="1"/>
  <c r="W12" i="12"/>
  <c r="W13" i="12"/>
  <c r="BL13" i="12" s="1"/>
  <c r="W14" i="12"/>
  <c r="W15" i="12"/>
  <c r="W16" i="12"/>
  <c r="BL16" i="12" s="1"/>
  <c r="W17" i="12"/>
  <c r="AC17" i="12" s="1"/>
  <c r="BM17" i="12" s="1"/>
  <c r="W18" i="12"/>
  <c r="W19" i="12"/>
  <c r="W20" i="12"/>
  <c r="BL20" i="12" s="1"/>
  <c r="W21" i="12"/>
  <c r="W22" i="12"/>
  <c r="BL22" i="12" s="1"/>
  <c r="W23" i="12"/>
  <c r="BL23" i="12" s="1"/>
  <c r="W24" i="12"/>
  <c r="W25" i="12"/>
  <c r="W26" i="12"/>
  <c r="W27" i="12"/>
  <c r="BL27" i="12" s="1"/>
  <c r="W28" i="12"/>
  <c r="W29" i="12"/>
  <c r="BL29" i="12" s="1"/>
  <c r="W30" i="12"/>
  <c r="W31" i="12"/>
  <c r="W32" i="12"/>
  <c r="BL32" i="12" s="1"/>
  <c r="W33" i="12"/>
  <c r="W34" i="12"/>
  <c r="W35" i="12"/>
  <c r="W36" i="12"/>
  <c r="BL36" i="12" s="1"/>
  <c r="W37" i="12"/>
  <c r="W38" i="12"/>
  <c r="BL38" i="12" s="1"/>
  <c r="W39" i="12"/>
  <c r="BL39" i="12" s="1"/>
  <c r="W40" i="12"/>
  <c r="W41" i="12"/>
  <c r="W42" i="12"/>
  <c r="W43" i="12"/>
  <c r="BL43" i="12" s="1"/>
  <c r="W44" i="12"/>
  <c r="W45" i="12"/>
  <c r="BL45" i="12" s="1"/>
  <c r="W46" i="12"/>
  <c r="W47" i="12"/>
  <c r="W48" i="12"/>
  <c r="BL48" i="12" s="1"/>
  <c r="W49" i="12"/>
  <c r="W50" i="12"/>
  <c r="W51" i="12"/>
  <c r="W52" i="12"/>
  <c r="BL52" i="12" s="1"/>
  <c r="W53" i="12"/>
  <c r="W54" i="12"/>
  <c r="BL54" i="12" s="1"/>
  <c r="W55" i="12"/>
  <c r="BL55" i="12" s="1"/>
  <c r="W56" i="12"/>
  <c r="W57" i="12"/>
  <c r="W58" i="12"/>
  <c r="W59" i="12"/>
  <c r="BL59" i="12" s="1"/>
  <c r="W60" i="12"/>
  <c r="W61" i="12"/>
  <c r="BL61" i="12" s="1"/>
  <c r="W62" i="12"/>
  <c r="W63" i="12"/>
  <c r="W64" i="12"/>
  <c r="BL64" i="12" s="1"/>
  <c r="W65" i="12"/>
  <c r="W66" i="12"/>
  <c r="W67" i="12"/>
  <c r="W68" i="12"/>
  <c r="BL68" i="12" s="1"/>
  <c r="W69" i="12"/>
  <c r="W70" i="12"/>
  <c r="BL70" i="12" s="1"/>
  <c r="W71" i="12"/>
  <c r="BL71" i="12" s="1"/>
  <c r="W72" i="12"/>
  <c r="W73" i="12"/>
  <c r="W74" i="12"/>
  <c r="W75" i="12"/>
  <c r="BL75" i="12" s="1"/>
  <c r="W76" i="12"/>
  <c r="W77" i="12"/>
  <c r="BL77" i="12" s="1"/>
  <c r="W78" i="12"/>
  <c r="W79" i="12"/>
  <c r="W80" i="12"/>
  <c r="BL80" i="12" s="1"/>
  <c r="W81" i="12"/>
  <c r="W82" i="12"/>
  <c r="W83" i="12"/>
  <c r="W84" i="12"/>
  <c r="BL84" i="12" s="1"/>
  <c r="W85" i="12"/>
  <c r="W86" i="12"/>
  <c r="BL86" i="12" s="1"/>
  <c r="W87" i="12"/>
  <c r="BL87" i="12" s="1"/>
  <c r="W88" i="12"/>
  <c r="W89" i="12"/>
  <c r="W90" i="12"/>
  <c r="W91" i="12"/>
  <c r="BL91" i="12" s="1"/>
  <c r="W92" i="12"/>
  <c r="W93" i="12"/>
  <c r="BL93" i="12" s="1"/>
  <c r="W94" i="12"/>
  <c r="W95" i="12"/>
  <c r="W96" i="12"/>
  <c r="BL96" i="12" s="1"/>
  <c r="W97" i="12"/>
  <c r="W98" i="12"/>
  <c r="W99" i="12"/>
  <c r="W100" i="12"/>
  <c r="BL100" i="12" s="1"/>
  <c r="W101" i="12"/>
  <c r="W102" i="12"/>
  <c r="BL102" i="12" s="1"/>
  <c r="W103" i="12"/>
  <c r="BL103" i="12" s="1"/>
  <c r="W104" i="12"/>
  <c r="W105" i="12"/>
  <c r="BL105" i="12" s="1"/>
  <c r="W106" i="12"/>
  <c r="W107" i="12"/>
  <c r="BL107" i="12" s="1"/>
  <c r="W108" i="12"/>
  <c r="W109" i="12"/>
  <c r="BL109" i="12" s="1"/>
  <c r="W110" i="12"/>
  <c r="W111" i="12"/>
  <c r="BL111" i="12" s="1"/>
  <c r="W112" i="12"/>
  <c r="W113" i="12"/>
  <c r="BL113" i="12" s="1"/>
  <c r="W114" i="12"/>
  <c r="W115" i="12"/>
  <c r="BL115" i="12" s="1"/>
  <c r="W116" i="12"/>
  <c r="W117" i="12"/>
  <c r="BL117" i="12" s="1"/>
  <c r="W118" i="12"/>
  <c r="W119" i="12"/>
  <c r="BL119" i="12" s="1"/>
  <c r="W120" i="12"/>
  <c r="W121" i="12"/>
  <c r="BL121" i="12" s="1"/>
  <c r="W122" i="12"/>
  <c r="W123" i="12"/>
  <c r="BL123" i="12" s="1"/>
  <c r="W124" i="12"/>
  <c r="W125" i="12"/>
  <c r="BL125" i="12" s="1"/>
  <c r="W126" i="12"/>
  <c r="W127" i="12"/>
  <c r="BL127" i="12" s="1"/>
  <c r="W128" i="12"/>
  <c r="W129" i="12"/>
  <c r="BL129" i="12" s="1"/>
  <c r="W130" i="12"/>
  <c r="W131" i="12"/>
  <c r="BL131" i="12" s="1"/>
  <c r="W132" i="12"/>
  <c r="W133" i="12"/>
  <c r="BL133" i="12" s="1"/>
  <c r="W134" i="12"/>
  <c r="W135" i="12"/>
  <c r="BL135" i="12" s="1"/>
  <c r="W136" i="12"/>
  <c r="W137" i="12"/>
  <c r="BL137" i="12" s="1"/>
  <c r="W138" i="12"/>
  <c r="W139" i="12"/>
  <c r="BL139" i="12" s="1"/>
  <c r="W140" i="12"/>
  <c r="W141" i="12"/>
  <c r="BL141" i="12" s="1"/>
  <c r="W142" i="12"/>
  <c r="W143" i="12"/>
  <c r="BL143" i="12" s="1"/>
  <c r="W144" i="12"/>
  <c r="W145" i="12"/>
  <c r="BL145" i="12" s="1"/>
  <c r="W146" i="12"/>
  <c r="W147" i="12"/>
  <c r="BL147" i="12" s="1"/>
  <c r="W148" i="12"/>
  <c r="W149" i="12"/>
  <c r="BL149" i="12" s="1"/>
  <c r="W150" i="12"/>
  <c r="W151" i="12"/>
  <c r="BL151" i="12" s="1"/>
  <c r="W152" i="12"/>
  <c r="W153" i="12"/>
  <c r="BL153" i="12" s="1"/>
  <c r="W154" i="12"/>
  <c r="W155" i="12"/>
  <c r="BL155" i="12" s="1"/>
  <c r="W156" i="12"/>
  <c r="W157" i="12"/>
  <c r="BL157" i="12" s="1"/>
  <c r="W158" i="12"/>
  <c r="W159" i="12"/>
  <c r="BL159" i="12" s="1"/>
  <c r="W160" i="12"/>
  <c r="W161" i="12"/>
  <c r="BL161" i="12" s="1"/>
  <c r="W162" i="12"/>
  <c r="W163" i="12"/>
  <c r="BL163" i="12" s="1"/>
  <c r="W164" i="12"/>
  <c r="BL164" i="12" s="1"/>
  <c r="W165" i="12"/>
  <c r="BL165" i="12" s="1"/>
  <c r="W166" i="12"/>
  <c r="BL166" i="12" s="1"/>
  <c r="W167" i="12"/>
  <c r="BL167" i="12" s="1"/>
  <c r="W168" i="12"/>
  <c r="BL168" i="12" s="1"/>
  <c r="W169" i="12"/>
  <c r="BL169" i="12" s="1"/>
  <c r="W170" i="12"/>
  <c r="BL170" i="12" s="1"/>
  <c r="W171" i="12"/>
  <c r="BL171" i="12" s="1"/>
  <c r="W172" i="12"/>
  <c r="BL172" i="12" s="1"/>
  <c r="W173" i="12"/>
  <c r="BL173" i="12" s="1"/>
  <c r="W174" i="12"/>
  <c r="BL174" i="12" s="1"/>
  <c r="W175" i="12"/>
  <c r="BL175" i="12" s="1"/>
  <c r="W176" i="12"/>
  <c r="BL176" i="12" s="1"/>
  <c r="W177" i="12"/>
  <c r="BL177" i="12" s="1"/>
  <c r="W178" i="12"/>
  <c r="BL178" i="12" s="1"/>
  <c r="W179" i="12"/>
  <c r="BL179" i="12" s="1"/>
  <c r="W180" i="12"/>
  <c r="BL180" i="12" s="1"/>
  <c r="W181" i="12"/>
  <c r="BL181" i="12" s="1"/>
  <c r="W182" i="12"/>
  <c r="BL182" i="12" s="1"/>
  <c r="W183" i="12"/>
  <c r="BL183" i="12" s="1"/>
  <c r="W184" i="12"/>
  <c r="BL184" i="12" s="1"/>
  <c r="W185" i="12"/>
  <c r="BL185" i="12" s="1"/>
  <c r="W186" i="12"/>
  <c r="BL186" i="12" s="1"/>
  <c r="W187" i="12"/>
  <c r="BL187" i="12" s="1"/>
  <c r="W188" i="12"/>
  <c r="BL188" i="12" s="1"/>
  <c r="W189" i="12"/>
  <c r="BL189" i="12" s="1"/>
  <c r="W190" i="12"/>
  <c r="BL190" i="12" s="1"/>
  <c r="W191" i="12"/>
  <c r="BL191" i="12" s="1"/>
  <c r="W192" i="12"/>
  <c r="BL192" i="12" s="1"/>
  <c r="W193" i="12"/>
  <c r="BL193" i="12" s="1"/>
  <c r="W194" i="12"/>
  <c r="BL194" i="12" s="1"/>
  <c r="W195" i="12"/>
  <c r="BL195" i="12" s="1"/>
  <c r="W196" i="12"/>
  <c r="BL196" i="12" s="1"/>
  <c r="W197" i="12"/>
  <c r="BL197" i="12" s="1"/>
  <c r="W198" i="12"/>
  <c r="BL198" i="12" s="1"/>
  <c r="W199" i="12"/>
  <c r="BL199" i="12" s="1"/>
  <c r="W200" i="12"/>
  <c r="BL200" i="12" s="1"/>
  <c r="W201" i="12"/>
  <c r="BL201" i="12" s="1"/>
  <c r="W202" i="12"/>
  <c r="BL202" i="12" s="1"/>
  <c r="W203" i="12"/>
  <c r="BL203" i="12" s="1"/>
  <c r="W204" i="12"/>
  <c r="BL204" i="12" s="1"/>
  <c r="W205" i="12"/>
  <c r="BL205" i="12" s="1"/>
  <c r="W206" i="12"/>
  <c r="BL206" i="12" s="1"/>
  <c r="W207" i="12"/>
  <c r="BL207" i="12" s="1"/>
  <c r="W208" i="12"/>
  <c r="BL208" i="12" s="1"/>
  <c r="W209" i="12"/>
  <c r="BL209" i="12" s="1"/>
  <c r="W210" i="12"/>
  <c r="BL210" i="12" s="1"/>
  <c r="W211" i="12"/>
  <c r="BL211" i="12" s="1"/>
  <c r="W212" i="12"/>
  <c r="BL212" i="12" s="1"/>
  <c r="W213" i="12"/>
  <c r="BL213" i="12" s="1"/>
  <c r="W214" i="12"/>
  <c r="BL214" i="12" s="1"/>
  <c r="W215" i="12"/>
  <c r="BL215" i="12" s="1"/>
  <c r="W216" i="12"/>
  <c r="BL216" i="12" s="1"/>
  <c r="W217" i="12"/>
  <c r="BL217" i="12" s="1"/>
  <c r="W218" i="12"/>
  <c r="BL218" i="12" s="1"/>
  <c r="W219" i="12"/>
  <c r="BL219" i="12" s="1"/>
  <c r="W220" i="12"/>
  <c r="BL220" i="12" s="1"/>
  <c r="W221" i="12"/>
  <c r="BL221" i="12" s="1"/>
  <c r="W222" i="12"/>
  <c r="BL222" i="12" s="1"/>
  <c r="W223" i="12"/>
  <c r="BL223" i="12" s="1"/>
  <c r="W224" i="12"/>
  <c r="BL224" i="12" s="1"/>
  <c r="W225" i="12"/>
  <c r="BL225" i="12" s="1"/>
  <c r="W226" i="12"/>
  <c r="BL226" i="12" s="1"/>
  <c r="W227" i="12"/>
  <c r="BL227" i="12" s="1"/>
  <c r="W228" i="12"/>
  <c r="BL228" i="12" s="1"/>
  <c r="W229" i="12"/>
  <c r="BL229" i="12" s="1"/>
  <c r="W230" i="12"/>
  <c r="BL230" i="12" s="1"/>
  <c r="W231" i="12"/>
  <c r="BL231" i="12" s="1"/>
  <c r="W232" i="12"/>
  <c r="BL232" i="12" s="1"/>
  <c r="W233" i="12"/>
  <c r="BL233" i="12" s="1"/>
  <c r="W234" i="12"/>
  <c r="BL234" i="12" s="1"/>
  <c r="W235" i="12"/>
  <c r="BL235" i="12" s="1"/>
  <c r="W236" i="12"/>
  <c r="BL236" i="12" s="1"/>
  <c r="W237" i="12"/>
  <c r="BL237" i="12" s="1"/>
  <c r="W238" i="12"/>
  <c r="BL238" i="12" s="1"/>
  <c r="W239" i="12"/>
  <c r="BL239" i="12" s="1"/>
  <c r="W240" i="12"/>
  <c r="BL240" i="12" s="1"/>
  <c r="W241" i="12"/>
  <c r="BL241" i="12" s="1"/>
  <c r="W242" i="12"/>
  <c r="BL242" i="12" s="1"/>
  <c r="W243" i="12"/>
  <c r="BL243" i="12" s="1"/>
  <c r="W244" i="12"/>
  <c r="BL244" i="12" s="1"/>
  <c r="W245" i="12"/>
  <c r="BL245" i="12" s="1"/>
  <c r="W246" i="12"/>
  <c r="BL246" i="12" s="1"/>
  <c r="W247" i="12"/>
  <c r="BL247" i="12" s="1"/>
  <c r="W248" i="12"/>
  <c r="BL248" i="12" s="1"/>
  <c r="W249" i="12"/>
  <c r="BL249" i="12" s="1"/>
  <c r="W250" i="12"/>
  <c r="BL250" i="12" s="1"/>
  <c r="W251" i="12"/>
  <c r="BL251" i="12" s="1"/>
  <c r="W252" i="12"/>
  <c r="BL252" i="12" s="1"/>
  <c r="W253" i="12"/>
  <c r="BL253" i="12" s="1"/>
  <c r="W254" i="12"/>
  <c r="BL254" i="12" s="1"/>
  <c r="W255" i="12"/>
  <c r="BL255" i="12" s="1"/>
  <c r="W256" i="12"/>
  <c r="BL256" i="12" s="1"/>
  <c r="W257" i="12"/>
  <c r="BL257" i="12" s="1"/>
  <c r="W258" i="12"/>
  <c r="BL258" i="12" s="1"/>
  <c r="W259" i="12"/>
  <c r="BL259" i="12" s="1"/>
  <c r="W260" i="12"/>
  <c r="BL260" i="12" s="1"/>
  <c r="W261" i="12"/>
  <c r="BL261" i="12" s="1"/>
  <c r="W262" i="12"/>
  <c r="BL262" i="12" s="1"/>
  <c r="W263" i="12"/>
  <c r="BL263" i="12" s="1"/>
  <c r="W264" i="12"/>
  <c r="BL264" i="12" s="1"/>
  <c r="W265" i="12"/>
  <c r="BL265" i="12" s="1"/>
  <c r="W266" i="12"/>
  <c r="BL266" i="12" s="1"/>
  <c r="W267" i="12"/>
  <c r="BL267" i="12" s="1"/>
  <c r="W268" i="12"/>
  <c r="BL268" i="12" s="1"/>
  <c r="W269" i="12"/>
  <c r="BL269" i="12" s="1"/>
  <c r="W270" i="12"/>
  <c r="BL270" i="12" s="1"/>
  <c r="W271" i="12"/>
  <c r="BL271" i="12" s="1"/>
  <c r="W272" i="12"/>
  <c r="BL272" i="12" s="1"/>
  <c r="W273" i="12"/>
  <c r="BL273" i="12" s="1"/>
  <c r="W274" i="12"/>
  <c r="BL274" i="12" s="1"/>
  <c r="W275" i="12"/>
  <c r="BL275" i="12" s="1"/>
  <c r="W276" i="12"/>
  <c r="BL276" i="12" s="1"/>
  <c r="W277" i="12"/>
  <c r="BL277" i="12" s="1"/>
  <c r="W278" i="12"/>
  <c r="BL278" i="12" s="1"/>
  <c r="W279" i="12"/>
  <c r="BL279" i="12" s="1"/>
  <c r="W280" i="12"/>
  <c r="BL280" i="12" s="1"/>
  <c r="W281" i="12"/>
  <c r="BL281" i="12" s="1"/>
  <c r="W282" i="12"/>
  <c r="BL282" i="12" s="1"/>
  <c r="W283" i="12"/>
  <c r="BL283" i="12" s="1"/>
  <c r="W284" i="12"/>
  <c r="BL284" i="12" s="1"/>
  <c r="W285" i="12"/>
  <c r="BL285" i="12" s="1"/>
  <c r="W286" i="12"/>
  <c r="BL286" i="12" s="1"/>
  <c r="W287" i="12"/>
  <c r="BL287" i="12" s="1"/>
  <c r="W288" i="12"/>
  <c r="BL288" i="12" s="1"/>
  <c r="W289" i="12"/>
  <c r="BL289" i="12" s="1"/>
  <c r="W290" i="12"/>
  <c r="BL290" i="12" s="1"/>
  <c r="W291" i="12"/>
  <c r="BL291" i="12" s="1"/>
  <c r="W292" i="12"/>
  <c r="BL292" i="12" s="1"/>
  <c r="W293" i="12"/>
  <c r="BL293" i="12" s="1"/>
  <c r="W294" i="12"/>
  <c r="BL294" i="12" s="1"/>
  <c r="W295" i="12"/>
  <c r="BL295" i="12" s="1"/>
  <c r="W296" i="12"/>
  <c r="BL296" i="12" s="1"/>
  <c r="W297" i="12"/>
  <c r="BL297" i="12" s="1"/>
  <c r="W298" i="12"/>
  <c r="BL298" i="12" s="1"/>
  <c r="W299" i="12"/>
  <c r="BL299" i="12" s="1"/>
  <c r="W300" i="12"/>
  <c r="BL300" i="12" s="1"/>
  <c r="W301" i="12"/>
  <c r="BL301" i="12" s="1"/>
  <c r="W302" i="12"/>
  <c r="BL302" i="12" s="1"/>
  <c r="W303" i="12"/>
  <c r="BL303" i="12" s="1"/>
  <c r="W304" i="12"/>
  <c r="BL304" i="12" s="1"/>
  <c r="W305" i="12"/>
  <c r="BL305" i="12" s="1"/>
  <c r="W306" i="12"/>
  <c r="BL306" i="12" s="1"/>
  <c r="W307" i="12"/>
  <c r="BL307" i="12" s="1"/>
  <c r="W308" i="12"/>
  <c r="BL308" i="12" s="1"/>
  <c r="W309" i="12"/>
  <c r="BL309" i="12" s="1"/>
  <c r="W310" i="12"/>
  <c r="BL310" i="12" s="1"/>
  <c r="W311" i="12"/>
  <c r="BL311" i="12" s="1"/>
  <c r="W312" i="12"/>
  <c r="BL312" i="12" s="1"/>
  <c r="W313" i="12"/>
  <c r="BL313" i="12" s="1"/>
  <c r="W314" i="12"/>
  <c r="BL314" i="12" s="1"/>
  <c r="W315" i="12"/>
  <c r="BL315" i="12" s="1"/>
  <c r="W316" i="12"/>
  <c r="BL316" i="12" s="1"/>
  <c r="W317" i="12"/>
  <c r="BL317" i="12" s="1"/>
  <c r="W318" i="12"/>
  <c r="BL318" i="12" s="1"/>
  <c r="W319" i="12"/>
  <c r="BL319" i="12" s="1"/>
  <c r="W320" i="12"/>
  <c r="BL320" i="12" s="1"/>
  <c r="W321" i="12"/>
  <c r="BL321" i="12" s="1"/>
  <c r="W322" i="12"/>
  <c r="BL322" i="12" s="1"/>
  <c r="W323" i="12"/>
  <c r="BL323" i="12" s="1"/>
  <c r="W324" i="12"/>
  <c r="BL324" i="12" s="1"/>
  <c r="W325" i="12"/>
  <c r="BL325" i="12" s="1"/>
  <c r="W326" i="12"/>
  <c r="BL326" i="12" s="1"/>
  <c r="W327" i="12"/>
  <c r="BL327" i="12" s="1"/>
  <c r="W328" i="12"/>
  <c r="BL328" i="12" s="1"/>
  <c r="W329" i="12"/>
  <c r="BL329" i="12" s="1"/>
  <c r="W330" i="12"/>
  <c r="BL330" i="12" s="1"/>
  <c r="W331" i="12"/>
  <c r="BL331" i="12" s="1"/>
  <c r="W332" i="12"/>
  <c r="BL332" i="12" s="1"/>
  <c r="W333" i="12"/>
  <c r="BL333" i="12" s="1"/>
  <c r="W334" i="12"/>
  <c r="BL334" i="12" s="1"/>
  <c r="W335" i="12"/>
  <c r="BL335" i="12" s="1"/>
  <c r="W336" i="12"/>
  <c r="BL336" i="12" s="1"/>
  <c r="W337" i="12"/>
  <c r="BL337" i="12" s="1"/>
  <c r="W338" i="12"/>
  <c r="BL338" i="12" s="1"/>
  <c r="W339" i="12"/>
  <c r="BL339" i="12" s="1"/>
  <c r="W340" i="12"/>
  <c r="BL340" i="12" s="1"/>
  <c r="W341" i="12"/>
  <c r="BL341" i="12" s="1"/>
  <c r="W342" i="12"/>
  <c r="BL342" i="12" s="1"/>
  <c r="W343" i="12"/>
  <c r="BL343" i="12" s="1"/>
  <c r="W344" i="12"/>
  <c r="BL344" i="12" s="1"/>
  <c r="W345" i="12"/>
  <c r="BL345" i="12" s="1"/>
  <c r="W346" i="12"/>
  <c r="BL346" i="12" s="1"/>
  <c r="W347" i="12"/>
  <c r="BL347" i="12" s="1"/>
  <c r="W348" i="12"/>
  <c r="BL348" i="12" s="1"/>
  <c r="W349" i="12"/>
  <c r="BL349" i="12" s="1"/>
  <c r="W350" i="12"/>
  <c r="BL350" i="12" s="1"/>
  <c r="W351" i="12"/>
  <c r="BL351" i="12" s="1"/>
  <c r="W352" i="12"/>
  <c r="BL352" i="12" s="1"/>
  <c r="W353" i="12"/>
  <c r="BL353" i="12" s="1"/>
  <c r="W354" i="12"/>
  <c r="BL354" i="12" s="1"/>
  <c r="W355" i="12"/>
  <c r="BL355" i="12" s="1"/>
  <c r="W356" i="12"/>
  <c r="BL356" i="12" s="1"/>
  <c r="W357" i="12"/>
  <c r="BL357" i="12" s="1"/>
  <c r="W358" i="12"/>
  <c r="BL358" i="12" s="1"/>
  <c r="W359" i="12"/>
  <c r="BL359" i="12" s="1"/>
  <c r="W360" i="12"/>
  <c r="BL360" i="12" s="1"/>
  <c r="W361" i="12"/>
  <c r="BL361" i="12" s="1"/>
  <c r="W362" i="12"/>
  <c r="BL362" i="12" s="1"/>
  <c r="W363" i="12"/>
  <c r="BL363" i="12" s="1"/>
  <c r="W364" i="12"/>
  <c r="BL364" i="12" s="1"/>
  <c r="W365" i="12"/>
  <c r="BL365" i="12" s="1"/>
  <c r="W366" i="12"/>
  <c r="BL366" i="12" s="1"/>
  <c r="W367" i="12"/>
  <c r="BL367" i="12" s="1"/>
  <c r="W368" i="12"/>
  <c r="BL368" i="12" s="1"/>
  <c r="W369" i="12"/>
  <c r="BL369" i="12" s="1"/>
  <c r="W370" i="12"/>
  <c r="BL370" i="12" s="1"/>
  <c r="W371" i="12"/>
  <c r="BL371" i="12" s="1"/>
  <c r="W372" i="12"/>
  <c r="BL372" i="12" s="1"/>
  <c r="W373" i="12"/>
  <c r="BL373" i="12" s="1"/>
  <c r="W374" i="12"/>
  <c r="BL374" i="12" s="1"/>
  <c r="W375" i="12"/>
  <c r="BL375" i="12" s="1"/>
  <c r="W9" i="12"/>
  <c r="BL9" i="12" s="1"/>
  <c r="U10" i="12"/>
  <c r="BI10" i="12" s="1"/>
  <c r="U11" i="12"/>
  <c r="U12" i="12"/>
  <c r="U13" i="12"/>
  <c r="U14" i="12"/>
  <c r="BI14" i="12" s="1"/>
  <c r="U15" i="12"/>
  <c r="U16" i="12"/>
  <c r="U17" i="12"/>
  <c r="U18" i="12"/>
  <c r="BI18" i="12" s="1"/>
  <c r="U19" i="12"/>
  <c r="U20" i="12"/>
  <c r="BI20" i="12" s="1"/>
  <c r="U21" i="12"/>
  <c r="U22" i="12"/>
  <c r="U23" i="12"/>
  <c r="U24" i="12"/>
  <c r="U25" i="12"/>
  <c r="U26" i="12"/>
  <c r="U27" i="12"/>
  <c r="U28" i="12"/>
  <c r="U29" i="12"/>
  <c r="U30" i="12"/>
  <c r="BI30" i="12" s="1"/>
  <c r="U31" i="12"/>
  <c r="U32" i="12"/>
  <c r="U33" i="12"/>
  <c r="U34" i="12"/>
  <c r="BI34" i="12" s="1"/>
  <c r="U35" i="12"/>
  <c r="U36" i="12"/>
  <c r="BI36" i="12" s="1"/>
  <c r="U37" i="12"/>
  <c r="U38" i="12"/>
  <c r="U39" i="12"/>
  <c r="U40" i="12"/>
  <c r="U41" i="12"/>
  <c r="U42" i="12"/>
  <c r="U43" i="12"/>
  <c r="U44" i="12"/>
  <c r="U45" i="12"/>
  <c r="U46" i="12"/>
  <c r="BI46" i="12" s="1"/>
  <c r="U47" i="12"/>
  <c r="U48" i="12"/>
  <c r="U49" i="12"/>
  <c r="U50" i="12"/>
  <c r="BI50" i="12" s="1"/>
  <c r="U51" i="12"/>
  <c r="U52" i="12"/>
  <c r="BI52" i="12" s="1"/>
  <c r="U53" i="12"/>
  <c r="U54" i="12"/>
  <c r="U55" i="12"/>
  <c r="U56" i="12"/>
  <c r="U57" i="12"/>
  <c r="U58" i="12"/>
  <c r="U59" i="12"/>
  <c r="U60" i="12"/>
  <c r="U61" i="12"/>
  <c r="U62" i="12"/>
  <c r="BI62" i="12" s="1"/>
  <c r="U63" i="12"/>
  <c r="U64" i="12"/>
  <c r="U65" i="12"/>
  <c r="U66" i="12"/>
  <c r="BI66" i="12" s="1"/>
  <c r="U67" i="12"/>
  <c r="U68" i="12"/>
  <c r="BI68" i="12" s="1"/>
  <c r="U69" i="12"/>
  <c r="U70" i="12"/>
  <c r="U71" i="12"/>
  <c r="U72" i="12"/>
  <c r="U73" i="12"/>
  <c r="U74" i="12"/>
  <c r="U75" i="12"/>
  <c r="U76" i="12"/>
  <c r="U77" i="12"/>
  <c r="U78" i="12"/>
  <c r="BI78" i="12" s="1"/>
  <c r="U79" i="12"/>
  <c r="U80" i="12"/>
  <c r="U81" i="12"/>
  <c r="U82" i="12"/>
  <c r="BI82" i="12" s="1"/>
  <c r="U83" i="12"/>
  <c r="U84" i="12"/>
  <c r="BI84" i="12" s="1"/>
  <c r="U85" i="12"/>
  <c r="U86" i="12"/>
  <c r="U87" i="12"/>
  <c r="U88" i="12"/>
  <c r="U89" i="12"/>
  <c r="U90" i="12"/>
  <c r="U91" i="12"/>
  <c r="U92" i="12"/>
  <c r="U93" i="12"/>
  <c r="U94" i="12"/>
  <c r="BI94" i="12" s="1"/>
  <c r="U95" i="12"/>
  <c r="U96" i="12"/>
  <c r="U97" i="12"/>
  <c r="U98" i="12"/>
  <c r="BI98" i="12" s="1"/>
  <c r="U99" i="12"/>
  <c r="U100" i="12"/>
  <c r="BI100" i="12" s="1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BI233" i="12" s="1"/>
  <c r="U234" i="12"/>
  <c r="AB235" i="12" s="1"/>
  <c r="BJ235" i="12" s="1"/>
  <c r="U235" i="12"/>
  <c r="BI235" i="12" s="1"/>
  <c r="U236" i="12"/>
  <c r="U237" i="12"/>
  <c r="BI237" i="12" s="1"/>
  <c r="U238" i="12"/>
  <c r="U239" i="12"/>
  <c r="BI239" i="12" s="1"/>
  <c r="U240" i="12"/>
  <c r="U241" i="12"/>
  <c r="BI241" i="12" s="1"/>
  <c r="U242" i="12"/>
  <c r="U243" i="12"/>
  <c r="BI243" i="12" s="1"/>
  <c r="U244" i="12"/>
  <c r="U245" i="12"/>
  <c r="BI245" i="12" s="1"/>
  <c r="U246" i="12"/>
  <c r="U247" i="12"/>
  <c r="BI247" i="12" s="1"/>
  <c r="U248" i="12"/>
  <c r="U249" i="12"/>
  <c r="BI249" i="12" s="1"/>
  <c r="U250" i="12"/>
  <c r="AB251" i="12" s="1"/>
  <c r="BJ251" i="12" s="1"/>
  <c r="U251" i="12"/>
  <c r="BI251" i="12" s="1"/>
  <c r="U252" i="12"/>
  <c r="U253" i="12"/>
  <c r="BI253" i="12" s="1"/>
  <c r="U254" i="12"/>
  <c r="U255" i="12"/>
  <c r="BI255" i="12" s="1"/>
  <c r="U256" i="12"/>
  <c r="U257" i="12"/>
  <c r="BI257" i="12" s="1"/>
  <c r="U258" i="12"/>
  <c r="U259" i="12"/>
  <c r="BI259" i="12" s="1"/>
  <c r="U260" i="12"/>
  <c r="U261" i="12"/>
  <c r="BI261" i="12" s="1"/>
  <c r="U262" i="12"/>
  <c r="U263" i="12"/>
  <c r="BI263" i="12" s="1"/>
  <c r="U264" i="12"/>
  <c r="U265" i="12"/>
  <c r="BI265" i="12" s="1"/>
  <c r="U266" i="12"/>
  <c r="AB267" i="12" s="1"/>
  <c r="BJ267" i="12" s="1"/>
  <c r="U267" i="12"/>
  <c r="BI267" i="12" s="1"/>
  <c r="U268" i="12"/>
  <c r="U269" i="12"/>
  <c r="BI269" i="12" s="1"/>
  <c r="U270" i="12"/>
  <c r="U271" i="12"/>
  <c r="BI271" i="12" s="1"/>
  <c r="U272" i="12"/>
  <c r="U273" i="12"/>
  <c r="BI273" i="12" s="1"/>
  <c r="U274" i="12"/>
  <c r="U275" i="12"/>
  <c r="BI275" i="12" s="1"/>
  <c r="U276" i="12"/>
  <c r="U277" i="12"/>
  <c r="BI277" i="12" s="1"/>
  <c r="U278" i="12"/>
  <c r="U279" i="12"/>
  <c r="BI279" i="12" s="1"/>
  <c r="U280" i="12"/>
  <c r="U281" i="12"/>
  <c r="BI281" i="12" s="1"/>
  <c r="U282" i="12"/>
  <c r="BI282" i="12" s="1"/>
  <c r="U283" i="12"/>
  <c r="BI283" i="12" s="1"/>
  <c r="U284" i="12"/>
  <c r="BI284" i="12" s="1"/>
  <c r="U285" i="12"/>
  <c r="BI285" i="12" s="1"/>
  <c r="U286" i="12"/>
  <c r="BI286" i="12" s="1"/>
  <c r="U287" i="12"/>
  <c r="BI287" i="12" s="1"/>
  <c r="U288" i="12"/>
  <c r="BI288" i="12" s="1"/>
  <c r="U289" i="12"/>
  <c r="BI289" i="12" s="1"/>
  <c r="U290" i="12"/>
  <c r="BI290" i="12" s="1"/>
  <c r="U291" i="12"/>
  <c r="BI291" i="12" s="1"/>
  <c r="U292" i="12"/>
  <c r="BI292" i="12" s="1"/>
  <c r="U293" i="12"/>
  <c r="BI293" i="12" s="1"/>
  <c r="U294" i="12"/>
  <c r="BI294" i="12" s="1"/>
  <c r="U295" i="12"/>
  <c r="BI295" i="12" s="1"/>
  <c r="U296" i="12"/>
  <c r="BI296" i="12" s="1"/>
  <c r="U297" i="12"/>
  <c r="BI297" i="12" s="1"/>
  <c r="U298" i="12"/>
  <c r="BI298" i="12" s="1"/>
  <c r="U299" i="12"/>
  <c r="BI299" i="12" s="1"/>
  <c r="U300" i="12"/>
  <c r="BI300" i="12" s="1"/>
  <c r="U301" i="12"/>
  <c r="BI301" i="12" s="1"/>
  <c r="U302" i="12"/>
  <c r="BI302" i="12" s="1"/>
  <c r="U303" i="12"/>
  <c r="BI303" i="12" s="1"/>
  <c r="U304" i="12"/>
  <c r="BI304" i="12" s="1"/>
  <c r="U305" i="12"/>
  <c r="BI305" i="12" s="1"/>
  <c r="U306" i="12"/>
  <c r="BI306" i="12" s="1"/>
  <c r="U307" i="12"/>
  <c r="BI307" i="12" s="1"/>
  <c r="U308" i="12"/>
  <c r="BI308" i="12" s="1"/>
  <c r="U309" i="12"/>
  <c r="BI309" i="12" s="1"/>
  <c r="U310" i="12"/>
  <c r="BI310" i="12" s="1"/>
  <c r="U311" i="12"/>
  <c r="BI311" i="12" s="1"/>
  <c r="U312" i="12"/>
  <c r="BI312" i="12" s="1"/>
  <c r="U313" i="12"/>
  <c r="BI313" i="12" s="1"/>
  <c r="U314" i="12"/>
  <c r="BI314" i="12" s="1"/>
  <c r="U315" i="12"/>
  <c r="BI315" i="12" s="1"/>
  <c r="U316" i="12"/>
  <c r="BI316" i="12" s="1"/>
  <c r="U317" i="12"/>
  <c r="BI317" i="12" s="1"/>
  <c r="U318" i="12"/>
  <c r="BI318" i="12" s="1"/>
  <c r="U319" i="12"/>
  <c r="BI319" i="12" s="1"/>
  <c r="U320" i="12"/>
  <c r="BI320" i="12" s="1"/>
  <c r="U321" i="12"/>
  <c r="BI321" i="12" s="1"/>
  <c r="U322" i="12"/>
  <c r="BI322" i="12" s="1"/>
  <c r="U323" i="12"/>
  <c r="BI323" i="12" s="1"/>
  <c r="U324" i="12"/>
  <c r="BI324" i="12" s="1"/>
  <c r="U325" i="12"/>
  <c r="BI325" i="12" s="1"/>
  <c r="U326" i="12"/>
  <c r="BI326" i="12" s="1"/>
  <c r="U327" i="12"/>
  <c r="BI327" i="12" s="1"/>
  <c r="U328" i="12"/>
  <c r="BI328" i="12" s="1"/>
  <c r="U329" i="12"/>
  <c r="BI329" i="12" s="1"/>
  <c r="U330" i="12"/>
  <c r="BI330" i="12" s="1"/>
  <c r="U331" i="12"/>
  <c r="BI331" i="12" s="1"/>
  <c r="U332" i="12"/>
  <c r="BI332" i="12" s="1"/>
  <c r="U333" i="12"/>
  <c r="BI333" i="12" s="1"/>
  <c r="U334" i="12"/>
  <c r="BI334" i="12" s="1"/>
  <c r="U335" i="12"/>
  <c r="BI335" i="12" s="1"/>
  <c r="U336" i="12"/>
  <c r="BI336" i="12" s="1"/>
  <c r="U337" i="12"/>
  <c r="BI337" i="12" s="1"/>
  <c r="U338" i="12"/>
  <c r="BI338" i="12" s="1"/>
  <c r="U339" i="12"/>
  <c r="BI339" i="12" s="1"/>
  <c r="U340" i="12"/>
  <c r="BI340" i="12" s="1"/>
  <c r="U341" i="12"/>
  <c r="BI341" i="12" s="1"/>
  <c r="U342" i="12"/>
  <c r="BI342" i="12" s="1"/>
  <c r="U343" i="12"/>
  <c r="BI343" i="12" s="1"/>
  <c r="U344" i="12"/>
  <c r="BI344" i="12" s="1"/>
  <c r="U345" i="12"/>
  <c r="BI345" i="12" s="1"/>
  <c r="U346" i="12"/>
  <c r="BI346" i="12" s="1"/>
  <c r="U347" i="12"/>
  <c r="BI347" i="12" s="1"/>
  <c r="U348" i="12"/>
  <c r="BI348" i="12" s="1"/>
  <c r="U349" i="12"/>
  <c r="BI349" i="12" s="1"/>
  <c r="U350" i="12"/>
  <c r="BI350" i="12" s="1"/>
  <c r="U351" i="12"/>
  <c r="BI351" i="12" s="1"/>
  <c r="U352" i="12"/>
  <c r="BI352" i="12" s="1"/>
  <c r="U353" i="12"/>
  <c r="BI353" i="12" s="1"/>
  <c r="U354" i="12"/>
  <c r="BI354" i="12" s="1"/>
  <c r="U355" i="12"/>
  <c r="BI355" i="12" s="1"/>
  <c r="U356" i="12"/>
  <c r="BI356" i="12" s="1"/>
  <c r="U357" i="12"/>
  <c r="BI357" i="12" s="1"/>
  <c r="U358" i="12"/>
  <c r="BI358" i="12" s="1"/>
  <c r="U359" i="12"/>
  <c r="BI359" i="12" s="1"/>
  <c r="U360" i="12"/>
  <c r="BI360" i="12" s="1"/>
  <c r="U361" i="12"/>
  <c r="BI361" i="12" s="1"/>
  <c r="U362" i="12"/>
  <c r="BI362" i="12" s="1"/>
  <c r="U363" i="12"/>
  <c r="BI363" i="12" s="1"/>
  <c r="U364" i="12"/>
  <c r="BI364" i="12" s="1"/>
  <c r="U365" i="12"/>
  <c r="BI365" i="12" s="1"/>
  <c r="U366" i="12"/>
  <c r="BI366" i="12" s="1"/>
  <c r="U367" i="12"/>
  <c r="BI367" i="12" s="1"/>
  <c r="U368" i="12"/>
  <c r="BI368" i="12" s="1"/>
  <c r="U369" i="12"/>
  <c r="BI369" i="12" s="1"/>
  <c r="U370" i="12"/>
  <c r="BI370" i="12" s="1"/>
  <c r="U371" i="12"/>
  <c r="BI371" i="12" s="1"/>
  <c r="U372" i="12"/>
  <c r="BI372" i="12" s="1"/>
  <c r="U373" i="12"/>
  <c r="BI373" i="12" s="1"/>
  <c r="U374" i="12"/>
  <c r="BI374" i="12" s="1"/>
  <c r="U375" i="12"/>
  <c r="BI375" i="12" s="1"/>
  <c r="U9" i="12"/>
  <c r="BI9" i="12" s="1"/>
  <c r="S10" i="12"/>
  <c r="BF10" i="12" s="1"/>
  <c r="S11" i="12"/>
  <c r="BF11" i="12" s="1"/>
  <c r="S12" i="12"/>
  <c r="BF12" i="12" s="1"/>
  <c r="S13" i="12"/>
  <c r="S14" i="12"/>
  <c r="S15" i="12"/>
  <c r="S16" i="12"/>
  <c r="BF16" i="12" s="1"/>
  <c r="S17" i="12"/>
  <c r="S18" i="12"/>
  <c r="BF18" i="12" s="1"/>
  <c r="S19" i="12"/>
  <c r="S20" i="12"/>
  <c r="S21" i="12"/>
  <c r="BF21" i="12" s="1"/>
  <c r="S22" i="12"/>
  <c r="S23" i="12"/>
  <c r="S24" i="12"/>
  <c r="S25" i="12"/>
  <c r="BF25" i="12" s="1"/>
  <c r="S26" i="12"/>
  <c r="S27" i="12"/>
  <c r="BF27" i="12" s="1"/>
  <c r="S28" i="12"/>
  <c r="BF28" i="12" s="1"/>
  <c r="S29" i="12"/>
  <c r="S30" i="12"/>
  <c r="S31" i="12"/>
  <c r="S32" i="12"/>
  <c r="BF32" i="12" s="1"/>
  <c r="S33" i="12"/>
  <c r="S34" i="12"/>
  <c r="BF34" i="12" s="1"/>
  <c r="S35" i="12"/>
  <c r="S36" i="12"/>
  <c r="S37" i="12"/>
  <c r="BF37" i="12" s="1"/>
  <c r="S38" i="12"/>
  <c r="S39" i="12"/>
  <c r="S40" i="12"/>
  <c r="S41" i="12"/>
  <c r="BF41" i="12" s="1"/>
  <c r="S42" i="12"/>
  <c r="S43" i="12"/>
  <c r="BF43" i="12" s="1"/>
  <c r="S44" i="12"/>
  <c r="BF44" i="12" s="1"/>
  <c r="S45" i="12"/>
  <c r="S46" i="12"/>
  <c r="S47" i="12"/>
  <c r="S48" i="12"/>
  <c r="BF48" i="12" s="1"/>
  <c r="S49" i="12"/>
  <c r="S50" i="12"/>
  <c r="BF50" i="12" s="1"/>
  <c r="S51" i="12"/>
  <c r="S52" i="12"/>
  <c r="S53" i="12"/>
  <c r="BF53" i="12" s="1"/>
  <c r="S54" i="12"/>
  <c r="S55" i="12"/>
  <c r="S56" i="12"/>
  <c r="S57" i="12"/>
  <c r="BF57" i="12" s="1"/>
  <c r="S58" i="12"/>
  <c r="S59" i="12"/>
  <c r="BF59" i="12" s="1"/>
  <c r="S60" i="12"/>
  <c r="BF60" i="12" s="1"/>
  <c r="S61" i="12"/>
  <c r="S62" i="12"/>
  <c r="S63" i="12"/>
  <c r="S64" i="12"/>
  <c r="BF64" i="12" s="1"/>
  <c r="S65" i="12"/>
  <c r="S66" i="12"/>
  <c r="BF66" i="12" s="1"/>
  <c r="S67" i="12"/>
  <c r="S68" i="12"/>
  <c r="S69" i="12"/>
  <c r="BF69" i="12" s="1"/>
  <c r="S70" i="12"/>
  <c r="S71" i="12"/>
  <c r="S72" i="12"/>
  <c r="S73" i="12"/>
  <c r="BF73" i="12" s="1"/>
  <c r="S74" i="12"/>
  <c r="S75" i="12"/>
  <c r="BF75" i="12" s="1"/>
  <c r="S76" i="12"/>
  <c r="BF76" i="12" s="1"/>
  <c r="S77" i="12"/>
  <c r="S78" i="12"/>
  <c r="S79" i="12"/>
  <c r="S80" i="12"/>
  <c r="BF80" i="12" s="1"/>
  <c r="S81" i="12"/>
  <c r="S82" i="12"/>
  <c r="BF82" i="12" s="1"/>
  <c r="S83" i="12"/>
  <c r="S84" i="12"/>
  <c r="S85" i="12"/>
  <c r="BF85" i="12" s="1"/>
  <c r="S86" i="12"/>
  <c r="S87" i="12"/>
  <c r="S88" i="12"/>
  <c r="S89" i="12"/>
  <c r="BF89" i="12" s="1"/>
  <c r="S90" i="12"/>
  <c r="S91" i="12"/>
  <c r="BF91" i="12" s="1"/>
  <c r="S92" i="12"/>
  <c r="BF92" i="12" s="1"/>
  <c r="S93" i="12"/>
  <c r="S94" i="12"/>
  <c r="S95" i="12"/>
  <c r="S96" i="12"/>
  <c r="BF96" i="12" s="1"/>
  <c r="S97" i="12"/>
  <c r="S98" i="12"/>
  <c r="BF98" i="12" s="1"/>
  <c r="S99" i="12"/>
  <c r="S100" i="12"/>
  <c r="S101" i="12"/>
  <c r="BF101" i="12" s="1"/>
  <c r="S102" i="12"/>
  <c r="S103" i="12"/>
  <c r="S104" i="12"/>
  <c r="S105" i="12"/>
  <c r="BF105" i="12" s="1"/>
  <c r="S106" i="12"/>
  <c r="S107" i="12"/>
  <c r="BF107" i="12" s="1"/>
  <c r="S108" i="12"/>
  <c r="S109" i="12"/>
  <c r="BF109" i="12" s="1"/>
  <c r="S110" i="12"/>
  <c r="S111" i="12"/>
  <c r="BF111" i="12" s="1"/>
  <c r="S112" i="12"/>
  <c r="S113" i="12"/>
  <c r="BF113" i="12" s="1"/>
  <c r="S114" i="12"/>
  <c r="S115" i="12"/>
  <c r="BF115" i="12" s="1"/>
  <c r="S116" i="12"/>
  <c r="S117" i="12"/>
  <c r="BF117" i="12" s="1"/>
  <c r="S118" i="12"/>
  <c r="S119" i="12"/>
  <c r="BF119" i="12" s="1"/>
  <c r="S120" i="12"/>
  <c r="S121" i="12"/>
  <c r="BF121" i="12" s="1"/>
  <c r="S122" i="12"/>
  <c r="S123" i="12"/>
  <c r="BF123" i="12" s="1"/>
  <c r="S124" i="12"/>
  <c r="S125" i="12"/>
  <c r="BF125" i="12" s="1"/>
  <c r="S126" i="12"/>
  <c r="S127" i="12"/>
  <c r="BF127" i="12" s="1"/>
  <c r="S128" i="12"/>
  <c r="S129" i="12"/>
  <c r="BF129" i="12" s="1"/>
  <c r="S130" i="12"/>
  <c r="S131" i="12"/>
  <c r="BF131" i="12" s="1"/>
  <c r="S132" i="12"/>
  <c r="S133" i="12"/>
  <c r="BF133" i="12" s="1"/>
  <c r="S134" i="12"/>
  <c r="S135" i="12"/>
  <c r="BF135" i="12" s="1"/>
  <c r="S136" i="12"/>
  <c r="S137" i="12"/>
  <c r="BF137" i="12" s="1"/>
  <c r="S138" i="12"/>
  <c r="S139" i="12"/>
  <c r="BF139" i="12" s="1"/>
  <c r="S140" i="12"/>
  <c r="S141" i="12"/>
  <c r="BF141" i="12" s="1"/>
  <c r="S142" i="12"/>
  <c r="S143" i="12"/>
  <c r="BF143" i="12" s="1"/>
  <c r="S144" i="12"/>
  <c r="S145" i="12"/>
  <c r="BF145" i="12" s="1"/>
  <c r="S146" i="12"/>
  <c r="S147" i="12"/>
  <c r="BF147" i="12" s="1"/>
  <c r="S148" i="12"/>
  <c r="S149" i="12"/>
  <c r="BF149" i="12" s="1"/>
  <c r="S150" i="12"/>
  <c r="S151" i="12"/>
  <c r="BF151" i="12" s="1"/>
  <c r="S152" i="12"/>
  <c r="S153" i="12"/>
  <c r="BF153" i="12" s="1"/>
  <c r="S154" i="12"/>
  <c r="S155" i="12"/>
  <c r="BF155" i="12" s="1"/>
  <c r="S156" i="12"/>
  <c r="S157" i="12"/>
  <c r="BF157" i="12" s="1"/>
  <c r="S158" i="12"/>
  <c r="S159" i="12"/>
  <c r="BF159" i="12" s="1"/>
  <c r="S160" i="12"/>
  <c r="S161" i="12"/>
  <c r="BF161" i="12" s="1"/>
  <c r="S162" i="12"/>
  <c r="S163" i="12"/>
  <c r="BF163" i="12" s="1"/>
  <c r="S164" i="12"/>
  <c r="BF164" i="12" s="1"/>
  <c r="S165" i="12"/>
  <c r="BF165" i="12" s="1"/>
  <c r="S166" i="12"/>
  <c r="BF166" i="12" s="1"/>
  <c r="S167" i="12"/>
  <c r="BF167" i="12" s="1"/>
  <c r="S168" i="12"/>
  <c r="BF168" i="12" s="1"/>
  <c r="S169" i="12"/>
  <c r="BF169" i="12" s="1"/>
  <c r="S170" i="12"/>
  <c r="BF170" i="12" s="1"/>
  <c r="S171" i="12"/>
  <c r="BF171" i="12" s="1"/>
  <c r="S172" i="12"/>
  <c r="BF172" i="12" s="1"/>
  <c r="S173" i="12"/>
  <c r="BF173" i="12" s="1"/>
  <c r="S174" i="12"/>
  <c r="BF174" i="12" s="1"/>
  <c r="S175" i="12"/>
  <c r="BF175" i="12" s="1"/>
  <c r="S176" i="12"/>
  <c r="BF176" i="12" s="1"/>
  <c r="S177" i="12"/>
  <c r="BF177" i="12" s="1"/>
  <c r="S178" i="12"/>
  <c r="BF178" i="12" s="1"/>
  <c r="S179" i="12"/>
  <c r="BF179" i="12" s="1"/>
  <c r="S180" i="12"/>
  <c r="BF180" i="12" s="1"/>
  <c r="S181" i="12"/>
  <c r="S182" i="12"/>
  <c r="BF182" i="12" s="1"/>
  <c r="S183" i="12"/>
  <c r="BF183" i="12" s="1"/>
  <c r="S184" i="12"/>
  <c r="BF184" i="12" s="1"/>
  <c r="S185" i="12"/>
  <c r="BF185" i="12" s="1"/>
  <c r="S186" i="12"/>
  <c r="BF186" i="12" s="1"/>
  <c r="S187" i="12"/>
  <c r="BF187" i="12" s="1"/>
  <c r="S188" i="12"/>
  <c r="BF188" i="12" s="1"/>
  <c r="S189" i="12"/>
  <c r="BF189" i="12" s="1"/>
  <c r="S190" i="12"/>
  <c r="BF190" i="12" s="1"/>
  <c r="S191" i="12"/>
  <c r="BF191" i="12" s="1"/>
  <c r="S192" i="12"/>
  <c r="BF192" i="12" s="1"/>
  <c r="S193" i="12"/>
  <c r="BF193" i="12" s="1"/>
  <c r="S194" i="12"/>
  <c r="BF194" i="12" s="1"/>
  <c r="S195" i="12"/>
  <c r="BF195" i="12" s="1"/>
  <c r="S196" i="12"/>
  <c r="BF196" i="12" s="1"/>
  <c r="S197" i="12"/>
  <c r="BF197" i="12" s="1"/>
  <c r="S198" i="12"/>
  <c r="BF198" i="12" s="1"/>
  <c r="S199" i="12"/>
  <c r="BF199" i="12" s="1"/>
  <c r="S200" i="12"/>
  <c r="BF200" i="12" s="1"/>
  <c r="S201" i="12"/>
  <c r="BF201" i="12" s="1"/>
  <c r="S202" i="12"/>
  <c r="BF202" i="12" s="1"/>
  <c r="S203" i="12"/>
  <c r="BF203" i="12" s="1"/>
  <c r="S204" i="12"/>
  <c r="BF204" i="12" s="1"/>
  <c r="S205" i="12"/>
  <c r="BF205" i="12" s="1"/>
  <c r="S206" i="12"/>
  <c r="BF206" i="12" s="1"/>
  <c r="S207" i="12"/>
  <c r="BF207" i="12" s="1"/>
  <c r="S208" i="12"/>
  <c r="BF208" i="12" s="1"/>
  <c r="S209" i="12"/>
  <c r="BF209" i="12" s="1"/>
  <c r="S210" i="12"/>
  <c r="BF210" i="12" s="1"/>
  <c r="S211" i="12"/>
  <c r="BF211" i="12" s="1"/>
  <c r="S212" i="12"/>
  <c r="BF212" i="12" s="1"/>
  <c r="S213" i="12"/>
  <c r="BF213" i="12" s="1"/>
  <c r="S214" i="12"/>
  <c r="BF214" i="12" s="1"/>
  <c r="S215" i="12"/>
  <c r="BF215" i="12" s="1"/>
  <c r="S216" i="12"/>
  <c r="BF216" i="12" s="1"/>
  <c r="S217" i="12"/>
  <c r="BF217" i="12" s="1"/>
  <c r="S218" i="12"/>
  <c r="BF218" i="12" s="1"/>
  <c r="S219" i="12"/>
  <c r="BF219" i="12" s="1"/>
  <c r="S220" i="12"/>
  <c r="BF220" i="12" s="1"/>
  <c r="S221" i="12"/>
  <c r="BF221" i="12" s="1"/>
  <c r="S222" i="12"/>
  <c r="BF222" i="12" s="1"/>
  <c r="S223" i="12"/>
  <c r="BF223" i="12" s="1"/>
  <c r="S224" i="12"/>
  <c r="BF224" i="12" s="1"/>
  <c r="S225" i="12"/>
  <c r="BF225" i="12" s="1"/>
  <c r="S226" i="12"/>
  <c r="BF226" i="12" s="1"/>
  <c r="S227" i="12"/>
  <c r="BF227" i="12" s="1"/>
  <c r="S228" i="12"/>
  <c r="BF228" i="12" s="1"/>
  <c r="S229" i="12"/>
  <c r="BF229" i="12" s="1"/>
  <c r="S230" i="12"/>
  <c r="BF230" i="12" s="1"/>
  <c r="S231" i="12"/>
  <c r="BF231" i="12" s="1"/>
  <c r="S232" i="12"/>
  <c r="BF232" i="12" s="1"/>
  <c r="S233" i="12"/>
  <c r="BF233" i="12" s="1"/>
  <c r="S234" i="12"/>
  <c r="BF234" i="12" s="1"/>
  <c r="S235" i="12"/>
  <c r="BF235" i="12" s="1"/>
  <c r="S236" i="12"/>
  <c r="BF236" i="12" s="1"/>
  <c r="S237" i="12"/>
  <c r="BF237" i="12" s="1"/>
  <c r="S238" i="12"/>
  <c r="BF238" i="12" s="1"/>
  <c r="S239" i="12"/>
  <c r="BF239" i="12" s="1"/>
  <c r="S240" i="12"/>
  <c r="BF240" i="12" s="1"/>
  <c r="S241" i="12"/>
  <c r="BF241" i="12" s="1"/>
  <c r="S242" i="12"/>
  <c r="BF242" i="12" s="1"/>
  <c r="S243" i="12"/>
  <c r="BF243" i="12" s="1"/>
  <c r="S244" i="12"/>
  <c r="BF244" i="12" s="1"/>
  <c r="S245" i="12"/>
  <c r="BF245" i="12" s="1"/>
  <c r="S246" i="12"/>
  <c r="BF246" i="12" s="1"/>
  <c r="S247" i="12"/>
  <c r="BF247" i="12" s="1"/>
  <c r="S248" i="12"/>
  <c r="BF248" i="12" s="1"/>
  <c r="S249" i="12"/>
  <c r="BF249" i="12" s="1"/>
  <c r="S250" i="12"/>
  <c r="BF250" i="12" s="1"/>
  <c r="S251" i="12"/>
  <c r="BF251" i="12" s="1"/>
  <c r="S252" i="12"/>
  <c r="BF252" i="12" s="1"/>
  <c r="S253" i="12"/>
  <c r="BF253" i="12" s="1"/>
  <c r="S254" i="12"/>
  <c r="BF254" i="12" s="1"/>
  <c r="S255" i="12"/>
  <c r="BF255" i="12" s="1"/>
  <c r="S256" i="12"/>
  <c r="BF256" i="12" s="1"/>
  <c r="S257" i="12"/>
  <c r="BF257" i="12" s="1"/>
  <c r="S258" i="12"/>
  <c r="BF258" i="12" s="1"/>
  <c r="S259" i="12"/>
  <c r="BF259" i="12" s="1"/>
  <c r="S260" i="12"/>
  <c r="BF260" i="12" s="1"/>
  <c r="S261" i="12"/>
  <c r="BF261" i="12" s="1"/>
  <c r="S262" i="12"/>
  <c r="BF262" i="12" s="1"/>
  <c r="S263" i="12"/>
  <c r="BF263" i="12" s="1"/>
  <c r="S264" i="12"/>
  <c r="BF264" i="12" s="1"/>
  <c r="S265" i="12"/>
  <c r="BF265" i="12" s="1"/>
  <c r="S266" i="12"/>
  <c r="BF266" i="12" s="1"/>
  <c r="S267" i="12"/>
  <c r="BF267" i="12" s="1"/>
  <c r="S268" i="12"/>
  <c r="BF268" i="12" s="1"/>
  <c r="S269" i="12"/>
  <c r="BF269" i="12" s="1"/>
  <c r="S270" i="12"/>
  <c r="BF270" i="12" s="1"/>
  <c r="S271" i="12"/>
  <c r="BF271" i="12" s="1"/>
  <c r="S272" i="12"/>
  <c r="BF272" i="12" s="1"/>
  <c r="S273" i="12"/>
  <c r="BF273" i="12" s="1"/>
  <c r="S274" i="12"/>
  <c r="BF274" i="12" s="1"/>
  <c r="S275" i="12"/>
  <c r="BF275" i="12" s="1"/>
  <c r="S276" i="12"/>
  <c r="BF276" i="12" s="1"/>
  <c r="S277" i="12"/>
  <c r="BF277" i="12" s="1"/>
  <c r="S278" i="12"/>
  <c r="BF278" i="12" s="1"/>
  <c r="S279" i="12"/>
  <c r="BF279" i="12" s="1"/>
  <c r="S280" i="12"/>
  <c r="BF280" i="12" s="1"/>
  <c r="S281" i="12"/>
  <c r="BF281" i="12" s="1"/>
  <c r="S282" i="12"/>
  <c r="BF282" i="12" s="1"/>
  <c r="S283" i="12"/>
  <c r="BF283" i="12" s="1"/>
  <c r="S284" i="12"/>
  <c r="BF284" i="12" s="1"/>
  <c r="S285" i="12"/>
  <c r="BF285" i="12" s="1"/>
  <c r="S286" i="12"/>
  <c r="BF286" i="12" s="1"/>
  <c r="S287" i="12"/>
  <c r="BF287" i="12" s="1"/>
  <c r="S288" i="12"/>
  <c r="BF288" i="12" s="1"/>
  <c r="S289" i="12"/>
  <c r="BF289" i="12" s="1"/>
  <c r="S290" i="12"/>
  <c r="BF290" i="12" s="1"/>
  <c r="S291" i="12"/>
  <c r="BF291" i="12" s="1"/>
  <c r="S292" i="12"/>
  <c r="BF292" i="12" s="1"/>
  <c r="S293" i="12"/>
  <c r="BF293" i="12" s="1"/>
  <c r="S294" i="12"/>
  <c r="BF294" i="12" s="1"/>
  <c r="S295" i="12"/>
  <c r="BF295" i="12" s="1"/>
  <c r="S296" i="12"/>
  <c r="BF296" i="12" s="1"/>
  <c r="S297" i="12"/>
  <c r="BF297" i="12" s="1"/>
  <c r="S298" i="12"/>
  <c r="BF298" i="12" s="1"/>
  <c r="S299" i="12"/>
  <c r="BF299" i="12" s="1"/>
  <c r="S300" i="12"/>
  <c r="BF300" i="12" s="1"/>
  <c r="S301" i="12"/>
  <c r="BF301" i="12" s="1"/>
  <c r="S302" i="12"/>
  <c r="BF302" i="12" s="1"/>
  <c r="S303" i="12"/>
  <c r="BF303" i="12" s="1"/>
  <c r="S304" i="12"/>
  <c r="BF304" i="12" s="1"/>
  <c r="S305" i="12"/>
  <c r="BF305" i="12" s="1"/>
  <c r="S306" i="12"/>
  <c r="BF306" i="12" s="1"/>
  <c r="S307" i="12"/>
  <c r="BF307" i="12" s="1"/>
  <c r="S308" i="12"/>
  <c r="BF308" i="12" s="1"/>
  <c r="S309" i="12"/>
  <c r="BF309" i="12" s="1"/>
  <c r="S310" i="12"/>
  <c r="BF310" i="12" s="1"/>
  <c r="S311" i="12"/>
  <c r="BF311" i="12" s="1"/>
  <c r="S312" i="12"/>
  <c r="BF312" i="12" s="1"/>
  <c r="S313" i="12"/>
  <c r="BF313" i="12" s="1"/>
  <c r="S314" i="12"/>
  <c r="BF314" i="12" s="1"/>
  <c r="S315" i="12"/>
  <c r="BF315" i="12" s="1"/>
  <c r="S316" i="12"/>
  <c r="BF316" i="12" s="1"/>
  <c r="S317" i="12"/>
  <c r="BF317" i="12" s="1"/>
  <c r="S318" i="12"/>
  <c r="BF318" i="12" s="1"/>
  <c r="S319" i="12"/>
  <c r="BF319" i="12" s="1"/>
  <c r="S320" i="12"/>
  <c r="BF320" i="12" s="1"/>
  <c r="S321" i="12"/>
  <c r="BF321" i="12" s="1"/>
  <c r="S322" i="12"/>
  <c r="BF322" i="12" s="1"/>
  <c r="S323" i="12"/>
  <c r="BF323" i="12" s="1"/>
  <c r="S324" i="12"/>
  <c r="BF324" i="12" s="1"/>
  <c r="S325" i="12"/>
  <c r="BF325" i="12" s="1"/>
  <c r="S326" i="12"/>
  <c r="BF326" i="12" s="1"/>
  <c r="S327" i="12"/>
  <c r="BF327" i="12" s="1"/>
  <c r="S328" i="12"/>
  <c r="BF328" i="12" s="1"/>
  <c r="S329" i="12"/>
  <c r="BF329" i="12" s="1"/>
  <c r="S330" i="12"/>
  <c r="BF330" i="12" s="1"/>
  <c r="S331" i="12"/>
  <c r="BF331" i="12" s="1"/>
  <c r="S332" i="12"/>
  <c r="BF332" i="12" s="1"/>
  <c r="S333" i="12"/>
  <c r="BF333" i="12" s="1"/>
  <c r="S334" i="12"/>
  <c r="BF334" i="12" s="1"/>
  <c r="S335" i="12"/>
  <c r="BF335" i="12" s="1"/>
  <c r="S336" i="12"/>
  <c r="BF336" i="12" s="1"/>
  <c r="S337" i="12"/>
  <c r="BF337" i="12" s="1"/>
  <c r="S338" i="12"/>
  <c r="BF338" i="12" s="1"/>
  <c r="S339" i="12"/>
  <c r="BF339" i="12" s="1"/>
  <c r="S340" i="12"/>
  <c r="BF340" i="12" s="1"/>
  <c r="S341" i="12"/>
  <c r="BF341" i="12" s="1"/>
  <c r="S342" i="12"/>
  <c r="BF342" i="12" s="1"/>
  <c r="S343" i="12"/>
  <c r="BF343" i="12" s="1"/>
  <c r="S344" i="12"/>
  <c r="BF344" i="12" s="1"/>
  <c r="S345" i="12"/>
  <c r="BF345" i="12" s="1"/>
  <c r="S346" i="12"/>
  <c r="BF346" i="12" s="1"/>
  <c r="S347" i="12"/>
  <c r="BF347" i="12" s="1"/>
  <c r="S348" i="12"/>
  <c r="BF348" i="12" s="1"/>
  <c r="S349" i="12"/>
  <c r="BF349" i="12" s="1"/>
  <c r="S350" i="12"/>
  <c r="BF350" i="12" s="1"/>
  <c r="S351" i="12"/>
  <c r="BF351" i="12" s="1"/>
  <c r="S352" i="12"/>
  <c r="BF352" i="12" s="1"/>
  <c r="S353" i="12"/>
  <c r="BF353" i="12" s="1"/>
  <c r="S354" i="12"/>
  <c r="BF354" i="12" s="1"/>
  <c r="S355" i="12"/>
  <c r="BF355" i="12" s="1"/>
  <c r="S356" i="12"/>
  <c r="BF356" i="12" s="1"/>
  <c r="S357" i="12"/>
  <c r="BF357" i="12" s="1"/>
  <c r="S358" i="12"/>
  <c r="BF358" i="12" s="1"/>
  <c r="S359" i="12"/>
  <c r="BF359" i="12" s="1"/>
  <c r="S360" i="12"/>
  <c r="BF360" i="12" s="1"/>
  <c r="S361" i="12"/>
  <c r="BF361" i="12" s="1"/>
  <c r="S362" i="12"/>
  <c r="BF362" i="12" s="1"/>
  <c r="S363" i="12"/>
  <c r="BF363" i="12" s="1"/>
  <c r="S364" i="12"/>
  <c r="BF364" i="12" s="1"/>
  <c r="S365" i="12"/>
  <c r="BF365" i="12" s="1"/>
  <c r="S366" i="12"/>
  <c r="BF366" i="12" s="1"/>
  <c r="S367" i="12"/>
  <c r="BF367" i="12" s="1"/>
  <c r="S368" i="12"/>
  <c r="BF368" i="12" s="1"/>
  <c r="S369" i="12"/>
  <c r="BF369" i="12" s="1"/>
  <c r="S370" i="12"/>
  <c r="BF370" i="12" s="1"/>
  <c r="S371" i="12"/>
  <c r="BF371" i="12" s="1"/>
  <c r="S372" i="12"/>
  <c r="BF372" i="12" s="1"/>
  <c r="S373" i="12"/>
  <c r="BF373" i="12" s="1"/>
  <c r="S374" i="12"/>
  <c r="BF374" i="12" s="1"/>
  <c r="S375" i="12"/>
  <c r="BF375" i="12" s="1"/>
  <c r="S9" i="12"/>
  <c r="BF9" i="12" s="1"/>
  <c r="AD264" i="7"/>
  <c r="AD263" i="7"/>
  <c r="J80" i="7"/>
  <c r="R80" i="7" s="1"/>
  <c r="J78" i="7"/>
  <c r="Q78" i="7" s="1"/>
  <c r="J76" i="7"/>
  <c r="M76" i="7" s="1"/>
  <c r="J71" i="7"/>
  <c r="R71" i="7" s="1"/>
  <c r="J67" i="7"/>
  <c r="R67" i="7" s="1"/>
  <c r="J69" i="7"/>
  <c r="M69" i="7" s="1"/>
  <c r="AC329" i="7"/>
  <c r="AF331" i="7"/>
  <c r="AE331" i="7"/>
  <c r="AD331" i="7"/>
  <c r="AC331" i="7"/>
  <c r="AB331" i="7"/>
  <c r="AA331" i="7"/>
  <c r="Y331" i="7"/>
  <c r="X331" i="7"/>
  <c r="W331" i="7"/>
  <c r="V331" i="7"/>
  <c r="U331" i="7"/>
  <c r="T331" i="7"/>
  <c r="AF330" i="7"/>
  <c r="AE330" i="7"/>
  <c r="AD330" i="7"/>
  <c r="AC330" i="7"/>
  <c r="AB330" i="7"/>
  <c r="AA330" i="7"/>
  <c r="Y330" i="7"/>
  <c r="X330" i="7"/>
  <c r="W330" i="7"/>
  <c r="V330" i="7"/>
  <c r="U330" i="7"/>
  <c r="T330" i="7"/>
  <c r="AF329" i="7"/>
  <c r="AE329" i="7"/>
  <c r="AD329" i="7"/>
  <c r="AB329" i="7"/>
  <c r="AA329" i="7"/>
  <c r="Y329" i="7"/>
  <c r="X329" i="7"/>
  <c r="W329" i="7"/>
  <c r="V329" i="7"/>
  <c r="U329" i="7"/>
  <c r="T329" i="7"/>
  <c r="AF328" i="7"/>
  <c r="AE328" i="7"/>
  <c r="AD328" i="7"/>
  <c r="AC328" i="7"/>
  <c r="AB328" i="7"/>
  <c r="AA328" i="7"/>
  <c r="Y328" i="7"/>
  <c r="X328" i="7"/>
  <c r="W328" i="7"/>
  <c r="V328" i="7"/>
  <c r="U328" i="7"/>
  <c r="T328" i="7"/>
  <c r="AF327" i="7"/>
  <c r="AE327" i="7"/>
  <c r="AD327" i="7"/>
  <c r="AC327" i="7"/>
  <c r="AB327" i="7"/>
  <c r="AA327" i="7"/>
  <c r="Y327" i="7"/>
  <c r="X327" i="7"/>
  <c r="W327" i="7"/>
  <c r="V327" i="7"/>
  <c r="U327" i="7"/>
  <c r="T327" i="7"/>
  <c r="AF326" i="7"/>
  <c r="AE326" i="7"/>
  <c r="AD326" i="7"/>
  <c r="AC326" i="7"/>
  <c r="AB326" i="7"/>
  <c r="AA326" i="7"/>
  <c r="Y326" i="7"/>
  <c r="X326" i="7"/>
  <c r="W326" i="7"/>
  <c r="V326" i="7"/>
  <c r="U326" i="7"/>
  <c r="T326" i="7"/>
  <c r="AB293" i="7"/>
  <c r="AF298" i="7"/>
  <c r="AE298" i="7"/>
  <c r="AD298" i="7"/>
  <c r="AC298" i="7"/>
  <c r="AB298" i="7"/>
  <c r="AA298" i="7"/>
  <c r="Y298" i="7"/>
  <c r="X298" i="7"/>
  <c r="W298" i="7"/>
  <c r="V298" i="7"/>
  <c r="U298" i="7"/>
  <c r="T298" i="7"/>
  <c r="AF297" i="7"/>
  <c r="AE297" i="7"/>
  <c r="AD297" i="7"/>
  <c r="AC297" i="7"/>
  <c r="AB297" i="7"/>
  <c r="AA297" i="7"/>
  <c r="Y297" i="7"/>
  <c r="X297" i="7"/>
  <c r="W297" i="7"/>
  <c r="V297" i="7"/>
  <c r="U297" i="7"/>
  <c r="T297" i="7"/>
  <c r="AF296" i="7"/>
  <c r="AE296" i="7"/>
  <c r="AD296" i="7"/>
  <c r="AC296" i="7"/>
  <c r="AB296" i="7"/>
  <c r="AA296" i="7"/>
  <c r="Y296" i="7"/>
  <c r="X296" i="7"/>
  <c r="W296" i="7"/>
  <c r="V296" i="7"/>
  <c r="U296" i="7"/>
  <c r="T296" i="7"/>
  <c r="AF295" i="7"/>
  <c r="AE295" i="7"/>
  <c r="AD295" i="7"/>
  <c r="AC295" i="7"/>
  <c r="AB295" i="7"/>
  <c r="AA295" i="7"/>
  <c r="Y295" i="7"/>
  <c r="X295" i="7"/>
  <c r="W295" i="7"/>
  <c r="V295" i="7"/>
  <c r="U295" i="7"/>
  <c r="T295" i="7"/>
  <c r="AF294" i="7"/>
  <c r="AE294" i="7"/>
  <c r="AD294" i="7"/>
  <c r="AC294" i="7"/>
  <c r="AB294" i="7"/>
  <c r="AA294" i="7"/>
  <c r="Y294" i="7"/>
  <c r="X294" i="7"/>
  <c r="W294" i="7"/>
  <c r="V294" i="7"/>
  <c r="U294" i="7"/>
  <c r="T294" i="7"/>
  <c r="AF293" i="7"/>
  <c r="AE293" i="7"/>
  <c r="AD293" i="7"/>
  <c r="AC293" i="7"/>
  <c r="AA293" i="7"/>
  <c r="Y293" i="7"/>
  <c r="X293" i="7"/>
  <c r="W293" i="7"/>
  <c r="V293" i="7"/>
  <c r="U293" i="7"/>
  <c r="T293" i="7"/>
  <c r="K239" i="7"/>
  <c r="K240" i="7"/>
  <c r="K241" i="7"/>
  <c r="K242" i="7"/>
  <c r="K243" i="7"/>
  <c r="K238" i="7"/>
  <c r="M237" i="7"/>
  <c r="N237" i="7"/>
  <c r="O237" i="7"/>
  <c r="P237" i="7"/>
  <c r="Q237" i="7"/>
  <c r="L237" i="7"/>
  <c r="AF264" i="7"/>
  <c r="S267" i="7"/>
  <c r="G32" i="7" l="1"/>
  <c r="AC336" i="12"/>
  <c r="BM336" i="12" s="1"/>
  <c r="AC320" i="12"/>
  <c r="BM320" i="12" s="1"/>
  <c r="AC288" i="12"/>
  <c r="BM288" i="12" s="1"/>
  <c r="AA181" i="12"/>
  <c r="BG181" i="12" s="1"/>
  <c r="AC304" i="12"/>
  <c r="BM304" i="12" s="1"/>
  <c r="AC176" i="12"/>
  <c r="BM176" i="12" s="1"/>
  <c r="AA258" i="12"/>
  <c r="BG258" i="12" s="1"/>
  <c r="AC368" i="12"/>
  <c r="BM368" i="12" s="1"/>
  <c r="AC352" i="12"/>
  <c r="BM352" i="12" s="1"/>
  <c r="AA143" i="12"/>
  <c r="BG143" i="12" s="1"/>
  <c r="AC342" i="12"/>
  <c r="BM342" i="12" s="1"/>
  <c r="AC86" i="12"/>
  <c r="BM86" i="12" s="1"/>
  <c r="AC264" i="12"/>
  <c r="BM264" i="12" s="1"/>
  <c r="AB239" i="12"/>
  <c r="BJ239" i="12" s="1"/>
  <c r="AA233" i="12"/>
  <c r="BG233" i="12" s="1"/>
  <c r="AC222" i="12"/>
  <c r="BM222" i="12" s="1"/>
  <c r="AC216" i="12"/>
  <c r="BM216" i="12" s="1"/>
  <c r="AA169" i="12"/>
  <c r="BG169" i="12" s="1"/>
  <c r="AA135" i="12"/>
  <c r="BG135" i="12" s="1"/>
  <c r="AB78" i="12"/>
  <c r="BJ78" i="12" s="1"/>
  <c r="AA193" i="12"/>
  <c r="BG193" i="12" s="1"/>
  <c r="AA367" i="12"/>
  <c r="BG367" i="12" s="1"/>
  <c r="AA361" i="12"/>
  <c r="BG361" i="12" s="1"/>
  <c r="AA351" i="12"/>
  <c r="BG351" i="12" s="1"/>
  <c r="AA345" i="12"/>
  <c r="BG345" i="12" s="1"/>
  <c r="AA335" i="12"/>
  <c r="BG335" i="12" s="1"/>
  <c r="AA329" i="12"/>
  <c r="BG329" i="12" s="1"/>
  <c r="AA319" i="12"/>
  <c r="BG319" i="12" s="1"/>
  <c r="AA313" i="12"/>
  <c r="BG313" i="12" s="1"/>
  <c r="AA303" i="12"/>
  <c r="BG303" i="12" s="1"/>
  <c r="AA297" i="12"/>
  <c r="BG297" i="12" s="1"/>
  <c r="AA287" i="12"/>
  <c r="BG287" i="12" s="1"/>
  <c r="AA281" i="12"/>
  <c r="BG281" i="12" s="1"/>
  <c r="AC269" i="12"/>
  <c r="BM269" i="12" s="1"/>
  <c r="AA209" i="12"/>
  <c r="BG209" i="12" s="1"/>
  <c r="AC198" i="12"/>
  <c r="BM198" i="12" s="1"/>
  <c r="AC192" i="12"/>
  <c r="BM192" i="12" s="1"/>
  <c r="AA127" i="12"/>
  <c r="BG127" i="12" s="1"/>
  <c r="AC13" i="12"/>
  <c r="BM13" i="12" s="1"/>
  <c r="AC310" i="12"/>
  <c r="BM310" i="12" s="1"/>
  <c r="AA274" i="12"/>
  <c r="BG274" i="12" s="1"/>
  <c r="AC232" i="12"/>
  <c r="BM232" i="12" s="1"/>
  <c r="AA185" i="12"/>
  <c r="BG185" i="12" s="1"/>
  <c r="AC174" i="12"/>
  <c r="BM174" i="12" s="1"/>
  <c r="AC168" i="12"/>
  <c r="BM168" i="12" s="1"/>
  <c r="AA119" i="12"/>
  <c r="BG119" i="12" s="1"/>
  <c r="AC54" i="12"/>
  <c r="BM54" i="12" s="1"/>
  <c r="AA41" i="12"/>
  <c r="BG41" i="12" s="1"/>
  <c r="AA34" i="12"/>
  <c r="BG34" i="12" s="1"/>
  <c r="AC374" i="12"/>
  <c r="BM374" i="12" s="1"/>
  <c r="AC182" i="12"/>
  <c r="BM182" i="12" s="1"/>
  <c r="AC366" i="12"/>
  <c r="BM366" i="12" s="1"/>
  <c r="AC360" i="12"/>
  <c r="BM360" i="12" s="1"/>
  <c r="AC350" i="12"/>
  <c r="BM350" i="12" s="1"/>
  <c r="AC344" i="12"/>
  <c r="BM344" i="12" s="1"/>
  <c r="AC334" i="12"/>
  <c r="BM334" i="12" s="1"/>
  <c r="AC328" i="12"/>
  <c r="BM328" i="12" s="1"/>
  <c r="AC318" i="12"/>
  <c r="BM318" i="12" s="1"/>
  <c r="AC312" i="12"/>
  <c r="BM312" i="12" s="1"/>
  <c r="AC302" i="12"/>
  <c r="BM302" i="12" s="1"/>
  <c r="AC296" i="12"/>
  <c r="BM296" i="12" s="1"/>
  <c r="AC286" i="12"/>
  <c r="BM286" i="12" s="1"/>
  <c r="AC280" i="12"/>
  <c r="BM280" i="12" s="1"/>
  <c r="AB255" i="12"/>
  <c r="BJ255" i="12" s="1"/>
  <c r="AA249" i="12"/>
  <c r="BG249" i="12" s="1"/>
  <c r="AC237" i="12"/>
  <c r="BM237" i="12" s="1"/>
  <c r="AA225" i="12"/>
  <c r="BG225" i="12" s="1"/>
  <c r="AC214" i="12"/>
  <c r="BM214" i="12" s="1"/>
  <c r="AC208" i="12"/>
  <c r="BM208" i="12" s="1"/>
  <c r="AA111" i="12"/>
  <c r="BG111" i="12" s="1"/>
  <c r="AA96" i="12"/>
  <c r="BG96" i="12" s="1"/>
  <c r="AB46" i="12"/>
  <c r="BJ46" i="12" s="1"/>
  <c r="AC326" i="12"/>
  <c r="BM326" i="12" s="1"/>
  <c r="AA242" i="12"/>
  <c r="BG242" i="12" s="1"/>
  <c r="AA201" i="12"/>
  <c r="BG201" i="12" s="1"/>
  <c r="AC190" i="12"/>
  <c r="BM190" i="12" s="1"/>
  <c r="AC184" i="12"/>
  <c r="BM184" i="12" s="1"/>
  <c r="AC294" i="12"/>
  <c r="BM294" i="12" s="1"/>
  <c r="AA375" i="12"/>
  <c r="BG375" i="12" s="1"/>
  <c r="AA369" i="12"/>
  <c r="BG369" i="12" s="1"/>
  <c r="AA359" i="12"/>
  <c r="BG359" i="12" s="1"/>
  <c r="AA353" i="12"/>
  <c r="BG353" i="12" s="1"/>
  <c r="AA343" i="12"/>
  <c r="BG343" i="12" s="1"/>
  <c r="AA337" i="12"/>
  <c r="BG337" i="12" s="1"/>
  <c r="AA327" i="12"/>
  <c r="BG327" i="12" s="1"/>
  <c r="AA321" i="12"/>
  <c r="BG321" i="12" s="1"/>
  <c r="AA311" i="12"/>
  <c r="BG311" i="12" s="1"/>
  <c r="AA305" i="12"/>
  <c r="BG305" i="12" s="1"/>
  <c r="AA295" i="12"/>
  <c r="BG295" i="12" s="1"/>
  <c r="AA289" i="12"/>
  <c r="BG289" i="12" s="1"/>
  <c r="AC248" i="12"/>
  <c r="BM248" i="12" s="1"/>
  <c r="AC230" i="12"/>
  <c r="BM230" i="12" s="1"/>
  <c r="AC224" i="12"/>
  <c r="BM224" i="12" s="1"/>
  <c r="AA177" i="12"/>
  <c r="BG177" i="12" s="1"/>
  <c r="AC166" i="12"/>
  <c r="BM166" i="12" s="1"/>
  <c r="AA159" i="12"/>
  <c r="BG159" i="12" s="1"/>
  <c r="AC87" i="12"/>
  <c r="BM87" i="12" s="1"/>
  <c r="AA66" i="12"/>
  <c r="BG66" i="12" s="1"/>
  <c r="AC45" i="12"/>
  <c r="BM45" i="12" s="1"/>
  <c r="AC16" i="12"/>
  <c r="BM16" i="12" s="1"/>
  <c r="AC358" i="12"/>
  <c r="BM358" i="12" s="1"/>
  <c r="AB271" i="12"/>
  <c r="BJ271" i="12" s="1"/>
  <c r="AA265" i="12"/>
  <c r="BG265" i="12" s="1"/>
  <c r="AC253" i="12"/>
  <c r="BM253" i="12" s="1"/>
  <c r="AA217" i="12"/>
  <c r="BG217" i="12" s="1"/>
  <c r="AC206" i="12"/>
  <c r="BM206" i="12" s="1"/>
  <c r="AC200" i="12"/>
  <c r="BM200" i="12" s="1"/>
  <c r="AA151" i="12"/>
  <c r="BG151" i="12" s="1"/>
  <c r="BF13" i="12"/>
  <c r="AA13" i="12"/>
  <c r="BG13" i="12" s="1"/>
  <c r="BI276" i="12"/>
  <c r="AB276" i="12"/>
  <c r="BJ276" i="12" s="1"/>
  <c r="BI252" i="12"/>
  <c r="AB252" i="12"/>
  <c r="BJ252" i="12" s="1"/>
  <c r="BI228" i="12"/>
  <c r="AB228" i="12"/>
  <c r="BJ228" i="12" s="1"/>
  <c r="BI196" i="12"/>
  <c r="AB196" i="12"/>
  <c r="BJ196" i="12" s="1"/>
  <c r="BI164" i="12"/>
  <c r="AB164" i="12"/>
  <c r="BJ164" i="12" s="1"/>
  <c r="BI132" i="12"/>
  <c r="AB132" i="12"/>
  <c r="BJ132" i="12" s="1"/>
  <c r="BI76" i="12"/>
  <c r="AB76" i="12"/>
  <c r="BJ76" i="12" s="1"/>
  <c r="BI60" i="12"/>
  <c r="AB60" i="12"/>
  <c r="BJ60" i="12" s="1"/>
  <c r="BI28" i="12"/>
  <c r="AB28" i="12"/>
  <c r="BJ28" i="12" s="1"/>
  <c r="BI12" i="12"/>
  <c r="AB12" i="12"/>
  <c r="BJ12" i="12" s="1"/>
  <c r="BL99" i="12"/>
  <c r="AC99" i="12"/>
  <c r="BM99" i="12" s="1"/>
  <c r="BL35" i="12"/>
  <c r="AC35" i="12"/>
  <c r="BM35" i="12" s="1"/>
  <c r="BL19" i="12"/>
  <c r="AC19" i="12"/>
  <c r="BM19" i="12" s="1"/>
  <c r="AA373" i="12"/>
  <c r="BG373" i="12" s="1"/>
  <c r="AA371" i="12"/>
  <c r="BG371" i="12" s="1"/>
  <c r="AA365" i="12"/>
  <c r="BG365" i="12" s="1"/>
  <c r="AA363" i="12"/>
  <c r="BG363" i="12" s="1"/>
  <c r="AA357" i="12"/>
  <c r="BG357" i="12" s="1"/>
  <c r="AA355" i="12"/>
  <c r="BG355" i="12" s="1"/>
  <c r="AA349" i="12"/>
  <c r="BG349" i="12" s="1"/>
  <c r="AA347" i="12"/>
  <c r="BG347" i="12" s="1"/>
  <c r="AA341" i="12"/>
  <c r="BG341" i="12" s="1"/>
  <c r="AA339" i="12"/>
  <c r="BG339" i="12" s="1"/>
  <c r="AA333" i="12"/>
  <c r="BG333" i="12" s="1"/>
  <c r="AA331" i="12"/>
  <c r="BG331" i="12" s="1"/>
  <c r="AA325" i="12"/>
  <c r="BG325" i="12" s="1"/>
  <c r="AA323" i="12"/>
  <c r="BG323" i="12" s="1"/>
  <c r="AA317" i="12"/>
  <c r="BG317" i="12" s="1"/>
  <c r="AA315" i="12"/>
  <c r="BG315" i="12" s="1"/>
  <c r="AA309" i="12"/>
  <c r="BG309" i="12" s="1"/>
  <c r="AA307" i="12"/>
  <c r="BG307" i="12" s="1"/>
  <c r="AA301" i="12"/>
  <c r="BG301" i="12" s="1"/>
  <c r="AA299" i="12"/>
  <c r="BG299" i="12" s="1"/>
  <c r="AA293" i="12"/>
  <c r="BG293" i="12" s="1"/>
  <c r="AA291" i="12"/>
  <c r="BG291" i="12" s="1"/>
  <c r="AA285" i="12"/>
  <c r="BG285" i="12" s="1"/>
  <c r="AA283" i="12"/>
  <c r="BG283" i="12" s="1"/>
  <c r="AC276" i="12"/>
  <c r="BM276" i="12" s="1"/>
  <c r="AC260" i="12"/>
  <c r="BM260" i="12" s="1"/>
  <c r="AC244" i="12"/>
  <c r="BM244" i="12" s="1"/>
  <c r="AB100" i="12"/>
  <c r="BJ100" i="12" s="1"/>
  <c r="AC75" i="12"/>
  <c r="BM75" i="12" s="1"/>
  <c r="AA59" i="12"/>
  <c r="BG59" i="12" s="1"/>
  <c r="AB50" i="12"/>
  <c r="BJ50" i="12" s="1"/>
  <c r="AA21" i="12"/>
  <c r="BG21" i="12" s="1"/>
  <c r="BF181" i="12"/>
  <c r="BF156" i="12"/>
  <c r="AA156" i="12"/>
  <c r="BG156" i="12" s="1"/>
  <c r="BF148" i="12"/>
  <c r="AA148" i="12"/>
  <c r="BG148" i="12" s="1"/>
  <c r="BF140" i="12"/>
  <c r="AA140" i="12"/>
  <c r="BG140" i="12" s="1"/>
  <c r="BF132" i="12"/>
  <c r="AA132" i="12"/>
  <c r="BG132" i="12" s="1"/>
  <c r="BF124" i="12"/>
  <c r="AA124" i="12"/>
  <c r="BG124" i="12" s="1"/>
  <c r="BF116" i="12"/>
  <c r="AA116" i="12"/>
  <c r="BG116" i="12" s="1"/>
  <c r="BF108" i="12"/>
  <c r="AA108" i="12"/>
  <c r="BG108" i="12" s="1"/>
  <c r="BF100" i="12"/>
  <c r="AA100" i="12"/>
  <c r="BG100" i="12" s="1"/>
  <c r="BF84" i="12"/>
  <c r="AA84" i="12"/>
  <c r="BG84" i="12" s="1"/>
  <c r="BF68" i="12"/>
  <c r="AA68" i="12"/>
  <c r="BG68" i="12" s="1"/>
  <c r="BF52" i="12"/>
  <c r="AA52" i="12"/>
  <c r="BG52" i="12" s="1"/>
  <c r="BF36" i="12"/>
  <c r="AA36" i="12"/>
  <c r="BG36" i="12" s="1"/>
  <c r="BF20" i="12"/>
  <c r="AA20" i="12"/>
  <c r="BG20" i="12" s="1"/>
  <c r="BI227" i="12"/>
  <c r="AB227" i="12"/>
  <c r="BJ227" i="12" s="1"/>
  <c r="BI219" i="12"/>
  <c r="AB219" i="12"/>
  <c r="BJ219" i="12" s="1"/>
  <c r="BI211" i="12"/>
  <c r="AB211" i="12"/>
  <c r="BJ211" i="12" s="1"/>
  <c r="BI203" i="12"/>
  <c r="AB203" i="12"/>
  <c r="BJ203" i="12" s="1"/>
  <c r="BI195" i="12"/>
  <c r="AB195" i="12"/>
  <c r="BJ195" i="12" s="1"/>
  <c r="BI187" i="12"/>
  <c r="AB187" i="12"/>
  <c r="BJ187" i="12" s="1"/>
  <c r="BI179" i="12"/>
  <c r="AB179" i="12"/>
  <c r="BJ179" i="12" s="1"/>
  <c r="BI171" i="12"/>
  <c r="AB171" i="12"/>
  <c r="BJ171" i="12" s="1"/>
  <c r="BI163" i="12"/>
  <c r="AB163" i="12"/>
  <c r="BJ163" i="12" s="1"/>
  <c r="BI155" i="12"/>
  <c r="AB155" i="12"/>
  <c r="BJ155" i="12" s="1"/>
  <c r="BI147" i="12"/>
  <c r="AB147" i="12"/>
  <c r="BJ147" i="12" s="1"/>
  <c r="BI139" i="12"/>
  <c r="AB139" i="12"/>
  <c r="BJ139" i="12" s="1"/>
  <c r="BI131" i="12"/>
  <c r="AB131" i="12"/>
  <c r="BJ131" i="12" s="1"/>
  <c r="BI123" i="12"/>
  <c r="AB123" i="12"/>
  <c r="BJ123" i="12" s="1"/>
  <c r="BI115" i="12"/>
  <c r="AB115" i="12"/>
  <c r="BJ115" i="12" s="1"/>
  <c r="BI107" i="12"/>
  <c r="AB107" i="12"/>
  <c r="BJ107" i="12" s="1"/>
  <c r="BI99" i="12"/>
  <c r="AB99" i="12"/>
  <c r="BJ99" i="12" s="1"/>
  <c r="BI91" i="12"/>
  <c r="AB91" i="12"/>
  <c r="BJ91" i="12" s="1"/>
  <c r="BI83" i="12"/>
  <c r="AB83" i="12"/>
  <c r="BJ83" i="12" s="1"/>
  <c r="BI75" i="12"/>
  <c r="AB75" i="12"/>
  <c r="BJ75" i="12" s="1"/>
  <c r="BI67" i="12"/>
  <c r="AB67" i="12"/>
  <c r="BJ67" i="12" s="1"/>
  <c r="BI59" i="12"/>
  <c r="AB59" i="12"/>
  <c r="BJ59" i="12" s="1"/>
  <c r="BI51" i="12"/>
  <c r="AB51" i="12"/>
  <c r="BJ51" i="12" s="1"/>
  <c r="BI43" i="12"/>
  <c r="AB43" i="12"/>
  <c r="BJ43" i="12" s="1"/>
  <c r="BI35" i="12"/>
  <c r="AB35" i="12"/>
  <c r="BJ35" i="12" s="1"/>
  <c r="BI27" i="12"/>
  <c r="AB27" i="12"/>
  <c r="BJ27" i="12" s="1"/>
  <c r="BI19" i="12"/>
  <c r="AB19" i="12"/>
  <c r="BJ19" i="12" s="1"/>
  <c r="BI11" i="12"/>
  <c r="AB11" i="12"/>
  <c r="BJ11" i="12" s="1"/>
  <c r="BL162" i="12"/>
  <c r="AC162" i="12"/>
  <c r="BM162" i="12" s="1"/>
  <c r="BL154" i="12"/>
  <c r="AC154" i="12"/>
  <c r="BM154" i="12" s="1"/>
  <c r="BL146" i="12"/>
  <c r="AC146" i="12"/>
  <c r="BM146" i="12" s="1"/>
  <c r="BL138" i="12"/>
  <c r="AC138" i="12"/>
  <c r="BM138" i="12" s="1"/>
  <c r="BL130" i="12"/>
  <c r="AC130" i="12"/>
  <c r="BM130" i="12" s="1"/>
  <c r="BL122" i="12"/>
  <c r="AC122" i="12"/>
  <c r="BM122" i="12" s="1"/>
  <c r="BL114" i="12"/>
  <c r="AC114" i="12"/>
  <c r="BM114" i="12" s="1"/>
  <c r="BL106" i="12"/>
  <c r="AC106" i="12"/>
  <c r="BM106" i="12" s="1"/>
  <c r="BL98" i="12"/>
  <c r="AC98" i="12"/>
  <c r="BM98" i="12" s="1"/>
  <c r="BL90" i="12"/>
  <c r="AC90" i="12"/>
  <c r="BM90" i="12" s="1"/>
  <c r="BL82" i="12"/>
  <c r="AC82" i="12"/>
  <c r="BM82" i="12" s="1"/>
  <c r="BL74" i="12"/>
  <c r="AC74" i="12"/>
  <c r="BM74" i="12" s="1"/>
  <c r="BL66" i="12"/>
  <c r="AC66" i="12"/>
  <c r="BM66" i="12" s="1"/>
  <c r="BL58" i="12"/>
  <c r="AC58" i="12"/>
  <c r="BM58" i="12" s="1"/>
  <c r="BL50" i="12"/>
  <c r="AC50" i="12"/>
  <c r="BM50" i="12" s="1"/>
  <c r="BL42" i="12"/>
  <c r="AC42" i="12"/>
  <c r="BM42" i="12" s="1"/>
  <c r="BL34" i="12"/>
  <c r="AC34" i="12"/>
  <c r="BM34" i="12" s="1"/>
  <c r="BL26" i="12"/>
  <c r="AC26" i="12"/>
  <c r="BM26" i="12" s="1"/>
  <c r="BL18" i="12"/>
  <c r="AC18" i="12"/>
  <c r="BM18" i="12" s="1"/>
  <c r="AC278" i="12"/>
  <c r="BM278" i="12" s="1"/>
  <c r="AA276" i="12"/>
  <c r="BG276" i="12" s="1"/>
  <c r="AC271" i="12"/>
  <c r="BM271" i="12" s="1"/>
  <c r="AB269" i="12"/>
  <c r="BJ269" i="12" s="1"/>
  <c r="AA267" i="12"/>
  <c r="BG267" i="12" s="1"/>
  <c r="AC262" i="12"/>
  <c r="BM262" i="12" s="1"/>
  <c r="AA260" i="12"/>
  <c r="BG260" i="12" s="1"/>
  <c r="AC255" i="12"/>
  <c r="BM255" i="12" s="1"/>
  <c r="AB253" i="12"/>
  <c r="BJ253" i="12" s="1"/>
  <c r="AA251" i="12"/>
  <c r="BG251" i="12" s="1"/>
  <c r="AC246" i="12"/>
  <c r="BM246" i="12" s="1"/>
  <c r="AA244" i="12"/>
  <c r="BG244" i="12" s="1"/>
  <c r="AC239" i="12"/>
  <c r="BM239" i="12" s="1"/>
  <c r="AB237" i="12"/>
  <c r="BJ237" i="12" s="1"/>
  <c r="AA235" i="12"/>
  <c r="BG235" i="12" s="1"/>
  <c r="AA230" i="12"/>
  <c r="BG230" i="12" s="1"/>
  <c r="AC227" i="12"/>
  <c r="BM227" i="12" s="1"/>
  <c r="AA222" i="12"/>
  <c r="BG222" i="12" s="1"/>
  <c r="AC219" i="12"/>
  <c r="BM219" i="12" s="1"/>
  <c r="AA214" i="12"/>
  <c r="BG214" i="12" s="1"/>
  <c r="AC211" i="12"/>
  <c r="BM211" i="12" s="1"/>
  <c r="AA206" i="12"/>
  <c r="BG206" i="12" s="1"/>
  <c r="AC203" i="12"/>
  <c r="BM203" i="12" s="1"/>
  <c r="AA198" i="12"/>
  <c r="BG198" i="12" s="1"/>
  <c r="AC195" i="12"/>
  <c r="BM195" i="12" s="1"/>
  <c r="AA190" i="12"/>
  <c r="BG190" i="12" s="1"/>
  <c r="AC187" i="12"/>
  <c r="BM187" i="12" s="1"/>
  <c r="AA182" i="12"/>
  <c r="BG182" i="12" s="1"/>
  <c r="AC179" i="12"/>
  <c r="BM179" i="12" s="1"/>
  <c r="AA174" i="12"/>
  <c r="BG174" i="12" s="1"/>
  <c r="AC171" i="12"/>
  <c r="BM171" i="12" s="1"/>
  <c r="AA166" i="12"/>
  <c r="BG166" i="12" s="1"/>
  <c r="AC163" i="12"/>
  <c r="BM163" i="12" s="1"/>
  <c r="AC159" i="12"/>
  <c r="BM159" i="12" s="1"/>
  <c r="AC155" i="12"/>
  <c r="BM155" i="12" s="1"/>
  <c r="AC151" i="12"/>
  <c r="BM151" i="12" s="1"/>
  <c r="AC147" i="12"/>
  <c r="BM147" i="12" s="1"/>
  <c r="AC143" i="12"/>
  <c r="BM143" i="12" s="1"/>
  <c r="AC139" i="12"/>
  <c r="BM139" i="12" s="1"/>
  <c r="AC135" i="12"/>
  <c r="BM135" i="12" s="1"/>
  <c r="AC131" i="12"/>
  <c r="BM131" i="12" s="1"/>
  <c r="AC127" i="12"/>
  <c r="BM127" i="12" s="1"/>
  <c r="AC123" i="12"/>
  <c r="BM123" i="12" s="1"/>
  <c r="AC119" i="12"/>
  <c r="BM119" i="12" s="1"/>
  <c r="AC115" i="12"/>
  <c r="BM115" i="12" s="1"/>
  <c r="AC111" i="12"/>
  <c r="BM111" i="12" s="1"/>
  <c r="AC107" i="12"/>
  <c r="BM107" i="12" s="1"/>
  <c r="AC103" i="12"/>
  <c r="BM103" i="12" s="1"/>
  <c r="AC91" i="12"/>
  <c r="BM91" i="12" s="1"/>
  <c r="AA75" i="12"/>
  <c r="BG75" i="12" s="1"/>
  <c r="AC70" i="12"/>
  <c r="BM70" i="12" s="1"/>
  <c r="AB66" i="12"/>
  <c r="BJ66" i="12" s="1"/>
  <c r="AB62" i="12"/>
  <c r="BJ62" i="12" s="1"/>
  <c r="AA50" i="12"/>
  <c r="BG50" i="12" s="1"/>
  <c r="AA37" i="12"/>
  <c r="BG37" i="12" s="1"/>
  <c r="AC29" i="12"/>
  <c r="BM29" i="12" s="1"/>
  <c r="AA25" i="12"/>
  <c r="BG25" i="12" s="1"/>
  <c r="BF19" i="12"/>
  <c r="AA19" i="12"/>
  <c r="BG19" i="12" s="1"/>
  <c r="BI266" i="12"/>
  <c r="AB266" i="12"/>
  <c r="BJ266" i="12" s="1"/>
  <c r="BI226" i="12"/>
  <c r="AB226" i="12"/>
  <c r="BJ226" i="12" s="1"/>
  <c r="BI186" i="12"/>
  <c r="AB186" i="12"/>
  <c r="BJ186" i="12" s="1"/>
  <c r="BI138" i="12"/>
  <c r="AB138" i="12"/>
  <c r="BJ138" i="12" s="1"/>
  <c r="BI106" i="12"/>
  <c r="AB106" i="12"/>
  <c r="BJ106" i="12" s="1"/>
  <c r="BL89" i="12"/>
  <c r="AC89" i="12"/>
  <c r="BM89" i="12" s="1"/>
  <c r="AC362" i="12"/>
  <c r="BM362" i="12" s="1"/>
  <c r="AC354" i="12"/>
  <c r="BM354" i="12" s="1"/>
  <c r="AC332" i="12"/>
  <c r="BM332" i="12" s="1"/>
  <c r="AA269" i="12"/>
  <c r="BG269" i="12" s="1"/>
  <c r="AA246" i="12"/>
  <c r="BG246" i="12" s="1"/>
  <c r="AA179" i="12"/>
  <c r="BG179" i="12" s="1"/>
  <c r="AA171" i="12"/>
  <c r="BG171" i="12" s="1"/>
  <c r="AA139" i="12"/>
  <c r="BG139" i="12" s="1"/>
  <c r="AA131" i="12"/>
  <c r="BG131" i="12" s="1"/>
  <c r="AA115" i="12"/>
  <c r="BG115" i="12" s="1"/>
  <c r="AA12" i="12"/>
  <c r="BG12" i="12" s="1"/>
  <c r="BF162" i="12"/>
  <c r="AA162" i="12"/>
  <c r="BG162" i="12" s="1"/>
  <c r="BF154" i="12"/>
  <c r="AA154" i="12"/>
  <c r="BG154" i="12" s="1"/>
  <c r="BF146" i="12"/>
  <c r="AA146" i="12"/>
  <c r="BG146" i="12" s="1"/>
  <c r="BF138" i="12"/>
  <c r="AA138" i="12"/>
  <c r="BG138" i="12" s="1"/>
  <c r="BF122" i="12"/>
  <c r="AA122" i="12"/>
  <c r="BG122" i="12" s="1"/>
  <c r="BF114" i="12"/>
  <c r="AA114" i="12"/>
  <c r="BG114" i="12" s="1"/>
  <c r="BF106" i="12"/>
  <c r="AA106" i="12"/>
  <c r="BG106" i="12" s="1"/>
  <c r="BF90" i="12"/>
  <c r="AA90" i="12"/>
  <c r="BG90" i="12" s="1"/>
  <c r="BF74" i="12"/>
  <c r="AA74" i="12"/>
  <c r="BG74" i="12" s="1"/>
  <c r="BF58" i="12"/>
  <c r="AA58" i="12"/>
  <c r="BG58" i="12" s="1"/>
  <c r="BF42" i="12"/>
  <c r="AA42" i="12"/>
  <c r="BG42" i="12" s="1"/>
  <c r="BF26" i="12"/>
  <c r="AA26" i="12"/>
  <c r="BG26" i="12" s="1"/>
  <c r="BI225" i="12"/>
  <c r="AB225" i="12"/>
  <c r="BJ225" i="12" s="1"/>
  <c r="BI217" i="12"/>
  <c r="AB217" i="12"/>
  <c r="BJ217" i="12" s="1"/>
  <c r="BI209" i="12"/>
  <c r="AB209" i="12"/>
  <c r="BJ209" i="12" s="1"/>
  <c r="BI201" i="12"/>
  <c r="AB201" i="12"/>
  <c r="BJ201" i="12" s="1"/>
  <c r="BI193" i="12"/>
  <c r="AB193" i="12"/>
  <c r="BJ193" i="12" s="1"/>
  <c r="BI185" i="12"/>
  <c r="AB185" i="12"/>
  <c r="BJ185" i="12" s="1"/>
  <c r="BI177" i="12"/>
  <c r="AB177" i="12"/>
  <c r="BJ177" i="12" s="1"/>
  <c r="BI169" i="12"/>
  <c r="AB169" i="12"/>
  <c r="BJ169" i="12" s="1"/>
  <c r="BI161" i="12"/>
  <c r="AB161" i="12"/>
  <c r="BJ161" i="12" s="1"/>
  <c r="BI153" i="12"/>
  <c r="AB153" i="12"/>
  <c r="BJ153" i="12" s="1"/>
  <c r="BI145" i="12"/>
  <c r="AB145" i="12"/>
  <c r="BJ145" i="12" s="1"/>
  <c r="BI137" i="12"/>
  <c r="AB137" i="12"/>
  <c r="BJ137" i="12" s="1"/>
  <c r="BI129" i="12"/>
  <c r="AB129" i="12"/>
  <c r="BJ129" i="12" s="1"/>
  <c r="BI121" i="12"/>
  <c r="AB121" i="12"/>
  <c r="BJ121" i="12" s="1"/>
  <c r="BI113" i="12"/>
  <c r="AB113" i="12"/>
  <c r="BJ113" i="12" s="1"/>
  <c r="BI105" i="12"/>
  <c r="AB105" i="12"/>
  <c r="BJ105" i="12" s="1"/>
  <c r="BI97" i="12"/>
  <c r="AB97" i="12"/>
  <c r="BJ97" i="12" s="1"/>
  <c r="BI89" i="12"/>
  <c r="AB89" i="12"/>
  <c r="BJ89" i="12" s="1"/>
  <c r="BI81" i="12"/>
  <c r="AB81" i="12"/>
  <c r="BJ81" i="12" s="1"/>
  <c r="BI73" i="12"/>
  <c r="AB73" i="12"/>
  <c r="BJ73" i="12" s="1"/>
  <c r="BI65" i="12"/>
  <c r="AB65" i="12"/>
  <c r="BJ65" i="12" s="1"/>
  <c r="BI57" i="12"/>
  <c r="AB57" i="12"/>
  <c r="BJ57" i="12" s="1"/>
  <c r="BI49" i="12"/>
  <c r="AB49" i="12"/>
  <c r="BJ49" i="12" s="1"/>
  <c r="BI41" i="12"/>
  <c r="AB41" i="12"/>
  <c r="BJ41" i="12" s="1"/>
  <c r="BI33" i="12"/>
  <c r="AB33" i="12"/>
  <c r="BJ33" i="12" s="1"/>
  <c r="BI25" i="12"/>
  <c r="AB25" i="12"/>
  <c r="BJ25" i="12" s="1"/>
  <c r="BI17" i="12"/>
  <c r="AB17" i="12"/>
  <c r="BJ17" i="12" s="1"/>
  <c r="BL160" i="12"/>
  <c r="AC160" i="12"/>
  <c r="BM160" i="12" s="1"/>
  <c r="BL152" i="12"/>
  <c r="AC152" i="12"/>
  <c r="BM152" i="12" s="1"/>
  <c r="BL144" i="12"/>
  <c r="AC144" i="12"/>
  <c r="BM144" i="12" s="1"/>
  <c r="BL136" i="12"/>
  <c r="AC136" i="12"/>
  <c r="BM136" i="12" s="1"/>
  <c r="BL128" i="12"/>
  <c r="AC128" i="12"/>
  <c r="BM128" i="12" s="1"/>
  <c r="BL120" i="12"/>
  <c r="AC120" i="12"/>
  <c r="BM120" i="12" s="1"/>
  <c r="BL112" i="12"/>
  <c r="AC112" i="12"/>
  <c r="BM112" i="12" s="1"/>
  <c r="BL104" i="12"/>
  <c r="AC104" i="12"/>
  <c r="BM104" i="12" s="1"/>
  <c r="BL88" i="12"/>
  <c r="AC88" i="12"/>
  <c r="BM88" i="12" s="1"/>
  <c r="BL72" i="12"/>
  <c r="AC72" i="12"/>
  <c r="BM72" i="12" s="1"/>
  <c r="BL56" i="12"/>
  <c r="AC56" i="12"/>
  <c r="BM56" i="12" s="1"/>
  <c r="BL40" i="12"/>
  <c r="AC40" i="12"/>
  <c r="BM40" i="12" s="1"/>
  <c r="BL24" i="12"/>
  <c r="AC24" i="12"/>
  <c r="BM24" i="12" s="1"/>
  <c r="AA10" i="12"/>
  <c r="BG10" i="12" s="1"/>
  <c r="AB374" i="12"/>
  <c r="BJ374" i="12" s="1"/>
  <c r="AB372" i="12"/>
  <c r="BJ372" i="12" s="1"/>
  <c r="AB370" i="12"/>
  <c r="BJ370" i="12" s="1"/>
  <c r="AB368" i="12"/>
  <c r="BJ368" i="12" s="1"/>
  <c r="AB366" i="12"/>
  <c r="BJ366" i="12" s="1"/>
  <c r="AB364" i="12"/>
  <c r="BJ364" i="12" s="1"/>
  <c r="AB362" i="12"/>
  <c r="BJ362" i="12" s="1"/>
  <c r="AB360" i="12"/>
  <c r="BJ360" i="12" s="1"/>
  <c r="AB358" i="12"/>
  <c r="BJ358" i="12" s="1"/>
  <c r="AB356" i="12"/>
  <c r="BJ356" i="12" s="1"/>
  <c r="AB354" i="12"/>
  <c r="BJ354" i="12" s="1"/>
  <c r="AB352" i="12"/>
  <c r="BJ352" i="12" s="1"/>
  <c r="AB350" i="12"/>
  <c r="BJ350" i="12" s="1"/>
  <c r="AB348" i="12"/>
  <c r="BJ348" i="12" s="1"/>
  <c r="AB346" i="12"/>
  <c r="BJ346" i="12" s="1"/>
  <c r="AB344" i="12"/>
  <c r="BJ344" i="12" s="1"/>
  <c r="AB342" i="12"/>
  <c r="BJ342" i="12" s="1"/>
  <c r="AB340" i="12"/>
  <c r="BJ340" i="12" s="1"/>
  <c r="AB338" i="12"/>
  <c r="BJ338" i="12" s="1"/>
  <c r="AB336" i="12"/>
  <c r="BJ336" i="12" s="1"/>
  <c r="AB334" i="12"/>
  <c r="BJ334" i="12" s="1"/>
  <c r="AB332" i="12"/>
  <c r="BJ332" i="12" s="1"/>
  <c r="AB330" i="12"/>
  <c r="BJ330" i="12" s="1"/>
  <c r="AB328" i="12"/>
  <c r="BJ328" i="12" s="1"/>
  <c r="AB326" i="12"/>
  <c r="BJ326" i="12" s="1"/>
  <c r="AB324" i="12"/>
  <c r="BJ324" i="12" s="1"/>
  <c r="AB322" i="12"/>
  <c r="BJ322" i="12" s="1"/>
  <c r="AB320" i="12"/>
  <c r="BJ320" i="12" s="1"/>
  <c r="AB318" i="12"/>
  <c r="BJ318" i="12" s="1"/>
  <c r="AB316" i="12"/>
  <c r="BJ316" i="12" s="1"/>
  <c r="AB314" i="12"/>
  <c r="BJ314" i="12" s="1"/>
  <c r="AB312" i="12"/>
  <c r="BJ312" i="12" s="1"/>
  <c r="AB310" i="12"/>
  <c r="BJ310" i="12" s="1"/>
  <c r="AB308" i="12"/>
  <c r="BJ308" i="12" s="1"/>
  <c r="AB306" i="12"/>
  <c r="BJ306" i="12" s="1"/>
  <c r="AB304" i="12"/>
  <c r="BJ304" i="12" s="1"/>
  <c r="AB302" i="12"/>
  <c r="BJ302" i="12" s="1"/>
  <c r="AB300" i="12"/>
  <c r="BJ300" i="12" s="1"/>
  <c r="AB298" i="12"/>
  <c r="BJ298" i="12" s="1"/>
  <c r="AB296" i="12"/>
  <c r="BJ296" i="12" s="1"/>
  <c r="AB294" i="12"/>
  <c r="BJ294" i="12" s="1"/>
  <c r="AB292" i="12"/>
  <c r="BJ292" i="12" s="1"/>
  <c r="AB290" i="12"/>
  <c r="BJ290" i="12" s="1"/>
  <c r="AB288" i="12"/>
  <c r="BJ288" i="12" s="1"/>
  <c r="AB286" i="12"/>
  <c r="BJ286" i="12" s="1"/>
  <c r="AB284" i="12"/>
  <c r="BJ284" i="12" s="1"/>
  <c r="AB282" i="12"/>
  <c r="BJ282" i="12" s="1"/>
  <c r="AA280" i="12"/>
  <c r="BG280" i="12" s="1"/>
  <c r="AC275" i="12"/>
  <c r="BM275" i="12" s="1"/>
  <c r="AB273" i="12"/>
  <c r="BJ273" i="12" s="1"/>
  <c r="AA271" i="12"/>
  <c r="BG271" i="12" s="1"/>
  <c r="AC266" i="12"/>
  <c r="BM266" i="12" s="1"/>
  <c r="AA264" i="12"/>
  <c r="BG264" i="12" s="1"/>
  <c r="AC259" i="12"/>
  <c r="BM259" i="12" s="1"/>
  <c r="AB257" i="12"/>
  <c r="BJ257" i="12" s="1"/>
  <c r="AA255" i="12"/>
  <c r="BG255" i="12" s="1"/>
  <c r="AC250" i="12"/>
  <c r="BM250" i="12" s="1"/>
  <c r="AA248" i="12"/>
  <c r="BG248" i="12" s="1"/>
  <c r="AC243" i="12"/>
  <c r="BM243" i="12" s="1"/>
  <c r="AB241" i="12"/>
  <c r="BJ241" i="12" s="1"/>
  <c r="AA239" i="12"/>
  <c r="BG239" i="12" s="1"/>
  <c r="AC234" i="12"/>
  <c r="BM234" i="12" s="1"/>
  <c r="AA232" i="12"/>
  <c r="BG232" i="12" s="1"/>
  <c r="AC229" i="12"/>
  <c r="BM229" i="12" s="1"/>
  <c r="AA224" i="12"/>
  <c r="BG224" i="12" s="1"/>
  <c r="AC221" i="12"/>
  <c r="BM221" i="12" s="1"/>
  <c r="AA216" i="12"/>
  <c r="BG216" i="12" s="1"/>
  <c r="AC213" i="12"/>
  <c r="BM213" i="12" s="1"/>
  <c r="AA208" i="12"/>
  <c r="BG208" i="12" s="1"/>
  <c r="AC205" i="12"/>
  <c r="BM205" i="12" s="1"/>
  <c r="AA200" i="12"/>
  <c r="BG200" i="12" s="1"/>
  <c r="AC197" i="12"/>
  <c r="BM197" i="12" s="1"/>
  <c r="AA192" i="12"/>
  <c r="BG192" i="12" s="1"/>
  <c r="AC189" i="12"/>
  <c r="BM189" i="12" s="1"/>
  <c r="AA184" i="12"/>
  <c r="BG184" i="12" s="1"/>
  <c r="AC181" i="12"/>
  <c r="BM181" i="12" s="1"/>
  <c r="AA176" i="12"/>
  <c r="BG176" i="12" s="1"/>
  <c r="AC173" i="12"/>
  <c r="BM173" i="12" s="1"/>
  <c r="AA168" i="12"/>
  <c r="BG168" i="12" s="1"/>
  <c r="AC165" i="12"/>
  <c r="BM165" i="12" s="1"/>
  <c r="AC102" i="12"/>
  <c r="BM102" i="12" s="1"/>
  <c r="AB98" i="12"/>
  <c r="BJ98" i="12" s="1"/>
  <c r="AB94" i="12"/>
  <c r="BJ94" i="12" s="1"/>
  <c r="AA82" i="12"/>
  <c r="BG82" i="12" s="1"/>
  <c r="AA69" i="12"/>
  <c r="BG69" i="12" s="1"/>
  <c r="AC61" i="12"/>
  <c r="BM61" i="12" s="1"/>
  <c r="AA57" i="12"/>
  <c r="BG57" i="12" s="1"/>
  <c r="AC36" i="12"/>
  <c r="BM36" i="12" s="1"/>
  <c r="AC32" i="12"/>
  <c r="BM32" i="12" s="1"/>
  <c r="AA28" i="12"/>
  <c r="BG28" i="12" s="1"/>
  <c r="AB20" i="12"/>
  <c r="BJ20" i="12" s="1"/>
  <c r="AA16" i="12"/>
  <c r="BG16" i="12" s="1"/>
  <c r="BF77" i="12"/>
  <c r="AA77" i="12"/>
  <c r="BG77" i="12" s="1"/>
  <c r="BF45" i="12"/>
  <c r="AA45" i="12"/>
  <c r="BG45" i="12" s="1"/>
  <c r="BI244" i="12"/>
  <c r="AB244" i="12"/>
  <c r="BJ244" i="12" s="1"/>
  <c r="BI204" i="12"/>
  <c r="AB204" i="12"/>
  <c r="BJ204" i="12" s="1"/>
  <c r="BI172" i="12"/>
  <c r="AB172" i="12"/>
  <c r="BJ172" i="12" s="1"/>
  <c r="BI140" i="12"/>
  <c r="AB140" i="12"/>
  <c r="BJ140" i="12" s="1"/>
  <c r="BI92" i="12"/>
  <c r="AB92" i="12"/>
  <c r="BJ92" i="12" s="1"/>
  <c r="BI44" i="12"/>
  <c r="AB44" i="12"/>
  <c r="BJ44" i="12" s="1"/>
  <c r="BL67" i="12"/>
  <c r="AC67" i="12"/>
  <c r="BM67" i="12" s="1"/>
  <c r="BF99" i="12"/>
  <c r="AA99" i="12"/>
  <c r="BG99" i="12" s="1"/>
  <c r="BF67" i="12"/>
  <c r="AA67" i="12"/>
  <c r="BG67" i="12" s="1"/>
  <c r="BI242" i="12"/>
  <c r="AB242" i="12"/>
  <c r="BJ242" i="12" s="1"/>
  <c r="BI210" i="12"/>
  <c r="AB210" i="12"/>
  <c r="BJ210" i="12" s="1"/>
  <c r="BI178" i="12"/>
  <c r="AB178" i="12"/>
  <c r="BJ178" i="12" s="1"/>
  <c r="BI146" i="12"/>
  <c r="AB146" i="12"/>
  <c r="BJ146" i="12" s="1"/>
  <c r="BI114" i="12"/>
  <c r="AB114" i="12"/>
  <c r="BJ114" i="12" s="1"/>
  <c r="BI74" i="12"/>
  <c r="AB74" i="12"/>
  <c r="BJ74" i="12" s="1"/>
  <c r="BI42" i="12"/>
  <c r="AB42" i="12"/>
  <c r="BJ42" i="12" s="1"/>
  <c r="BL97" i="12"/>
  <c r="AC97" i="12"/>
  <c r="BM97" i="12" s="1"/>
  <c r="BL57" i="12"/>
  <c r="AC57" i="12"/>
  <c r="BM57" i="12" s="1"/>
  <c r="BL33" i="12"/>
  <c r="AC33" i="12"/>
  <c r="BM33" i="12" s="1"/>
  <c r="AC372" i="12"/>
  <c r="BM372" i="12" s="1"/>
  <c r="AC330" i="12"/>
  <c r="BM330" i="12" s="1"/>
  <c r="AC324" i="12"/>
  <c r="BM324" i="12" s="1"/>
  <c r="AC316" i="12"/>
  <c r="BM316" i="12" s="1"/>
  <c r="AC308" i="12"/>
  <c r="BM308" i="12" s="1"/>
  <c r="AC290" i="12"/>
  <c r="BM290" i="12" s="1"/>
  <c r="AC282" i="12"/>
  <c r="BM282" i="12" s="1"/>
  <c r="AC273" i="12"/>
  <c r="BM273" i="12" s="1"/>
  <c r="AC241" i="12"/>
  <c r="BM241" i="12" s="1"/>
  <c r="AA237" i="12"/>
  <c r="BG237" i="12" s="1"/>
  <c r="AA219" i="12"/>
  <c r="BG219" i="12" s="1"/>
  <c r="AA211" i="12"/>
  <c r="BG211" i="12" s="1"/>
  <c r="AA203" i="12"/>
  <c r="BG203" i="12" s="1"/>
  <c r="AA163" i="12"/>
  <c r="BG163" i="12" s="1"/>
  <c r="AA123" i="12"/>
  <c r="BG123" i="12" s="1"/>
  <c r="AB82" i="12"/>
  <c r="BJ82" i="12" s="1"/>
  <c r="BF130" i="12"/>
  <c r="AA130" i="12"/>
  <c r="BG130" i="12" s="1"/>
  <c r="BF97" i="12"/>
  <c r="AA97" i="12"/>
  <c r="BG97" i="12" s="1"/>
  <c r="BF81" i="12"/>
  <c r="AA81" i="12"/>
  <c r="BG81" i="12" s="1"/>
  <c r="BF65" i="12"/>
  <c r="AA65" i="12"/>
  <c r="BG65" i="12" s="1"/>
  <c r="BF49" i="12"/>
  <c r="AA49" i="12"/>
  <c r="BG49" i="12" s="1"/>
  <c r="BF33" i="12"/>
  <c r="AA33" i="12"/>
  <c r="BG33" i="12" s="1"/>
  <c r="BF17" i="12"/>
  <c r="AA17" i="12"/>
  <c r="BG17" i="12" s="1"/>
  <c r="BI280" i="12"/>
  <c r="AB280" i="12"/>
  <c r="BJ280" i="12" s="1"/>
  <c r="BI272" i="12"/>
  <c r="AB272" i="12"/>
  <c r="BJ272" i="12" s="1"/>
  <c r="BI264" i="12"/>
  <c r="AB264" i="12"/>
  <c r="BJ264" i="12" s="1"/>
  <c r="BI256" i="12"/>
  <c r="AB256" i="12"/>
  <c r="BJ256" i="12" s="1"/>
  <c r="BI248" i="12"/>
  <c r="AB248" i="12"/>
  <c r="BJ248" i="12" s="1"/>
  <c r="BI240" i="12"/>
  <c r="AB240" i="12"/>
  <c r="BJ240" i="12" s="1"/>
  <c r="BI232" i="12"/>
  <c r="AB232" i="12"/>
  <c r="BJ232" i="12" s="1"/>
  <c r="BI224" i="12"/>
  <c r="AB224" i="12"/>
  <c r="BJ224" i="12" s="1"/>
  <c r="BI216" i="12"/>
  <c r="AB216" i="12"/>
  <c r="BJ216" i="12" s="1"/>
  <c r="BI208" i="12"/>
  <c r="AB208" i="12"/>
  <c r="BJ208" i="12" s="1"/>
  <c r="BI200" i="12"/>
  <c r="AB200" i="12"/>
  <c r="BJ200" i="12" s="1"/>
  <c r="BI192" i="12"/>
  <c r="AB192" i="12"/>
  <c r="BJ192" i="12" s="1"/>
  <c r="BI184" i="12"/>
  <c r="AB184" i="12"/>
  <c r="BJ184" i="12" s="1"/>
  <c r="BI176" i="12"/>
  <c r="AB176" i="12"/>
  <c r="BJ176" i="12" s="1"/>
  <c r="BI168" i="12"/>
  <c r="AB168" i="12"/>
  <c r="BJ168" i="12" s="1"/>
  <c r="BI160" i="12"/>
  <c r="AB160" i="12"/>
  <c r="BJ160" i="12" s="1"/>
  <c r="BI152" i="12"/>
  <c r="AB152" i="12"/>
  <c r="BJ152" i="12" s="1"/>
  <c r="BI144" i="12"/>
  <c r="AB144" i="12"/>
  <c r="BJ144" i="12" s="1"/>
  <c r="BI136" i="12"/>
  <c r="AB136" i="12"/>
  <c r="BJ136" i="12" s="1"/>
  <c r="BI128" i="12"/>
  <c r="AB128" i="12"/>
  <c r="BJ128" i="12" s="1"/>
  <c r="BI120" i="12"/>
  <c r="AB120" i="12"/>
  <c r="BJ120" i="12" s="1"/>
  <c r="BI112" i="12"/>
  <c r="AB112" i="12"/>
  <c r="BJ112" i="12" s="1"/>
  <c r="BI104" i="12"/>
  <c r="AB104" i="12"/>
  <c r="BJ104" i="12" s="1"/>
  <c r="BI96" i="12"/>
  <c r="AB96" i="12"/>
  <c r="BJ96" i="12" s="1"/>
  <c r="BI88" i="12"/>
  <c r="AB88" i="12"/>
  <c r="BJ88" i="12" s="1"/>
  <c r="BI80" i="12"/>
  <c r="AB80" i="12"/>
  <c r="BJ80" i="12" s="1"/>
  <c r="BI72" i="12"/>
  <c r="AB72" i="12"/>
  <c r="BJ72" i="12" s="1"/>
  <c r="BI64" i="12"/>
  <c r="AB64" i="12"/>
  <c r="BJ64" i="12" s="1"/>
  <c r="BI56" i="12"/>
  <c r="AB56" i="12"/>
  <c r="BJ56" i="12" s="1"/>
  <c r="BI48" i="12"/>
  <c r="AB48" i="12"/>
  <c r="BJ48" i="12" s="1"/>
  <c r="BI40" i="12"/>
  <c r="AB40" i="12"/>
  <c r="BJ40" i="12" s="1"/>
  <c r="BI32" i="12"/>
  <c r="AB32" i="12"/>
  <c r="BJ32" i="12" s="1"/>
  <c r="BI24" i="12"/>
  <c r="AB24" i="12"/>
  <c r="BJ24" i="12" s="1"/>
  <c r="BI16" i="12"/>
  <c r="AB16" i="12"/>
  <c r="BJ16" i="12" s="1"/>
  <c r="BL95" i="12"/>
  <c r="AC95" i="12"/>
  <c r="BM95" i="12" s="1"/>
  <c r="BL79" i="12"/>
  <c r="AC79" i="12"/>
  <c r="BM79" i="12" s="1"/>
  <c r="BL63" i="12"/>
  <c r="AC63" i="12"/>
  <c r="BM63" i="12" s="1"/>
  <c r="BL47" i="12"/>
  <c r="AC47" i="12"/>
  <c r="BM47" i="12" s="1"/>
  <c r="BL31" i="12"/>
  <c r="AC31" i="12"/>
  <c r="BM31" i="12" s="1"/>
  <c r="BL15" i="12"/>
  <c r="AC15" i="12"/>
  <c r="BM15" i="12" s="1"/>
  <c r="AB10" i="12"/>
  <c r="BJ10" i="12" s="1"/>
  <c r="AA374" i="12"/>
  <c r="BG374" i="12" s="1"/>
  <c r="AA372" i="12"/>
  <c r="BG372" i="12" s="1"/>
  <c r="AA370" i="12"/>
  <c r="BG370" i="12" s="1"/>
  <c r="AA368" i="12"/>
  <c r="BG368" i="12" s="1"/>
  <c r="AA366" i="12"/>
  <c r="BG366" i="12" s="1"/>
  <c r="AA364" i="12"/>
  <c r="BG364" i="12" s="1"/>
  <c r="AA362" i="12"/>
  <c r="BG362" i="12" s="1"/>
  <c r="AA360" i="12"/>
  <c r="BG360" i="12" s="1"/>
  <c r="AA358" i="12"/>
  <c r="BG358" i="12" s="1"/>
  <c r="AA356" i="12"/>
  <c r="BG356" i="12" s="1"/>
  <c r="AA354" i="12"/>
  <c r="BG354" i="12" s="1"/>
  <c r="AA352" i="12"/>
  <c r="BG352" i="12" s="1"/>
  <c r="AA350" i="12"/>
  <c r="BG350" i="12" s="1"/>
  <c r="AA348" i="12"/>
  <c r="BG348" i="12" s="1"/>
  <c r="AA346" i="12"/>
  <c r="BG346" i="12" s="1"/>
  <c r="AA344" i="12"/>
  <c r="BG344" i="12" s="1"/>
  <c r="AA342" i="12"/>
  <c r="BG342" i="12" s="1"/>
  <c r="AA340" i="12"/>
  <c r="BG340" i="12" s="1"/>
  <c r="AA338" i="12"/>
  <c r="BG338" i="12" s="1"/>
  <c r="AA336" i="12"/>
  <c r="BG336" i="12" s="1"/>
  <c r="AA334" i="12"/>
  <c r="BG334" i="12" s="1"/>
  <c r="AA332" i="12"/>
  <c r="BG332" i="12" s="1"/>
  <c r="AA330" i="12"/>
  <c r="BG330" i="12" s="1"/>
  <c r="AA328" i="12"/>
  <c r="BG328" i="12" s="1"/>
  <c r="AA326" i="12"/>
  <c r="BG326" i="12" s="1"/>
  <c r="AA324" i="12"/>
  <c r="BG324" i="12" s="1"/>
  <c r="AA322" i="12"/>
  <c r="BG322" i="12" s="1"/>
  <c r="AA320" i="12"/>
  <c r="BG320" i="12" s="1"/>
  <c r="AA318" i="12"/>
  <c r="BG318" i="12" s="1"/>
  <c r="AA316" i="12"/>
  <c r="BG316" i="12" s="1"/>
  <c r="AA314" i="12"/>
  <c r="BG314" i="12" s="1"/>
  <c r="AA312" i="12"/>
  <c r="BG312" i="12" s="1"/>
  <c r="AA310" i="12"/>
  <c r="BG310" i="12" s="1"/>
  <c r="AA308" i="12"/>
  <c r="BG308" i="12" s="1"/>
  <c r="AA306" i="12"/>
  <c r="BG306" i="12" s="1"/>
  <c r="AA304" i="12"/>
  <c r="BG304" i="12" s="1"/>
  <c r="AA302" i="12"/>
  <c r="BG302" i="12" s="1"/>
  <c r="AA300" i="12"/>
  <c r="BG300" i="12" s="1"/>
  <c r="AA298" i="12"/>
  <c r="BG298" i="12" s="1"/>
  <c r="AA296" i="12"/>
  <c r="BG296" i="12" s="1"/>
  <c r="AA294" i="12"/>
  <c r="BG294" i="12" s="1"/>
  <c r="AA292" i="12"/>
  <c r="BG292" i="12" s="1"/>
  <c r="AA290" i="12"/>
  <c r="BG290" i="12" s="1"/>
  <c r="AA288" i="12"/>
  <c r="BG288" i="12" s="1"/>
  <c r="AA286" i="12"/>
  <c r="BG286" i="12" s="1"/>
  <c r="AA284" i="12"/>
  <c r="BG284" i="12" s="1"/>
  <c r="AA282" i="12"/>
  <c r="BG282" i="12" s="1"/>
  <c r="AC277" i="12"/>
  <c r="BM277" i="12" s="1"/>
  <c r="AB275" i="12"/>
  <c r="BJ275" i="12" s="1"/>
  <c r="AA273" i="12"/>
  <c r="BG273" i="12" s="1"/>
  <c r="AC268" i="12"/>
  <c r="BM268" i="12" s="1"/>
  <c r="AA266" i="12"/>
  <c r="BG266" i="12" s="1"/>
  <c r="AC261" i="12"/>
  <c r="BM261" i="12" s="1"/>
  <c r="AB259" i="12"/>
  <c r="BJ259" i="12" s="1"/>
  <c r="AA257" i="12"/>
  <c r="BG257" i="12" s="1"/>
  <c r="AC252" i="12"/>
  <c r="BM252" i="12" s="1"/>
  <c r="AA250" i="12"/>
  <c r="BG250" i="12" s="1"/>
  <c r="AC245" i="12"/>
  <c r="BM245" i="12" s="1"/>
  <c r="AB243" i="12"/>
  <c r="BJ243" i="12" s="1"/>
  <c r="AA241" i="12"/>
  <c r="BG241" i="12" s="1"/>
  <c r="AC236" i="12"/>
  <c r="BM236" i="12" s="1"/>
  <c r="AA234" i="12"/>
  <c r="BG234" i="12" s="1"/>
  <c r="AA229" i="12"/>
  <c r="BG229" i="12" s="1"/>
  <c r="AC226" i="12"/>
  <c r="BM226" i="12" s="1"/>
  <c r="AA221" i="12"/>
  <c r="BG221" i="12" s="1"/>
  <c r="AC218" i="12"/>
  <c r="BM218" i="12" s="1"/>
  <c r="AA213" i="12"/>
  <c r="BG213" i="12" s="1"/>
  <c r="AC210" i="12"/>
  <c r="BM210" i="12" s="1"/>
  <c r="AA205" i="12"/>
  <c r="BG205" i="12" s="1"/>
  <c r="AC202" i="12"/>
  <c r="BM202" i="12" s="1"/>
  <c r="AA197" i="12"/>
  <c r="BG197" i="12" s="1"/>
  <c r="AC194" i="12"/>
  <c r="BM194" i="12" s="1"/>
  <c r="AA189" i="12"/>
  <c r="BG189" i="12" s="1"/>
  <c r="AC186" i="12"/>
  <c r="BM186" i="12" s="1"/>
  <c r="AC178" i="12"/>
  <c r="BM178" i="12" s="1"/>
  <c r="AA173" i="12"/>
  <c r="BG173" i="12" s="1"/>
  <c r="AC170" i="12"/>
  <c r="BM170" i="12" s="1"/>
  <c r="AA165" i="12"/>
  <c r="BG165" i="12" s="1"/>
  <c r="AA98" i="12"/>
  <c r="BG98" i="12" s="1"/>
  <c r="AA85" i="12"/>
  <c r="BG85" i="12" s="1"/>
  <c r="AC77" i="12"/>
  <c r="BM77" i="12" s="1"/>
  <c r="AA73" i="12"/>
  <c r="BG73" i="12" s="1"/>
  <c r="AC52" i="12"/>
  <c r="BM52" i="12" s="1"/>
  <c r="AC48" i="12"/>
  <c r="BM48" i="12" s="1"/>
  <c r="AA44" i="12"/>
  <c r="BG44" i="12" s="1"/>
  <c r="AB36" i="12"/>
  <c r="BJ36" i="12" s="1"/>
  <c r="AA32" i="12"/>
  <c r="BG32" i="12" s="1"/>
  <c r="AC23" i="12"/>
  <c r="BM23" i="12" s="1"/>
  <c r="AC11" i="12"/>
  <c r="BM11" i="12" s="1"/>
  <c r="BF93" i="12"/>
  <c r="AA93" i="12"/>
  <c r="BG93" i="12" s="1"/>
  <c r="BI268" i="12"/>
  <c r="AB268" i="12"/>
  <c r="BJ268" i="12" s="1"/>
  <c r="BI236" i="12"/>
  <c r="AB236" i="12"/>
  <c r="BJ236" i="12" s="1"/>
  <c r="BI212" i="12"/>
  <c r="AB212" i="12"/>
  <c r="BJ212" i="12" s="1"/>
  <c r="BI188" i="12"/>
  <c r="AB188" i="12"/>
  <c r="BJ188" i="12" s="1"/>
  <c r="BI156" i="12"/>
  <c r="AB156" i="12"/>
  <c r="BJ156" i="12" s="1"/>
  <c r="BI124" i="12"/>
  <c r="AB124" i="12"/>
  <c r="BJ124" i="12" s="1"/>
  <c r="BL51" i="12"/>
  <c r="AC51" i="12"/>
  <c r="BM51" i="12" s="1"/>
  <c r="BF35" i="12"/>
  <c r="AA35" i="12"/>
  <c r="BG35" i="12" s="1"/>
  <c r="BI274" i="12"/>
  <c r="AB274" i="12"/>
  <c r="BJ274" i="12" s="1"/>
  <c r="BI234" i="12"/>
  <c r="AB234" i="12"/>
  <c r="BJ234" i="12" s="1"/>
  <c r="BI194" i="12"/>
  <c r="AB194" i="12"/>
  <c r="BJ194" i="12" s="1"/>
  <c r="BI154" i="12"/>
  <c r="AB154" i="12"/>
  <c r="BJ154" i="12" s="1"/>
  <c r="BL73" i="12"/>
  <c r="AC73" i="12"/>
  <c r="BM73" i="12" s="1"/>
  <c r="BL41" i="12"/>
  <c r="AC41" i="12"/>
  <c r="BM41" i="12" s="1"/>
  <c r="AC356" i="12"/>
  <c r="BM356" i="12" s="1"/>
  <c r="AC348" i="12"/>
  <c r="BM348" i="12" s="1"/>
  <c r="AC340" i="12"/>
  <c r="BM340" i="12" s="1"/>
  <c r="AC322" i="12"/>
  <c r="BM322" i="12" s="1"/>
  <c r="AC306" i="12"/>
  <c r="BM306" i="12" s="1"/>
  <c r="AC300" i="12"/>
  <c r="BM300" i="12" s="1"/>
  <c r="AC292" i="12"/>
  <c r="BM292" i="12" s="1"/>
  <c r="AC284" i="12"/>
  <c r="BM284" i="12" s="1"/>
  <c r="AA262" i="12"/>
  <c r="BG262" i="12" s="1"/>
  <c r="AA253" i="12"/>
  <c r="BG253" i="12" s="1"/>
  <c r="AA227" i="12"/>
  <c r="BG227" i="12" s="1"/>
  <c r="AA187" i="12"/>
  <c r="BG187" i="12" s="1"/>
  <c r="AA155" i="12"/>
  <c r="BG155" i="12" s="1"/>
  <c r="BL17" i="12"/>
  <c r="BF160" i="12"/>
  <c r="AA160" i="12"/>
  <c r="BG160" i="12" s="1"/>
  <c r="BF152" i="12"/>
  <c r="AA152" i="12"/>
  <c r="BG152" i="12" s="1"/>
  <c r="BF144" i="12"/>
  <c r="AA144" i="12"/>
  <c r="BG144" i="12" s="1"/>
  <c r="BF136" i="12"/>
  <c r="AA136" i="12"/>
  <c r="BG136" i="12" s="1"/>
  <c r="BF128" i="12"/>
  <c r="AA128" i="12"/>
  <c r="BG128" i="12" s="1"/>
  <c r="BF120" i="12"/>
  <c r="AA120" i="12"/>
  <c r="BG120" i="12" s="1"/>
  <c r="BF112" i="12"/>
  <c r="AA112" i="12"/>
  <c r="BG112" i="12" s="1"/>
  <c r="BF104" i="12"/>
  <c r="AA104" i="12"/>
  <c r="BG104" i="12" s="1"/>
  <c r="BF88" i="12"/>
  <c r="AA88" i="12"/>
  <c r="BG88" i="12" s="1"/>
  <c r="BF72" i="12"/>
  <c r="AA72" i="12"/>
  <c r="BG72" i="12" s="1"/>
  <c r="BF56" i="12"/>
  <c r="AA56" i="12"/>
  <c r="BG56" i="12" s="1"/>
  <c r="BF40" i="12"/>
  <c r="AA40" i="12"/>
  <c r="BG40" i="12" s="1"/>
  <c r="BF24" i="12"/>
  <c r="AA24" i="12"/>
  <c r="BG24" i="12" s="1"/>
  <c r="BI231" i="12"/>
  <c r="AB231" i="12"/>
  <c r="BJ231" i="12" s="1"/>
  <c r="BI223" i="12"/>
  <c r="AB223" i="12"/>
  <c r="BJ223" i="12" s="1"/>
  <c r="BI215" i="12"/>
  <c r="AB215" i="12"/>
  <c r="BJ215" i="12" s="1"/>
  <c r="BI207" i="12"/>
  <c r="AB207" i="12"/>
  <c r="BJ207" i="12" s="1"/>
  <c r="BI199" i="12"/>
  <c r="AB199" i="12"/>
  <c r="BJ199" i="12" s="1"/>
  <c r="BI191" i="12"/>
  <c r="AB191" i="12"/>
  <c r="BJ191" i="12" s="1"/>
  <c r="BI183" i="12"/>
  <c r="AB183" i="12"/>
  <c r="BJ183" i="12" s="1"/>
  <c r="BI175" i="12"/>
  <c r="AB175" i="12"/>
  <c r="BJ175" i="12" s="1"/>
  <c r="BI167" i="12"/>
  <c r="AB167" i="12"/>
  <c r="BJ167" i="12" s="1"/>
  <c r="BI159" i="12"/>
  <c r="AB159" i="12"/>
  <c r="BJ159" i="12" s="1"/>
  <c r="BI151" i="12"/>
  <c r="AB151" i="12"/>
  <c r="BJ151" i="12" s="1"/>
  <c r="BI143" i="12"/>
  <c r="AB143" i="12"/>
  <c r="BJ143" i="12" s="1"/>
  <c r="BI135" i="12"/>
  <c r="AB135" i="12"/>
  <c r="BJ135" i="12" s="1"/>
  <c r="BI127" i="12"/>
  <c r="AB127" i="12"/>
  <c r="BJ127" i="12" s="1"/>
  <c r="BI119" i="12"/>
  <c r="AB119" i="12"/>
  <c r="BJ119" i="12" s="1"/>
  <c r="BI111" i="12"/>
  <c r="AB111" i="12"/>
  <c r="BJ111" i="12" s="1"/>
  <c r="BI103" i="12"/>
  <c r="AB103" i="12"/>
  <c r="BJ103" i="12" s="1"/>
  <c r="BI95" i="12"/>
  <c r="AB95" i="12"/>
  <c r="BJ95" i="12" s="1"/>
  <c r="BI87" i="12"/>
  <c r="AB87" i="12"/>
  <c r="BJ87" i="12" s="1"/>
  <c r="BI79" i="12"/>
  <c r="AB79" i="12"/>
  <c r="BJ79" i="12" s="1"/>
  <c r="BI71" i="12"/>
  <c r="AB71" i="12"/>
  <c r="BJ71" i="12" s="1"/>
  <c r="BI63" i="12"/>
  <c r="AB63" i="12"/>
  <c r="BJ63" i="12" s="1"/>
  <c r="BI55" i="12"/>
  <c r="AB55" i="12"/>
  <c r="BJ55" i="12" s="1"/>
  <c r="BI47" i="12"/>
  <c r="AB47" i="12"/>
  <c r="BJ47" i="12" s="1"/>
  <c r="BI39" i="12"/>
  <c r="AB39" i="12"/>
  <c r="BJ39" i="12" s="1"/>
  <c r="BI31" i="12"/>
  <c r="AB31" i="12"/>
  <c r="BJ31" i="12" s="1"/>
  <c r="BI23" i="12"/>
  <c r="AB23" i="12"/>
  <c r="BJ23" i="12" s="1"/>
  <c r="BI15" i="12"/>
  <c r="AB15" i="12"/>
  <c r="BJ15" i="12" s="1"/>
  <c r="BL158" i="12"/>
  <c r="AC158" i="12"/>
  <c r="BM158" i="12" s="1"/>
  <c r="BL150" i="12"/>
  <c r="AC150" i="12"/>
  <c r="BM150" i="12" s="1"/>
  <c r="BL142" i="12"/>
  <c r="AC142" i="12"/>
  <c r="BM142" i="12" s="1"/>
  <c r="BL134" i="12"/>
  <c r="AC134" i="12"/>
  <c r="BM134" i="12" s="1"/>
  <c r="BL126" i="12"/>
  <c r="AC126" i="12"/>
  <c r="BM126" i="12" s="1"/>
  <c r="BL118" i="12"/>
  <c r="AC118" i="12"/>
  <c r="BM118" i="12" s="1"/>
  <c r="BL110" i="12"/>
  <c r="AC110" i="12"/>
  <c r="BM110" i="12" s="1"/>
  <c r="BL94" i="12"/>
  <c r="AC94" i="12"/>
  <c r="BM94" i="12" s="1"/>
  <c r="BL78" i="12"/>
  <c r="AC78" i="12"/>
  <c r="BM78" i="12" s="1"/>
  <c r="BL62" i="12"/>
  <c r="AC62" i="12"/>
  <c r="BM62" i="12" s="1"/>
  <c r="BL46" i="12"/>
  <c r="AC46" i="12"/>
  <c r="BM46" i="12" s="1"/>
  <c r="BL30" i="12"/>
  <c r="AC30" i="12"/>
  <c r="BM30" i="12" s="1"/>
  <c r="BL14" i="12"/>
  <c r="AC14" i="12"/>
  <c r="BM14" i="12" s="1"/>
  <c r="AC10" i="12"/>
  <c r="BM10" i="12" s="1"/>
  <c r="AC279" i="12"/>
  <c r="BM279" i="12" s="1"/>
  <c r="AB277" i="12"/>
  <c r="BJ277" i="12" s="1"/>
  <c r="AA275" i="12"/>
  <c r="BG275" i="12" s="1"/>
  <c r="AC270" i="12"/>
  <c r="BM270" i="12" s="1"/>
  <c r="AA268" i="12"/>
  <c r="BG268" i="12" s="1"/>
  <c r="AC263" i="12"/>
  <c r="BM263" i="12" s="1"/>
  <c r="AB261" i="12"/>
  <c r="BJ261" i="12" s="1"/>
  <c r="AA259" i="12"/>
  <c r="BG259" i="12" s="1"/>
  <c r="AC254" i="12"/>
  <c r="BM254" i="12" s="1"/>
  <c r="AA252" i="12"/>
  <c r="BG252" i="12" s="1"/>
  <c r="AC247" i="12"/>
  <c r="BM247" i="12" s="1"/>
  <c r="AB245" i="12"/>
  <c r="BJ245" i="12" s="1"/>
  <c r="AA243" i="12"/>
  <c r="BG243" i="12" s="1"/>
  <c r="AC238" i="12"/>
  <c r="BM238" i="12" s="1"/>
  <c r="AA236" i="12"/>
  <c r="BG236" i="12" s="1"/>
  <c r="AC231" i="12"/>
  <c r="BM231" i="12" s="1"/>
  <c r="AA226" i="12"/>
  <c r="BG226" i="12" s="1"/>
  <c r="AC223" i="12"/>
  <c r="BM223" i="12" s="1"/>
  <c r="AA218" i="12"/>
  <c r="BG218" i="12" s="1"/>
  <c r="AC215" i="12"/>
  <c r="BM215" i="12" s="1"/>
  <c r="AA210" i="12"/>
  <c r="BG210" i="12" s="1"/>
  <c r="AC207" i="12"/>
  <c r="BM207" i="12" s="1"/>
  <c r="AA202" i="12"/>
  <c r="BG202" i="12" s="1"/>
  <c r="AC199" i="12"/>
  <c r="BM199" i="12" s="1"/>
  <c r="AA194" i="12"/>
  <c r="BG194" i="12" s="1"/>
  <c r="AC191" i="12"/>
  <c r="BM191" i="12" s="1"/>
  <c r="AA186" i="12"/>
  <c r="BG186" i="12" s="1"/>
  <c r="AC183" i="12"/>
  <c r="BM183" i="12" s="1"/>
  <c r="AA178" i="12"/>
  <c r="BG178" i="12" s="1"/>
  <c r="AC175" i="12"/>
  <c r="BM175" i="12" s="1"/>
  <c r="AA170" i="12"/>
  <c r="BG170" i="12" s="1"/>
  <c r="AC167" i="12"/>
  <c r="BM167" i="12" s="1"/>
  <c r="AC161" i="12"/>
  <c r="BM161" i="12" s="1"/>
  <c r="AC157" i="12"/>
  <c r="BM157" i="12" s="1"/>
  <c r="AC153" i="12"/>
  <c r="BM153" i="12" s="1"/>
  <c r="AC149" i="12"/>
  <c r="BM149" i="12" s="1"/>
  <c r="AC145" i="12"/>
  <c r="BM145" i="12" s="1"/>
  <c r="AC141" i="12"/>
  <c r="BM141" i="12" s="1"/>
  <c r="AC137" i="12"/>
  <c r="BM137" i="12" s="1"/>
  <c r="AC133" i="12"/>
  <c r="BM133" i="12" s="1"/>
  <c r="AC129" i="12"/>
  <c r="BM129" i="12" s="1"/>
  <c r="AC125" i="12"/>
  <c r="BM125" i="12" s="1"/>
  <c r="AC121" i="12"/>
  <c r="BM121" i="12" s="1"/>
  <c r="AC117" i="12"/>
  <c r="BM117" i="12" s="1"/>
  <c r="AC113" i="12"/>
  <c r="BM113" i="12" s="1"/>
  <c r="AC109" i="12"/>
  <c r="BM109" i="12" s="1"/>
  <c r="AC105" i="12"/>
  <c r="BM105" i="12" s="1"/>
  <c r="AA101" i="12"/>
  <c r="BG101" i="12" s="1"/>
  <c r="AC93" i="12"/>
  <c r="BM93" i="12" s="1"/>
  <c r="AA89" i="12"/>
  <c r="BG89" i="12" s="1"/>
  <c r="AC68" i="12"/>
  <c r="BM68" i="12" s="1"/>
  <c r="AC64" i="12"/>
  <c r="BM64" i="12" s="1"/>
  <c r="AA60" i="12"/>
  <c r="BG60" i="12" s="1"/>
  <c r="AB52" i="12"/>
  <c r="BJ52" i="12" s="1"/>
  <c r="AA48" i="12"/>
  <c r="BG48" i="12" s="1"/>
  <c r="AC39" i="12"/>
  <c r="BM39" i="12" s="1"/>
  <c r="AC27" i="12"/>
  <c r="BM27" i="12" s="1"/>
  <c r="AA11" i="12"/>
  <c r="BG11" i="12" s="1"/>
  <c r="BF61" i="12"/>
  <c r="AA61" i="12"/>
  <c r="BG61" i="12" s="1"/>
  <c r="BF29" i="12"/>
  <c r="AA29" i="12"/>
  <c r="BG29" i="12" s="1"/>
  <c r="BI260" i="12"/>
  <c r="AB260" i="12"/>
  <c r="BJ260" i="12" s="1"/>
  <c r="BI220" i="12"/>
  <c r="AB220" i="12"/>
  <c r="BJ220" i="12" s="1"/>
  <c r="BI180" i="12"/>
  <c r="AB180" i="12"/>
  <c r="BJ180" i="12" s="1"/>
  <c r="BI148" i="12"/>
  <c r="AB148" i="12"/>
  <c r="BJ148" i="12" s="1"/>
  <c r="BI108" i="12"/>
  <c r="AB108" i="12"/>
  <c r="BJ108" i="12" s="1"/>
  <c r="BF83" i="12"/>
  <c r="AA83" i="12"/>
  <c r="BG83" i="12" s="1"/>
  <c r="BF51" i="12"/>
  <c r="AA51" i="12"/>
  <c r="BG51" i="12" s="1"/>
  <c r="BI250" i="12"/>
  <c r="AB250" i="12"/>
  <c r="BJ250" i="12" s="1"/>
  <c r="BI202" i="12"/>
  <c r="AB202" i="12"/>
  <c r="BJ202" i="12" s="1"/>
  <c r="BI162" i="12"/>
  <c r="AB162" i="12"/>
  <c r="BJ162" i="12" s="1"/>
  <c r="BI122" i="12"/>
  <c r="AB122" i="12"/>
  <c r="BJ122" i="12" s="1"/>
  <c r="BI90" i="12"/>
  <c r="AB90" i="12"/>
  <c r="BJ90" i="12" s="1"/>
  <c r="BI58" i="12"/>
  <c r="AB58" i="12"/>
  <c r="BJ58" i="12" s="1"/>
  <c r="BI26" i="12"/>
  <c r="AB26" i="12"/>
  <c r="BJ26" i="12" s="1"/>
  <c r="BL65" i="12"/>
  <c r="AC65" i="12"/>
  <c r="BM65" i="12" s="1"/>
  <c r="BL25" i="12"/>
  <c r="AC25" i="12"/>
  <c r="BM25" i="12" s="1"/>
  <c r="AC346" i="12"/>
  <c r="BM346" i="12" s="1"/>
  <c r="AC338" i="12"/>
  <c r="BM338" i="12" s="1"/>
  <c r="BF103" i="12"/>
  <c r="AA103" i="12"/>
  <c r="BG103" i="12" s="1"/>
  <c r="BF95" i="12"/>
  <c r="AA95" i="12"/>
  <c r="BG95" i="12" s="1"/>
  <c r="BF87" i="12"/>
  <c r="AA87" i="12"/>
  <c r="BG87" i="12" s="1"/>
  <c r="BF79" i="12"/>
  <c r="AA79" i="12"/>
  <c r="BG79" i="12" s="1"/>
  <c r="BF71" i="12"/>
  <c r="AA71" i="12"/>
  <c r="BG71" i="12" s="1"/>
  <c r="BF63" i="12"/>
  <c r="AA63" i="12"/>
  <c r="BG63" i="12" s="1"/>
  <c r="BF55" i="12"/>
  <c r="AA55" i="12"/>
  <c r="BG55" i="12" s="1"/>
  <c r="BF47" i="12"/>
  <c r="AA47" i="12"/>
  <c r="BG47" i="12" s="1"/>
  <c r="BF39" i="12"/>
  <c r="AA39" i="12"/>
  <c r="BG39" i="12" s="1"/>
  <c r="BF31" i="12"/>
  <c r="AA31" i="12"/>
  <c r="BG31" i="12" s="1"/>
  <c r="BF23" i="12"/>
  <c r="AA23" i="12"/>
  <c r="BG23" i="12" s="1"/>
  <c r="BF15" i="12"/>
  <c r="AA15" i="12"/>
  <c r="BG15" i="12" s="1"/>
  <c r="BI278" i="12"/>
  <c r="AB278" i="12"/>
  <c r="BJ278" i="12" s="1"/>
  <c r="BI270" i="12"/>
  <c r="AB270" i="12"/>
  <c r="BJ270" i="12" s="1"/>
  <c r="BI262" i="12"/>
  <c r="AB262" i="12"/>
  <c r="BJ262" i="12" s="1"/>
  <c r="BI254" i="12"/>
  <c r="AB254" i="12"/>
  <c r="BJ254" i="12" s="1"/>
  <c r="BI246" i="12"/>
  <c r="AB246" i="12"/>
  <c r="BJ246" i="12" s="1"/>
  <c r="BI238" i="12"/>
  <c r="AB238" i="12"/>
  <c r="BJ238" i="12" s="1"/>
  <c r="BI230" i="12"/>
  <c r="AB230" i="12"/>
  <c r="BJ230" i="12" s="1"/>
  <c r="BI222" i="12"/>
  <c r="AB222" i="12"/>
  <c r="BJ222" i="12" s="1"/>
  <c r="BI214" i="12"/>
  <c r="AB214" i="12"/>
  <c r="BJ214" i="12" s="1"/>
  <c r="BI206" i="12"/>
  <c r="AB206" i="12"/>
  <c r="BJ206" i="12" s="1"/>
  <c r="BI198" i="12"/>
  <c r="AB198" i="12"/>
  <c r="BJ198" i="12" s="1"/>
  <c r="BI190" i="12"/>
  <c r="AB190" i="12"/>
  <c r="BJ190" i="12" s="1"/>
  <c r="BI182" i="12"/>
  <c r="AB182" i="12"/>
  <c r="BJ182" i="12" s="1"/>
  <c r="BI174" i="12"/>
  <c r="AB174" i="12"/>
  <c r="BJ174" i="12" s="1"/>
  <c r="BI166" i="12"/>
  <c r="AB166" i="12"/>
  <c r="BJ166" i="12" s="1"/>
  <c r="BI158" i="12"/>
  <c r="AB158" i="12"/>
  <c r="BJ158" i="12" s="1"/>
  <c r="BI150" i="12"/>
  <c r="AB150" i="12"/>
  <c r="BJ150" i="12" s="1"/>
  <c r="BI142" i="12"/>
  <c r="AB142" i="12"/>
  <c r="BJ142" i="12" s="1"/>
  <c r="BI134" i="12"/>
  <c r="AB134" i="12"/>
  <c r="BJ134" i="12" s="1"/>
  <c r="BI126" i="12"/>
  <c r="AB126" i="12"/>
  <c r="BJ126" i="12" s="1"/>
  <c r="BI118" i="12"/>
  <c r="AB118" i="12"/>
  <c r="BJ118" i="12" s="1"/>
  <c r="BI110" i="12"/>
  <c r="AB110" i="12"/>
  <c r="BJ110" i="12" s="1"/>
  <c r="BI102" i="12"/>
  <c r="AB102" i="12"/>
  <c r="BJ102" i="12" s="1"/>
  <c r="BI86" i="12"/>
  <c r="AB86" i="12"/>
  <c r="BJ86" i="12" s="1"/>
  <c r="BI70" i="12"/>
  <c r="AB70" i="12"/>
  <c r="BJ70" i="12" s="1"/>
  <c r="BI54" i="12"/>
  <c r="AB54" i="12"/>
  <c r="BJ54" i="12" s="1"/>
  <c r="BI38" i="12"/>
  <c r="AB38" i="12"/>
  <c r="BJ38" i="12" s="1"/>
  <c r="BI22" i="12"/>
  <c r="AB22" i="12"/>
  <c r="BJ22" i="12" s="1"/>
  <c r="BL101" i="12"/>
  <c r="AC101" i="12"/>
  <c r="BM101" i="12" s="1"/>
  <c r="BL85" i="12"/>
  <c r="AC85" i="12"/>
  <c r="BM85" i="12" s="1"/>
  <c r="BL69" i="12"/>
  <c r="AC69" i="12"/>
  <c r="BM69" i="12" s="1"/>
  <c r="BL53" i="12"/>
  <c r="AC53" i="12"/>
  <c r="BM53" i="12" s="1"/>
  <c r="BL37" i="12"/>
  <c r="AC37" i="12"/>
  <c r="BM37" i="12" s="1"/>
  <c r="BL21" i="12"/>
  <c r="AC21" i="12"/>
  <c r="BM21" i="12" s="1"/>
  <c r="AC375" i="12"/>
  <c r="BM375" i="12" s="1"/>
  <c r="AC373" i="12"/>
  <c r="BM373" i="12" s="1"/>
  <c r="AC371" i="12"/>
  <c r="BM371" i="12" s="1"/>
  <c r="AC369" i="12"/>
  <c r="BM369" i="12" s="1"/>
  <c r="AC367" i="12"/>
  <c r="BM367" i="12" s="1"/>
  <c r="AC365" i="12"/>
  <c r="BM365" i="12" s="1"/>
  <c r="AC363" i="12"/>
  <c r="BM363" i="12" s="1"/>
  <c r="AC361" i="12"/>
  <c r="BM361" i="12" s="1"/>
  <c r="AC359" i="12"/>
  <c r="BM359" i="12" s="1"/>
  <c r="AC357" i="12"/>
  <c r="BM357" i="12" s="1"/>
  <c r="AC355" i="12"/>
  <c r="BM355" i="12" s="1"/>
  <c r="AC353" i="12"/>
  <c r="BM353" i="12" s="1"/>
  <c r="AC351" i="12"/>
  <c r="BM351" i="12" s="1"/>
  <c r="AC349" i="12"/>
  <c r="BM349" i="12" s="1"/>
  <c r="AC347" i="12"/>
  <c r="BM347" i="12" s="1"/>
  <c r="AC345" i="12"/>
  <c r="BM345" i="12" s="1"/>
  <c r="AC343" i="12"/>
  <c r="BM343" i="12" s="1"/>
  <c r="AC341" i="12"/>
  <c r="BM341" i="12" s="1"/>
  <c r="AC339" i="12"/>
  <c r="BM339" i="12" s="1"/>
  <c r="AC337" i="12"/>
  <c r="BM337" i="12" s="1"/>
  <c r="AC335" i="12"/>
  <c r="BM335" i="12" s="1"/>
  <c r="AC333" i="12"/>
  <c r="BM333" i="12" s="1"/>
  <c r="AC331" i="12"/>
  <c r="BM331" i="12" s="1"/>
  <c r="AC329" i="12"/>
  <c r="BM329" i="12" s="1"/>
  <c r="AC327" i="12"/>
  <c r="BM327" i="12" s="1"/>
  <c r="AC325" i="12"/>
  <c r="BM325" i="12" s="1"/>
  <c r="AC323" i="12"/>
  <c r="BM323" i="12" s="1"/>
  <c r="AC321" i="12"/>
  <c r="BM321" i="12" s="1"/>
  <c r="AC319" i="12"/>
  <c r="BM319" i="12" s="1"/>
  <c r="AC317" i="12"/>
  <c r="BM317" i="12" s="1"/>
  <c r="AC315" i="12"/>
  <c r="BM315" i="12" s="1"/>
  <c r="AC313" i="12"/>
  <c r="BM313" i="12" s="1"/>
  <c r="AC311" i="12"/>
  <c r="BM311" i="12" s="1"/>
  <c r="AC309" i="12"/>
  <c r="BM309" i="12" s="1"/>
  <c r="AC307" i="12"/>
  <c r="BM307" i="12" s="1"/>
  <c r="AC305" i="12"/>
  <c r="BM305" i="12" s="1"/>
  <c r="AC303" i="12"/>
  <c r="BM303" i="12" s="1"/>
  <c r="AC301" i="12"/>
  <c r="BM301" i="12" s="1"/>
  <c r="AC299" i="12"/>
  <c r="BM299" i="12" s="1"/>
  <c r="AC297" i="12"/>
  <c r="BM297" i="12" s="1"/>
  <c r="AC295" i="12"/>
  <c r="BM295" i="12" s="1"/>
  <c r="AC293" i="12"/>
  <c r="BM293" i="12" s="1"/>
  <c r="AC291" i="12"/>
  <c r="BM291" i="12" s="1"/>
  <c r="AC289" i="12"/>
  <c r="BM289" i="12" s="1"/>
  <c r="AC287" i="12"/>
  <c r="BM287" i="12" s="1"/>
  <c r="AC285" i="12"/>
  <c r="BM285" i="12" s="1"/>
  <c r="AC283" i="12"/>
  <c r="BM283" i="12" s="1"/>
  <c r="AC281" i="12"/>
  <c r="BM281" i="12" s="1"/>
  <c r="AB279" i="12"/>
  <c r="BJ279" i="12" s="1"/>
  <c r="AA277" i="12"/>
  <c r="BG277" i="12" s="1"/>
  <c r="AC272" i="12"/>
  <c r="BM272" i="12" s="1"/>
  <c r="AA270" i="12"/>
  <c r="BG270" i="12" s="1"/>
  <c r="AC265" i="12"/>
  <c r="BM265" i="12" s="1"/>
  <c r="AB263" i="12"/>
  <c r="BJ263" i="12" s="1"/>
  <c r="AA261" i="12"/>
  <c r="BG261" i="12" s="1"/>
  <c r="AC256" i="12"/>
  <c r="BM256" i="12" s="1"/>
  <c r="AA254" i="12"/>
  <c r="BG254" i="12" s="1"/>
  <c r="AC249" i="12"/>
  <c r="BM249" i="12" s="1"/>
  <c r="AB247" i="12"/>
  <c r="BJ247" i="12" s="1"/>
  <c r="AA245" i="12"/>
  <c r="BG245" i="12" s="1"/>
  <c r="AC240" i="12"/>
  <c r="BM240" i="12" s="1"/>
  <c r="AA238" i="12"/>
  <c r="BG238" i="12" s="1"/>
  <c r="AC233" i="12"/>
  <c r="BM233" i="12" s="1"/>
  <c r="AA231" i="12"/>
  <c r="BG231" i="12" s="1"/>
  <c r="AC228" i="12"/>
  <c r="BM228" i="12" s="1"/>
  <c r="AA223" i="12"/>
  <c r="BG223" i="12" s="1"/>
  <c r="AC220" i="12"/>
  <c r="BM220" i="12" s="1"/>
  <c r="AA215" i="12"/>
  <c r="BG215" i="12" s="1"/>
  <c r="AC212" i="12"/>
  <c r="BM212" i="12" s="1"/>
  <c r="AA207" i="12"/>
  <c r="BG207" i="12" s="1"/>
  <c r="AC204" i="12"/>
  <c r="BM204" i="12" s="1"/>
  <c r="AA199" i="12"/>
  <c r="BG199" i="12" s="1"/>
  <c r="AC196" i="12"/>
  <c r="BM196" i="12" s="1"/>
  <c r="AA191" i="12"/>
  <c r="BG191" i="12" s="1"/>
  <c r="AC188" i="12"/>
  <c r="BM188" i="12" s="1"/>
  <c r="AA183" i="12"/>
  <c r="BG183" i="12" s="1"/>
  <c r="AC180" i="12"/>
  <c r="BM180" i="12" s="1"/>
  <c r="AA175" i="12"/>
  <c r="BG175" i="12" s="1"/>
  <c r="AC172" i="12"/>
  <c r="BM172" i="12" s="1"/>
  <c r="AA167" i="12"/>
  <c r="BG167" i="12" s="1"/>
  <c r="AC164" i="12"/>
  <c r="BM164" i="12" s="1"/>
  <c r="AA161" i="12"/>
  <c r="BG161" i="12" s="1"/>
  <c r="AA157" i="12"/>
  <c r="BG157" i="12" s="1"/>
  <c r="AA153" i="12"/>
  <c r="BG153" i="12" s="1"/>
  <c r="AA149" i="12"/>
  <c r="BG149" i="12" s="1"/>
  <c r="AA145" i="12"/>
  <c r="BG145" i="12" s="1"/>
  <c r="AA141" i="12"/>
  <c r="BG141" i="12" s="1"/>
  <c r="AA137" i="12"/>
  <c r="BG137" i="12" s="1"/>
  <c r="AA133" i="12"/>
  <c r="BG133" i="12" s="1"/>
  <c r="AA129" i="12"/>
  <c r="BG129" i="12" s="1"/>
  <c r="AA125" i="12"/>
  <c r="BG125" i="12" s="1"/>
  <c r="AA121" i="12"/>
  <c r="BG121" i="12" s="1"/>
  <c r="AA117" i="12"/>
  <c r="BG117" i="12" s="1"/>
  <c r="AA113" i="12"/>
  <c r="BG113" i="12" s="1"/>
  <c r="AA109" i="12"/>
  <c r="BG109" i="12" s="1"/>
  <c r="AA105" i="12"/>
  <c r="BG105" i="12" s="1"/>
  <c r="AC84" i="12"/>
  <c r="BM84" i="12" s="1"/>
  <c r="AC80" i="12"/>
  <c r="BM80" i="12" s="1"/>
  <c r="AA76" i="12"/>
  <c r="BG76" i="12" s="1"/>
  <c r="AB68" i="12"/>
  <c r="BJ68" i="12" s="1"/>
  <c r="AA64" i="12"/>
  <c r="BG64" i="12" s="1"/>
  <c r="AC55" i="12"/>
  <c r="BM55" i="12" s="1"/>
  <c r="AC43" i="12"/>
  <c r="BM43" i="12" s="1"/>
  <c r="AA27" i="12"/>
  <c r="BG27" i="12" s="1"/>
  <c r="AC22" i="12"/>
  <c r="BM22" i="12" s="1"/>
  <c r="AB18" i="12"/>
  <c r="BJ18" i="12" s="1"/>
  <c r="AB14" i="12"/>
  <c r="BJ14" i="12" s="1"/>
  <c r="BI116" i="12"/>
  <c r="AB116" i="12"/>
  <c r="BJ116" i="12" s="1"/>
  <c r="BL83" i="12"/>
  <c r="AC83" i="12"/>
  <c r="BM83" i="12" s="1"/>
  <c r="BI258" i="12"/>
  <c r="AB258" i="12"/>
  <c r="BJ258" i="12" s="1"/>
  <c r="BI218" i="12"/>
  <c r="AB218" i="12"/>
  <c r="BJ218" i="12" s="1"/>
  <c r="BI170" i="12"/>
  <c r="AB170" i="12"/>
  <c r="BJ170" i="12" s="1"/>
  <c r="BI130" i="12"/>
  <c r="AB130" i="12"/>
  <c r="BJ130" i="12" s="1"/>
  <c r="BL81" i="12"/>
  <c r="AC81" i="12"/>
  <c r="BM81" i="12" s="1"/>
  <c r="BL49" i="12"/>
  <c r="AC49" i="12"/>
  <c r="BM49" i="12" s="1"/>
  <c r="AC370" i="12"/>
  <c r="BM370" i="12" s="1"/>
  <c r="AC364" i="12"/>
  <c r="BM364" i="12" s="1"/>
  <c r="AC314" i="12"/>
  <c r="BM314" i="12" s="1"/>
  <c r="AC298" i="12"/>
  <c r="BM298" i="12" s="1"/>
  <c r="AA278" i="12"/>
  <c r="BG278" i="12" s="1"/>
  <c r="AC257" i="12"/>
  <c r="BM257" i="12" s="1"/>
  <c r="AA195" i="12"/>
  <c r="BG195" i="12" s="1"/>
  <c r="AA147" i="12"/>
  <c r="BG147" i="12" s="1"/>
  <c r="AA107" i="12"/>
  <c r="BG107" i="12" s="1"/>
  <c r="AA91" i="12"/>
  <c r="BG91" i="12" s="1"/>
  <c r="AA53" i="12"/>
  <c r="BG53" i="12" s="1"/>
  <c r="AC20" i="12"/>
  <c r="BM20" i="12" s="1"/>
  <c r="BF158" i="12"/>
  <c r="AA158" i="12"/>
  <c r="BG158" i="12" s="1"/>
  <c r="BF150" i="12"/>
  <c r="AA150" i="12"/>
  <c r="BG150" i="12" s="1"/>
  <c r="BF142" i="12"/>
  <c r="AA142" i="12"/>
  <c r="BG142" i="12" s="1"/>
  <c r="BF134" i="12"/>
  <c r="AA134" i="12"/>
  <c r="BG134" i="12" s="1"/>
  <c r="BF126" i="12"/>
  <c r="AA126" i="12"/>
  <c r="BG126" i="12" s="1"/>
  <c r="BF118" i="12"/>
  <c r="AA118" i="12"/>
  <c r="BG118" i="12" s="1"/>
  <c r="BF110" i="12"/>
  <c r="AA110" i="12"/>
  <c r="BG110" i="12" s="1"/>
  <c r="BF102" i="12"/>
  <c r="AA102" i="12"/>
  <c r="BG102" i="12" s="1"/>
  <c r="BF94" i="12"/>
  <c r="AA94" i="12"/>
  <c r="BG94" i="12" s="1"/>
  <c r="AA86" i="12"/>
  <c r="BG86" i="12" s="1"/>
  <c r="BF86" i="12"/>
  <c r="BF78" i="12"/>
  <c r="AA78" i="12"/>
  <c r="BG78" i="12" s="1"/>
  <c r="BF70" i="12"/>
  <c r="AA70" i="12"/>
  <c r="BG70" i="12" s="1"/>
  <c r="BF62" i="12"/>
  <c r="AA62" i="12"/>
  <c r="BG62" i="12" s="1"/>
  <c r="BF54" i="12"/>
  <c r="AA54" i="12"/>
  <c r="BG54" i="12" s="1"/>
  <c r="BF46" i="12"/>
  <c r="AA46" i="12"/>
  <c r="BG46" i="12" s="1"/>
  <c r="BF38" i="12"/>
  <c r="AA38" i="12"/>
  <c r="BG38" i="12" s="1"/>
  <c r="BF30" i="12"/>
  <c r="AA30" i="12"/>
  <c r="BG30" i="12" s="1"/>
  <c r="BF22" i="12"/>
  <c r="AA22" i="12"/>
  <c r="BG22" i="12" s="1"/>
  <c r="BF14" i="12"/>
  <c r="AA14" i="12"/>
  <c r="BG14" i="12" s="1"/>
  <c r="BI229" i="12"/>
  <c r="AB229" i="12"/>
  <c r="BJ229" i="12" s="1"/>
  <c r="BI221" i="12"/>
  <c r="AB221" i="12"/>
  <c r="BJ221" i="12" s="1"/>
  <c r="BI213" i="12"/>
  <c r="AB213" i="12"/>
  <c r="BJ213" i="12" s="1"/>
  <c r="BI205" i="12"/>
  <c r="AB205" i="12"/>
  <c r="BJ205" i="12" s="1"/>
  <c r="BI197" i="12"/>
  <c r="AB197" i="12"/>
  <c r="BJ197" i="12" s="1"/>
  <c r="BI189" i="12"/>
  <c r="AB189" i="12"/>
  <c r="BJ189" i="12" s="1"/>
  <c r="BI181" i="12"/>
  <c r="AB181" i="12"/>
  <c r="BJ181" i="12" s="1"/>
  <c r="BI173" i="12"/>
  <c r="AB173" i="12"/>
  <c r="BJ173" i="12" s="1"/>
  <c r="BI165" i="12"/>
  <c r="AB165" i="12"/>
  <c r="BJ165" i="12" s="1"/>
  <c r="BI157" i="12"/>
  <c r="AB157" i="12"/>
  <c r="BJ157" i="12" s="1"/>
  <c r="BI149" i="12"/>
  <c r="AB149" i="12"/>
  <c r="BJ149" i="12" s="1"/>
  <c r="BI141" i="12"/>
  <c r="AB141" i="12"/>
  <c r="BJ141" i="12" s="1"/>
  <c r="BI133" i="12"/>
  <c r="AB133" i="12"/>
  <c r="BJ133" i="12" s="1"/>
  <c r="BI125" i="12"/>
  <c r="AB125" i="12"/>
  <c r="BJ125" i="12" s="1"/>
  <c r="BI117" i="12"/>
  <c r="AB117" i="12"/>
  <c r="BJ117" i="12" s="1"/>
  <c r="BI109" i="12"/>
  <c r="AB109" i="12"/>
  <c r="BJ109" i="12" s="1"/>
  <c r="BI101" i="12"/>
  <c r="AB101" i="12"/>
  <c r="BJ101" i="12" s="1"/>
  <c r="BI93" i="12"/>
  <c r="AB93" i="12"/>
  <c r="BJ93" i="12" s="1"/>
  <c r="BI85" i="12"/>
  <c r="AB85" i="12"/>
  <c r="BJ85" i="12" s="1"/>
  <c r="BI77" i="12"/>
  <c r="AB77" i="12"/>
  <c r="BJ77" i="12" s="1"/>
  <c r="BI69" i="12"/>
  <c r="AB69" i="12"/>
  <c r="BJ69" i="12" s="1"/>
  <c r="BI61" i="12"/>
  <c r="AB61" i="12"/>
  <c r="BJ61" i="12" s="1"/>
  <c r="BI53" i="12"/>
  <c r="AB53" i="12"/>
  <c r="BJ53" i="12" s="1"/>
  <c r="BI45" i="12"/>
  <c r="AB45" i="12"/>
  <c r="BJ45" i="12" s="1"/>
  <c r="BI37" i="12"/>
  <c r="AB37" i="12"/>
  <c r="BJ37" i="12" s="1"/>
  <c r="BI29" i="12"/>
  <c r="AB29" i="12"/>
  <c r="BJ29" i="12" s="1"/>
  <c r="BI21" i="12"/>
  <c r="AB21" i="12"/>
  <c r="BJ21" i="12" s="1"/>
  <c r="BI13" i="12"/>
  <c r="AB13" i="12"/>
  <c r="BJ13" i="12" s="1"/>
  <c r="BL156" i="12"/>
  <c r="AC156" i="12"/>
  <c r="BM156" i="12" s="1"/>
  <c r="BL148" i="12"/>
  <c r="AC148" i="12"/>
  <c r="BM148" i="12" s="1"/>
  <c r="BL140" i="12"/>
  <c r="AC140" i="12"/>
  <c r="BM140" i="12" s="1"/>
  <c r="BL132" i="12"/>
  <c r="AC132" i="12"/>
  <c r="BM132" i="12" s="1"/>
  <c r="BL124" i="12"/>
  <c r="AC124" i="12"/>
  <c r="BM124" i="12" s="1"/>
  <c r="BL116" i="12"/>
  <c r="AC116" i="12"/>
  <c r="BM116" i="12" s="1"/>
  <c r="BL108" i="12"/>
  <c r="AC108" i="12"/>
  <c r="BM108" i="12" s="1"/>
  <c r="BL92" i="12"/>
  <c r="AC92" i="12"/>
  <c r="BM92" i="12" s="1"/>
  <c r="BL76" i="12"/>
  <c r="AC76" i="12"/>
  <c r="BM76" i="12" s="1"/>
  <c r="BL60" i="12"/>
  <c r="AC60" i="12"/>
  <c r="BM60" i="12" s="1"/>
  <c r="BL44" i="12"/>
  <c r="AC44" i="12"/>
  <c r="BM44" i="12" s="1"/>
  <c r="BL28" i="12"/>
  <c r="AC28" i="12"/>
  <c r="BM28" i="12" s="1"/>
  <c r="BL12" i="12"/>
  <c r="AC12" i="12"/>
  <c r="BM12" i="12" s="1"/>
  <c r="AB375" i="12"/>
  <c r="BJ375" i="12" s="1"/>
  <c r="AB373" i="12"/>
  <c r="BJ373" i="12" s="1"/>
  <c r="AB371" i="12"/>
  <c r="BJ371" i="12" s="1"/>
  <c r="AB369" i="12"/>
  <c r="BJ369" i="12" s="1"/>
  <c r="AB367" i="12"/>
  <c r="BJ367" i="12" s="1"/>
  <c r="AB365" i="12"/>
  <c r="BJ365" i="12" s="1"/>
  <c r="AB363" i="12"/>
  <c r="BJ363" i="12" s="1"/>
  <c r="AB361" i="12"/>
  <c r="BJ361" i="12" s="1"/>
  <c r="AB359" i="12"/>
  <c r="BJ359" i="12" s="1"/>
  <c r="AB357" i="12"/>
  <c r="BJ357" i="12" s="1"/>
  <c r="AB355" i="12"/>
  <c r="BJ355" i="12" s="1"/>
  <c r="AB353" i="12"/>
  <c r="BJ353" i="12" s="1"/>
  <c r="AB351" i="12"/>
  <c r="BJ351" i="12" s="1"/>
  <c r="AB349" i="12"/>
  <c r="BJ349" i="12" s="1"/>
  <c r="AB347" i="12"/>
  <c r="BJ347" i="12" s="1"/>
  <c r="AB345" i="12"/>
  <c r="BJ345" i="12" s="1"/>
  <c r="AB343" i="12"/>
  <c r="BJ343" i="12" s="1"/>
  <c r="AB341" i="12"/>
  <c r="BJ341" i="12" s="1"/>
  <c r="AB339" i="12"/>
  <c r="BJ339" i="12" s="1"/>
  <c r="AB337" i="12"/>
  <c r="BJ337" i="12" s="1"/>
  <c r="AB335" i="12"/>
  <c r="BJ335" i="12" s="1"/>
  <c r="AB333" i="12"/>
  <c r="BJ333" i="12" s="1"/>
  <c r="AB331" i="12"/>
  <c r="BJ331" i="12" s="1"/>
  <c r="AB329" i="12"/>
  <c r="BJ329" i="12" s="1"/>
  <c r="AB327" i="12"/>
  <c r="BJ327" i="12" s="1"/>
  <c r="AB325" i="12"/>
  <c r="BJ325" i="12" s="1"/>
  <c r="AB323" i="12"/>
  <c r="BJ323" i="12" s="1"/>
  <c r="AB321" i="12"/>
  <c r="BJ321" i="12" s="1"/>
  <c r="AB319" i="12"/>
  <c r="BJ319" i="12" s="1"/>
  <c r="AB317" i="12"/>
  <c r="BJ317" i="12" s="1"/>
  <c r="AB315" i="12"/>
  <c r="BJ315" i="12" s="1"/>
  <c r="AB313" i="12"/>
  <c r="BJ313" i="12" s="1"/>
  <c r="AB311" i="12"/>
  <c r="BJ311" i="12" s="1"/>
  <c r="AB309" i="12"/>
  <c r="BJ309" i="12" s="1"/>
  <c r="AB307" i="12"/>
  <c r="BJ307" i="12" s="1"/>
  <c r="AB305" i="12"/>
  <c r="BJ305" i="12" s="1"/>
  <c r="AB303" i="12"/>
  <c r="BJ303" i="12" s="1"/>
  <c r="AB301" i="12"/>
  <c r="BJ301" i="12" s="1"/>
  <c r="AB299" i="12"/>
  <c r="BJ299" i="12" s="1"/>
  <c r="AB297" i="12"/>
  <c r="BJ297" i="12" s="1"/>
  <c r="AB295" i="12"/>
  <c r="BJ295" i="12" s="1"/>
  <c r="AB293" i="12"/>
  <c r="BJ293" i="12" s="1"/>
  <c r="AB291" i="12"/>
  <c r="BJ291" i="12" s="1"/>
  <c r="AB289" i="12"/>
  <c r="BJ289" i="12" s="1"/>
  <c r="AB287" i="12"/>
  <c r="BJ287" i="12" s="1"/>
  <c r="AB285" i="12"/>
  <c r="BJ285" i="12" s="1"/>
  <c r="AB283" i="12"/>
  <c r="BJ283" i="12" s="1"/>
  <c r="AB281" i="12"/>
  <c r="BJ281" i="12" s="1"/>
  <c r="AA279" i="12"/>
  <c r="BG279" i="12" s="1"/>
  <c r="AC274" i="12"/>
  <c r="BM274" i="12" s="1"/>
  <c r="AA272" i="12"/>
  <c r="BG272" i="12" s="1"/>
  <c r="AC267" i="12"/>
  <c r="BM267" i="12" s="1"/>
  <c r="AB265" i="12"/>
  <c r="BJ265" i="12" s="1"/>
  <c r="AA263" i="12"/>
  <c r="BG263" i="12" s="1"/>
  <c r="AC258" i="12"/>
  <c r="BM258" i="12" s="1"/>
  <c r="AA256" i="12"/>
  <c r="BG256" i="12" s="1"/>
  <c r="AC251" i="12"/>
  <c r="BM251" i="12" s="1"/>
  <c r="AB249" i="12"/>
  <c r="BJ249" i="12" s="1"/>
  <c r="AA247" i="12"/>
  <c r="BG247" i="12" s="1"/>
  <c r="AC242" i="12"/>
  <c r="BM242" i="12" s="1"/>
  <c r="AA240" i="12"/>
  <c r="BG240" i="12" s="1"/>
  <c r="AC235" i="12"/>
  <c r="BM235" i="12" s="1"/>
  <c r="AB233" i="12"/>
  <c r="BJ233" i="12" s="1"/>
  <c r="AA228" i="12"/>
  <c r="BG228" i="12" s="1"/>
  <c r="AC225" i="12"/>
  <c r="BM225" i="12" s="1"/>
  <c r="AA220" i="12"/>
  <c r="BG220" i="12" s="1"/>
  <c r="AC217" i="12"/>
  <c r="BM217" i="12" s="1"/>
  <c r="AA212" i="12"/>
  <c r="BG212" i="12" s="1"/>
  <c r="AC209" i="12"/>
  <c r="BM209" i="12" s="1"/>
  <c r="AA204" i="12"/>
  <c r="BG204" i="12" s="1"/>
  <c r="AC201" i="12"/>
  <c r="BM201" i="12" s="1"/>
  <c r="AA196" i="12"/>
  <c r="BG196" i="12" s="1"/>
  <c r="AC193" i="12"/>
  <c r="BM193" i="12" s="1"/>
  <c r="AA188" i="12"/>
  <c r="BG188" i="12" s="1"/>
  <c r="AC185" i="12"/>
  <c r="BM185" i="12" s="1"/>
  <c r="AA180" i="12"/>
  <c r="BG180" i="12" s="1"/>
  <c r="AC177" i="12"/>
  <c r="BM177" i="12" s="1"/>
  <c r="AA172" i="12"/>
  <c r="BG172" i="12" s="1"/>
  <c r="AC169" i="12"/>
  <c r="BM169" i="12" s="1"/>
  <c r="AA164" i="12"/>
  <c r="BG164" i="12" s="1"/>
  <c r="AC100" i="12"/>
  <c r="BM100" i="12" s="1"/>
  <c r="AC96" i="12"/>
  <c r="BM96" i="12" s="1"/>
  <c r="AA92" i="12"/>
  <c r="BG92" i="12" s="1"/>
  <c r="AB84" i="12"/>
  <c r="BJ84" i="12" s="1"/>
  <c r="AA80" i="12"/>
  <c r="BG80" i="12" s="1"/>
  <c r="AC71" i="12"/>
  <c r="BM71" i="12" s="1"/>
  <c r="AC59" i="12"/>
  <c r="BM59" i="12" s="1"/>
  <c r="AA43" i="12"/>
  <c r="BG43" i="12" s="1"/>
  <c r="AC38" i="12"/>
  <c r="BM38" i="12" s="1"/>
  <c r="AB34" i="12"/>
  <c r="BJ34" i="12" s="1"/>
  <c r="AB30" i="12"/>
  <c r="BJ30" i="12" s="1"/>
  <c r="AA18" i="12"/>
  <c r="BG18" i="12" s="1"/>
  <c r="F28" i="7"/>
  <c r="F27" i="7"/>
  <c r="G44" i="7"/>
  <c r="G42" i="7"/>
  <c r="N67" i="7"/>
  <c r="M80" i="7"/>
  <c r="P69" i="7"/>
  <c r="N80" i="7"/>
  <c r="Q69" i="7"/>
  <c r="R76" i="7"/>
  <c r="R69" i="7"/>
  <c r="N69" i="7"/>
  <c r="R78" i="7"/>
  <c r="P76" i="7"/>
  <c r="Q76" i="7"/>
  <c r="M67" i="7"/>
  <c r="M71" i="7"/>
  <c r="P80" i="7"/>
  <c r="P67" i="7"/>
  <c r="N71" i="7"/>
  <c r="M78" i="7"/>
  <c r="Q80" i="7"/>
  <c r="Q67" i="7"/>
  <c r="P71" i="7"/>
  <c r="N78" i="7"/>
  <c r="Q71" i="7"/>
  <c r="P78" i="7"/>
  <c r="N76" i="7"/>
  <c r="AF259" i="7"/>
  <c r="AA260" i="7"/>
  <c r="AB260" i="7"/>
  <c r="AC260" i="7"/>
  <c r="AD260" i="7"/>
  <c r="AE260" i="7"/>
  <c r="AF260" i="7"/>
  <c r="AA261" i="7"/>
  <c r="AB261" i="7"/>
  <c r="AC261" i="7"/>
  <c r="AD261" i="7"/>
  <c r="AE261" i="7"/>
  <c r="AF261" i="7"/>
  <c r="AA262" i="7"/>
  <c r="AB262" i="7"/>
  <c r="AC262" i="7"/>
  <c r="AD262" i="7"/>
  <c r="AE262" i="7"/>
  <c r="AF262" i="7"/>
  <c r="AA263" i="7"/>
  <c r="AB263" i="7"/>
  <c r="AC263" i="7"/>
  <c r="AE263" i="7"/>
  <c r="AF263" i="7"/>
  <c r="AA264" i="7"/>
  <c r="AB264" i="7"/>
  <c r="AC264" i="7"/>
  <c r="AE264" i="7"/>
  <c r="AB259" i="7"/>
  <c r="AC259" i="7"/>
  <c r="AD259" i="7"/>
  <c r="AE259" i="7"/>
  <c r="AA259" i="7"/>
  <c r="T259" i="7"/>
  <c r="T260" i="7"/>
  <c r="U260" i="7"/>
  <c r="V260" i="7"/>
  <c r="W260" i="7"/>
  <c r="X260" i="7"/>
  <c r="Y260" i="7"/>
  <c r="T261" i="7"/>
  <c r="U261" i="7"/>
  <c r="V261" i="7"/>
  <c r="W261" i="7"/>
  <c r="X261" i="7"/>
  <c r="Y261" i="7"/>
  <c r="T262" i="7"/>
  <c r="U262" i="7"/>
  <c r="V262" i="7"/>
  <c r="W262" i="7"/>
  <c r="X262" i="7"/>
  <c r="Y262" i="7"/>
  <c r="T263" i="7"/>
  <c r="U263" i="7"/>
  <c r="V263" i="7"/>
  <c r="W263" i="7"/>
  <c r="X263" i="7"/>
  <c r="Y263" i="7"/>
  <c r="T264" i="7"/>
  <c r="U264" i="7"/>
  <c r="V264" i="7"/>
  <c r="W264" i="7"/>
  <c r="X264" i="7"/>
  <c r="Y264" i="7"/>
  <c r="U259" i="7"/>
  <c r="V259" i="7"/>
  <c r="W259" i="7"/>
  <c r="X259" i="7"/>
  <c r="Y259" i="7"/>
  <c r="G26" i="7" l="1"/>
  <c r="D325" i="7"/>
  <c r="M325" i="7" s="1"/>
  <c r="E325" i="7"/>
  <c r="N325" i="7" s="1"/>
  <c r="F325" i="7"/>
  <c r="O325" i="7" s="1"/>
  <c r="G325" i="7"/>
  <c r="P325" i="7" s="1"/>
  <c r="H325" i="7"/>
  <c r="Q325" i="7" s="1"/>
  <c r="C325" i="7"/>
  <c r="L325" i="7" s="1"/>
  <c r="B327" i="7"/>
  <c r="K327" i="7" s="1"/>
  <c r="S327" i="7" s="1"/>
  <c r="B328" i="7"/>
  <c r="K328" i="7" s="1"/>
  <c r="S328" i="7" s="1"/>
  <c r="B329" i="7"/>
  <c r="K329" i="7" s="1"/>
  <c r="S329" i="7" s="1"/>
  <c r="B330" i="7"/>
  <c r="K330" i="7" s="1"/>
  <c r="S330" i="7" s="1"/>
  <c r="B331" i="7"/>
  <c r="K331" i="7" s="1"/>
  <c r="S331" i="7" s="1"/>
  <c r="B326" i="7"/>
  <c r="K326" i="7" s="1"/>
  <c r="S326" i="7" s="1"/>
  <c r="D315" i="7"/>
  <c r="M315" i="7" s="1"/>
  <c r="E315" i="7"/>
  <c r="N315" i="7" s="1"/>
  <c r="F315" i="7"/>
  <c r="O315" i="7" s="1"/>
  <c r="G315" i="7"/>
  <c r="P315" i="7" s="1"/>
  <c r="H315" i="7"/>
  <c r="Q315" i="7" s="1"/>
  <c r="C315" i="7"/>
  <c r="L315" i="7" s="1"/>
  <c r="B317" i="7"/>
  <c r="K317" i="7" s="1"/>
  <c r="B318" i="7"/>
  <c r="K318" i="7" s="1"/>
  <c r="B319" i="7"/>
  <c r="K319" i="7" s="1"/>
  <c r="B320" i="7"/>
  <c r="K320" i="7" s="1"/>
  <c r="B321" i="7"/>
  <c r="K321" i="7" s="1"/>
  <c r="B316" i="7"/>
  <c r="K316" i="7" s="1"/>
  <c r="D304" i="7"/>
  <c r="M304" i="7" s="1"/>
  <c r="E304" i="7"/>
  <c r="N304" i="7" s="1"/>
  <c r="F304" i="7"/>
  <c r="O304" i="7" s="1"/>
  <c r="G304" i="7"/>
  <c r="P304" i="7" s="1"/>
  <c r="H304" i="7"/>
  <c r="Q304" i="7" s="1"/>
  <c r="C304" i="7"/>
  <c r="L304" i="7" s="1"/>
  <c r="B306" i="7"/>
  <c r="K306" i="7" s="1"/>
  <c r="B307" i="7"/>
  <c r="K307" i="7" s="1"/>
  <c r="B308" i="7"/>
  <c r="K308" i="7" s="1"/>
  <c r="B309" i="7"/>
  <c r="K309" i="7" s="1"/>
  <c r="B310" i="7"/>
  <c r="K310" i="7" s="1"/>
  <c r="B305" i="7"/>
  <c r="K305" i="7" s="1"/>
  <c r="D292" i="7"/>
  <c r="M292" i="7" s="1"/>
  <c r="E292" i="7"/>
  <c r="N292" i="7" s="1"/>
  <c r="F292" i="7"/>
  <c r="O292" i="7" s="1"/>
  <c r="G292" i="7"/>
  <c r="P292" i="7" s="1"/>
  <c r="H292" i="7"/>
  <c r="Q292" i="7" s="1"/>
  <c r="C292" i="7"/>
  <c r="L292" i="7" s="1"/>
  <c r="B294" i="7"/>
  <c r="K294" i="7" s="1"/>
  <c r="S294" i="7" s="1"/>
  <c r="B295" i="7"/>
  <c r="K295" i="7" s="1"/>
  <c r="S295" i="7" s="1"/>
  <c r="B296" i="7"/>
  <c r="K296" i="7" s="1"/>
  <c r="S296" i="7" s="1"/>
  <c r="B297" i="7"/>
  <c r="K297" i="7" s="1"/>
  <c r="S297" i="7" s="1"/>
  <c r="B298" i="7"/>
  <c r="K298" i="7" s="1"/>
  <c r="S298" i="7" s="1"/>
  <c r="B293" i="7"/>
  <c r="K293" i="7" s="1"/>
  <c r="S293" i="7" s="1"/>
  <c r="B284" i="7"/>
  <c r="K284" i="7" s="1"/>
  <c r="B285" i="7"/>
  <c r="K285" i="7" s="1"/>
  <c r="B286" i="7"/>
  <c r="K286" i="7" s="1"/>
  <c r="B287" i="7"/>
  <c r="K287" i="7" s="1"/>
  <c r="B288" i="7"/>
  <c r="K288" i="7" s="1"/>
  <c r="B283" i="7"/>
  <c r="K283" i="7" s="1"/>
  <c r="D282" i="7"/>
  <c r="M282" i="7" s="1"/>
  <c r="E282" i="7"/>
  <c r="N282" i="7" s="1"/>
  <c r="F282" i="7"/>
  <c r="O282" i="7" s="1"/>
  <c r="G282" i="7"/>
  <c r="P282" i="7" s="1"/>
  <c r="H282" i="7"/>
  <c r="Q282" i="7" s="1"/>
  <c r="C282" i="7"/>
  <c r="L282" i="7" s="1"/>
  <c r="D271" i="7"/>
  <c r="M271" i="7" s="1"/>
  <c r="E271" i="7"/>
  <c r="N271" i="7" s="1"/>
  <c r="F271" i="7"/>
  <c r="O271" i="7" s="1"/>
  <c r="G271" i="7"/>
  <c r="P271" i="7" s="1"/>
  <c r="H271" i="7"/>
  <c r="Q271" i="7" s="1"/>
  <c r="C271" i="7"/>
  <c r="L271" i="7" s="1"/>
  <c r="B273" i="7"/>
  <c r="K273" i="7" s="1"/>
  <c r="B274" i="7"/>
  <c r="K274" i="7" s="1"/>
  <c r="B275" i="7"/>
  <c r="K275" i="7" s="1"/>
  <c r="B276" i="7"/>
  <c r="K276" i="7" s="1"/>
  <c r="B277" i="7"/>
  <c r="K277" i="7" s="1"/>
  <c r="B272" i="7"/>
  <c r="K272" i="7" s="1"/>
  <c r="B260" i="7"/>
  <c r="K260" i="7" s="1"/>
  <c r="S260" i="7" s="1"/>
  <c r="B261" i="7"/>
  <c r="K261" i="7" s="1"/>
  <c r="S261" i="7" s="1"/>
  <c r="B262" i="7"/>
  <c r="K262" i="7" s="1"/>
  <c r="S262" i="7" s="1"/>
  <c r="B263" i="7"/>
  <c r="K263" i="7" s="1"/>
  <c r="S263" i="7" s="1"/>
  <c r="B264" i="7"/>
  <c r="K264" i="7" s="1"/>
  <c r="S264" i="7" s="1"/>
  <c r="B259" i="7"/>
  <c r="K259" i="7" s="1"/>
  <c r="S259" i="7" s="1"/>
  <c r="B250" i="7"/>
  <c r="K250" i="7" s="1"/>
  <c r="B251" i="7"/>
  <c r="K251" i="7" s="1"/>
  <c r="B252" i="7"/>
  <c r="K252" i="7" s="1"/>
  <c r="B253" i="7"/>
  <c r="K253" i="7" s="1"/>
  <c r="B254" i="7"/>
  <c r="K254" i="7" s="1"/>
  <c r="B249" i="7"/>
  <c r="K249" i="7" s="1"/>
  <c r="D258" i="7"/>
  <c r="M258" i="7" s="1"/>
  <c r="E258" i="7"/>
  <c r="N258" i="7" s="1"/>
  <c r="F258" i="7"/>
  <c r="O258" i="7" s="1"/>
  <c r="G258" i="7"/>
  <c r="P258" i="7" s="1"/>
  <c r="H258" i="7"/>
  <c r="Q258" i="7" s="1"/>
  <c r="C258" i="7"/>
  <c r="L258" i="7" s="1"/>
  <c r="D248" i="7"/>
  <c r="M248" i="7" s="1"/>
  <c r="E248" i="7"/>
  <c r="N248" i="7" s="1"/>
  <c r="F248" i="7"/>
  <c r="O248" i="7" s="1"/>
  <c r="G248" i="7"/>
  <c r="P248" i="7" s="1"/>
  <c r="H248" i="7"/>
  <c r="Q248" i="7" s="1"/>
  <c r="C248" i="7"/>
  <c r="L248" i="7" s="1"/>
  <c r="C330" i="3"/>
  <c r="D62" i="7"/>
  <c r="E62" i="7"/>
  <c r="C62" i="7"/>
  <c r="AA3" i="3" s="1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AS268" i="9" s="1"/>
  <c r="B269" i="9"/>
  <c r="AS269" i="9" s="1"/>
  <c r="B270" i="9"/>
  <c r="AS270" i="9" s="1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" i="9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" i="3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4" i="8"/>
  <c r="B5" i="8"/>
  <c r="B6" i="8"/>
  <c r="B7" i="8"/>
  <c r="B8" i="8"/>
  <c r="B3" i="8"/>
  <c r="C3" i="3"/>
  <c r="E3" i="3" s="1"/>
  <c r="C2" i="3"/>
  <c r="E2" i="3" s="1"/>
  <c r="F2" i="3" s="1"/>
  <c r="C268" i="9"/>
  <c r="E268" i="9" s="1"/>
  <c r="J268" i="9"/>
  <c r="AK268" i="9"/>
  <c r="AQ268" i="9"/>
  <c r="C269" i="9"/>
  <c r="E269" i="9" s="1"/>
  <c r="J269" i="9"/>
  <c r="AK269" i="9"/>
  <c r="AQ269" i="9"/>
  <c r="C270" i="9"/>
  <c r="E270" i="9" s="1"/>
  <c r="J270" i="9"/>
  <c r="AK270" i="9"/>
  <c r="AQ270" i="9"/>
  <c r="E39" i="7"/>
  <c r="E38" i="7"/>
  <c r="G38" i="7" l="1"/>
  <c r="Y325" i="7"/>
  <c r="AF325" i="7"/>
  <c r="X325" i="7"/>
  <c r="AE325" i="7"/>
  <c r="AD325" i="7"/>
  <c r="W325" i="7"/>
  <c r="AC325" i="7"/>
  <c r="V325" i="7"/>
  <c r="AB325" i="7"/>
  <c r="U325" i="7"/>
  <c r="AA325" i="7"/>
  <c r="T325" i="7"/>
  <c r="V292" i="7"/>
  <c r="AC292" i="7"/>
  <c r="U258" i="7"/>
  <c r="AB258" i="7"/>
  <c r="U292" i="7"/>
  <c r="AB292" i="7"/>
  <c r="AC258" i="7"/>
  <c r="V258" i="7"/>
  <c r="T258" i="7"/>
  <c r="AA258" i="7"/>
  <c r="AA292" i="7"/>
  <c r="T292" i="7"/>
  <c r="AF258" i="7"/>
  <c r="Y258" i="7"/>
  <c r="AF292" i="7"/>
  <c r="Y292" i="7"/>
  <c r="X258" i="7"/>
  <c r="AE258" i="7"/>
  <c r="X292" i="7"/>
  <c r="AE292" i="7"/>
  <c r="W258" i="7"/>
  <c r="AD258" i="7"/>
  <c r="W292" i="7"/>
  <c r="AD292" i="7"/>
  <c r="E53" i="7"/>
  <c r="D50" i="7"/>
  <c r="D52" i="7"/>
  <c r="E37" i="7"/>
  <c r="D270" i="9"/>
  <c r="D269" i="9"/>
  <c r="AS2" i="9"/>
  <c r="AS2" i="8"/>
  <c r="AJ2" i="9"/>
  <c r="AJ2" i="8"/>
  <c r="AJ2" i="3"/>
  <c r="AQ5" i="9"/>
  <c r="AQ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4" i="9"/>
  <c r="AQ3" i="9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7" i="8"/>
  <c r="AQ248" i="8"/>
  <c r="AQ249" i="8"/>
  <c r="AQ250" i="8"/>
  <c r="AQ251" i="8"/>
  <c r="AQ252" i="8"/>
  <c r="AQ253" i="8"/>
  <c r="AQ254" i="8"/>
  <c r="AQ255" i="8"/>
  <c r="AQ256" i="8"/>
  <c r="AQ257" i="8"/>
  <c r="AQ258" i="8"/>
  <c r="AQ259" i="8"/>
  <c r="AQ260" i="8"/>
  <c r="AQ261" i="8"/>
  <c r="AQ262" i="8"/>
  <c r="AQ263" i="8"/>
  <c r="AQ264" i="8"/>
  <c r="AQ265" i="8"/>
  <c r="AQ266" i="8"/>
  <c r="AQ267" i="8"/>
  <c r="AQ268" i="8"/>
  <c r="AQ269" i="8"/>
  <c r="AQ270" i="8"/>
  <c r="AQ271" i="8"/>
  <c r="AQ272" i="8"/>
  <c r="AQ273" i="8"/>
  <c r="AQ274" i="8"/>
  <c r="AQ275" i="8"/>
  <c r="AQ276" i="8"/>
  <c r="AQ277" i="8"/>
  <c r="AQ278" i="8"/>
  <c r="AQ279" i="8"/>
  <c r="AQ280" i="8"/>
  <c r="AQ281" i="8"/>
  <c r="AQ282" i="8"/>
  <c r="AQ283" i="8"/>
  <c r="AQ284" i="8"/>
  <c r="AQ285" i="8"/>
  <c r="AQ286" i="8"/>
  <c r="AQ287" i="8"/>
  <c r="AQ288" i="8"/>
  <c r="AQ289" i="8"/>
  <c r="AQ290" i="8"/>
  <c r="AQ291" i="8"/>
  <c r="AQ292" i="8"/>
  <c r="AQ293" i="8"/>
  <c r="AQ294" i="8"/>
  <c r="AQ295" i="8"/>
  <c r="AQ296" i="8"/>
  <c r="AQ297" i="8"/>
  <c r="AQ298" i="8"/>
  <c r="AQ299" i="8"/>
  <c r="AQ300" i="8"/>
  <c r="AQ301" i="8"/>
  <c r="AQ302" i="8"/>
  <c r="AQ303" i="8"/>
  <c r="AQ304" i="8"/>
  <c r="AQ305" i="8"/>
  <c r="AQ306" i="8"/>
  <c r="AQ307" i="8"/>
  <c r="AQ308" i="8"/>
  <c r="AQ309" i="8"/>
  <c r="AQ310" i="8"/>
  <c r="AQ311" i="8"/>
  <c r="AQ312" i="8"/>
  <c r="AQ313" i="8"/>
  <c r="AQ314" i="8"/>
  <c r="AQ315" i="8"/>
  <c r="AQ316" i="8"/>
  <c r="AQ317" i="8"/>
  <c r="AQ318" i="8"/>
  <c r="AQ319" i="8"/>
  <c r="AQ320" i="8"/>
  <c r="AQ321" i="8"/>
  <c r="AQ322" i="8"/>
  <c r="AQ323" i="8"/>
  <c r="AQ324" i="8"/>
  <c r="AQ325" i="8"/>
  <c r="AQ326" i="8"/>
  <c r="AQ327" i="8"/>
  <c r="AQ328" i="8"/>
  <c r="AQ329" i="8"/>
  <c r="AQ330" i="8"/>
  <c r="AQ331" i="8"/>
  <c r="AQ332" i="8"/>
  <c r="AQ333" i="8"/>
  <c r="AQ334" i="8"/>
  <c r="AQ335" i="8"/>
  <c r="AQ336" i="8"/>
  <c r="AQ337" i="8"/>
  <c r="AQ338" i="8"/>
  <c r="AQ339" i="8"/>
  <c r="AQ340" i="8"/>
  <c r="AQ341" i="8"/>
  <c r="AQ342" i="8"/>
  <c r="AQ343" i="8"/>
  <c r="AQ344" i="8"/>
  <c r="AQ345" i="8"/>
  <c r="AQ346" i="8"/>
  <c r="AQ347" i="8"/>
  <c r="AQ348" i="8"/>
  <c r="AQ349" i="8"/>
  <c r="AQ350" i="8"/>
  <c r="AQ351" i="8"/>
  <c r="AQ352" i="8"/>
  <c r="AQ353" i="8"/>
  <c r="AQ354" i="8"/>
  <c r="AQ355" i="8"/>
  <c r="AQ356" i="8"/>
  <c r="AQ357" i="8"/>
  <c r="AQ358" i="8"/>
  <c r="AQ359" i="8"/>
  <c r="AQ360" i="8"/>
  <c r="AQ361" i="8"/>
  <c r="AQ362" i="8"/>
  <c r="AQ363" i="8"/>
  <c r="AQ364" i="8"/>
  <c r="AQ365" i="8"/>
  <c r="AQ366" i="8"/>
  <c r="AQ367" i="8"/>
  <c r="AQ4" i="8"/>
  <c r="AQ3" i="8"/>
  <c r="AS2" i="3"/>
  <c r="E52" i="7"/>
  <c r="E54" i="7"/>
  <c r="D53" i="7"/>
  <c r="D54" i="7"/>
  <c r="E49" i="7"/>
  <c r="E50" i="7"/>
  <c r="D49" i="7"/>
  <c r="D48" i="7"/>
  <c r="E48" i="7" l="1"/>
  <c r="G37" i="7"/>
  <c r="H38" i="7" s="1"/>
  <c r="F38" i="7"/>
  <c r="G2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G33" i="7"/>
  <c r="G31" i="7"/>
  <c r="H32" i="7" l="1"/>
  <c r="F32" i="7"/>
  <c r="G53" i="7"/>
  <c r="G54" i="7"/>
  <c r="G52" i="7"/>
  <c r="G50" i="7"/>
  <c r="G49" i="7"/>
  <c r="G48" i="7"/>
  <c r="H43" i="7"/>
  <c r="G39" i="7"/>
  <c r="H33" i="7"/>
  <c r="G28" i="7"/>
  <c r="G27" i="7"/>
  <c r="H27" i="7" s="1"/>
  <c r="H49" i="7" l="1"/>
  <c r="H39" i="7"/>
  <c r="H44" i="7"/>
  <c r="H28" i="7"/>
  <c r="H53" i="7"/>
  <c r="H50" i="7"/>
  <c r="H54" i="7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71" i="9"/>
  <c r="J272" i="9"/>
  <c r="J273" i="9"/>
  <c r="J274" i="9"/>
  <c r="J275" i="9"/>
  <c r="J276" i="9"/>
  <c r="J277" i="9"/>
  <c r="J278" i="9"/>
  <c r="E82" i="7" s="1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2" i="9"/>
  <c r="J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C3" i="9"/>
  <c r="E3" i="9" s="1"/>
  <c r="C4" i="9"/>
  <c r="E4" i="9" s="1"/>
  <c r="C5" i="9"/>
  <c r="E5" i="9" s="1"/>
  <c r="C6" i="9"/>
  <c r="E6" i="9" s="1"/>
  <c r="C7" i="9"/>
  <c r="E7" i="9" s="1"/>
  <c r="C8" i="9"/>
  <c r="E8" i="9" s="1"/>
  <c r="C9" i="9"/>
  <c r="E9" i="9" s="1"/>
  <c r="C10" i="9"/>
  <c r="E10" i="9" s="1"/>
  <c r="C11" i="9"/>
  <c r="E11" i="9" s="1"/>
  <c r="C12" i="9"/>
  <c r="E12" i="9" s="1"/>
  <c r="C13" i="9"/>
  <c r="E13" i="9" s="1"/>
  <c r="C14" i="9"/>
  <c r="E14" i="9" s="1"/>
  <c r="C15" i="9"/>
  <c r="E15" i="9" s="1"/>
  <c r="C16" i="9"/>
  <c r="E16" i="9" s="1"/>
  <c r="C17" i="9"/>
  <c r="E17" i="9" s="1"/>
  <c r="C18" i="9"/>
  <c r="E18" i="9" s="1"/>
  <c r="C19" i="9"/>
  <c r="E19" i="9" s="1"/>
  <c r="C20" i="9"/>
  <c r="E20" i="9" s="1"/>
  <c r="C21" i="9"/>
  <c r="E21" i="9" s="1"/>
  <c r="C22" i="9"/>
  <c r="E22" i="9" s="1"/>
  <c r="C23" i="9"/>
  <c r="E23" i="9" s="1"/>
  <c r="C24" i="9"/>
  <c r="E24" i="9" s="1"/>
  <c r="C25" i="9"/>
  <c r="E25" i="9" s="1"/>
  <c r="C26" i="9"/>
  <c r="E26" i="9" s="1"/>
  <c r="C27" i="9"/>
  <c r="E27" i="9" s="1"/>
  <c r="C28" i="9"/>
  <c r="E28" i="9" s="1"/>
  <c r="C29" i="9"/>
  <c r="E29" i="9" s="1"/>
  <c r="C30" i="9"/>
  <c r="E30" i="9" s="1"/>
  <c r="C31" i="9"/>
  <c r="E31" i="9" s="1"/>
  <c r="C32" i="9"/>
  <c r="E32" i="9" s="1"/>
  <c r="C33" i="9"/>
  <c r="E33" i="9" s="1"/>
  <c r="C34" i="9"/>
  <c r="E34" i="9" s="1"/>
  <c r="C35" i="9"/>
  <c r="E35" i="9" s="1"/>
  <c r="C36" i="9"/>
  <c r="E36" i="9" s="1"/>
  <c r="C37" i="9"/>
  <c r="E37" i="9" s="1"/>
  <c r="C38" i="9"/>
  <c r="E38" i="9" s="1"/>
  <c r="C39" i="9"/>
  <c r="E39" i="9" s="1"/>
  <c r="C40" i="9"/>
  <c r="E40" i="9" s="1"/>
  <c r="C41" i="9"/>
  <c r="E41" i="9" s="1"/>
  <c r="C42" i="9"/>
  <c r="E42" i="9" s="1"/>
  <c r="C43" i="9"/>
  <c r="E43" i="9" s="1"/>
  <c r="C44" i="9"/>
  <c r="E44" i="9" s="1"/>
  <c r="C45" i="9"/>
  <c r="E45" i="9" s="1"/>
  <c r="C46" i="9"/>
  <c r="E46" i="9" s="1"/>
  <c r="C47" i="9"/>
  <c r="E47" i="9" s="1"/>
  <c r="C48" i="9"/>
  <c r="E48" i="9" s="1"/>
  <c r="C49" i="9"/>
  <c r="E49" i="9" s="1"/>
  <c r="C50" i="9"/>
  <c r="E50" i="9" s="1"/>
  <c r="C51" i="9"/>
  <c r="E51" i="9" s="1"/>
  <c r="C52" i="9"/>
  <c r="E52" i="9" s="1"/>
  <c r="C53" i="9"/>
  <c r="E53" i="9" s="1"/>
  <c r="C54" i="9"/>
  <c r="E54" i="9" s="1"/>
  <c r="C55" i="9"/>
  <c r="E55" i="9" s="1"/>
  <c r="C56" i="9"/>
  <c r="E56" i="9" s="1"/>
  <c r="C57" i="9"/>
  <c r="E57" i="9" s="1"/>
  <c r="C58" i="9"/>
  <c r="E58" i="9" s="1"/>
  <c r="C59" i="9"/>
  <c r="E59" i="9" s="1"/>
  <c r="C60" i="9"/>
  <c r="E60" i="9" s="1"/>
  <c r="C61" i="9"/>
  <c r="E61" i="9" s="1"/>
  <c r="C62" i="9"/>
  <c r="E62" i="9" s="1"/>
  <c r="C63" i="9"/>
  <c r="E63" i="9" s="1"/>
  <c r="C64" i="9"/>
  <c r="E64" i="9" s="1"/>
  <c r="C65" i="9"/>
  <c r="E65" i="9" s="1"/>
  <c r="C66" i="9"/>
  <c r="E66" i="9" s="1"/>
  <c r="C67" i="9"/>
  <c r="E67" i="9" s="1"/>
  <c r="C68" i="9"/>
  <c r="E68" i="9" s="1"/>
  <c r="C69" i="9"/>
  <c r="E69" i="9" s="1"/>
  <c r="C70" i="9"/>
  <c r="E70" i="9" s="1"/>
  <c r="C71" i="9"/>
  <c r="E71" i="9" s="1"/>
  <c r="C72" i="9"/>
  <c r="E72" i="9" s="1"/>
  <c r="C73" i="9"/>
  <c r="E73" i="9" s="1"/>
  <c r="C74" i="9"/>
  <c r="E74" i="9" s="1"/>
  <c r="C75" i="9"/>
  <c r="E75" i="9" s="1"/>
  <c r="C76" i="9"/>
  <c r="E76" i="9" s="1"/>
  <c r="C77" i="9"/>
  <c r="E77" i="9" s="1"/>
  <c r="C78" i="9"/>
  <c r="E78" i="9" s="1"/>
  <c r="C79" i="9"/>
  <c r="E79" i="9" s="1"/>
  <c r="C80" i="9"/>
  <c r="E80" i="9" s="1"/>
  <c r="C81" i="9"/>
  <c r="E81" i="9" s="1"/>
  <c r="C82" i="9"/>
  <c r="E82" i="9" s="1"/>
  <c r="C83" i="9"/>
  <c r="E83" i="9" s="1"/>
  <c r="C84" i="9"/>
  <c r="E84" i="9" s="1"/>
  <c r="C85" i="9"/>
  <c r="E85" i="9" s="1"/>
  <c r="C86" i="9"/>
  <c r="E86" i="9" s="1"/>
  <c r="C87" i="9"/>
  <c r="E87" i="9" s="1"/>
  <c r="C88" i="9"/>
  <c r="E88" i="9" s="1"/>
  <c r="C89" i="9"/>
  <c r="E89" i="9" s="1"/>
  <c r="C90" i="9"/>
  <c r="E90" i="9" s="1"/>
  <c r="C91" i="9"/>
  <c r="E91" i="9" s="1"/>
  <c r="C92" i="9"/>
  <c r="E92" i="9" s="1"/>
  <c r="C93" i="9"/>
  <c r="E93" i="9" s="1"/>
  <c r="C94" i="9"/>
  <c r="E94" i="9" s="1"/>
  <c r="C95" i="9"/>
  <c r="E95" i="9" s="1"/>
  <c r="C96" i="9"/>
  <c r="E96" i="9" s="1"/>
  <c r="C97" i="9"/>
  <c r="E97" i="9" s="1"/>
  <c r="C98" i="9"/>
  <c r="E98" i="9" s="1"/>
  <c r="C99" i="9"/>
  <c r="E99" i="9" s="1"/>
  <c r="C100" i="9"/>
  <c r="E100" i="9" s="1"/>
  <c r="C101" i="9"/>
  <c r="E101" i="9" s="1"/>
  <c r="C102" i="9"/>
  <c r="E102" i="9" s="1"/>
  <c r="C103" i="9"/>
  <c r="E103" i="9" s="1"/>
  <c r="C104" i="9"/>
  <c r="E104" i="9" s="1"/>
  <c r="C105" i="9"/>
  <c r="E105" i="9" s="1"/>
  <c r="C106" i="9"/>
  <c r="E106" i="9" s="1"/>
  <c r="C107" i="9"/>
  <c r="E107" i="9" s="1"/>
  <c r="C108" i="9"/>
  <c r="E108" i="9" s="1"/>
  <c r="C109" i="9"/>
  <c r="E109" i="9" s="1"/>
  <c r="C110" i="9"/>
  <c r="E110" i="9" s="1"/>
  <c r="C111" i="9"/>
  <c r="E111" i="9" s="1"/>
  <c r="C112" i="9"/>
  <c r="E112" i="9" s="1"/>
  <c r="C113" i="9"/>
  <c r="E113" i="9" s="1"/>
  <c r="C114" i="9"/>
  <c r="E114" i="9" s="1"/>
  <c r="C115" i="9"/>
  <c r="E115" i="9" s="1"/>
  <c r="C116" i="9"/>
  <c r="E116" i="9" s="1"/>
  <c r="C117" i="9"/>
  <c r="E117" i="9" s="1"/>
  <c r="C118" i="9"/>
  <c r="E118" i="9" s="1"/>
  <c r="C119" i="9"/>
  <c r="E119" i="9" s="1"/>
  <c r="C120" i="9"/>
  <c r="E120" i="9" s="1"/>
  <c r="C121" i="9"/>
  <c r="E121" i="9" s="1"/>
  <c r="C122" i="9"/>
  <c r="E122" i="9" s="1"/>
  <c r="C123" i="9"/>
  <c r="E123" i="9" s="1"/>
  <c r="C124" i="9"/>
  <c r="E124" i="9" s="1"/>
  <c r="C125" i="9"/>
  <c r="E125" i="9" s="1"/>
  <c r="C126" i="9"/>
  <c r="E126" i="9" s="1"/>
  <c r="C127" i="9"/>
  <c r="E127" i="9" s="1"/>
  <c r="C128" i="9"/>
  <c r="E128" i="9" s="1"/>
  <c r="C129" i="9"/>
  <c r="E129" i="9" s="1"/>
  <c r="C130" i="9"/>
  <c r="E130" i="9" s="1"/>
  <c r="C131" i="9"/>
  <c r="E131" i="9" s="1"/>
  <c r="C132" i="9"/>
  <c r="E132" i="9" s="1"/>
  <c r="C133" i="9"/>
  <c r="E133" i="9" s="1"/>
  <c r="C134" i="9"/>
  <c r="E134" i="9" s="1"/>
  <c r="C135" i="9"/>
  <c r="E135" i="9" s="1"/>
  <c r="C136" i="9"/>
  <c r="E136" i="9" s="1"/>
  <c r="C137" i="9"/>
  <c r="E137" i="9" s="1"/>
  <c r="C138" i="9"/>
  <c r="E138" i="9" s="1"/>
  <c r="C139" i="9"/>
  <c r="E139" i="9" s="1"/>
  <c r="C140" i="9"/>
  <c r="E140" i="9" s="1"/>
  <c r="C141" i="9"/>
  <c r="E141" i="9" s="1"/>
  <c r="C142" i="9"/>
  <c r="E142" i="9" s="1"/>
  <c r="C143" i="9"/>
  <c r="E143" i="9" s="1"/>
  <c r="C144" i="9"/>
  <c r="E144" i="9" s="1"/>
  <c r="C145" i="9"/>
  <c r="E145" i="9" s="1"/>
  <c r="C146" i="9"/>
  <c r="E146" i="9" s="1"/>
  <c r="C147" i="9"/>
  <c r="E147" i="9" s="1"/>
  <c r="C148" i="9"/>
  <c r="E148" i="9" s="1"/>
  <c r="C149" i="9"/>
  <c r="E149" i="9" s="1"/>
  <c r="C150" i="9"/>
  <c r="E150" i="9" s="1"/>
  <c r="C151" i="9"/>
  <c r="E151" i="9" s="1"/>
  <c r="C152" i="9"/>
  <c r="E152" i="9" s="1"/>
  <c r="C153" i="9"/>
  <c r="E153" i="9" s="1"/>
  <c r="C154" i="9"/>
  <c r="E154" i="9" s="1"/>
  <c r="C155" i="9"/>
  <c r="E155" i="9" s="1"/>
  <c r="C156" i="9"/>
  <c r="E156" i="9" s="1"/>
  <c r="C157" i="9"/>
  <c r="E157" i="9" s="1"/>
  <c r="C158" i="9"/>
  <c r="E158" i="9" s="1"/>
  <c r="C159" i="9"/>
  <c r="E159" i="9" s="1"/>
  <c r="C160" i="9"/>
  <c r="E160" i="9" s="1"/>
  <c r="C161" i="9"/>
  <c r="E161" i="9" s="1"/>
  <c r="C162" i="9"/>
  <c r="E162" i="9" s="1"/>
  <c r="C163" i="9"/>
  <c r="E163" i="9" s="1"/>
  <c r="C164" i="9"/>
  <c r="E164" i="9" s="1"/>
  <c r="C165" i="9"/>
  <c r="E165" i="9" s="1"/>
  <c r="C166" i="9"/>
  <c r="E166" i="9" s="1"/>
  <c r="C167" i="9"/>
  <c r="E167" i="9" s="1"/>
  <c r="C168" i="9"/>
  <c r="E168" i="9" s="1"/>
  <c r="C169" i="9"/>
  <c r="E169" i="9" s="1"/>
  <c r="C170" i="9"/>
  <c r="E170" i="9" s="1"/>
  <c r="C171" i="9"/>
  <c r="E171" i="9" s="1"/>
  <c r="C172" i="9"/>
  <c r="E172" i="9" s="1"/>
  <c r="C173" i="9"/>
  <c r="E173" i="9" s="1"/>
  <c r="C174" i="9"/>
  <c r="E174" i="9" s="1"/>
  <c r="C175" i="9"/>
  <c r="E175" i="9" s="1"/>
  <c r="C176" i="9"/>
  <c r="E176" i="9" s="1"/>
  <c r="C177" i="9"/>
  <c r="E177" i="9" s="1"/>
  <c r="C178" i="9"/>
  <c r="E178" i="9" s="1"/>
  <c r="C179" i="9"/>
  <c r="E179" i="9" s="1"/>
  <c r="C180" i="9"/>
  <c r="E180" i="9" s="1"/>
  <c r="C181" i="9"/>
  <c r="E181" i="9" s="1"/>
  <c r="C182" i="9"/>
  <c r="E182" i="9" s="1"/>
  <c r="C183" i="9"/>
  <c r="E183" i="9" s="1"/>
  <c r="C184" i="9"/>
  <c r="E184" i="9" s="1"/>
  <c r="C185" i="9"/>
  <c r="E185" i="9" s="1"/>
  <c r="C186" i="9"/>
  <c r="E186" i="9" s="1"/>
  <c r="C187" i="9"/>
  <c r="E187" i="9" s="1"/>
  <c r="C188" i="9"/>
  <c r="E188" i="9" s="1"/>
  <c r="C189" i="9"/>
  <c r="E189" i="9" s="1"/>
  <c r="C190" i="9"/>
  <c r="E190" i="9" s="1"/>
  <c r="C191" i="9"/>
  <c r="E191" i="9" s="1"/>
  <c r="C192" i="9"/>
  <c r="E192" i="9" s="1"/>
  <c r="C193" i="9"/>
  <c r="E193" i="9" s="1"/>
  <c r="C194" i="9"/>
  <c r="E194" i="9" s="1"/>
  <c r="C195" i="9"/>
  <c r="E195" i="9" s="1"/>
  <c r="C196" i="9"/>
  <c r="E196" i="9" s="1"/>
  <c r="C197" i="9"/>
  <c r="E197" i="9" s="1"/>
  <c r="C198" i="9"/>
  <c r="E198" i="9" s="1"/>
  <c r="C199" i="9"/>
  <c r="E199" i="9" s="1"/>
  <c r="C200" i="9"/>
  <c r="E200" i="9" s="1"/>
  <c r="C201" i="9"/>
  <c r="E201" i="9" s="1"/>
  <c r="C202" i="9"/>
  <c r="E202" i="9" s="1"/>
  <c r="C203" i="9"/>
  <c r="E203" i="9" s="1"/>
  <c r="C204" i="9"/>
  <c r="E204" i="9" s="1"/>
  <c r="C205" i="9"/>
  <c r="E205" i="9" s="1"/>
  <c r="C206" i="9"/>
  <c r="E206" i="9" s="1"/>
  <c r="C207" i="9"/>
  <c r="E207" i="9" s="1"/>
  <c r="C208" i="9"/>
  <c r="E208" i="9" s="1"/>
  <c r="C209" i="9"/>
  <c r="E209" i="9" s="1"/>
  <c r="C210" i="9"/>
  <c r="E210" i="9" s="1"/>
  <c r="C211" i="9"/>
  <c r="E211" i="9" s="1"/>
  <c r="C212" i="9"/>
  <c r="E212" i="9" s="1"/>
  <c r="C213" i="9"/>
  <c r="E213" i="9" s="1"/>
  <c r="C214" i="9"/>
  <c r="E214" i="9" s="1"/>
  <c r="C215" i="9"/>
  <c r="E215" i="9" s="1"/>
  <c r="C216" i="9"/>
  <c r="E216" i="9" s="1"/>
  <c r="C217" i="9"/>
  <c r="E217" i="9" s="1"/>
  <c r="C218" i="9"/>
  <c r="E218" i="9" s="1"/>
  <c r="C219" i="9"/>
  <c r="E219" i="9" s="1"/>
  <c r="C220" i="9"/>
  <c r="E220" i="9" s="1"/>
  <c r="C221" i="9"/>
  <c r="E221" i="9" s="1"/>
  <c r="C222" i="9"/>
  <c r="E222" i="9" s="1"/>
  <c r="C223" i="9"/>
  <c r="E223" i="9" s="1"/>
  <c r="C224" i="9"/>
  <c r="E224" i="9" s="1"/>
  <c r="C225" i="9"/>
  <c r="E225" i="9" s="1"/>
  <c r="C226" i="9"/>
  <c r="E226" i="9" s="1"/>
  <c r="C227" i="9"/>
  <c r="E227" i="9" s="1"/>
  <c r="C228" i="9"/>
  <c r="E228" i="9" s="1"/>
  <c r="C229" i="9"/>
  <c r="E229" i="9" s="1"/>
  <c r="C230" i="9"/>
  <c r="E230" i="9" s="1"/>
  <c r="C231" i="9"/>
  <c r="E231" i="9" s="1"/>
  <c r="C232" i="9"/>
  <c r="E232" i="9" s="1"/>
  <c r="C233" i="9"/>
  <c r="E233" i="9" s="1"/>
  <c r="C234" i="9"/>
  <c r="E234" i="9" s="1"/>
  <c r="C235" i="9"/>
  <c r="E235" i="9" s="1"/>
  <c r="C236" i="9"/>
  <c r="E236" i="9" s="1"/>
  <c r="C237" i="9"/>
  <c r="E237" i="9" s="1"/>
  <c r="C238" i="9"/>
  <c r="E238" i="9" s="1"/>
  <c r="C239" i="9"/>
  <c r="E239" i="9" s="1"/>
  <c r="C240" i="9"/>
  <c r="E240" i="9" s="1"/>
  <c r="C241" i="9"/>
  <c r="E241" i="9" s="1"/>
  <c r="C242" i="9"/>
  <c r="E242" i="9" s="1"/>
  <c r="C243" i="9"/>
  <c r="E243" i="9" s="1"/>
  <c r="C244" i="9"/>
  <c r="E244" i="9" s="1"/>
  <c r="C245" i="9"/>
  <c r="E245" i="9" s="1"/>
  <c r="C246" i="9"/>
  <c r="E246" i="9" s="1"/>
  <c r="C247" i="9"/>
  <c r="E247" i="9" s="1"/>
  <c r="C248" i="9"/>
  <c r="E248" i="9" s="1"/>
  <c r="C249" i="9"/>
  <c r="E249" i="9" s="1"/>
  <c r="C250" i="9"/>
  <c r="E250" i="9" s="1"/>
  <c r="C251" i="9"/>
  <c r="E251" i="9" s="1"/>
  <c r="C252" i="9"/>
  <c r="E252" i="9" s="1"/>
  <c r="C253" i="9"/>
  <c r="E253" i="9" s="1"/>
  <c r="C254" i="9"/>
  <c r="E254" i="9" s="1"/>
  <c r="C255" i="9"/>
  <c r="E255" i="9" s="1"/>
  <c r="C256" i="9"/>
  <c r="E256" i="9" s="1"/>
  <c r="C257" i="9"/>
  <c r="E257" i="9" s="1"/>
  <c r="C258" i="9"/>
  <c r="E258" i="9" s="1"/>
  <c r="C259" i="9"/>
  <c r="E259" i="9" s="1"/>
  <c r="C260" i="9"/>
  <c r="E260" i="9" s="1"/>
  <c r="C261" i="9"/>
  <c r="E261" i="9" s="1"/>
  <c r="C262" i="9"/>
  <c r="E262" i="9" s="1"/>
  <c r="C263" i="9"/>
  <c r="E263" i="9" s="1"/>
  <c r="C264" i="9"/>
  <c r="E264" i="9" s="1"/>
  <c r="C265" i="9"/>
  <c r="E265" i="9" s="1"/>
  <c r="C266" i="9"/>
  <c r="E266" i="9" s="1"/>
  <c r="C267" i="9"/>
  <c r="C271" i="9"/>
  <c r="E271" i="9" s="1"/>
  <c r="C272" i="9"/>
  <c r="E272" i="9" s="1"/>
  <c r="C273" i="9"/>
  <c r="E273" i="9" s="1"/>
  <c r="C274" i="9"/>
  <c r="E274" i="9" s="1"/>
  <c r="C275" i="9"/>
  <c r="E275" i="9" s="1"/>
  <c r="C276" i="9"/>
  <c r="E276" i="9" s="1"/>
  <c r="C277" i="9"/>
  <c r="E277" i="9" s="1"/>
  <c r="C278" i="9"/>
  <c r="E278" i="9" s="1"/>
  <c r="C279" i="9"/>
  <c r="E279" i="9" s="1"/>
  <c r="C280" i="9"/>
  <c r="E280" i="9" s="1"/>
  <c r="C281" i="9"/>
  <c r="E281" i="9" s="1"/>
  <c r="C282" i="9"/>
  <c r="E282" i="9" s="1"/>
  <c r="C283" i="9"/>
  <c r="E283" i="9" s="1"/>
  <c r="C284" i="9"/>
  <c r="E284" i="9" s="1"/>
  <c r="C285" i="9"/>
  <c r="E285" i="9" s="1"/>
  <c r="C286" i="9"/>
  <c r="E286" i="9" s="1"/>
  <c r="C287" i="9"/>
  <c r="E287" i="9" s="1"/>
  <c r="C288" i="9"/>
  <c r="E288" i="9" s="1"/>
  <c r="C289" i="9"/>
  <c r="E289" i="9" s="1"/>
  <c r="C290" i="9"/>
  <c r="E290" i="9" s="1"/>
  <c r="C291" i="9"/>
  <c r="E291" i="9" s="1"/>
  <c r="C292" i="9"/>
  <c r="E292" i="9" s="1"/>
  <c r="C293" i="9"/>
  <c r="E293" i="9" s="1"/>
  <c r="C294" i="9"/>
  <c r="E294" i="9" s="1"/>
  <c r="C295" i="9"/>
  <c r="E295" i="9" s="1"/>
  <c r="C296" i="9"/>
  <c r="E296" i="9" s="1"/>
  <c r="C297" i="9"/>
  <c r="E297" i="9" s="1"/>
  <c r="C298" i="9"/>
  <c r="E298" i="9" s="1"/>
  <c r="C299" i="9"/>
  <c r="E299" i="9" s="1"/>
  <c r="C300" i="9"/>
  <c r="E300" i="9" s="1"/>
  <c r="C301" i="9"/>
  <c r="E301" i="9" s="1"/>
  <c r="C302" i="9"/>
  <c r="E302" i="9" s="1"/>
  <c r="C303" i="9"/>
  <c r="E303" i="9" s="1"/>
  <c r="C304" i="9"/>
  <c r="E304" i="9" s="1"/>
  <c r="C305" i="9"/>
  <c r="E305" i="9" s="1"/>
  <c r="C306" i="9"/>
  <c r="E306" i="9" s="1"/>
  <c r="C307" i="9"/>
  <c r="E307" i="9" s="1"/>
  <c r="C308" i="9"/>
  <c r="E308" i="9" s="1"/>
  <c r="C309" i="9"/>
  <c r="E309" i="9" s="1"/>
  <c r="C310" i="9"/>
  <c r="E310" i="9" s="1"/>
  <c r="C311" i="9"/>
  <c r="E311" i="9" s="1"/>
  <c r="C312" i="9"/>
  <c r="E312" i="9" s="1"/>
  <c r="C313" i="9"/>
  <c r="E313" i="9" s="1"/>
  <c r="C314" i="9"/>
  <c r="E314" i="9" s="1"/>
  <c r="C315" i="9"/>
  <c r="E315" i="9" s="1"/>
  <c r="C316" i="9"/>
  <c r="E316" i="9" s="1"/>
  <c r="C317" i="9"/>
  <c r="E317" i="9" s="1"/>
  <c r="C318" i="9"/>
  <c r="E318" i="9" s="1"/>
  <c r="C319" i="9"/>
  <c r="E319" i="9" s="1"/>
  <c r="C320" i="9"/>
  <c r="E320" i="9" s="1"/>
  <c r="C321" i="9"/>
  <c r="E321" i="9" s="1"/>
  <c r="C322" i="9"/>
  <c r="E322" i="9" s="1"/>
  <c r="C323" i="9"/>
  <c r="E323" i="9" s="1"/>
  <c r="C324" i="9"/>
  <c r="E324" i="9" s="1"/>
  <c r="C325" i="9"/>
  <c r="E325" i="9" s="1"/>
  <c r="C326" i="9"/>
  <c r="E326" i="9" s="1"/>
  <c r="C327" i="9"/>
  <c r="E327" i="9" s="1"/>
  <c r="C328" i="9"/>
  <c r="E328" i="9" s="1"/>
  <c r="C329" i="9"/>
  <c r="E329" i="9" s="1"/>
  <c r="C330" i="9"/>
  <c r="E330" i="9" s="1"/>
  <c r="C331" i="9"/>
  <c r="E331" i="9" s="1"/>
  <c r="C332" i="9"/>
  <c r="E332" i="9" s="1"/>
  <c r="C333" i="9"/>
  <c r="E333" i="9" s="1"/>
  <c r="C334" i="9"/>
  <c r="E334" i="9" s="1"/>
  <c r="C335" i="9"/>
  <c r="E335" i="9" s="1"/>
  <c r="C336" i="9"/>
  <c r="E336" i="9" s="1"/>
  <c r="C337" i="9"/>
  <c r="E337" i="9" s="1"/>
  <c r="C338" i="9"/>
  <c r="E338" i="9" s="1"/>
  <c r="C339" i="9"/>
  <c r="E339" i="9" s="1"/>
  <c r="C340" i="9"/>
  <c r="E340" i="9" s="1"/>
  <c r="C341" i="9"/>
  <c r="E341" i="9" s="1"/>
  <c r="C342" i="9"/>
  <c r="E342" i="9" s="1"/>
  <c r="C343" i="9"/>
  <c r="E343" i="9" s="1"/>
  <c r="C344" i="9"/>
  <c r="E344" i="9" s="1"/>
  <c r="C345" i="9"/>
  <c r="E345" i="9" s="1"/>
  <c r="C346" i="9"/>
  <c r="E346" i="9" s="1"/>
  <c r="C347" i="9"/>
  <c r="E347" i="9" s="1"/>
  <c r="C348" i="9"/>
  <c r="E348" i="9" s="1"/>
  <c r="C349" i="9"/>
  <c r="E349" i="9" s="1"/>
  <c r="C350" i="9"/>
  <c r="E350" i="9" s="1"/>
  <c r="C351" i="9"/>
  <c r="E351" i="9" s="1"/>
  <c r="C352" i="9"/>
  <c r="E352" i="9" s="1"/>
  <c r="C353" i="9"/>
  <c r="E353" i="9" s="1"/>
  <c r="C354" i="9"/>
  <c r="E354" i="9" s="1"/>
  <c r="C355" i="9"/>
  <c r="E355" i="9" s="1"/>
  <c r="C356" i="9"/>
  <c r="E356" i="9" s="1"/>
  <c r="C357" i="9"/>
  <c r="E357" i="9" s="1"/>
  <c r="C358" i="9"/>
  <c r="E358" i="9" s="1"/>
  <c r="C359" i="9"/>
  <c r="E359" i="9" s="1"/>
  <c r="C360" i="9"/>
  <c r="E360" i="9" s="1"/>
  <c r="C361" i="9"/>
  <c r="E361" i="9" s="1"/>
  <c r="C362" i="9"/>
  <c r="E362" i="9" s="1"/>
  <c r="C363" i="9"/>
  <c r="E363" i="9" s="1"/>
  <c r="C364" i="9"/>
  <c r="E364" i="9" s="1"/>
  <c r="C365" i="9"/>
  <c r="E365" i="9" s="1"/>
  <c r="C366" i="9"/>
  <c r="E366" i="9" s="1"/>
  <c r="C367" i="9"/>
  <c r="E367" i="9" s="1"/>
  <c r="C368" i="9"/>
  <c r="E368" i="9" s="1"/>
  <c r="C2" i="9"/>
  <c r="E2" i="9" s="1"/>
  <c r="C3" i="8"/>
  <c r="E3" i="8" s="1"/>
  <c r="C4" i="8"/>
  <c r="E4" i="8" s="1"/>
  <c r="C5" i="8"/>
  <c r="E5" i="8" s="1"/>
  <c r="C6" i="8"/>
  <c r="E6" i="8" s="1"/>
  <c r="C7" i="8"/>
  <c r="E7" i="8" s="1"/>
  <c r="C8" i="8"/>
  <c r="E8" i="8" s="1"/>
  <c r="C9" i="8"/>
  <c r="E9" i="8" s="1"/>
  <c r="C10" i="8"/>
  <c r="E10" i="8" s="1"/>
  <c r="C11" i="8"/>
  <c r="E11" i="8" s="1"/>
  <c r="C12" i="8"/>
  <c r="E12" i="8" s="1"/>
  <c r="C13" i="8"/>
  <c r="E13" i="8" s="1"/>
  <c r="C14" i="8"/>
  <c r="E14" i="8" s="1"/>
  <c r="C15" i="8"/>
  <c r="E15" i="8" s="1"/>
  <c r="C16" i="8"/>
  <c r="E16" i="8" s="1"/>
  <c r="C17" i="8"/>
  <c r="E17" i="8" s="1"/>
  <c r="C18" i="8"/>
  <c r="E18" i="8" s="1"/>
  <c r="C19" i="8"/>
  <c r="E19" i="8" s="1"/>
  <c r="C20" i="8"/>
  <c r="E20" i="8" s="1"/>
  <c r="C21" i="8"/>
  <c r="E21" i="8" s="1"/>
  <c r="C22" i="8"/>
  <c r="E22" i="8" s="1"/>
  <c r="C23" i="8"/>
  <c r="E23" i="8" s="1"/>
  <c r="C24" i="8"/>
  <c r="E24" i="8" s="1"/>
  <c r="C25" i="8"/>
  <c r="E25" i="8" s="1"/>
  <c r="C26" i="8"/>
  <c r="E26" i="8" s="1"/>
  <c r="C27" i="8"/>
  <c r="E27" i="8" s="1"/>
  <c r="C28" i="8"/>
  <c r="E28" i="8" s="1"/>
  <c r="C29" i="8"/>
  <c r="E29" i="8" s="1"/>
  <c r="C30" i="8"/>
  <c r="E30" i="8" s="1"/>
  <c r="C31" i="8"/>
  <c r="E31" i="8" s="1"/>
  <c r="C32" i="8"/>
  <c r="E32" i="8" s="1"/>
  <c r="C33" i="8"/>
  <c r="E33" i="8" s="1"/>
  <c r="C34" i="8"/>
  <c r="E34" i="8" s="1"/>
  <c r="C35" i="8"/>
  <c r="E35" i="8" s="1"/>
  <c r="C36" i="8"/>
  <c r="E36" i="8" s="1"/>
  <c r="C37" i="8"/>
  <c r="E37" i="8" s="1"/>
  <c r="C38" i="8"/>
  <c r="E38" i="8" s="1"/>
  <c r="C39" i="8"/>
  <c r="E39" i="8" s="1"/>
  <c r="C40" i="8"/>
  <c r="E40" i="8" s="1"/>
  <c r="C41" i="8"/>
  <c r="E41" i="8" s="1"/>
  <c r="C42" i="8"/>
  <c r="E42" i="8" s="1"/>
  <c r="C43" i="8"/>
  <c r="E43" i="8" s="1"/>
  <c r="C44" i="8"/>
  <c r="E44" i="8" s="1"/>
  <c r="C45" i="8"/>
  <c r="E45" i="8" s="1"/>
  <c r="C46" i="8"/>
  <c r="E46" i="8" s="1"/>
  <c r="C47" i="8"/>
  <c r="E47" i="8" s="1"/>
  <c r="C48" i="8"/>
  <c r="E48" i="8" s="1"/>
  <c r="C49" i="8"/>
  <c r="E49" i="8" s="1"/>
  <c r="C50" i="8"/>
  <c r="E50" i="8" s="1"/>
  <c r="C51" i="8"/>
  <c r="E51" i="8" s="1"/>
  <c r="C52" i="8"/>
  <c r="E52" i="8" s="1"/>
  <c r="C53" i="8"/>
  <c r="E53" i="8" s="1"/>
  <c r="C54" i="8"/>
  <c r="E54" i="8" s="1"/>
  <c r="C55" i="8"/>
  <c r="E55" i="8" s="1"/>
  <c r="C56" i="8"/>
  <c r="E56" i="8" s="1"/>
  <c r="C57" i="8"/>
  <c r="E57" i="8" s="1"/>
  <c r="C58" i="8"/>
  <c r="E58" i="8" s="1"/>
  <c r="C59" i="8"/>
  <c r="E59" i="8" s="1"/>
  <c r="C60" i="8"/>
  <c r="E60" i="8" s="1"/>
  <c r="C61" i="8"/>
  <c r="E61" i="8" s="1"/>
  <c r="C62" i="8"/>
  <c r="E62" i="8" s="1"/>
  <c r="C63" i="8"/>
  <c r="E63" i="8" s="1"/>
  <c r="C64" i="8"/>
  <c r="E64" i="8" s="1"/>
  <c r="C65" i="8"/>
  <c r="E65" i="8" s="1"/>
  <c r="C66" i="8"/>
  <c r="E66" i="8" s="1"/>
  <c r="C67" i="8"/>
  <c r="E67" i="8" s="1"/>
  <c r="C68" i="8"/>
  <c r="E68" i="8" s="1"/>
  <c r="C69" i="8"/>
  <c r="E69" i="8" s="1"/>
  <c r="C70" i="8"/>
  <c r="E70" i="8" s="1"/>
  <c r="C71" i="8"/>
  <c r="E71" i="8" s="1"/>
  <c r="C72" i="8"/>
  <c r="E72" i="8" s="1"/>
  <c r="C73" i="8"/>
  <c r="E73" i="8" s="1"/>
  <c r="C74" i="8"/>
  <c r="E74" i="8" s="1"/>
  <c r="C75" i="8"/>
  <c r="E75" i="8" s="1"/>
  <c r="C76" i="8"/>
  <c r="E76" i="8" s="1"/>
  <c r="C77" i="8"/>
  <c r="E77" i="8" s="1"/>
  <c r="C78" i="8"/>
  <c r="E78" i="8" s="1"/>
  <c r="C79" i="8"/>
  <c r="E79" i="8" s="1"/>
  <c r="C80" i="8"/>
  <c r="E80" i="8" s="1"/>
  <c r="C81" i="8"/>
  <c r="E81" i="8" s="1"/>
  <c r="C82" i="8"/>
  <c r="E82" i="8" s="1"/>
  <c r="C83" i="8"/>
  <c r="E83" i="8" s="1"/>
  <c r="C84" i="8"/>
  <c r="E84" i="8" s="1"/>
  <c r="C85" i="8"/>
  <c r="E85" i="8" s="1"/>
  <c r="C86" i="8"/>
  <c r="E86" i="8" s="1"/>
  <c r="C87" i="8"/>
  <c r="E87" i="8" s="1"/>
  <c r="C88" i="8"/>
  <c r="E88" i="8" s="1"/>
  <c r="C89" i="8"/>
  <c r="E89" i="8" s="1"/>
  <c r="C90" i="8"/>
  <c r="E90" i="8" s="1"/>
  <c r="C91" i="8"/>
  <c r="E91" i="8" s="1"/>
  <c r="C92" i="8"/>
  <c r="E92" i="8" s="1"/>
  <c r="C93" i="8"/>
  <c r="E93" i="8" s="1"/>
  <c r="C94" i="8"/>
  <c r="E94" i="8" s="1"/>
  <c r="C95" i="8"/>
  <c r="E95" i="8" s="1"/>
  <c r="C96" i="8"/>
  <c r="E96" i="8" s="1"/>
  <c r="C97" i="8"/>
  <c r="E97" i="8" s="1"/>
  <c r="C98" i="8"/>
  <c r="E98" i="8" s="1"/>
  <c r="C99" i="8"/>
  <c r="E99" i="8" s="1"/>
  <c r="C100" i="8"/>
  <c r="E100" i="8" s="1"/>
  <c r="C101" i="8"/>
  <c r="E101" i="8" s="1"/>
  <c r="C102" i="8"/>
  <c r="E102" i="8" s="1"/>
  <c r="C103" i="8"/>
  <c r="E103" i="8" s="1"/>
  <c r="C104" i="8"/>
  <c r="E104" i="8" s="1"/>
  <c r="C105" i="8"/>
  <c r="E105" i="8" s="1"/>
  <c r="C106" i="8"/>
  <c r="E106" i="8" s="1"/>
  <c r="C107" i="8"/>
  <c r="E107" i="8" s="1"/>
  <c r="C108" i="8"/>
  <c r="E108" i="8" s="1"/>
  <c r="C109" i="8"/>
  <c r="E109" i="8" s="1"/>
  <c r="C110" i="8"/>
  <c r="E110" i="8" s="1"/>
  <c r="C111" i="8"/>
  <c r="E111" i="8" s="1"/>
  <c r="C112" i="8"/>
  <c r="E112" i="8" s="1"/>
  <c r="C113" i="8"/>
  <c r="E113" i="8" s="1"/>
  <c r="C114" i="8"/>
  <c r="E114" i="8" s="1"/>
  <c r="C115" i="8"/>
  <c r="E115" i="8" s="1"/>
  <c r="C116" i="8"/>
  <c r="E116" i="8" s="1"/>
  <c r="C117" i="8"/>
  <c r="E117" i="8" s="1"/>
  <c r="C118" i="8"/>
  <c r="E118" i="8" s="1"/>
  <c r="C119" i="8"/>
  <c r="E119" i="8" s="1"/>
  <c r="C120" i="8"/>
  <c r="E120" i="8" s="1"/>
  <c r="C121" i="8"/>
  <c r="E121" i="8" s="1"/>
  <c r="C122" i="8"/>
  <c r="E122" i="8" s="1"/>
  <c r="C123" i="8"/>
  <c r="E123" i="8" s="1"/>
  <c r="C124" i="8"/>
  <c r="E124" i="8" s="1"/>
  <c r="C125" i="8"/>
  <c r="E125" i="8" s="1"/>
  <c r="C126" i="8"/>
  <c r="E126" i="8" s="1"/>
  <c r="C127" i="8"/>
  <c r="E127" i="8" s="1"/>
  <c r="C128" i="8"/>
  <c r="E128" i="8" s="1"/>
  <c r="C129" i="8"/>
  <c r="E129" i="8" s="1"/>
  <c r="C130" i="8"/>
  <c r="E130" i="8" s="1"/>
  <c r="C131" i="8"/>
  <c r="E131" i="8" s="1"/>
  <c r="C132" i="8"/>
  <c r="E132" i="8" s="1"/>
  <c r="C133" i="8"/>
  <c r="E133" i="8" s="1"/>
  <c r="C134" i="8"/>
  <c r="E134" i="8" s="1"/>
  <c r="C135" i="8"/>
  <c r="E135" i="8" s="1"/>
  <c r="C136" i="8"/>
  <c r="E136" i="8" s="1"/>
  <c r="C137" i="8"/>
  <c r="E137" i="8" s="1"/>
  <c r="C138" i="8"/>
  <c r="E138" i="8" s="1"/>
  <c r="C139" i="8"/>
  <c r="E139" i="8" s="1"/>
  <c r="C140" i="8"/>
  <c r="E140" i="8" s="1"/>
  <c r="C141" i="8"/>
  <c r="E141" i="8" s="1"/>
  <c r="C142" i="8"/>
  <c r="E142" i="8" s="1"/>
  <c r="C143" i="8"/>
  <c r="E143" i="8" s="1"/>
  <c r="C144" i="8"/>
  <c r="E144" i="8" s="1"/>
  <c r="C145" i="8"/>
  <c r="E145" i="8" s="1"/>
  <c r="C146" i="8"/>
  <c r="E146" i="8" s="1"/>
  <c r="C147" i="8"/>
  <c r="E147" i="8" s="1"/>
  <c r="C148" i="8"/>
  <c r="E148" i="8" s="1"/>
  <c r="C149" i="8"/>
  <c r="E149" i="8" s="1"/>
  <c r="C150" i="8"/>
  <c r="E150" i="8" s="1"/>
  <c r="C151" i="8"/>
  <c r="E151" i="8" s="1"/>
  <c r="C152" i="8"/>
  <c r="E152" i="8" s="1"/>
  <c r="C153" i="8"/>
  <c r="E153" i="8" s="1"/>
  <c r="C154" i="8"/>
  <c r="E154" i="8" s="1"/>
  <c r="C155" i="8"/>
  <c r="E155" i="8" s="1"/>
  <c r="C156" i="8"/>
  <c r="E156" i="8" s="1"/>
  <c r="C157" i="8"/>
  <c r="E157" i="8" s="1"/>
  <c r="C158" i="8"/>
  <c r="E158" i="8" s="1"/>
  <c r="C159" i="8"/>
  <c r="E159" i="8" s="1"/>
  <c r="C160" i="8"/>
  <c r="E160" i="8" s="1"/>
  <c r="C161" i="8"/>
  <c r="E161" i="8" s="1"/>
  <c r="C162" i="8"/>
  <c r="E162" i="8" s="1"/>
  <c r="C163" i="8"/>
  <c r="E163" i="8" s="1"/>
  <c r="C164" i="8"/>
  <c r="E164" i="8" s="1"/>
  <c r="C165" i="8"/>
  <c r="E165" i="8" s="1"/>
  <c r="C166" i="8"/>
  <c r="E166" i="8" s="1"/>
  <c r="C167" i="8"/>
  <c r="E167" i="8" s="1"/>
  <c r="C168" i="8"/>
  <c r="E168" i="8" s="1"/>
  <c r="C169" i="8"/>
  <c r="E169" i="8" s="1"/>
  <c r="C170" i="8"/>
  <c r="E170" i="8" s="1"/>
  <c r="C171" i="8"/>
  <c r="E171" i="8" s="1"/>
  <c r="C172" i="8"/>
  <c r="E172" i="8" s="1"/>
  <c r="C173" i="8"/>
  <c r="E173" i="8" s="1"/>
  <c r="C174" i="8"/>
  <c r="E174" i="8" s="1"/>
  <c r="C175" i="8"/>
  <c r="E175" i="8" s="1"/>
  <c r="C176" i="8"/>
  <c r="E176" i="8" s="1"/>
  <c r="C177" i="8"/>
  <c r="E177" i="8" s="1"/>
  <c r="C178" i="8"/>
  <c r="E178" i="8" s="1"/>
  <c r="C179" i="8"/>
  <c r="E179" i="8" s="1"/>
  <c r="C180" i="8"/>
  <c r="E180" i="8" s="1"/>
  <c r="C181" i="8"/>
  <c r="E181" i="8" s="1"/>
  <c r="C182" i="8"/>
  <c r="E182" i="8" s="1"/>
  <c r="C183" i="8"/>
  <c r="E183" i="8" s="1"/>
  <c r="C184" i="8"/>
  <c r="E184" i="8" s="1"/>
  <c r="C185" i="8"/>
  <c r="E185" i="8" s="1"/>
  <c r="C186" i="8"/>
  <c r="E186" i="8" s="1"/>
  <c r="C187" i="8"/>
  <c r="E187" i="8" s="1"/>
  <c r="C188" i="8"/>
  <c r="E188" i="8" s="1"/>
  <c r="C189" i="8"/>
  <c r="E189" i="8" s="1"/>
  <c r="C190" i="8"/>
  <c r="E190" i="8" s="1"/>
  <c r="C191" i="8"/>
  <c r="E191" i="8" s="1"/>
  <c r="C192" i="8"/>
  <c r="E192" i="8" s="1"/>
  <c r="C193" i="8"/>
  <c r="E193" i="8" s="1"/>
  <c r="C194" i="8"/>
  <c r="E194" i="8" s="1"/>
  <c r="C195" i="8"/>
  <c r="E195" i="8" s="1"/>
  <c r="C196" i="8"/>
  <c r="E196" i="8" s="1"/>
  <c r="C197" i="8"/>
  <c r="E197" i="8" s="1"/>
  <c r="C198" i="8"/>
  <c r="E198" i="8" s="1"/>
  <c r="C199" i="8"/>
  <c r="E199" i="8" s="1"/>
  <c r="C200" i="8"/>
  <c r="E200" i="8" s="1"/>
  <c r="C201" i="8"/>
  <c r="E201" i="8" s="1"/>
  <c r="C202" i="8"/>
  <c r="E202" i="8" s="1"/>
  <c r="C203" i="8"/>
  <c r="E203" i="8" s="1"/>
  <c r="C204" i="8"/>
  <c r="E204" i="8" s="1"/>
  <c r="C205" i="8"/>
  <c r="E205" i="8" s="1"/>
  <c r="C206" i="8"/>
  <c r="E206" i="8" s="1"/>
  <c r="C207" i="8"/>
  <c r="E207" i="8" s="1"/>
  <c r="C208" i="8"/>
  <c r="E208" i="8" s="1"/>
  <c r="C209" i="8"/>
  <c r="E209" i="8" s="1"/>
  <c r="C210" i="8"/>
  <c r="E210" i="8" s="1"/>
  <c r="C211" i="8"/>
  <c r="E211" i="8" s="1"/>
  <c r="C212" i="8"/>
  <c r="E212" i="8" s="1"/>
  <c r="C213" i="8"/>
  <c r="E213" i="8" s="1"/>
  <c r="C214" i="8"/>
  <c r="E214" i="8" s="1"/>
  <c r="C215" i="8"/>
  <c r="E215" i="8" s="1"/>
  <c r="C216" i="8"/>
  <c r="E216" i="8" s="1"/>
  <c r="C217" i="8"/>
  <c r="E217" i="8" s="1"/>
  <c r="C218" i="8"/>
  <c r="E218" i="8" s="1"/>
  <c r="C219" i="8"/>
  <c r="E219" i="8" s="1"/>
  <c r="C220" i="8"/>
  <c r="E220" i="8" s="1"/>
  <c r="C221" i="8"/>
  <c r="E221" i="8" s="1"/>
  <c r="C222" i="8"/>
  <c r="E222" i="8" s="1"/>
  <c r="C223" i="8"/>
  <c r="E223" i="8" s="1"/>
  <c r="C224" i="8"/>
  <c r="E224" i="8" s="1"/>
  <c r="C225" i="8"/>
  <c r="E225" i="8" s="1"/>
  <c r="C226" i="8"/>
  <c r="E226" i="8" s="1"/>
  <c r="C227" i="8"/>
  <c r="E227" i="8" s="1"/>
  <c r="C228" i="8"/>
  <c r="E228" i="8" s="1"/>
  <c r="C229" i="8"/>
  <c r="E229" i="8" s="1"/>
  <c r="C230" i="8"/>
  <c r="E230" i="8" s="1"/>
  <c r="C231" i="8"/>
  <c r="E231" i="8" s="1"/>
  <c r="C232" i="8"/>
  <c r="E232" i="8" s="1"/>
  <c r="C233" i="8"/>
  <c r="E233" i="8" s="1"/>
  <c r="C234" i="8"/>
  <c r="E234" i="8" s="1"/>
  <c r="C235" i="8"/>
  <c r="E235" i="8" s="1"/>
  <c r="C236" i="8"/>
  <c r="E236" i="8" s="1"/>
  <c r="C237" i="8"/>
  <c r="E237" i="8" s="1"/>
  <c r="C238" i="8"/>
  <c r="E238" i="8" s="1"/>
  <c r="C239" i="8"/>
  <c r="E239" i="8" s="1"/>
  <c r="C240" i="8"/>
  <c r="E240" i="8" s="1"/>
  <c r="C241" i="8"/>
  <c r="E241" i="8" s="1"/>
  <c r="C242" i="8"/>
  <c r="E242" i="8" s="1"/>
  <c r="C243" i="8"/>
  <c r="E243" i="8" s="1"/>
  <c r="C244" i="8"/>
  <c r="E244" i="8" s="1"/>
  <c r="C245" i="8"/>
  <c r="E245" i="8" s="1"/>
  <c r="C246" i="8"/>
  <c r="E246" i="8" s="1"/>
  <c r="C247" i="8"/>
  <c r="E247" i="8" s="1"/>
  <c r="C248" i="8"/>
  <c r="E248" i="8" s="1"/>
  <c r="C249" i="8"/>
  <c r="E249" i="8" s="1"/>
  <c r="C250" i="8"/>
  <c r="E250" i="8" s="1"/>
  <c r="C251" i="8"/>
  <c r="E251" i="8" s="1"/>
  <c r="C252" i="8"/>
  <c r="E252" i="8" s="1"/>
  <c r="C253" i="8"/>
  <c r="E253" i="8" s="1"/>
  <c r="C254" i="8"/>
  <c r="E254" i="8" s="1"/>
  <c r="C255" i="8"/>
  <c r="E255" i="8" s="1"/>
  <c r="C256" i="8"/>
  <c r="E256" i="8" s="1"/>
  <c r="C257" i="8"/>
  <c r="E257" i="8" s="1"/>
  <c r="C258" i="8"/>
  <c r="E258" i="8" s="1"/>
  <c r="C259" i="8"/>
  <c r="E259" i="8" s="1"/>
  <c r="C260" i="8"/>
  <c r="E260" i="8" s="1"/>
  <c r="C261" i="8"/>
  <c r="E261" i="8" s="1"/>
  <c r="C262" i="8"/>
  <c r="E262" i="8" s="1"/>
  <c r="C263" i="8"/>
  <c r="E263" i="8" s="1"/>
  <c r="C264" i="8"/>
  <c r="E264" i="8" s="1"/>
  <c r="C265" i="8"/>
  <c r="E265" i="8" s="1"/>
  <c r="C266" i="8"/>
  <c r="E266" i="8" s="1"/>
  <c r="C267" i="8"/>
  <c r="E267" i="8" s="1"/>
  <c r="C268" i="8"/>
  <c r="E268" i="8" s="1"/>
  <c r="C269" i="8"/>
  <c r="E269" i="8" s="1"/>
  <c r="C270" i="8"/>
  <c r="E270" i="8" s="1"/>
  <c r="C271" i="8"/>
  <c r="E271" i="8" s="1"/>
  <c r="C272" i="8"/>
  <c r="E272" i="8" s="1"/>
  <c r="C273" i="8"/>
  <c r="E273" i="8" s="1"/>
  <c r="C274" i="8"/>
  <c r="E274" i="8" s="1"/>
  <c r="C275" i="8"/>
  <c r="E275" i="8" s="1"/>
  <c r="C276" i="8"/>
  <c r="E276" i="8" s="1"/>
  <c r="C277" i="8"/>
  <c r="E277" i="8" s="1"/>
  <c r="C278" i="8"/>
  <c r="E278" i="8" s="1"/>
  <c r="C279" i="8"/>
  <c r="E279" i="8" s="1"/>
  <c r="C280" i="8"/>
  <c r="E280" i="8" s="1"/>
  <c r="C281" i="8"/>
  <c r="E281" i="8" s="1"/>
  <c r="C282" i="8"/>
  <c r="E282" i="8" s="1"/>
  <c r="C283" i="8"/>
  <c r="E283" i="8" s="1"/>
  <c r="C284" i="8"/>
  <c r="E284" i="8" s="1"/>
  <c r="C285" i="8"/>
  <c r="E285" i="8" s="1"/>
  <c r="C286" i="8"/>
  <c r="E286" i="8" s="1"/>
  <c r="C287" i="8"/>
  <c r="E287" i="8" s="1"/>
  <c r="C288" i="8"/>
  <c r="E288" i="8" s="1"/>
  <c r="C289" i="8"/>
  <c r="E289" i="8" s="1"/>
  <c r="C290" i="8"/>
  <c r="E290" i="8" s="1"/>
  <c r="C291" i="8"/>
  <c r="E291" i="8" s="1"/>
  <c r="C292" i="8"/>
  <c r="E292" i="8" s="1"/>
  <c r="C293" i="8"/>
  <c r="E293" i="8" s="1"/>
  <c r="C294" i="8"/>
  <c r="E294" i="8" s="1"/>
  <c r="C295" i="8"/>
  <c r="E295" i="8" s="1"/>
  <c r="C296" i="8"/>
  <c r="E296" i="8" s="1"/>
  <c r="C297" i="8"/>
  <c r="E297" i="8" s="1"/>
  <c r="C298" i="8"/>
  <c r="E298" i="8" s="1"/>
  <c r="C299" i="8"/>
  <c r="E299" i="8" s="1"/>
  <c r="C300" i="8"/>
  <c r="E300" i="8" s="1"/>
  <c r="C301" i="8"/>
  <c r="E301" i="8" s="1"/>
  <c r="C302" i="8"/>
  <c r="E302" i="8" s="1"/>
  <c r="C303" i="8"/>
  <c r="E303" i="8" s="1"/>
  <c r="C304" i="8"/>
  <c r="E304" i="8" s="1"/>
  <c r="C305" i="8"/>
  <c r="E305" i="8" s="1"/>
  <c r="C306" i="8"/>
  <c r="E306" i="8" s="1"/>
  <c r="C307" i="8"/>
  <c r="E307" i="8" s="1"/>
  <c r="C308" i="8"/>
  <c r="E308" i="8" s="1"/>
  <c r="C309" i="8"/>
  <c r="E309" i="8" s="1"/>
  <c r="C310" i="8"/>
  <c r="E310" i="8" s="1"/>
  <c r="C311" i="8"/>
  <c r="E311" i="8" s="1"/>
  <c r="C312" i="8"/>
  <c r="E312" i="8" s="1"/>
  <c r="C313" i="8"/>
  <c r="E313" i="8" s="1"/>
  <c r="C314" i="8"/>
  <c r="E314" i="8" s="1"/>
  <c r="C315" i="8"/>
  <c r="E315" i="8" s="1"/>
  <c r="C316" i="8"/>
  <c r="E316" i="8" s="1"/>
  <c r="C317" i="8"/>
  <c r="E317" i="8" s="1"/>
  <c r="C318" i="8"/>
  <c r="E318" i="8" s="1"/>
  <c r="C319" i="8"/>
  <c r="E319" i="8" s="1"/>
  <c r="C320" i="8"/>
  <c r="E320" i="8" s="1"/>
  <c r="C321" i="8"/>
  <c r="E321" i="8" s="1"/>
  <c r="C322" i="8"/>
  <c r="E322" i="8" s="1"/>
  <c r="C323" i="8"/>
  <c r="E323" i="8" s="1"/>
  <c r="C324" i="8"/>
  <c r="E324" i="8" s="1"/>
  <c r="C325" i="8"/>
  <c r="E325" i="8" s="1"/>
  <c r="C326" i="8"/>
  <c r="E326" i="8" s="1"/>
  <c r="C327" i="8"/>
  <c r="E327" i="8" s="1"/>
  <c r="C328" i="8"/>
  <c r="E328" i="8" s="1"/>
  <c r="C329" i="8"/>
  <c r="E329" i="8" s="1"/>
  <c r="C330" i="8"/>
  <c r="E330" i="8" s="1"/>
  <c r="C331" i="8"/>
  <c r="E331" i="8" s="1"/>
  <c r="C332" i="8"/>
  <c r="E332" i="8" s="1"/>
  <c r="C333" i="8"/>
  <c r="E333" i="8" s="1"/>
  <c r="C334" i="8"/>
  <c r="E334" i="8" s="1"/>
  <c r="C335" i="8"/>
  <c r="E335" i="8" s="1"/>
  <c r="C336" i="8"/>
  <c r="E336" i="8" s="1"/>
  <c r="C337" i="8"/>
  <c r="E337" i="8" s="1"/>
  <c r="C338" i="8"/>
  <c r="E338" i="8" s="1"/>
  <c r="C339" i="8"/>
  <c r="E339" i="8" s="1"/>
  <c r="C340" i="8"/>
  <c r="E340" i="8" s="1"/>
  <c r="C341" i="8"/>
  <c r="E341" i="8" s="1"/>
  <c r="C342" i="8"/>
  <c r="E342" i="8" s="1"/>
  <c r="C343" i="8"/>
  <c r="E343" i="8" s="1"/>
  <c r="C344" i="8"/>
  <c r="E344" i="8" s="1"/>
  <c r="C345" i="8"/>
  <c r="E345" i="8" s="1"/>
  <c r="C346" i="8"/>
  <c r="E346" i="8" s="1"/>
  <c r="C347" i="8"/>
  <c r="E347" i="8" s="1"/>
  <c r="C348" i="8"/>
  <c r="E348" i="8" s="1"/>
  <c r="C349" i="8"/>
  <c r="E349" i="8" s="1"/>
  <c r="C350" i="8"/>
  <c r="E350" i="8" s="1"/>
  <c r="C351" i="8"/>
  <c r="E351" i="8" s="1"/>
  <c r="C352" i="8"/>
  <c r="E352" i="8" s="1"/>
  <c r="C353" i="8"/>
  <c r="E353" i="8" s="1"/>
  <c r="C354" i="8"/>
  <c r="E354" i="8" s="1"/>
  <c r="C355" i="8"/>
  <c r="E355" i="8" s="1"/>
  <c r="C356" i="8"/>
  <c r="E356" i="8" s="1"/>
  <c r="C357" i="8"/>
  <c r="E357" i="8" s="1"/>
  <c r="C358" i="8"/>
  <c r="E358" i="8" s="1"/>
  <c r="C359" i="8"/>
  <c r="E359" i="8" s="1"/>
  <c r="C360" i="8"/>
  <c r="E360" i="8" s="1"/>
  <c r="C361" i="8"/>
  <c r="E361" i="8" s="1"/>
  <c r="C362" i="8"/>
  <c r="E362" i="8" s="1"/>
  <c r="C363" i="8"/>
  <c r="E363" i="8" s="1"/>
  <c r="C364" i="8"/>
  <c r="E364" i="8" s="1"/>
  <c r="C365" i="8"/>
  <c r="E365" i="8" s="1"/>
  <c r="C366" i="8"/>
  <c r="E366" i="8" s="1"/>
  <c r="C367" i="8"/>
  <c r="E367" i="8" s="1"/>
  <c r="C2" i="8"/>
  <c r="C4" i="3"/>
  <c r="E4" i="3" s="1"/>
  <c r="C5" i="3"/>
  <c r="E5" i="3" s="1"/>
  <c r="C6" i="3"/>
  <c r="E6" i="3" s="1"/>
  <c r="C7" i="3"/>
  <c r="E7" i="3" s="1"/>
  <c r="C8" i="3"/>
  <c r="C9" i="3"/>
  <c r="E9" i="3" s="1"/>
  <c r="C10" i="3"/>
  <c r="E10" i="3" s="1"/>
  <c r="C11" i="3"/>
  <c r="E11" i="3" s="1"/>
  <c r="C12" i="3"/>
  <c r="E12" i="3" s="1"/>
  <c r="C13" i="3"/>
  <c r="E13" i="3" s="1"/>
  <c r="C14" i="3"/>
  <c r="E14" i="3" s="1"/>
  <c r="C15" i="3"/>
  <c r="E15" i="3" s="1"/>
  <c r="C16" i="3"/>
  <c r="E16" i="3" s="1"/>
  <c r="C17" i="3"/>
  <c r="E17" i="3" s="1"/>
  <c r="C18" i="3"/>
  <c r="E18" i="3" s="1"/>
  <c r="C19" i="3"/>
  <c r="E19" i="3" s="1"/>
  <c r="C20" i="3"/>
  <c r="E20" i="3" s="1"/>
  <c r="C21" i="3"/>
  <c r="E21" i="3" s="1"/>
  <c r="C22" i="3"/>
  <c r="E22" i="3" s="1"/>
  <c r="C23" i="3"/>
  <c r="E23" i="3" s="1"/>
  <c r="C24" i="3"/>
  <c r="E24" i="3" s="1"/>
  <c r="C25" i="3"/>
  <c r="E25" i="3" s="1"/>
  <c r="C26" i="3"/>
  <c r="E26" i="3" s="1"/>
  <c r="C27" i="3"/>
  <c r="E27" i="3" s="1"/>
  <c r="C28" i="3"/>
  <c r="E28" i="3" s="1"/>
  <c r="C29" i="3"/>
  <c r="E29" i="3" s="1"/>
  <c r="C30" i="3"/>
  <c r="E30" i="3" s="1"/>
  <c r="C31" i="3"/>
  <c r="E31" i="3" s="1"/>
  <c r="C32" i="3"/>
  <c r="E32" i="3" s="1"/>
  <c r="C33" i="3"/>
  <c r="E33" i="3" s="1"/>
  <c r="C34" i="3"/>
  <c r="E34" i="3" s="1"/>
  <c r="C35" i="3"/>
  <c r="E35" i="3" s="1"/>
  <c r="C36" i="3"/>
  <c r="E36" i="3" s="1"/>
  <c r="C37" i="3"/>
  <c r="E37" i="3" s="1"/>
  <c r="C38" i="3"/>
  <c r="E38" i="3" s="1"/>
  <c r="C39" i="3"/>
  <c r="E39" i="3" s="1"/>
  <c r="C40" i="3"/>
  <c r="E40" i="3" s="1"/>
  <c r="C41" i="3"/>
  <c r="E41" i="3" s="1"/>
  <c r="C42" i="3"/>
  <c r="E42" i="3" s="1"/>
  <c r="C43" i="3"/>
  <c r="E43" i="3" s="1"/>
  <c r="C44" i="3"/>
  <c r="E44" i="3" s="1"/>
  <c r="C45" i="3"/>
  <c r="E45" i="3" s="1"/>
  <c r="C46" i="3"/>
  <c r="E46" i="3" s="1"/>
  <c r="C47" i="3"/>
  <c r="E47" i="3" s="1"/>
  <c r="C48" i="3"/>
  <c r="E48" i="3" s="1"/>
  <c r="C49" i="3"/>
  <c r="E49" i="3" s="1"/>
  <c r="C50" i="3"/>
  <c r="E50" i="3" s="1"/>
  <c r="C51" i="3"/>
  <c r="E51" i="3" s="1"/>
  <c r="C52" i="3"/>
  <c r="E52" i="3" s="1"/>
  <c r="C53" i="3"/>
  <c r="E53" i="3" s="1"/>
  <c r="C54" i="3"/>
  <c r="E54" i="3" s="1"/>
  <c r="C55" i="3"/>
  <c r="E55" i="3" s="1"/>
  <c r="C56" i="3"/>
  <c r="E56" i="3" s="1"/>
  <c r="C57" i="3"/>
  <c r="E57" i="3" s="1"/>
  <c r="C58" i="3"/>
  <c r="E58" i="3" s="1"/>
  <c r="C59" i="3"/>
  <c r="E59" i="3" s="1"/>
  <c r="C60" i="3"/>
  <c r="E60" i="3" s="1"/>
  <c r="C61" i="3"/>
  <c r="E61" i="3" s="1"/>
  <c r="C62" i="3"/>
  <c r="E62" i="3" s="1"/>
  <c r="C63" i="3"/>
  <c r="E63" i="3" s="1"/>
  <c r="C64" i="3"/>
  <c r="E64" i="3" s="1"/>
  <c r="C65" i="3"/>
  <c r="E65" i="3" s="1"/>
  <c r="C66" i="3"/>
  <c r="E66" i="3" s="1"/>
  <c r="C67" i="3"/>
  <c r="E67" i="3" s="1"/>
  <c r="C68" i="3"/>
  <c r="E68" i="3" s="1"/>
  <c r="C69" i="3"/>
  <c r="E69" i="3" s="1"/>
  <c r="C70" i="3"/>
  <c r="E70" i="3" s="1"/>
  <c r="C71" i="3"/>
  <c r="E71" i="3" s="1"/>
  <c r="C72" i="3"/>
  <c r="E72" i="3" s="1"/>
  <c r="C73" i="3"/>
  <c r="E73" i="3" s="1"/>
  <c r="C74" i="3"/>
  <c r="E74" i="3" s="1"/>
  <c r="C75" i="3"/>
  <c r="E75" i="3" s="1"/>
  <c r="C76" i="3"/>
  <c r="E76" i="3" s="1"/>
  <c r="C77" i="3"/>
  <c r="E77" i="3" s="1"/>
  <c r="C78" i="3"/>
  <c r="E78" i="3" s="1"/>
  <c r="C79" i="3"/>
  <c r="E79" i="3" s="1"/>
  <c r="C80" i="3"/>
  <c r="E80" i="3" s="1"/>
  <c r="C81" i="3"/>
  <c r="E81" i="3" s="1"/>
  <c r="C82" i="3"/>
  <c r="E82" i="3" s="1"/>
  <c r="C83" i="3"/>
  <c r="E83" i="3" s="1"/>
  <c r="C84" i="3"/>
  <c r="E84" i="3" s="1"/>
  <c r="C85" i="3"/>
  <c r="E85" i="3" s="1"/>
  <c r="C86" i="3"/>
  <c r="E86" i="3" s="1"/>
  <c r="C87" i="3"/>
  <c r="E87" i="3" s="1"/>
  <c r="C88" i="3"/>
  <c r="E88" i="3" s="1"/>
  <c r="C89" i="3"/>
  <c r="E89" i="3" s="1"/>
  <c r="C90" i="3"/>
  <c r="E90" i="3" s="1"/>
  <c r="C91" i="3"/>
  <c r="E91" i="3" s="1"/>
  <c r="C92" i="3"/>
  <c r="E92" i="3" s="1"/>
  <c r="C93" i="3"/>
  <c r="E93" i="3" s="1"/>
  <c r="C94" i="3"/>
  <c r="E94" i="3" s="1"/>
  <c r="C95" i="3"/>
  <c r="E95" i="3" s="1"/>
  <c r="C96" i="3"/>
  <c r="E96" i="3" s="1"/>
  <c r="C97" i="3"/>
  <c r="E97" i="3" s="1"/>
  <c r="C98" i="3"/>
  <c r="E98" i="3" s="1"/>
  <c r="C99" i="3"/>
  <c r="E99" i="3" s="1"/>
  <c r="C100" i="3"/>
  <c r="E100" i="3" s="1"/>
  <c r="C101" i="3"/>
  <c r="E101" i="3" s="1"/>
  <c r="C102" i="3"/>
  <c r="E102" i="3" s="1"/>
  <c r="C103" i="3"/>
  <c r="E103" i="3" s="1"/>
  <c r="C104" i="3"/>
  <c r="E104" i="3" s="1"/>
  <c r="C105" i="3"/>
  <c r="E105" i="3" s="1"/>
  <c r="C106" i="3"/>
  <c r="E106" i="3" s="1"/>
  <c r="C107" i="3"/>
  <c r="E107" i="3" s="1"/>
  <c r="C108" i="3"/>
  <c r="E108" i="3" s="1"/>
  <c r="C109" i="3"/>
  <c r="E109" i="3" s="1"/>
  <c r="C110" i="3"/>
  <c r="E110" i="3" s="1"/>
  <c r="C111" i="3"/>
  <c r="E111" i="3" s="1"/>
  <c r="C112" i="3"/>
  <c r="E112" i="3" s="1"/>
  <c r="C113" i="3"/>
  <c r="E113" i="3" s="1"/>
  <c r="C114" i="3"/>
  <c r="E114" i="3" s="1"/>
  <c r="C115" i="3"/>
  <c r="E115" i="3" s="1"/>
  <c r="C116" i="3"/>
  <c r="E116" i="3" s="1"/>
  <c r="C117" i="3"/>
  <c r="E117" i="3" s="1"/>
  <c r="C118" i="3"/>
  <c r="E118" i="3" s="1"/>
  <c r="C119" i="3"/>
  <c r="E119" i="3" s="1"/>
  <c r="C120" i="3"/>
  <c r="E120" i="3" s="1"/>
  <c r="C121" i="3"/>
  <c r="E121" i="3" s="1"/>
  <c r="C122" i="3"/>
  <c r="E122" i="3" s="1"/>
  <c r="C123" i="3"/>
  <c r="E123" i="3" s="1"/>
  <c r="C124" i="3"/>
  <c r="E124" i="3" s="1"/>
  <c r="C125" i="3"/>
  <c r="E125" i="3" s="1"/>
  <c r="C126" i="3"/>
  <c r="E126" i="3" s="1"/>
  <c r="C127" i="3"/>
  <c r="E127" i="3" s="1"/>
  <c r="C128" i="3"/>
  <c r="E128" i="3" s="1"/>
  <c r="C129" i="3"/>
  <c r="E129" i="3" s="1"/>
  <c r="C130" i="3"/>
  <c r="E130" i="3" s="1"/>
  <c r="C131" i="3"/>
  <c r="E131" i="3" s="1"/>
  <c r="C132" i="3"/>
  <c r="E132" i="3" s="1"/>
  <c r="C133" i="3"/>
  <c r="E133" i="3" s="1"/>
  <c r="C134" i="3"/>
  <c r="E134" i="3" s="1"/>
  <c r="C135" i="3"/>
  <c r="E135" i="3" s="1"/>
  <c r="C136" i="3"/>
  <c r="E136" i="3" s="1"/>
  <c r="C137" i="3"/>
  <c r="E137" i="3" s="1"/>
  <c r="C138" i="3"/>
  <c r="E138" i="3" s="1"/>
  <c r="C139" i="3"/>
  <c r="E139" i="3" s="1"/>
  <c r="C140" i="3"/>
  <c r="E140" i="3" s="1"/>
  <c r="C141" i="3"/>
  <c r="E141" i="3" s="1"/>
  <c r="C142" i="3"/>
  <c r="E142" i="3" s="1"/>
  <c r="C143" i="3"/>
  <c r="E143" i="3" s="1"/>
  <c r="C144" i="3"/>
  <c r="E144" i="3" s="1"/>
  <c r="C145" i="3"/>
  <c r="E145" i="3" s="1"/>
  <c r="C146" i="3"/>
  <c r="E146" i="3" s="1"/>
  <c r="C147" i="3"/>
  <c r="E147" i="3" s="1"/>
  <c r="C148" i="3"/>
  <c r="E148" i="3" s="1"/>
  <c r="C149" i="3"/>
  <c r="E149" i="3" s="1"/>
  <c r="C150" i="3"/>
  <c r="E150" i="3" s="1"/>
  <c r="C151" i="3"/>
  <c r="E151" i="3" s="1"/>
  <c r="C152" i="3"/>
  <c r="E152" i="3" s="1"/>
  <c r="C153" i="3"/>
  <c r="E153" i="3" s="1"/>
  <c r="C154" i="3"/>
  <c r="E154" i="3" s="1"/>
  <c r="C155" i="3"/>
  <c r="E155" i="3" s="1"/>
  <c r="C156" i="3"/>
  <c r="E156" i="3" s="1"/>
  <c r="C157" i="3"/>
  <c r="E157" i="3" s="1"/>
  <c r="C158" i="3"/>
  <c r="E158" i="3" s="1"/>
  <c r="C159" i="3"/>
  <c r="E159" i="3" s="1"/>
  <c r="C160" i="3"/>
  <c r="E160" i="3" s="1"/>
  <c r="C161" i="3"/>
  <c r="E161" i="3" s="1"/>
  <c r="C162" i="3"/>
  <c r="E162" i="3" s="1"/>
  <c r="C163" i="3"/>
  <c r="E163" i="3" s="1"/>
  <c r="C164" i="3"/>
  <c r="E164" i="3" s="1"/>
  <c r="C165" i="3"/>
  <c r="E165" i="3" s="1"/>
  <c r="C166" i="3"/>
  <c r="E166" i="3" s="1"/>
  <c r="C167" i="3"/>
  <c r="E167" i="3" s="1"/>
  <c r="C168" i="3"/>
  <c r="E168" i="3" s="1"/>
  <c r="C169" i="3"/>
  <c r="E169" i="3" s="1"/>
  <c r="C170" i="3"/>
  <c r="E170" i="3" s="1"/>
  <c r="C171" i="3"/>
  <c r="E171" i="3" s="1"/>
  <c r="C172" i="3"/>
  <c r="E172" i="3" s="1"/>
  <c r="C173" i="3"/>
  <c r="E173" i="3" s="1"/>
  <c r="C174" i="3"/>
  <c r="E174" i="3" s="1"/>
  <c r="C175" i="3"/>
  <c r="E175" i="3" s="1"/>
  <c r="C176" i="3"/>
  <c r="E176" i="3" s="1"/>
  <c r="C177" i="3"/>
  <c r="E177" i="3" s="1"/>
  <c r="C178" i="3"/>
  <c r="E178" i="3" s="1"/>
  <c r="C179" i="3"/>
  <c r="E179" i="3" s="1"/>
  <c r="C180" i="3"/>
  <c r="E180" i="3" s="1"/>
  <c r="C181" i="3"/>
  <c r="E181" i="3" s="1"/>
  <c r="C182" i="3"/>
  <c r="E182" i="3" s="1"/>
  <c r="C183" i="3"/>
  <c r="E183" i="3" s="1"/>
  <c r="C184" i="3"/>
  <c r="E184" i="3" s="1"/>
  <c r="C185" i="3"/>
  <c r="E185" i="3" s="1"/>
  <c r="C186" i="3"/>
  <c r="E186" i="3" s="1"/>
  <c r="C187" i="3"/>
  <c r="E187" i="3" s="1"/>
  <c r="C188" i="3"/>
  <c r="E188" i="3" s="1"/>
  <c r="C189" i="3"/>
  <c r="E189" i="3" s="1"/>
  <c r="C190" i="3"/>
  <c r="E190" i="3" s="1"/>
  <c r="C191" i="3"/>
  <c r="E191" i="3" s="1"/>
  <c r="C192" i="3"/>
  <c r="E192" i="3" s="1"/>
  <c r="C193" i="3"/>
  <c r="E193" i="3" s="1"/>
  <c r="C194" i="3"/>
  <c r="E194" i="3" s="1"/>
  <c r="C195" i="3"/>
  <c r="E195" i="3" s="1"/>
  <c r="C196" i="3"/>
  <c r="E196" i="3" s="1"/>
  <c r="C197" i="3"/>
  <c r="E197" i="3" s="1"/>
  <c r="C198" i="3"/>
  <c r="E198" i="3" s="1"/>
  <c r="C199" i="3"/>
  <c r="E199" i="3" s="1"/>
  <c r="C200" i="3"/>
  <c r="E200" i="3" s="1"/>
  <c r="C201" i="3"/>
  <c r="E201" i="3" s="1"/>
  <c r="C202" i="3"/>
  <c r="E202" i="3" s="1"/>
  <c r="C203" i="3"/>
  <c r="E203" i="3" s="1"/>
  <c r="C204" i="3"/>
  <c r="E204" i="3" s="1"/>
  <c r="C205" i="3"/>
  <c r="E205" i="3" s="1"/>
  <c r="C206" i="3"/>
  <c r="E206" i="3" s="1"/>
  <c r="C207" i="3"/>
  <c r="E207" i="3" s="1"/>
  <c r="C208" i="3"/>
  <c r="E208" i="3" s="1"/>
  <c r="C209" i="3"/>
  <c r="E209" i="3" s="1"/>
  <c r="C210" i="3"/>
  <c r="E210" i="3" s="1"/>
  <c r="C211" i="3"/>
  <c r="E211" i="3" s="1"/>
  <c r="C212" i="3"/>
  <c r="E212" i="3" s="1"/>
  <c r="C213" i="3"/>
  <c r="E213" i="3" s="1"/>
  <c r="C214" i="3"/>
  <c r="E214" i="3" s="1"/>
  <c r="C215" i="3"/>
  <c r="E215" i="3" s="1"/>
  <c r="C216" i="3"/>
  <c r="E216" i="3" s="1"/>
  <c r="C217" i="3"/>
  <c r="E217" i="3" s="1"/>
  <c r="C218" i="3"/>
  <c r="E218" i="3" s="1"/>
  <c r="C219" i="3"/>
  <c r="E219" i="3" s="1"/>
  <c r="C220" i="3"/>
  <c r="E220" i="3" s="1"/>
  <c r="C221" i="3"/>
  <c r="E221" i="3" s="1"/>
  <c r="C222" i="3"/>
  <c r="E222" i="3" s="1"/>
  <c r="C223" i="3"/>
  <c r="E223" i="3" s="1"/>
  <c r="C224" i="3"/>
  <c r="E224" i="3" s="1"/>
  <c r="C225" i="3"/>
  <c r="E225" i="3" s="1"/>
  <c r="C226" i="3"/>
  <c r="E226" i="3" s="1"/>
  <c r="C227" i="3"/>
  <c r="E227" i="3" s="1"/>
  <c r="C228" i="3"/>
  <c r="E228" i="3" s="1"/>
  <c r="C229" i="3"/>
  <c r="E229" i="3" s="1"/>
  <c r="C230" i="3"/>
  <c r="E230" i="3" s="1"/>
  <c r="C231" i="3"/>
  <c r="E231" i="3" s="1"/>
  <c r="C232" i="3"/>
  <c r="E232" i="3" s="1"/>
  <c r="C233" i="3"/>
  <c r="E233" i="3" s="1"/>
  <c r="C234" i="3"/>
  <c r="E234" i="3" s="1"/>
  <c r="C235" i="3"/>
  <c r="E235" i="3" s="1"/>
  <c r="C236" i="3"/>
  <c r="E236" i="3" s="1"/>
  <c r="C237" i="3"/>
  <c r="E237" i="3" s="1"/>
  <c r="C238" i="3"/>
  <c r="E238" i="3" s="1"/>
  <c r="C239" i="3"/>
  <c r="E239" i="3" s="1"/>
  <c r="C240" i="3"/>
  <c r="E240" i="3" s="1"/>
  <c r="C241" i="3"/>
  <c r="E241" i="3" s="1"/>
  <c r="C242" i="3"/>
  <c r="E242" i="3" s="1"/>
  <c r="C243" i="3"/>
  <c r="E243" i="3" s="1"/>
  <c r="C244" i="3"/>
  <c r="E244" i="3" s="1"/>
  <c r="C245" i="3"/>
  <c r="E245" i="3" s="1"/>
  <c r="C246" i="3"/>
  <c r="E246" i="3" s="1"/>
  <c r="C247" i="3"/>
  <c r="E247" i="3" s="1"/>
  <c r="C248" i="3"/>
  <c r="E248" i="3" s="1"/>
  <c r="C249" i="3"/>
  <c r="E249" i="3" s="1"/>
  <c r="C250" i="3"/>
  <c r="E250" i="3" s="1"/>
  <c r="C251" i="3"/>
  <c r="E251" i="3" s="1"/>
  <c r="C252" i="3"/>
  <c r="E252" i="3" s="1"/>
  <c r="C253" i="3"/>
  <c r="E253" i="3" s="1"/>
  <c r="C254" i="3"/>
  <c r="E254" i="3" s="1"/>
  <c r="C255" i="3"/>
  <c r="E255" i="3" s="1"/>
  <c r="C256" i="3"/>
  <c r="E256" i="3" s="1"/>
  <c r="C257" i="3"/>
  <c r="E257" i="3" s="1"/>
  <c r="C258" i="3"/>
  <c r="E258" i="3" s="1"/>
  <c r="C259" i="3"/>
  <c r="E259" i="3" s="1"/>
  <c r="C260" i="3"/>
  <c r="E260" i="3" s="1"/>
  <c r="C261" i="3"/>
  <c r="E261" i="3" s="1"/>
  <c r="C262" i="3"/>
  <c r="E262" i="3" s="1"/>
  <c r="C263" i="3"/>
  <c r="E263" i="3" s="1"/>
  <c r="C264" i="3"/>
  <c r="E264" i="3" s="1"/>
  <c r="C265" i="3"/>
  <c r="E265" i="3" s="1"/>
  <c r="C266" i="3"/>
  <c r="E266" i="3" s="1"/>
  <c r="C267" i="3"/>
  <c r="E267" i="3" s="1"/>
  <c r="C268" i="3"/>
  <c r="E268" i="3" s="1"/>
  <c r="C269" i="3"/>
  <c r="E269" i="3" s="1"/>
  <c r="C270" i="3"/>
  <c r="E270" i="3" s="1"/>
  <c r="C271" i="3"/>
  <c r="E271" i="3" s="1"/>
  <c r="C272" i="3"/>
  <c r="E272" i="3" s="1"/>
  <c r="C273" i="3"/>
  <c r="E273" i="3" s="1"/>
  <c r="C274" i="3"/>
  <c r="E274" i="3" s="1"/>
  <c r="C275" i="3"/>
  <c r="E275" i="3" s="1"/>
  <c r="C276" i="3"/>
  <c r="E276" i="3" s="1"/>
  <c r="C277" i="3"/>
  <c r="E277" i="3" s="1"/>
  <c r="C278" i="3"/>
  <c r="E278" i="3" s="1"/>
  <c r="C279" i="3"/>
  <c r="E279" i="3" s="1"/>
  <c r="C280" i="3"/>
  <c r="E280" i="3" s="1"/>
  <c r="C281" i="3"/>
  <c r="E281" i="3" s="1"/>
  <c r="C282" i="3"/>
  <c r="E282" i="3" s="1"/>
  <c r="C283" i="3"/>
  <c r="E283" i="3" s="1"/>
  <c r="C284" i="3"/>
  <c r="E284" i="3" s="1"/>
  <c r="C285" i="3"/>
  <c r="E285" i="3" s="1"/>
  <c r="C286" i="3"/>
  <c r="E286" i="3" s="1"/>
  <c r="C287" i="3"/>
  <c r="E287" i="3" s="1"/>
  <c r="C288" i="3"/>
  <c r="E288" i="3" s="1"/>
  <c r="C289" i="3"/>
  <c r="E289" i="3" s="1"/>
  <c r="C290" i="3"/>
  <c r="E290" i="3" s="1"/>
  <c r="C291" i="3"/>
  <c r="E291" i="3" s="1"/>
  <c r="C292" i="3"/>
  <c r="E292" i="3" s="1"/>
  <c r="C293" i="3"/>
  <c r="E293" i="3" s="1"/>
  <c r="C294" i="3"/>
  <c r="E294" i="3" s="1"/>
  <c r="C295" i="3"/>
  <c r="E295" i="3" s="1"/>
  <c r="C296" i="3"/>
  <c r="E296" i="3" s="1"/>
  <c r="C297" i="3"/>
  <c r="E297" i="3" s="1"/>
  <c r="C298" i="3"/>
  <c r="E298" i="3" s="1"/>
  <c r="C299" i="3"/>
  <c r="E299" i="3" s="1"/>
  <c r="C300" i="3"/>
  <c r="E300" i="3" s="1"/>
  <c r="C301" i="3"/>
  <c r="E301" i="3" s="1"/>
  <c r="C302" i="3"/>
  <c r="E302" i="3" s="1"/>
  <c r="C303" i="3"/>
  <c r="E303" i="3" s="1"/>
  <c r="C304" i="3"/>
  <c r="E304" i="3" s="1"/>
  <c r="C305" i="3"/>
  <c r="E305" i="3" s="1"/>
  <c r="C306" i="3"/>
  <c r="E306" i="3" s="1"/>
  <c r="C307" i="3"/>
  <c r="E307" i="3" s="1"/>
  <c r="C308" i="3"/>
  <c r="E308" i="3" s="1"/>
  <c r="C309" i="3"/>
  <c r="E309" i="3" s="1"/>
  <c r="C310" i="3"/>
  <c r="E310" i="3" s="1"/>
  <c r="C311" i="3"/>
  <c r="E311" i="3" s="1"/>
  <c r="C312" i="3"/>
  <c r="E312" i="3" s="1"/>
  <c r="C313" i="3"/>
  <c r="E313" i="3" s="1"/>
  <c r="C314" i="3"/>
  <c r="E314" i="3" s="1"/>
  <c r="C315" i="3"/>
  <c r="E315" i="3" s="1"/>
  <c r="C316" i="3"/>
  <c r="E316" i="3" s="1"/>
  <c r="C317" i="3"/>
  <c r="E317" i="3" s="1"/>
  <c r="C318" i="3"/>
  <c r="E318" i="3" s="1"/>
  <c r="C319" i="3"/>
  <c r="E319" i="3" s="1"/>
  <c r="C320" i="3"/>
  <c r="E320" i="3" s="1"/>
  <c r="C321" i="3"/>
  <c r="E321" i="3" s="1"/>
  <c r="C322" i="3"/>
  <c r="E322" i="3" s="1"/>
  <c r="C323" i="3"/>
  <c r="E323" i="3" s="1"/>
  <c r="C324" i="3"/>
  <c r="E324" i="3" s="1"/>
  <c r="C325" i="3"/>
  <c r="E325" i="3" s="1"/>
  <c r="C326" i="3"/>
  <c r="E326" i="3" s="1"/>
  <c r="C327" i="3"/>
  <c r="E327" i="3" s="1"/>
  <c r="C328" i="3"/>
  <c r="E328" i="3" s="1"/>
  <c r="C329" i="3"/>
  <c r="E329" i="3" s="1"/>
  <c r="E330" i="3"/>
  <c r="C331" i="3"/>
  <c r="E331" i="3" s="1"/>
  <c r="C332" i="3"/>
  <c r="E332" i="3" s="1"/>
  <c r="C333" i="3"/>
  <c r="E333" i="3" s="1"/>
  <c r="C334" i="3"/>
  <c r="E334" i="3" s="1"/>
  <c r="C335" i="3"/>
  <c r="E335" i="3" s="1"/>
  <c r="C336" i="3"/>
  <c r="E336" i="3" s="1"/>
  <c r="C337" i="3"/>
  <c r="E337" i="3" s="1"/>
  <c r="C338" i="3"/>
  <c r="E338" i="3" s="1"/>
  <c r="C339" i="3"/>
  <c r="E339" i="3" s="1"/>
  <c r="C340" i="3"/>
  <c r="E340" i="3" s="1"/>
  <c r="C341" i="3"/>
  <c r="E341" i="3" s="1"/>
  <c r="C342" i="3"/>
  <c r="E342" i="3" s="1"/>
  <c r="C343" i="3"/>
  <c r="E343" i="3" s="1"/>
  <c r="C344" i="3"/>
  <c r="E344" i="3" s="1"/>
  <c r="C345" i="3"/>
  <c r="E345" i="3" s="1"/>
  <c r="C346" i="3"/>
  <c r="E346" i="3" s="1"/>
  <c r="C347" i="3"/>
  <c r="E347" i="3" s="1"/>
  <c r="C348" i="3"/>
  <c r="E348" i="3" s="1"/>
  <c r="C349" i="3"/>
  <c r="E349" i="3" s="1"/>
  <c r="C350" i="3"/>
  <c r="E350" i="3" s="1"/>
  <c r="C351" i="3"/>
  <c r="E351" i="3" s="1"/>
  <c r="C352" i="3"/>
  <c r="E352" i="3" s="1"/>
  <c r="C353" i="3"/>
  <c r="E353" i="3" s="1"/>
  <c r="C354" i="3"/>
  <c r="E354" i="3" s="1"/>
  <c r="C355" i="3"/>
  <c r="E355" i="3" s="1"/>
  <c r="C356" i="3"/>
  <c r="E356" i="3" s="1"/>
  <c r="C357" i="3"/>
  <c r="E357" i="3" s="1"/>
  <c r="C358" i="3"/>
  <c r="E358" i="3" s="1"/>
  <c r="C359" i="3"/>
  <c r="E359" i="3" s="1"/>
  <c r="C360" i="3"/>
  <c r="E360" i="3" s="1"/>
  <c r="C361" i="3"/>
  <c r="E361" i="3" s="1"/>
  <c r="C362" i="3"/>
  <c r="E362" i="3" s="1"/>
  <c r="C363" i="3"/>
  <c r="E363" i="3" s="1"/>
  <c r="C364" i="3"/>
  <c r="E364" i="3" s="1"/>
  <c r="C365" i="3"/>
  <c r="E365" i="3" s="1"/>
  <c r="C366" i="3"/>
  <c r="E366" i="3" s="1"/>
  <c r="C367" i="3"/>
  <c r="E367" i="3" s="1"/>
  <c r="AS368" i="9"/>
  <c r="X368" i="9"/>
  <c r="Y368" i="9" s="1"/>
  <c r="AK368" i="9"/>
  <c r="C82" i="7" l="1"/>
  <c r="E8" i="3"/>
  <c r="D8" i="3"/>
  <c r="D82" i="7"/>
  <c r="F2" i="9"/>
  <c r="D268" i="9"/>
  <c r="E267" i="9"/>
  <c r="E2" i="8"/>
  <c r="F2" i="8" s="1"/>
  <c r="G2" i="9" l="1"/>
  <c r="G2" i="8" l="1"/>
  <c r="K2" i="8" s="1"/>
  <c r="D368" i="9" l="1"/>
  <c r="D215" i="9" l="1"/>
  <c r="K2" i="3"/>
  <c r="C21" i="7" l="1"/>
  <c r="C20" i="7"/>
  <c r="AL3" i="9" s="1"/>
  <c r="AL269" i="9" l="1"/>
  <c r="AL268" i="9"/>
  <c r="AL270" i="9"/>
  <c r="AL177" i="9"/>
  <c r="AL368" i="9"/>
  <c r="AL67" i="8"/>
  <c r="AL85" i="8"/>
  <c r="AL89" i="9"/>
  <c r="AL321" i="3"/>
  <c r="AL342" i="8"/>
  <c r="AL364" i="3"/>
  <c r="AL361" i="3"/>
  <c r="AL305" i="3"/>
  <c r="AL241" i="3"/>
  <c r="AL161" i="3"/>
  <c r="AL307" i="8"/>
  <c r="AL352" i="3"/>
  <c r="AL292" i="3"/>
  <c r="AL228" i="3"/>
  <c r="AL137" i="3"/>
  <c r="AL291" i="8"/>
  <c r="AL345" i="9"/>
  <c r="AL190" i="3"/>
  <c r="AL244" i="3"/>
  <c r="AL334" i="8"/>
  <c r="AL289" i="3"/>
  <c r="AL129" i="3"/>
  <c r="AL243" i="8"/>
  <c r="AL338" i="3"/>
  <c r="AL212" i="3"/>
  <c r="AL105" i="3"/>
  <c r="AL227" i="8"/>
  <c r="AL258" i="9"/>
  <c r="AL336" i="3"/>
  <c r="AL273" i="3"/>
  <c r="AL209" i="3"/>
  <c r="AL97" i="3"/>
  <c r="AL172" i="8"/>
  <c r="AL194" i="9"/>
  <c r="AL257" i="3"/>
  <c r="AL112" i="9"/>
  <c r="AL308" i="3"/>
  <c r="AL169" i="3"/>
  <c r="AL348" i="3"/>
  <c r="AL225" i="3"/>
  <c r="AL281" i="9"/>
  <c r="AL276" i="3"/>
  <c r="AL324" i="3"/>
  <c r="AL260" i="3"/>
  <c r="AL194" i="3"/>
  <c r="AL366" i="8"/>
  <c r="AL149" i="8"/>
  <c r="AL176" i="9"/>
  <c r="AL11" i="9"/>
  <c r="AL19" i="9"/>
  <c r="AL27" i="9"/>
  <c r="AL35" i="9"/>
  <c r="AL43" i="9"/>
  <c r="AL51" i="9"/>
  <c r="AL59" i="9"/>
  <c r="AL67" i="9"/>
  <c r="AL75" i="9"/>
  <c r="AL83" i="9"/>
  <c r="AL91" i="9"/>
  <c r="AL6" i="8"/>
  <c r="AL14" i="8"/>
  <c r="AL22" i="8"/>
  <c r="AL30" i="8"/>
  <c r="AL38" i="8"/>
  <c r="AL46" i="8"/>
  <c r="AL54" i="8"/>
  <c r="AL62" i="8"/>
  <c r="AL70" i="8"/>
  <c r="AL78" i="8"/>
  <c r="AL86" i="8"/>
  <c r="AL4" i="9"/>
  <c r="AL12" i="9"/>
  <c r="AL20" i="9"/>
  <c r="AL28" i="9"/>
  <c r="AL36" i="9"/>
  <c r="AL44" i="9"/>
  <c r="AL52" i="9"/>
  <c r="AL60" i="9"/>
  <c r="AL68" i="9"/>
  <c r="AL76" i="9"/>
  <c r="AL84" i="9"/>
  <c r="AL92" i="9"/>
  <c r="AL7" i="8"/>
  <c r="AL15" i="8"/>
  <c r="AL23" i="8"/>
  <c r="AL31" i="8"/>
  <c r="AL39" i="8"/>
  <c r="AL47" i="8"/>
  <c r="AL55" i="8"/>
  <c r="AL63" i="8"/>
  <c r="AL71" i="8"/>
  <c r="AL79" i="8"/>
  <c r="AL87" i="8"/>
  <c r="AL5" i="9"/>
  <c r="AL13" i="9"/>
  <c r="AL21" i="9"/>
  <c r="AL29" i="9"/>
  <c r="AL37" i="9"/>
  <c r="AL45" i="9"/>
  <c r="AL53" i="9"/>
  <c r="AL61" i="9"/>
  <c r="AL69" i="9"/>
  <c r="AL77" i="9"/>
  <c r="AL85" i="9"/>
  <c r="AL93" i="9"/>
  <c r="AL8" i="8"/>
  <c r="AL16" i="8"/>
  <c r="AL24" i="8"/>
  <c r="AL32" i="8"/>
  <c r="AL40" i="8"/>
  <c r="AL48" i="8"/>
  <c r="AL56" i="8"/>
  <c r="AL64" i="8"/>
  <c r="AL72" i="8"/>
  <c r="AL80" i="8"/>
  <c r="AL88" i="8"/>
  <c r="AL6" i="9"/>
  <c r="AL14" i="9"/>
  <c r="AL22" i="9"/>
  <c r="AL30" i="9"/>
  <c r="AL38" i="9"/>
  <c r="AL46" i="9"/>
  <c r="AL54" i="9"/>
  <c r="AL62" i="9"/>
  <c r="AL70" i="9"/>
  <c r="AL78" i="9"/>
  <c r="AL86" i="9"/>
  <c r="AL9" i="8"/>
  <c r="AL17" i="8"/>
  <c r="AL25" i="8"/>
  <c r="AL33" i="8"/>
  <c r="AL41" i="8"/>
  <c r="AL49" i="8"/>
  <c r="AL57" i="8"/>
  <c r="AL65" i="8"/>
  <c r="AL73" i="8"/>
  <c r="AL81" i="8"/>
  <c r="AL89" i="8"/>
  <c r="AL7" i="9"/>
  <c r="AL15" i="9"/>
  <c r="AL23" i="9"/>
  <c r="AL31" i="9"/>
  <c r="AL39" i="9"/>
  <c r="AL47" i="9"/>
  <c r="AL55" i="9"/>
  <c r="AL63" i="9"/>
  <c r="AL71" i="9"/>
  <c r="AL79" i="9"/>
  <c r="AL87" i="9"/>
  <c r="AL10" i="8"/>
  <c r="AL18" i="8"/>
  <c r="AL26" i="8"/>
  <c r="AL34" i="8"/>
  <c r="AL42" i="8"/>
  <c r="AL50" i="8"/>
  <c r="AL58" i="8"/>
  <c r="AL66" i="8"/>
  <c r="AL74" i="8"/>
  <c r="AL82" i="8"/>
  <c r="AL90" i="8"/>
  <c r="AL8" i="9"/>
  <c r="AL9" i="9"/>
  <c r="AL32" i="9"/>
  <c r="AL50" i="9"/>
  <c r="AL73" i="9"/>
  <c r="AL5" i="8"/>
  <c r="AL28" i="8"/>
  <c r="AL51" i="8"/>
  <c r="AL69" i="8"/>
  <c r="AL92" i="8"/>
  <c r="AL3" i="8"/>
  <c r="AL11" i="3"/>
  <c r="AL19" i="3"/>
  <c r="AL27" i="3"/>
  <c r="AL35" i="3"/>
  <c r="AL43" i="3"/>
  <c r="AL51" i="3"/>
  <c r="AL59" i="3"/>
  <c r="AL67" i="3"/>
  <c r="AL75" i="3"/>
  <c r="AL83" i="3"/>
  <c r="AL91" i="3"/>
  <c r="AL10" i="9"/>
  <c r="AL33" i="9"/>
  <c r="AL56" i="9"/>
  <c r="AL74" i="9"/>
  <c r="AL11" i="8"/>
  <c r="AL29" i="8"/>
  <c r="AL52" i="8"/>
  <c r="AL75" i="8"/>
  <c r="AL93" i="8"/>
  <c r="AL4" i="3"/>
  <c r="AL12" i="3"/>
  <c r="AL20" i="3"/>
  <c r="AL28" i="3"/>
  <c r="AL36" i="3"/>
  <c r="AL44" i="3"/>
  <c r="AL52" i="3"/>
  <c r="AL60" i="3"/>
  <c r="AL68" i="3"/>
  <c r="AL76" i="3"/>
  <c r="AL84" i="3"/>
  <c r="AL92" i="3"/>
  <c r="AL16" i="9"/>
  <c r="AL34" i="9"/>
  <c r="AL57" i="9"/>
  <c r="AL80" i="9"/>
  <c r="AL12" i="8"/>
  <c r="AL35" i="8"/>
  <c r="AL53" i="8"/>
  <c r="AL76" i="8"/>
  <c r="AL5" i="3"/>
  <c r="AL13" i="3"/>
  <c r="AL21" i="3"/>
  <c r="AL29" i="3"/>
  <c r="AL37" i="3"/>
  <c r="AL45" i="3"/>
  <c r="AL53" i="3"/>
  <c r="AL61" i="3"/>
  <c r="AL69" i="3"/>
  <c r="AL77" i="3"/>
  <c r="AL85" i="3"/>
  <c r="AL93" i="3"/>
  <c r="AL17" i="9"/>
  <c r="AL40" i="9"/>
  <c r="AL58" i="9"/>
  <c r="AL81" i="9"/>
  <c r="AL13" i="8"/>
  <c r="AL36" i="8"/>
  <c r="AL59" i="8"/>
  <c r="AL77" i="8"/>
  <c r="AL6" i="3"/>
  <c r="AL14" i="3"/>
  <c r="AL22" i="3"/>
  <c r="AL30" i="3"/>
  <c r="AL38" i="3"/>
  <c r="AL46" i="3"/>
  <c r="AL54" i="3"/>
  <c r="AL62" i="3"/>
  <c r="AL70" i="3"/>
  <c r="AL78" i="3"/>
  <c r="AL86" i="3"/>
  <c r="AL18" i="9"/>
  <c r="AL41" i="9"/>
  <c r="AL64" i="9"/>
  <c r="AL82" i="9"/>
  <c r="AL19" i="8"/>
  <c r="AL37" i="8"/>
  <c r="AL60" i="8"/>
  <c r="AL83" i="8"/>
  <c r="AL7" i="3"/>
  <c r="AL15" i="3"/>
  <c r="AL23" i="3"/>
  <c r="AL31" i="3"/>
  <c r="AL39" i="3"/>
  <c r="AL47" i="3"/>
  <c r="AL55" i="3"/>
  <c r="AL63" i="3"/>
  <c r="AL71" i="3"/>
  <c r="AL79" i="3"/>
  <c r="AL87" i="3"/>
  <c r="AL24" i="9"/>
  <c r="AL42" i="9"/>
  <c r="AL65" i="9"/>
  <c r="AL88" i="9"/>
  <c r="AL20" i="8"/>
  <c r="AL43" i="8"/>
  <c r="AL61" i="8"/>
  <c r="AL84" i="8"/>
  <c r="AL8" i="3"/>
  <c r="AL16" i="3"/>
  <c r="AL24" i="3"/>
  <c r="AL32" i="3"/>
  <c r="AL40" i="3"/>
  <c r="AL48" i="3"/>
  <c r="AL56" i="3"/>
  <c r="AL64" i="3"/>
  <c r="AL72" i="3"/>
  <c r="AL80" i="3"/>
  <c r="AL88" i="3"/>
  <c r="AL25" i="9"/>
  <c r="AL26" i="9"/>
  <c r="AL4" i="8"/>
  <c r="AL91" i="8"/>
  <c r="AL10" i="3"/>
  <c r="AL42" i="3"/>
  <c r="AL74" i="3"/>
  <c r="AL48" i="9"/>
  <c r="AL21" i="8"/>
  <c r="AL17" i="3"/>
  <c r="AL49" i="3"/>
  <c r="AL81" i="3"/>
  <c r="AL49" i="9"/>
  <c r="AL27" i="8"/>
  <c r="AL18" i="3"/>
  <c r="AL50" i="3"/>
  <c r="AL82" i="3"/>
  <c r="AL66" i="9"/>
  <c r="AL44" i="8"/>
  <c r="AL25" i="3"/>
  <c r="AL57" i="3"/>
  <c r="AL89" i="3"/>
  <c r="AL3" i="3"/>
  <c r="AL72" i="9"/>
  <c r="AL45" i="8"/>
  <c r="AL26" i="3"/>
  <c r="AL58" i="3"/>
  <c r="AL90" i="3"/>
  <c r="AL90" i="9"/>
  <c r="AL68" i="8"/>
  <c r="AL34" i="3"/>
  <c r="AL66" i="3"/>
  <c r="AL73" i="3"/>
  <c r="AL65" i="3"/>
  <c r="AL41" i="3"/>
  <c r="AL33" i="3"/>
  <c r="AL9" i="3"/>
  <c r="AL362" i="3"/>
  <c r="AL350" i="3"/>
  <c r="AL337" i="3"/>
  <c r="AL322" i="3"/>
  <c r="AL306" i="3"/>
  <c r="AL290" i="3"/>
  <c r="AL274" i="3"/>
  <c r="AL258" i="3"/>
  <c r="AL242" i="3"/>
  <c r="AL226" i="3"/>
  <c r="AL210" i="3"/>
  <c r="AL193" i="3"/>
  <c r="AL162" i="3"/>
  <c r="AL130" i="3"/>
  <c r="AL98" i="3"/>
  <c r="AL367" i="8"/>
  <c r="AL335" i="8"/>
  <c r="AL292" i="8"/>
  <c r="AL228" i="8"/>
  <c r="AL155" i="8"/>
  <c r="AL346" i="9"/>
  <c r="AL264" i="9"/>
  <c r="AL99" i="9"/>
  <c r="AL107" i="9"/>
  <c r="AL115" i="9"/>
  <c r="AL123" i="9"/>
  <c r="AL131" i="9"/>
  <c r="AL139" i="9"/>
  <c r="AL147" i="9"/>
  <c r="AL155" i="9"/>
  <c r="AL163" i="9"/>
  <c r="AL171" i="9"/>
  <c r="AL179" i="9"/>
  <c r="AL187" i="9"/>
  <c r="AL195" i="9"/>
  <c r="AL203" i="9"/>
  <c r="AL211" i="9"/>
  <c r="AL219" i="9"/>
  <c r="AL227" i="9"/>
  <c r="AL235" i="9"/>
  <c r="AL243" i="9"/>
  <c r="AL251" i="9"/>
  <c r="AL259" i="9"/>
  <c r="AL267" i="9"/>
  <c r="AL275" i="9"/>
  <c r="AL283" i="9"/>
  <c r="AL291" i="9"/>
  <c r="AL299" i="9"/>
  <c r="AL307" i="9"/>
  <c r="AL315" i="9"/>
  <c r="AL323" i="9"/>
  <c r="AL331" i="9"/>
  <c r="AL339" i="9"/>
  <c r="AL347" i="9"/>
  <c r="AL355" i="9"/>
  <c r="AL363" i="9"/>
  <c r="AL94" i="8"/>
  <c r="AL102" i="8"/>
  <c r="AL110" i="8"/>
  <c r="AL118" i="8"/>
  <c r="AL126" i="8"/>
  <c r="AL134" i="8"/>
  <c r="AL142" i="8"/>
  <c r="AL150" i="8"/>
  <c r="AL158" i="8"/>
  <c r="AL166" i="8"/>
  <c r="AL174" i="8"/>
  <c r="AL182" i="8"/>
  <c r="AL190" i="8"/>
  <c r="AL198" i="8"/>
  <c r="AL206" i="8"/>
  <c r="AL214" i="8"/>
  <c r="AL222" i="8"/>
  <c r="AL230" i="8"/>
  <c r="AL238" i="8"/>
  <c r="AL246" i="8"/>
  <c r="AL254" i="8"/>
  <c r="AL262" i="8"/>
  <c r="AL270" i="8"/>
  <c r="AL278" i="8"/>
  <c r="AL286" i="8"/>
  <c r="AL294" i="8"/>
  <c r="AL302" i="8"/>
  <c r="AL310" i="8"/>
  <c r="AL100" i="9"/>
  <c r="AL108" i="9"/>
  <c r="AL116" i="9"/>
  <c r="AL124" i="9"/>
  <c r="AL132" i="9"/>
  <c r="AL140" i="9"/>
  <c r="AL148" i="9"/>
  <c r="AL156" i="9"/>
  <c r="AL164" i="9"/>
  <c r="AL172" i="9"/>
  <c r="AL180" i="9"/>
  <c r="AL188" i="9"/>
  <c r="AL196" i="9"/>
  <c r="AL204" i="9"/>
  <c r="AL212" i="9"/>
  <c r="AL220" i="9"/>
  <c r="AL228" i="9"/>
  <c r="AL236" i="9"/>
  <c r="AL244" i="9"/>
  <c r="AL252" i="9"/>
  <c r="AL260" i="9"/>
  <c r="AL276" i="9"/>
  <c r="AL284" i="9"/>
  <c r="AL292" i="9"/>
  <c r="AL300" i="9"/>
  <c r="AL308" i="9"/>
  <c r="AL316" i="9"/>
  <c r="AL324" i="9"/>
  <c r="AL332" i="9"/>
  <c r="AL340" i="9"/>
  <c r="AL348" i="9"/>
  <c r="AL356" i="9"/>
  <c r="AL364" i="9"/>
  <c r="AL95" i="8"/>
  <c r="AL103" i="8"/>
  <c r="AL111" i="8"/>
  <c r="AL119" i="8"/>
  <c r="AL127" i="8"/>
  <c r="AL135" i="8"/>
  <c r="AL143" i="8"/>
  <c r="AL151" i="8"/>
  <c r="AL159" i="8"/>
  <c r="AL167" i="8"/>
  <c r="AL175" i="8"/>
  <c r="AL183" i="8"/>
  <c r="AL191" i="8"/>
  <c r="AL199" i="8"/>
  <c r="AL207" i="8"/>
  <c r="AL215" i="8"/>
  <c r="AL223" i="8"/>
  <c r="AL231" i="8"/>
  <c r="AL239" i="8"/>
  <c r="AL247" i="8"/>
  <c r="AL255" i="8"/>
  <c r="AL263" i="8"/>
  <c r="AL271" i="8"/>
  <c r="AL279" i="8"/>
  <c r="AL287" i="8"/>
  <c r="AL295" i="8"/>
  <c r="AL303" i="8"/>
  <c r="AL311" i="8"/>
  <c r="AL101" i="9"/>
  <c r="AL109" i="9"/>
  <c r="AL117" i="9"/>
  <c r="AL125" i="9"/>
  <c r="AL133" i="9"/>
  <c r="AL141" i="9"/>
  <c r="AL149" i="9"/>
  <c r="AL157" i="9"/>
  <c r="AL165" i="9"/>
  <c r="AL173" i="9"/>
  <c r="AL181" i="9"/>
  <c r="AL189" i="9"/>
  <c r="AL197" i="9"/>
  <c r="AL205" i="9"/>
  <c r="AL213" i="9"/>
  <c r="AL221" i="9"/>
  <c r="AL229" i="9"/>
  <c r="AL237" i="9"/>
  <c r="AL245" i="9"/>
  <c r="AL253" i="9"/>
  <c r="AL261" i="9"/>
  <c r="AL277" i="9"/>
  <c r="AL285" i="9"/>
  <c r="AL293" i="9"/>
  <c r="AL301" i="9"/>
  <c r="AL309" i="9"/>
  <c r="AL317" i="9"/>
  <c r="AL325" i="9"/>
  <c r="AL333" i="9"/>
  <c r="AL341" i="9"/>
  <c r="AL349" i="9"/>
  <c r="AL357" i="9"/>
  <c r="AL365" i="9"/>
  <c r="AL96" i="8"/>
  <c r="AL104" i="8"/>
  <c r="AL112" i="8"/>
  <c r="AL120" i="8"/>
  <c r="AL128" i="8"/>
  <c r="AL136" i="8"/>
  <c r="AL144" i="8"/>
  <c r="AL152" i="8"/>
  <c r="AL160" i="8"/>
  <c r="AL168" i="8"/>
  <c r="AL176" i="8"/>
  <c r="AL184" i="8"/>
  <c r="AL192" i="8"/>
  <c r="AL200" i="8"/>
  <c r="AL208" i="8"/>
  <c r="AL216" i="8"/>
  <c r="AL224" i="8"/>
  <c r="AL232" i="8"/>
  <c r="AL240" i="8"/>
  <c r="AL248" i="8"/>
  <c r="AL256" i="8"/>
  <c r="AL264" i="8"/>
  <c r="AL272" i="8"/>
  <c r="AL280" i="8"/>
  <c r="AL288" i="8"/>
  <c r="AL296" i="8"/>
  <c r="AL304" i="8"/>
  <c r="AL312" i="8"/>
  <c r="AL94" i="9"/>
  <c r="AL102" i="9"/>
  <c r="AL110" i="9"/>
  <c r="AL118" i="9"/>
  <c r="AL126" i="9"/>
  <c r="AL134" i="9"/>
  <c r="AL142" i="9"/>
  <c r="AL150" i="9"/>
  <c r="AL158" i="9"/>
  <c r="AL166" i="9"/>
  <c r="AL174" i="9"/>
  <c r="AL182" i="9"/>
  <c r="AL190" i="9"/>
  <c r="AL198" i="9"/>
  <c r="AL206" i="9"/>
  <c r="AL214" i="9"/>
  <c r="AL222" i="9"/>
  <c r="AL230" i="9"/>
  <c r="AL238" i="9"/>
  <c r="AL246" i="9"/>
  <c r="AL254" i="9"/>
  <c r="AL262" i="9"/>
  <c r="AL278" i="9"/>
  <c r="AL286" i="9"/>
  <c r="AL294" i="9"/>
  <c r="AL302" i="9"/>
  <c r="AL310" i="9"/>
  <c r="AL318" i="9"/>
  <c r="AL326" i="9"/>
  <c r="AL334" i="9"/>
  <c r="AL342" i="9"/>
  <c r="AL350" i="9"/>
  <c r="AL358" i="9"/>
  <c r="AL366" i="9"/>
  <c r="AL97" i="8"/>
  <c r="AL105" i="8"/>
  <c r="AL113" i="8"/>
  <c r="AL121" i="8"/>
  <c r="AL129" i="8"/>
  <c r="AL137" i="8"/>
  <c r="AL145" i="8"/>
  <c r="AL153" i="8"/>
  <c r="AL161" i="8"/>
  <c r="AL169" i="8"/>
  <c r="AL177" i="8"/>
  <c r="AL185" i="8"/>
  <c r="AL193" i="8"/>
  <c r="AL95" i="9"/>
  <c r="AL103" i="9"/>
  <c r="AL111" i="9"/>
  <c r="AL119" i="9"/>
  <c r="AL127" i="9"/>
  <c r="AL135" i="9"/>
  <c r="AL143" i="9"/>
  <c r="AL151" i="9"/>
  <c r="AL159" i="9"/>
  <c r="AL167" i="9"/>
  <c r="AL175" i="9"/>
  <c r="AL183" i="9"/>
  <c r="AL191" i="9"/>
  <c r="AL199" i="9"/>
  <c r="AL207" i="9"/>
  <c r="AL215" i="9"/>
  <c r="AL223" i="9"/>
  <c r="AL231" i="9"/>
  <c r="AL239" i="9"/>
  <c r="AL247" i="9"/>
  <c r="AL255" i="9"/>
  <c r="AL263" i="9"/>
  <c r="AL271" i="9"/>
  <c r="AL279" i="9"/>
  <c r="AL287" i="9"/>
  <c r="AL295" i="9"/>
  <c r="AL303" i="9"/>
  <c r="AL311" i="9"/>
  <c r="AL319" i="9"/>
  <c r="AL327" i="9"/>
  <c r="AL335" i="9"/>
  <c r="AL343" i="9"/>
  <c r="AL351" i="9"/>
  <c r="AL359" i="9"/>
  <c r="AL367" i="9"/>
  <c r="AL98" i="8"/>
  <c r="AL106" i="8"/>
  <c r="AL114" i="8"/>
  <c r="AL122" i="8"/>
  <c r="AL130" i="8"/>
  <c r="AL138" i="8"/>
  <c r="AL146" i="8"/>
  <c r="AL154" i="8"/>
  <c r="AL162" i="8"/>
  <c r="AL170" i="8"/>
  <c r="AL178" i="8"/>
  <c r="AL186" i="8"/>
  <c r="AL194" i="8"/>
  <c r="AL202" i="8"/>
  <c r="AL210" i="8"/>
  <c r="AL218" i="8"/>
  <c r="AL226" i="8"/>
  <c r="AL234" i="8"/>
  <c r="AL242" i="8"/>
  <c r="AL250" i="8"/>
  <c r="AL258" i="8"/>
  <c r="AL266" i="8"/>
  <c r="AL274" i="8"/>
  <c r="AL282" i="8"/>
  <c r="AL290" i="8"/>
  <c r="AL298" i="8"/>
  <c r="AL306" i="8"/>
  <c r="AL96" i="9"/>
  <c r="AL114" i="9"/>
  <c r="AL137" i="9"/>
  <c r="AL160" i="9"/>
  <c r="AL178" i="9"/>
  <c r="AL201" i="9"/>
  <c r="AL224" i="9"/>
  <c r="AL242" i="9"/>
  <c r="AL265" i="9"/>
  <c r="AL288" i="9"/>
  <c r="AL306" i="9"/>
  <c r="AL329" i="9"/>
  <c r="AL352" i="9"/>
  <c r="AL115" i="8"/>
  <c r="AL133" i="8"/>
  <c r="AL156" i="8"/>
  <c r="AL179" i="8"/>
  <c r="AL197" i="8"/>
  <c r="AL213" i="8"/>
  <c r="AL229" i="8"/>
  <c r="AL245" i="8"/>
  <c r="AL261" i="8"/>
  <c r="AL277" i="8"/>
  <c r="AL293" i="8"/>
  <c r="AL309" i="8"/>
  <c r="AL320" i="8"/>
  <c r="AL328" i="8"/>
  <c r="AL336" i="8"/>
  <c r="AL344" i="8"/>
  <c r="AL352" i="8"/>
  <c r="AL360" i="8"/>
  <c r="AL99" i="3"/>
  <c r="AL107" i="3"/>
  <c r="AL115" i="3"/>
  <c r="AL123" i="3"/>
  <c r="AL131" i="3"/>
  <c r="AL139" i="3"/>
  <c r="AL147" i="3"/>
  <c r="AL155" i="3"/>
  <c r="AL163" i="3"/>
  <c r="AL171" i="3"/>
  <c r="AL179" i="3"/>
  <c r="AL187" i="3"/>
  <c r="AL195" i="3"/>
  <c r="AL203" i="3"/>
  <c r="AL211" i="3"/>
  <c r="AL219" i="3"/>
  <c r="AL227" i="3"/>
  <c r="AL235" i="3"/>
  <c r="AL243" i="3"/>
  <c r="AL251" i="3"/>
  <c r="AL259" i="3"/>
  <c r="AL267" i="3"/>
  <c r="AL275" i="3"/>
  <c r="AL283" i="3"/>
  <c r="AL291" i="3"/>
  <c r="AL299" i="3"/>
  <c r="AL307" i="3"/>
  <c r="AL315" i="3"/>
  <c r="AL323" i="3"/>
  <c r="AL331" i="3"/>
  <c r="AL339" i="3"/>
  <c r="AL347" i="3"/>
  <c r="AL355" i="3"/>
  <c r="AL363" i="3"/>
  <c r="AL97" i="9"/>
  <c r="AL120" i="9"/>
  <c r="AL138" i="9"/>
  <c r="AL161" i="9"/>
  <c r="AL184" i="9"/>
  <c r="AL202" i="9"/>
  <c r="AL225" i="9"/>
  <c r="AL248" i="9"/>
  <c r="AL266" i="9"/>
  <c r="AL289" i="9"/>
  <c r="AL312" i="9"/>
  <c r="AL330" i="9"/>
  <c r="AL353" i="9"/>
  <c r="AL116" i="8"/>
  <c r="AL139" i="8"/>
  <c r="AL157" i="8"/>
  <c r="AL180" i="8"/>
  <c r="AL201" i="8"/>
  <c r="AL217" i="8"/>
  <c r="AL233" i="8"/>
  <c r="AL249" i="8"/>
  <c r="AL265" i="8"/>
  <c r="AL281" i="8"/>
  <c r="AL297" i="8"/>
  <c r="AL313" i="8"/>
  <c r="AL321" i="8"/>
  <c r="AL329" i="8"/>
  <c r="AL337" i="8"/>
  <c r="AL345" i="8"/>
  <c r="AL353" i="8"/>
  <c r="AL361" i="8"/>
  <c r="AL100" i="3"/>
  <c r="AL108" i="3"/>
  <c r="AL116" i="3"/>
  <c r="AL124" i="3"/>
  <c r="AL132" i="3"/>
  <c r="AL140" i="3"/>
  <c r="AL148" i="3"/>
  <c r="AL156" i="3"/>
  <c r="AL164" i="3"/>
  <c r="AL172" i="3"/>
  <c r="AL180" i="3"/>
  <c r="AL188" i="3"/>
  <c r="AL196" i="3"/>
  <c r="AL98" i="9"/>
  <c r="AL121" i="9"/>
  <c r="AL144" i="9"/>
  <c r="AL162" i="9"/>
  <c r="AL185" i="9"/>
  <c r="AL208" i="9"/>
  <c r="AL226" i="9"/>
  <c r="AL249" i="9"/>
  <c r="AL272" i="9"/>
  <c r="AL290" i="9"/>
  <c r="AL313" i="9"/>
  <c r="AL336" i="9"/>
  <c r="AL354" i="9"/>
  <c r="AL99" i="8"/>
  <c r="AL117" i="8"/>
  <c r="AL140" i="8"/>
  <c r="AL163" i="8"/>
  <c r="AL181" i="8"/>
  <c r="AL203" i="8"/>
  <c r="AL219" i="8"/>
  <c r="AL235" i="8"/>
  <c r="AL251" i="8"/>
  <c r="AL267" i="8"/>
  <c r="AL283" i="8"/>
  <c r="AL299" i="8"/>
  <c r="AL314" i="8"/>
  <c r="AL322" i="8"/>
  <c r="AL330" i="8"/>
  <c r="AL338" i="8"/>
  <c r="AL346" i="8"/>
  <c r="AL354" i="8"/>
  <c r="AL362" i="8"/>
  <c r="AL101" i="3"/>
  <c r="AL109" i="3"/>
  <c r="AL117" i="3"/>
  <c r="AL125" i="3"/>
  <c r="AL133" i="3"/>
  <c r="AL141" i="3"/>
  <c r="AL149" i="3"/>
  <c r="AL157" i="3"/>
  <c r="AL165" i="3"/>
  <c r="AL173" i="3"/>
  <c r="AL181" i="3"/>
  <c r="AL189" i="3"/>
  <c r="AL197" i="3"/>
  <c r="AL205" i="3"/>
  <c r="AL213" i="3"/>
  <c r="AL221" i="3"/>
  <c r="AL229" i="3"/>
  <c r="AL237" i="3"/>
  <c r="AL245" i="3"/>
  <c r="AL253" i="3"/>
  <c r="AL261" i="3"/>
  <c r="AL269" i="3"/>
  <c r="AL277" i="3"/>
  <c r="AL285" i="3"/>
  <c r="AL293" i="3"/>
  <c r="AL301" i="3"/>
  <c r="AL309" i="3"/>
  <c r="AL317" i="3"/>
  <c r="AL325" i="3"/>
  <c r="AL333" i="3"/>
  <c r="AL341" i="3"/>
  <c r="AL349" i="3"/>
  <c r="AL357" i="3"/>
  <c r="AL104" i="9"/>
  <c r="AL122" i="9"/>
  <c r="AL145" i="9"/>
  <c r="AL168" i="9"/>
  <c r="AL186" i="9"/>
  <c r="AL209" i="9"/>
  <c r="AL232" i="9"/>
  <c r="AL250" i="9"/>
  <c r="AL273" i="9"/>
  <c r="AL296" i="9"/>
  <c r="AL314" i="9"/>
  <c r="AL337" i="9"/>
  <c r="AL360" i="9"/>
  <c r="AL100" i="8"/>
  <c r="AL123" i="8"/>
  <c r="AL141" i="8"/>
  <c r="AL164" i="8"/>
  <c r="AL187" i="8"/>
  <c r="AL204" i="8"/>
  <c r="AL220" i="8"/>
  <c r="AL236" i="8"/>
  <c r="AL252" i="8"/>
  <c r="AL268" i="8"/>
  <c r="AL284" i="8"/>
  <c r="AL300" i="8"/>
  <c r="AL315" i="8"/>
  <c r="AL323" i="8"/>
  <c r="AL331" i="8"/>
  <c r="AL339" i="8"/>
  <c r="AL347" i="8"/>
  <c r="AL355" i="8"/>
  <c r="AL363" i="8"/>
  <c r="AL94" i="3"/>
  <c r="AL102" i="3"/>
  <c r="AL110" i="3"/>
  <c r="AL118" i="3"/>
  <c r="AL126" i="3"/>
  <c r="AL134" i="3"/>
  <c r="AL142" i="3"/>
  <c r="AL150" i="3"/>
  <c r="AL158" i="3"/>
  <c r="AL166" i="3"/>
  <c r="AL174" i="3"/>
  <c r="AL182" i="3"/>
  <c r="AL105" i="9"/>
  <c r="AL128" i="9"/>
  <c r="AL146" i="9"/>
  <c r="AL169" i="9"/>
  <c r="AL192" i="9"/>
  <c r="AL210" i="9"/>
  <c r="AL233" i="9"/>
  <c r="AL256" i="9"/>
  <c r="AL274" i="9"/>
  <c r="AL297" i="9"/>
  <c r="AL320" i="9"/>
  <c r="AL338" i="9"/>
  <c r="AL361" i="9"/>
  <c r="AL101" i="8"/>
  <c r="AL124" i="8"/>
  <c r="AL147" i="8"/>
  <c r="AL165" i="8"/>
  <c r="AL188" i="8"/>
  <c r="AL205" i="8"/>
  <c r="AL221" i="8"/>
  <c r="AL237" i="8"/>
  <c r="AL253" i="8"/>
  <c r="AL269" i="8"/>
  <c r="AL285" i="8"/>
  <c r="AL301" i="8"/>
  <c r="AL316" i="8"/>
  <c r="AL324" i="8"/>
  <c r="AL332" i="8"/>
  <c r="AL340" i="8"/>
  <c r="AL348" i="8"/>
  <c r="AL356" i="8"/>
  <c r="AL364" i="8"/>
  <c r="AL95" i="3"/>
  <c r="AL103" i="3"/>
  <c r="AL111" i="3"/>
  <c r="AL119" i="3"/>
  <c r="AL127" i="3"/>
  <c r="AL135" i="3"/>
  <c r="AL143" i="3"/>
  <c r="AL151" i="3"/>
  <c r="AL159" i="3"/>
  <c r="AL167" i="3"/>
  <c r="AL175" i="3"/>
  <c r="AL183" i="3"/>
  <c r="AL191" i="3"/>
  <c r="AL199" i="3"/>
  <c r="AL207" i="3"/>
  <c r="AL215" i="3"/>
  <c r="AL223" i="3"/>
  <c r="AL231" i="3"/>
  <c r="AL239" i="3"/>
  <c r="AL247" i="3"/>
  <c r="AL255" i="3"/>
  <c r="AL263" i="3"/>
  <c r="AL271" i="3"/>
  <c r="AL279" i="3"/>
  <c r="AL287" i="3"/>
  <c r="AL295" i="3"/>
  <c r="AL303" i="3"/>
  <c r="AL311" i="3"/>
  <c r="AL319" i="3"/>
  <c r="AL327" i="3"/>
  <c r="AL335" i="3"/>
  <c r="AL343" i="3"/>
  <c r="AL351" i="3"/>
  <c r="AL359" i="3"/>
  <c r="AL106" i="9"/>
  <c r="AL129" i="9"/>
  <c r="AL152" i="9"/>
  <c r="AL170" i="9"/>
  <c r="AL193" i="9"/>
  <c r="AL216" i="9"/>
  <c r="AL234" i="9"/>
  <c r="AL257" i="9"/>
  <c r="AL280" i="9"/>
  <c r="AL298" i="9"/>
  <c r="AL321" i="9"/>
  <c r="AL344" i="9"/>
  <c r="AL362" i="9"/>
  <c r="AL107" i="8"/>
  <c r="AL125" i="8"/>
  <c r="AL148" i="8"/>
  <c r="AL171" i="8"/>
  <c r="AL189" i="8"/>
  <c r="AL209" i="8"/>
  <c r="AL225" i="8"/>
  <c r="AL241" i="8"/>
  <c r="AL257" i="8"/>
  <c r="AL273" i="8"/>
  <c r="AL289" i="8"/>
  <c r="AL305" i="8"/>
  <c r="AL317" i="8"/>
  <c r="AL325" i="8"/>
  <c r="AL333" i="8"/>
  <c r="AL341" i="8"/>
  <c r="AL349" i="8"/>
  <c r="AL357" i="8"/>
  <c r="AL365" i="8"/>
  <c r="AL96" i="3"/>
  <c r="AL104" i="3"/>
  <c r="AL112" i="3"/>
  <c r="AL120" i="3"/>
  <c r="AL128" i="3"/>
  <c r="AL136" i="3"/>
  <c r="AL144" i="3"/>
  <c r="AL152" i="3"/>
  <c r="AL160" i="3"/>
  <c r="AL168" i="3"/>
  <c r="AL176" i="3"/>
  <c r="AL184" i="3"/>
  <c r="AL192" i="3"/>
  <c r="AL200" i="3"/>
  <c r="AL208" i="3"/>
  <c r="AL216" i="3"/>
  <c r="AL224" i="3"/>
  <c r="AL232" i="3"/>
  <c r="AL240" i="3"/>
  <c r="AL248" i="3"/>
  <c r="AL256" i="3"/>
  <c r="AL264" i="3"/>
  <c r="AL272" i="3"/>
  <c r="AL280" i="3"/>
  <c r="AL288" i="3"/>
  <c r="AL296" i="3"/>
  <c r="AL304" i="3"/>
  <c r="AL312" i="3"/>
  <c r="AL320" i="3"/>
  <c r="AL328" i="3"/>
  <c r="AL360" i="3"/>
  <c r="AL346" i="3"/>
  <c r="AL334" i="3"/>
  <c r="AL318" i="3"/>
  <c r="AL302" i="3"/>
  <c r="AL286" i="3"/>
  <c r="AL270" i="3"/>
  <c r="AL254" i="3"/>
  <c r="AL238" i="3"/>
  <c r="AL222" i="3"/>
  <c r="AL206" i="3"/>
  <c r="AL186" i="3"/>
  <c r="AL154" i="3"/>
  <c r="AL122" i="3"/>
  <c r="AL359" i="8"/>
  <c r="AL327" i="8"/>
  <c r="AL276" i="8"/>
  <c r="AL212" i="8"/>
  <c r="AL132" i="8"/>
  <c r="AL328" i="9"/>
  <c r="AL241" i="9"/>
  <c r="AL154" i="9"/>
  <c r="AL358" i="3"/>
  <c r="AL345" i="3"/>
  <c r="AL332" i="3"/>
  <c r="AL316" i="3"/>
  <c r="AL300" i="3"/>
  <c r="AL284" i="3"/>
  <c r="AL268" i="3"/>
  <c r="AL252" i="3"/>
  <c r="AL236" i="3"/>
  <c r="AL220" i="3"/>
  <c r="AL204" i="3"/>
  <c r="AL185" i="3"/>
  <c r="AL153" i="3"/>
  <c r="AL121" i="3"/>
  <c r="AL358" i="8"/>
  <c r="AL326" i="8"/>
  <c r="AL275" i="8"/>
  <c r="AL211" i="8"/>
  <c r="AL131" i="8"/>
  <c r="AL322" i="9"/>
  <c r="AL240" i="9"/>
  <c r="AL153" i="9"/>
  <c r="AL367" i="3"/>
  <c r="AL356" i="3"/>
  <c r="AL344" i="3"/>
  <c r="AL330" i="3"/>
  <c r="AL314" i="3"/>
  <c r="AL298" i="3"/>
  <c r="AL282" i="3"/>
  <c r="AL266" i="3"/>
  <c r="AL250" i="3"/>
  <c r="AL234" i="3"/>
  <c r="AL218" i="3"/>
  <c r="AL202" i="3"/>
  <c r="AL178" i="3"/>
  <c r="AL146" i="3"/>
  <c r="AL114" i="3"/>
  <c r="AL351" i="8"/>
  <c r="AL319" i="8"/>
  <c r="AL260" i="8"/>
  <c r="AL196" i="8"/>
  <c r="AL109" i="8"/>
  <c r="AL305" i="9"/>
  <c r="AL218" i="9"/>
  <c r="AL136" i="9"/>
  <c r="AL366" i="3"/>
  <c r="AL354" i="3"/>
  <c r="AL342" i="3"/>
  <c r="AL329" i="3"/>
  <c r="AL313" i="3"/>
  <c r="AL297" i="3"/>
  <c r="AL281" i="3"/>
  <c r="AL265" i="3"/>
  <c r="AL249" i="3"/>
  <c r="AL233" i="3"/>
  <c r="AL217" i="3"/>
  <c r="AL201" i="3"/>
  <c r="AL177" i="3"/>
  <c r="AL145" i="3"/>
  <c r="AL113" i="3"/>
  <c r="AL350" i="8"/>
  <c r="AL318" i="8"/>
  <c r="AL259" i="8"/>
  <c r="AL195" i="8"/>
  <c r="AL108" i="8"/>
  <c r="AL304" i="9"/>
  <c r="AL217" i="9"/>
  <c r="AL130" i="9"/>
  <c r="AL365" i="3"/>
  <c r="AL353" i="3"/>
  <c r="AL340" i="3"/>
  <c r="AL326" i="3"/>
  <c r="AL310" i="3"/>
  <c r="AL294" i="3"/>
  <c r="AL278" i="3"/>
  <c r="AL262" i="3"/>
  <c r="AL246" i="3"/>
  <c r="AL230" i="3"/>
  <c r="AL214" i="3"/>
  <c r="AL198" i="3"/>
  <c r="AL170" i="3"/>
  <c r="AL138" i="3"/>
  <c r="AL106" i="3"/>
  <c r="AL343" i="8"/>
  <c r="AL308" i="8"/>
  <c r="AL244" i="8"/>
  <c r="AL173" i="8"/>
  <c r="AL282" i="9"/>
  <c r="AL200" i="9"/>
  <c r="AL113" i="9"/>
  <c r="K2" i="9" l="1"/>
  <c r="B224" i="7"/>
  <c r="B225" i="7" s="1"/>
  <c r="AK4" i="9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K171" i="9"/>
  <c r="AK172" i="9"/>
  <c r="AK173" i="9"/>
  <c r="AK174" i="9"/>
  <c r="AK175" i="9"/>
  <c r="AK176" i="9"/>
  <c r="AK177" i="9"/>
  <c r="AK178" i="9"/>
  <c r="AK179" i="9"/>
  <c r="AK180" i="9"/>
  <c r="AK181" i="9"/>
  <c r="AK182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K200" i="9"/>
  <c r="AK201" i="9"/>
  <c r="AK202" i="9"/>
  <c r="AK203" i="9"/>
  <c r="AK204" i="9"/>
  <c r="AK205" i="9"/>
  <c r="AK206" i="9"/>
  <c r="AK207" i="9"/>
  <c r="AK208" i="9"/>
  <c r="AK209" i="9"/>
  <c r="AK210" i="9"/>
  <c r="AK211" i="9"/>
  <c r="AK212" i="9"/>
  <c r="AK213" i="9"/>
  <c r="AK214" i="9"/>
  <c r="AK215" i="9"/>
  <c r="AK216" i="9"/>
  <c r="AK217" i="9"/>
  <c r="AK218" i="9"/>
  <c r="AK219" i="9"/>
  <c r="AK220" i="9"/>
  <c r="AK221" i="9"/>
  <c r="AK222" i="9"/>
  <c r="AK223" i="9"/>
  <c r="AK224" i="9"/>
  <c r="AK225" i="9"/>
  <c r="AK226" i="9"/>
  <c r="AK227" i="9"/>
  <c r="AK228" i="9"/>
  <c r="AK229" i="9"/>
  <c r="AK230" i="9"/>
  <c r="AK231" i="9"/>
  <c r="AK232" i="9"/>
  <c r="AK233" i="9"/>
  <c r="AK234" i="9"/>
  <c r="AK235" i="9"/>
  <c r="AK236" i="9"/>
  <c r="AK237" i="9"/>
  <c r="AK238" i="9"/>
  <c r="AK239" i="9"/>
  <c r="AK240" i="9"/>
  <c r="AK241" i="9"/>
  <c r="AK242" i="9"/>
  <c r="AK243" i="9"/>
  <c r="AK244" i="9"/>
  <c r="AK245" i="9"/>
  <c r="AK246" i="9"/>
  <c r="AK247" i="9"/>
  <c r="AK248" i="9"/>
  <c r="AK249" i="9"/>
  <c r="AK250" i="9"/>
  <c r="AK251" i="9"/>
  <c r="AK252" i="9"/>
  <c r="AK253" i="9"/>
  <c r="AK254" i="9"/>
  <c r="AK255" i="9"/>
  <c r="AK256" i="9"/>
  <c r="AK257" i="9"/>
  <c r="AK258" i="9"/>
  <c r="AK259" i="9"/>
  <c r="AK260" i="9"/>
  <c r="AK261" i="9"/>
  <c r="AK262" i="9"/>
  <c r="AK263" i="9"/>
  <c r="AK264" i="9"/>
  <c r="AK265" i="9"/>
  <c r="AK266" i="9"/>
  <c r="AK267" i="9"/>
  <c r="AK271" i="9"/>
  <c r="AK272" i="9"/>
  <c r="AK273" i="9"/>
  <c r="AK274" i="9"/>
  <c r="AK275" i="9"/>
  <c r="AK276" i="9"/>
  <c r="AK277" i="9"/>
  <c r="AK278" i="9"/>
  <c r="AK279" i="9"/>
  <c r="AK280" i="9"/>
  <c r="AK281" i="9"/>
  <c r="AK282" i="9"/>
  <c r="AK283" i="9"/>
  <c r="AK284" i="9"/>
  <c r="AK285" i="9"/>
  <c r="AK286" i="9"/>
  <c r="AK287" i="9"/>
  <c r="AK288" i="9"/>
  <c r="AK289" i="9"/>
  <c r="AK290" i="9"/>
  <c r="AK291" i="9"/>
  <c r="AK292" i="9"/>
  <c r="AK293" i="9"/>
  <c r="AK294" i="9"/>
  <c r="AK295" i="9"/>
  <c r="AK296" i="9"/>
  <c r="AK297" i="9"/>
  <c r="AK298" i="9"/>
  <c r="AK299" i="9"/>
  <c r="AK300" i="9"/>
  <c r="AK301" i="9"/>
  <c r="AK302" i="9"/>
  <c r="AK303" i="9"/>
  <c r="AK304" i="9"/>
  <c r="AK305" i="9"/>
  <c r="AK306" i="9"/>
  <c r="AK307" i="9"/>
  <c r="AK308" i="9"/>
  <c r="AK309" i="9"/>
  <c r="AK310" i="9"/>
  <c r="AK311" i="9"/>
  <c r="AK312" i="9"/>
  <c r="AK313" i="9"/>
  <c r="AK314" i="9"/>
  <c r="AK315" i="9"/>
  <c r="AK316" i="9"/>
  <c r="AK317" i="9"/>
  <c r="AK318" i="9"/>
  <c r="AK319" i="9"/>
  <c r="AK320" i="9"/>
  <c r="AK321" i="9"/>
  <c r="AK322" i="9"/>
  <c r="AK323" i="9"/>
  <c r="AK324" i="9"/>
  <c r="AK325" i="9"/>
  <c r="AK326" i="9"/>
  <c r="AK327" i="9"/>
  <c r="AK328" i="9"/>
  <c r="AK329" i="9"/>
  <c r="AK330" i="9"/>
  <c r="AK331" i="9"/>
  <c r="AK332" i="9"/>
  <c r="AK333" i="9"/>
  <c r="AK334" i="9"/>
  <c r="AK335" i="9"/>
  <c r="AK336" i="9"/>
  <c r="AK337" i="9"/>
  <c r="AK338" i="9"/>
  <c r="AK339" i="9"/>
  <c r="AK340" i="9"/>
  <c r="AK341" i="9"/>
  <c r="AK342" i="9"/>
  <c r="AK343" i="9"/>
  <c r="AK344" i="9"/>
  <c r="AK345" i="9"/>
  <c r="AK346" i="9"/>
  <c r="AK347" i="9"/>
  <c r="AK348" i="9"/>
  <c r="AK349" i="9"/>
  <c r="AK350" i="9"/>
  <c r="AK351" i="9"/>
  <c r="AK352" i="9"/>
  <c r="AK353" i="9"/>
  <c r="AK354" i="9"/>
  <c r="AK355" i="9"/>
  <c r="AK356" i="9"/>
  <c r="AK357" i="9"/>
  <c r="AK358" i="9"/>
  <c r="AK359" i="9"/>
  <c r="AK360" i="9"/>
  <c r="AK361" i="9"/>
  <c r="AK362" i="9"/>
  <c r="AK363" i="9"/>
  <c r="AK364" i="9"/>
  <c r="AK365" i="9"/>
  <c r="AK366" i="9"/>
  <c r="AK367" i="9"/>
  <c r="AK3" i="9"/>
  <c r="AK4" i="8"/>
  <c r="AK5" i="8"/>
  <c r="AK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8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2" i="8"/>
  <c r="AK213" i="8"/>
  <c r="AK214" i="8"/>
  <c r="AK215" i="8"/>
  <c r="AK216" i="8"/>
  <c r="AK217" i="8"/>
  <c r="AK218" i="8"/>
  <c r="AK219" i="8"/>
  <c r="AK220" i="8"/>
  <c r="AK221" i="8"/>
  <c r="AK222" i="8"/>
  <c r="AK223" i="8"/>
  <c r="AK224" i="8"/>
  <c r="AK225" i="8"/>
  <c r="AK226" i="8"/>
  <c r="AK227" i="8"/>
  <c r="AK228" i="8"/>
  <c r="AK229" i="8"/>
  <c r="AK230" i="8"/>
  <c r="AK231" i="8"/>
  <c r="AK232" i="8"/>
  <c r="AK233" i="8"/>
  <c r="AK234" i="8"/>
  <c r="AK235" i="8"/>
  <c r="AK236" i="8"/>
  <c r="AK237" i="8"/>
  <c r="AK238" i="8"/>
  <c r="AK239" i="8"/>
  <c r="AK240" i="8"/>
  <c r="AK241" i="8"/>
  <c r="AK242" i="8"/>
  <c r="AK243" i="8"/>
  <c r="AK244" i="8"/>
  <c r="AK245" i="8"/>
  <c r="AK246" i="8"/>
  <c r="AK247" i="8"/>
  <c r="AK248" i="8"/>
  <c r="AK249" i="8"/>
  <c r="AK250" i="8"/>
  <c r="AK251" i="8"/>
  <c r="AK252" i="8"/>
  <c r="AK253" i="8"/>
  <c r="AK254" i="8"/>
  <c r="AK255" i="8"/>
  <c r="AK256" i="8"/>
  <c r="AK257" i="8"/>
  <c r="AK258" i="8"/>
  <c r="AK259" i="8"/>
  <c r="AK260" i="8"/>
  <c r="AK261" i="8"/>
  <c r="AK262" i="8"/>
  <c r="AK263" i="8"/>
  <c r="AK264" i="8"/>
  <c r="AK265" i="8"/>
  <c r="AK266" i="8"/>
  <c r="AK267" i="8"/>
  <c r="AK268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281" i="8"/>
  <c r="AK282" i="8"/>
  <c r="AK283" i="8"/>
  <c r="AK284" i="8"/>
  <c r="AK285" i="8"/>
  <c r="AK286" i="8"/>
  <c r="AK287" i="8"/>
  <c r="AK288" i="8"/>
  <c r="AK289" i="8"/>
  <c r="AK290" i="8"/>
  <c r="AK291" i="8"/>
  <c r="AK292" i="8"/>
  <c r="AK293" i="8"/>
  <c r="AK294" i="8"/>
  <c r="AK295" i="8"/>
  <c r="AK296" i="8"/>
  <c r="AK297" i="8"/>
  <c r="AK298" i="8"/>
  <c r="AK299" i="8"/>
  <c r="AK300" i="8"/>
  <c r="AK301" i="8"/>
  <c r="AK302" i="8"/>
  <c r="AK303" i="8"/>
  <c r="AK304" i="8"/>
  <c r="AK305" i="8"/>
  <c r="AK306" i="8"/>
  <c r="AK307" i="8"/>
  <c r="AK308" i="8"/>
  <c r="AK309" i="8"/>
  <c r="AK310" i="8"/>
  <c r="AK311" i="8"/>
  <c r="AK312" i="8"/>
  <c r="AK313" i="8"/>
  <c r="AK314" i="8"/>
  <c r="AK315" i="8"/>
  <c r="AK316" i="8"/>
  <c r="AK317" i="8"/>
  <c r="AK318" i="8"/>
  <c r="AK319" i="8"/>
  <c r="AK320" i="8"/>
  <c r="AK321" i="8"/>
  <c r="AK322" i="8"/>
  <c r="AK323" i="8"/>
  <c r="AK324" i="8"/>
  <c r="AK325" i="8"/>
  <c r="AK326" i="8"/>
  <c r="AK327" i="8"/>
  <c r="AK328" i="8"/>
  <c r="AK329" i="8"/>
  <c r="AK330" i="8"/>
  <c r="AK331" i="8"/>
  <c r="AK332" i="8"/>
  <c r="AK333" i="8"/>
  <c r="AK334" i="8"/>
  <c r="AK335" i="8"/>
  <c r="AK336" i="8"/>
  <c r="AK337" i="8"/>
  <c r="AK338" i="8"/>
  <c r="AK339" i="8"/>
  <c r="AK340" i="8"/>
  <c r="AK341" i="8"/>
  <c r="AK342" i="8"/>
  <c r="AK343" i="8"/>
  <c r="AK344" i="8"/>
  <c r="AK345" i="8"/>
  <c r="AK346" i="8"/>
  <c r="AK347" i="8"/>
  <c r="AK348" i="8"/>
  <c r="AK349" i="8"/>
  <c r="AK350" i="8"/>
  <c r="AK351" i="8"/>
  <c r="AK352" i="8"/>
  <c r="AK353" i="8"/>
  <c r="AK354" i="8"/>
  <c r="AK355" i="8"/>
  <c r="AK356" i="8"/>
  <c r="AK357" i="8"/>
  <c r="AK358" i="8"/>
  <c r="AK359" i="8"/>
  <c r="AK360" i="8"/>
  <c r="AK361" i="8"/>
  <c r="AK362" i="8"/>
  <c r="AK363" i="8"/>
  <c r="AK364" i="8"/>
  <c r="AK365" i="8"/>
  <c r="AK366" i="8"/>
  <c r="AK367" i="8"/>
  <c r="AK3" i="8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" i="3"/>
  <c r="AA368" i="9" l="1"/>
  <c r="AA268" i="9"/>
  <c r="AA269" i="9"/>
  <c r="AA270" i="9"/>
  <c r="AM3" i="8"/>
  <c r="AM3" i="9"/>
  <c r="AM3" i="3"/>
  <c r="B227" i="7"/>
  <c r="B228" i="7" s="1"/>
  <c r="AA272" i="3"/>
  <c r="AA10" i="3" l="1"/>
  <c r="AA18" i="3"/>
  <c r="AA26" i="3"/>
  <c r="AA34" i="3"/>
  <c r="AA42" i="3"/>
  <c r="AA50" i="3"/>
  <c r="AA58" i="3"/>
  <c r="AA66" i="3"/>
  <c r="AA74" i="3"/>
  <c r="AA82" i="3"/>
  <c r="AA90" i="3"/>
  <c r="AA98" i="3"/>
  <c r="AA106" i="3"/>
  <c r="AA114" i="3"/>
  <c r="AA122" i="3"/>
  <c r="AA130" i="3"/>
  <c r="AA138" i="3"/>
  <c r="AA146" i="3"/>
  <c r="AA154" i="3"/>
  <c r="AA162" i="3"/>
  <c r="AA170" i="3"/>
  <c r="AA178" i="3"/>
  <c r="AA186" i="3"/>
  <c r="AA194" i="3"/>
  <c r="AA202" i="3"/>
  <c r="AA210" i="3"/>
  <c r="AA218" i="3"/>
  <c r="AA226" i="3"/>
  <c r="AA234" i="3"/>
  <c r="AA242" i="3"/>
  <c r="AA250" i="3"/>
  <c r="AA258" i="3"/>
  <c r="AA266" i="3"/>
  <c r="AA274" i="3"/>
  <c r="AA282" i="3"/>
  <c r="AA290" i="3"/>
  <c r="AA298" i="3"/>
  <c r="AA306" i="3"/>
  <c r="AA314" i="3"/>
  <c r="AA322" i="3"/>
  <c r="AA330" i="3"/>
  <c r="AA338" i="3"/>
  <c r="AA346" i="3"/>
  <c r="AA354" i="3"/>
  <c r="AA362" i="3"/>
  <c r="AA5" i="3"/>
  <c r="AA13" i="3"/>
  <c r="AA21" i="3"/>
  <c r="AA29" i="3"/>
  <c r="AA37" i="3"/>
  <c r="AA45" i="3"/>
  <c r="AA53" i="3"/>
  <c r="AA61" i="3"/>
  <c r="AA69" i="3"/>
  <c r="AA77" i="3"/>
  <c r="AA85" i="3"/>
  <c r="AA93" i="3"/>
  <c r="AA101" i="3"/>
  <c r="AA109" i="3"/>
  <c r="AA117" i="3"/>
  <c r="AA125" i="3"/>
  <c r="AA133" i="3"/>
  <c r="AA141" i="3"/>
  <c r="AA149" i="3"/>
  <c r="AA157" i="3"/>
  <c r="AA165" i="3"/>
  <c r="AA173" i="3"/>
  <c r="AA181" i="3"/>
  <c r="AA189" i="3"/>
  <c r="AA197" i="3"/>
  <c r="AA205" i="3"/>
  <c r="AA213" i="3"/>
  <c r="AA221" i="3"/>
  <c r="AA229" i="3"/>
  <c r="AA237" i="3"/>
  <c r="AA245" i="3"/>
  <c r="AA253" i="3"/>
  <c r="AA261" i="3"/>
  <c r="AA269" i="3"/>
  <c r="AA277" i="3"/>
  <c r="AA285" i="3"/>
  <c r="AA293" i="3"/>
  <c r="AA301" i="3"/>
  <c r="AA309" i="3"/>
  <c r="AA317" i="3"/>
  <c r="AA325" i="3"/>
  <c r="AA333" i="3"/>
  <c r="AA341" i="3"/>
  <c r="AA349" i="3"/>
  <c r="AA357" i="3"/>
  <c r="AA365" i="3"/>
  <c r="AA11" i="3"/>
  <c r="AA22" i="3"/>
  <c r="AA32" i="3"/>
  <c r="AA43" i="3"/>
  <c r="AA54" i="3"/>
  <c r="AA64" i="3"/>
  <c r="AA75" i="3"/>
  <c r="AA86" i="3"/>
  <c r="AA96" i="3"/>
  <c r="AA107" i="3"/>
  <c r="AA118" i="3"/>
  <c r="AA128" i="3"/>
  <c r="AA139" i="3"/>
  <c r="AA150" i="3"/>
  <c r="AA160" i="3"/>
  <c r="AA171" i="3"/>
  <c r="AA182" i="3"/>
  <c r="AA192" i="3"/>
  <c r="AA203" i="3"/>
  <c r="AA214" i="3"/>
  <c r="AA224" i="3"/>
  <c r="AA235" i="3"/>
  <c r="AA246" i="3"/>
  <c r="AA256" i="3"/>
  <c r="AA267" i="3"/>
  <c r="AA278" i="3"/>
  <c r="AA288" i="3"/>
  <c r="AA299" i="3"/>
  <c r="AA310" i="3"/>
  <c r="AA320" i="3"/>
  <c r="AA331" i="3"/>
  <c r="AA342" i="3"/>
  <c r="AA352" i="3"/>
  <c r="AA363" i="3"/>
  <c r="AA4" i="3"/>
  <c r="AA15" i="3"/>
  <c r="AA25" i="3"/>
  <c r="AA36" i="3"/>
  <c r="AA47" i="3"/>
  <c r="AA57" i="3"/>
  <c r="AA68" i="3"/>
  <c r="AA79" i="3"/>
  <c r="AA89" i="3"/>
  <c r="AA100" i="3"/>
  <c r="AA111" i="3"/>
  <c r="AA121" i="3"/>
  <c r="AA132" i="3"/>
  <c r="AA143" i="3"/>
  <c r="AA153" i="3"/>
  <c r="AA164" i="3"/>
  <c r="AA175" i="3"/>
  <c r="AA185" i="3"/>
  <c r="AA196" i="3"/>
  <c r="AA207" i="3"/>
  <c r="AA217" i="3"/>
  <c r="AA228" i="3"/>
  <c r="AA239" i="3"/>
  <c r="AA249" i="3"/>
  <c r="AA260" i="3"/>
  <c r="AA271" i="3"/>
  <c r="AA281" i="3"/>
  <c r="AA292" i="3"/>
  <c r="AA303" i="3"/>
  <c r="AA313" i="3"/>
  <c r="AA324" i="3"/>
  <c r="AA335" i="3"/>
  <c r="AA345" i="3"/>
  <c r="AA356" i="3"/>
  <c r="AA367" i="3"/>
  <c r="AA9" i="3"/>
  <c r="AA24" i="3"/>
  <c r="AA39" i="3"/>
  <c r="AA52" i="3"/>
  <c r="AA67" i="3"/>
  <c r="AA81" i="3"/>
  <c r="AA95" i="3"/>
  <c r="AA110" i="3"/>
  <c r="AA124" i="3"/>
  <c r="AA137" i="3"/>
  <c r="AA152" i="3"/>
  <c r="AA167" i="3"/>
  <c r="AA180" i="3"/>
  <c r="AA195" i="3"/>
  <c r="AA209" i="3"/>
  <c r="AA223" i="3"/>
  <c r="AA238" i="3"/>
  <c r="AA252" i="3"/>
  <c r="AA265" i="3"/>
  <c r="AA280" i="3"/>
  <c r="AA295" i="3"/>
  <c r="AA308" i="3"/>
  <c r="AA323" i="3"/>
  <c r="AA337" i="3"/>
  <c r="AA351" i="3"/>
  <c r="AA366" i="3"/>
  <c r="AA27" i="3"/>
  <c r="AA40" i="3"/>
  <c r="AA70" i="3"/>
  <c r="AA83" i="3"/>
  <c r="AA97" i="3"/>
  <c r="AA112" i="3"/>
  <c r="AA126" i="3"/>
  <c r="AA155" i="3"/>
  <c r="AA168" i="3"/>
  <c r="AA183" i="3"/>
  <c r="AA198" i="3"/>
  <c r="AA211" i="3"/>
  <c r="AA240" i="3"/>
  <c r="AA254" i="3"/>
  <c r="AA268" i="3"/>
  <c r="AA283" i="3"/>
  <c r="AA296" i="3"/>
  <c r="AA326" i="3"/>
  <c r="AA339" i="3"/>
  <c r="AA353" i="3"/>
  <c r="AA28" i="3"/>
  <c r="AA127" i="3"/>
  <c r="AA169" i="3"/>
  <c r="AA199" i="3"/>
  <c r="AA227" i="3"/>
  <c r="AA255" i="3"/>
  <c r="AA284" i="3"/>
  <c r="AA312" i="3"/>
  <c r="AA327" i="3"/>
  <c r="AA355" i="3"/>
  <c r="AA12" i="3"/>
  <c r="AA55" i="3"/>
  <c r="AA140" i="3"/>
  <c r="AA225" i="3"/>
  <c r="AA311" i="3"/>
  <c r="AA14" i="3"/>
  <c r="AA41" i="3"/>
  <c r="AA56" i="3"/>
  <c r="AA71" i="3"/>
  <c r="AA84" i="3"/>
  <c r="AA99" i="3"/>
  <c r="AA113" i="3"/>
  <c r="AA142" i="3"/>
  <c r="AA156" i="3"/>
  <c r="AA184" i="3"/>
  <c r="AA212" i="3"/>
  <c r="AA241" i="3"/>
  <c r="AA270" i="3"/>
  <c r="AA297" i="3"/>
  <c r="AA340" i="3"/>
  <c r="AA6" i="3"/>
  <c r="AA30" i="3"/>
  <c r="AA49" i="3"/>
  <c r="AA73" i="3"/>
  <c r="AA94" i="3"/>
  <c r="AA119" i="3"/>
  <c r="AA144" i="3"/>
  <c r="AA163" i="3"/>
  <c r="AA188" i="3"/>
  <c r="AA208" i="3"/>
  <c r="AA232" i="3"/>
  <c r="AA257" i="3"/>
  <c r="AA276" i="3"/>
  <c r="AA302" i="3"/>
  <c r="AA321" i="3"/>
  <c r="AA347" i="3"/>
  <c r="AA7" i="3"/>
  <c r="AA31" i="3"/>
  <c r="AA51" i="3"/>
  <c r="AA76" i="3"/>
  <c r="AA102" i="3"/>
  <c r="AA120" i="3"/>
  <c r="AA145" i="3"/>
  <c r="AA166" i="3"/>
  <c r="AA190" i="3"/>
  <c r="AA215" i="3"/>
  <c r="AA233" i="3"/>
  <c r="AA259" i="3"/>
  <c r="AA279" i="3"/>
  <c r="AA304" i="3"/>
  <c r="AA328" i="3"/>
  <c r="AA348" i="3"/>
  <c r="AA176" i="3"/>
  <c r="AA8" i="3"/>
  <c r="AA33" i="3"/>
  <c r="AA59" i="3"/>
  <c r="AA78" i="3"/>
  <c r="AA103" i="3"/>
  <c r="AA123" i="3"/>
  <c r="AA147" i="3"/>
  <c r="AA172" i="3"/>
  <c r="AA191" i="3"/>
  <c r="AA216" i="3"/>
  <c r="AA236" i="3"/>
  <c r="AA262" i="3"/>
  <c r="AA286" i="3"/>
  <c r="AA305" i="3"/>
  <c r="AA329" i="3"/>
  <c r="AA350" i="3"/>
  <c r="AA16" i="3"/>
  <c r="AA35" i="3"/>
  <c r="AA60" i="3"/>
  <c r="AA80" i="3"/>
  <c r="AA104" i="3"/>
  <c r="AA129" i="3"/>
  <c r="AA148" i="3"/>
  <c r="AA174" i="3"/>
  <c r="AA193" i="3"/>
  <c r="AA219" i="3"/>
  <c r="AA243" i="3"/>
  <c r="AA263" i="3"/>
  <c r="AA287" i="3"/>
  <c r="AA307" i="3"/>
  <c r="AA332" i="3"/>
  <c r="AA358" i="3"/>
  <c r="AA17" i="3"/>
  <c r="AA38" i="3"/>
  <c r="AA62" i="3"/>
  <c r="AA87" i="3"/>
  <c r="AA105" i="3"/>
  <c r="AA131" i="3"/>
  <c r="AA151" i="3"/>
  <c r="AA200" i="3"/>
  <c r="AA220" i="3"/>
  <c r="AA244" i="3"/>
  <c r="AA264" i="3"/>
  <c r="AA289" i="3"/>
  <c r="AA315" i="3"/>
  <c r="AA334" i="3"/>
  <c r="AA359" i="3"/>
  <c r="AA19" i="3"/>
  <c r="AA44" i="3"/>
  <c r="AA63" i="3"/>
  <c r="AA88" i="3"/>
  <c r="AA108" i="3"/>
  <c r="AA134" i="3"/>
  <c r="AA158" i="3"/>
  <c r="AA177" i="3"/>
  <c r="AA201" i="3"/>
  <c r="AA222" i="3"/>
  <c r="AA247" i="3"/>
  <c r="AA291" i="3"/>
  <c r="AA316" i="3"/>
  <c r="AA336" i="3"/>
  <c r="AA360" i="3"/>
  <c r="AA20" i="3"/>
  <c r="AA46" i="3"/>
  <c r="AA65" i="3"/>
  <c r="AA91" i="3"/>
  <c r="AA115" i="3"/>
  <c r="AA135" i="3"/>
  <c r="AA159" i="3"/>
  <c r="AA179" i="3"/>
  <c r="AA204" i="3"/>
  <c r="AA230" i="3"/>
  <c r="AA248" i="3"/>
  <c r="AA273" i="3"/>
  <c r="AA294" i="3"/>
  <c r="AA318" i="3"/>
  <c r="AA343" i="3"/>
  <c r="AA361" i="3"/>
  <c r="AA23" i="3"/>
  <c r="AA48" i="3"/>
  <c r="AA72" i="3"/>
  <c r="AA92" i="3"/>
  <c r="AA116" i="3"/>
  <c r="AA136" i="3"/>
  <c r="AA161" i="3"/>
  <c r="AA187" i="3"/>
  <c r="AA206" i="3"/>
  <c r="AA231" i="3"/>
  <c r="AA251" i="3"/>
  <c r="AA275" i="3"/>
  <c r="AA300" i="3"/>
  <c r="AA319" i="3"/>
  <c r="AA344" i="3"/>
  <c r="AA364" i="3"/>
  <c r="AM4" i="9"/>
  <c r="AM5" i="9" s="1"/>
  <c r="AM6" i="9" s="1"/>
  <c r="AM7" i="9" s="1"/>
  <c r="AM8" i="9" s="1"/>
  <c r="AM9" i="9" s="1"/>
  <c r="AM10" i="9" s="1"/>
  <c r="AM11" i="9" s="1"/>
  <c r="AM12" i="9" s="1"/>
  <c r="AM13" i="9" s="1"/>
  <c r="AM14" i="9" s="1"/>
  <c r="AM15" i="9" s="1"/>
  <c r="AM16" i="9" s="1"/>
  <c r="AM17" i="9" s="1"/>
  <c r="AM18" i="9" s="1"/>
  <c r="AM19" i="9" s="1"/>
  <c r="AM20" i="9" s="1"/>
  <c r="AM21" i="9" s="1"/>
  <c r="AM22" i="9" s="1"/>
  <c r="AM23" i="9" s="1"/>
  <c r="AM24" i="9" s="1"/>
  <c r="AM25" i="9" s="1"/>
  <c r="AM26" i="9" s="1"/>
  <c r="AM27" i="9" s="1"/>
  <c r="AM28" i="9" s="1"/>
  <c r="AM29" i="9" s="1"/>
  <c r="AM30" i="9" s="1"/>
  <c r="AM31" i="9" s="1"/>
  <c r="AM32" i="9" s="1"/>
  <c r="AM33" i="9" s="1"/>
  <c r="AM34" i="9" s="1"/>
  <c r="AM35" i="9" s="1"/>
  <c r="AM36" i="9" s="1"/>
  <c r="AM37" i="9" s="1"/>
  <c r="AM38" i="9" s="1"/>
  <c r="AM39" i="9" s="1"/>
  <c r="AM40" i="9" s="1"/>
  <c r="AM41" i="9" s="1"/>
  <c r="AM42" i="9" s="1"/>
  <c r="AM43" i="9" s="1"/>
  <c r="AM44" i="9" s="1"/>
  <c r="AM45" i="9" s="1"/>
  <c r="AM46" i="9" s="1"/>
  <c r="AM47" i="9" s="1"/>
  <c r="AM48" i="9" s="1"/>
  <c r="AM49" i="9" s="1"/>
  <c r="AM50" i="9" s="1"/>
  <c r="AM51" i="9" s="1"/>
  <c r="AM52" i="9" s="1"/>
  <c r="AM53" i="9" s="1"/>
  <c r="AM54" i="9" s="1"/>
  <c r="AM55" i="9" s="1"/>
  <c r="AM56" i="9" s="1"/>
  <c r="AM57" i="9" s="1"/>
  <c r="AM58" i="9" s="1"/>
  <c r="AM59" i="9" s="1"/>
  <c r="AM60" i="9" s="1"/>
  <c r="AM61" i="9" s="1"/>
  <c r="AM62" i="9" s="1"/>
  <c r="AM63" i="9" s="1"/>
  <c r="AM64" i="9" s="1"/>
  <c r="AM65" i="9" s="1"/>
  <c r="AM66" i="9" s="1"/>
  <c r="AM67" i="9" s="1"/>
  <c r="AM68" i="9" s="1"/>
  <c r="AM69" i="9" s="1"/>
  <c r="AM70" i="9" s="1"/>
  <c r="AM71" i="9" s="1"/>
  <c r="AM72" i="9" s="1"/>
  <c r="AM73" i="9" s="1"/>
  <c r="AM74" i="9" s="1"/>
  <c r="AM75" i="9" s="1"/>
  <c r="AM76" i="9" s="1"/>
  <c r="AM77" i="9" s="1"/>
  <c r="AM78" i="9" s="1"/>
  <c r="AM79" i="9" s="1"/>
  <c r="AM80" i="9" s="1"/>
  <c r="AM81" i="9" s="1"/>
  <c r="AM82" i="9" s="1"/>
  <c r="AM83" i="9" s="1"/>
  <c r="AM84" i="9" s="1"/>
  <c r="AM85" i="9" s="1"/>
  <c r="AM86" i="9" s="1"/>
  <c r="AM87" i="9" s="1"/>
  <c r="AM88" i="9" s="1"/>
  <c r="AM89" i="9" s="1"/>
  <c r="AM90" i="9" s="1"/>
  <c r="AM91" i="9" s="1"/>
  <c r="AM92" i="9" s="1"/>
  <c r="AM93" i="9" s="1"/>
  <c r="AM94" i="9" s="1"/>
  <c r="AM95" i="9" s="1"/>
  <c r="AM96" i="9" s="1"/>
  <c r="AM97" i="9" s="1"/>
  <c r="AM98" i="9" s="1"/>
  <c r="AM99" i="9" s="1"/>
  <c r="AM100" i="9" s="1"/>
  <c r="AM101" i="9" s="1"/>
  <c r="AM102" i="9" s="1"/>
  <c r="AM103" i="9" s="1"/>
  <c r="AM104" i="9" s="1"/>
  <c r="AM105" i="9" s="1"/>
  <c r="AM106" i="9" s="1"/>
  <c r="AM107" i="9" s="1"/>
  <c r="AM108" i="9" s="1"/>
  <c r="AM109" i="9" s="1"/>
  <c r="AM110" i="9" s="1"/>
  <c r="AM111" i="9" s="1"/>
  <c r="AM112" i="9" s="1"/>
  <c r="AM113" i="9" s="1"/>
  <c r="AM114" i="9" s="1"/>
  <c r="AM115" i="9" s="1"/>
  <c r="AM116" i="9" s="1"/>
  <c r="AM117" i="9" s="1"/>
  <c r="AM118" i="9" s="1"/>
  <c r="AM119" i="9" s="1"/>
  <c r="AM120" i="9" s="1"/>
  <c r="AM121" i="9" s="1"/>
  <c r="AM122" i="9" s="1"/>
  <c r="AM123" i="9" s="1"/>
  <c r="AM124" i="9" s="1"/>
  <c r="AM125" i="9" s="1"/>
  <c r="AM126" i="9" s="1"/>
  <c r="AM127" i="9" s="1"/>
  <c r="AM128" i="9" s="1"/>
  <c r="AM129" i="9" s="1"/>
  <c r="AM130" i="9" s="1"/>
  <c r="AM131" i="9" s="1"/>
  <c r="AM132" i="9" s="1"/>
  <c r="AM133" i="9" s="1"/>
  <c r="AM134" i="9" s="1"/>
  <c r="AM135" i="9" s="1"/>
  <c r="AM136" i="9" s="1"/>
  <c r="AM137" i="9" s="1"/>
  <c r="AM138" i="9" s="1"/>
  <c r="AM139" i="9" s="1"/>
  <c r="AM140" i="9" s="1"/>
  <c r="AM141" i="9" s="1"/>
  <c r="AM142" i="9" s="1"/>
  <c r="AM143" i="9" s="1"/>
  <c r="AM144" i="9" s="1"/>
  <c r="AM145" i="9" s="1"/>
  <c r="AM146" i="9" s="1"/>
  <c r="AM147" i="9" s="1"/>
  <c r="AM148" i="9" s="1"/>
  <c r="AM149" i="9" s="1"/>
  <c r="AM150" i="9" s="1"/>
  <c r="AM151" i="9" s="1"/>
  <c r="AM152" i="9" s="1"/>
  <c r="AM153" i="9" s="1"/>
  <c r="AM154" i="9" s="1"/>
  <c r="AM155" i="9" s="1"/>
  <c r="AM156" i="9" s="1"/>
  <c r="AM157" i="9" s="1"/>
  <c r="AM158" i="9" s="1"/>
  <c r="AM159" i="9" s="1"/>
  <c r="AM160" i="9" s="1"/>
  <c r="AM161" i="9" s="1"/>
  <c r="AM162" i="9" s="1"/>
  <c r="AM163" i="9" s="1"/>
  <c r="AM164" i="9" s="1"/>
  <c r="AM165" i="9" s="1"/>
  <c r="AM166" i="9" s="1"/>
  <c r="AM167" i="9" s="1"/>
  <c r="AM168" i="9" s="1"/>
  <c r="AM169" i="9" s="1"/>
  <c r="AM170" i="9" s="1"/>
  <c r="AM171" i="9" s="1"/>
  <c r="AM172" i="9" s="1"/>
  <c r="AM173" i="9" s="1"/>
  <c r="AM174" i="9" s="1"/>
  <c r="AM175" i="9" s="1"/>
  <c r="AM176" i="9" s="1"/>
  <c r="AM177" i="9" s="1"/>
  <c r="AM178" i="9" s="1"/>
  <c r="AM179" i="9" s="1"/>
  <c r="AM180" i="9" s="1"/>
  <c r="AM181" i="9" s="1"/>
  <c r="AM182" i="9" s="1"/>
  <c r="AM183" i="9" s="1"/>
  <c r="AM184" i="9" s="1"/>
  <c r="AM185" i="9" s="1"/>
  <c r="AM186" i="9" s="1"/>
  <c r="AM187" i="9" s="1"/>
  <c r="AM188" i="9" s="1"/>
  <c r="AM189" i="9" s="1"/>
  <c r="AM190" i="9" s="1"/>
  <c r="AM191" i="9" s="1"/>
  <c r="AM192" i="9" s="1"/>
  <c r="AM193" i="9" s="1"/>
  <c r="AM194" i="9" s="1"/>
  <c r="AM195" i="9" s="1"/>
  <c r="AM196" i="9" s="1"/>
  <c r="AM197" i="9" s="1"/>
  <c r="AM198" i="9" s="1"/>
  <c r="AM199" i="9" s="1"/>
  <c r="AM200" i="9" s="1"/>
  <c r="AM201" i="9" s="1"/>
  <c r="AM202" i="9" s="1"/>
  <c r="AM203" i="9" s="1"/>
  <c r="AM204" i="9" s="1"/>
  <c r="AM205" i="9" s="1"/>
  <c r="AM206" i="9" s="1"/>
  <c r="AM207" i="9" s="1"/>
  <c r="AM208" i="9" s="1"/>
  <c r="AM209" i="9" s="1"/>
  <c r="AM210" i="9" s="1"/>
  <c r="AM211" i="9" s="1"/>
  <c r="AM212" i="9" s="1"/>
  <c r="AM213" i="9" s="1"/>
  <c r="AM214" i="9" s="1"/>
  <c r="AM215" i="9" s="1"/>
  <c r="AM216" i="9" s="1"/>
  <c r="AM217" i="9" s="1"/>
  <c r="AM218" i="9" s="1"/>
  <c r="AM219" i="9" s="1"/>
  <c r="AM220" i="9" s="1"/>
  <c r="AM221" i="9" s="1"/>
  <c r="AM222" i="9" s="1"/>
  <c r="AM223" i="9" s="1"/>
  <c r="AM224" i="9" s="1"/>
  <c r="AM225" i="9" s="1"/>
  <c r="AM226" i="9" s="1"/>
  <c r="AM227" i="9" s="1"/>
  <c r="AM228" i="9" s="1"/>
  <c r="AM229" i="9" s="1"/>
  <c r="AM230" i="9" s="1"/>
  <c r="AM231" i="9" s="1"/>
  <c r="AM232" i="9" s="1"/>
  <c r="AM233" i="9" s="1"/>
  <c r="AM234" i="9" s="1"/>
  <c r="AM235" i="9" s="1"/>
  <c r="AM236" i="9" s="1"/>
  <c r="AM237" i="9" s="1"/>
  <c r="AM238" i="9" s="1"/>
  <c r="AM239" i="9" s="1"/>
  <c r="AM240" i="9" s="1"/>
  <c r="AM241" i="9" s="1"/>
  <c r="AM242" i="9" s="1"/>
  <c r="AM243" i="9" s="1"/>
  <c r="AM244" i="9" s="1"/>
  <c r="AM245" i="9" s="1"/>
  <c r="AM246" i="9" s="1"/>
  <c r="AM247" i="9" s="1"/>
  <c r="AM248" i="9" s="1"/>
  <c r="AM249" i="9" s="1"/>
  <c r="AM250" i="9" s="1"/>
  <c r="AM251" i="9" s="1"/>
  <c r="AM252" i="9" s="1"/>
  <c r="AM253" i="9" s="1"/>
  <c r="AM254" i="9" s="1"/>
  <c r="AM255" i="9" s="1"/>
  <c r="AM256" i="9" s="1"/>
  <c r="AM257" i="9" s="1"/>
  <c r="AM258" i="9" s="1"/>
  <c r="AM259" i="9" s="1"/>
  <c r="AM260" i="9" s="1"/>
  <c r="AM261" i="9" s="1"/>
  <c r="AM262" i="9" s="1"/>
  <c r="AM263" i="9" s="1"/>
  <c r="AM264" i="9" s="1"/>
  <c r="AM265" i="9" s="1"/>
  <c r="AM266" i="9" s="1"/>
  <c r="AM267" i="9" s="1"/>
  <c r="AM4" i="3"/>
  <c r="AM5" i="3" s="1"/>
  <c r="AM6" i="3" s="1"/>
  <c r="AM7" i="3" s="1"/>
  <c r="AM8" i="3" s="1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AM35" i="3" s="1"/>
  <c r="AM36" i="3" s="1"/>
  <c r="AM37" i="3" s="1"/>
  <c r="AM38" i="3" s="1"/>
  <c r="AM39" i="3" s="1"/>
  <c r="AM40" i="3" s="1"/>
  <c r="AM41" i="3" s="1"/>
  <c r="AM42" i="3" s="1"/>
  <c r="AM43" i="3" s="1"/>
  <c r="AM44" i="3" s="1"/>
  <c r="AM45" i="3" s="1"/>
  <c r="AM46" i="3" s="1"/>
  <c r="AM47" i="3" s="1"/>
  <c r="AM48" i="3" s="1"/>
  <c r="AM49" i="3" s="1"/>
  <c r="AM50" i="3" s="1"/>
  <c r="AM51" i="3" s="1"/>
  <c r="AM52" i="3" s="1"/>
  <c r="AM53" i="3" s="1"/>
  <c r="AM54" i="3" s="1"/>
  <c r="AM55" i="3" s="1"/>
  <c r="AM56" i="3" s="1"/>
  <c r="AM57" i="3" s="1"/>
  <c r="AM58" i="3" s="1"/>
  <c r="AM59" i="3" s="1"/>
  <c r="AM60" i="3" s="1"/>
  <c r="AM61" i="3" s="1"/>
  <c r="AM62" i="3" s="1"/>
  <c r="AM63" i="3" s="1"/>
  <c r="AM64" i="3" s="1"/>
  <c r="AM65" i="3" s="1"/>
  <c r="AM66" i="3" s="1"/>
  <c r="AM67" i="3" s="1"/>
  <c r="AM68" i="3" s="1"/>
  <c r="AM69" i="3" s="1"/>
  <c r="AM70" i="3" s="1"/>
  <c r="AM71" i="3" s="1"/>
  <c r="AM72" i="3" s="1"/>
  <c r="AM73" i="3" s="1"/>
  <c r="AM74" i="3" s="1"/>
  <c r="AM75" i="3" s="1"/>
  <c r="AM76" i="3" s="1"/>
  <c r="AM77" i="3" s="1"/>
  <c r="AM78" i="3" s="1"/>
  <c r="AM79" i="3" s="1"/>
  <c r="AM80" i="3" s="1"/>
  <c r="AM81" i="3" s="1"/>
  <c r="AM82" i="3" s="1"/>
  <c r="AM83" i="3" s="1"/>
  <c r="AM84" i="3" s="1"/>
  <c r="AM85" i="3" s="1"/>
  <c r="AM86" i="3" s="1"/>
  <c r="AM87" i="3" s="1"/>
  <c r="AM88" i="3" s="1"/>
  <c r="AM89" i="3" s="1"/>
  <c r="AM90" i="3" s="1"/>
  <c r="AM91" i="3" s="1"/>
  <c r="AM92" i="3" s="1"/>
  <c r="AM93" i="3" s="1"/>
  <c r="AM94" i="3" s="1"/>
  <c r="AM95" i="3" s="1"/>
  <c r="AM96" i="3" s="1"/>
  <c r="AM97" i="3" s="1"/>
  <c r="AM98" i="3" s="1"/>
  <c r="AM99" i="3" s="1"/>
  <c r="AM100" i="3" s="1"/>
  <c r="AM101" i="3" s="1"/>
  <c r="AM102" i="3" s="1"/>
  <c r="AM103" i="3" s="1"/>
  <c r="AM104" i="3" s="1"/>
  <c r="AM105" i="3" s="1"/>
  <c r="AM106" i="3" s="1"/>
  <c r="AM107" i="3" s="1"/>
  <c r="AM108" i="3" s="1"/>
  <c r="AM109" i="3" s="1"/>
  <c r="AM110" i="3" s="1"/>
  <c r="AM111" i="3" s="1"/>
  <c r="AM112" i="3" s="1"/>
  <c r="AM113" i="3" s="1"/>
  <c r="AM114" i="3" s="1"/>
  <c r="AM115" i="3" s="1"/>
  <c r="AM116" i="3" s="1"/>
  <c r="AM117" i="3" s="1"/>
  <c r="AM118" i="3" s="1"/>
  <c r="AM119" i="3" s="1"/>
  <c r="AM120" i="3" s="1"/>
  <c r="AM121" i="3" s="1"/>
  <c r="AM122" i="3" s="1"/>
  <c r="AM123" i="3" s="1"/>
  <c r="AM124" i="3" s="1"/>
  <c r="AM125" i="3" s="1"/>
  <c r="AM126" i="3" s="1"/>
  <c r="AM127" i="3" s="1"/>
  <c r="AM128" i="3" s="1"/>
  <c r="AM129" i="3" s="1"/>
  <c r="AM130" i="3" s="1"/>
  <c r="AM131" i="3" s="1"/>
  <c r="AM132" i="3" s="1"/>
  <c r="AM133" i="3" s="1"/>
  <c r="AM134" i="3" s="1"/>
  <c r="AM135" i="3" s="1"/>
  <c r="AM136" i="3" s="1"/>
  <c r="AM137" i="3" s="1"/>
  <c r="AM138" i="3" s="1"/>
  <c r="AM139" i="3" s="1"/>
  <c r="AM140" i="3" s="1"/>
  <c r="AM141" i="3" s="1"/>
  <c r="AM142" i="3" s="1"/>
  <c r="AM143" i="3" s="1"/>
  <c r="AM144" i="3" s="1"/>
  <c r="AM145" i="3" s="1"/>
  <c r="AM146" i="3" s="1"/>
  <c r="AM147" i="3" s="1"/>
  <c r="AM148" i="3" s="1"/>
  <c r="AM149" i="3" s="1"/>
  <c r="AM150" i="3" s="1"/>
  <c r="AM151" i="3" s="1"/>
  <c r="AM152" i="3" s="1"/>
  <c r="AM153" i="3" s="1"/>
  <c r="AM154" i="3" s="1"/>
  <c r="AM155" i="3" s="1"/>
  <c r="AM156" i="3" s="1"/>
  <c r="AM157" i="3" s="1"/>
  <c r="AM158" i="3" s="1"/>
  <c r="AM159" i="3" s="1"/>
  <c r="AM160" i="3" s="1"/>
  <c r="AM161" i="3" s="1"/>
  <c r="AM162" i="3" s="1"/>
  <c r="AM163" i="3" s="1"/>
  <c r="AM164" i="3" s="1"/>
  <c r="AM165" i="3" s="1"/>
  <c r="AM166" i="3" s="1"/>
  <c r="AM167" i="3" s="1"/>
  <c r="AM168" i="3" s="1"/>
  <c r="AM169" i="3" s="1"/>
  <c r="AM170" i="3" s="1"/>
  <c r="AM171" i="3" s="1"/>
  <c r="AM172" i="3" s="1"/>
  <c r="AM173" i="3" s="1"/>
  <c r="AM174" i="3" s="1"/>
  <c r="AM175" i="3" s="1"/>
  <c r="AM176" i="3" s="1"/>
  <c r="AM177" i="3" s="1"/>
  <c r="AM178" i="3" s="1"/>
  <c r="AM179" i="3" s="1"/>
  <c r="AM180" i="3" s="1"/>
  <c r="AM181" i="3" s="1"/>
  <c r="AM182" i="3" s="1"/>
  <c r="AM183" i="3" s="1"/>
  <c r="AM184" i="3" s="1"/>
  <c r="AM185" i="3" s="1"/>
  <c r="AM186" i="3" s="1"/>
  <c r="AM187" i="3" s="1"/>
  <c r="AM188" i="3" s="1"/>
  <c r="AM189" i="3" s="1"/>
  <c r="AM190" i="3" s="1"/>
  <c r="AM191" i="3" s="1"/>
  <c r="AM192" i="3" s="1"/>
  <c r="AM193" i="3" s="1"/>
  <c r="AM194" i="3" s="1"/>
  <c r="AM195" i="3" s="1"/>
  <c r="AM196" i="3" s="1"/>
  <c r="AM197" i="3" s="1"/>
  <c r="AM198" i="3" s="1"/>
  <c r="AM199" i="3" s="1"/>
  <c r="AM200" i="3" s="1"/>
  <c r="AM201" i="3" s="1"/>
  <c r="AM202" i="3" s="1"/>
  <c r="AM203" i="3" s="1"/>
  <c r="AM204" i="3" s="1"/>
  <c r="AM205" i="3" s="1"/>
  <c r="AM206" i="3" s="1"/>
  <c r="AM207" i="3" s="1"/>
  <c r="AM208" i="3" s="1"/>
  <c r="AM209" i="3" s="1"/>
  <c r="AM210" i="3" s="1"/>
  <c r="AM211" i="3" s="1"/>
  <c r="AM212" i="3" s="1"/>
  <c r="AM213" i="3" s="1"/>
  <c r="AM214" i="3" s="1"/>
  <c r="AM215" i="3" s="1"/>
  <c r="AM216" i="3" s="1"/>
  <c r="AM217" i="3" s="1"/>
  <c r="AM218" i="3" s="1"/>
  <c r="AM219" i="3" s="1"/>
  <c r="AM220" i="3" s="1"/>
  <c r="AM221" i="3" s="1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M251" i="3" s="1"/>
  <c r="AM252" i="3" s="1"/>
  <c r="AM253" i="3" s="1"/>
  <c r="AM254" i="3" s="1"/>
  <c r="AM255" i="3" s="1"/>
  <c r="AM256" i="3" s="1"/>
  <c r="AM257" i="3" s="1"/>
  <c r="AM258" i="3" s="1"/>
  <c r="AM259" i="3" s="1"/>
  <c r="AM260" i="3" s="1"/>
  <c r="AM261" i="3" s="1"/>
  <c r="AM262" i="3" s="1"/>
  <c r="AM263" i="3" s="1"/>
  <c r="AM264" i="3" s="1"/>
  <c r="AM265" i="3" s="1"/>
  <c r="AM266" i="3" s="1"/>
  <c r="AM267" i="3" s="1"/>
  <c r="AM268" i="3" s="1"/>
  <c r="AM269" i="3" s="1"/>
  <c r="AM270" i="3" s="1"/>
  <c r="AM271" i="3" s="1"/>
  <c r="AM272" i="3" s="1"/>
  <c r="AM273" i="3" s="1"/>
  <c r="AM274" i="3" s="1"/>
  <c r="AM275" i="3" s="1"/>
  <c r="AM276" i="3" s="1"/>
  <c r="AM277" i="3" s="1"/>
  <c r="AM278" i="3" s="1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M289" i="3" s="1"/>
  <c r="AM290" i="3" s="1"/>
  <c r="AM291" i="3" s="1"/>
  <c r="AM292" i="3" s="1"/>
  <c r="AM293" i="3" s="1"/>
  <c r="AM294" i="3" s="1"/>
  <c r="AM295" i="3" s="1"/>
  <c r="AM296" i="3" s="1"/>
  <c r="AM297" i="3" s="1"/>
  <c r="AM298" i="3" s="1"/>
  <c r="AM299" i="3" s="1"/>
  <c r="AM300" i="3" s="1"/>
  <c r="AM301" i="3" s="1"/>
  <c r="AM302" i="3" s="1"/>
  <c r="AM303" i="3" s="1"/>
  <c r="AM304" i="3" s="1"/>
  <c r="AM305" i="3" s="1"/>
  <c r="AM306" i="3" s="1"/>
  <c r="AM307" i="3" s="1"/>
  <c r="AM308" i="3" s="1"/>
  <c r="AM309" i="3" s="1"/>
  <c r="AM310" i="3" s="1"/>
  <c r="AM311" i="3" s="1"/>
  <c r="AM312" i="3" s="1"/>
  <c r="AM313" i="3" s="1"/>
  <c r="AM314" i="3" s="1"/>
  <c r="AM315" i="3" s="1"/>
  <c r="AM316" i="3" s="1"/>
  <c r="AM317" i="3" s="1"/>
  <c r="AM318" i="3" s="1"/>
  <c r="AM319" i="3" s="1"/>
  <c r="AM320" i="3" s="1"/>
  <c r="AM321" i="3" s="1"/>
  <c r="AM322" i="3" s="1"/>
  <c r="AM323" i="3" s="1"/>
  <c r="AM324" i="3" s="1"/>
  <c r="AM325" i="3" s="1"/>
  <c r="AM326" i="3" s="1"/>
  <c r="AM327" i="3" s="1"/>
  <c r="AM328" i="3" s="1"/>
  <c r="AM329" i="3" s="1"/>
  <c r="AM330" i="3" s="1"/>
  <c r="AM331" i="3" s="1"/>
  <c r="AM332" i="3" s="1"/>
  <c r="AM333" i="3" s="1"/>
  <c r="AM334" i="3" s="1"/>
  <c r="AM335" i="3" s="1"/>
  <c r="AM336" i="3" s="1"/>
  <c r="AM337" i="3" s="1"/>
  <c r="AM338" i="3" s="1"/>
  <c r="AM339" i="3" s="1"/>
  <c r="AM340" i="3" s="1"/>
  <c r="AM341" i="3" s="1"/>
  <c r="AM342" i="3" s="1"/>
  <c r="AM343" i="3" s="1"/>
  <c r="AM344" i="3" s="1"/>
  <c r="AM345" i="3" s="1"/>
  <c r="AM346" i="3" s="1"/>
  <c r="AM347" i="3" s="1"/>
  <c r="AM348" i="3" s="1"/>
  <c r="AM349" i="3" s="1"/>
  <c r="AM350" i="3" s="1"/>
  <c r="AM351" i="3" s="1"/>
  <c r="AM352" i="3" s="1"/>
  <c r="AM353" i="3" s="1"/>
  <c r="AM354" i="3" s="1"/>
  <c r="AM355" i="3" s="1"/>
  <c r="AM356" i="3" s="1"/>
  <c r="AM357" i="3" s="1"/>
  <c r="AM358" i="3" s="1"/>
  <c r="AM359" i="3" s="1"/>
  <c r="AM360" i="3" s="1"/>
  <c r="AM361" i="3" s="1"/>
  <c r="AM362" i="3" s="1"/>
  <c r="AM363" i="3" s="1"/>
  <c r="AM364" i="3" s="1"/>
  <c r="AM365" i="3" s="1"/>
  <c r="AM366" i="3" s="1"/>
  <c r="AM367" i="3" s="1"/>
  <c r="AM4" i="8"/>
  <c r="AM5" i="8" s="1"/>
  <c r="AM6" i="8" s="1"/>
  <c r="AM7" i="8" s="1"/>
  <c r="AM8" i="8" s="1"/>
  <c r="AM9" i="8" s="1"/>
  <c r="AM10" i="8" s="1"/>
  <c r="AM11" i="8" s="1"/>
  <c r="AM12" i="8" s="1"/>
  <c r="AM13" i="8" s="1"/>
  <c r="AM14" i="8" s="1"/>
  <c r="AM15" i="8" s="1"/>
  <c r="AM16" i="8" s="1"/>
  <c r="AM17" i="8" s="1"/>
  <c r="AM18" i="8" s="1"/>
  <c r="AM19" i="8" s="1"/>
  <c r="AM20" i="8" s="1"/>
  <c r="AM21" i="8" s="1"/>
  <c r="AM22" i="8" s="1"/>
  <c r="AM23" i="8" s="1"/>
  <c r="AM24" i="8" s="1"/>
  <c r="AM25" i="8" s="1"/>
  <c r="AM26" i="8" s="1"/>
  <c r="AM27" i="8" s="1"/>
  <c r="AM28" i="8" s="1"/>
  <c r="AM29" i="8" s="1"/>
  <c r="AM30" i="8" s="1"/>
  <c r="AM31" i="8" s="1"/>
  <c r="AM32" i="8" s="1"/>
  <c r="AM33" i="8" s="1"/>
  <c r="AM34" i="8" s="1"/>
  <c r="AM35" i="8" s="1"/>
  <c r="AM36" i="8" s="1"/>
  <c r="AM37" i="8" s="1"/>
  <c r="AM38" i="8" s="1"/>
  <c r="AM39" i="8" s="1"/>
  <c r="AM40" i="8" s="1"/>
  <c r="AM41" i="8" s="1"/>
  <c r="AM42" i="8" s="1"/>
  <c r="AM43" i="8" s="1"/>
  <c r="AM44" i="8" s="1"/>
  <c r="AM45" i="8" s="1"/>
  <c r="AM46" i="8" s="1"/>
  <c r="AM47" i="8" s="1"/>
  <c r="AM48" i="8" s="1"/>
  <c r="AM49" i="8" s="1"/>
  <c r="AM50" i="8" s="1"/>
  <c r="AM51" i="8" s="1"/>
  <c r="AM52" i="8" s="1"/>
  <c r="AM53" i="8" s="1"/>
  <c r="AM54" i="8" s="1"/>
  <c r="AM55" i="8" s="1"/>
  <c r="AM56" i="8" s="1"/>
  <c r="AM57" i="8" s="1"/>
  <c r="AM58" i="8" s="1"/>
  <c r="AM59" i="8" s="1"/>
  <c r="AM60" i="8" s="1"/>
  <c r="AM61" i="8" s="1"/>
  <c r="AM62" i="8" s="1"/>
  <c r="AM63" i="8" s="1"/>
  <c r="AM64" i="8" s="1"/>
  <c r="AM65" i="8" s="1"/>
  <c r="AM66" i="8" s="1"/>
  <c r="AM67" i="8" s="1"/>
  <c r="AM68" i="8" s="1"/>
  <c r="AM69" i="8" s="1"/>
  <c r="AM70" i="8" s="1"/>
  <c r="AM71" i="8" s="1"/>
  <c r="AM72" i="8" s="1"/>
  <c r="AM73" i="8" s="1"/>
  <c r="AM74" i="8" s="1"/>
  <c r="AM75" i="8" s="1"/>
  <c r="AM76" i="8" s="1"/>
  <c r="AM77" i="8" s="1"/>
  <c r="AM78" i="8" s="1"/>
  <c r="AM79" i="8" s="1"/>
  <c r="AM80" i="8" s="1"/>
  <c r="AM81" i="8" s="1"/>
  <c r="AM82" i="8" s="1"/>
  <c r="AM83" i="8" s="1"/>
  <c r="AM84" i="8" s="1"/>
  <c r="AM85" i="8" s="1"/>
  <c r="AM86" i="8" s="1"/>
  <c r="AM87" i="8" s="1"/>
  <c r="AM88" i="8" s="1"/>
  <c r="AM89" i="8" s="1"/>
  <c r="AM90" i="8" s="1"/>
  <c r="AM91" i="8" s="1"/>
  <c r="AM92" i="8" s="1"/>
  <c r="AM93" i="8" s="1"/>
  <c r="AM94" i="8" s="1"/>
  <c r="AM95" i="8" s="1"/>
  <c r="AM96" i="8" s="1"/>
  <c r="AM97" i="8" s="1"/>
  <c r="AM98" i="8" s="1"/>
  <c r="AM99" i="8" s="1"/>
  <c r="AM100" i="8" s="1"/>
  <c r="AM101" i="8" s="1"/>
  <c r="AM102" i="8" s="1"/>
  <c r="AM103" i="8" s="1"/>
  <c r="AM104" i="8" s="1"/>
  <c r="AM105" i="8" s="1"/>
  <c r="AM106" i="8" s="1"/>
  <c r="AM107" i="8" s="1"/>
  <c r="AM108" i="8" s="1"/>
  <c r="AM109" i="8" s="1"/>
  <c r="AM110" i="8" s="1"/>
  <c r="AM111" i="8" s="1"/>
  <c r="AM112" i="8" s="1"/>
  <c r="AM113" i="8" s="1"/>
  <c r="AM114" i="8" s="1"/>
  <c r="AM115" i="8" s="1"/>
  <c r="AM116" i="8" s="1"/>
  <c r="AM117" i="8" s="1"/>
  <c r="AM118" i="8" s="1"/>
  <c r="AM119" i="8" s="1"/>
  <c r="AM120" i="8" s="1"/>
  <c r="AM121" i="8" s="1"/>
  <c r="AM122" i="8" s="1"/>
  <c r="AM123" i="8" s="1"/>
  <c r="AM124" i="8" s="1"/>
  <c r="AM125" i="8" s="1"/>
  <c r="AM126" i="8" s="1"/>
  <c r="AM127" i="8" s="1"/>
  <c r="AM128" i="8" s="1"/>
  <c r="AM129" i="8" s="1"/>
  <c r="AM130" i="8" s="1"/>
  <c r="AM131" i="8" s="1"/>
  <c r="AM132" i="8" s="1"/>
  <c r="AM133" i="8" s="1"/>
  <c r="AM134" i="8" s="1"/>
  <c r="AM135" i="8" s="1"/>
  <c r="AM136" i="8" s="1"/>
  <c r="AM137" i="8" s="1"/>
  <c r="AM138" i="8" s="1"/>
  <c r="AM139" i="8" s="1"/>
  <c r="AM140" i="8" s="1"/>
  <c r="AM141" i="8" s="1"/>
  <c r="AM142" i="8" s="1"/>
  <c r="AM143" i="8" s="1"/>
  <c r="AM144" i="8" s="1"/>
  <c r="AM145" i="8" s="1"/>
  <c r="AM146" i="8" s="1"/>
  <c r="AM147" i="8" s="1"/>
  <c r="AM148" i="8" s="1"/>
  <c r="AM149" i="8" s="1"/>
  <c r="AM150" i="8" s="1"/>
  <c r="AM151" i="8" s="1"/>
  <c r="AM152" i="8" s="1"/>
  <c r="AM153" i="8" s="1"/>
  <c r="AM154" i="8" s="1"/>
  <c r="AM155" i="8" s="1"/>
  <c r="AM156" i="8" s="1"/>
  <c r="AM157" i="8" s="1"/>
  <c r="AM158" i="8" s="1"/>
  <c r="AM159" i="8" s="1"/>
  <c r="AM160" i="8" s="1"/>
  <c r="AM161" i="8" s="1"/>
  <c r="AM162" i="8" s="1"/>
  <c r="AM163" i="8" s="1"/>
  <c r="AM164" i="8" s="1"/>
  <c r="AM165" i="8" s="1"/>
  <c r="AM166" i="8" s="1"/>
  <c r="AM167" i="8" s="1"/>
  <c r="AM168" i="8" s="1"/>
  <c r="AM169" i="8" s="1"/>
  <c r="AM170" i="8" s="1"/>
  <c r="AM171" i="8" s="1"/>
  <c r="AM172" i="8" s="1"/>
  <c r="AM173" i="8" s="1"/>
  <c r="AM174" i="8" s="1"/>
  <c r="AM175" i="8" s="1"/>
  <c r="AM176" i="8" s="1"/>
  <c r="AM177" i="8" s="1"/>
  <c r="AM178" i="8" s="1"/>
  <c r="AM179" i="8" s="1"/>
  <c r="AM180" i="8" s="1"/>
  <c r="AM181" i="8" s="1"/>
  <c r="AM182" i="8" s="1"/>
  <c r="AM183" i="8" s="1"/>
  <c r="AM184" i="8" s="1"/>
  <c r="AM185" i="8" s="1"/>
  <c r="AM186" i="8" s="1"/>
  <c r="AM187" i="8" s="1"/>
  <c r="AM188" i="8" s="1"/>
  <c r="AM189" i="8" s="1"/>
  <c r="AM190" i="8" s="1"/>
  <c r="AM191" i="8" s="1"/>
  <c r="AM192" i="8" s="1"/>
  <c r="AM193" i="8" s="1"/>
  <c r="AM194" i="8" s="1"/>
  <c r="AM195" i="8" s="1"/>
  <c r="AM196" i="8" s="1"/>
  <c r="AM197" i="8" s="1"/>
  <c r="AM198" i="8" s="1"/>
  <c r="AM199" i="8" s="1"/>
  <c r="AM200" i="8" s="1"/>
  <c r="AM201" i="8" s="1"/>
  <c r="AM202" i="8" s="1"/>
  <c r="AM203" i="8" s="1"/>
  <c r="AM204" i="8" s="1"/>
  <c r="AM205" i="8" s="1"/>
  <c r="AM206" i="8" s="1"/>
  <c r="AM207" i="8" s="1"/>
  <c r="AM208" i="8" s="1"/>
  <c r="AM209" i="8" s="1"/>
  <c r="AM210" i="8" s="1"/>
  <c r="AM211" i="8" s="1"/>
  <c r="AM212" i="8" s="1"/>
  <c r="AM213" i="8" s="1"/>
  <c r="AM214" i="8" s="1"/>
  <c r="AM215" i="8" s="1"/>
  <c r="AM216" i="8" s="1"/>
  <c r="AM217" i="8" s="1"/>
  <c r="AM218" i="8" s="1"/>
  <c r="AM219" i="8" s="1"/>
  <c r="AM220" i="8" s="1"/>
  <c r="AM221" i="8" s="1"/>
  <c r="AM222" i="8" s="1"/>
  <c r="AM223" i="8" s="1"/>
  <c r="AM224" i="8" s="1"/>
  <c r="AM225" i="8" s="1"/>
  <c r="AM226" i="8" s="1"/>
  <c r="AM227" i="8" s="1"/>
  <c r="AM228" i="8" s="1"/>
  <c r="AM229" i="8" s="1"/>
  <c r="AM230" i="8" s="1"/>
  <c r="AM231" i="8" s="1"/>
  <c r="AM232" i="8" s="1"/>
  <c r="AM233" i="8" s="1"/>
  <c r="AM234" i="8" s="1"/>
  <c r="AM235" i="8" s="1"/>
  <c r="AM236" i="8" s="1"/>
  <c r="AM237" i="8" s="1"/>
  <c r="AM238" i="8" s="1"/>
  <c r="AM239" i="8" s="1"/>
  <c r="AM240" i="8" s="1"/>
  <c r="AM241" i="8" s="1"/>
  <c r="AM242" i="8" s="1"/>
  <c r="AM243" i="8" s="1"/>
  <c r="AM244" i="8" s="1"/>
  <c r="AM245" i="8" s="1"/>
  <c r="AM246" i="8" s="1"/>
  <c r="AM247" i="8" s="1"/>
  <c r="AM248" i="8" s="1"/>
  <c r="AM249" i="8" s="1"/>
  <c r="AM250" i="8" s="1"/>
  <c r="AM251" i="8" s="1"/>
  <c r="AM252" i="8" s="1"/>
  <c r="AM253" i="8" s="1"/>
  <c r="AM254" i="8" s="1"/>
  <c r="AM255" i="8" s="1"/>
  <c r="AM256" i="8" s="1"/>
  <c r="AM257" i="8" s="1"/>
  <c r="AM258" i="8" s="1"/>
  <c r="AM259" i="8" s="1"/>
  <c r="AM260" i="8" s="1"/>
  <c r="AM261" i="8" s="1"/>
  <c r="AM262" i="8" s="1"/>
  <c r="AM263" i="8" s="1"/>
  <c r="AM264" i="8" s="1"/>
  <c r="AM265" i="8" s="1"/>
  <c r="AM266" i="8" s="1"/>
  <c r="AM267" i="8" s="1"/>
  <c r="AM268" i="8" s="1"/>
  <c r="AM269" i="8" s="1"/>
  <c r="AM270" i="8" s="1"/>
  <c r="AM271" i="8" s="1"/>
  <c r="AM272" i="8" s="1"/>
  <c r="AM273" i="8" s="1"/>
  <c r="AM274" i="8" s="1"/>
  <c r="AM275" i="8" s="1"/>
  <c r="AM276" i="8" s="1"/>
  <c r="AM277" i="8" s="1"/>
  <c r="AM278" i="8" s="1"/>
  <c r="AM279" i="8" s="1"/>
  <c r="AM280" i="8" s="1"/>
  <c r="AM281" i="8" s="1"/>
  <c r="AM282" i="8" s="1"/>
  <c r="AM283" i="8" s="1"/>
  <c r="AM284" i="8" s="1"/>
  <c r="AM285" i="8" s="1"/>
  <c r="AM286" i="8" s="1"/>
  <c r="AM287" i="8" s="1"/>
  <c r="AM288" i="8" s="1"/>
  <c r="AM289" i="8" s="1"/>
  <c r="AM290" i="8" s="1"/>
  <c r="AM291" i="8" s="1"/>
  <c r="AM292" i="8" s="1"/>
  <c r="AM293" i="8" s="1"/>
  <c r="AM294" i="8" s="1"/>
  <c r="AM295" i="8" s="1"/>
  <c r="AM296" i="8" s="1"/>
  <c r="AM297" i="8" s="1"/>
  <c r="AM298" i="8" s="1"/>
  <c r="AM299" i="8" s="1"/>
  <c r="AM300" i="8" s="1"/>
  <c r="AM301" i="8" s="1"/>
  <c r="AM302" i="8" s="1"/>
  <c r="AM303" i="8" s="1"/>
  <c r="AM304" i="8" s="1"/>
  <c r="AM305" i="8" s="1"/>
  <c r="AM306" i="8" s="1"/>
  <c r="AM307" i="8" s="1"/>
  <c r="AM308" i="8" s="1"/>
  <c r="AM309" i="8" s="1"/>
  <c r="AM310" i="8" s="1"/>
  <c r="AM311" i="8" s="1"/>
  <c r="AM312" i="8" s="1"/>
  <c r="AM313" i="8" s="1"/>
  <c r="AM314" i="8" s="1"/>
  <c r="AM315" i="8" s="1"/>
  <c r="AM316" i="8" s="1"/>
  <c r="AM317" i="8" s="1"/>
  <c r="AM318" i="8" s="1"/>
  <c r="AM319" i="8" s="1"/>
  <c r="AM320" i="8" s="1"/>
  <c r="AM321" i="8" s="1"/>
  <c r="AM322" i="8" s="1"/>
  <c r="AM323" i="8" s="1"/>
  <c r="AM324" i="8" s="1"/>
  <c r="AM325" i="8" s="1"/>
  <c r="AM326" i="8" s="1"/>
  <c r="AM327" i="8" s="1"/>
  <c r="AM328" i="8" s="1"/>
  <c r="AM329" i="8" s="1"/>
  <c r="AM330" i="8" s="1"/>
  <c r="AM331" i="8" s="1"/>
  <c r="AM332" i="8" s="1"/>
  <c r="AM333" i="8" s="1"/>
  <c r="AM334" i="8" s="1"/>
  <c r="AM335" i="8" s="1"/>
  <c r="AM336" i="8" s="1"/>
  <c r="AM337" i="8" s="1"/>
  <c r="AM338" i="8" s="1"/>
  <c r="AM339" i="8" s="1"/>
  <c r="AM340" i="8" s="1"/>
  <c r="AM341" i="8" s="1"/>
  <c r="AM342" i="8" s="1"/>
  <c r="AM343" i="8" s="1"/>
  <c r="AM344" i="8" s="1"/>
  <c r="AM345" i="8" s="1"/>
  <c r="AM346" i="8" s="1"/>
  <c r="AM347" i="8" s="1"/>
  <c r="AM348" i="8" s="1"/>
  <c r="AM349" i="8" s="1"/>
  <c r="AM350" i="8" s="1"/>
  <c r="AM351" i="8" s="1"/>
  <c r="AM352" i="8" s="1"/>
  <c r="AM353" i="8" s="1"/>
  <c r="AM354" i="8" s="1"/>
  <c r="AM355" i="8" s="1"/>
  <c r="AM356" i="8" s="1"/>
  <c r="AM357" i="8" s="1"/>
  <c r="AM358" i="8" s="1"/>
  <c r="AM359" i="8" s="1"/>
  <c r="AM360" i="8" s="1"/>
  <c r="AM361" i="8" s="1"/>
  <c r="AM362" i="8" s="1"/>
  <c r="AM363" i="8" s="1"/>
  <c r="AM364" i="8" s="1"/>
  <c r="AM365" i="8" s="1"/>
  <c r="AM366" i="8" s="1"/>
  <c r="AM367" i="8" s="1"/>
  <c r="AQ3" i="3"/>
  <c r="AM268" i="9" l="1"/>
  <c r="AM269" i="9" s="1"/>
  <c r="AM270" i="9" s="1"/>
  <c r="AM271" i="9" s="1"/>
  <c r="AM272" i="9" s="1"/>
  <c r="AM273" i="9" s="1"/>
  <c r="AM274" i="9" s="1"/>
  <c r="AM275" i="9" s="1"/>
  <c r="AM276" i="9" s="1"/>
  <c r="AM277" i="9" s="1"/>
  <c r="AM278" i="9" s="1"/>
  <c r="AM279" i="9" s="1"/>
  <c r="AM280" i="9" s="1"/>
  <c r="AM281" i="9" s="1"/>
  <c r="AM282" i="9" s="1"/>
  <c r="AM283" i="9" s="1"/>
  <c r="AM284" i="9" s="1"/>
  <c r="AM285" i="9" s="1"/>
  <c r="AM286" i="9" s="1"/>
  <c r="AM287" i="9" s="1"/>
  <c r="AM288" i="9" s="1"/>
  <c r="AM289" i="9" s="1"/>
  <c r="AM290" i="9" s="1"/>
  <c r="AM291" i="9" s="1"/>
  <c r="AM292" i="9" s="1"/>
  <c r="AM293" i="9" s="1"/>
  <c r="AM294" i="9" s="1"/>
  <c r="AM295" i="9" s="1"/>
  <c r="AM296" i="9" s="1"/>
  <c r="AM297" i="9" s="1"/>
  <c r="AM298" i="9" s="1"/>
  <c r="AM299" i="9" s="1"/>
  <c r="AM300" i="9" s="1"/>
  <c r="AM301" i="9" s="1"/>
  <c r="AM302" i="9" s="1"/>
  <c r="AM303" i="9" s="1"/>
  <c r="AM304" i="9" s="1"/>
  <c r="AM305" i="9" s="1"/>
  <c r="AM306" i="9" s="1"/>
  <c r="AM307" i="9" s="1"/>
  <c r="AM308" i="9" s="1"/>
  <c r="AM309" i="9" s="1"/>
  <c r="AM310" i="9" s="1"/>
  <c r="AM311" i="9" s="1"/>
  <c r="AM312" i="9" s="1"/>
  <c r="AM313" i="9" s="1"/>
  <c r="AM314" i="9" s="1"/>
  <c r="AM315" i="9" s="1"/>
  <c r="AM316" i="9" s="1"/>
  <c r="AM317" i="9" s="1"/>
  <c r="AM318" i="9" s="1"/>
  <c r="AM319" i="9" s="1"/>
  <c r="AM320" i="9" s="1"/>
  <c r="AM321" i="9" s="1"/>
  <c r="AM322" i="9" s="1"/>
  <c r="AM323" i="9" s="1"/>
  <c r="AM324" i="9" s="1"/>
  <c r="AM325" i="9" s="1"/>
  <c r="AM326" i="9" s="1"/>
  <c r="AM327" i="9" s="1"/>
  <c r="AM328" i="9" s="1"/>
  <c r="AM329" i="9" s="1"/>
  <c r="AM330" i="9" s="1"/>
  <c r="AM331" i="9" s="1"/>
  <c r="AM332" i="9" s="1"/>
  <c r="AM333" i="9" s="1"/>
  <c r="AM334" i="9" s="1"/>
  <c r="AM335" i="9" s="1"/>
  <c r="AM336" i="9" s="1"/>
  <c r="AM337" i="9" s="1"/>
  <c r="AM338" i="9" s="1"/>
  <c r="AM339" i="9" s="1"/>
  <c r="AM340" i="9" s="1"/>
  <c r="AM341" i="9" s="1"/>
  <c r="AM342" i="9" s="1"/>
  <c r="AM343" i="9" s="1"/>
  <c r="AM344" i="9" s="1"/>
  <c r="AM345" i="9" s="1"/>
  <c r="AM346" i="9" s="1"/>
  <c r="AM347" i="9" s="1"/>
  <c r="AM348" i="9" s="1"/>
  <c r="AM349" i="9" s="1"/>
  <c r="AM350" i="9" s="1"/>
  <c r="AM351" i="9" s="1"/>
  <c r="AM352" i="9" s="1"/>
  <c r="AM353" i="9" s="1"/>
  <c r="AM354" i="9" s="1"/>
  <c r="AM355" i="9" s="1"/>
  <c r="AM356" i="9" s="1"/>
  <c r="AM357" i="9" s="1"/>
  <c r="AM358" i="9" s="1"/>
  <c r="AM359" i="9" s="1"/>
  <c r="AM360" i="9" s="1"/>
  <c r="AM361" i="9" s="1"/>
  <c r="AM362" i="9" s="1"/>
  <c r="AM363" i="9" s="1"/>
  <c r="AM364" i="9" s="1"/>
  <c r="AM365" i="9" s="1"/>
  <c r="AM366" i="9" s="1"/>
  <c r="AM367" i="9" s="1"/>
  <c r="AM368" i="9" s="1"/>
  <c r="AA7" i="8"/>
  <c r="AA15" i="8"/>
  <c r="AA23" i="8"/>
  <c r="AA31" i="8"/>
  <c r="AA39" i="8"/>
  <c r="AA47" i="8"/>
  <c r="AA55" i="8"/>
  <c r="AA63" i="8"/>
  <c r="AA71" i="8"/>
  <c r="AA79" i="8"/>
  <c r="AA87" i="8"/>
  <c r="AA95" i="8"/>
  <c r="AA103" i="8"/>
  <c r="AA111" i="8"/>
  <c r="AA119" i="8"/>
  <c r="AA127" i="8"/>
  <c r="AA135" i="8"/>
  <c r="AA143" i="8"/>
  <c r="AA151" i="8"/>
  <c r="AA159" i="8"/>
  <c r="AA167" i="8"/>
  <c r="AA175" i="8"/>
  <c r="AA183" i="8"/>
  <c r="AA191" i="8"/>
  <c r="AA199" i="8"/>
  <c r="AA207" i="8"/>
  <c r="AA215" i="8"/>
  <c r="AA223" i="8"/>
  <c r="AA231" i="8"/>
  <c r="AA239" i="8"/>
  <c r="AA247" i="8"/>
  <c r="AA255" i="8"/>
  <c r="AA263" i="8"/>
  <c r="AA271" i="8"/>
  <c r="AA279" i="8"/>
  <c r="AA287" i="8"/>
  <c r="AA295" i="8"/>
  <c r="AA8" i="8"/>
  <c r="AA16" i="8"/>
  <c r="AA24" i="8"/>
  <c r="AA32" i="8"/>
  <c r="AA40" i="8"/>
  <c r="AA48" i="8"/>
  <c r="AA56" i="8"/>
  <c r="AA64" i="8"/>
  <c r="AA72" i="8"/>
  <c r="AA80" i="8"/>
  <c r="AA88" i="8"/>
  <c r="AA96" i="8"/>
  <c r="AA104" i="8"/>
  <c r="AA112" i="8"/>
  <c r="AA120" i="8"/>
  <c r="AA128" i="8"/>
  <c r="AA136" i="8"/>
  <c r="AA144" i="8"/>
  <c r="AA152" i="8"/>
  <c r="AA160" i="8"/>
  <c r="AA168" i="8"/>
  <c r="AA176" i="8"/>
  <c r="AA184" i="8"/>
  <c r="AA192" i="8"/>
  <c r="AA200" i="8"/>
  <c r="AA208" i="8"/>
  <c r="AA216" i="8"/>
  <c r="AA224" i="8"/>
  <c r="AA232" i="8"/>
  <c r="AA240" i="8"/>
  <c r="AA248" i="8"/>
  <c r="AA256" i="8"/>
  <c r="AA264" i="8"/>
  <c r="AA272" i="8"/>
  <c r="AA280" i="8"/>
  <c r="AA288" i="8"/>
  <c r="AA296" i="8"/>
  <c r="AA304" i="8"/>
  <c r="AA312" i="8"/>
  <c r="AA9" i="8"/>
  <c r="AA17" i="8"/>
  <c r="AA25" i="8"/>
  <c r="AA33" i="8"/>
  <c r="AA41" i="8"/>
  <c r="AA49" i="8"/>
  <c r="AA57" i="8"/>
  <c r="AA65" i="8"/>
  <c r="AA73" i="8"/>
  <c r="AA81" i="8"/>
  <c r="AA89" i="8"/>
  <c r="AA97" i="8"/>
  <c r="AA105" i="8"/>
  <c r="AA113" i="8"/>
  <c r="AA121" i="8"/>
  <c r="AA129" i="8"/>
  <c r="AA137" i="8"/>
  <c r="AA145" i="8"/>
  <c r="AA153" i="8"/>
  <c r="AA161" i="8"/>
  <c r="AA169" i="8"/>
  <c r="AA177" i="8"/>
  <c r="AA185" i="8"/>
  <c r="AA193" i="8"/>
  <c r="AA201" i="8"/>
  <c r="AA209" i="8"/>
  <c r="AA217" i="8"/>
  <c r="AA225" i="8"/>
  <c r="AA233" i="8"/>
  <c r="AA241" i="8"/>
  <c r="AA249" i="8"/>
  <c r="AA257" i="8"/>
  <c r="AA265" i="8"/>
  <c r="AA273" i="8"/>
  <c r="AA281" i="8"/>
  <c r="AA289" i="8"/>
  <c r="AA297" i="8"/>
  <c r="AA305" i="8"/>
  <c r="AA10" i="8"/>
  <c r="AA18" i="8"/>
  <c r="AA26" i="8"/>
  <c r="AA34" i="8"/>
  <c r="AA42" i="8"/>
  <c r="AA50" i="8"/>
  <c r="AA58" i="8"/>
  <c r="AA66" i="8"/>
  <c r="AA74" i="8"/>
  <c r="AA82" i="8"/>
  <c r="AA90" i="8"/>
  <c r="AA98" i="8"/>
  <c r="AA106" i="8"/>
  <c r="AA114" i="8"/>
  <c r="AA122" i="8"/>
  <c r="AA130" i="8"/>
  <c r="AA138" i="8"/>
  <c r="AA146" i="8"/>
  <c r="AA154" i="8"/>
  <c r="AA162" i="8"/>
  <c r="AA170" i="8"/>
  <c r="AA178" i="8"/>
  <c r="AA186" i="8"/>
  <c r="AA194" i="8"/>
  <c r="AA202" i="8"/>
  <c r="AA210" i="8"/>
  <c r="AA218" i="8"/>
  <c r="AA226" i="8"/>
  <c r="AA234" i="8"/>
  <c r="AA242" i="8"/>
  <c r="AA250" i="8"/>
  <c r="AA258" i="8"/>
  <c r="AA266" i="8"/>
  <c r="AA4" i="8"/>
  <c r="AA12" i="8"/>
  <c r="AA20" i="8"/>
  <c r="AA28" i="8"/>
  <c r="AA36" i="8"/>
  <c r="AA44" i="8"/>
  <c r="AA52" i="8"/>
  <c r="AA60" i="8"/>
  <c r="AA68" i="8"/>
  <c r="AA76" i="8"/>
  <c r="AA84" i="8"/>
  <c r="AA92" i="8"/>
  <c r="AA100" i="8"/>
  <c r="AA108" i="8"/>
  <c r="AA116" i="8"/>
  <c r="AA124" i="8"/>
  <c r="AA132" i="8"/>
  <c r="AA140" i="8"/>
  <c r="AA148" i="8"/>
  <c r="AA156" i="8"/>
  <c r="AA164" i="8"/>
  <c r="AA172" i="8"/>
  <c r="AA180" i="8"/>
  <c r="AA188" i="8"/>
  <c r="AA196" i="8"/>
  <c r="AA204" i="8"/>
  <c r="AA212" i="8"/>
  <c r="AA220" i="8"/>
  <c r="AA228" i="8"/>
  <c r="AA236" i="8"/>
  <c r="AA244" i="8"/>
  <c r="AA252" i="8"/>
  <c r="AA260" i="8"/>
  <c r="AA268" i="8"/>
  <c r="AA276" i="8"/>
  <c r="AA284" i="8"/>
  <c r="AA292" i="8"/>
  <c r="AA300" i="8"/>
  <c r="AA11" i="8"/>
  <c r="AA30" i="8"/>
  <c r="AA53" i="8"/>
  <c r="AA75" i="8"/>
  <c r="AA94" i="8"/>
  <c r="AA117" i="8"/>
  <c r="AA139" i="8"/>
  <c r="AA158" i="8"/>
  <c r="AA181" i="8"/>
  <c r="AA203" i="8"/>
  <c r="AA222" i="8"/>
  <c r="AA245" i="8"/>
  <c r="AA267" i="8"/>
  <c r="AA283" i="8"/>
  <c r="AA299" i="8"/>
  <c r="AA310" i="8"/>
  <c r="AA319" i="8"/>
  <c r="AA327" i="8"/>
  <c r="AA335" i="8"/>
  <c r="AA343" i="8"/>
  <c r="AA351" i="8"/>
  <c r="AA359" i="8"/>
  <c r="AA367" i="8"/>
  <c r="AA19" i="8"/>
  <c r="AA38" i="8"/>
  <c r="AA61" i="8"/>
  <c r="AA83" i="8"/>
  <c r="AA102" i="8"/>
  <c r="AA125" i="8"/>
  <c r="AA147" i="8"/>
  <c r="AA166" i="8"/>
  <c r="AA189" i="8"/>
  <c r="AA211" i="8"/>
  <c r="AA230" i="8"/>
  <c r="AA253" i="8"/>
  <c r="AA274" i="8"/>
  <c r="AA290" i="8"/>
  <c r="AA303" i="8"/>
  <c r="AA314" i="8"/>
  <c r="AA322" i="8"/>
  <c r="AA330" i="8"/>
  <c r="AA338" i="8"/>
  <c r="AA346" i="8"/>
  <c r="AA354" i="8"/>
  <c r="AA362" i="8"/>
  <c r="AA21" i="8"/>
  <c r="AA46" i="8"/>
  <c r="AA77" i="8"/>
  <c r="AA107" i="8"/>
  <c r="AA133" i="8"/>
  <c r="AA163" i="8"/>
  <c r="AA190" i="8"/>
  <c r="AA219" i="8"/>
  <c r="AA246" i="8"/>
  <c r="AA275" i="8"/>
  <c r="AA294" i="8"/>
  <c r="AA311" i="8"/>
  <c r="AA323" i="8"/>
  <c r="AA333" i="8"/>
  <c r="AA344" i="8"/>
  <c r="AA355" i="8"/>
  <c r="AA365" i="8"/>
  <c r="AA22" i="8"/>
  <c r="AA51" i="8"/>
  <c r="AA78" i="8"/>
  <c r="AA29" i="8"/>
  <c r="AA59" i="8"/>
  <c r="AA86" i="8"/>
  <c r="AA115" i="8"/>
  <c r="AA142" i="8"/>
  <c r="AA173" i="8"/>
  <c r="AA198" i="8"/>
  <c r="AA229" i="8"/>
  <c r="AA259" i="8"/>
  <c r="AA282" i="8"/>
  <c r="AA302" i="8"/>
  <c r="AA316" i="8"/>
  <c r="AA326" i="8"/>
  <c r="AA337" i="8"/>
  <c r="AA348" i="8"/>
  <c r="AA358" i="8"/>
  <c r="AA5" i="8"/>
  <c r="AA35" i="8"/>
  <c r="AA62" i="8"/>
  <c r="AA91" i="8"/>
  <c r="AA118" i="8"/>
  <c r="AA149" i="8"/>
  <c r="AA174" i="8"/>
  <c r="AA205" i="8"/>
  <c r="AA235" i="8"/>
  <c r="AA43" i="8"/>
  <c r="AA99" i="8"/>
  <c r="AA141" i="8"/>
  <c r="AA187" i="8"/>
  <c r="AA237" i="8"/>
  <c r="AA270" i="8"/>
  <c r="AA301" i="8"/>
  <c r="AA318" i="8"/>
  <c r="AA332" i="8"/>
  <c r="AA347" i="8"/>
  <c r="AA361" i="8"/>
  <c r="AA321" i="8"/>
  <c r="AA364" i="8"/>
  <c r="AA6" i="8"/>
  <c r="AA45" i="8"/>
  <c r="AA101" i="8"/>
  <c r="AA150" i="8"/>
  <c r="AA195" i="8"/>
  <c r="AA238" i="8"/>
  <c r="AA277" i="8"/>
  <c r="AA306" i="8"/>
  <c r="AA320" i="8"/>
  <c r="AA334" i="8"/>
  <c r="AA349" i="8"/>
  <c r="AA363" i="8"/>
  <c r="AA54" i="8"/>
  <c r="AA109" i="8"/>
  <c r="AA155" i="8"/>
  <c r="AA197" i="8"/>
  <c r="AA243" i="8"/>
  <c r="AA278" i="8"/>
  <c r="AA307" i="8"/>
  <c r="AA336" i="8"/>
  <c r="AA350" i="8"/>
  <c r="AA13" i="8"/>
  <c r="AA93" i="8"/>
  <c r="AA171" i="8"/>
  <c r="AA251" i="8"/>
  <c r="AA293" i="8"/>
  <c r="AA325" i="8"/>
  <c r="AA345" i="8"/>
  <c r="AA14" i="8"/>
  <c r="AA110" i="8"/>
  <c r="AA179" i="8"/>
  <c r="AA254" i="8"/>
  <c r="AA298" i="8"/>
  <c r="AA328" i="8"/>
  <c r="AA352" i="8"/>
  <c r="AA27" i="8"/>
  <c r="AA123" i="8"/>
  <c r="AA182" i="8"/>
  <c r="AA261" i="8"/>
  <c r="AA308" i="8"/>
  <c r="AA329" i="8"/>
  <c r="AA353" i="8"/>
  <c r="AA37" i="8"/>
  <c r="AA126" i="8"/>
  <c r="AA206" i="8"/>
  <c r="AA262" i="8"/>
  <c r="AA309" i="8"/>
  <c r="AA331" i="8"/>
  <c r="AA356" i="8"/>
  <c r="AA67" i="8"/>
  <c r="AA131" i="8"/>
  <c r="AA213" i="8"/>
  <c r="AA269" i="8"/>
  <c r="AA313" i="8"/>
  <c r="AA339" i="8"/>
  <c r="AA357" i="8"/>
  <c r="AA69" i="8"/>
  <c r="AA134" i="8"/>
  <c r="AA214" i="8"/>
  <c r="AA285" i="8"/>
  <c r="AA315" i="8"/>
  <c r="AA340" i="8"/>
  <c r="AA360" i="8"/>
  <c r="AA70" i="8"/>
  <c r="AA157" i="8"/>
  <c r="AA221" i="8"/>
  <c r="AA286" i="8"/>
  <c r="AA317" i="8"/>
  <c r="AA341" i="8"/>
  <c r="AA366" i="8"/>
  <c r="AA85" i="8"/>
  <c r="AA165" i="8"/>
  <c r="AA227" i="8"/>
  <c r="AA291" i="8"/>
  <c r="AA324" i="8"/>
  <c r="AA342" i="8"/>
  <c r="AA3" i="8"/>
  <c r="AA4" i="9"/>
  <c r="AA12" i="9"/>
  <c r="AA20" i="9"/>
  <c r="AA28" i="9"/>
  <c r="AA36" i="9"/>
  <c r="AA44" i="9"/>
  <c r="AA52" i="9"/>
  <c r="AA60" i="9"/>
  <c r="AA68" i="9"/>
  <c r="AA76" i="9"/>
  <c r="AA84" i="9"/>
  <c r="AA92" i="9"/>
  <c r="AA100" i="9"/>
  <c r="AA108" i="9"/>
  <c r="AA116" i="9"/>
  <c r="AA124" i="9"/>
  <c r="AA132" i="9"/>
  <c r="AA140" i="9"/>
  <c r="AA148" i="9"/>
  <c r="AA156" i="9"/>
  <c r="AA164" i="9"/>
  <c r="AA172" i="9"/>
  <c r="AA180" i="9"/>
  <c r="AA188" i="9"/>
  <c r="AA196" i="9"/>
  <c r="AA204" i="9"/>
  <c r="AA212" i="9"/>
  <c r="AA220" i="9"/>
  <c r="AA228" i="9"/>
  <c r="AA236" i="9"/>
  <c r="AA244" i="9"/>
  <c r="AA252" i="9"/>
  <c r="AA260" i="9"/>
  <c r="AA276" i="9"/>
  <c r="AA284" i="9"/>
  <c r="AA292" i="9"/>
  <c r="AA300" i="9"/>
  <c r="AA308" i="9"/>
  <c r="AA316" i="9"/>
  <c r="AA324" i="9"/>
  <c r="AA332" i="9"/>
  <c r="AA340" i="9"/>
  <c r="AA348" i="9"/>
  <c r="AA356" i="9"/>
  <c r="AA364" i="9"/>
  <c r="AA5" i="9"/>
  <c r="AA13" i="9"/>
  <c r="AA21" i="9"/>
  <c r="AA29" i="9"/>
  <c r="AA37" i="9"/>
  <c r="AA45" i="9"/>
  <c r="AA53" i="9"/>
  <c r="AA61" i="9"/>
  <c r="AA69" i="9"/>
  <c r="AA77" i="9"/>
  <c r="AA85" i="9"/>
  <c r="AA93" i="9"/>
  <c r="AA101" i="9"/>
  <c r="AA109" i="9"/>
  <c r="AA117" i="9"/>
  <c r="AA125" i="9"/>
  <c r="AA133" i="9"/>
  <c r="AA141" i="9"/>
  <c r="AA149" i="9"/>
  <c r="AA157" i="9"/>
  <c r="AA165" i="9"/>
  <c r="AA173" i="9"/>
  <c r="AA181" i="9"/>
  <c r="AA189" i="9"/>
  <c r="AA197" i="9"/>
  <c r="AA205" i="9"/>
  <c r="AA213" i="9"/>
  <c r="AA221" i="9"/>
  <c r="AA229" i="9"/>
  <c r="AA237" i="9"/>
  <c r="AA245" i="9"/>
  <c r="AA253" i="9"/>
  <c r="AA261" i="9"/>
  <c r="AA277" i="9"/>
  <c r="AA285" i="9"/>
  <c r="AA293" i="9"/>
  <c r="AA301" i="9"/>
  <c r="AA309" i="9"/>
  <c r="AA317" i="9"/>
  <c r="AA325" i="9"/>
  <c r="AA333" i="9"/>
  <c r="AA341" i="9"/>
  <c r="AA349" i="9"/>
  <c r="AA357" i="9"/>
  <c r="AA365" i="9"/>
  <c r="AA6" i="9"/>
  <c r="AA14" i="9"/>
  <c r="AA22" i="9"/>
  <c r="AA30" i="9"/>
  <c r="AA38" i="9"/>
  <c r="AA46" i="9"/>
  <c r="AA54" i="9"/>
  <c r="AA62" i="9"/>
  <c r="AA70" i="9"/>
  <c r="AA78" i="9"/>
  <c r="AA86" i="9"/>
  <c r="AA94" i="9"/>
  <c r="AA102" i="9"/>
  <c r="AA110" i="9"/>
  <c r="AA118" i="9"/>
  <c r="AA126" i="9"/>
  <c r="AA134" i="9"/>
  <c r="AA142" i="9"/>
  <c r="AA150" i="9"/>
  <c r="AA158" i="9"/>
  <c r="AA166" i="9"/>
  <c r="AA174" i="9"/>
  <c r="AA182" i="9"/>
  <c r="AA190" i="9"/>
  <c r="AA198" i="9"/>
  <c r="AA206" i="9"/>
  <c r="AA214" i="9"/>
  <c r="AA222" i="9"/>
  <c r="AA230" i="9"/>
  <c r="AA238" i="9"/>
  <c r="AA246" i="9"/>
  <c r="AA254" i="9"/>
  <c r="AA262" i="9"/>
  <c r="AA278" i="9"/>
  <c r="AA286" i="9"/>
  <c r="AA294" i="9"/>
  <c r="AA302" i="9"/>
  <c r="AA310" i="9"/>
  <c r="AA318" i="9"/>
  <c r="AA326" i="9"/>
  <c r="AA334" i="9"/>
  <c r="AA342" i="9"/>
  <c r="AA350" i="9"/>
  <c r="AA358" i="9"/>
  <c r="AA366" i="9"/>
  <c r="AA7" i="9"/>
  <c r="AA15" i="9"/>
  <c r="AA23" i="9"/>
  <c r="AA31" i="9"/>
  <c r="AA39" i="9"/>
  <c r="AA47" i="9"/>
  <c r="AA55" i="9"/>
  <c r="AA63" i="9"/>
  <c r="AA71" i="9"/>
  <c r="AA79" i="9"/>
  <c r="AA87" i="9"/>
  <c r="AA95" i="9"/>
  <c r="AA103" i="9"/>
  <c r="AA111" i="9"/>
  <c r="AA119" i="9"/>
  <c r="AA127" i="9"/>
  <c r="AA135" i="9"/>
  <c r="AA143" i="9"/>
  <c r="AA151" i="9"/>
  <c r="AA159" i="9"/>
  <c r="AA167" i="9"/>
  <c r="AA175" i="9"/>
  <c r="AA183" i="9"/>
  <c r="AA191" i="9"/>
  <c r="AA199" i="9"/>
  <c r="AA207" i="9"/>
  <c r="AA215" i="9"/>
  <c r="AA223" i="9"/>
  <c r="AA231" i="9"/>
  <c r="AA239" i="9"/>
  <c r="AA247" i="9"/>
  <c r="AA255" i="9"/>
  <c r="AA263" i="9"/>
  <c r="AA271" i="9"/>
  <c r="AA279" i="9"/>
  <c r="AA287" i="9"/>
  <c r="AA295" i="9"/>
  <c r="AA303" i="9"/>
  <c r="AA311" i="9"/>
  <c r="AA319" i="9"/>
  <c r="AA327" i="9"/>
  <c r="AA335" i="9"/>
  <c r="AA343" i="9"/>
  <c r="AA351" i="9"/>
  <c r="AA359" i="9"/>
  <c r="AA367" i="9"/>
  <c r="AA9" i="9"/>
  <c r="AA17" i="9"/>
  <c r="AA25" i="9"/>
  <c r="AA33" i="9"/>
  <c r="AA41" i="9"/>
  <c r="AA49" i="9"/>
  <c r="AA57" i="9"/>
  <c r="AA65" i="9"/>
  <c r="AA73" i="9"/>
  <c r="AA81" i="9"/>
  <c r="AA89" i="9"/>
  <c r="AA97" i="9"/>
  <c r="AA105" i="9"/>
  <c r="AA113" i="9"/>
  <c r="AA121" i="9"/>
  <c r="AA129" i="9"/>
  <c r="AA137" i="9"/>
  <c r="AA145" i="9"/>
  <c r="AA153" i="9"/>
  <c r="AA161" i="9"/>
  <c r="AA169" i="9"/>
  <c r="AA177" i="9"/>
  <c r="AA185" i="9"/>
  <c r="AA193" i="9"/>
  <c r="AA201" i="9"/>
  <c r="AA209" i="9"/>
  <c r="AA217" i="9"/>
  <c r="AA225" i="9"/>
  <c r="AA233" i="9"/>
  <c r="AA241" i="9"/>
  <c r="AA249" i="9"/>
  <c r="AA257" i="9"/>
  <c r="AA265" i="9"/>
  <c r="AA273" i="9"/>
  <c r="AA281" i="9"/>
  <c r="AA289" i="9"/>
  <c r="AA297" i="9"/>
  <c r="AA305" i="9"/>
  <c r="AA313" i="9"/>
  <c r="AA321" i="9"/>
  <c r="AA329" i="9"/>
  <c r="AA337" i="9"/>
  <c r="AA345" i="9"/>
  <c r="AA353" i="9"/>
  <c r="AA361" i="9"/>
  <c r="AA11" i="9"/>
  <c r="AA34" i="9"/>
  <c r="AA56" i="9"/>
  <c r="AA75" i="9"/>
  <c r="AA98" i="9"/>
  <c r="AA120" i="9"/>
  <c r="AA139" i="9"/>
  <c r="AA162" i="9"/>
  <c r="AA184" i="9"/>
  <c r="AA203" i="9"/>
  <c r="AA226" i="9"/>
  <c r="AA248" i="9"/>
  <c r="AA267" i="9"/>
  <c r="AA290" i="9"/>
  <c r="AA312" i="9"/>
  <c r="AA331" i="9"/>
  <c r="AA354" i="9"/>
  <c r="AA19" i="9"/>
  <c r="AA42" i="9"/>
  <c r="AA64" i="9"/>
  <c r="AA83" i="9"/>
  <c r="AA106" i="9"/>
  <c r="AA128" i="9"/>
  <c r="AA147" i="9"/>
  <c r="AA170" i="9"/>
  <c r="AA192" i="9"/>
  <c r="AA211" i="9"/>
  <c r="AA234" i="9"/>
  <c r="AA256" i="9"/>
  <c r="AA275" i="9"/>
  <c r="AA298" i="9"/>
  <c r="AA320" i="9"/>
  <c r="AA339" i="9"/>
  <c r="AA362" i="9"/>
  <c r="AA16" i="9"/>
  <c r="AA43" i="9"/>
  <c r="AA72" i="9"/>
  <c r="AA99" i="9"/>
  <c r="AA130" i="9"/>
  <c r="AA155" i="9"/>
  <c r="AA186" i="9"/>
  <c r="AA216" i="9"/>
  <c r="AA242" i="9"/>
  <c r="AA272" i="9"/>
  <c r="AA299" i="9"/>
  <c r="AA328" i="9"/>
  <c r="AA355" i="9"/>
  <c r="AA18" i="9"/>
  <c r="AA48" i="9"/>
  <c r="AA74" i="9"/>
  <c r="AA104" i="9"/>
  <c r="AA131" i="9"/>
  <c r="AA160" i="9"/>
  <c r="AA187" i="9"/>
  <c r="AA218" i="9"/>
  <c r="AA243" i="9"/>
  <c r="AA274" i="9"/>
  <c r="AA304" i="9"/>
  <c r="AA330" i="9"/>
  <c r="AA360" i="9"/>
  <c r="AA26" i="9"/>
  <c r="AA51" i="9"/>
  <c r="AA82" i="9"/>
  <c r="AA112" i="9"/>
  <c r="AA138" i="9"/>
  <c r="AA168" i="9"/>
  <c r="AA195" i="9"/>
  <c r="AA224" i="9"/>
  <c r="AA251" i="9"/>
  <c r="AA282" i="9"/>
  <c r="AA307" i="9"/>
  <c r="AA338" i="9"/>
  <c r="AA3" i="9"/>
  <c r="AA27" i="9"/>
  <c r="AA58" i="9"/>
  <c r="AA88" i="9"/>
  <c r="AA114" i="9"/>
  <c r="AA144" i="9"/>
  <c r="AA171" i="9"/>
  <c r="AA200" i="9"/>
  <c r="AA227" i="9"/>
  <c r="AA258" i="9"/>
  <c r="AA283" i="9"/>
  <c r="AA314" i="9"/>
  <c r="AA344" i="9"/>
  <c r="AA8" i="9"/>
  <c r="AA66" i="9"/>
  <c r="AA122" i="9"/>
  <c r="AA178" i="9"/>
  <c r="AA235" i="9"/>
  <c r="AA291" i="9"/>
  <c r="AA347" i="9"/>
  <c r="AA24" i="9"/>
  <c r="AA32" i="9"/>
  <c r="AA90" i="9"/>
  <c r="AA146" i="9"/>
  <c r="AA202" i="9"/>
  <c r="AA259" i="9"/>
  <c r="AA315" i="9"/>
  <c r="AA10" i="9"/>
  <c r="AA67" i="9"/>
  <c r="AA123" i="9"/>
  <c r="AA179" i="9"/>
  <c r="AA240" i="9"/>
  <c r="AA296" i="9"/>
  <c r="AA352" i="9"/>
  <c r="AA80" i="9"/>
  <c r="AA136" i="9"/>
  <c r="AA194" i="9"/>
  <c r="AA250" i="9"/>
  <c r="AA306" i="9"/>
  <c r="AA363" i="9"/>
  <c r="AA35" i="9"/>
  <c r="AA152" i="9"/>
  <c r="AA264" i="9"/>
  <c r="AA40" i="9"/>
  <c r="AA154" i="9"/>
  <c r="AA266" i="9"/>
  <c r="AA208" i="9"/>
  <c r="AA50" i="9"/>
  <c r="AA163" i="9"/>
  <c r="AA280" i="9"/>
  <c r="AA59" i="9"/>
  <c r="AA176" i="9"/>
  <c r="AA288" i="9"/>
  <c r="AA91" i="9"/>
  <c r="AA322" i="9"/>
  <c r="AA96" i="9"/>
  <c r="AA210" i="9"/>
  <c r="AA323" i="9"/>
  <c r="AA107" i="9"/>
  <c r="AA219" i="9"/>
  <c r="AA336" i="9"/>
  <c r="AA115" i="9"/>
  <c r="AA232" i="9"/>
  <c r="AA346" i="9"/>
  <c r="X4" i="9"/>
  <c r="Y4" i="9" s="1"/>
  <c r="X5" i="9"/>
  <c r="Y5" i="9" s="1"/>
  <c r="X6" i="9"/>
  <c r="Y6" i="9" s="1"/>
  <c r="X7" i="9"/>
  <c r="Y7" i="9" s="1"/>
  <c r="X8" i="9"/>
  <c r="Y8" i="9" s="1"/>
  <c r="X9" i="9"/>
  <c r="Y9" i="9" s="1"/>
  <c r="X10" i="9"/>
  <c r="Y10" i="9" s="1"/>
  <c r="X11" i="9"/>
  <c r="Y11" i="9" s="1"/>
  <c r="X12" i="9"/>
  <c r="Y12" i="9" s="1"/>
  <c r="X13" i="9"/>
  <c r="Y13" i="9" s="1"/>
  <c r="X14" i="9"/>
  <c r="Y14" i="9" s="1"/>
  <c r="X15" i="9"/>
  <c r="Y15" i="9" s="1"/>
  <c r="X16" i="9"/>
  <c r="Y16" i="9" s="1"/>
  <c r="X17" i="9"/>
  <c r="Y17" i="9" s="1"/>
  <c r="X18" i="9"/>
  <c r="Y18" i="9" s="1"/>
  <c r="X19" i="9"/>
  <c r="Y19" i="9" s="1"/>
  <c r="X20" i="9"/>
  <c r="Y20" i="9" s="1"/>
  <c r="X21" i="9"/>
  <c r="Y21" i="9" s="1"/>
  <c r="X22" i="9"/>
  <c r="Y22" i="9" s="1"/>
  <c r="X23" i="9"/>
  <c r="Y23" i="9" s="1"/>
  <c r="X24" i="9"/>
  <c r="Y24" i="9" s="1"/>
  <c r="X25" i="9"/>
  <c r="Y25" i="9" s="1"/>
  <c r="X26" i="9"/>
  <c r="Y26" i="9" s="1"/>
  <c r="X27" i="9"/>
  <c r="Y27" i="9" s="1"/>
  <c r="X28" i="9"/>
  <c r="Y28" i="9" s="1"/>
  <c r="X29" i="9"/>
  <c r="Y29" i="9" s="1"/>
  <c r="X30" i="9"/>
  <c r="Y30" i="9" s="1"/>
  <c r="X31" i="9"/>
  <c r="Y31" i="9" s="1"/>
  <c r="X32" i="9"/>
  <c r="Y32" i="9" s="1"/>
  <c r="X33" i="9"/>
  <c r="Y33" i="9" s="1"/>
  <c r="X34" i="9"/>
  <c r="Y34" i="9" s="1"/>
  <c r="X35" i="9"/>
  <c r="Y35" i="9" s="1"/>
  <c r="X36" i="9"/>
  <c r="Y36" i="9" s="1"/>
  <c r="X37" i="9"/>
  <c r="Y37" i="9" s="1"/>
  <c r="X38" i="9"/>
  <c r="Y38" i="9" s="1"/>
  <c r="X39" i="9"/>
  <c r="Y39" i="9" s="1"/>
  <c r="X40" i="9"/>
  <c r="Y40" i="9" s="1"/>
  <c r="X41" i="9"/>
  <c r="Y41" i="9" s="1"/>
  <c r="X42" i="9"/>
  <c r="Y42" i="9" s="1"/>
  <c r="X43" i="9"/>
  <c r="Y43" i="9" s="1"/>
  <c r="X44" i="9"/>
  <c r="Y44" i="9" s="1"/>
  <c r="X45" i="9"/>
  <c r="Y45" i="9" s="1"/>
  <c r="X46" i="9"/>
  <c r="Y46" i="9" s="1"/>
  <c r="X47" i="9"/>
  <c r="Y47" i="9" s="1"/>
  <c r="X48" i="9"/>
  <c r="Y48" i="9" s="1"/>
  <c r="X49" i="9"/>
  <c r="Y49" i="9" s="1"/>
  <c r="X50" i="9"/>
  <c r="Y50" i="9" s="1"/>
  <c r="X51" i="9"/>
  <c r="Y51" i="9" s="1"/>
  <c r="X52" i="9"/>
  <c r="Y52" i="9" s="1"/>
  <c r="X53" i="9"/>
  <c r="Y53" i="9" s="1"/>
  <c r="X54" i="9"/>
  <c r="Y54" i="9" s="1"/>
  <c r="X55" i="9"/>
  <c r="Y55" i="9" s="1"/>
  <c r="X56" i="9"/>
  <c r="Y56" i="9" s="1"/>
  <c r="X57" i="9"/>
  <c r="Y57" i="9" s="1"/>
  <c r="X58" i="9"/>
  <c r="Y58" i="9" s="1"/>
  <c r="X59" i="9"/>
  <c r="Y59" i="9" s="1"/>
  <c r="X60" i="9"/>
  <c r="Y60" i="9" s="1"/>
  <c r="X61" i="9"/>
  <c r="Y61" i="9" s="1"/>
  <c r="X62" i="9"/>
  <c r="Y62" i="9" s="1"/>
  <c r="X63" i="9"/>
  <c r="Y63" i="9" s="1"/>
  <c r="X64" i="9"/>
  <c r="Y64" i="9" s="1"/>
  <c r="X65" i="9"/>
  <c r="Y65" i="9" s="1"/>
  <c r="X66" i="9"/>
  <c r="Y66" i="9" s="1"/>
  <c r="X67" i="9"/>
  <c r="Y67" i="9" s="1"/>
  <c r="X68" i="9"/>
  <c r="Y68" i="9" s="1"/>
  <c r="X69" i="9"/>
  <c r="Y69" i="9" s="1"/>
  <c r="X70" i="9"/>
  <c r="Y70" i="9" s="1"/>
  <c r="X71" i="9"/>
  <c r="Y71" i="9" s="1"/>
  <c r="X72" i="9"/>
  <c r="Y72" i="9" s="1"/>
  <c r="X73" i="9"/>
  <c r="Y73" i="9" s="1"/>
  <c r="X74" i="9"/>
  <c r="Y74" i="9" s="1"/>
  <c r="X75" i="9"/>
  <c r="Y75" i="9" s="1"/>
  <c r="X76" i="9"/>
  <c r="Y76" i="9" s="1"/>
  <c r="X77" i="9"/>
  <c r="Y77" i="9" s="1"/>
  <c r="X78" i="9"/>
  <c r="Y78" i="9" s="1"/>
  <c r="X79" i="9"/>
  <c r="Y79" i="9" s="1"/>
  <c r="X80" i="9"/>
  <c r="Y80" i="9" s="1"/>
  <c r="X81" i="9"/>
  <c r="Y81" i="9" s="1"/>
  <c r="X82" i="9"/>
  <c r="Y82" i="9" s="1"/>
  <c r="X83" i="9"/>
  <c r="Y83" i="9" s="1"/>
  <c r="X84" i="9"/>
  <c r="Y84" i="9" s="1"/>
  <c r="X85" i="9"/>
  <c r="Y85" i="9" s="1"/>
  <c r="X86" i="9"/>
  <c r="Y86" i="9" s="1"/>
  <c r="X87" i="9"/>
  <c r="Y87" i="9" s="1"/>
  <c r="X88" i="9"/>
  <c r="Y88" i="9" s="1"/>
  <c r="X89" i="9"/>
  <c r="Y89" i="9" s="1"/>
  <c r="X90" i="9"/>
  <c r="Y90" i="9" s="1"/>
  <c r="X91" i="9"/>
  <c r="Y91" i="9" s="1"/>
  <c r="X92" i="9"/>
  <c r="Y92" i="9" s="1"/>
  <c r="X93" i="9"/>
  <c r="Y93" i="9" s="1"/>
  <c r="X94" i="9"/>
  <c r="Y94" i="9" s="1"/>
  <c r="X95" i="9"/>
  <c r="Y95" i="9" s="1"/>
  <c r="X96" i="9"/>
  <c r="Y96" i="9" s="1"/>
  <c r="X97" i="9"/>
  <c r="Y97" i="9" s="1"/>
  <c r="X98" i="9"/>
  <c r="Y98" i="9" s="1"/>
  <c r="X99" i="9"/>
  <c r="Y99" i="9" s="1"/>
  <c r="X100" i="9"/>
  <c r="Y100" i="9" s="1"/>
  <c r="X101" i="9"/>
  <c r="Y101" i="9" s="1"/>
  <c r="X102" i="9"/>
  <c r="Y102" i="9" s="1"/>
  <c r="X103" i="9"/>
  <c r="Y103" i="9" s="1"/>
  <c r="X104" i="9"/>
  <c r="Y104" i="9" s="1"/>
  <c r="X105" i="9"/>
  <c r="Y105" i="9" s="1"/>
  <c r="X106" i="9"/>
  <c r="Y106" i="9" s="1"/>
  <c r="X107" i="9"/>
  <c r="Y107" i="9" s="1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X115" i="9"/>
  <c r="Y115" i="9" s="1"/>
  <c r="X116" i="9"/>
  <c r="Y116" i="9" s="1"/>
  <c r="X117" i="9"/>
  <c r="Y117" i="9" s="1"/>
  <c r="X118" i="9"/>
  <c r="Y118" i="9" s="1"/>
  <c r="X119" i="9"/>
  <c r="Y119" i="9" s="1"/>
  <c r="X120" i="9"/>
  <c r="Y120" i="9" s="1"/>
  <c r="X121" i="9"/>
  <c r="Y121" i="9" s="1"/>
  <c r="X122" i="9"/>
  <c r="Y122" i="9" s="1"/>
  <c r="X123" i="9"/>
  <c r="Y123" i="9" s="1"/>
  <c r="X124" i="9"/>
  <c r="Y124" i="9" s="1"/>
  <c r="X125" i="9"/>
  <c r="Y125" i="9" s="1"/>
  <c r="X126" i="9"/>
  <c r="Y126" i="9" s="1"/>
  <c r="X127" i="9"/>
  <c r="Y127" i="9" s="1"/>
  <c r="X128" i="9"/>
  <c r="Y128" i="9" s="1"/>
  <c r="X129" i="9"/>
  <c r="Y129" i="9" s="1"/>
  <c r="X130" i="9"/>
  <c r="Y130" i="9" s="1"/>
  <c r="X131" i="9"/>
  <c r="Y131" i="9" s="1"/>
  <c r="X132" i="9"/>
  <c r="Y132" i="9" s="1"/>
  <c r="X133" i="9"/>
  <c r="Y133" i="9" s="1"/>
  <c r="X134" i="9"/>
  <c r="Y134" i="9" s="1"/>
  <c r="X135" i="9"/>
  <c r="Y135" i="9" s="1"/>
  <c r="X136" i="9"/>
  <c r="Y136" i="9" s="1"/>
  <c r="X137" i="9"/>
  <c r="Y137" i="9" s="1"/>
  <c r="X138" i="9"/>
  <c r="Y138" i="9" s="1"/>
  <c r="X139" i="9"/>
  <c r="Y139" i="9" s="1"/>
  <c r="X140" i="9"/>
  <c r="Y140" i="9" s="1"/>
  <c r="X141" i="9"/>
  <c r="Y141" i="9" s="1"/>
  <c r="X142" i="9"/>
  <c r="Y142" i="9" s="1"/>
  <c r="X143" i="9"/>
  <c r="Y143" i="9" s="1"/>
  <c r="X144" i="9"/>
  <c r="Y144" i="9" s="1"/>
  <c r="X145" i="9"/>
  <c r="Y145" i="9" s="1"/>
  <c r="X146" i="9"/>
  <c r="Y146" i="9" s="1"/>
  <c r="X147" i="9"/>
  <c r="Y147" i="9" s="1"/>
  <c r="X148" i="9"/>
  <c r="Y148" i="9" s="1"/>
  <c r="X149" i="9"/>
  <c r="Y149" i="9" s="1"/>
  <c r="X150" i="9"/>
  <c r="Y150" i="9" s="1"/>
  <c r="X151" i="9"/>
  <c r="Y151" i="9" s="1"/>
  <c r="X152" i="9"/>
  <c r="Y152" i="9" s="1"/>
  <c r="X153" i="9"/>
  <c r="Y153" i="9" s="1"/>
  <c r="X154" i="9"/>
  <c r="Y154" i="9" s="1"/>
  <c r="X155" i="9"/>
  <c r="Y155" i="9" s="1"/>
  <c r="X156" i="9"/>
  <c r="Y156" i="9" s="1"/>
  <c r="X157" i="9"/>
  <c r="Y157" i="9" s="1"/>
  <c r="X158" i="9"/>
  <c r="Y158" i="9" s="1"/>
  <c r="X159" i="9"/>
  <c r="Y159" i="9" s="1"/>
  <c r="X160" i="9"/>
  <c r="Y160" i="9" s="1"/>
  <c r="X161" i="9"/>
  <c r="Y161" i="9" s="1"/>
  <c r="X162" i="9"/>
  <c r="Y162" i="9" s="1"/>
  <c r="X163" i="9"/>
  <c r="Y163" i="9" s="1"/>
  <c r="X164" i="9"/>
  <c r="Y164" i="9" s="1"/>
  <c r="X165" i="9"/>
  <c r="Y165" i="9" s="1"/>
  <c r="X166" i="9"/>
  <c r="Y166" i="9" s="1"/>
  <c r="X167" i="9"/>
  <c r="Y167" i="9" s="1"/>
  <c r="X168" i="9"/>
  <c r="Y168" i="9" s="1"/>
  <c r="X169" i="9"/>
  <c r="Y169" i="9" s="1"/>
  <c r="X170" i="9"/>
  <c r="Y170" i="9" s="1"/>
  <c r="X171" i="9"/>
  <c r="Y171" i="9" s="1"/>
  <c r="X172" i="9"/>
  <c r="Y172" i="9" s="1"/>
  <c r="X173" i="9"/>
  <c r="Y173" i="9" s="1"/>
  <c r="X174" i="9"/>
  <c r="Y174" i="9" s="1"/>
  <c r="X175" i="9"/>
  <c r="Y175" i="9" s="1"/>
  <c r="X176" i="9"/>
  <c r="Y176" i="9" s="1"/>
  <c r="X177" i="9"/>
  <c r="Y177" i="9" s="1"/>
  <c r="X178" i="9"/>
  <c r="Y178" i="9" s="1"/>
  <c r="X179" i="9"/>
  <c r="Y179" i="9" s="1"/>
  <c r="X180" i="9"/>
  <c r="Y180" i="9" s="1"/>
  <c r="X181" i="9"/>
  <c r="Y181" i="9" s="1"/>
  <c r="X182" i="9"/>
  <c r="Y182" i="9" s="1"/>
  <c r="X183" i="9"/>
  <c r="Y183" i="9" s="1"/>
  <c r="X184" i="9"/>
  <c r="Y184" i="9" s="1"/>
  <c r="X185" i="9"/>
  <c r="Y185" i="9" s="1"/>
  <c r="X186" i="9"/>
  <c r="Y186" i="9" s="1"/>
  <c r="X187" i="9"/>
  <c r="Y187" i="9" s="1"/>
  <c r="X188" i="9"/>
  <c r="Y188" i="9" s="1"/>
  <c r="X189" i="9"/>
  <c r="Y189" i="9" s="1"/>
  <c r="X190" i="9"/>
  <c r="Y190" i="9" s="1"/>
  <c r="X191" i="9"/>
  <c r="Y191" i="9" s="1"/>
  <c r="X192" i="9"/>
  <c r="Y192" i="9" s="1"/>
  <c r="X193" i="9"/>
  <c r="Y193" i="9" s="1"/>
  <c r="X194" i="9"/>
  <c r="Y194" i="9" s="1"/>
  <c r="X195" i="9"/>
  <c r="Y195" i="9" s="1"/>
  <c r="X196" i="9"/>
  <c r="Y196" i="9" s="1"/>
  <c r="X197" i="9"/>
  <c r="Y197" i="9" s="1"/>
  <c r="X198" i="9"/>
  <c r="Y198" i="9" s="1"/>
  <c r="X199" i="9"/>
  <c r="Y199" i="9" s="1"/>
  <c r="X200" i="9"/>
  <c r="Y200" i="9" s="1"/>
  <c r="X201" i="9"/>
  <c r="Y201" i="9" s="1"/>
  <c r="X202" i="9"/>
  <c r="Y202" i="9" s="1"/>
  <c r="X203" i="9"/>
  <c r="Y203" i="9" s="1"/>
  <c r="X204" i="9"/>
  <c r="Y204" i="9" s="1"/>
  <c r="X205" i="9"/>
  <c r="Y205" i="9" s="1"/>
  <c r="X206" i="9"/>
  <c r="Y206" i="9" s="1"/>
  <c r="X207" i="9"/>
  <c r="Y207" i="9" s="1"/>
  <c r="X208" i="9"/>
  <c r="Y208" i="9" s="1"/>
  <c r="X209" i="9"/>
  <c r="Y209" i="9" s="1"/>
  <c r="X210" i="9"/>
  <c r="Y210" i="9" s="1"/>
  <c r="X211" i="9"/>
  <c r="Y211" i="9" s="1"/>
  <c r="X212" i="9"/>
  <c r="Y212" i="9" s="1"/>
  <c r="X213" i="9"/>
  <c r="Y213" i="9" s="1"/>
  <c r="X214" i="9"/>
  <c r="Y214" i="9" s="1"/>
  <c r="X336" i="9"/>
  <c r="Y336" i="9" s="1"/>
  <c r="X337" i="9"/>
  <c r="Y337" i="9" s="1"/>
  <c r="X338" i="9"/>
  <c r="Y338" i="9" s="1"/>
  <c r="X339" i="9"/>
  <c r="Y339" i="9" s="1"/>
  <c r="X340" i="9"/>
  <c r="Y340" i="9" s="1"/>
  <c r="X341" i="9"/>
  <c r="Y341" i="9" s="1"/>
  <c r="X342" i="9"/>
  <c r="Y342" i="9" s="1"/>
  <c r="X343" i="9"/>
  <c r="Y343" i="9" s="1"/>
  <c r="X344" i="9"/>
  <c r="Y344" i="9" s="1"/>
  <c r="X345" i="9"/>
  <c r="Y345" i="9" s="1"/>
  <c r="X346" i="9"/>
  <c r="Y346" i="9" s="1"/>
  <c r="X347" i="9"/>
  <c r="Y347" i="9" s="1"/>
  <c r="X348" i="9"/>
  <c r="Y348" i="9" s="1"/>
  <c r="X349" i="9"/>
  <c r="Y349" i="9" s="1"/>
  <c r="X350" i="9"/>
  <c r="Y350" i="9" s="1"/>
  <c r="X351" i="9"/>
  <c r="Y351" i="9" s="1"/>
  <c r="X352" i="9"/>
  <c r="Y352" i="9" s="1"/>
  <c r="X353" i="9"/>
  <c r="Y353" i="9" s="1"/>
  <c r="X354" i="9"/>
  <c r="Y354" i="9" s="1"/>
  <c r="X355" i="9"/>
  <c r="Y355" i="9" s="1"/>
  <c r="X356" i="9"/>
  <c r="Y356" i="9" s="1"/>
  <c r="X357" i="9"/>
  <c r="Y357" i="9" s="1"/>
  <c r="X358" i="9"/>
  <c r="Y358" i="9" s="1"/>
  <c r="X359" i="9"/>
  <c r="Y359" i="9" s="1"/>
  <c r="X360" i="9"/>
  <c r="Y360" i="9" s="1"/>
  <c r="X361" i="9"/>
  <c r="Y361" i="9" s="1"/>
  <c r="X362" i="9"/>
  <c r="Y362" i="9" s="1"/>
  <c r="X363" i="9"/>
  <c r="Y363" i="9" s="1"/>
  <c r="X364" i="9"/>
  <c r="Y364" i="9" s="1"/>
  <c r="X365" i="9"/>
  <c r="Y365" i="9" s="1"/>
  <c r="X366" i="9"/>
  <c r="Y366" i="9" s="1"/>
  <c r="X367" i="9"/>
  <c r="Y367" i="9" s="1"/>
  <c r="X3" i="9"/>
  <c r="Y3" i="9" s="1"/>
  <c r="AS4" i="9"/>
  <c r="AS5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" i="9"/>
  <c r="F54" i="7"/>
  <c r="F53" i="7"/>
  <c r="F50" i="7"/>
  <c r="F49" i="7"/>
  <c r="F44" i="7"/>
  <c r="F43" i="7"/>
  <c r="F39" i="7"/>
  <c r="X4" i="8"/>
  <c r="Y4" i="8" s="1"/>
  <c r="X5" i="8"/>
  <c r="Y5" i="8" s="1"/>
  <c r="X6" i="8"/>
  <c r="Y6" i="8" s="1"/>
  <c r="X7" i="8"/>
  <c r="Y7" i="8" s="1"/>
  <c r="X8" i="8"/>
  <c r="Y8" i="8" s="1"/>
  <c r="X9" i="8"/>
  <c r="Y9" i="8" s="1"/>
  <c r="X10" i="8"/>
  <c r="Y10" i="8" s="1"/>
  <c r="X11" i="8"/>
  <c r="Y11" i="8" s="1"/>
  <c r="X12" i="8"/>
  <c r="Y12" i="8" s="1"/>
  <c r="X13" i="8"/>
  <c r="Y13" i="8" s="1"/>
  <c r="X14" i="8"/>
  <c r="Y14" i="8" s="1"/>
  <c r="X15" i="8"/>
  <c r="Y15" i="8" s="1"/>
  <c r="X16" i="8"/>
  <c r="Y16" i="8" s="1"/>
  <c r="X17" i="8"/>
  <c r="Y17" i="8" s="1"/>
  <c r="X18" i="8"/>
  <c r="Y18" i="8" s="1"/>
  <c r="X19" i="8"/>
  <c r="Y19" i="8" s="1"/>
  <c r="X20" i="8"/>
  <c r="Y20" i="8" s="1"/>
  <c r="X21" i="8"/>
  <c r="Y21" i="8" s="1"/>
  <c r="X22" i="8"/>
  <c r="Y22" i="8" s="1"/>
  <c r="X23" i="8"/>
  <c r="Y23" i="8" s="1"/>
  <c r="X24" i="8"/>
  <c r="Y24" i="8" s="1"/>
  <c r="X25" i="8"/>
  <c r="Y25" i="8" s="1"/>
  <c r="X26" i="8"/>
  <c r="Y26" i="8" s="1"/>
  <c r="X27" i="8"/>
  <c r="Y27" i="8" s="1"/>
  <c r="X28" i="8"/>
  <c r="Y28" i="8" s="1"/>
  <c r="X29" i="8"/>
  <c r="Y29" i="8" s="1"/>
  <c r="X30" i="8"/>
  <c r="Y30" i="8" s="1"/>
  <c r="X31" i="8"/>
  <c r="Y31" i="8" s="1"/>
  <c r="X32" i="8"/>
  <c r="Y32" i="8" s="1"/>
  <c r="X33" i="8"/>
  <c r="Y33" i="8" s="1"/>
  <c r="X34" i="8"/>
  <c r="Y34" i="8" s="1"/>
  <c r="X35" i="8"/>
  <c r="Y35" i="8" s="1"/>
  <c r="X36" i="8"/>
  <c r="Y36" i="8" s="1"/>
  <c r="X37" i="8"/>
  <c r="Y37" i="8" s="1"/>
  <c r="X38" i="8"/>
  <c r="Y38" i="8" s="1"/>
  <c r="X39" i="8"/>
  <c r="Y39" i="8" s="1"/>
  <c r="X40" i="8"/>
  <c r="Y40" i="8" s="1"/>
  <c r="X41" i="8"/>
  <c r="Y41" i="8" s="1"/>
  <c r="X42" i="8"/>
  <c r="Y42" i="8" s="1"/>
  <c r="X43" i="8"/>
  <c r="Y43" i="8" s="1"/>
  <c r="X44" i="8"/>
  <c r="Y44" i="8" s="1"/>
  <c r="X45" i="8"/>
  <c r="Y45" i="8" s="1"/>
  <c r="X46" i="8"/>
  <c r="Y46" i="8" s="1"/>
  <c r="X47" i="8"/>
  <c r="Y47" i="8" s="1"/>
  <c r="X48" i="8"/>
  <c r="Y48" i="8" s="1"/>
  <c r="X49" i="8"/>
  <c r="Y49" i="8" s="1"/>
  <c r="X50" i="8"/>
  <c r="Y50" i="8" s="1"/>
  <c r="X51" i="8"/>
  <c r="Y51" i="8" s="1"/>
  <c r="X52" i="8"/>
  <c r="Y52" i="8" s="1"/>
  <c r="X53" i="8"/>
  <c r="Y53" i="8" s="1"/>
  <c r="X54" i="8"/>
  <c r="Y54" i="8" s="1"/>
  <c r="X55" i="8"/>
  <c r="Y55" i="8" s="1"/>
  <c r="X56" i="8"/>
  <c r="Y56" i="8" s="1"/>
  <c r="X57" i="8"/>
  <c r="Y57" i="8" s="1"/>
  <c r="X58" i="8"/>
  <c r="Y58" i="8" s="1"/>
  <c r="X59" i="8"/>
  <c r="Y59" i="8" s="1"/>
  <c r="X60" i="8"/>
  <c r="Y60" i="8" s="1"/>
  <c r="X61" i="8"/>
  <c r="Y61" i="8" s="1"/>
  <c r="X62" i="8"/>
  <c r="Y62" i="8" s="1"/>
  <c r="X63" i="8"/>
  <c r="Y63" i="8" s="1"/>
  <c r="X64" i="8"/>
  <c r="Y64" i="8" s="1"/>
  <c r="X65" i="8"/>
  <c r="Y65" i="8" s="1"/>
  <c r="X66" i="8"/>
  <c r="Y66" i="8" s="1"/>
  <c r="X67" i="8"/>
  <c r="Y67" i="8" s="1"/>
  <c r="X68" i="8"/>
  <c r="Y68" i="8" s="1"/>
  <c r="X69" i="8"/>
  <c r="Y69" i="8" s="1"/>
  <c r="X70" i="8"/>
  <c r="Y70" i="8" s="1"/>
  <c r="X71" i="8"/>
  <c r="Y71" i="8" s="1"/>
  <c r="X72" i="8"/>
  <c r="Y72" i="8" s="1"/>
  <c r="X73" i="8"/>
  <c r="Y73" i="8" s="1"/>
  <c r="X74" i="8"/>
  <c r="Y74" i="8" s="1"/>
  <c r="X75" i="8"/>
  <c r="Y75" i="8" s="1"/>
  <c r="X76" i="8"/>
  <c r="Y76" i="8" s="1"/>
  <c r="X77" i="8"/>
  <c r="Y77" i="8" s="1"/>
  <c r="X78" i="8"/>
  <c r="Y78" i="8" s="1"/>
  <c r="X79" i="8"/>
  <c r="Y79" i="8" s="1"/>
  <c r="X80" i="8"/>
  <c r="Y80" i="8" s="1"/>
  <c r="X81" i="8"/>
  <c r="Y81" i="8" s="1"/>
  <c r="X82" i="8"/>
  <c r="Y82" i="8" s="1"/>
  <c r="X83" i="8"/>
  <c r="Y83" i="8" s="1"/>
  <c r="X84" i="8"/>
  <c r="Y84" i="8" s="1"/>
  <c r="X85" i="8"/>
  <c r="Y85" i="8" s="1"/>
  <c r="X86" i="8"/>
  <c r="Y86" i="8" s="1"/>
  <c r="X87" i="8"/>
  <c r="Y87" i="8" s="1"/>
  <c r="X88" i="8"/>
  <c r="Y88" i="8" s="1"/>
  <c r="X89" i="8"/>
  <c r="Y89" i="8" s="1"/>
  <c r="X90" i="8"/>
  <c r="Y90" i="8" s="1"/>
  <c r="X91" i="8"/>
  <c r="Y91" i="8" s="1"/>
  <c r="X92" i="8"/>
  <c r="Y92" i="8" s="1"/>
  <c r="X93" i="8"/>
  <c r="Y93" i="8" s="1"/>
  <c r="X94" i="8"/>
  <c r="Y94" i="8" s="1"/>
  <c r="X95" i="8"/>
  <c r="Y95" i="8" s="1"/>
  <c r="X96" i="8"/>
  <c r="Y96" i="8" s="1"/>
  <c r="X97" i="8"/>
  <c r="Y97" i="8" s="1"/>
  <c r="X98" i="8"/>
  <c r="Y98" i="8" s="1"/>
  <c r="X99" i="8"/>
  <c r="Y99" i="8" s="1"/>
  <c r="X100" i="8"/>
  <c r="Y100" i="8" s="1"/>
  <c r="X101" i="8"/>
  <c r="Y101" i="8" s="1"/>
  <c r="X102" i="8"/>
  <c r="Y102" i="8" s="1"/>
  <c r="X103" i="8"/>
  <c r="Y103" i="8" s="1"/>
  <c r="X104" i="8"/>
  <c r="Y104" i="8" s="1"/>
  <c r="X105" i="8"/>
  <c r="Y105" i="8" s="1"/>
  <c r="X106" i="8"/>
  <c r="Y106" i="8" s="1"/>
  <c r="X107" i="8"/>
  <c r="Y107" i="8" s="1"/>
  <c r="X108" i="8"/>
  <c r="Y108" i="8" s="1"/>
  <c r="X109" i="8"/>
  <c r="Y109" i="8" s="1"/>
  <c r="X110" i="8"/>
  <c r="Y110" i="8" s="1"/>
  <c r="X111" i="8"/>
  <c r="Y111" i="8" s="1"/>
  <c r="X112" i="8"/>
  <c r="Y112" i="8" s="1"/>
  <c r="X113" i="8"/>
  <c r="Y113" i="8" s="1"/>
  <c r="X114" i="8"/>
  <c r="Y114" i="8" s="1"/>
  <c r="X115" i="8"/>
  <c r="Y115" i="8" s="1"/>
  <c r="X116" i="8"/>
  <c r="Y116" i="8" s="1"/>
  <c r="X117" i="8"/>
  <c r="Y117" i="8" s="1"/>
  <c r="X118" i="8"/>
  <c r="Y118" i="8" s="1"/>
  <c r="X119" i="8"/>
  <c r="Y119" i="8" s="1"/>
  <c r="X120" i="8"/>
  <c r="Y120" i="8" s="1"/>
  <c r="X121" i="8"/>
  <c r="Y121" i="8" s="1"/>
  <c r="X122" i="8"/>
  <c r="Y122" i="8" s="1"/>
  <c r="X123" i="8"/>
  <c r="Y123" i="8" s="1"/>
  <c r="X124" i="8"/>
  <c r="Y124" i="8" s="1"/>
  <c r="X125" i="8"/>
  <c r="Y125" i="8" s="1"/>
  <c r="X126" i="8"/>
  <c r="Y126" i="8" s="1"/>
  <c r="X127" i="8"/>
  <c r="Y127" i="8" s="1"/>
  <c r="X128" i="8"/>
  <c r="Y128" i="8" s="1"/>
  <c r="X129" i="8"/>
  <c r="Y129" i="8" s="1"/>
  <c r="X130" i="8"/>
  <c r="Y130" i="8" s="1"/>
  <c r="X131" i="8"/>
  <c r="Y131" i="8" s="1"/>
  <c r="X132" i="8"/>
  <c r="Y132" i="8" s="1"/>
  <c r="X133" i="8"/>
  <c r="Y133" i="8" s="1"/>
  <c r="X134" i="8"/>
  <c r="Y134" i="8" s="1"/>
  <c r="X135" i="8"/>
  <c r="Y135" i="8" s="1"/>
  <c r="X136" i="8"/>
  <c r="Y136" i="8" s="1"/>
  <c r="X137" i="8"/>
  <c r="Y137" i="8" s="1"/>
  <c r="X138" i="8"/>
  <c r="Y138" i="8" s="1"/>
  <c r="X139" i="8"/>
  <c r="Y139" i="8" s="1"/>
  <c r="X140" i="8"/>
  <c r="Y140" i="8" s="1"/>
  <c r="X141" i="8"/>
  <c r="Y141" i="8" s="1"/>
  <c r="X142" i="8"/>
  <c r="Y142" i="8" s="1"/>
  <c r="X143" i="8"/>
  <c r="Y143" i="8" s="1"/>
  <c r="X144" i="8"/>
  <c r="Y144" i="8" s="1"/>
  <c r="X145" i="8"/>
  <c r="Y145" i="8" s="1"/>
  <c r="X146" i="8"/>
  <c r="Y146" i="8" s="1"/>
  <c r="X147" i="8"/>
  <c r="Y147" i="8" s="1"/>
  <c r="X148" i="8"/>
  <c r="Y148" i="8" s="1"/>
  <c r="X149" i="8"/>
  <c r="Y149" i="8" s="1"/>
  <c r="X150" i="8"/>
  <c r="Y150" i="8" s="1"/>
  <c r="X151" i="8"/>
  <c r="Y151" i="8" s="1"/>
  <c r="X152" i="8"/>
  <c r="Y152" i="8" s="1"/>
  <c r="X153" i="8"/>
  <c r="Y153" i="8" s="1"/>
  <c r="X154" i="8"/>
  <c r="Y154" i="8" s="1"/>
  <c r="X155" i="8"/>
  <c r="Y155" i="8" s="1"/>
  <c r="X156" i="8"/>
  <c r="Y156" i="8" s="1"/>
  <c r="X157" i="8"/>
  <c r="Y157" i="8" s="1"/>
  <c r="X158" i="8"/>
  <c r="Y158" i="8" s="1"/>
  <c r="X159" i="8"/>
  <c r="Y159" i="8" s="1"/>
  <c r="X160" i="8"/>
  <c r="Y160" i="8" s="1"/>
  <c r="X161" i="8"/>
  <c r="Y161" i="8" s="1"/>
  <c r="X162" i="8"/>
  <c r="Y162" i="8" s="1"/>
  <c r="X163" i="8"/>
  <c r="Y163" i="8" s="1"/>
  <c r="X164" i="8"/>
  <c r="Y164" i="8" s="1"/>
  <c r="X165" i="8"/>
  <c r="Y165" i="8" s="1"/>
  <c r="X166" i="8"/>
  <c r="Y166" i="8" s="1"/>
  <c r="X167" i="8"/>
  <c r="Y167" i="8" s="1"/>
  <c r="X168" i="8"/>
  <c r="Y168" i="8" s="1"/>
  <c r="X169" i="8"/>
  <c r="Y169" i="8" s="1"/>
  <c r="X170" i="8"/>
  <c r="Y170" i="8" s="1"/>
  <c r="X171" i="8"/>
  <c r="Y171" i="8" s="1"/>
  <c r="X172" i="8"/>
  <c r="Y172" i="8" s="1"/>
  <c r="X173" i="8"/>
  <c r="Y173" i="8" s="1"/>
  <c r="X174" i="8"/>
  <c r="Y174" i="8" s="1"/>
  <c r="X175" i="8"/>
  <c r="Y175" i="8" s="1"/>
  <c r="X176" i="8"/>
  <c r="Y176" i="8" s="1"/>
  <c r="X177" i="8"/>
  <c r="Y177" i="8" s="1"/>
  <c r="X178" i="8"/>
  <c r="Y178" i="8" s="1"/>
  <c r="X179" i="8"/>
  <c r="Y179" i="8" s="1"/>
  <c r="X180" i="8"/>
  <c r="Y180" i="8" s="1"/>
  <c r="X181" i="8"/>
  <c r="Y181" i="8" s="1"/>
  <c r="X182" i="8"/>
  <c r="Y182" i="8" s="1"/>
  <c r="X183" i="8"/>
  <c r="Y183" i="8" s="1"/>
  <c r="X184" i="8"/>
  <c r="Y184" i="8" s="1"/>
  <c r="X185" i="8"/>
  <c r="Y185" i="8" s="1"/>
  <c r="X186" i="8"/>
  <c r="Y186" i="8" s="1"/>
  <c r="X187" i="8"/>
  <c r="Y187" i="8" s="1"/>
  <c r="X188" i="8"/>
  <c r="Y188" i="8" s="1"/>
  <c r="X189" i="8"/>
  <c r="Y189" i="8" s="1"/>
  <c r="X190" i="8"/>
  <c r="Y190" i="8" s="1"/>
  <c r="X191" i="8"/>
  <c r="Y191" i="8" s="1"/>
  <c r="X192" i="8"/>
  <c r="Y192" i="8" s="1"/>
  <c r="X193" i="8"/>
  <c r="Y193" i="8" s="1"/>
  <c r="X194" i="8"/>
  <c r="Y194" i="8" s="1"/>
  <c r="X195" i="8"/>
  <c r="Y195" i="8" s="1"/>
  <c r="X196" i="8"/>
  <c r="Y196" i="8" s="1"/>
  <c r="X197" i="8"/>
  <c r="Y197" i="8" s="1"/>
  <c r="X198" i="8"/>
  <c r="Y198" i="8" s="1"/>
  <c r="X199" i="8"/>
  <c r="Y199" i="8" s="1"/>
  <c r="X200" i="8"/>
  <c r="Y200" i="8" s="1"/>
  <c r="X201" i="8"/>
  <c r="Y201" i="8" s="1"/>
  <c r="X202" i="8"/>
  <c r="Y202" i="8" s="1"/>
  <c r="X203" i="8"/>
  <c r="Y203" i="8" s="1"/>
  <c r="X204" i="8"/>
  <c r="Y204" i="8" s="1"/>
  <c r="X205" i="8"/>
  <c r="Y205" i="8" s="1"/>
  <c r="X206" i="8"/>
  <c r="Y206" i="8" s="1"/>
  <c r="X207" i="8"/>
  <c r="Y207" i="8" s="1"/>
  <c r="X208" i="8"/>
  <c r="Y208" i="8" s="1"/>
  <c r="X209" i="8"/>
  <c r="Y209" i="8" s="1"/>
  <c r="X210" i="8"/>
  <c r="Y210" i="8" s="1"/>
  <c r="X211" i="8"/>
  <c r="Y211" i="8" s="1"/>
  <c r="X212" i="8"/>
  <c r="Y212" i="8" s="1"/>
  <c r="X213" i="8"/>
  <c r="Y213" i="8" s="1"/>
  <c r="X214" i="8"/>
  <c r="Y214" i="8" s="1"/>
  <c r="X215" i="8"/>
  <c r="Y215" i="8" s="1"/>
  <c r="X216" i="8"/>
  <c r="Y216" i="8" s="1"/>
  <c r="X336" i="8"/>
  <c r="Y336" i="8" s="1"/>
  <c r="X337" i="8"/>
  <c r="Y337" i="8" s="1"/>
  <c r="X338" i="8"/>
  <c r="Y338" i="8" s="1"/>
  <c r="X339" i="8"/>
  <c r="Y339" i="8" s="1"/>
  <c r="X340" i="8"/>
  <c r="Y340" i="8" s="1"/>
  <c r="X341" i="8"/>
  <c r="Y341" i="8" s="1"/>
  <c r="X342" i="8"/>
  <c r="Y342" i="8" s="1"/>
  <c r="X343" i="8"/>
  <c r="Y343" i="8" s="1"/>
  <c r="X344" i="8"/>
  <c r="Y344" i="8" s="1"/>
  <c r="X345" i="8"/>
  <c r="Y345" i="8" s="1"/>
  <c r="X346" i="8"/>
  <c r="Y346" i="8" s="1"/>
  <c r="X347" i="8"/>
  <c r="Y347" i="8" s="1"/>
  <c r="X348" i="8"/>
  <c r="Y348" i="8" s="1"/>
  <c r="X349" i="8"/>
  <c r="Y349" i="8" s="1"/>
  <c r="X350" i="8"/>
  <c r="Y350" i="8" s="1"/>
  <c r="X351" i="8"/>
  <c r="Y351" i="8" s="1"/>
  <c r="X352" i="8"/>
  <c r="Y352" i="8" s="1"/>
  <c r="X353" i="8"/>
  <c r="Y353" i="8" s="1"/>
  <c r="X354" i="8"/>
  <c r="Y354" i="8" s="1"/>
  <c r="X355" i="8"/>
  <c r="Y355" i="8" s="1"/>
  <c r="X356" i="8"/>
  <c r="Y356" i="8" s="1"/>
  <c r="X357" i="8"/>
  <c r="Y357" i="8" s="1"/>
  <c r="X358" i="8"/>
  <c r="Y358" i="8" s="1"/>
  <c r="X359" i="8"/>
  <c r="Y359" i="8" s="1"/>
  <c r="X360" i="8"/>
  <c r="Y360" i="8" s="1"/>
  <c r="X361" i="8"/>
  <c r="Y361" i="8" s="1"/>
  <c r="X362" i="8"/>
  <c r="Y362" i="8" s="1"/>
  <c r="X363" i="8"/>
  <c r="Y363" i="8" s="1"/>
  <c r="X364" i="8"/>
  <c r="Y364" i="8" s="1"/>
  <c r="X365" i="8"/>
  <c r="Y365" i="8" s="1"/>
  <c r="X366" i="8"/>
  <c r="Y366" i="8" s="1"/>
  <c r="X367" i="8"/>
  <c r="Y367" i="8" s="1"/>
  <c r="X3" i="8"/>
  <c r="Y3" i="8" s="1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AS143" i="8"/>
  <c r="AS144" i="8"/>
  <c r="AS145" i="8"/>
  <c r="AS146" i="8"/>
  <c r="AS147" i="8"/>
  <c r="AS148" i="8"/>
  <c r="AS149" i="8"/>
  <c r="AS150" i="8"/>
  <c r="AS151" i="8"/>
  <c r="AS152" i="8"/>
  <c r="AS153" i="8"/>
  <c r="AS154" i="8"/>
  <c r="AS155" i="8"/>
  <c r="AS156" i="8"/>
  <c r="AS157" i="8"/>
  <c r="AS158" i="8"/>
  <c r="AS159" i="8"/>
  <c r="AS160" i="8"/>
  <c r="AS161" i="8"/>
  <c r="AS162" i="8"/>
  <c r="AS163" i="8"/>
  <c r="AS164" i="8"/>
  <c r="AS165" i="8"/>
  <c r="AS166" i="8"/>
  <c r="AS167" i="8"/>
  <c r="AS168" i="8"/>
  <c r="AS169" i="8"/>
  <c r="AS170" i="8"/>
  <c r="AS171" i="8"/>
  <c r="AS172" i="8"/>
  <c r="AS173" i="8"/>
  <c r="AS174" i="8"/>
  <c r="AS175" i="8"/>
  <c r="AS176" i="8"/>
  <c r="AS177" i="8"/>
  <c r="AS178" i="8"/>
  <c r="AS179" i="8"/>
  <c r="AS180" i="8"/>
  <c r="AS181" i="8"/>
  <c r="AS182" i="8"/>
  <c r="AS183" i="8"/>
  <c r="AS184" i="8"/>
  <c r="AS185" i="8"/>
  <c r="AS186" i="8"/>
  <c r="AS187" i="8"/>
  <c r="AS188" i="8"/>
  <c r="AS189" i="8"/>
  <c r="AS190" i="8"/>
  <c r="AS191" i="8"/>
  <c r="AS192" i="8"/>
  <c r="AS193" i="8"/>
  <c r="AS194" i="8"/>
  <c r="AS195" i="8"/>
  <c r="AS196" i="8"/>
  <c r="AS197" i="8"/>
  <c r="AS198" i="8"/>
  <c r="AS199" i="8"/>
  <c r="AS200" i="8"/>
  <c r="AS201" i="8"/>
  <c r="AS202" i="8"/>
  <c r="AS203" i="8"/>
  <c r="AS204" i="8"/>
  <c r="AS205" i="8"/>
  <c r="AS206" i="8"/>
  <c r="AS207" i="8"/>
  <c r="AS208" i="8"/>
  <c r="AS209" i="8"/>
  <c r="AS210" i="8"/>
  <c r="AS211" i="8"/>
  <c r="AS212" i="8"/>
  <c r="AS213" i="8"/>
  <c r="AS214" i="8"/>
  <c r="AS215" i="8"/>
  <c r="AS216" i="8"/>
  <c r="AS217" i="8"/>
  <c r="AS218" i="8"/>
  <c r="AS219" i="8"/>
  <c r="AS220" i="8"/>
  <c r="AS221" i="8"/>
  <c r="AS222" i="8"/>
  <c r="AS223" i="8"/>
  <c r="AS224" i="8"/>
  <c r="AS225" i="8"/>
  <c r="AS226" i="8"/>
  <c r="AS227" i="8"/>
  <c r="AS228" i="8"/>
  <c r="AS229" i="8"/>
  <c r="AS230" i="8"/>
  <c r="AS231" i="8"/>
  <c r="AS232" i="8"/>
  <c r="AS233" i="8"/>
  <c r="AS234" i="8"/>
  <c r="AS235" i="8"/>
  <c r="AS236" i="8"/>
  <c r="AS237" i="8"/>
  <c r="AS238" i="8"/>
  <c r="AS239" i="8"/>
  <c r="AS240" i="8"/>
  <c r="AS241" i="8"/>
  <c r="AS242" i="8"/>
  <c r="AS243" i="8"/>
  <c r="AS244" i="8"/>
  <c r="AS245" i="8"/>
  <c r="AS246" i="8"/>
  <c r="AS247" i="8"/>
  <c r="AS248" i="8"/>
  <c r="AS249" i="8"/>
  <c r="AS250" i="8"/>
  <c r="AS251" i="8"/>
  <c r="AS252" i="8"/>
  <c r="AS253" i="8"/>
  <c r="AS254" i="8"/>
  <c r="AS255" i="8"/>
  <c r="AS256" i="8"/>
  <c r="AS257" i="8"/>
  <c r="AS258" i="8"/>
  <c r="AS259" i="8"/>
  <c r="AS260" i="8"/>
  <c r="AS261" i="8"/>
  <c r="AS262" i="8"/>
  <c r="AS263" i="8"/>
  <c r="AS264" i="8"/>
  <c r="AS265" i="8"/>
  <c r="AS266" i="8"/>
  <c r="AS267" i="8"/>
  <c r="AS268" i="8"/>
  <c r="AS269" i="8"/>
  <c r="AS270" i="8"/>
  <c r="AS271" i="8"/>
  <c r="AS272" i="8"/>
  <c r="AS273" i="8"/>
  <c r="AS274" i="8"/>
  <c r="AS275" i="8"/>
  <c r="AS276" i="8"/>
  <c r="AS277" i="8"/>
  <c r="AS278" i="8"/>
  <c r="AS279" i="8"/>
  <c r="AS280" i="8"/>
  <c r="AS281" i="8"/>
  <c r="AS282" i="8"/>
  <c r="AS283" i="8"/>
  <c r="AS284" i="8"/>
  <c r="AS285" i="8"/>
  <c r="AS286" i="8"/>
  <c r="AS287" i="8"/>
  <c r="AS288" i="8"/>
  <c r="AS289" i="8"/>
  <c r="AS290" i="8"/>
  <c r="AS291" i="8"/>
  <c r="AS292" i="8"/>
  <c r="AS293" i="8"/>
  <c r="AS294" i="8"/>
  <c r="AS295" i="8"/>
  <c r="AS296" i="8"/>
  <c r="AS297" i="8"/>
  <c r="AS298" i="8"/>
  <c r="AS299" i="8"/>
  <c r="AS300" i="8"/>
  <c r="AS301" i="8"/>
  <c r="AS302" i="8"/>
  <c r="AS303" i="8"/>
  <c r="AS304" i="8"/>
  <c r="AS305" i="8"/>
  <c r="AS306" i="8"/>
  <c r="AS307" i="8"/>
  <c r="AS308" i="8"/>
  <c r="AS309" i="8"/>
  <c r="AS310" i="8"/>
  <c r="AS311" i="8"/>
  <c r="AS312" i="8"/>
  <c r="AS313" i="8"/>
  <c r="AS314" i="8"/>
  <c r="AS315" i="8"/>
  <c r="AS316" i="8"/>
  <c r="AS317" i="8"/>
  <c r="AS318" i="8"/>
  <c r="AS319" i="8"/>
  <c r="AS320" i="8"/>
  <c r="AS321" i="8"/>
  <c r="AS322" i="8"/>
  <c r="AS323" i="8"/>
  <c r="AS324" i="8"/>
  <c r="AS325" i="8"/>
  <c r="AS326" i="8"/>
  <c r="AS327" i="8"/>
  <c r="AS328" i="8"/>
  <c r="AS329" i="8"/>
  <c r="AS330" i="8"/>
  <c r="AS331" i="8"/>
  <c r="AS332" i="8"/>
  <c r="AS333" i="8"/>
  <c r="AS334" i="8"/>
  <c r="AS335" i="8"/>
  <c r="AS336" i="8"/>
  <c r="AS337" i="8"/>
  <c r="AS338" i="8"/>
  <c r="AS339" i="8"/>
  <c r="AS340" i="8"/>
  <c r="AS341" i="8"/>
  <c r="AS342" i="8"/>
  <c r="AS343" i="8"/>
  <c r="AS344" i="8"/>
  <c r="AS345" i="8"/>
  <c r="AS346" i="8"/>
  <c r="AS347" i="8"/>
  <c r="AS348" i="8"/>
  <c r="AS349" i="8"/>
  <c r="AS350" i="8"/>
  <c r="AS351" i="8"/>
  <c r="AS352" i="8"/>
  <c r="AS353" i="8"/>
  <c r="AS354" i="8"/>
  <c r="AS355" i="8"/>
  <c r="AS356" i="8"/>
  <c r="AS357" i="8"/>
  <c r="AS358" i="8"/>
  <c r="AS359" i="8"/>
  <c r="AS360" i="8"/>
  <c r="AS361" i="8"/>
  <c r="AS362" i="8"/>
  <c r="AS363" i="8"/>
  <c r="AS364" i="8"/>
  <c r="AS365" i="8"/>
  <c r="AS366" i="8"/>
  <c r="AS367" i="8"/>
  <c r="AS3" i="8"/>
  <c r="E66" i="7"/>
  <c r="D66" i="7"/>
  <c r="C97" i="7" l="1"/>
  <c r="E97" i="7"/>
  <c r="F97" i="7"/>
  <c r="G97" i="7"/>
  <c r="H97" i="7"/>
  <c r="D97" i="7"/>
  <c r="C66" i="7"/>
  <c r="X3" i="3"/>
  <c r="Y3" i="3" s="1"/>
  <c r="F33" i="7"/>
  <c r="D225" i="8" l="1"/>
  <c r="D286" i="8"/>
  <c r="D289" i="8"/>
  <c r="D306" i="8"/>
  <c r="D51" i="8"/>
  <c r="D147" i="8"/>
  <c r="D159" i="8"/>
  <c r="D43" i="9"/>
  <c r="D219" i="9"/>
  <c r="D358" i="9"/>
  <c r="D49" i="8"/>
  <c r="D100" i="9"/>
  <c r="D173" i="8"/>
  <c r="D66" i="8"/>
  <c r="D29" i="9"/>
  <c r="D261" i="8"/>
  <c r="D197" i="8"/>
  <c r="D184" i="9"/>
  <c r="D98" i="8"/>
  <c r="D154" i="8"/>
  <c r="D116" i="9"/>
  <c r="D233" i="9"/>
  <c r="D234" i="9"/>
  <c r="D237" i="9"/>
  <c r="D254" i="9"/>
  <c r="D263" i="9"/>
  <c r="D275" i="9"/>
  <c r="D353" i="9"/>
  <c r="D102" i="8"/>
  <c r="D349" i="8"/>
  <c r="D70" i="9"/>
  <c r="D214" i="9"/>
  <c r="D38" i="9"/>
  <c r="D46" i="9"/>
  <c r="D300" i="9"/>
  <c r="D319" i="9"/>
  <c r="D220" i="8"/>
  <c r="D294" i="8"/>
  <c r="D166" i="8"/>
  <c r="D124" i="9"/>
  <c r="D59" i="8"/>
  <c r="D70" i="8"/>
  <c r="D78" i="8"/>
  <c r="D228" i="8"/>
  <c r="D232" i="8"/>
  <c r="D240" i="8"/>
  <c r="D296" i="8"/>
  <c r="D132" i="9"/>
  <c r="D135" i="9"/>
  <c r="D190" i="8"/>
  <c r="D217" i="9"/>
  <c r="D53" i="8"/>
  <c r="D277" i="9"/>
  <c r="D285" i="8"/>
  <c r="D153" i="9"/>
  <c r="D169" i="9"/>
  <c r="D25" i="9"/>
  <c r="D158" i="9"/>
  <c r="D143" i="8"/>
  <c r="D140" i="8"/>
  <c r="D272" i="9"/>
  <c r="D276" i="9"/>
  <c r="D86" i="8"/>
  <c r="D132" i="8"/>
  <c r="D345" i="8"/>
  <c r="D94" i="9"/>
  <c r="D103" i="9"/>
  <c r="D284" i="9"/>
  <c r="D288" i="9"/>
  <c r="D296" i="9"/>
  <c r="D357" i="9"/>
  <c r="D316" i="8"/>
  <c r="D318" i="8"/>
  <c r="D322" i="8"/>
  <c r="D328" i="8"/>
  <c r="D330" i="8"/>
  <c r="D115" i="9"/>
  <c r="D314" i="9"/>
  <c r="D339" i="9"/>
  <c r="D350" i="9"/>
  <c r="D61" i="8"/>
  <c r="D69" i="8"/>
  <c r="D167" i="8"/>
  <c r="D205" i="8"/>
  <c r="D42" i="9"/>
  <c r="D50" i="9"/>
  <c r="D66" i="9"/>
  <c r="D96" i="9"/>
  <c r="D131" i="9"/>
  <c r="D181" i="9"/>
  <c r="D255" i="9"/>
  <c r="D259" i="9"/>
  <c r="D320" i="9"/>
  <c r="D74" i="9"/>
  <c r="D167" i="9"/>
  <c r="D267" i="9"/>
  <c r="D344" i="9"/>
  <c r="D361" i="9"/>
  <c r="D90" i="8"/>
  <c r="D295" i="8"/>
  <c r="D364" i="8"/>
  <c r="D21" i="9"/>
  <c r="D79" i="9"/>
  <c r="D208" i="9"/>
  <c r="D280" i="8"/>
  <c r="D357" i="8"/>
  <c r="D365" i="8"/>
  <c r="D81" i="9"/>
  <c r="D7" i="8"/>
  <c r="D67" i="8"/>
  <c r="D135" i="8"/>
  <c r="D248" i="8"/>
  <c r="D252" i="8"/>
  <c r="D293" i="8"/>
  <c r="D5" i="9"/>
  <c r="D37" i="9"/>
  <c r="D142" i="9"/>
  <c r="D166" i="9"/>
  <c r="D262" i="9"/>
  <c r="D332" i="9"/>
  <c r="D365" i="9"/>
  <c r="D276" i="8"/>
  <c r="D123" i="9"/>
  <c r="D145" i="9"/>
  <c r="D223" i="9"/>
  <c r="D226" i="9"/>
  <c r="D271" i="9"/>
  <c r="D303" i="9"/>
  <c r="D15" i="8"/>
  <c r="D83" i="8"/>
  <c r="D118" i="8"/>
  <c r="D126" i="8"/>
  <c r="D169" i="8"/>
  <c r="D201" i="8"/>
  <c r="D209" i="8"/>
  <c r="D305" i="8"/>
  <c r="D338" i="8"/>
  <c r="D89" i="9"/>
  <c r="D97" i="9"/>
  <c r="D243" i="9"/>
  <c r="D74" i="8"/>
  <c r="D94" i="8"/>
  <c r="D122" i="8"/>
  <c r="D134" i="8"/>
  <c r="D145" i="8"/>
  <c r="D151" i="8"/>
  <c r="D221" i="8"/>
  <c r="D310" i="8"/>
  <c r="D314" i="8"/>
  <c r="D317" i="8"/>
  <c r="D12" i="9"/>
  <c r="D150" i="9"/>
  <c r="D85" i="8"/>
  <c r="D106" i="8"/>
  <c r="D119" i="8"/>
  <c r="D127" i="8"/>
  <c r="D213" i="8"/>
  <c r="D241" i="8"/>
  <c r="D249" i="8"/>
  <c r="D253" i="8"/>
  <c r="D51" i="9"/>
  <c r="D65" i="9"/>
  <c r="D91" i="9"/>
  <c r="D159" i="9"/>
  <c r="D173" i="9"/>
  <c r="D292" i="9"/>
  <c r="D329" i="9"/>
  <c r="D333" i="9"/>
  <c r="D340" i="9"/>
  <c r="D82" i="8"/>
  <c r="D133" i="8"/>
  <c r="D269" i="8"/>
  <c r="D273" i="8"/>
  <c r="D362" i="8"/>
  <c r="D82" i="9"/>
  <c r="D220" i="9"/>
  <c r="D45" i="8"/>
  <c r="D62" i="8"/>
  <c r="D110" i="8"/>
  <c r="D121" i="8"/>
  <c r="D302" i="8"/>
  <c r="D73" i="9"/>
  <c r="D143" i="9"/>
  <c r="D175" i="9"/>
  <c r="D207" i="9"/>
  <c r="D240" i="9"/>
  <c r="D14" i="8"/>
  <c r="D6" i="8"/>
  <c r="D22" i="8"/>
  <c r="D23" i="8"/>
  <c r="D8" i="8"/>
  <c r="D16" i="8"/>
  <c r="D44" i="8"/>
  <c r="D52" i="8"/>
  <c r="D103" i="8"/>
  <c r="D114" i="8"/>
  <c r="D224" i="8"/>
  <c r="D111" i="8"/>
  <c r="D161" i="8"/>
  <c r="D163" i="8"/>
  <c r="D198" i="8"/>
  <c r="D54" i="8"/>
  <c r="D60" i="8"/>
  <c r="D152" i="8"/>
  <c r="D230" i="8"/>
  <c r="D239" i="8"/>
  <c r="D107" i="9"/>
  <c r="D108" i="9"/>
  <c r="D183" i="8"/>
  <c r="D243" i="8"/>
  <c r="D24" i="8"/>
  <c r="D33" i="8"/>
  <c r="D75" i="8"/>
  <c r="D153" i="8"/>
  <c r="D155" i="8"/>
  <c r="D158" i="8"/>
  <c r="D182" i="8"/>
  <c r="D206" i="8"/>
  <c r="D214" i="8"/>
  <c r="D257" i="8"/>
  <c r="D258" i="8"/>
  <c r="D283" i="8"/>
  <c r="D282" i="8"/>
  <c r="D9" i="9"/>
  <c r="D41" i="8"/>
  <c r="D77" i="8"/>
  <c r="D144" i="8"/>
  <c r="D146" i="8"/>
  <c r="D237" i="8"/>
  <c r="D95" i="8"/>
  <c r="D148" i="8"/>
  <c r="D171" i="8"/>
  <c r="D174" i="8"/>
  <c r="D175" i="8"/>
  <c r="D250" i="8"/>
  <c r="D17" i="9"/>
  <c r="D55" i="9"/>
  <c r="D61" i="9"/>
  <c r="D28" i="8"/>
  <c r="D29" i="8"/>
  <c r="D36" i="8"/>
  <c r="D37" i="8"/>
  <c r="D191" i="8"/>
  <c r="D262" i="8"/>
  <c r="D265" i="8"/>
  <c r="D281" i="8"/>
  <c r="D56" i="9"/>
  <c r="D88" i="9"/>
  <c r="D141" i="9"/>
  <c r="D244" i="9"/>
  <c r="D323" i="9"/>
  <c r="D300" i="8"/>
  <c r="D309" i="8"/>
  <c r="D325" i="8"/>
  <c r="D27" i="9"/>
  <c r="D28" i="9"/>
  <c r="D263" i="8"/>
  <c r="D267" i="8"/>
  <c r="D315" i="8"/>
  <c r="D340" i="8"/>
  <c r="D33" i="9"/>
  <c r="D80" i="9"/>
  <c r="D323" i="8"/>
  <c r="D341" i="8"/>
  <c r="D256" i="9"/>
  <c r="D20" i="9"/>
  <c r="D99" i="9"/>
  <c r="D112" i="9"/>
  <c r="D152" i="9"/>
  <c r="D174" i="9"/>
  <c r="D191" i="9"/>
  <c r="D270" i="8"/>
  <c r="D271" i="8"/>
  <c r="D13" i="9"/>
  <c r="D349" i="9"/>
  <c r="D348" i="9"/>
  <c r="D35" i="9"/>
  <c r="D36" i="9"/>
  <c r="D71" i="9"/>
  <c r="D72" i="9"/>
  <c r="D151" i="9"/>
  <c r="D227" i="9"/>
  <c r="D251" i="9"/>
  <c r="D264" i="9"/>
  <c r="D280" i="9"/>
  <c r="D146" i="9"/>
  <c r="D168" i="9"/>
  <c r="D199" i="9"/>
  <c r="D210" i="9"/>
  <c r="D144" i="9"/>
  <c r="D161" i="9"/>
  <c r="D238" i="9"/>
  <c r="D311" i="9"/>
  <c r="D160" i="9"/>
  <c r="D177" i="9"/>
  <c r="D178" i="9"/>
  <c r="D213" i="9"/>
  <c r="D229" i="9"/>
  <c r="D236" i="9"/>
  <c r="D253" i="9"/>
  <c r="D285" i="9"/>
  <c r="D343" i="9"/>
  <c r="D366" i="9"/>
  <c r="D120" i="9"/>
  <c r="D128" i="9"/>
  <c r="D138" i="9"/>
  <c r="D165" i="9"/>
  <c r="D170" i="9"/>
  <c r="D306" i="9"/>
  <c r="D221" i="9"/>
  <c r="D235" i="9"/>
  <c r="D257" i="9"/>
  <c r="D328" i="9"/>
  <c r="D4" i="9"/>
  <c r="D7" i="9"/>
  <c r="D11" i="9"/>
  <c r="D18" i="9"/>
  <c r="D10" i="9"/>
  <c r="D8" i="9"/>
  <c r="D15" i="9"/>
  <c r="D16" i="9"/>
  <c r="D19" i="9"/>
  <c r="D6" i="9"/>
  <c r="D14" i="9"/>
  <c r="D22" i="9"/>
  <c r="D30" i="9"/>
  <c r="D45" i="9"/>
  <c r="D53" i="9"/>
  <c r="D63" i="9"/>
  <c r="D110" i="9"/>
  <c r="D111" i="9"/>
  <c r="D62" i="9"/>
  <c r="D85" i="9"/>
  <c r="D93" i="9"/>
  <c r="D92" i="9"/>
  <c r="D95" i="9"/>
  <c r="D102" i="9"/>
  <c r="D24" i="9"/>
  <c r="D32" i="9"/>
  <c r="D44" i="9"/>
  <c r="D52" i="9"/>
  <c r="D60" i="9"/>
  <c r="D77" i="9"/>
  <c r="D76" i="9"/>
  <c r="D41" i="9"/>
  <c r="D58" i="9"/>
  <c r="D64" i="9"/>
  <c r="D75" i="9"/>
  <c r="D87" i="9"/>
  <c r="D118" i="9"/>
  <c r="D119" i="9"/>
  <c r="D26" i="9"/>
  <c r="D34" i="9"/>
  <c r="D40" i="9"/>
  <c r="D49" i="9"/>
  <c r="D54" i="9"/>
  <c r="D57" i="9"/>
  <c r="D86" i="9"/>
  <c r="D105" i="9"/>
  <c r="D129" i="9"/>
  <c r="D23" i="9"/>
  <c r="D31" i="9"/>
  <c r="D39" i="9"/>
  <c r="D48" i="9"/>
  <c r="D78" i="9"/>
  <c r="D84" i="9"/>
  <c r="D47" i="9"/>
  <c r="D59" i="9"/>
  <c r="D83" i="9"/>
  <c r="D113" i="9"/>
  <c r="D126" i="9"/>
  <c r="D127" i="9"/>
  <c r="D67" i="9"/>
  <c r="D121" i="9"/>
  <c r="D69" i="9"/>
  <c r="D68" i="9"/>
  <c r="D104" i="9"/>
  <c r="D106" i="9"/>
  <c r="D134" i="9"/>
  <c r="D90" i="9"/>
  <c r="D98" i="9"/>
  <c r="D109" i="9"/>
  <c r="D117" i="9"/>
  <c r="D125" i="9"/>
  <c r="D133" i="9"/>
  <c r="D101" i="9"/>
  <c r="D136" i="9"/>
  <c r="D137" i="9"/>
  <c r="D139" i="9"/>
  <c r="D114" i="9"/>
  <c r="D122" i="9"/>
  <c r="D130" i="9"/>
  <c r="D194" i="9"/>
  <c r="D193" i="9"/>
  <c r="D202" i="9"/>
  <c r="D147" i="9"/>
  <c r="D148" i="9"/>
  <c r="D149" i="9"/>
  <c r="D154" i="9"/>
  <c r="D180" i="9"/>
  <c r="D182" i="9"/>
  <c r="D201" i="9"/>
  <c r="D140" i="9"/>
  <c r="D155" i="9"/>
  <c r="D156" i="9"/>
  <c r="D157" i="9"/>
  <c r="D162" i="9"/>
  <c r="D171" i="9"/>
  <c r="D172" i="9"/>
  <c r="D179" i="9"/>
  <c r="D185" i="9"/>
  <c r="D186" i="9"/>
  <c r="D163" i="9"/>
  <c r="D164" i="9"/>
  <c r="D203" i="9"/>
  <c r="D204" i="9"/>
  <c r="D216" i="9"/>
  <c r="D187" i="9"/>
  <c r="D188" i="9"/>
  <c r="D176" i="9"/>
  <c r="D209" i="9"/>
  <c r="D195" i="9"/>
  <c r="D196" i="9"/>
  <c r="D192" i="9"/>
  <c r="D200" i="9"/>
  <c r="D230" i="9"/>
  <c r="D242" i="9"/>
  <c r="D212" i="9"/>
  <c r="D211" i="9"/>
  <c r="D183" i="9"/>
  <c r="D189" i="9"/>
  <c r="D190" i="9"/>
  <c r="D197" i="9"/>
  <c r="D198" i="9"/>
  <c r="D205" i="9"/>
  <c r="D206" i="9"/>
  <c r="D231" i="9"/>
  <c r="D249" i="9"/>
  <c r="D218" i="9"/>
  <c r="D222" i="9"/>
  <c r="D224" i="9"/>
  <c r="D225" i="9"/>
  <c r="D232" i="9"/>
  <c r="D241" i="9"/>
  <c r="D245" i="9"/>
  <c r="D252" i="9"/>
  <c r="D228" i="9"/>
  <c r="D248" i="9"/>
  <c r="D261" i="9"/>
  <c r="D260" i="9"/>
  <c r="D239" i="9"/>
  <c r="D247" i="9"/>
  <c r="D246" i="9"/>
  <c r="D258" i="9"/>
  <c r="D265" i="9"/>
  <c r="D289" i="9"/>
  <c r="D290" i="9"/>
  <c r="D297" i="9"/>
  <c r="D250" i="9"/>
  <c r="D266" i="9"/>
  <c r="D273" i="9"/>
  <c r="D279" i="9"/>
  <c r="D274" i="9"/>
  <c r="D281" i="9"/>
  <c r="D282" i="9"/>
  <c r="D283" i="9"/>
  <c r="D286" i="9"/>
  <c r="D302" i="9"/>
  <c r="D307" i="9"/>
  <c r="D308" i="9"/>
  <c r="D309" i="9"/>
  <c r="D310" i="9"/>
  <c r="D291" i="9"/>
  <c r="D293" i="9"/>
  <c r="D294" i="9"/>
  <c r="D295" i="9"/>
  <c r="D301" i="9"/>
  <c r="D326" i="9"/>
  <c r="D345" i="9"/>
  <c r="D287" i="9"/>
  <c r="D298" i="9"/>
  <c r="D299" i="9"/>
  <c r="D315" i="9"/>
  <c r="D317" i="9"/>
  <c r="D318" i="9"/>
  <c r="D325" i="9"/>
  <c r="D278" i="9"/>
  <c r="D330" i="9"/>
  <c r="D331" i="9"/>
  <c r="D313" i="9"/>
  <c r="D334" i="9"/>
  <c r="D321" i="9"/>
  <c r="D363" i="9"/>
  <c r="D304" i="9"/>
  <c r="D316" i="9"/>
  <c r="D312" i="9"/>
  <c r="D336" i="9"/>
  <c r="D337" i="9"/>
  <c r="D305" i="9"/>
  <c r="D324" i="9"/>
  <c r="D322" i="9"/>
  <c r="D342" i="9"/>
  <c r="D341" i="9"/>
  <c r="D355" i="9"/>
  <c r="D364" i="9"/>
  <c r="D347" i="9"/>
  <c r="D338" i="9"/>
  <c r="D356" i="9"/>
  <c r="D362" i="9"/>
  <c r="D327" i="9"/>
  <c r="D335" i="9"/>
  <c r="D346" i="9"/>
  <c r="D354" i="9"/>
  <c r="D352" i="9"/>
  <c r="D360" i="9"/>
  <c r="D351" i="9"/>
  <c r="D359" i="9"/>
  <c r="D367" i="9"/>
  <c r="D4" i="8"/>
  <c r="D5" i="8"/>
  <c r="D20" i="8"/>
  <c r="D21" i="8"/>
  <c r="D100" i="8"/>
  <c r="D12" i="8"/>
  <c r="D13" i="8"/>
  <c r="D48" i="8"/>
  <c r="D39" i="8"/>
  <c r="D47" i="8"/>
  <c r="D88" i="8"/>
  <c r="D31" i="8"/>
  <c r="D64" i="8"/>
  <c r="D25" i="8"/>
  <c r="D27" i="8"/>
  <c r="D35" i="8"/>
  <c r="D43" i="8"/>
  <c r="D92" i="8"/>
  <c r="D108" i="8"/>
  <c r="D10" i="8"/>
  <c r="D11" i="8"/>
  <c r="D18" i="8"/>
  <c r="D19" i="8"/>
  <c r="D56" i="8"/>
  <c r="D71" i="8"/>
  <c r="D116" i="8"/>
  <c r="D9" i="8"/>
  <c r="D17" i="8"/>
  <c r="D26" i="8"/>
  <c r="D30" i="8"/>
  <c r="D32" i="8"/>
  <c r="D34" i="8"/>
  <c r="D38" i="8"/>
  <c r="D40" i="8"/>
  <c r="D42" i="8"/>
  <c r="D46" i="8"/>
  <c r="D72" i="8"/>
  <c r="D79" i="8"/>
  <c r="D57" i="8"/>
  <c r="D50" i="8"/>
  <c r="D80" i="8"/>
  <c r="D87" i="8"/>
  <c r="D141" i="8"/>
  <c r="D142" i="8"/>
  <c r="D188" i="8"/>
  <c r="D189" i="8"/>
  <c r="D96" i="8"/>
  <c r="D104" i="8"/>
  <c r="D112" i="8"/>
  <c r="D149" i="8"/>
  <c r="D150" i="8"/>
  <c r="D58" i="8"/>
  <c r="D179" i="8"/>
  <c r="D55" i="8"/>
  <c r="D63" i="8"/>
  <c r="D65" i="8"/>
  <c r="D93" i="8"/>
  <c r="D101" i="8"/>
  <c r="D109" i="8"/>
  <c r="D117" i="8"/>
  <c r="D123" i="8"/>
  <c r="D138" i="8"/>
  <c r="D137" i="8"/>
  <c r="D68" i="8"/>
  <c r="D76" i="8"/>
  <c r="D84" i="8"/>
  <c r="D91" i="8"/>
  <c r="D97" i="8"/>
  <c r="D99" i="8"/>
  <c r="D105" i="8"/>
  <c r="D107" i="8"/>
  <c r="D113" i="8"/>
  <c r="D115" i="8"/>
  <c r="D124" i="8"/>
  <c r="D125" i="8"/>
  <c r="D130" i="8"/>
  <c r="D129" i="8"/>
  <c r="D73" i="8"/>
  <c r="D81" i="8"/>
  <c r="D89" i="8"/>
  <c r="D211" i="8"/>
  <c r="D131" i="8"/>
  <c r="D139" i="8"/>
  <c r="D156" i="8"/>
  <c r="D162" i="8"/>
  <c r="D164" i="8"/>
  <c r="D170" i="8"/>
  <c r="D172" i="8"/>
  <c r="D120" i="8"/>
  <c r="D128" i="8"/>
  <c r="D136" i="8"/>
  <c r="D160" i="8"/>
  <c r="D168" i="8"/>
  <c r="D177" i="8"/>
  <c r="D176" i="8"/>
  <c r="D195" i="8"/>
  <c r="D203" i="8"/>
  <c r="D157" i="8"/>
  <c r="D165" i="8"/>
  <c r="D178" i="8"/>
  <c r="D180" i="8"/>
  <c r="D181" i="8"/>
  <c r="D184" i="8"/>
  <c r="D185" i="8"/>
  <c r="D192" i="8"/>
  <c r="D193" i="8"/>
  <c r="D199" i="8"/>
  <c r="D207" i="8"/>
  <c r="D215" i="8"/>
  <c r="D222" i="8"/>
  <c r="D216" i="8"/>
  <c r="D186" i="8"/>
  <c r="D187" i="8"/>
  <c r="D194" i="8"/>
  <c r="D196" i="8"/>
  <c r="D204" i="8"/>
  <c r="D212" i="8"/>
  <c r="D218" i="8"/>
  <c r="D200" i="8"/>
  <c r="D202" i="8"/>
  <c r="D208" i="8"/>
  <c r="D210" i="8"/>
  <c r="D226" i="8"/>
  <c r="D235" i="8"/>
  <c r="D246" i="8"/>
  <c r="D274" i="8"/>
  <c r="D231" i="8"/>
  <c r="D233" i="8"/>
  <c r="D244" i="8"/>
  <c r="D255" i="8"/>
  <c r="D256" i="8"/>
  <c r="D290" i="8"/>
  <c r="D291" i="8"/>
  <c r="D217" i="8"/>
  <c r="D242" i="8"/>
  <c r="D219" i="8"/>
  <c r="D227" i="8"/>
  <c r="D229" i="8"/>
  <c r="D238" i="8"/>
  <c r="D247" i="8"/>
  <c r="D223" i="8"/>
  <c r="D236" i="8"/>
  <c r="D234" i="8"/>
  <c r="D245" i="8"/>
  <c r="D254" i="8"/>
  <c r="D259" i="8"/>
  <c r="D260" i="8"/>
  <c r="D272" i="8"/>
  <c r="D277" i="8"/>
  <c r="D278" i="8"/>
  <c r="D279" i="8"/>
  <c r="D268" i="8"/>
  <c r="D264" i="8"/>
  <c r="D266" i="8"/>
  <c r="D251" i="8"/>
  <c r="D275" i="8"/>
  <c r="D307" i="8"/>
  <c r="D284" i="8"/>
  <c r="D298" i="8"/>
  <c r="D299" i="8"/>
  <c r="D312" i="8"/>
  <c r="D313" i="8"/>
  <c r="D288" i="8"/>
  <c r="D297" i="8"/>
  <c r="D301" i="8"/>
  <c r="D303" i="8"/>
  <c r="D287" i="8"/>
  <c r="D292" i="8"/>
  <c r="D308" i="8"/>
  <c r="D321" i="8"/>
  <c r="D320" i="8"/>
  <c r="D353" i="8"/>
  <c r="D324" i="8"/>
  <c r="D304" i="8"/>
  <c r="D311" i="8"/>
  <c r="D319" i="8"/>
  <c r="D355" i="8"/>
  <c r="D356" i="8"/>
  <c r="D329" i="8"/>
  <c r="D327" i="8"/>
  <c r="D332" i="8"/>
  <c r="D333" i="8"/>
  <c r="D334" i="8"/>
  <c r="D335" i="8"/>
  <c r="D336" i="8"/>
  <c r="D337" i="8"/>
  <c r="D339" i="8"/>
  <c r="D350" i="8"/>
  <c r="D326" i="8"/>
  <c r="D331" i="8"/>
  <c r="D351" i="8"/>
  <c r="D352" i="8"/>
  <c r="D358" i="8"/>
  <c r="D361" i="8"/>
  <c r="D354" i="8"/>
  <c r="D366" i="8"/>
  <c r="D342" i="8"/>
  <c r="D346" i="8"/>
  <c r="D347" i="8"/>
  <c r="D348" i="8"/>
  <c r="D343" i="8"/>
  <c r="D344" i="8"/>
  <c r="D359" i="8"/>
  <c r="D360" i="8"/>
  <c r="D363" i="8"/>
  <c r="D367" i="8"/>
  <c r="AQ4" i="3" l="1"/>
  <c r="AQ5" i="3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S4" i="3" l="1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" i="3"/>
  <c r="X4" i="3"/>
  <c r="Y4" i="3" s="1"/>
  <c r="X5" i="3"/>
  <c r="Y5" i="3" s="1"/>
  <c r="X6" i="3"/>
  <c r="Y6" i="3" s="1"/>
  <c r="X7" i="3"/>
  <c r="Y7" i="3" s="1"/>
  <c r="X8" i="3"/>
  <c r="Y8" i="3" s="1"/>
  <c r="X9" i="3"/>
  <c r="Y9" i="3" s="1"/>
  <c r="X10" i="3"/>
  <c r="Y10" i="3" s="1"/>
  <c r="X11" i="3"/>
  <c r="Y11" i="3" s="1"/>
  <c r="X12" i="3"/>
  <c r="Y12" i="3" s="1"/>
  <c r="X13" i="3"/>
  <c r="Y13" i="3" s="1"/>
  <c r="X14" i="3"/>
  <c r="Y14" i="3" s="1"/>
  <c r="X15" i="3"/>
  <c r="Y15" i="3" s="1"/>
  <c r="X16" i="3"/>
  <c r="Y16" i="3" s="1"/>
  <c r="X17" i="3"/>
  <c r="Y17" i="3" s="1"/>
  <c r="X18" i="3"/>
  <c r="Y18" i="3" s="1"/>
  <c r="X19" i="3"/>
  <c r="Y19" i="3" s="1"/>
  <c r="X20" i="3"/>
  <c r="Y20" i="3" s="1"/>
  <c r="X21" i="3"/>
  <c r="Y21" i="3" s="1"/>
  <c r="X22" i="3"/>
  <c r="Y22" i="3" s="1"/>
  <c r="X23" i="3"/>
  <c r="Y23" i="3" s="1"/>
  <c r="X24" i="3"/>
  <c r="Y24" i="3" s="1"/>
  <c r="X25" i="3"/>
  <c r="Y25" i="3" s="1"/>
  <c r="X26" i="3"/>
  <c r="Y26" i="3" s="1"/>
  <c r="X27" i="3"/>
  <c r="Y27" i="3" s="1"/>
  <c r="X28" i="3"/>
  <c r="Y28" i="3" s="1"/>
  <c r="X29" i="3"/>
  <c r="Y29" i="3" s="1"/>
  <c r="X30" i="3"/>
  <c r="Y30" i="3" s="1"/>
  <c r="X31" i="3"/>
  <c r="Y31" i="3" s="1"/>
  <c r="X32" i="3"/>
  <c r="Y32" i="3" s="1"/>
  <c r="X33" i="3"/>
  <c r="Y33" i="3" s="1"/>
  <c r="X34" i="3"/>
  <c r="Y34" i="3" s="1"/>
  <c r="X35" i="3"/>
  <c r="Y35" i="3" s="1"/>
  <c r="X36" i="3"/>
  <c r="Y36" i="3" s="1"/>
  <c r="X37" i="3"/>
  <c r="Y37" i="3" s="1"/>
  <c r="X38" i="3"/>
  <c r="Y38" i="3" s="1"/>
  <c r="X39" i="3"/>
  <c r="Y39" i="3" s="1"/>
  <c r="X40" i="3"/>
  <c r="Y40" i="3" s="1"/>
  <c r="X41" i="3"/>
  <c r="Y41" i="3" s="1"/>
  <c r="X42" i="3"/>
  <c r="Y42" i="3" s="1"/>
  <c r="X43" i="3"/>
  <c r="Y43" i="3" s="1"/>
  <c r="X44" i="3"/>
  <c r="Y44" i="3" s="1"/>
  <c r="X45" i="3"/>
  <c r="Y45" i="3" s="1"/>
  <c r="X46" i="3"/>
  <c r="Y46" i="3" s="1"/>
  <c r="X47" i="3"/>
  <c r="Y47" i="3" s="1"/>
  <c r="X48" i="3"/>
  <c r="Y48" i="3" s="1"/>
  <c r="X49" i="3"/>
  <c r="Y49" i="3" s="1"/>
  <c r="X50" i="3"/>
  <c r="Y50" i="3" s="1"/>
  <c r="X51" i="3"/>
  <c r="Y51" i="3" s="1"/>
  <c r="X52" i="3"/>
  <c r="Y52" i="3" s="1"/>
  <c r="X53" i="3"/>
  <c r="Y53" i="3" s="1"/>
  <c r="X54" i="3"/>
  <c r="Y54" i="3" s="1"/>
  <c r="X55" i="3"/>
  <c r="Y55" i="3" s="1"/>
  <c r="X56" i="3"/>
  <c r="Y56" i="3" s="1"/>
  <c r="X57" i="3"/>
  <c r="Y57" i="3" s="1"/>
  <c r="X58" i="3"/>
  <c r="Y58" i="3" s="1"/>
  <c r="X59" i="3"/>
  <c r="Y59" i="3" s="1"/>
  <c r="X60" i="3"/>
  <c r="Y60" i="3" s="1"/>
  <c r="X61" i="3"/>
  <c r="Y61" i="3" s="1"/>
  <c r="X62" i="3"/>
  <c r="Y62" i="3" s="1"/>
  <c r="X63" i="3"/>
  <c r="Y63" i="3" s="1"/>
  <c r="X64" i="3"/>
  <c r="Y64" i="3" s="1"/>
  <c r="X65" i="3"/>
  <c r="Y65" i="3" s="1"/>
  <c r="X66" i="3"/>
  <c r="Y66" i="3" s="1"/>
  <c r="X67" i="3"/>
  <c r="Y67" i="3" s="1"/>
  <c r="X68" i="3"/>
  <c r="Y68" i="3" s="1"/>
  <c r="X69" i="3"/>
  <c r="Y69" i="3" s="1"/>
  <c r="X70" i="3"/>
  <c r="Y70" i="3" s="1"/>
  <c r="X71" i="3"/>
  <c r="Y71" i="3" s="1"/>
  <c r="X72" i="3"/>
  <c r="Y72" i="3" s="1"/>
  <c r="X73" i="3"/>
  <c r="Y73" i="3" s="1"/>
  <c r="X74" i="3"/>
  <c r="Y74" i="3" s="1"/>
  <c r="X75" i="3"/>
  <c r="Y75" i="3" s="1"/>
  <c r="X76" i="3"/>
  <c r="Y76" i="3" s="1"/>
  <c r="X77" i="3"/>
  <c r="Y77" i="3" s="1"/>
  <c r="X78" i="3"/>
  <c r="Y78" i="3" s="1"/>
  <c r="X79" i="3"/>
  <c r="Y79" i="3" s="1"/>
  <c r="X80" i="3"/>
  <c r="Y80" i="3" s="1"/>
  <c r="X81" i="3"/>
  <c r="Y81" i="3" s="1"/>
  <c r="X82" i="3"/>
  <c r="Y82" i="3" s="1"/>
  <c r="X83" i="3"/>
  <c r="Y83" i="3" s="1"/>
  <c r="X84" i="3"/>
  <c r="Y84" i="3" s="1"/>
  <c r="X85" i="3"/>
  <c r="Y85" i="3" s="1"/>
  <c r="X86" i="3"/>
  <c r="Y86" i="3" s="1"/>
  <c r="X87" i="3"/>
  <c r="Y87" i="3" s="1"/>
  <c r="X88" i="3"/>
  <c r="Y88" i="3" s="1"/>
  <c r="X89" i="3"/>
  <c r="Y89" i="3" s="1"/>
  <c r="X90" i="3"/>
  <c r="Y90" i="3" s="1"/>
  <c r="X91" i="3"/>
  <c r="Y91" i="3" s="1"/>
  <c r="X92" i="3"/>
  <c r="Y92" i="3" s="1"/>
  <c r="X93" i="3"/>
  <c r="Y93" i="3" s="1"/>
  <c r="X94" i="3"/>
  <c r="Y94" i="3" s="1"/>
  <c r="X95" i="3"/>
  <c r="Y95" i="3" s="1"/>
  <c r="X96" i="3"/>
  <c r="Y96" i="3" s="1"/>
  <c r="X97" i="3"/>
  <c r="Y97" i="3" s="1"/>
  <c r="X98" i="3"/>
  <c r="Y98" i="3" s="1"/>
  <c r="X99" i="3"/>
  <c r="Y99" i="3" s="1"/>
  <c r="X100" i="3"/>
  <c r="Y100" i="3" s="1"/>
  <c r="X101" i="3"/>
  <c r="Y101" i="3" s="1"/>
  <c r="X102" i="3"/>
  <c r="Y102" i="3" s="1"/>
  <c r="X103" i="3"/>
  <c r="Y103" i="3" s="1"/>
  <c r="X104" i="3"/>
  <c r="Y104" i="3" s="1"/>
  <c r="X105" i="3"/>
  <c r="Y105" i="3" s="1"/>
  <c r="X106" i="3"/>
  <c r="Y106" i="3" s="1"/>
  <c r="X107" i="3"/>
  <c r="Y107" i="3" s="1"/>
  <c r="X108" i="3"/>
  <c r="Y108" i="3" s="1"/>
  <c r="X109" i="3"/>
  <c r="Y109" i="3" s="1"/>
  <c r="X110" i="3"/>
  <c r="Y110" i="3" s="1"/>
  <c r="X111" i="3"/>
  <c r="Y111" i="3" s="1"/>
  <c r="X112" i="3"/>
  <c r="Y112" i="3" s="1"/>
  <c r="X113" i="3"/>
  <c r="Y113" i="3" s="1"/>
  <c r="X114" i="3"/>
  <c r="Y114" i="3" s="1"/>
  <c r="X115" i="3"/>
  <c r="Y115" i="3" s="1"/>
  <c r="X116" i="3"/>
  <c r="Y116" i="3" s="1"/>
  <c r="X117" i="3"/>
  <c r="Y117" i="3" s="1"/>
  <c r="X118" i="3"/>
  <c r="Y118" i="3" s="1"/>
  <c r="X119" i="3"/>
  <c r="Y119" i="3" s="1"/>
  <c r="X120" i="3"/>
  <c r="Y120" i="3" s="1"/>
  <c r="X121" i="3"/>
  <c r="Y121" i="3" s="1"/>
  <c r="X122" i="3"/>
  <c r="Y122" i="3" s="1"/>
  <c r="X123" i="3"/>
  <c r="Y123" i="3" s="1"/>
  <c r="X124" i="3"/>
  <c r="Y124" i="3" s="1"/>
  <c r="X125" i="3"/>
  <c r="Y125" i="3" s="1"/>
  <c r="X126" i="3"/>
  <c r="Y126" i="3" s="1"/>
  <c r="X127" i="3"/>
  <c r="Y127" i="3" s="1"/>
  <c r="X128" i="3"/>
  <c r="Y128" i="3" s="1"/>
  <c r="X129" i="3"/>
  <c r="Y129" i="3" s="1"/>
  <c r="X130" i="3"/>
  <c r="Y130" i="3" s="1"/>
  <c r="X131" i="3"/>
  <c r="Y131" i="3" s="1"/>
  <c r="X132" i="3"/>
  <c r="Y132" i="3" s="1"/>
  <c r="X133" i="3"/>
  <c r="Y133" i="3" s="1"/>
  <c r="X134" i="3"/>
  <c r="Y134" i="3" s="1"/>
  <c r="X135" i="3"/>
  <c r="Y135" i="3" s="1"/>
  <c r="X136" i="3"/>
  <c r="Y136" i="3" s="1"/>
  <c r="X137" i="3"/>
  <c r="Y137" i="3" s="1"/>
  <c r="X138" i="3"/>
  <c r="Y138" i="3" s="1"/>
  <c r="X139" i="3"/>
  <c r="Y139" i="3" s="1"/>
  <c r="X140" i="3"/>
  <c r="Y140" i="3" s="1"/>
  <c r="X141" i="3"/>
  <c r="Y141" i="3" s="1"/>
  <c r="X142" i="3"/>
  <c r="Y142" i="3" s="1"/>
  <c r="X143" i="3"/>
  <c r="Y143" i="3" s="1"/>
  <c r="X144" i="3"/>
  <c r="Y144" i="3" s="1"/>
  <c r="X145" i="3"/>
  <c r="Y145" i="3" s="1"/>
  <c r="X146" i="3"/>
  <c r="Y146" i="3" s="1"/>
  <c r="X147" i="3"/>
  <c r="Y147" i="3" s="1"/>
  <c r="X148" i="3"/>
  <c r="Y148" i="3" s="1"/>
  <c r="X149" i="3"/>
  <c r="Y149" i="3" s="1"/>
  <c r="X150" i="3"/>
  <c r="Y150" i="3" s="1"/>
  <c r="X151" i="3"/>
  <c r="Y151" i="3" s="1"/>
  <c r="X152" i="3"/>
  <c r="Y152" i="3" s="1"/>
  <c r="X153" i="3"/>
  <c r="Y153" i="3" s="1"/>
  <c r="X154" i="3"/>
  <c r="Y154" i="3" s="1"/>
  <c r="X155" i="3"/>
  <c r="Y155" i="3" s="1"/>
  <c r="X156" i="3"/>
  <c r="Y156" i="3" s="1"/>
  <c r="X157" i="3"/>
  <c r="Y157" i="3" s="1"/>
  <c r="X158" i="3"/>
  <c r="Y158" i="3" s="1"/>
  <c r="X159" i="3"/>
  <c r="Y159" i="3" s="1"/>
  <c r="X160" i="3"/>
  <c r="Y160" i="3" s="1"/>
  <c r="X161" i="3"/>
  <c r="Y161" i="3" s="1"/>
  <c r="X162" i="3"/>
  <c r="Y162" i="3" s="1"/>
  <c r="X163" i="3"/>
  <c r="Y163" i="3" s="1"/>
  <c r="X164" i="3"/>
  <c r="Y164" i="3" s="1"/>
  <c r="X165" i="3"/>
  <c r="Y165" i="3" s="1"/>
  <c r="X166" i="3"/>
  <c r="Y166" i="3" s="1"/>
  <c r="X167" i="3"/>
  <c r="Y167" i="3" s="1"/>
  <c r="X168" i="3"/>
  <c r="Y168" i="3" s="1"/>
  <c r="X169" i="3"/>
  <c r="Y169" i="3" s="1"/>
  <c r="X170" i="3"/>
  <c r="Y170" i="3" s="1"/>
  <c r="X346" i="3"/>
  <c r="Y346" i="3" s="1"/>
  <c r="X347" i="3"/>
  <c r="Y347" i="3" s="1"/>
  <c r="X348" i="3"/>
  <c r="Y348" i="3" s="1"/>
  <c r="X349" i="3"/>
  <c r="Y349" i="3" s="1"/>
  <c r="X350" i="3"/>
  <c r="Y350" i="3" s="1"/>
  <c r="X351" i="3"/>
  <c r="Y351" i="3" s="1"/>
  <c r="X352" i="3"/>
  <c r="Y352" i="3" s="1"/>
  <c r="X353" i="3"/>
  <c r="Y353" i="3" s="1"/>
  <c r="X354" i="3"/>
  <c r="Y354" i="3" s="1"/>
  <c r="X355" i="3"/>
  <c r="Y355" i="3" s="1"/>
  <c r="X356" i="3"/>
  <c r="Y356" i="3" s="1"/>
  <c r="X357" i="3"/>
  <c r="Y357" i="3" s="1"/>
  <c r="X358" i="3"/>
  <c r="Y358" i="3" s="1"/>
  <c r="X359" i="3"/>
  <c r="Y359" i="3" s="1"/>
  <c r="X360" i="3"/>
  <c r="Y360" i="3" s="1"/>
  <c r="X361" i="3"/>
  <c r="Y361" i="3" s="1"/>
  <c r="X362" i="3"/>
  <c r="Y362" i="3" s="1"/>
  <c r="X363" i="3"/>
  <c r="Y363" i="3" s="1"/>
  <c r="X364" i="3"/>
  <c r="Y364" i="3" s="1"/>
  <c r="X365" i="3"/>
  <c r="Y365" i="3" s="1"/>
  <c r="X366" i="3"/>
  <c r="Y366" i="3" s="1"/>
  <c r="X367" i="3"/>
  <c r="Y367" i="3" s="1"/>
  <c r="D4" i="3"/>
  <c r="D5" i="3" l="1"/>
  <c r="D3" i="9"/>
  <c r="F3" i="9" s="1"/>
  <c r="F4" i="9" s="1"/>
  <c r="F5" i="9" s="1"/>
  <c r="F6" i="9" s="1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D3" i="8"/>
  <c r="F3" i="8" s="1"/>
  <c r="F4" i="8" s="1"/>
  <c r="F5" i="8" s="1"/>
  <c r="F6" i="8" s="1"/>
  <c r="F7" i="8" s="1"/>
  <c r="D91" i="3"/>
  <c r="D278" i="3"/>
  <c r="F8" i="8" l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G3" i="9"/>
  <c r="G3" i="8"/>
  <c r="D3" i="3"/>
  <c r="F3" i="3" s="1"/>
  <c r="F4" i="3" s="1"/>
  <c r="D17" i="3"/>
  <c r="D111" i="3"/>
  <c r="F5" i="3" l="1"/>
  <c r="G3" i="3"/>
  <c r="H3" i="8"/>
  <c r="P3" i="8" a="1"/>
  <c r="P3" i="8" s="1"/>
  <c r="N3" i="8" s="1"/>
  <c r="K3" i="8"/>
  <c r="M3" i="8" s="1"/>
  <c r="O3" i="8"/>
  <c r="I3" i="8"/>
  <c r="G4" i="8"/>
  <c r="G4" i="9"/>
  <c r="K3" i="9"/>
  <c r="M3" i="9" s="1"/>
  <c r="P3" i="9" a="1"/>
  <c r="P3" i="9" s="1"/>
  <c r="O3" i="9"/>
  <c r="I3" i="9"/>
  <c r="G5" i="8" l="1"/>
  <c r="R3" i="8"/>
  <c r="S3" i="8"/>
  <c r="P4" i="9" a="1"/>
  <c r="P4" i="9" s="1"/>
  <c r="K4" i="9"/>
  <c r="M4" i="9" s="1"/>
  <c r="O4" i="9"/>
  <c r="I4" i="9"/>
  <c r="G5" i="9"/>
  <c r="P3" i="3" a="1"/>
  <c r="P3" i="3" s="1"/>
  <c r="N3" i="3" s="1"/>
  <c r="S3" i="3" s="1"/>
  <c r="I3" i="3"/>
  <c r="H3" i="3"/>
  <c r="K3" i="3"/>
  <c r="O3" i="3"/>
  <c r="K4" i="8"/>
  <c r="M4" i="8" s="1"/>
  <c r="I4" i="8"/>
  <c r="P4" i="8" a="1"/>
  <c r="P4" i="8" s="1"/>
  <c r="O4" i="8"/>
  <c r="G4" i="3"/>
  <c r="M3" i="3" l="1"/>
  <c r="L3" i="3"/>
  <c r="I4" i="3"/>
  <c r="P4" i="3" a="1"/>
  <c r="P4" i="3" s="1"/>
  <c r="K4" i="3"/>
  <c r="O4" i="3"/>
  <c r="G5" i="3"/>
  <c r="K5" i="9"/>
  <c r="M5" i="9" s="1"/>
  <c r="P5" i="9" a="1"/>
  <c r="P5" i="9" s="1"/>
  <c r="O5" i="9"/>
  <c r="I5" i="9"/>
  <c r="K5" i="8"/>
  <c r="M5" i="8" s="1"/>
  <c r="P5" i="8" a="1"/>
  <c r="P5" i="8" s="1"/>
  <c r="O5" i="8"/>
  <c r="I5" i="8"/>
  <c r="G6" i="9"/>
  <c r="G6" i="8"/>
  <c r="I5" i="3" l="1"/>
  <c r="K5" i="3"/>
  <c r="M5" i="3" s="1"/>
  <c r="P5" i="3" a="1"/>
  <c r="P5" i="3" s="1"/>
  <c r="O5" i="3"/>
  <c r="P6" i="9" a="1"/>
  <c r="P6" i="9" s="1"/>
  <c r="K6" i="9"/>
  <c r="M6" i="9" s="1"/>
  <c r="I6" i="9"/>
  <c r="O6" i="9"/>
  <c r="L4" i="3"/>
  <c r="M4" i="3"/>
  <c r="O6" i="8"/>
  <c r="K6" i="8"/>
  <c r="M6" i="8" s="1"/>
  <c r="P6" i="8" a="1"/>
  <c r="P6" i="8" s="1"/>
  <c r="I6" i="8"/>
  <c r="G7" i="8"/>
  <c r="G7" i="9"/>
  <c r="K7" i="8" l="1"/>
  <c r="M7" i="8" s="1"/>
  <c r="P7" i="8" a="1"/>
  <c r="P7" i="8" s="1"/>
  <c r="O7" i="8"/>
  <c r="I7" i="8"/>
  <c r="G8" i="8"/>
  <c r="P7" i="9" a="1"/>
  <c r="P7" i="9" s="1"/>
  <c r="K7" i="9"/>
  <c r="M7" i="9" s="1"/>
  <c r="O7" i="9"/>
  <c r="I7" i="9"/>
  <c r="G8" i="9"/>
  <c r="K8" i="8" l="1"/>
  <c r="M8" i="8" s="1"/>
  <c r="P8" i="8" a="1"/>
  <c r="P8" i="8" s="1"/>
  <c r="O8" i="8"/>
  <c r="I8" i="8"/>
  <c r="G9" i="8"/>
  <c r="K8" i="9"/>
  <c r="M8" i="9" s="1"/>
  <c r="P8" i="9" a="1"/>
  <c r="P8" i="9" s="1"/>
  <c r="I8" i="9"/>
  <c r="O8" i="9"/>
  <c r="G9" i="9"/>
  <c r="D6" i="3"/>
  <c r="F6" i="3" s="1"/>
  <c r="G6" i="3" l="1"/>
  <c r="K9" i="8"/>
  <c r="M9" i="8" s="1"/>
  <c r="P9" i="8" a="1"/>
  <c r="P9" i="8" s="1"/>
  <c r="O9" i="8"/>
  <c r="I9" i="8"/>
  <c r="G10" i="8"/>
  <c r="P9" i="9" a="1"/>
  <c r="P9" i="9" s="1"/>
  <c r="O9" i="9"/>
  <c r="I9" i="9"/>
  <c r="K9" i="9"/>
  <c r="M9" i="9" s="1"/>
  <c r="G10" i="9"/>
  <c r="D7" i="3"/>
  <c r="F7" i="3" s="1"/>
  <c r="F8" i="3" s="1"/>
  <c r="G7" i="3" l="1"/>
  <c r="K10" i="8"/>
  <c r="M10" i="8" s="1"/>
  <c r="I10" i="8"/>
  <c r="P10" i="8" a="1"/>
  <c r="P10" i="8" s="1"/>
  <c r="O10" i="8"/>
  <c r="G11" i="8"/>
  <c r="P10" i="9" a="1"/>
  <c r="P10" i="9" s="1"/>
  <c r="O10" i="9"/>
  <c r="K10" i="9"/>
  <c r="M10" i="9" s="1"/>
  <c r="I10" i="9"/>
  <c r="G11" i="9"/>
  <c r="H6" i="3"/>
  <c r="K6" i="3"/>
  <c r="P6" i="3" a="1"/>
  <c r="P6" i="3" s="1"/>
  <c r="O6" i="3"/>
  <c r="G8" i="3" l="1"/>
  <c r="L6" i="3"/>
  <c r="M6" i="3"/>
  <c r="K11" i="8"/>
  <c r="M11" i="8" s="1"/>
  <c r="O11" i="8"/>
  <c r="I11" i="8"/>
  <c r="P11" i="8" a="1"/>
  <c r="P11" i="8" s="1"/>
  <c r="G12" i="8"/>
  <c r="P11" i="9" a="1"/>
  <c r="P11" i="9" s="1"/>
  <c r="O11" i="9"/>
  <c r="I11" i="9"/>
  <c r="K11" i="9"/>
  <c r="M11" i="9" s="1"/>
  <c r="G12" i="9"/>
  <c r="P7" i="3" a="1"/>
  <c r="P7" i="3" s="1"/>
  <c r="H7" i="3"/>
  <c r="K7" i="3"/>
  <c r="M7" i="3" s="1"/>
  <c r="O7" i="3"/>
  <c r="D9" i="3"/>
  <c r="F9" i="3" s="1"/>
  <c r="G9" i="3" l="1"/>
  <c r="G13" i="9"/>
  <c r="P12" i="9" a="1"/>
  <c r="P12" i="9" s="1"/>
  <c r="O12" i="9"/>
  <c r="K12" i="9"/>
  <c r="M12" i="9" s="1"/>
  <c r="I12" i="9"/>
  <c r="K12" i="8"/>
  <c r="M12" i="8" s="1"/>
  <c r="P12" i="8" a="1"/>
  <c r="P12" i="8" s="1"/>
  <c r="O12" i="8"/>
  <c r="I12" i="8"/>
  <c r="P8" i="3" a="1"/>
  <c r="P8" i="3" s="1"/>
  <c r="K8" i="3"/>
  <c r="M8" i="3" s="1"/>
  <c r="O8" i="3"/>
  <c r="G13" i="8"/>
  <c r="D10" i="3"/>
  <c r="F10" i="3" s="1"/>
  <c r="G10" i="3" l="1"/>
  <c r="G14" i="8"/>
  <c r="P13" i="9" a="1"/>
  <c r="P13" i="9" s="1"/>
  <c r="K13" i="9"/>
  <c r="M13" i="9" s="1"/>
  <c r="O13" i="9"/>
  <c r="I13" i="9"/>
  <c r="G14" i="9"/>
  <c r="P9" i="3" a="1"/>
  <c r="P9" i="3" s="1"/>
  <c r="K9" i="3"/>
  <c r="M9" i="3" s="1"/>
  <c r="O9" i="3"/>
  <c r="K13" i="8"/>
  <c r="M13" i="8" s="1"/>
  <c r="O13" i="8"/>
  <c r="I13" i="8"/>
  <c r="P13" i="8" a="1"/>
  <c r="P13" i="8" s="1"/>
  <c r="D11" i="3"/>
  <c r="F11" i="3" s="1"/>
  <c r="G11" i="3" l="1"/>
  <c r="K14" i="8"/>
  <c r="M14" i="8" s="1"/>
  <c r="P14" i="8" a="1"/>
  <c r="P14" i="8" s="1"/>
  <c r="O14" i="8"/>
  <c r="I14" i="8"/>
  <c r="G15" i="8"/>
  <c r="P14" i="9" a="1"/>
  <c r="P14" i="9" s="1"/>
  <c r="K14" i="9"/>
  <c r="M14" i="9" s="1"/>
  <c r="I14" i="9"/>
  <c r="O14" i="9"/>
  <c r="P10" i="3" a="1"/>
  <c r="P10" i="3" s="1"/>
  <c r="K10" i="3"/>
  <c r="M10" i="3" s="1"/>
  <c r="O10" i="3"/>
  <c r="G15" i="9"/>
  <c r="D12" i="3"/>
  <c r="F12" i="3" s="1"/>
  <c r="G12" i="3" l="1"/>
  <c r="P15" i="9" a="1"/>
  <c r="P15" i="9" s="1"/>
  <c r="O15" i="9"/>
  <c r="I15" i="9"/>
  <c r="K15" i="9"/>
  <c r="M15" i="9" s="1"/>
  <c r="G16" i="9"/>
  <c r="K15" i="8"/>
  <c r="M15" i="8" s="1"/>
  <c r="P15" i="8" a="1"/>
  <c r="P15" i="8" s="1"/>
  <c r="O15" i="8"/>
  <c r="I15" i="8"/>
  <c r="G16" i="8"/>
  <c r="I11" i="3"/>
  <c r="P11" i="3" a="1"/>
  <c r="P11" i="3" s="1"/>
  <c r="O11" i="3"/>
  <c r="K11" i="3"/>
  <c r="M11" i="3" s="1"/>
  <c r="D13" i="3"/>
  <c r="F13" i="3" s="1"/>
  <c r="G13" i="3" l="1"/>
  <c r="P16" i="9" a="1"/>
  <c r="P16" i="9" s="1"/>
  <c r="O16" i="9"/>
  <c r="K16" i="9"/>
  <c r="M16" i="9" s="1"/>
  <c r="I16" i="9"/>
  <c r="G17" i="9"/>
  <c r="K16" i="8"/>
  <c r="M16" i="8" s="1"/>
  <c r="P16" i="8" a="1"/>
  <c r="P16" i="8" s="1"/>
  <c r="I16" i="8"/>
  <c r="O16" i="8"/>
  <c r="G17" i="8"/>
  <c r="P12" i="3" a="1"/>
  <c r="P12" i="3" s="1"/>
  <c r="K12" i="3"/>
  <c r="M12" i="3" s="1"/>
  <c r="O12" i="3"/>
  <c r="D14" i="3"/>
  <c r="F14" i="3" s="1"/>
  <c r="G14" i="3" l="1"/>
  <c r="P17" i="9" a="1"/>
  <c r="P17" i="9" s="1"/>
  <c r="K17" i="9"/>
  <c r="M17" i="9" s="1"/>
  <c r="O17" i="9"/>
  <c r="I17" i="9"/>
  <c r="G18" i="9"/>
  <c r="K17" i="8"/>
  <c r="M17" i="8" s="1"/>
  <c r="P17" i="8" a="1"/>
  <c r="P17" i="8" s="1"/>
  <c r="O17" i="8"/>
  <c r="I17" i="8"/>
  <c r="G18" i="8"/>
  <c r="P13" i="3" a="1"/>
  <c r="P13" i="3" s="1"/>
  <c r="K13" i="3"/>
  <c r="M13" i="3" s="1"/>
  <c r="O13" i="3"/>
  <c r="D15" i="3"/>
  <c r="F15" i="3" s="1"/>
  <c r="G15" i="3" l="1"/>
  <c r="K18" i="9"/>
  <c r="M18" i="9" s="1"/>
  <c r="P18" i="9" a="1"/>
  <c r="P18" i="9" s="1"/>
  <c r="I18" i="9"/>
  <c r="O18" i="9"/>
  <c r="G19" i="9"/>
  <c r="K18" i="8"/>
  <c r="M18" i="8" s="1"/>
  <c r="O18" i="8"/>
  <c r="I18" i="8"/>
  <c r="P18" i="8" a="1"/>
  <c r="P18" i="8" s="1"/>
  <c r="F32" i="8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G19" i="8"/>
  <c r="P14" i="3" a="1"/>
  <c r="P14" i="3" s="1"/>
  <c r="O14" i="3"/>
  <c r="K14" i="3"/>
  <c r="M14" i="3" s="1"/>
  <c r="D16" i="3"/>
  <c r="F16" i="3" s="1"/>
  <c r="F17" i="3" l="1"/>
  <c r="G16" i="3"/>
  <c r="I19" i="9"/>
  <c r="K19" i="9"/>
  <c r="M19" i="9" s="1"/>
  <c r="P19" i="9" a="1"/>
  <c r="P19" i="9" s="1"/>
  <c r="O19" i="9"/>
  <c r="G20" i="9"/>
  <c r="K19" i="8"/>
  <c r="M19" i="8" s="1"/>
  <c r="O19" i="8"/>
  <c r="I19" i="8"/>
  <c r="P19" i="8" a="1"/>
  <c r="P19" i="8" s="1"/>
  <c r="G20" i="8"/>
  <c r="P15" i="3" a="1"/>
  <c r="P15" i="3" s="1"/>
  <c r="K15" i="3"/>
  <c r="M15" i="3" s="1"/>
  <c r="O15" i="3"/>
  <c r="D18" i="3"/>
  <c r="O20" i="9" l="1"/>
  <c r="P20" i="9" a="1"/>
  <c r="P20" i="9" s="1"/>
  <c r="K20" i="9"/>
  <c r="M20" i="9" s="1"/>
  <c r="I20" i="9"/>
  <c r="G21" i="9"/>
  <c r="K20" i="8"/>
  <c r="M20" i="8" s="1"/>
  <c r="O20" i="8"/>
  <c r="P20" i="8" a="1"/>
  <c r="P20" i="8" s="1"/>
  <c r="I20" i="8"/>
  <c r="G21" i="8"/>
  <c r="P16" i="3" a="1"/>
  <c r="P16" i="3" s="1"/>
  <c r="K16" i="3"/>
  <c r="M16" i="3" s="1"/>
  <c r="O16" i="3"/>
  <c r="F18" i="3"/>
  <c r="G17" i="3"/>
  <c r="D19" i="3"/>
  <c r="F19" i="3" l="1"/>
  <c r="G19" i="3" s="1"/>
  <c r="G18" i="3"/>
  <c r="P17" i="3" a="1"/>
  <c r="P17" i="3" s="1"/>
  <c r="K17" i="3"/>
  <c r="M17" i="3" s="1"/>
  <c r="O17" i="3"/>
  <c r="P21" i="9" a="1"/>
  <c r="P21" i="9" s="1"/>
  <c r="I21" i="9"/>
  <c r="O21" i="9"/>
  <c r="K21" i="9"/>
  <c r="M21" i="9" s="1"/>
  <c r="G22" i="9"/>
  <c r="K21" i="8"/>
  <c r="M21" i="8" s="1"/>
  <c r="O21" i="8"/>
  <c r="I21" i="8"/>
  <c r="P21" i="8" a="1"/>
  <c r="P21" i="8" s="1"/>
  <c r="G22" i="8"/>
  <c r="D20" i="3"/>
  <c r="G23" i="8" l="1"/>
  <c r="K22" i="9"/>
  <c r="M22" i="9" s="1"/>
  <c r="P22" i="9" a="1"/>
  <c r="P22" i="9" s="1"/>
  <c r="O22" i="9"/>
  <c r="I22" i="9"/>
  <c r="G23" i="9"/>
  <c r="P18" i="3" a="1"/>
  <c r="P18" i="3" s="1"/>
  <c r="K18" i="3"/>
  <c r="M18" i="3" s="1"/>
  <c r="O18" i="3"/>
  <c r="O22" i="8"/>
  <c r="K22" i="8"/>
  <c r="M22" i="8" s="1"/>
  <c r="P22" i="8" a="1"/>
  <c r="P22" i="8" s="1"/>
  <c r="I22" i="8"/>
  <c r="F20" i="3"/>
  <c r="D21" i="3"/>
  <c r="P19" i="3" l="1" a="1"/>
  <c r="P19" i="3" s="1"/>
  <c r="K19" i="3"/>
  <c r="M19" i="3" s="1"/>
  <c r="O19" i="3"/>
  <c r="F21" i="3"/>
  <c r="G20" i="3"/>
  <c r="O23" i="9"/>
  <c r="I23" i="9"/>
  <c r="K23" i="9"/>
  <c r="M23" i="9" s="1"/>
  <c r="P23" i="9" a="1"/>
  <c r="P23" i="9" s="1"/>
  <c r="G24" i="9"/>
  <c r="K23" i="8"/>
  <c r="M23" i="8" s="1"/>
  <c r="P23" i="8" a="1"/>
  <c r="P23" i="8" s="1"/>
  <c r="O23" i="8"/>
  <c r="I23" i="8"/>
  <c r="G24" i="8"/>
  <c r="D22" i="3"/>
  <c r="K24" i="8" l="1"/>
  <c r="M24" i="8" s="1"/>
  <c r="P24" i="8" a="1"/>
  <c r="P24" i="8" s="1"/>
  <c r="I24" i="8"/>
  <c r="O24" i="8"/>
  <c r="G25" i="8"/>
  <c r="P20" i="3" a="1"/>
  <c r="P20" i="3" s="1"/>
  <c r="O20" i="3"/>
  <c r="K20" i="3"/>
  <c r="M20" i="3" s="1"/>
  <c r="F22" i="3"/>
  <c r="G21" i="3"/>
  <c r="O24" i="9"/>
  <c r="I24" i="9"/>
  <c r="K24" i="9"/>
  <c r="M24" i="9" s="1"/>
  <c r="P24" i="9" a="1"/>
  <c r="P24" i="9" s="1"/>
  <c r="G25" i="9"/>
  <c r="D23" i="3"/>
  <c r="F23" i="3" l="1"/>
  <c r="G22" i="3"/>
  <c r="G26" i="9"/>
  <c r="K25" i="8"/>
  <c r="M25" i="8" s="1"/>
  <c r="P25" i="8" a="1"/>
  <c r="P25" i="8" s="1"/>
  <c r="I25" i="8"/>
  <c r="O25" i="8"/>
  <c r="G26" i="8"/>
  <c r="P21" i="3" a="1"/>
  <c r="P21" i="3" s="1"/>
  <c r="K21" i="3"/>
  <c r="M21" i="3" s="1"/>
  <c r="O21" i="3"/>
  <c r="I25" i="9"/>
  <c r="K25" i="9"/>
  <c r="M25" i="9" s="1"/>
  <c r="P25" i="9" a="1"/>
  <c r="P25" i="9" s="1"/>
  <c r="O25" i="9"/>
  <c r="D24" i="3"/>
  <c r="K26" i="9" l="1"/>
  <c r="M26" i="9" s="1"/>
  <c r="O26" i="9"/>
  <c r="P26" i="9" a="1"/>
  <c r="P26" i="9" s="1"/>
  <c r="I26" i="9"/>
  <c r="G27" i="9"/>
  <c r="K26" i="8"/>
  <c r="M26" i="8" s="1"/>
  <c r="P26" i="8" a="1"/>
  <c r="P26" i="8" s="1"/>
  <c r="I26" i="8"/>
  <c r="O26" i="8"/>
  <c r="P22" i="3" a="1"/>
  <c r="P22" i="3" s="1"/>
  <c r="K22" i="3"/>
  <c r="M22" i="3" s="1"/>
  <c r="O22" i="3"/>
  <c r="G27" i="8"/>
  <c r="F24" i="3"/>
  <c r="G23" i="3"/>
  <c r="D25" i="3"/>
  <c r="F25" i="3" l="1"/>
  <c r="G24" i="3"/>
  <c r="G28" i="8"/>
  <c r="I27" i="9"/>
  <c r="K27" i="9"/>
  <c r="M27" i="9" s="1"/>
  <c r="O27" i="9"/>
  <c r="P27" i="9" a="1"/>
  <c r="P27" i="9" s="1"/>
  <c r="G28" i="9"/>
  <c r="K27" i="8"/>
  <c r="M27" i="8" s="1"/>
  <c r="O27" i="8"/>
  <c r="P27" i="8" a="1"/>
  <c r="P27" i="8" s="1"/>
  <c r="I27" i="8"/>
  <c r="P23" i="3" a="1"/>
  <c r="P23" i="3" s="1"/>
  <c r="K23" i="3"/>
  <c r="M23" i="3" s="1"/>
  <c r="O23" i="3"/>
  <c r="D26" i="3"/>
  <c r="K28" i="8" l="1"/>
  <c r="M28" i="8" s="1"/>
  <c r="P28" i="8" a="1"/>
  <c r="P28" i="8" s="1"/>
  <c r="I28" i="8"/>
  <c r="O28" i="8"/>
  <c r="G29" i="8"/>
  <c r="P28" i="9" a="1"/>
  <c r="P28" i="9" s="1"/>
  <c r="K28" i="9"/>
  <c r="M28" i="9" s="1"/>
  <c r="I28" i="9"/>
  <c r="O28" i="9"/>
  <c r="P24" i="3" a="1"/>
  <c r="P24" i="3" s="1"/>
  <c r="K24" i="3"/>
  <c r="M24" i="3" s="1"/>
  <c r="O24" i="3"/>
  <c r="G29" i="9"/>
  <c r="F26" i="3"/>
  <c r="G25" i="3"/>
  <c r="D27" i="3"/>
  <c r="F27" i="3" l="1"/>
  <c r="G26" i="3"/>
  <c r="F31" i="9"/>
  <c r="G30" i="9"/>
  <c r="K29" i="8"/>
  <c r="M29" i="8" s="1"/>
  <c r="I29" i="8"/>
  <c r="P29" i="8" a="1"/>
  <c r="P29" i="8" s="1"/>
  <c r="O29" i="8"/>
  <c r="P29" i="9" a="1"/>
  <c r="P29" i="9" s="1"/>
  <c r="O29" i="9"/>
  <c r="K29" i="9"/>
  <c r="M29" i="9" s="1"/>
  <c r="I29" i="9"/>
  <c r="G30" i="8"/>
  <c r="K25" i="3"/>
  <c r="M25" i="3" s="1"/>
  <c r="P25" i="3" a="1"/>
  <c r="P25" i="3" s="1"/>
  <c r="O25" i="3"/>
  <c r="D28" i="3"/>
  <c r="K30" i="8" l="1"/>
  <c r="M30" i="8" s="1"/>
  <c r="P30" i="8" a="1"/>
  <c r="P30" i="8" s="1"/>
  <c r="O30" i="8"/>
  <c r="I30" i="8"/>
  <c r="G31" i="8"/>
  <c r="I30" i="9"/>
  <c r="K30" i="9"/>
  <c r="M30" i="9" s="1"/>
  <c r="P30" i="9" a="1"/>
  <c r="P30" i="9" s="1"/>
  <c r="O30" i="9"/>
  <c r="F32" i="9"/>
  <c r="G31" i="9"/>
  <c r="P26" i="3" a="1"/>
  <c r="P26" i="3" s="1"/>
  <c r="K26" i="3"/>
  <c r="M26" i="3" s="1"/>
  <c r="O26" i="3"/>
  <c r="F28" i="3"/>
  <c r="G27" i="3"/>
  <c r="D29" i="3"/>
  <c r="F29" i="3" l="1"/>
  <c r="G28" i="3"/>
  <c r="P27" i="3" a="1"/>
  <c r="P27" i="3" s="1"/>
  <c r="K27" i="3"/>
  <c r="M27" i="3" s="1"/>
  <c r="O27" i="3"/>
  <c r="K31" i="8"/>
  <c r="M31" i="8" s="1"/>
  <c r="P31" i="8" a="1"/>
  <c r="P31" i="8" s="1"/>
  <c r="O31" i="8"/>
  <c r="I31" i="8"/>
  <c r="G32" i="8"/>
  <c r="P31" i="9" a="1"/>
  <c r="P31" i="9" s="1"/>
  <c r="O31" i="9"/>
  <c r="K31" i="9"/>
  <c r="M31" i="9" s="1"/>
  <c r="I31" i="9"/>
  <c r="F33" i="9"/>
  <c r="G32" i="9"/>
  <c r="D30" i="3"/>
  <c r="F34" i="9" l="1"/>
  <c r="G33" i="9"/>
  <c r="K32" i="8"/>
  <c r="M32" i="8" s="1"/>
  <c r="O32" i="8"/>
  <c r="I32" i="8"/>
  <c r="P32" i="8" a="1"/>
  <c r="P32" i="8" s="1"/>
  <c r="G33" i="8"/>
  <c r="K28" i="3"/>
  <c r="M28" i="3" s="1"/>
  <c r="P28" i="3" a="1"/>
  <c r="P28" i="3" s="1"/>
  <c r="O28" i="3"/>
  <c r="P32" i="9" a="1"/>
  <c r="P32" i="9" s="1"/>
  <c r="K32" i="9"/>
  <c r="M32" i="9" s="1"/>
  <c r="O32" i="9"/>
  <c r="I32" i="9"/>
  <c r="F30" i="3"/>
  <c r="G29" i="3"/>
  <c r="D31" i="3"/>
  <c r="F31" i="3" l="1"/>
  <c r="G30" i="3"/>
  <c r="K33" i="8"/>
  <c r="M33" i="8" s="1"/>
  <c r="P33" i="8" a="1"/>
  <c r="P33" i="8" s="1"/>
  <c r="O33" i="8"/>
  <c r="I33" i="8"/>
  <c r="G34" i="8"/>
  <c r="P33" i="9" a="1"/>
  <c r="P33" i="9" s="1"/>
  <c r="I33" i="9"/>
  <c r="O33" i="9"/>
  <c r="K33" i="9"/>
  <c r="M33" i="9" s="1"/>
  <c r="P29" i="3" a="1"/>
  <c r="P29" i="3" s="1"/>
  <c r="K29" i="3"/>
  <c r="M29" i="3" s="1"/>
  <c r="O29" i="3"/>
  <c r="F35" i="9"/>
  <c r="G34" i="9"/>
  <c r="D32" i="3"/>
  <c r="P34" i="9" l="1" a="1"/>
  <c r="P34" i="9" s="1"/>
  <c r="O34" i="9"/>
  <c r="K34" i="9"/>
  <c r="M34" i="9" s="1"/>
  <c r="I34" i="9"/>
  <c r="F36" i="9"/>
  <c r="G35" i="9"/>
  <c r="K34" i="8"/>
  <c r="M34" i="8" s="1"/>
  <c r="O34" i="8"/>
  <c r="P34" i="8" a="1"/>
  <c r="P34" i="8" s="1"/>
  <c r="I34" i="8"/>
  <c r="G35" i="8"/>
  <c r="P30" i="3" a="1"/>
  <c r="P30" i="3" s="1"/>
  <c r="O30" i="3"/>
  <c r="K30" i="3"/>
  <c r="M30" i="3" s="1"/>
  <c r="F32" i="3"/>
  <c r="G31" i="3"/>
  <c r="D33" i="3"/>
  <c r="P31" i="3" l="1" a="1"/>
  <c r="P31" i="3" s="1"/>
  <c r="O31" i="3"/>
  <c r="K31" i="3"/>
  <c r="M31" i="3" s="1"/>
  <c r="P35" i="9" a="1"/>
  <c r="P35" i="9" s="1"/>
  <c r="O35" i="9"/>
  <c r="I35" i="9"/>
  <c r="K35" i="9"/>
  <c r="M35" i="9" s="1"/>
  <c r="F37" i="9"/>
  <c r="G36" i="9"/>
  <c r="F33" i="3"/>
  <c r="G32" i="3"/>
  <c r="K35" i="8"/>
  <c r="M35" i="8" s="1"/>
  <c r="P35" i="8" a="1"/>
  <c r="P35" i="8" s="1"/>
  <c r="I35" i="8"/>
  <c r="O35" i="8"/>
  <c r="G36" i="8"/>
  <c r="D34" i="3"/>
  <c r="P36" i="8" l="1" a="1"/>
  <c r="P36" i="8" s="1"/>
  <c r="O36" i="8"/>
  <c r="K36" i="8"/>
  <c r="M36" i="8" s="1"/>
  <c r="I36" i="8"/>
  <c r="O36" i="9"/>
  <c r="I36" i="9"/>
  <c r="P36" i="9" a="1"/>
  <c r="P36" i="9" s="1"/>
  <c r="K36" i="9"/>
  <c r="M36" i="9" s="1"/>
  <c r="G37" i="8"/>
  <c r="F38" i="9"/>
  <c r="G37" i="9"/>
  <c r="P32" i="3" a="1"/>
  <c r="P32" i="3" s="1"/>
  <c r="K32" i="3"/>
  <c r="M32" i="3" s="1"/>
  <c r="O32" i="3"/>
  <c r="F34" i="3"/>
  <c r="G33" i="3"/>
  <c r="D35" i="3"/>
  <c r="G38" i="8" l="1"/>
  <c r="F35" i="3"/>
  <c r="G34" i="3"/>
  <c r="P37" i="9" a="1"/>
  <c r="P37" i="9" s="1"/>
  <c r="I37" i="9"/>
  <c r="O37" i="9"/>
  <c r="K37" i="9"/>
  <c r="M37" i="9" s="1"/>
  <c r="P33" i="3" a="1"/>
  <c r="P33" i="3" s="1"/>
  <c r="K33" i="3"/>
  <c r="M33" i="3" s="1"/>
  <c r="O33" i="3"/>
  <c r="F39" i="9"/>
  <c r="G38" i="9"/>
  <c r="P37" i="8" a="1"/>
  <c r="P37" i="8" s="1"/>
  <c r="K37" i="8"/>
  <c r="M37" i="8" s="1"/>
  <c r="O37" i="8"/>
  <c r="I37" i="8"/>
  <c r="D36" i="3"/>
  <c r="I38" i="9" l="1"/>
  <c r="O38" i="9"/>
  <c r="K38" i="9"/>
  <c r="M38" i="9" s="1"/>
  <c r="P38" i="9" a="1"/>
  <c r="P38" i="9" s="1"/>
  <c r="F40" i="9"/>
  <c r="G39" i="9"/>
  <c r="P34" i="3" a="1"/>
  <c r="P34" i="3" s="1"/>
  <c r="O34" i="3"/>
  <c r="K34" i="3"/>
  <c r="M34" i="3" s="1"/>
  <c r="F36" i="3"/>
  <c r="G35" i="3"/>
  <c r="K38" i="8"/>
  <c r="M38" i="8" s="1"/>
  <c r="P38" i="8" a="1"/>
  <c r="P38" i="8" s="1"/>
  <c r="O38" i="8"/>
  <c r="I38" i="8"/>
  <c r="G39" i="8"/>
  <c r="D37" i="3"/>
  <c r="O39" i="9" l="1"/>
  <c r="I39" i="9"/>
  <c r="P39" i="9" a="1"/>
  <c r="P39" i="9" s="1"/>
  <c r="K39" i="9"/>
  <c r="M39" i="9" s="1"/>
  <c r="F41" i="9"/>
  <c r="G40" i="9"/>
  <c r="P35" i="3" a="1"/>
  <c r="P35" i="3" s="1"/>
  <c r="K35" i="3"/>
  <c r="M35" i="3" s="1"/>
  <c r="O35" i="3"/>
  <c r="F37" i="3"/>
  <c r="G36" i="3"/>
  <c r="G40" i="8"/>
  <c r="K39" i="8"/>
  <c r="M39" i="8" s="1"/>
  <c r="P39" i="8" a="1"/>
  <c r="P39" i="8" s="1"/>
  <c r="O39" i="8"/>
  <c r="I39" i="8"/>
  <c r="D38" i="3"/>
  <c r="K36" i="3" l="1"/>
  <c r="M36" i="3" s="1"/>
  <c r="O36" i="3"/>
  <c r="P36" i="3" a="1"/>
  <c r="P36" i="3" s="1"/>
  <c r="P40" i="9" a="1"/>
  <c r="P40" i="9" s="1"/>
  <c r="O40" i="9"/>
  <c r="I40" i="9"/>
  <c r="K40" i="9"/>
  <c r="M40" i="9" s="1"/>
  <c r="K40" i="8"/>
  <c r="M40" i="8" s="1"/>
  <c r="P40" i="8" a="1"/>
  <c r="P40" i="8" s="1"/>
  <c r="O40" i="8"/>
  <c r="I40" i="8"/>
  <c r="F42" i="9"/>
  <c r="G41" i="9"/>
  <c r="G41" i="8"/>
  <c r="F38" i="3"/>
  <c r="G37" i="3"/>
  <c r="D39" i="3"/>
  <c r="F43" i="9" l="1"/>
  <c r="G42" i="9"/>
  <c r="O41" i="8"/>
  <c r="I41" i="8"/>
  <c r="K41" i="8"/>
  <c r="M41" i="8" s="1"/>
  <c r="P41" i="8" a="1"/>
  <c r="P41" i="8" s="1"/>
  <c r="G42" i="8"/>
  <c r="P37" i="3" a="1"/>
  <c r="P37" i="3" s="1"/>
  <c r="K37" i="3"/>
  <c r="M37" i="3" s="1"/>
  <c r="O37" i="3"/>
  <c r="F39" i="3"/>
  <c r="G38" i="3"/>
  <c r="P41" i="9" a="1"/>
  <c r="P41" i="9" s="1"/>
  <c r="I41" i="9"/>
  <c r="K41" i="9"/>
  <c r="M41" i="9" s="1"/>
  <c r="O41" i="9"/>
  <c r="D40" i="3"/>
  <c r="K42" i="8" l="1"/>
  <c r="M42" i="8" s="1"/>
  <c r="P42" i="8" a="1"/>
  <c r="P42" i="8" s="1"/>
  <c r="O42" i="8"/>
  <c r="I42" i="8"/>
  <c r="G43" i="8"/>
  <c r="K38" i="3"/>
  <c r="M38" i="3" s="1"/>
  <c r="P38" i="3" a="1"/>
  <c r="P38" i="3" s="1"/>
  <c r="O38" i="3"/>
  <c r="F40" i="3"/>
  <c r="G39" i="3"/>
  <c r="I42" i="9"/>
  <c r="O42" i="9"/>
  <c r="P42" i="9" a="1"/>
  <c r="P42" i="9" s="1"/>
  <c r="K42" i="9"/>
  <c r="M42" i="9" s="1"/>
  <c r="F44" i="9"/>
  <c r="G43" i="9"/>
  <c r="D41" i="3"/>
  <c r="I43" i="8" l="1"/>
  <c r="O43" i="8"/>
  <c r="P43" i="8" a="1"/>
  <c r="P43" i="8" s="1"/>
  <c r="K43" i="8"/>
  <c r="M43" i="8" s="1"/>
  <c r="G44" i="8"/>
  <c r="F45" i="9"/>
  <c r="G44" i="9"/>
  <c r="P39" i="3" a="1"/>
  <c r="P39" i="3" s="1"/>
  <c r="K39" i="3"/>
  <c r="M39" i="3" s="1"/>
  <c r="O39" i="3"/>
  <c r="F41" i="3"/>
  <c r="G40" i="3"/>
  <c r="P43" i="9" a="1"/>
  <c r="P43" i="9" s="1"/>
  <c r="O43" i="9"/>
  <c r="I43" i="9"/>
  <c r="K43" i="9"/>
  <c r="M43" i="9" s="1"/>
  <c r="D42" i="3"/>
  <c r="K44" i="9" l="1"/>
  <c r="M44" i="9" s="1"/>
  <c r="O44" i="9"/>
  <c r="I44" i="9"/>
  <c r="P44" i="9" a="1"/>
  <c r="P44" i="9" s="1"/>
  <c r="F46" i="9"/>
  <c r="G45" i="9"/>
  <c r="K44" i="8"/>
  <c r="M44" i="8" s="1"/>
  <c r="P44" i="8" a="1"/>
  <c r="P44" i="8" s="1"/>
  <c r="O44" i="8"/>
  <c r="I44" i="8"/>
  <c r="P40" i="3" a="1"/>
  <c r="P40" i="3" s="1"/>
  <c r="K40" i="3"/>
  <c r="M40" i="3" s="1"/>
  <c r="O40" i="3"/>
  <c r="G45" i="8"/>
  <c r="F42" i="3"/>
  <c r="G41" i="3"/>
  <c r="D43" i="3"/>
  <c r="K45" i="8" l="1"/>
  <c r="M45" i="8" s="1"/>
  <c r="P45" i="8" a="1"/>
  <c r="P45" i="8" s="1"/>
  <c r="O45" i="8"/>
  <c r="I45" i="8"/>
  <c r="F43" i="3"/>
  <c r="G42" i="3"/>
  <c r="G46" i="8"/>
  <c r="I45" i="9"/>
  <c r="P45" i="9" a="1"/>
  <c r="P45" i="9" s="1"/>
  <c r="O45" i="9"/>
  <c r="K45" i="9"/>
  <c r="M45" i="9" s="1"/>
  <c r="F47" i="9"/>
  <c r="G46" i="9"/>
  <c r="K41" i="3"/>
  <c r="M41" i="3" s="1"/>
  <c r="P41" i="3" a="1"/>
  <c r="P41" i="3" s="1"/>
  <c r="O41" i="3"/>
  <c r="D44" i="3"/>
  <c r="K46" i="8" l="1"/>
  <c r="M46" i="8" s="1"/>
  <c r="P46" i="8" a="1"/>
  <c r="P46" i="8" s="1"/>
  <c r="O46" i="8"/>
  <c r="I46" i="8"/>
  <c r="G47" i="8"/>
  <c r="P46" i="9" a="1"/>
  <c r="P46" i="9" s="1"/>
  <c r="I46" i="9"/>
  <c r="K46" i="9"/>
  <c r="M46" i="9" s="1"/>
  <c r="O46" i="9"/>
  <c r="P42" i="3" a="1"/>
  <c r="P42" i="3" s="1"/>
  <c r="K42" i="3"/>
  <c r="M42" i="3" s="1"/>
  <c r="O42" i="3"/>
  <c r="F48" i="9"/>
  <c r="G47" i="9"/>
  <c r="F44" i="3"/>
  <c r="G43" i="3"/>
  <c r="D45" i="3"/>
  <c r="F45" i="3" l="1"/>
  <c r="G44" i="3"/>
  <c r="F49" i="9"/>
  <c r="G48" i="9"/>
  <c r="I47" i="8"/>
  <c r="K47" i="8"/>
  <c r="M47" i="8" s="1"/>
  <c r="O47" i="8"/>
  <c r="P47" i="8" a="1"/>
  <c r="P47" i="8" s="1"/>
  <c r="G48" i="8"/>
  <c r="K47" i="9"/>
  <c r="M47" i="9" s="1"/>
  <c r="P47" i="9" a="1"/>
  <c r="P47" i="9" s="1"/>
  <c r="I47" i="9"/>
  <c r="O47" i="9"/>
  <c r="P43" i="3" a="1"/>
  <c r="P43" i="3" s="1"/>
  <c r="K43" i="3"/>
  <c r="M43" i="3" s="1"/>
  <c r="O43" i="3"/>
  <c r="D46" i="3"/>
  <c r="I48" i="9" l="1"/>
  <c r="K48" i="9"/>
  <c r="M48" i="9" s="1"/>
  <c r="P48" i="9" a="1"/>
  <c r="P48" i="9" s="1"/>
  <c r="O48" i="9"/>
  <c r="F50" i="9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G49" i="9"/>
  <c r="P48" i="8" a="1"/>
  <c r="P48" i="8" s="1"/>
  <c r="O48" i="8"/>
  <c r="I48" i="8"/>
  <c r="K48" i="8"/>
  <c r="M48" i="8" s="1"/>
  <c r="P44" i="3" a="1"/>
  <c r="P44" i="3" s="1"/>
  <c r="K44" i="3"/>
  <c r="M44" i="3" s="1"/>
  <c r="O44" i="3"/>
  <c r="G49" i="8"/>
  <c r="F46" i="3"/>
  <c r="G45" i="3"/>
  <c r="D47" i="3"/>
  <c r="F47" i="3" l="1"/>
  <c r="G46" i="3"/>
  <c r="G50" i="8"/>
  <c r="O49" i="9"/>
  <c r="P49" i="9" a="1"/>
  <c r="P49" i="9" s="1"/>
  <c r="I49" i="9"/>
  <c r="K49" i="9"/>
  <c r="M49" i="9" s="1"/>
  <c r="K49" i="8"/>
  <c r="M49" i="8" s="1"/>
  <c r="I49" i="8"/>
  <c r="P49" i="8" a="1"/>
  <c r="P49" i="8" s="1"/>
  <c r="O49" i="8"/>
  <c r="G50" i="9"/>
  <c r="P45" i="3" a="1"/>
  <c r="P45" i="3" s="1"/>
  <c r="O45" i="3"/>
  <c r="K45" i="3"/>
  <c r="M45" i="3" s="1"/>
  <c r="D48" i="3"/>
  <c r="G51" i="9" l="1"/>
  <c r="K50" i="8"/>
  <c r="M50" i="8" s="1"/>
  <c r="I50" i="8"/>
  <c r="P50" i="8" a="1"/>
  <c r="P50" i="8" s="1"/>
  <c r="O50" i="8"/>
  <c r="G51" i="8"/>
  <c r="O50" i="9"/>
  <c r="I50" i="9"/>
  <c r="K50" i="9"/>
  <c r="M50" i="9" s="1"/>
  <c r="P50" i="9" a="1"/>
  <c r="P50" i="9" s="1"/>
  <c r="P46" i="3" a="1"/>
  <c r="P46" i="3" s="1"/>
  <c r="O46" i="3"/>
  <c r="K46" i="3"/>
  <c r="M46" i="3" s="1"/>
  <c r="F48" i="3"/>
  <c r="G47" i="3"/>
  <c r="D49" i="3"/>
  <c r="F49" i="3" l="1"/>
  <c r="G48" i="3"/>
  <c r="O51" i="8"/>
  <c r="K51" i="8"/>
  <c r="M51" i="8" s="1"/>
  <c r="P51" i="8" a="1"/>
  <c r="P51" i="8" s="1"/>
  <c r="I51" i="8"/>
  <c r="G52" i="8"/>
  <c r="O51" i="9"/>
  <c r="I51" i="9"/>
  <c r="K51" i="9"/>
  <c r="M51" i="9" s="1"/>
  <c r="P51" i="9" a="1"/>
  <c r="P51" i="9" s="1"/>
  <c r="P47" i="3" a="1"/>
  <c r="P47" i="3" s="1"/>
  <c r="K47" i="3"/>
  <c r="M47" i="3" s="1"/>
  <c r="O47" i="3"/>
  <c r="G52" i="9"/>
  <c r="D50" i="3"/>
  <c r="G53" i="9" l="1"/>
  <c r="I52" i="8"/>
  <c r="P52" i="8" a="1"/>
  <c r="P52" i="8" s="1"/>
  <c r="K52" i="8"/>
  <c r="M52" i="8" s="1"/>
  <c r="O52" i="8"/>
  <c r="G53" i="8"/>
  <c r="P48" i="3" a="1"/>
  <c r="P48" i="3" s="1"/>
  <c r="K48" i="3"/>
  <c r="M48" i="3" s="1"/>
  <c r="O48" i="3"/>
  <c r="O52" i="9"/>
  <c r="K52" i="9"/>
  <c r="M52" i="9" s="1"/>
  <c r="I52" i="9"/>
  <c r="P52" i="9" a="1"/>
  <c r="P52" i="9" s="1"/>
  <c r="F50" i="3"/>
  <c r="G49" i="3"/>
  <c r="D51" i="3"/>
  <c r="P49" i="3" l="1" a="1"/>
  <c r="P49" i="3" s="1"/>
  <c r="O49" i="3"/>
  <c r="K49" i="3"/>
  <c r="M49" i="3" s="1"/>
  <c r="F51" i="3"/>
  <c r="G50" i="3"/>
  <c r="K53" i="8"/>
  <c r="M53" i="8" s="1"/>
  <c r="O53" i="8"/>
  <c r="I53" i="8"/>
  <c r="P53" i="8" a="1"/>
  <c r="P53" i="8" s="1"/>
  <c r="G54" i="8"/>
  <c r="P53" i="9" a="1"/>
  <c r="P53" i="9" s="1"/>
  <c r="K53" i="9"/>
  <c r="M53" i="9" s="1"/>
  <c r="O53" i="9"/>
  <c r="I53" i="9"/>
  <c r="G54" i="9"/>
  <c r="D59" i="3"/>
  <c r="G55" i="9" l="1"/>
  <c r="P54" i="9" a="1"/>
  <c r="P54" i="9" s="1"/>
  <c r="I54" i="9"/>
  <c r="K54" i="9"/>
  <c r="M54" i="9" s="1"/>
  <c r="O54" i="9"/>
  <c r="P50" i="3" a="1"/>
  <c r="P50" i="3" s="1"/>
  <c r="K50" i="3"/>
  <c r="M50" i="3" s="1"/>
  <c r="O50" i="3"/>
  <c r="G51" i="3"/>
  <c r="P54" i="8" a="1"/>
  <c r="P54" i="8" s="1"/>
  <c r="K54" i="8"/>
  <c r="M54" i="8" s="1"/>
  <c r="I54" i="8"/>
  <c r="O54" i="8"/>
  <c r="G55" i="8"/>
  <c r="D60" i="3"/>
  <c r="P51" i="3" l="1" a="1"/>
  <c r="P51" i="3" s="1"/>
  <c r="K51" i="3"/>
  <c r="M51" i="3" s="1"/>
  <c r="O51" i="3"/>
  <c r="G56" i="8"/>
  <c r="O55" i="9"/>
  <c r="I55" i="9"/>
  <c r="K55" i="9"/>
  <c r="M55" i="9" s="1"/>
  <c r="P55" i="9" a="1"/>
  <c r="P55" i="9" s="1"/>
  <c r="P55" i="8" a="1"/>
  <c r="P55" i="8" s="1"/>
  <c r="K55" i="8"/>
  <c r="M55" i="8" s="1"/>
  <c r="I55" i="8"/>
  <c r="O55" i="8"/>
  <c r="G56" i="9"/>
  <c r="D61" i="3"/>
  <c r="K56" i="9" l="1"/>
  <c r="M56" i="9" s="1"/>
  <c r="P56" i="9" a="1"/>
  <c r="P56" i="9" s="1"/>
  <c r="I56" i="9"/>
  <c r="O56" i="9"/>
  <c r="K56" i="8"/>
  <c r="M56" i="8" s="1"/>
  <c r="I56" i="8"/>
  <c r="P56" i="8" a="1"/>
  <c r="P56" i="8" s="1"/>
  <c r="O56" i="8"/>
  <c r="G57" i="8"/>
  <c r="G57" i="9"/>
  <c r="D62" i="3"/>
  <c r="K57" i="8" l="1"/>
  <c r="M57" i="8" s="1"/>
  <c r="P57" i="8" a="1"/>
  <c r="P57" i="8" s="1"/>
  <c r="O57" i="8"/>
  <c r="I57" i="8"/>
  <c r="O57" i="9"/>
  <c r="I57" i="9"/>
  <c r="K57" i="9"/>
  <c r="M57" i="9" s="1"/>
  <c r="P57" i="9" a="1"/>
  <c r="P57" i="9" s="1"/>
  <c r="G58" i="9"/>
  <c r="G58" i="8"/>
  <c r="D63" i="3"/>
  <c r="K58" i="9" l="1"/>
  <c r="M58" i="9" s="1"/>
  <c r="I58" i="9"/>
  <c r="O58" i="9"/>
  <c r="P58" i="9" a="1"/>
  <c r="P58" i="9" s="1"/>
  <c r="K58" i="8"/>
  <c r="M58" i="8" s="1"/>
  <c r="P58" i="8" a="1"/>
  <c r="P58" i="8" s="1"/>
  <c r="O58" i="8"/>
  <c r="I58" i="8"/>
  <c r="G59" i="8"/>
  <c r="G59" i="9"/>
  <c r="D64" i="3"/>
  <c r="O59" i="9" l="1"/>
  <c r="I59" i="9"/>
  <c r="K59" i="9"/>
  <c r="M59" i="9" s="1"/>
  <c r="P59" i="9" a="1"/>
  <c r="P59" i="9" s="1"/>
  <c r="G60" i="9"/>
  <c r="O59" i="8"/>
  <c r="I59" i="8"/>
  <c r="P59" i="8" a="1"/>
  <c r="P59" i="8" s="1"/>
  <c r="K59" i="8"/>
  <c r="M59" i="8" s="1"/>
  <c r="G60" i="8"/>
  <c r="D65" i="3"/>
  <c r="P60" i="9" l="1" a="1"/>
  <c r="P60" i="9" s="1"/>
  <c r="K60" i="9"/>
  <c r="M60" i="9" s="1"/>
  <c r="O60" i="9"/>
  <c r="I60" i="9"/>
  <c r="G61" i="9"/>
  <c r="G61" i="8"/>
  <c r="K60" i="8"/>
  <c r="M60" i="8" s="1"/>
  <c r="P60" i="8" a="1"/>
  <c r="P60" i="8" s="1"/>
  <c r="O60" i="8"/>
  <c r="I60" i="8"/>
  <c r="D66" i="3"/>
  <c r="P61" i="8" l="1" a="1"/>
  <c r="P61" i="8" s="1"/>
  <c r="K61" i="8"/>
  <c r="M61" i="8" s="1"/>
  <c r="I61" i="8"/>
  <c r="O61" i="8"/>
  <c r="P61" i="9" a="1"/>
  <c r="P61" i="9" s="1"/>
  <c r="K61" i="9"/>
  <c r="M61" i="9" s="1"/>
  <c r="O61" i="9"/>
  <c r="I61" i="9"/>
  <c r="G62" i="8"/>
  <c r="G62" i="9"/>
  <c r="D67" i="3"/>
  <c r="G63" i="8" l="1"/>
  <c r="I62" i="9"/>
  <c r="O62" i="9"/>
  <c r="K62" i="9"/>
  <c r="M62" i="9" s="1"/>
  <c r="P62" i="9" a="1"/>
  <c r="P62" i="9" s="1"/>
  <c r="G63" i="9"/>
  <c r="P62" i="8" a="1"/>
  <c r="P62" i="8" s="1"/>
  <c r="K62" i="8"/>
  <c r="M62" i="8" s="1"/>
  <c r="O62" i="8"/>
  <c r="I62" i="8"/>
  <c r="D68" i="3"/>
  <c r="O63" i="9" l="1"/>
  <c r="I63" i="9"/>
  <c r="K63" i="9"/>
  <c r="M63" i="9" s="1"/>
  <c r="P63" i="9" a="1"/>
  <c r="P63" i="9" s="1"/>
  <c r="G64" i="9"/>
  <c r="I63" i="8"/>
  <c r="K63" i="8"/>
  <c r="M63" i="8" s="1"/>
  <c r="O63" i="8"/>
  <c r="P63" i="8" a="1"/>
  <c r="P63" i="8" s="1"/>
  <c r="G64" i="8"/>
  <c r="D69" i="3"/>
  <c r="K64" i="9" l="1"/>
  <c r="M64" i="9" s="1"/>
  <c r="P64" i="9" a="1"/>
  <c r="P64" i="9" s="1"/>
  <c r="O64" i="9"/>
  <c r="I64" i="9"/>
  <c r="G65" i="9"/>
  <c r="I64" i="8"/>
  <c r="O64" i="8"/>
  <c r="K64" i="8"/>
  <c r="M64" i="8" s="1"/>
  <c r="P64" i="8" a="1"/>
  <c r="P64" i="8" s="1"/>
  <c r="G65" i="8"/>
  <c r="D70" i="3"/>
  <c r="O65" i="9" l="1"/>
  <c r="K65" i="9"/>
  <c r="M65" i="9" s="1"/>
  <c r="I65" i="9"/>
  <c r="P65" i="9" a="1"/>
  <c r="P65" i="9" s="1"/>
  <c r="G66" i="9"/>
  <c r="I65" i="8"/>
  <c r="O65" i="8"/>
  <c r="K65" i="8"/>
  <c r="M65" i="8" s="1"/>
  <c r="P65" i="8" a="1"/>
  <c r="P65" i="8" s="1"/>
  <c r="G66" i="8"/>
  <c r="D71" i="3"/>
  <c r="I66" i="9" l="1"/>
  <c r="K66" i="9"/>
  <c r="M66" i="9" s="1"/>
  <c r="O66" i="9"/>
  <c r="P66" i="9" a="1"/>
  <c r="P66" i="9" s="1"/>
  <c r="G67" i="9"/>
  <c r="K66" i="8"/>
  <c r="M66" i="8" s="1"/>
  <c r="P66" i="8" a="1"/>
  <c r="P66" i="8" s="1"/>
  <c r="O66" i="8"/>
  <c r="I66" i="8"/>
  <c r="G67" i="8"/>
  <c r="D72" i="3"/>
  <c r="K67" i="9" l="1"/>
  <c r="M67" i="9" s="1"/>
  <c r="P67" i="9" a="1"/>
  <c r="P67" i="9" s="1"/>
  <c r="O67" i="9"/>
  <c r="I67" i="9"/>
  <c r="G68" i="9"/>
  <c r="G68" i="8"/>
  <c r="I67" i="8"/>
  <c r="K67" i="8"/>
  <c r="M67" i="8" s="1"/>
  <c r="O67" i="8"/>
  <c r="P67" i="8" a="1"/>
  <c r="P67" i="8" s="1"/>
  <c r="D73" i="3"/>
  <c r="K68" i="8" l="1"/>
  <c r="M68" i="8" s="1"/>
  <c r="P68" i="8" a="1"/>
  <c r="P68" i="8" s="1"/>
  <c r="I68" i="8"/>
  <c r="O68" i="8"/>
  <c r="G69" i="8"/>
  <c r="P68" i="9" a="1"/>
  <c r="P68" i="9" s="1"/>
  <c r="K68" i="9"/>
  <c r="M68" i="9" s="1"/>
  <c r="I68" i="9"/>
  <c r="O68" i="9"/>
  <c r="G69" i="9"/>
  <c r="D74" i="3"/>
  <c r="K69" i="8" l="1"/>
  <c r="M69" i="8" s="1"/>
  <c r="P69" i="8" a="1"/>
  <c r="P69" i="8" s="1"/>
  <c r="O69" i="8"/>
  <c r="I69" i="8"/>
  <c r="G70" i="8"/>
  <c r="O69" i="9"/>
  <c r="I69" i="9"/>
  <c r="K69" i="9"/>
  <c r="M69" i="9" s="1"/>
  <c r="P69" i="9" a="1"/>
  <c r="P69" i="9" s="1"/>
  <c r="G70" i="9"/>
  <c r="D75" i="3"/>
  <c r="K70" i="8" l="1"/>
  <c r="M70" i="8" s="1"/>
  <c r="I70" i="8"/>
  <c r="P70" i="8" a="1"/>
  <c r="P70" i="8" s="1"/>
  <c r="O70" i="8"/>
  <c r="G71" i="8"/>
  <c r="O70" i="9"/>
  <c r="I70" i="9"/>
  <c r="K70" i="9"/>
  <c r="M70" i="9" s="1"/>
  <c r="P70" i="9" a="1"/>
  <c r="P70" i="9" s="1"/>
  <c r="G71" i="9"/>
  <c r="D76" i="3"/>
  <c r="G72" i="9" l="1"/>
  <c r="K71" i="8"/>
  <c r="M71" i="8" s="1"/>
  <c r="P71" i="8" a="1"/>
  <c r="P71" i="8" s="1"/>
  <c r="O71" i="8"/>
  <c r="I71" i="8"/>
  <c r="G72" i="8"/>
  <c r="P71" i="9" a="1"/>
  <c r="P71" i="9" s="1"/>
  <c r="O71" i="9"/>
  <c r="K71" i="9"/>
  <c r="M71" i="9" s="1"/>
  <c r="I71" i="9"/>
  <c r="D77" i="3"/>
  <c r="K72" i="8" l="1"/>
  <c r="M72" i="8" s="1"/>
  <c r="P72" i="8" a="1"/>
  <c r="P72" i="8" s="1"/>
  <c r="O72" i="8"/>
  <c r="I72" i="8"/>
  <c r="G73" i="8"/>
  <c r="K72" i="9"/>
  <c r="M72" i="9" s="1"/>
  <c r="I72" i="9"/>
  <c r="P72" i="9" a="1"/>
  <c r="P72" i="9" s="1"/>
  <c r="O72" i="9"/>
  <c r="G73" i="9"/>
  <c r="D78" i="3"/>
  <c r="K73" i="8" l="1"/>
  <c r="M73" i="8" s="1"/>
  <c r="P73" i="8" a="1"/>
  <c r="P73" i="8" s="1"/>
  <c r="I73" i="8"/>
  <c r="O73" i="8"/>
  <c r="G74" i="8"/>
  <c r="O73" i="9"/>
  <c r="I73" i="9"/>
  <c r="K73" i="9"/>
  <c r="M73" i="9" s="1"/>
  <c r="P73" i="9" a="1"/>
  <c r="P73" i="9" s="1"/>
  <c r="G74" i="9"/>
  <c r="D79" i="3"/>
  <c r="K74" i="8" l="1"/>
  <c r="M74" i="8" s="1"/>
  <c r="O74" i="8"/>
  <c r="I74" i="8"/>
  <c r="P74" i="8" a="1"/>
  <c r="P74" i="8" s="1"/>
  <c r="G75" i="8"/>
  <c r="O74" i="9"/>
  <c r="P74" i="9" a="1"/>
  <c r="P74" i="9" s="1"/>
  <c r="K74" i="9"/>
  <c r="M74" i="9" s="1"/>
  <c r="I74" i="9"/>
  <c r="G75" i="9"/>
  <c r="D80" i="3"/>
  <c r="K75" i="8" l="1"/>
  <c r="M75" i="8" s="1"/>
  <c r="P75" i="8" a="1"/>
  <c r="P75" i="8" s="1"/>
  <c r="O75" i="8"/>
  <c r="I75" i="8"/>
  <c r="G76" i="8"/>
  <c r="K75" i="9"/>
  <c r="M75" i="9" s="1"/>
  <c r="I75" i="9"/>
  <c r="O75" i="9"/>
  <c r="P75" i="9" a="1"/>
  <c r="P75" i="9" s="1"/>
  <c r="G76" i="9"/>
  <c r="D81" i="3"/>
  <c r="K76" i="8" l="1"/>
  <c r="M76" i="8" s="1"/>
  <c r="O76" i="8"/>
  <c r="I76" i="8"/>
  <c r="P76" i="8" a="1"/>
  <c r="P76" i="8" s="1"/>
  <c r="G77" i="8"/>
  <c r="K76" i="9"/>
  <c r="M76" i="9" s="1"/>
  <c r="P76" i="9" a="1"/>
  <c r="P76" i="9" s="1"/>
  <c r="O76" i="9"/>
  <c r="I76" i="9"/>
  <c r="G77" i="9"/>
  <c r="D82" i="3"/>
  <c r="K77" i="8" l="1"/>
  <c r="M77" i="8" s="1"/>
  <c r="P77" i="8" a="1"/>
  <c r="P77" i="8" s="1"/>
  <c r="O77" i="8"/>
  <c r="I77" i="8"/>
  <c r="G78" i="8"/>
  <c r="P77" i="9" a="1"/>
  <c r="P77" i="9" s="1"/>
  <c r="K77" i="9"/>
  <c r="M77" i="9" s="1"/>
  <c r="O77" i="9"/>
  <c r="I77" i="9"/>
  <c r="G78" i="9"/>
  <c r="D83" i="3"/>
  <c r="I78" i="8" l="1"/>
  <c r="O78" i="8"/>
  <c r="K78" i="8"/>
  <c r="M78" i="8" s="1"/>
  <c r="P78" i="8" a="1"/>
  <c r="P78" i="8" s="1"/>
  <c r="G79" i="8"/>
  <c r="P78" i="9" a="1"/>
  <c r="P78" i="9" s="1"/>
  <c r="O78" i="9"/>
  <c r="K78" i="9"/>
  <c r="M78" i="9" s="1"/>
  <c r="I78" i="9"/>
  <c r="G79" i="9"/>
  <c r="D84" i="3"/>
  <c r="K79" i="8" l="1"/>
  <c r="M79" i="8" s="1"/>
  <c r="P79" i="8" a="1"/>
  <c r="P79" i="8" s="1"/>
  <c r="I79" i="8"/>
  <c r="O79" i="8"/>
  <c r="G80" i="8"/>
  <c r="G80" i="9"/>
  <c r="I79" i="9"/>
  <c r="K79" i="9"/>
  <c r="M79" i="9" s="1"/>
  <c r="O79" i="9"/>
  <c r="P79" i="9" a="1"/>
  <c r="P79" i="9" s="1"/>
  <c r="D85" i="3"/>
  <c r="I80" i="9" l="1"/>
  <c r="K80" i="9"/>
  <c r="M80" i="9" s="1"/>
  <c r="P80" i="9" a="1"/>
  <c r="P80" i="9" s="1"/>
  <c r="O80" i="9"/>
  <c r="G81" i="9"/>
  <c r="P80" i="8" a="1"/>
  <c r="P80" i="8" s="1"/>
  <c r="O80" i="8"/>
  <c r="I80" i="8"/>
  <c r="K80" i="8"/>
  <c r="M80" i="8" s="1"/>
  <c r="G81" i="8"/>
  <c r="D86" i="3"/>
  <c r="G82" i="9" l="1"/>
  <c r="K81" i="8"/>
  <c r="M81" i="8" s="1"/>
  <c r="I81" i="8"/>
  <c r="P81" i="8" a="1"/>
  <c r="P81" i="8" s="1"/>
  <c r="O81" i="8"/>
  <c r="I81" i="9"/>
  <c r="K81" i="9"/>
  <c r="M81" i="9" s="1"/>
  <c r="P81" i="9" a="1"/>
  <c r="P81" i="9" s="1"/>
  <c r="O81" i="9"/>
  <c r="G82" i="8"/>
  <c r="D87" i="3"/>
  <c r="I82" i="8" l="1"/>
  <c r="K82" i="8"/>
  <c r="M82" i="8" s="1"/>
  <c r="O82" i="8"/>
  <c r="P82" i="8" a="1"/>
  <c r="P82" i="8" s="1"/>
  <c r="G83" i="8"/>
  <c r="I82" i="9"/>
  <c r="K82" i="9"/>
  <c r="M82" i="9" s="1"/>
  <c r="P82" i="9" a="1"/>
  <c r="P82" i="9" s="1"/>
  <c r="O82" i="9"/>
  <c r="G83" i="9"/>
  <c r="D88" i="3"/>
  <c r="K83" i="8" l="1"/>
  <c r="M83" i="8" s="1"/>
  <c r="I83" i="8"/>
  <c r="P83" i="8" a="1"/>
  <c r="P83" i="8" s="1"/>
  <c r="O83" i="8"/>
  <c r="G84" i="8"/>
  <c r="P83" i="9" a="1"/>
  <c r="P83" i="9" s="1"/>
  <c r="O83" i="9"/>
  <c r="K83" i="9"/>
  <c r="M83" i="9" s="1"/>
  <c r="I83" i="9"/>
  <c r="G84" i="9"/>
  <c r="D89" i="3"/>
  <c r="G85" i="8" l="1"/>
  <c r="P84" i="9" a="1"/>
  <c r="P84" i="9" s="1"/>
  <c r="K84" i="9"/>
  <c r="M84" i="9" s="1"/>
  <c r="I84" i="9"/>
  <c r="O84" i="9"/>
  <c r="K84" i="8"/>
  <c r="M84" i="8" s="1"/>
  <c r="O84" i="8"/>
  <c r="I84" i="8"/>
  <c r="P84" i="8" a="1"/>
  <c r="P84" i="8" s="1"/>
  <c r="G85" i="9"/>
  <c r="D90" i="3"/>
  <c r="K85" i="8" l="1"/>
  <c r="M85" i="8" s="1"/>
  <c r="P85" i="8" a="1"/>
  <c r="P85" i="8" s="1"/>
  <c r="O85" i="8"/>
  <c r="I85" i="8"/>
  <c r="K85" i="9"/>
  <c r="M85" i="9" s="1"/>
  <c r="P85" i="9" a="1"/>
  <c r="P85" i="9" s="1"/>
  <c r="O85" i="9"/>
  <c r="I85" i="9"/>
  <c r="G86" i="9"/>
  <c r="G86" i="8"/>
  <c r="D92" i="3"/>
  <c r="O86" i="9" l="1"/>
  <c r="K86" i="9"/>
  <c r="M86" i="9" s="1"/>
  <c r="I86" i="9"/>
  <c r="P86" i="9" a="1"/>
  <c r="P86" i="9" s="1"/>
  <c r="P86" i="8" a="1"/>
  <c r="P86" i="8" s="1"/>
  <c r="I86" i="8"/>
  <c r="K86" i="8"/>
  <c r="M86" i="8" s="1"/>
  <c r="O86" i="8"/>
  <c r="G87" i="8"/>
  <c r="G87" i="9"/>
  <c r="D93" i="3"/>
  <c r="G88" i="9" l="1"/>
  <c r="I87" i="8"/>
  <c r="K87" i="8"/>
  <c r="M87" i="8" s="1"/>
  <c r="P87" i="8" a="1"/>
  <c r="P87" i="8" s="1"/>
  <c r="O87" i="8"/>
  <c r="P87" i="9" a="1"/>
  <c r="P87" i="9" s="1"/>
  <c r="K87" i="9"/>
  <c r="M87" i="9" s="1"/>
  <c r="I87" i="9"/>
  <c r="O87" i="9"/>
  <c r="G88" i="8"/>
  <c r="D94" i="3"/>
  <c r="K88" i="8" l="1"/>
  <c r="M88" i="8" s="1"/>
  <c r="I88" i="8"/>
  <c r="P88" i="8" a="1"/>
  <c r="P88" i="8" s="1"/>
  <c r="O88" i="8"/>
  <c r="K88" i="9"/>
  <c r="M88" i="9" s="1"/>
  <c r="P88" i="9" a="1"/>
  <c r="P88" i="9" s="1"/>
  <c r="I88" i="9"/>
  <c r="O88" i="9"/>
  <c r="G89" i="8"/>
  <c r="G89" i="9"/>
  <c r="D95" i="3"/>
  <c r="G90" i="9" l="1"/>
  <c r="P89" i="8" a="1"/>
  <c r="P89" i="8" s="1"/>
  <c r="K89" i="8"/>
  <c r="M89" i="8" s="1"/>
  <c r="O89" i="8"/>
  <c r="I89" i="8"/>
  <c r="K89" i="9"/>
  <c r="M89" i="9" s="1"/>
  <c r="O89" i="9"/>
  <c r="P89" i="9" a="1"/>
  <c r="P89" i="9" s="1"/>
  <c r="I89" i="9"/>
  <c r="F137" i="8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G90" i="8"/>
  <c r="D96" i="3"/>
  <c r="K90" i="8" l="1"/>
  <c r="M90" i="8" s="1"/>
  <c r="O90" i="8"/>
  <c r="I90" i="8"/>
  <c r="P90" i="8" a="1"/>
  <c r="P90" i="8" s="1"/>
  <c r="G91" i="8"/>
  <c r="K90" i="9"/>
  <c r="M90" i="9" s="1"/>
  <c r="O90" i="9"/>
  <c r="P90" i="9" a="1"/>
  <c r="P90" i="9" s="1"/>
  <c r="I90" i="9"/>
  <c r="G91" i="9"/>
  <c r="D97" i="3"/>
  <c r="O91" i="8" l="1"/>
  <c r="K91" i="8"/>
  <c r="M91" i="8" s="1"/>
  <c r="P91" i="8" a="1"/>
  <c r="P91" i="8" s="1"/>
  <c r="I91" i="8"/>
  <c r="G92" i="9"/>
  <c r="G92" i="8"/>
  <c r="I91" i="9"/>
  <c r="P91" i="9" a="1"/>
  <c r="P91" i="9" s="1"/>
  <c r="K91" i="9"/>
  <c r="M91" i="9" s="1"/>
  <c r="O91" i="9"/>
  <c r="D98" i="3"/>
  <c r="O92" i="8" l="1"/>
  <c r="K92" i="8"/>
  <c r="M92" i="8" s="1"/>
  <c r="P92" i="8" a="1"/>
  <c r="P92" i="8" s="1"/>
  <c r="I92" i="8"/>
  <c r="P92" i="9" a="1"/>
  <c r="P92" i="9" s="1"/>
  <c r="O92" i="9"/>
  <c r="I92" i="9"/>
  <c r="K92" i="9"/>
  <c r="M92" i="9" s="1"/>
  <c r="G93" i="8"/>
  <c r="G93" i="9"/>
  <c r="D99" i="3"/>
  <c r="O93" i="9" l="1"/>
  <c r="P93" i="9" a="1"/>
  <c r="P93" i="9" s="1"/>
  <c r="K93" i="9"/>
  <c r="M93" i="9" s="1"/>
  <c r="I93" i="9"/>
  <c r="P93" i="8" a="1"/>
  <c r="P93" i="8" s="1"/>
  <c r="I93" i="8"/>
  <c r="K93" i="8"/>
  <c r="M93" i="8" s="1"/>
  <c r="O93" i="8"/>
  <c r="G94" i="9"/>
  <c r="G94" i="8"/>
  <c r="D100" i="3"/>
  <c r="O94" i="8" l="1"/>
  <c r="K94" i="8"/>
  <c r="M94" i="8" s="1"/>
  <c r="P94" i="8" a="1"/>
  <c r="P94" i="8" s="1"/>
  <c r="I94" i="8"/>
  <c r="G95" i="8"/>
  <c r="I94" i="9"/>
  <c r="K94" i="9"/>
  <c r="M94" i="9" s="1"/>
  <c r="P94" i="9" a="1"/>
  <c r="P94" i="9" s="1"/>
  <c r="O94" i="9"/>
  <c r="G95" i="9"/>
  <c r="D101" i="3"/>
  <c r="O95" i="8" l="1"/>
  <c r="I95" i="8"/>
  <c r="K95" i="8"/>
  <c r="M95" i="8" s="1"/>
  <c r="P95" i="8" a="1"/>
  <c r="P95" i="8" s="1"/>
  <c r="G96" i="8"/>
  <c r="O95" i="9"/>
  <c r="I95" i="9"/>
  <c r="P95" i="9" a="1"/>
  <c r="P95" i="9" s="1"/>
  <c r="K95" i="9"/>
  <c r="M95" i="9" s="1"/>
  <c r="G96" i="9"/>
  <c r="D102" i="3"/>
  <c r="I96" i="8" l="1"/>
  <c r="O96" i="8"/>
  <c r="K96" i="8"/>
  <c r="M96" i="8" s="1"/>
  <c r="P96" i="8" a="1"/>
  <c r="P96" i="8" s="1"/>
  <c r="G97" i="8"/>
  <c r="G97" i="9"/>
  <c r="P96" i="9" a="1"/>
  <c r="P96" i="9" s="1"/>
  <c r="O96" i="9"/>
  <c r="I96" i="9"/>
  <c r="K96" i="9"/>
  <c r="M96" i="9" s="1"/>
  <c r="D103" i="3"/>
  <c r="P97" i="9" l="1" a="1"/>
  <c r="P97" i="9" s="1"/>
  <c r="I97" i="9"/>
  <c r="K97" i="9"/>
  <c r="M97" i="9" s="1"/>
  <c r="O97" i="9"/>
  <c r="P97" i="8" a="1"/>
  <c r="P97" i="8" s="1"/>
  <c r="I97" i="8"/>
  <c r="O97" i="8"/>
  <c r="K97" i="8"/>
  <c r="M97" i="8" s="1"/>
  <c r="G98" i="8"/>
  <c r="G98" i="9"/>
  <c r="D104" i="3"/>
  <c r="G99" i="8" l="1"/>
  <c r="K98" i="9"/>
  <c r="M98" i="9" s="1"/>
  <c r="P98" i="9" a="1"/>
  <c r="P98" i="9" s="1"/>
  <c r="I98" i="9"/>
  <c r="O98" i="9"/>
  <c r="G99" i="9"/>
  <c r="O98" i="8"/>
  <c r="I98" i="8"/>
  <c r="P98" i="8" a="1"/>
  <c r="P98" i="8" s="1"/>
  <c r="K98" i="8"/>
  <c r="M98" i="8" s="1"/>
  <c r="D105" i="3"/>
  <c r="I99" i="9" l="1"/>
  <c r="O99" i="9"/>
  <c r="K99" i="9"/>
  <c r="M99" i="9" s="1"/>
  <c r="P99" i="9" a="1"/>
  <c r="P99" i="9" s="1"/>
  <c r="G100" i="9"/>
  <c r="P99" i="8" a="1"/>
  <c r="P99" i="8" s="1"/>
  <c r="O99" i="8"/>
  <c r="I99" i="8"/>
  <c r="K99" i="8"/>
  <c r="M99" i="8" s="1"/>
  <c r="G100" i="8"/>
  <c r="D106" i="3"/>
  <c r="K100" i="9" l="1"/>
  <c r="M100" i="9" s="1"/>
  <c r="O100" i="9"/>
  <c r="P100" i="9" a="1"/>
  <c r="P100" i="9" s="1"/>
  <c r="I100" i="9"/>
  <c r="G101" i="9"/>
  <c r="G101" i="8"/>
  <c r="P100" i="8" a="1"/>
  <c r="P100" i="8" s="1"/>
  <c r="O100" i="8"/>
  <c r="K100" i="8"/>
  <c r="M100" i="8" s="1"/>
  <c r="I100" i="8"/>
  <c r="D107" i="3"/>
  <c r="O101" i="8" l="1"/>
  <c r="P101" i="8" a="1"/>
  <c r="P101" i="8" s="1"/>
  <c r="K101" i="8"/>
  <c r="M101" i="8" s="1"/>
  <c r="I101" i="8"/>
  <c r="G102" i="8"/>
  <c r="K101" i="9"/>
  <c r="M101" i="9" s="1"/>
  <c r="P101" i="9" a="1"/>
  <c r="P101" i="9" s="1"/>
  <c r="I101" i="9"/>
  <c r="O101" i="9"/>
  <c r="G102" i="9"/>
  <c r="D108" i="3"/>
  <c r="G103" i="8" l="1"/>
  <c r="I102" i="9"/>
  <c r="P102" i="9" a="1"/>
  <c r="P102" i="9" s="1"/>
  <c r="K102" i="9"/>
  <c r="M102" i="9" s="1"/>
  <c r="O102" i="9"/>
  <c r="K102" i="8"/>
  <c r="M102" i="8" s="1"/>
  <c r="P102" i="8" a="1"/>
  <c r="P102" i="8" s="1"/>
  <c r="O102" i="8"/>
  <c r="I102" i="8"/>
  <c r="G103" i="9"/>
  <c r="D109" i="3"/>
  <c r="K103" i="9" l="1"/>
  <c r="M103" i="9" s="1"/>
  <c r="P103" i="9" a="1"/>
  <c r="P103" i="9" s="1"/>
  <c r="O103" i="9"/>
  <c r="I103" i="9"/>
  <c r="G104" i="9"/>
  <c r="I103" i="8"/>
  <c r="P103" i="8" a="1"/>
  <c r="P103" i="8" s="1"/>
  <c r="O103" i="8"/>
  <c r="K103" i="8"/>
  <c r="M103" i="8" s="1"/>
  <c r="G104" i="8"/>
  <c r="D110" i="3"/>
  <c r="G105" i="9" l="1"/>
  <c r="P104" i="8" a="1"/>
  <c r="P104" i="8" s="1"/>
  <c r="I104" i="8"/>
  <c r="K104" i="8"/>
  <c r="M104" i="8" s="1"/>
  <c r="O104" i="8"/>
  <c r="K104" i="9"/>
  <c r="M104" i="9" s="1"/>
  <c r="P104" i="9" a="1"/>
  <c r="P104" i="9" s="1"/>
  <c r="O104" i="9"/>
  <c r="I104" i="9"/>
  <c r="G105" i="8"/>
  <c r="D112" i="3"/>
  <c r="O105" i="8" l="1"/>
  <c r="I105" i="8"/>
  <c r="K105" i="8"/>
  <c r="M105" i="8" s="1"/>
  <c r="P105" i="8" a="1"/>
  <c r="P105" i="8" s="1"/>
  <c r="G106" i="8"/>
  <c r="P105" i="9" a="1"/>
  <c r="P105" i="9" s="1"/>
  <c r="I105" i="9"/>
  <c r="K105" i="9"/>
  <c r="M105" i="9" s="1"/>
  <c r="O105" i="9"/>
  <c r="G106" i="9"/>
  <c r="D113" i="3"/>
  <c r="O106" i="9" l="1"/>
  <c r="P106" i="9" a="1"/>
  <c r="P106" i="9" s="1"/>
  <c r="K106" i="9"/>
  <c r="M106" i="9" s="1"/>
  <c r="I106" i="9"/>
  <c r="K106" i="8"/>
  <c r="M106" i="8" s="1"/>
  <c r="P106" i="8" a="1"/>
  <c r="P106" i="8" s="1"/>
  <c r="I106" i="8"/>
  <c r="O106" i="8"/>
  <c r="G107" i="8"/>
  <c r="G107" i="9"/>
  <c r="D114" i="3"/>
  <c r="K107" i="9" l="1"/>
  <c r="M107" i="9" s="1"/>
  <c r="P107" i="9" a="1"/>
  <c r="P107" i="9" s="1"/>
  <c r="O107" i="9"/>
  <c r="I107" i="9"/>
  <c r="G108" i="9"/>
  <c r="O107" i="8"/>
  <c r="I107" i="8"/>
  <c r="K107" i="8"/>
  <c r="M107" i="8" s="1"/>
  <c r="P107" i="8" a="1"/>
  <c r="P107" i="8" s="1"/>
  <c r="G108" i="8"/>
  <c r="D115" i="3"/>
  <c r="G109" i="9" l="1"/>
  <c r="P108" i="8" a="1"/>
  <c r="P108" i="8" s="1"/>
  <c r="I108" i="8"/>
  <c r="K108" i="8"/>
  <c r="M108" i="8" s="1"/>
  <c r="O108" i="8"/>
  <c r="K108" i="9"/>
  <c r="M108" i="9" s="1"/>
  <c r="P108" i="9" a="1"/>
  <c r="P108" i="9" s="1"/>
  <c r="I108" i="9"/>
  <c r="O108" i="9"/>
  <c r="G109" i="8"/>
  <c r="D116" i="3"/>
  <c r="P109" i="8" l="1" a="1"/>
  <c r="P109" i="8" s="1"/>
  <c r="O109" i="8"/>
  <c r="K109" i="8"/>
  <c r="M109" i="8" s="1"/>
  <c r="I109" i="8"/>
  <c r="G110" i="9"/>
  <c r="G110" i="8"/>
  <c r="K109" i="9"/>
  <c r="M109" i="9" s="1"/>
  <c r="P109" i="9" a="1"/>
  <c r="P109" i="9" s="1"/>
  <c r="O109" i="9"/>
  <c r="I109" i="9"/>
  <c r="D117" i="3"/>
  <c r="K110" i="8" l="1"/>
  <c r="M110" i="8" s="1"/>
  <c r="O110" i="8"/>
  <c r="P110" i="8" a="1"/>
  <c r="P110" i="8" s="1"/>
  <c r="I110" i="8"/>
  <c r="P110" i="9" a="1"/>
  <c r="P110" i="9" s="1"/>
  <c r="K110" i="9"/>
  <c r="M110" i="9" s="1"/>
  <c r="I110" i="9"/>
  <c r="O110" i="9"/>
  <c r="G111" i="9"/>
  <c r="G111" i="8"/>
  <c r="D118" i="3"/>
  <c r="K111" i="8" l="1"/>
  <c r="M111" i="8" s="1"/>
  <c r="I111" i="8"/>
  <c r="P111" i="8" a="1"/>
  <c r="P111" i="8" s="1"/>
  <c r="O111" i="8"/>
  <c r="P111" i="9" a="1"/>
  <c r="P111" i="9" s="1"/>
  <c r="K111" i="9"/>
  <c r="M111" i="9" s="1"/>
  <c r="O111" i="9"/>
  <c r="I111" i="9"/>
  <c r="G112" i="8"/>
  <c r="G112" i="9"/>
  <c r="D119" i="3"/>
  <c r="G113" i="9" l="1"/>
  <c r="P112" i="8" a="1"/>
  <c r="P112" i="8" s="1"/>
  <c r="I112" i="8"/>
  <c r="O112" i="8"/>
  <c r="K112" i="8"/>
  <c r="M112" i="8" s="1"/>
  <c r="P112" i="9" a="1"/>
  <c r="P112" i="9" s="1"/>
  <c r="K112" i="9"/>
  <c r="M112" i="9" s="1"/>
  <c r="O112" i="9"/>
  <c r="I112" i="9"/>
  <c r="G113" i="8"/>
  <c r="D120" i="3"/>
  <c r="G114" i="8" l="1"/>
  <c r="G114" i="9"/>
  <c r="P113" i="8" a="1"/>
  <c r="P113" i="8" s="1"/>
  <c r="I113" i="8"/>
  <c r="K113" i="8"/>
  <c r="M113" i="8" s="1"/>
  <c r="O113" i="8"/>
  <c r="P113" i="9" a="1"/>
  <c r="P113" i="9" s="1"/>
  <c r="K113" i="9"/>
  <c r="M113" i="9" s="1"/>
  <c r="I113" i="9"/>
  <c r="O113" i="9"/>
  <c r="D121" i="3"/>
  <c r="G115" i="9" l="1"/>
  <c r="K114" i="9"/>
  <c r="M114" i="9" s="1"/>
  <c r="P114" i="9" a="1"/>
  <c r="P114" i="9" s="1"/>
  <c r="O114" i="9"/>
  <c r="I114" i="9"/>
  <c r="K114" i="8"/>
  <c r="M114" i="8" s="1"/>
  <c r="P114" i="8" a="1"/>
  <c r="P114" i="8" s="1"/>
  <c r="O114" i="8"/>
  <c r="I114" i="8"/>
  <c r="G115" i="8"/>
  <c r="D122" i="3"/>
  <c r="G116" i="8" l="1"/>
  <c r="P115" i="9" a="1"/>
  <c r="P115" i="9" s="1"/>
  <c r="O115" i="9"/>
  <c r="I115" i="9"/>
  <c r="K115" i="9"/>
  <c r="M115" i="9" s="1"/>
  <c r="K115" i="8"/>
  <c r="M115" i="8" s="1"/>
  <c r="I115" i="8"/>
  <c r="O115" i="8"/>
  <c r="P115" i="8" a="1"/>
  <c r="P115" i="8" s="1"/>
  <c r="G116" i="9"/>
  <c r="D123" i="3"/>
  <c r="P116" i="9" l="1" a="1"/>
  <c r="P116" i="9" s="1"/>
  <c r="I116" i="9"/>
  <c r="K116" i="9"/>
  <c r="M116" i="9" s="1"/>
  <c r="O116" i="9"/>
  <c r="K116" i="8"/>
  <c r="M116" i="8" s="1"/>
  <c r="P116" i="8" a="1"/>
  <c r="P116" i="8" s="1"/>
  <c r="I116" i="8"/>
  <c r="O116" i="8"/>
  <c r="G117" i="9"/>
  <c r="G117" i="8"/>
  <c r="D72" i="7" s="1"/>
  <c r="D124" i="3"/>
  <c r="G118" i="9" l="1"/>
  <c r="K117" i="8"/>
  <c r="M117" i="8" s="1"/>
  <c r="P117" i="8" a="1"/>
  <c r="P117" i="8" s="1"/>
  <c r="O117" i="8"/>
  <c r="I117" i="8"/>
  <c r="G118" i="8"/>
  <c r="P117" i="9" a="1"/>
  <c r="P117" i="9" s="1"/>
  <c r="K117" i="9"/>
  <c r="M117" i="9" s="1"/>
  <c r="O117" i="9"/>
  <c r="I117" i="9"/>
  <c r="D125" i="3"/>
  <c r="O118" i="8" l="1"/>
  <c r="K118" i="8"/>
  <c r="M118" i="8" s="1"/>
  <c r="I118" i="8"/>
  <c r="P118" i="8" a="1"/>
  <c r="P118" i="8" s="1"/>
  <c r="G119" i="8"/>
  <c r="P118" i="9" a="1"/>
  <c r="P118" i="9" s="1"/>
  <c r="K118" i="9"/>
  <c r="M118" i="9" s="1"/>
  <c r="O118" i="9"/>
  <c r="I118" i="9"/>
  <c r="G119" i="9"/>
  <c r="D126" i="3"/>
  <c r="G120" i="8" l="1"/>
  <c r="G120" i="9"/>
  <c r="K119" i="8"/>
  <c r="M119" i="8" s="1"/>
  <c r="P119" i="8" a="1"/>
  <c r="P119" i="8" s="1"/>
  <c r="O119" i="8"/>
  <c r="I119" i="8"/>
  <c r="P119" i="9" a="1"/>
  <c r="P119" i="9" s="1"/>
  <c r="O119" i="9"/>
  <c r="K119" i="9"/>
  <c r="M119" i="9" s="1"/>
  <c r="I119" i="9"/>
  <c r="D127" i="3"/>
  <c r="P120" i="9" l="1" a="1"/>
  <c r="P120" i="9" s="1"/>
  <c r="K120" i="9"/>
  <c r="M120" i="9" s="1"/>
  <c r="O120" i="9"/>
  <c r="I120" i="9"/>
  <c r="G121" i="9"/>
  <c r="K120" i="8"/>
  <c r="M120" i="8" s="1"/>
  <c r="P120" i="8" a="1"/>
  <c r="P120" i="8" s="1"/>
  <c r="I120" i="8"/>
  <c r="O120" i="8"/>
  <c r="G121" i="8"/>
  <c r="D128" i="3"/>
  <c r="G122" i="9" l="1"/>
  <c r="K121" i="8"/>
  <c r="M121" i="8" s="1"/>
  <c r="P121" i="8" a="1"/>
  <c r="P121" i="8" s="1"/>
  <c r="I121" i="8"/>
  <c r="O121" i="8"/>
  <c r="P121" i="9" a="1"/>
  <c r="P121" i="9" s="1"/>
  <c r="O121" i="9"/>
  <c r="I121" i="9"/>
  <c r="K121" i="9"/>
  <c r="M121" i="9" s="1"/>
  <c r="G122" i="8"/>
  <c r="D129" i="3"/>
  <c r="K122" i="8" l="1"/>
  <c r="M122" i="8" s="1"/>
  <c r="P122" i="8" a="1"/>
  <c r="P122" i="8" s="1"/>
  <c r="I122" i="8"/>
  <c r="O122" i="8"/>
  <c r="G123" i="9"/>
  <c r="G123" i="8"/>
  <c r="P122" i="9" a="1"/>
  <c r="P122" i="9" s="1"/>
  <c r="O122" i="9"/>
  <c r="K122" i="9"/>
  <c r="M122" i="9" s="1"/>
  <c r="I122" i="9"/>
  <c r="D130" i="3"/>
  <c r="K123" i="8" l="1"/>
  <c r="M123" i="8" s="1"/>
  <c r="P123" i="8" a="1"/>
  <c r="P123" i="8" s="1"/>
  <c r="I123" i="8"/>
  <c r="O123" i="8"/>
  <c r="G124" i="8"/>
  <c r="I123" i="9"/>
  <c r="P123" i="9" a="1"/>
  <c r="P123" i="9" s="1"/>
  <c r="K123" i="9"/>
  <c r="M123" i="9" s="1"/>
  <c r="O123" i="9"/>
  <c r="G124" i="9"/>
  <c r="D131" i="3"/>
  <c r="G125" i="8" l="1"/>
  <c r="I124" i="8"/>
  <c r="K124" i="8"/>
  <c r="M124" i="8" s="1"/>
  <c r="P124" i="8" a="1"/>
  <c r="P124" i="8" s="1"/>
  <c r="O124" i="8"/>
  <c r="P124" i="9" a="1"/>
  <c r="P124" i="9" s="1"/>
  <c r="I124" i="9"/>
  <c r="K124" i="9"/>
  <c r="M124" i="9" s="1"/>
  <c r="O124" i="9"/>
  <c r="G125" i="9"/>
  <c r="D132" i="3"/>
  <c r="G126" i="9" l="1"/>
  <c r="I125" i="9"/>
  <c r="P125" i="9" a="1"/>
  <c r="P125" i="9" s="1"/>
  <c r="K125" i="9"/>
  <c r="M125" i="9" s="1"/>
  <c r="O125" i="9"/>
  <c r="P125" i="8" a="1"/>
  <c r="P125" i="8" s="1"/>
  <c r="K125" i="8"/>
  <c r="M125" i="8" s="1"/>
  <c r="O125" i="8"/>
  <c r="I125" i="8"/>
  <c r="G126" i="8"/>
  <c r="D133" i="3"/>
  <c r="G127" i="8" l="1"/>
  <c r="K126" i="8"/>
  <c r="M126" i="8" s="1"/>
  <c r="O126" i="8"/>
  <c r="I126" i="8"/>
  <c r="P126" i="8" a="1"/>
  <c r="P126" i="8" s="1"/>
  <c r="P126" i="9" a="1"/>
  <c r="P126" i="9" s="1"/>
  <c r="K126" i="9"/>
  <c r="M126" i="9" s="1"/>
  <c r="I126" i="9"/>
  <c r="O126" i="9"/>
  <c r="G127" i="9"/>
  <c r="D134" i="3"/>
  <c r="P127" i="9" l="1" a="1"/>
  <c r="P127" i="9" s="1"/>
  <c r="O127" i="9"/>
  <c r="K127" i="9"/>
  <c r="M127" i="9" s="1"/>
  <c r="I127" i="9"/>
  <c r="K127" i="8"/>
  <c r="M127" i="8" s="1"/>
  <c r="P127" i="8" a="1"/>
  <c r="P127" i="8" s="1"/>
  <c r="I127" i="8"/>
  <c r="O127" i="8"/>
  <c r="G128" i="9"/>
  <c r="G128" i="8"/>
  <c r="D135" i="3"/>
  <c r="G129" i="9" l="1"/>
  <c r="O128" i="8"/>
  <c r="K128" i="8"/>
  <c r="M128" i="8" s="1"/>
  <c r="P128" i="8" a="1"/>
  <c r="P128" i="8" s="1"/>
  <c r="I128" i="8"/>
  <c r="G129" i="8"/>
  <c r="P128" i="9" a="1"/>
  <c r="P128" i="9" s="1"/>
  <c r="K128" i="9"/>
  <c r="M128" i="9" s="1"/>
  <c r="O128" i="9"/>
  <c r="I128" i="9"/>
  <c r="D136" i="3"/>
  <c r="K129" i="8" l="1"/>
  <c r="M129" i="8" s="1"/>
  <c r="O129" i="8"/>
  <c r="I129" i="8"/>
  <c r="P129" i="8" a="1"/>
  <c r="P129" i="8" s="1"/>
  <c r="G130" i="8"/>
  <c r="P129" i="9" a="1"/>
  <c r="P129" i="9" s="1"/>
  <c r="I129" i="9"/>
  <c r="K129" i="9"/>
  <c r="M129" i="9" s="1"/>
  <c r="O129" i="9"/>
  <c r="G130" i="9"/>
  <c r="D137" i="3"/>
  <c r="K130" i="8" l="1"/>
  <c r="M130" i="8" s="1"/>
  <c r="P130" i="8" a="1"/>
  <c r="P130" i="8" s="1"/>
  <c r="O130" i="8"/>
  <c r="I130" i="8"/>
  <c r="G131" i="8"/>
  <c r="G131" i="9"/>
  <c r="K130" i="9"/>
  <c r="M130" i="9" s="1"/>
  <c r="I130" i="9"/>
  <c r="O130" i="9"/>
  <c r="P130" i="9" a="1"/>
  <c r="P130" i="9" s="1"/>
  <c r="D138" i="3"/>
  <c r="P131" i="9" l="1" a="1"/>
  <c r="P131" i="9" s="1"/>
  <c r="K131" i="9"/>
  <c r="M131" i="9" s="1"/>
  <c r="O131" i="9"/>
  <c r="I131" i="9"/>
  <c r="G132" i="9"/>
  <c r="K131" i="8"/>
  <c r="M131" i="8" s="1"/>
  <c r="P131" i="8" a="1"/>
  <c r="P131" i="8" s="1"/>
  <c r="O131" i="8"/>
  <c r="I131" i="8"/>
  <c r="G132" i="8"/>
  <c r="D139" i="3"/>
  <c r="G133" i="9" l="1"/>
  <c r="E72" i="7" s="1"/>
  <c r="K132" i="8"/>
  <c r="M132" i="8" s="1"/>
  <c r="I132" i="8"/>
  <c r="P132" i="8" a="1"/>
  <c r="P132" i="8" s="1"/>
  <c r="O132" i="8"/>
  <c r="P132" i="9" a="1"/>
  <c r="P132" i="9" s="1"/>
  <c r="O132" i="9"/>
  <c r="K132" i="9"/>
  <c r="M132" i="9" s="1"/>
  <c r="I132" i="9"/>
  <c r="G133" i="8"/>
  <c r="D140" i="3"/>
  <c r="K133" i="8" l="1"/>
  <c r="M133" i="8" s="1"/>
  <c r="P133" i="8" a="1"/>
  <c r="P133" i="8" s="1"/>
  <c r="O133" i="8"/>
  <c r="I133" i="8"/>
  <c r="G134" i="8"/>
  <c r="G134" i="9"/>
  <c r="K133" i="9"/>
  <c r="M133" i="9" s="1"/>
  <c r="P133" i="9" a="1"/>
  <c r="P133" i="9" s="1"/>
  <c r="I133" i="9"/>
  <c r="O133" i="9"/>
  <c r="D141" i="3"/>
  <c r="G135" i="9" l="1"/>
  <c r="P134" i="8" a="1"/>
  <c r="P134" i="8" s="1"/>
  <c r="K134" i="8"/>
  <c r="M134" i="8" s="1"/>
  <c r="I134" i="8"/>
  <c r="O134" i="8"/>
  <c r="O134" i="9"/>
  <c r="K134" i="9"/>
  <c r="M134" i="9" s="1"/>
  <c r="I134" i="9"/>
  <c r="P134" i="9" a="1"/>
  <c r="P134" i="9" s="1"/>
  <c r="G135" i="8"/>
  <c r="D142" i="3"/>
  <c r="K135" i="8" l="1"/>
  <c r="M135" i="8" s="1"/>
  <c r="I135" i="8"/>
  <c r="P135" i="8" a="1"/>
  <c r="P135" i="8" s="1"/>
  <c r="O135" i="8"/>
  <c r="K135" i="9"/>
  <c r="M135" i="9" s="1"/>
  <c r="O135" i="9"/>
  <c r="P135" i="9" a="1"/>
  <c r="P135" i="9" s="1"/>
  <c r="I135" i="9"/>
  <c r="G136" i="8"/>
  <c r="G136" i="9"/>
  <c r="D143" i="3"/>
  <c r="P136" i="9" l="1" a="1"/>
  <c r="P136" i="9" s="1"/>
  <c r="O136" i="9"/>
  <c r="K136" i="9"/>
  <c r="M136" i="9" s="1"/>
  <c r="I136" i="9"/>
  <c r="G137" i="9"/>
  <c r="K136" i="8"/>
  <c r="M136" i="8" s="1"/>
  <c r="P136" i="8" a="1"/>
  <c r="P136" i="8" s="1"/>
  <c r="O136" i="8"/>
  <c r="I136" i="8"/>
  <c r="G137" i="8"/>
  <c r="D144" i="3"/>
  <c r="G138" i="9" l="1"/>
  <c r="P137" i="9" a="1"/>
  <c r="P137" i="9" s="1"/>
  <c r="O137" i="9"/>
  <c r="K137" i="9"/>
  <c r="M137" i="9" s="1"/>
  <c r="I137" i="9"/>
  <c r="P137" i="8" a="1"/>
  <c r="P137" i="8" s="1"/>
  <c r="K137" i="8"/>
  <c r="M137" i="8" s="1"/>
  <c r="I137" i="8"/>
  <c r="O137" i="8"/>
  <c r="G138" i="8"/>
  <c r="D145" i="3"/>
  <c r="K138" i="8" l="1"/>
  <c r="M138" i="8" s="1"/>
  <c r="P138" i="8" a="1"/>
  <c r="P138" i="8" s="1"/>
  <c r="O138" i="8"/>
  <c r="I138" i="8"/>
  <c r="G139" i="9"/>
  <c r="G139" i="8"/>
  <c r="P138" i="9" a="1"/>
  <c r="P138" i="9" s="1"/>
  <c r="K138" i="9"/>
  <c r="M138" i="9" s="1"/>
  <c r="O138" i="9"/>
  <c r="I138" i="9"/>
  <c r="D146" i="3"/>
  <c r="I139" i="8" l="1"/>
  <c r="P139" i="8" a="1"/>
  <c r="P139" i="8" s="1"/>
  <c r="K139" i="8"/>
  <c r="M139" i="8" s="1"/>
  <c r="O139" i="8"/>
  <c r="G140" i="8"/>
  <c r="P139" i="9" a="1"/>
  <c r="P139" i="9" s="1"/>
  <c r="K139" i="9"/>
  <c r="M139" i="9" s="1"/>
  <c r="O139" i="9"/>
  <c r="I139" i="9"/>
  <c r="G140" i="9"/>
  <c r="D147" i="3"/>
  <c r="G141" i="8" l="1"/>
  <c r="K140" i="9"/>
  <c r="M140" i="9" s="1"/>
  <c r="I140" i="9"/>
  <c r="O140" i="9"/>
  <c r="P140" i="9" a="1"/>
  <c r="P140" i="9" s="1"/>
  <c r="G141" i="9"/>
  <c r="K140" i="8"/>
  <c r="M140" i="8" s="1"/>
  <c r="P140" i="8" a="1"/>
  <c r="P140" i="8" s="1"/>
  <c r="O140" i="8"/>
  <c r="I140" i="8"/>
  <c r="D148" i="3"/>
  <c r="K141" i="9" l="1"/>
  <c r="M141" i="9" s="1"/>
  <c r="O141" i="9"/>
  <c r="I141" i="9"/>
  <c r="P141" i="9" a="1"/>
  <c r="P141" i="9" s="1"/>
  <c r="G142" i="9"/>
  <c r="K141" i="8"/>
  <c r="M141" i="8" s="1"/>
  <c r="O141" i="8"/>
  <c r="P141" i="8" a="1"/>
  <c r="P141" i="8" s="1"/>
  <c r="I141" i="8"/>
  <c r="G142" i="8"/>
  <c r="D149" i="3"/>
  <c r="P142" i="9" l="1" a="1"/>
  <c r="P142" i="9" s="1"/>
  <c r="K142" i="9"/>
  <c r="M142" i="9" s="1"/>
  <c r="I142" i="9"/>
  <c r="O142" i="9"/>
  <c r="G143" i="9"/>
  <c r="G143" i="8"/>
  <c r="K142" i="8"/>
  <c r="M142" i="8" s="1"/>
  <c r="O142" i="8"/>
  <c r="I142" i="8"/>
  <c r="P142" i="8" a="1"/>
  <c r="P142" i="8" s="1"/>
  <c r="D150" i="3"/>
  <c r="K143" i="8" l="1"/>
  <c r="M143" i="8" s="1"/>
  <c r="P143" i="8" a="1"/>
  <c r="P143" i="8" s="1"/>
  <c r="I143" i="8"/>
  <c r="O143" i="8"/>
  <c r="G144" i="8"/>
  <c r="P143" i="9" a="1"/>
  <c r="P143" i="9" s="1"/>
  <c r="I143" i="9"/>
  <c r="O143" i="9"/>
  <c r="K143" i="9"/>
  <c r="M143" i="9" s="1"/>
  <c r="G144" i="9"/>
  <c r="D151" i="3"/>
  <c r="K144" i="8" l="1"/>
  <c r="M144" i="8" s="1"/>
  <c r="P144" i="8" a="1"/>
  <c r="P144" i="8" s="1"/>
  <c r="O144" i="8"/>
  <c r="I144" i="8"/>
  <c r="G145" i="8"/>
  <c r="K144" i="9"/>
  <c r="M144" i="9" s="1"/>
  <c r="P144" i="9" a="1"/>
  <c r="P144" i="9" s="1"/>
  <c r="O144" i="9"/>
  <c r="I144" i="9"/>
  <c r="G145" i="9"/>
  <c r="D152" i="3"/>
  <c r="G146" i="8" l="1"/>
  <c r="O145" i="8"/>
  <c r="P145" i="8" a="1"/>
  <c r="P145" i="8" s="1"/>
  <c r="K145" i="8"/>
  <c r="M145" i="8" s="1"/>
  <c r="I145" i="8"/>
  <c r="K145" i="9"/>
  <c r="M145" i="9" s="1"/>
  <c r="O145" i="9"/>
  <c r="I145" i="9"/>
  <c r="P145" i="9" a="1"/>
  <c r="P145" i="9" s="1"/>
  <c r="G146" i="9"/>
  <c r="D153" i="3"/>
  <c r="P146" i="9" l="1" a="1"/>
  <c r="P146" i="9" s="1"/>
  <c r="I146" i="9"/>
  <c r="K146" i="9"/>
  <c r="M146" i="9" s="1"/>
  <c r="O146" i="9"/>
  <c r="O146" i="8"/>
  <c r="K146" i="8"/>
  <c r="M146" i="8" s="1"/>
  <c r="I146" i="8"/>
  <c r="P146" i="8" a="1"/>
  <c r="P146" i="8" s="1"/>
  <c r="G147" i="9"/>
  <c r="G147" i="8"/>
  <c r="D154" i="3"/>
  <c r="G148" i="9" l="1"/>
  <c r="I147" i="8"/>
  <c r="K147" i="8"/>
  <c r="M147" i="8" s="1"/>
  <c r="O147" i="8"/>
  <c r="P147" i="8" a="1"/>
  <c r="P147" i="8" s="1"/>
  <c r="G148" i="8"/>
  <c r="P147" i="9" a="1"/>
  <c r="P147" i="9" s="1"/>
  <c r="O147" i="9"/>
  <c r="I147" i="9"/>
  <c r="K147" i="9"/>
  <c r="M147" i="9" s="1"/>
  <c r="D155" i="3"/>
  <c r="K148" i="8" l="1"/>
  <c r="M148" i="8" s="1"/>
  <c r="O148" i="8"/>
  <c r="I148" i="8"/>
  <c r="P148" i="8" a="1"/>
  <c r="P148" i="8" s="1"/>
  <c r="G149" i="8"/>
  <c r="G149" i="9"/>
  <c r="I148" i="9"/>
  <c r="P148" i="9" a="1"/>
  <c r="P148" i="9" s="1"/>
  <c r="K148" i="9"/>
  <c r="M148" i="9" s="1"/>
  <c r="O148" i="9"/>
  <c r="D156" i="3"/>
  <c r="P149" i="9" l="1" a="1"/>
  <c r="P149" i="9" s="1"/>
  <c r="K149" i="9"/>
  <c r="M149" i="9" s="1"/>
  <c r="O149" i="9"/>
  <c r="I149" i="9"/>
  <c r="G150" i="9"/>
  <c r="P149" i="8" a="1"/>
  <c r="P149" i="8" s="1"/>
  <c r="K149" i="8"/>
  <c r="M149" i="8" s="1"/>
  <c r="O149" i="8"/>
  <c r="I149" i="8"/>
  <c r="G150" i="8"/>
  <c r="D157" i="3"/>
  <c r="G151" i="9" l="1"/>
  <c r="O150" i="9"/>
  <c r="P150" i="9" a="1"/>
  <c r="P150" i="9" s="1"/>
  <c r="I150" i="9"/>
  <c r="K150" i="9"/>
  <c r="M150" i="9" s="1"/>
  <c r="K150" i="8"/>
  <c r="M150" i="8" s="1"/>
  <c r="P150" i="8" a="1"/>
  <c r="P150" i="8" s="1"/>
  <c r="O150" i="8"/>
  <c r="I150" i="8"/>
  <c r="G151" i="8"/>
  <c r="D158" i="3"/>
  <c r="G152" i="8" l="1"/>
  <c r="K151" i="8"/>
  <c r="M151" i="8" s="1"/>
  <c r="O151" i="8"/>
  <c r="I151" i="8"/>
  <c r="P151" i="8" a="1"/>
  <c r="P151" i="8" s="1"/>
  <c r="G152" i="9"/>
  <c r="P151" i="9" a="1"/>
  <c r="P151" i="9" s="1"/>
  <c r="K151" i="9"/>
  <c r="M151" i="9" s="1"/>
  <c r="I151" i="9"/>
  <c r="O151" i="9"/>
  <c r="D159" i="3"/>
  <c r="G153" i="9" l="1"/>
  <c r="K152" i="9"/>
  <c r="M152" i="9" s="1"/>
  <c r="P152" i="9" a="1"/>
  <c r="P152" i="9" s="1"/>
  <c r="I152" i="9"/>
  <c r="O152" i="9"/>
  <c r="K152" i="8"/>
  <c r="M152" i="8" s="1"/>
  <c r="P152" i="8" a="1"/>
  <c r="P152" i="8" s="1"/>
  <c r="O152" i="8"/>
  <c r="I152" i="8"/>
  <c r="G153" i="8"/>
  <c r="D160" i="3"/>
  <c r="P153" i="8" l="1" a="1"/>
  <c r="P153" i="8" s="1"/>
  <c r="I153" i="8"/>
  <c r="K153" i="8"/>
  <c r="M153" i="8" s="1"/>
  <c r="O153" i="8"/>
  <c r="G154" i="9"/>
  <c r="G154" i="8"/>
  <c r="P153" i="9" a="1"/>
  <c r="P153" i="9" s="1"/>
  <c r="K153" i="9"/>
  <c r="M153" i="9" s="1"/>
  <c r="I153" i="9"/>
  <c r="O153" i="9"/>
  <c r="D161" i="3"/>
  <c r="K154" i="8" l="1"/>
  <c r="M154" i="8" s="1"/>
  <c r="P154" i="8" a="1"/>
  <c r="P154" i="8" s="1"/>
  <c r="I154" i="8"/>
  <c r="O154" i="8"/>
  <c r="G155" i="9"/>
  <c r="G155" i="8"/>
  <c r="K154" i="9"/>
  <c r="M154" i="9" s="1"/>
  <c r="P154" i="9" a="1"/>
  <c r="P154" i="9" s="1"/>
  <c r="I154" i="9"/>
  <c r="O154" i="9"/>
  <c r="D162" i="3"/>
  <c r="O155" i="8" l="1"/>
  <c r="K155" i="8"/>
  <c r="M155" i="8" s="1"/>
  <c r="I155" i="8"/>
  <c r="P155" i="8" a="1"/>
  <c r="P155" i="8" s="1"/>
  <c r="P155" i="9" a="1"/>
  <c r="P155" i="9" s="1"/>
  <c r="K155" i="9"/>
  <c r="M155" i="9" s="1"/>
  <c r="O155" i="9"/>
  <c r="I155" i="9"/>
  <c r="G156" i="8"/>
  <c r="G156" i="9"/>
  <c r="D163" i="3"/>
  <c r="G157" i="9" l="1"/>
  <c r="P156" i="9" a="1"/>
  <c r="P156" i="9" s="1"/>
  <c r="K156" i="9"/>
  <c r="M156" i="9" s="1"/>
  <c r="I156" i="9"/>
  <c r="O156" i="9"/>
  <c r="K156" i="8"/>
  <c r="M156" i="8" s="1"/>
  <c r="P156" i="8" a="1"/>
  <c r="P156" i="8" s="1"/>
  <c r="O156" i="8"/>
  <c r="I156" i="8"/>
  <c r="G157" i="8"/>
  <c r="D164" i="3"/>
  <c r="K157" i="8" l="1"/>
  <c r="M157" i="8" s="1"/>
  <c r="P157" i="8" a="1"/>
  <c r="P157" i="8" s="1"/>
  <c r="I157" i="8"/>
  <c r="O157" i="8"/>
  <c r="G158" i="8"/>
  <c r="K157" i="9"/>
  <c r="M157" i="9" s="1"/>
  <c r="I157" i="9"/>
  <c r="P157" i="9" a="1"/>
  <c r="P157" i="9" s="1"/>
  <c r="O157" i="9"/>
  <c r="G158" i="9"/>
  <c r="D165" i="3"/>
  <c r="P158" i="8" l="1" a="1"/>
  <c r="P158" i="8" s="1"/>
  <c r="I158" i="8"/>
  <c r="O158" i="8"/>
  <c r="K158" i="8"/>
  <c r="M158" i="8" s="1"/>
  <c r="G159" i="8"/>
  <c r="P158" i="9" a="1"/>
  <c r="P158" i="9" s="1"/>
  <c r="K158" i="9"/>
  <c r="M158" i="9" s="1"/>
  <c r="O158" i="9"/>
  <c r="I158" i="9"/>
  <c r="G159" i="9"/>
  <c r="D166" i="3"/>
  <c r="K159" i="8" l="1"/>
  <c r="M159" i="8" s="1"/>
  <c r="P159" i="8" a="1"/>
  <c r="P159" i="8" s="1"/>
  <c r="O159" i="8"/>
  <c r="I159" i="8"/>
  <c r="G160" i="8"/>
  <c r="G160" i="9"/>
  <c r="I159" i="9"/>
  <c r="P159" i="9" a="1"/>
  <c r="P159" i="9" s="1"/>
  <c r="K159" i="9"/>
  <c r="M159" i="9" s="1"/>
  <c r="O159" i="9"/>
  <c r="D167" i="3"/>
  <c r="P160" i="9" l="1" a="1"/>
  <c r="P160" i="9" s="1"/>
  <c r="K160" i="9"/>
  <c r="M160" i="9" s="1"/>
  <c r="I160" i="9"/>
  <c r="O160" i="9"/>
  <c r="G161" i="9"/>
  <c r="K160" i="8"/>
  <c r="M160" i="8" s="1"/>
  <c r="O160" i="8"/>
  <c r="P160" i="8" a="1"/>
  <c r="P160" i="8" s="1"/>
  <c r="I160" i="8"/>
  <c r="G161" i="8"/>
  <c r="D168" i="3"/>
  <c r="K161" i="9" l="1"/>
  <c r="M161" i="9" s="1"/>
  <c r="P161" i="9" a="1"/>
  <c r="P161" i="9" s="1"/>
  <c r="I161" i="9"/>
  <c r="O161" i="9"/>
  <c r="K161" i="8"/>
  <c r="M161" i="8" s="1"/>
  <c r="O161" i="8"/>
  <c r="I161" i="8"/>
  <c r="P161" i="8" a="1"/>
  <c r="P161" i="8" s="1"/>
  <c r="G162" i="9"/>
  <c r="G162" i="8"/>
  <c r="D169" i="3"/>
  <c r="K162" i="8" l="1"/>
  <c r="M162" i="8" s="1"/>
  <c r="P162" i="8" a="1"/>
  <c r="P162" i="8" s="1"/>
  <c r="O162" i="8"/>
  <c r="I162" i="8"/>
  <c r="G163" i="8"/>
  <c r="G163" i="9"/>
  <c r="P162" i="9" a="1"/>
  <c r="P162" i="9" s="1"/>
  <c r="K162" i="9"/>
  <c r="M162" i="9" s="1"/>
  <c r="I162" i="9"/>
  <c r="O162" i="9"/>
  <c r="D170" i="3"/>
  <c r="K163" i="9" l="1"/>
  <c r="M163" i="9" s="1"/>
  <c r="P163" i="9" a="1"/>
  <c r="P163" i="9" s="1"/>
  <c r="O163" i="9"/>
  <c r="I163" i="9"/>
  <c r="F165" i="9"/>
  <c r="G164" i="9"/>
  <c r="K163" i="8"/>
  <c r="M163" i="8" s="1"/>
  <c r="O163" i="8"/>
  <c r="I163" i="8"/>
  <c r="P163" i="8" a="1"/>
  <c r="P163" i="8" s="1"/>
  <c r="G164" i="8"/>
  <c r="D171" i="3"/>
  <c r="K164" i="9" l="1"/>
  <c r="M164" i="9" s="1"/>
  <c r="O164" i="9"/>
  <c r="P164" i="9" a="1"/>
  <c r="P164" i="9" s="1"/>
  <c r="I164" i="9"/>
  <c r="F166" i="9"/>
  <c r="G165" i="9"/>
  <c r="P164" i="8" a="1"/>
  <c r="P164" i="8" s="1"/>
  <c r="K164" i="8"/>
  <c r="M164" i="8" s="1"/>
  <c r="O164" i="8"/>
  <c r="I164" i="8"/>
  <c r="G165" i="8"/>
  <c r="D172" i="3"/>
  <c r="F167" i="9" l="1"/>
  <c r="G166" i="9"/>
  <c r="K165" i="8"/>
  <c r="M165" i="8" s="1"/>
  <c r="O165" i="8"/>
  <c r="P165" i="8" a="1"/>
  <c r="P165" i="8" s="1"/>
  <c r="I165" i="8"/>
  <c r="I165" i="9"/>
  <c r="P165" i="9" a="1"/>
  <c r="P165" i="9" s="1"/>
  <c r="K165" i="9"/>
  <c r="M165" i="9" s="1"/>
  <c r="O165" i="9"/>
  <c r="G166" i="8"/>
  <c r="D173" i="3"/>
  <c r="G167" i="8" l="1"/>
  <c r="K166" i="9"/>
  <c r="M166" i="9" s="1"/>
  <c r="P166" i="9" a="1"/>
  <c r="P166" i="9" s="1"/>
  <c r="I166" i="9"/>
  <c r="O166" i="9"/>
  <c r="P166" i="8" a="1"/>
  <c r="P166" i="8" s="1"/>
  <c r="K166" i="8"/>
  <c r="M166" i="8" s="1"/>
  <c r="O166" i="8"/>
  <c r="I166" i="8"/>
  <c r="G167" i="9"/>
  <c r="F168" i="9"/>
  <c r="D174" i="3"/>
  <c r="G168" i="9" l="1"/>
  <c r="F169" i="9"/>
  <c r="K167" i="9"/>
  <c r="M167" i="9" s="1"/>
  <c r="P167" i="9" a="1"/>
  <c r="P167" i="9" s="1"/>
  <c r="I167" i="9"/>
  <c r="O167" i="9"/>
  <c r="K167" i="8"/>
  <c r="M167" i="8" s="1"/>
  <c r="I167" i="8"/>
  <c r="O167" i="8"/>
  <c r="P167" i="8" a="1"/>
  <c r="P167" i="8" s="1"/>
  <c r="G168" i="8"/>
  <c r="D175" i="3"/>
  <c r="G169" i="9" l="1"/>
  <c r="F170" i="9"/>
  <c r="K168" i="8"/>
  <c r="M168" i="8" s="1"/>
  <c r="P168" i="8" a="1"/>
  <c r="P168" i="8" s="1"/>
  <c r="I168" i="8"/>
  <c r="O168" i="8"/>
  <c r="G169" i="8"/>
  <c r="P168" i="9" a="1"/>
  <c r="P168" i="9" s="1"/>
  <c r="O168" i="9"/>
  <c r="K168" i="9"/>
  <c r="M168" i="9" s="1"/>
  <c r="I168" i="9"/>
  <c r="D176" i="3"/>
  <c r="K169" i="8" l="1"/>
  <c r="M169" i="8" s="1"/>
  <c r="P169" i="8" a="1"/>
  <c r="P169" i="8" s="1"/>
  <c r="I169" i="8"/>
  <c r="O169" i="8"/>
  <c r="G170" i="8"/>
  <c r="G170" i="9"/>
  <c r="F171" i="9"/>
  <c r="P169" i="9" a="1"/>
  <c r="P169" i="9" s="1"/>
  <c r="K169" i="9"/>
  <c r="M169" i="9" s="1"/>
  <c r="O169" i="9"/>
  <c r="I169" i="9"/>
  <c r="D177" i="3"/>
  <c r="F172" i="9" l="1"/>
  <c r="G171" i="9"/>
  <c r="K170" i="9"/>
  <c r="M170" i="9" s="1"/>
  <c r="O170" i="9"/>
  <c r="P170" i="9" a="1"/>
  <c r="P170" i="9" s="1"/>
  <c r="I170" i="9"/>
  <c r="G171" i="8"/>
  <c r="O170" i="8"/>
  <c r="P170" i="8" a="1"/>
  <c r="P170" i="8" s="1"/>
  <c r="K170" i="8"/>
  <c r="M170" i="8" s="1"/>
  <c r="I170" i="8"/>
  <c r="D178" i="3"/>
  <c r="P171" i="8" l="1" a="1"/>
  <c r="P171" i="8" s="1"/>
  <c r="K171" i="8"/>
  <c r="M171" i="8" s="1"/>
  <c r="I171" i="8"/>
  <c r="O171" i="8"/>
  <c r="P171" i="9" a="1"/>
  <c r="P171" i="9" s="1"/>
  <c r="K171" i="9"/>
  <c r="M171" i="9" s="1"/>
  <c r="O171" i="9"/>
  <c r="I171" i="9"/>
  <c r="G172" i="8"/>
  <c r="F173" i="9"/>
  <c r="G172" i="9"/>
  <c r="D179" i="3"/>
  <c r="G173" i="8" l="1"/>
  <c r="P172" i="9" a="1"/>
  <c r="P172" i="9" s="1"/>
  <c r="O172" i="9"/>
  <c r="I172" i="9"/>
  <c r="K172" i="9"/>
  <c r="M172" i="9" s="1"/>
  <c r="F174" i="9"/>
  <c r="G173" i="9"/>
  <c r="K172" i="8"/>
  <c r="M172" i="8" s="1"/>
  <c r="O172" i="8"/>
  <c r="I172" i="8"/>
  <c r="P172" i="8" a="1"/>
  <c r="P172" i="8" s="1"/>
  <c r="D180" i="3"/>
  <c r="K173" i="9" l="1"/>
  <c r="M173" i="9" s="1"/>
  <c r="P173" i="9" a="1"/>
  <c r="P173" i="9" s="1"/>
  <c r="I173" i="9"/>
  <c r="O173" i="9"/>
  <c r="G174" i="9"/>
  <c r="F175" i="9"/>
  <c r="K173" i="8"/>
  <c r="M173" i="8" s="1"/>
  <c r="I173" i="8"/>
  <c r="O173" i="8"/>
  <c r="P173" i="8" a="1"/>
  <c r="P173" i="8" s="1"/>
  <c r="G174" i="8"/>
  <c r="D181" i="3"/>
  <c r="F176" i="9" l="1"/>
  <c r="G175" i="9"/>
  <c r="P174" i="9" a="1"/>
  <c r="P174" i="9" s="1"/>
  <c r="K174" i="9"/>
  <c r="M174" i="9" s="1"/>
  <c r="O174" i="9"/>
  <c r="I174" i="9"/>
  <c r="K174" i="8"/>
  <c r="M174" i="8" s="1"/>
  <c r="O174" i="8"/>
  <c r="P174" i="8" a="1"/>
  <c r="P174" i="8" s="1"/>
  <c r="I174" i="8"/>
  <c r="G175" i="8"/>
  <c r="D182" i="3"/>
  <c r="K175" i="8" l="1"/>
  <c r="M175" i="8" s="1"/>
  <c r="I175" i="8"/>
  <c r="O175" i="8"/>
  <c r="P175" i="8" a="1"/>
  <c r="P175" i="8" s="1"/>
  <c r="G176" i="8"/>
  <c r="P175" i="9" a="1"/>
  <c r="P175" i="9" s="1"/>
  <c r="I175" i="9"/>
  <c r="O175" i="9"/>
  <c r="K175" i="9"/>
  <c r="M175" i="9" s="1"/>
  <c r="G176" i="9"/>
  <c r="F177" i="9"/>
  <c r="D183" i="3"/>
  <c r="G177" i="8" l="1"/>
  <c r="O176" i="9"/>
  <c r="P176" i="9" a="1"/>
  <c r="P176" i="9" s="1"/>
  <c r="K176" i="9"/>
  <c r="M176" i="9" s="1"/>
  <c r="I176" i="9"/>
  <c r="K176" i="8"/>
  <c r="M176" i="8" s="1"/>
  <c r="I176" i="8"/>
  <c r="P176" i="8" a="1"/>
  <c r="P176" i="8" s="1"/>
  <c r="O176" i="8"/>
  <c r="G177" i="9"/>
  <c r="F178" i="9"/>
  <c r="D184" i="3"/>
  <c r="G178" i="9" l="1"/>
  <c r="F179" i="9"/>
  <c r="P177" i="9" a="1"/>
  <c r="P177" i="9" s="1"/>
  <c r="K177" i="9"/>
  <c r="M177" i="9" s="1"/>
  <c r="I177" i="9"/>
  <c r="O177" i="9"/>
  <c r="K177" i="8"/>
  <c r="M177" i="8" s="1"/>
  <c r="P177" i="8" a="1"/>
  <c r="P177" i="8" s="1"/>
  <c r="O177" i="8"/>
  <c r="I177" i="8"/>
  <c r="G178" i="8"/>
  <c r="D185" i="3"/>
  <c r="G179" i="8" l="1"/>
  <c r="G179" i="9"/>
  <c r="F180" i="9"/>
  <c r="P178" i="8" a="1"/>
  <c r="P178" i="8" s="1"/>
  <c r="K178" i="8"/>
  <c r="M178" i="8" s="1"/>
  <c r="O178" i="8"/>
  <c r="I178" i="8"/>
  <c r="K178" i="9"/>
  <c r="M178" i="9" s="1"/>
  <c r="P178" i="9" a="1"/>
  <c r="P178" i="9" s="1"/>
  <c r="O178" i="9"/>
  <c r="I178" i="9"/>
  <c r="D186" i="3"/>
  <c r="F181" i="9" l="1"/>
  <c r="G180" i="9"/>
  <c r="K179" i="9"/>
  <c r="M179" i="9" s="1"/>
  <c r="P179" i="9" a="1"/>
  <c r="P179" i="9" s="1"/>
  <c r="I179" i="9"/>
  <c r="O179" i="9"/>
  <c r="O179" i="8"/>
  <c r="I179" i="8"/>
  <c r="K179" i="8"/>
  <c r="M179" i="8" s="1"/>
  <c r="P179" i="8" a="1"/>
  <c r="P179" i="8" s="1"/>
  <c r="G180" i="8"/>
  <c r="D187" i="3"/>
  <c r="G181" i="8" l="1"/>
  <c r="I180" i="9"/>
  <c r="P180" i="9" a="1"/>
  <c r="P180" i="9" s="1"/>
  <c r="K180" i="9"/>
  <c r="M180" i="9" s="1"/>
  <c r="O180" i="9"/>
  <c r="K180" i="8"/>
  <c r="M180" i="8" s="1"/>
  <c r="O180" i="8"/>
  <c r="P180" i="8" a="1"/>
  <c r="P180" i="8" s="1"/>
  <c r="I180" i="8"/>
  <c r="G181" i="9"/>
  <c r="F182" i="9"/>
  <c r="D188" i="3"/>
  <c r="P181" i="9" l="1" a="1"/>
  <c r="P181" i="9" s="1"/>
  <c r="O181" i="9"/>
  <c r="I181" i="9"/>
  <c r="K181" i="9"/>
  <c r="M181" i="9" s="1"/>
  <c r="G182" i="9"/>
  <c r="F183" i="9"/>
  <c r="K181" i="8"/>
  <c r="M181" i="8" s="1"/>
  <c r="O181" i="8"/>
  <c r="P181" i="8" a="1"/>
  <c r="P181" i="8" s="1"/>
  <c r="I181" i="8"/>
  <c r="G182" i="8"/>
  <c r="D189" i="3"/>
  <c r="G183" i="9" l="1"/>
  <c r="F184" i="9"/>
  <c r="P182" i="9" a="1"/>
  <c r="P182" i="9" s="1"/>
  <c r="O182" i="9"/>
  <c r="K182" i="9"/>
  <c r="M182" i="9" s="1"/>
  <c r="I182" i="9"/>
  <c r="G183" i="8"/>
  <c r="K182" i="8"/>
  <c r="M182" i="8" s="1"/>
  <c r="P182" i="8" a="1"/>
  <c r="P182" i="8" s="1"/>
  <c r="O182" i="8"/>
  <c r="I182" i="8"/>
  <c r="D190" i="3"/>
  <c r="I183" i="8" l="1"/>
  <c r="K183" i="8"/>
  <c r="M183" i="8" s="1"/>
  <c r="P183" i="8" a="1"/>
  <c r="P183" i="8" s="1"/>
  <c r="O183" i="8"/>
  <c r="G184" i="8"/>
  <c r="G184" i="9"/>
  <c r="F185" i="9"/>
  <c r="O183" i="9"/>
  <c r="P183" i="9" a="1"/>
  <c r="P183" i="9" s="1"/>
  <c r="K183" i="9"/>
  <c r="M183" i="9" s="1"/>
  <c r="I183" i="9"/>
  <c r="D191" i="3"/>
  <c r="G185" i="9" l="1"/>
  <c r="F186" i="9"/>
  <c r="P184" i="9" a="1"/>
  <c r="P184" i="9" s="1"/>
  <c r="O184" i="9"/>
  <c r="K184" i="9"/>
  <c r="M184" i="9" s="1"/>
  <c r="I184" i="9"/>
  <c r="K184" i="8"/>
  <c r="M184" i="8" s="1"/>
  <c r="P184" i="8" a="1"/>
  <c r="P184" i="8" s="1"/>
  <c r="I184" i="8"/>
  <c r="O184" i="8"/>
  <c r="G185" i="8"/>
  <c r="D192" i="3"/>
  <c r="K185" i="8" l="1"/>
  <c r="M185" i="8" s="1"/>
  <c r="O185" i="8"/>
  <c r="I185" i="8"/>
  <c r="P185" i="8" a="1"/>
  <c r="P185" i="8" s="1"/>
  <c r="F187" i="9"/>
  <c r="G186" i="9"/>
  <c r="G186" i="8"/>
  <c r="K185" i="9"/>
  <c r="M185" i="9" s="1"/>
  <c r="I185" i="9"/>
  <c r="P185" i="9" a="1"/>
  <c r="P185" i="9" s="1"/>
  <c r="O185" i="9"/>
  <c r="D193" i="3"/>
  <c r="I186" i="8" l="1"/>
  <c r="O186" i="8"/>
  <c r="K186" i="8"/>
  <c r="M186" i="8" s="1"/>
  <c r="P186" i="8" a="1"/>
  <c r="P186" i="8" s="1"/>
  <c r="G187" i="8"/>
  <c r="F188" i="9"/>
  <c r="G187" i="9"/>
  <c r="P186" i="9" a="1"/>
  <c r="P186" i="9" s="1"/>
  <c r="K186" i="9"/>
  <c r="M186" i="9" s="1"/>
  <c r="O186" i="9"/>
  <c r="I186" i="9"/>
  <c r="D194" i="3"/>
  <c r="P187" i="9" l="1" a="1"/>
  <c r="P187" i="9" s="1"/>
  <c r="K187" i="9"/>
  <c r="M187" i="9" s="1"/>
  <c r="I187" i="9"/>
  <c r="O187" i="9"/>
  <c r="F189" i="9"/>
  <c r="G188" i="9"/>
  <c r="K187" i="8"/>
  <c r="M187" i="8" s="1"/>
  <c r="P187" i="8" a="1"/>
  <c r="P187" i="8" s="1"/>
  <c r="O187" i="8"/>
  <c r="I187" i="8"/>
  <c r="G188" i="8"/>
  <c r="D195" i="3"/>
  <c r="P188" i="9" l="1" a="1"/>
  <c r="P188" i="9" s="1"/>
  <c r="O188" i="9"/>
  <c r="K188" i="9"/>
  <c r="M188" i="9" s="1"/>
  <c r="I188" i="9"/>
  <c r="G189" i="8"/>
  <c r="F190" i="9"/>
  <c r="G189" i="9"/>
  <c r="K188" i="8"/>
  <c r="M188" i="8" s="1"/>
  <c r="P188" i="8" a="1"/>
  <c r="P188" i="8" s="1"/>
  <c r="I188" i="8"/>
  <c r="O188" i="8"/>
  <c r="D196" i="3"/>
  <c r="I189" i="9" l="1"/>
  <c r="P189" i="9" a="1"/>
  <c r="P189" i="9" s="1"/>
  <c r="K189" i="9"/>
  <c r="M189" i="9" s="1"/>
  <c r="O189" i="9"/>
  <c r="O189" i="8"/>
  <c r="K189" i="8"/>
  <c r="M189" i="8" s="1"/>
  <c r="P189" i="8" a="1"/>
  <c r="P189" i="8" s="1"/>
  <c r="I189" i="8"/>
  <c r="G190" i="8"/>
  <c r="F191" i="9"/>
  <c r="G190" i="9"/>
  <c r="D197" i="3"/>
  <c r="K190" i="9" l="1"/>
  <c r="M190" i="9" s="1"/>
  <c r="O190" i="9"/>
  <c r="P190" i="9" a="1"/>
  <c r="P190" i="9" s="1"/>
  <c r="I190" i="9"/>
  <c r="F192" i="9"/>
  <c r="G191" i="9"/>
  <c r="K190" i="8"/>
  <c r="M190" i="8" s="1"/>
  <c r="P190" i="8" a="1"/>
  <c r="P190" i="8" s="1"/>
  <c r="I190" i="8"/>
  <c r="O190" i="8"/>
  <c r="G191" i="8"/>
  <c r="D198" i="3"/>
  <c r="F193" i="9" l="1"/>
  <c r="G192" i="9"/>
  <c r="K191" i="8"/>
  <c r="M191" i="8" s="1"/>
  <c r="P191" i="8" a="1"/>
  <c r="P191" i="8" s="1"/>
  <c r="O191" i="8"/>
  <c r="I191" i="8"/>
  <c r="P191" i="9" a="1"/>
  <c r="P191" i="9" s="1"/>
  <c r="K191" i="9"/>
  <c r="M191" i="9" s="1"/>
  <c r="O191" i="9"/>
  <c r="I191" i="9"/>
  <c r="G192" i="8"/>
  <c r="D199" i="3"/>
  <c r="G193" i="8" l="1"/>
  <c r="I192" i="9"/>
  <c r="P192" i="9" a="1"/>
  <c r="P192" i="9" s="1"/>
  <c r="O192" i="9"/>
  <c r="K192" i="9"/>
  <c r="M192" i="9" s="1"/>
  <c r="K192" i="8"/>
  <c r="M192" i="8" s="1"/>
  <c r="P192" i="8" a="1"/>
  <c r="P192" i="8" s="1"/>
  <c r="I192" i="8"/>
  <c r="O192" i="8"/>
  <c r="G193" i="9"/>
  <c r="F194" i="9"/>
  <c r="D200" i="3"/>
  <c r="G194" i="9" l="1"/>
  <c r="F195" i="9"/>
  <c r="O193" i="9"/>
  <c r="K193" i="9"/>
  <c r="M193" i="9" s="1"/>
  <c r="I193" i="9"/>
  <c r="P193" i="9" a="1"/>
  <c r="P193" i="9" s="1"/>
  <c r="K193" i="8"/>
  <c r="M193" i="8" s="1"/>
  <c r="O193" i="8"/>
  <c r="P193" i="8" a="1"/>
  <c r="P193" i="8" s="1"/>
  <c r="I193" i="8"/>
  <c r="G194" i="8"/>
  <c r="D201" i="3"/>
  <c r="F196" i="8" l="1"/>
  <c r="G195" i="8"/>
  <c r="K194" i="8"/>
  <c r="M194" i="8" s="1"/>
  <c r="P194" i="8" a="1"/>
  <c r="P194" i="8" s="1"/>
  <c r="O194" i="8"/>
  <c r="I194" i="8"/>
  <c r="F196" i="9"/>
  <c r="G195" i="9"/>
  <c r="K194" i="9"/>
  <c r="M194" i="9" s="1"/>
  <c r="P194" i="9" a="1"/>
  <c r="P194" i="9" s="1"/>
  <c r="I194" i="9"/>
  <c r="O194" i="9"/>
  <c r="D202" i="3"/>
  <c r="I195" i="9" l="1"/>
  <c r="P195" i="9" a="1"/>
  <c r="P195" i="9" s="1"/>
  <c r="K195" i="9"/>
  <c r="M195" i="9" s="1"/>
  <c r="O195" i="9"/>
  <c r="F197" i="9"/>
  <c r="G196" i="9"/>
  <c r="K195" i="8"/>
  <c r="M195" i="8" s="1"/>
  <c r="P195" i="8" a="1"/>
  <c r="P195" i="8" s="1"/>
  <c r="O195" i="8"/>
  <c r="I195" i="8"/>
  <c r="F197" i="8"/>
  <c r="G196" i="8"/>
  <c r="D203" i="3"/>
  <c r="F198" i="9" l="1"/>
  <c r="G197" i="9"/>
  <c r="K196" i="8"/>
  <c r="M196" i="8" s="1"/>
  <c r="I196" i="8"/>
  <c r="O196" i="8"/>
  <c r="P196" i="8" a="1"/>
  <c r="P196" i="8" s="1"/>
  <c r="K196" i="9"/>
  <c r="M196" i="9" s="1"/>
  <c r="O196" i="9"/>
  <c r="P196" i="9" a="1"/>
  <c r="P196" i="9" s="1"/>
  <c r="I196" i="9"/>
  <c r="F198" i="8"/>
  <c r="G197" i="8"/>
  <c r="D204" i="3"/>
  <c r="O197" i="8" l="1"/>
  <c r="I197" i="8"/>
  <c r="K197" i="8"/>
  <c r="M197" i="8" s="1"/>
  <c r="P197" i="8" a="1"/>
  <c r="P197" i="8" s="1"/>
  <c r="F199" i="8"/>
  <c r="G198" i="8"/>
  <c r="P197" i="9" a="1"/>
  <c r="P197" i="9" s="1"/>
  <c r="I197" i="9"/>
  <c r="K197" i="9"/>
  <c r="M197" i="9" s="1"/>
  <c r="O197" i="9"/>
  <c r="F199" i="9"/>
  <c r="G198" i="9"/>
  <c r="D205" i="3"/>
  <c r="K198" i="8" l="1"/>
  <c r="M198" i="8" s="1"/>
  <c r="P198" i="8" a="1"/>
  <c r="P198" i="8" s="1"/>
  <c r="I198" i="8"/>
  <c r="O198" i="8"/>
  <c r="O198" i="9"/>
  <c r="I198" i="9"/>
  <c r="K198" i="9"/>
  <c r="M198" i="9" s="1"/>
  <c r="P198" i="9" a="1"/>
  <c r="P198" i="9" s="1"/>
  <c r="F200" i="9"/>
  <c r="G199" i="9"/>
  <c r="F200" i="8"/>
  <c r="G199" i="8"/>
  <c r="D206" i="3"/>
  <c r="K199" i="8" l="1"/>
  <c r="M199" i="8" s="1"/>
  <c r="P199" i="8" a="1"/>
  <c r="P199" i="8" s="1"/>
  <c r="O199" i="8"/>
  <c r="I199" i="8"/>
  <c r="F201" i="8"/>
  <c r="G200" i="8"/>
  <c r="O199" i="9"/>
  <c r="P199" i="9" a="1"/>
  <c r="P199" i="9" s="1"/>
  <c r="I199" i="9"/>
  <c r="K199" i="9"/>
  <c r="M199" i="9" s="1"/>
  <c r="F201" i="9"/>
  <c r="G200" i="9"/>
  <c r="D207" i="3"/>
  <c r="F202" i="8" l="1"/>
  <c r="G201" i="8"/>
  <c r="K200" i="8"/>
  <c r="M200" i="8" s="1"/>
  <c r="P200" i="8" a="1"/>
  <c r="P200" i="8" s="1"/>
  <c r="I200" i="8"/>
  <c r="O200" i="8"/>
  <c r="P200" i="9" a="1"/>
  <c r="P200" i="9" s="1"/>
  <c r="K200" i="9"/>
  <c r="M200" i="9" s="1"/>
  <c r="I200" i="9"/>
  <c r="O200" i="9"/>
  <c r="G201" i="9"/>
  <c r="F202" i="9"/>
  <c r="D208" i="3"/>
  <c r="G202" i="9" l="1"/>
  <c r="F203" i="9"/>
  <c r="K201" i="8"/>
  <c r="M201" i="8" s="1"/>
  <c r="I201" i="8"/>
  <c r="P201" i="8" a="1"/>
  <c r="P201" i="8" s="1"/>
  <c r="O201" i="8"/>
  <c r="K201" i="9"/>
  <c r="M201" i="9" s="1"/>
  <c r="I201" i="9"/>
  <c r="P201" i="9" a="1"/>
  <c r="P201" i="9" s="1"/>
  <c r="O201" i="9"/>
  <c r="F203" i="8"/>
  <c r="G202" i="8"/>
  <c r="D209" i="3"/>
  <c r="P202" i="8" l="1" a="1"/>
  <c r="P202" i="8" s="1"/>
  <c r="K202" i="8"/>
  <c r="M202" i="8" s="1"/>
  <c r="O202" i="8"/>
  <c r="I202" i="8"/>
  <c r="F204" i="8"/>
  <c r="G203" i="8"/>
  <c r="G203" i="9"/>
  <c r="F204" i="9"/>
  <c r="P202" i="9" a="1"/>
  <c r="P202" i="9" s="1"/>
  <c r="I202" i="9"/>
  <c r="K202" i="9"/>
  <c r="M202" i="9" s="1"/>
  <c r="O202" i="9"/>
  <c r="D210" i="3"/>
  <c r="G204" i="9" l="1"/>
  <c r="F205" i="9"/>
  <c r="P203" i="8" a="1"/>
  <c r="P203" i="8" s="1"/>
  <c r="K203" i="8"/>
  <c r="M203" i="8" s="1"/>
  <c r="O203" i="8"/>
  <c r="I203" i="8"/>
  <c r="F205" i="8"/>
  <c r="G204" i="8"/>
  <c r="O203" i="9"/>
  <c r="P203" i="9" a="1"/>
  <c r="P203" i="9" s="1"/>
  <c r="K203" i="9"/>
  <c r="M203" i="9" s="1"/>
  <c r="I203" i="9"/>
  <c r="D211" i="3"/>
  <c r="K204" i="8" l="1"/>
  <c r="M204" i="8" s="1"/>
  <c r="P204" i="8" a="1"/>
  <c r="P204" i="8" s="1"/>
  <c r="O204" i="8"/>
  <c r="I204" i="8"/>
  <c r="F206" i="8"/>
  <c r="G205" i="8"/>
  <c r="F206" i="9"/>
  <c r="G205" i="9"/>
  <c r="K204" i="9"/>
  <c r="M204" i="9" s="1"/>
  <c r="O204" i="9"/>
  <c r="I204" i="9"/>
  <c r="P204" i="9" a="1"/>
  <c r="P204" i="9" s="1"/>
  <c r="D212" i="3"/>
  <c r="P205" i="9" l="1" a="1"/>
  <c r="P205" i="9" s="1"/>
  <c r="K205" i="9"/>
  <c r="M205" i="9" s="1"/>
  <c r="O205" i="9"/>
  <c r="I205" i="9"/>
  <c r="K205" i="8"/>
  <c r="M205" i="8" s="1"/>
  <c r="I205" i="8"/>
  <c r="O205" i="8"/>
  <c r="P205" i="8" a="1"/>
  <c r="P205" i="8" s="1"/>
  <c r="F207" i="8"/>
  <c r="G206" i="8"/>
  <c r="F207" i="9"/>
  <c r="G206" i="9"/>
  <c r="D213" i="3"/>
  <c r="F208" i="8" l="1"/>
  <c r="G207" i="8"/>
  <c r="P206" i="9" a="1"/>
  <c r="P206" i="9" s="1"/>
  <c r="O206" i="9"/>
  <c r="K206" i="9"/>
  <c r="M206" i="9" s="1"/>
  <c r="I206" i="9"/>
  <c r="F208" i="9"/>
  <c r="G207" i="9"/>
  <c r="O206" i="8"/>
  <c r="I206" i="8"/>
  <c r="K206" i="8"/>
  <c r="M206" i="8" s="1"/>
  <c r="P206" i="8" a="1"/>
  <c r="P206" i="8" s="1"/>
  <c r="D214" i="3"/>
  <c r="P207" i="9" l="1" a="1"/>
  <c r="P207" i="9" s="1"/>
  <c r="K207" i="9"/>
  <c r="M207" i="9" s="1"/>
  <c r="O207" i="9"/>
  <c r="I207" i="9"/>
  <c r="F209" i="9"/>
  <c r="G208" i="9"/>
  <c r="K207" i="8"/>
  <c r="M207" i="8" s="1"/>
  <c r="P207" i="8" a="1"/>
  <c r="P207" i="8" s="1"/>
  <c r="I207" i="8"/>
  <c r="O207" i="8"/>
  <c r="F209" i="8"/>
  <c r="G208" i="8"/>
  <c r="D215" i="3"/>
  <c r="F210" i="9" l="1"/>
  <c r="G209" i="9"/>
  <c r="P208" i="9" a="1"/>
  <c r="P208" i="9" s="1"/>
  <c r="K208" i="9"/>
  <c r="M208" i="9" s="1"/>
  <c r="O208" i="9"/>
  <c r="I208" i="9"/>
  <c r="K208" i="8"/>
  <c r="M208" i="8" s="1"/>
  <c r="O208" i="8"/>
  <c r="I208" i="8"/>
  <c r="P208" i="8" a="1"/>
  <c r="P208" i="8" s="1"/>
  <c r="F210" i="8"/>
  <c r="G209" i="8"/>
  <c r="D216" i="3"/>
  <c r="K209" i="8" l="1"/>
  <c r="M209" i="8" s="1"/>
  <c r="O209" i="8"/>
  <c r="P209" i="8" a="1"/>
  <c r="P209" i="8" s="1"/>
  <c r="I209" i="8"/>
  <c r="I209" i="9"/>
  <c r="O209" i="9"/>
  <c r="K209" i="9"/>
  <c r="M209" i="9" s="1"/>
  <c r="P209" i="9" a="1"/>
  <c r="P209" i="9" s="1"/>
  <c r="F211" i="8"/>
  <c r="G210" i="8"/>
  <c r="G210" i="9"/>
  <c r="F211" i="9"/>
  <c r="D217" i="3"/>
  <c r="F212" i="9" l="1"/>
  <c r="G211" i="9"/>
  <c r="O210" i="9"/>
  <c r="K210" i="9"/>
  <c r="M210" i="9" s="1"/>
  <c r="I210" i="9"/>
  <c r="P210" i="9" a="1"/>
  <c r="P210" i="9" s="1"/>
  <c r="P210" i="8" a="1"/>
  <c r="P210" i="8" s="1"/>
  <c r="K210" i="8"/>
  <c r="M210" i="8" s="1"/>
  <c r="O210" i="8"/>
  <c r="I210" i="8"/>
  <c r="F212" i="8"/>
  <c r="G211" i="8"/>
  <c r="D218" i="3"/>
  <c r="P211" i="8" l="1" a="1"/>
  <c r="P211" i="8" s="1"/>
  <c r="K211" i="8"/>
  <c r="M211" i="8" s="1"/>
  <c r="O211" i="8"/>
  <c r="I211" i="8"/>
  <c r="O211" i="9"/>
  <c r="K211" i="9"/>
  <c r="M211" i="9" s="1"/>
  <c r="P211" i="9" a="1"/>
  <c r="P211" i="9" s="1"/>
  <c r="I211" i="9"/>
  <c r="F213" i="8"/>
  <c r="G212" i="8"/>
  <c r="G212" i="9"/>
  <c r="F213" i="9"/>
  <c r="D219" i="3"/>
  <c r="F214" i="8" l="1"/>
  <c r="G213" i="8"/>
  <c r="F214" i="9"/>
  <c r="G213" i="9"/>
  <c r="P212" i="9" a="1"/>
  <c r="P212" i="9" s="1"/>
  <c r="I212" i="9"/>
  <c r="K212" i="9"/>
  <c r="M212" i="9" s="1"/>
  <c r="O212" i="9"/>
  <c r="P212" i="8" a="1"/>
  <c r="P212" i="8" s="1"/>
  <c r="K212" i="8"/>
  <c r="M212" i="8" s="1"/>
  <c r="I212" i="8"/>
  <c r="O212" i="8"/>
  <c r="D220" i="3"/>
  <c r="O213" i="9" l="1"/>
  <c r="P213" i="9" a="1"/>
  <c r="P213" i="9" s="1"/>
  <c r="I213" i="9"/>
  <c r="K213" i="9"/>
  <c r="M213" i="9" s="1"/>
  <c r="F215" i="9"/>
  <c r="G214" i="9"/>
  <c r="K213" i="8"/>
  <c r="M213" i="8" s="1"/>
  <c r="P213" i="8" a="1"/>
  <c r="P213" i="8" s="1"/>
  <c r="O213" i="8"/>
  <c r="I213" i="8"/>
  <c r="F215" i="8"/>
  <c r="G214" i="8"/>
  <c r="D221" i="3"/>
  <c r="F216" i="9" l="1"/>
  <c r="G215" i="9"/>
  <c r="K214" i="9"/>
  <c r="M214" i="9" s="1"/>
  <c r="O214" i="9"/>
  <c r="I214" i="9"/>
  <c r="P214" i="9" a="1"/>
  <c r="P214" i="9" s="1"/>
  <c r="K214" i="8"/>
  <c r="M214" i="8" s="1"/>
  <c r="O214" i="8"/>
  <c r="I214" i="8"/>
  <c r="P214" i="8" a="1"/>
  <c r="P214" i="8" s="1"/>
  <c r="F216" i="8"/>
  <c r="G215" i="8"/>
  <c r="D222" i="3"/>
  <c r="K215" i="8" l="1"/>
  <c r="M215" i="8" s="1"/>
  <c r="P215" i="8" a="1"/>
  <c r="P215" i="8" s="1"/>
  <c r="I215" i="8"/>
  <c r="O215" i="8"/>
  <c r="F217" i="8"/>
  <c r="G216" i="8"/>
  <c r="P215" i="9" a="1"/>
  <c r="P215" i="9" s="1"/>
  <c r="O215" i="9"/>
  <c r="K215" i="9"/>
  <c r="I215" i="9"/>
  <c r="G216" i="9"/>
  <c r="F217" i="9"/>
  <c r="D223" i="3"/>
  <c r="K216" i="8" l="1"/>
  <c r="M216" i="8" s="1"/>
  <c r="P216" i="8" a="1"/>
  <c r="P216" i="8" s="1"/>
  <c r="O216" i="8"/>
  <c r="I216" i="8"/>
  <c r="F218" i="8"/>
  <c r="G217" i="8"/>
  <c r="F218" i="9"/>
  <c r="G217" i="9"/>
  <c r="P216" i="9" a="1"/>
  <c r="P216" i="9" s="1"/>
  <c r="O216" i="9"/>
  <c r="K216" i="9"/>
  <c r="I216" i="9"/>
  <c r="X215" i="9"/>
  <c r="Y215" i="9" s="1"/>
  <c r="M215" i="9"/>
  <c r="D224" i="3"/>
  <c r="K217" i="9" l="1"/>
  <c r="I217" i="9"/>
  <c r="P217" i="9" a="1"/>
  <c r="P217" i="9" s="1"/>
  <c r="O217" i="9"/>
  <c r="K217" i="8"/>
  <c r="P217" i="8" a="1"/>
  <c r="P217" i="8" s="1"/>
  <c r="I217" i="8"/>
  <c r="O217" i="8"/>
  <c r="F219" i="9"/>
  <c r="G218" i="9"/>
  <c r="F219" i="8"/>
  <c r="G218" i="8"/>
  <c r="M216" i="9"/>
  <c r="X216" i="9"/>
  <c r="Y216" i="9" s="1"/>
  <c r="D225" i="3"/>
  <c r="X217" i="8" l="1"/>
  <c r="Y217" i="8" s="1"/>
  <c r="M217" i="8"/>
  <c r="K218" i="8"/>
  <c r="O218" i="8"/>
  <c r="I218" i="8"/>
  <c r="P218" i="8" a="1"/>
  <c r="P218" i="8" s="1"/>
  <c r="F220" i="8"/>
  <c r="G219" i="8"/>
  <c r="O218" i="9"/>
  <c r="P218" i="9" a="1"/>
  <c r="P218" i="9" s="1"/>
  <c r="K218" i="9"/>
  <c r="I218" i="9"/>
  <c r="F220" i="9"/>
  <c r="G219" i="9"/>
  <c r="M217" i="9"/>
  <c r="X217" i="9"/>
  <c r="Y217" i="9" s="1"/>
  <c r="D226" i="3"/>
  <c r="K219" i="8" l="1"/>
  <c r="I219" i="8"/>
  <c r="P219" i="8" a="1"/>
  <c r="P219" i="8" s="1"/>
  <c r="O219" i="8"/>
  <c r="G220" i="9"/>
  <c r="F221" i="9"/>
  <c r="F221" i="8"/>
  <c r="G220" i="8"/>
  <c r="O219" i="9"/>
  <c r="I219" i="9"/>
  <c r="K219" i="9"/>
  <c r="P219" i="9" a="1"/>
  <c r="P219" i="9" s="1"/>
  <c r="M218" i="9"/>
  <c r="X218" i="9"/>
  <c r="Y218" i="9" s="1"/>
  <c r="X218" i="8"/>
  <c r="Y218" i="8" s="1"/>
  <c r="M218" i="8"/>
  <c r="D227" i="3"/>
  <c r="K220" i="8" l="1"/>
  <c r="M220" i="8" s="1"/>
  <c r="P220" i="8" a="1"/>
  <c r="P220" i="8" s="1"/>
  <c r="O220" i="8"/>
  <c r="I220" i="8"/>
  <c r="F222" i="8"/>
  <c r="G221" i="8"/>
  <c r="G221" i="9"/>
  <c r="F222" i="9"/>
  <c r="P220" i="9" a="1"/>
  <c r="P220" i="9" s="1"/>
  <c r="I220" i="9"/>
  <c r="K220" i="9"/>
  <c r="M220" i="9" s="1"/>
  <c r="O220" i="9"/>
  <c r="M219" i="9"/>
  <c r="X219" i="9"/>
  <c r="Y219" i="9" s="1"/>
  <c r="X219" i="8"/>
  <c r="Y219" i="8" s="1"/>
  <c r="M219" i="8"/>
  <c r="D228" i="3"/>
  <c r="G222" i="9" l="1"/>
  <c r="F223" i="9"/>
  <c r="P221" i="9" a="1"/>
  <c r="P221" i="9" s="1"/>
  <c r="K221" i="9"/>
  <c r="M221" i="9" s="1"/>
  <c r="O221" i="9"/>
  <c r="I221" i="9"/>
  <c r="K221" i="8"/>
  <c r="M221" i="8" s="1"/>
  <c r="I221" i="8"/>
  <c r="O221" i="8"/>
  <c r="P221" i="8" a="1"/>
  <c r="P221" i="8" s="1"/>
  <c r="F223" i="8"/>
  <c r="G222" i="8"/>
  <c r="D229" i="3"/>
  <c r="P222" i="8" l="1" a="1"/>
  <c r="P222" i="8" s="1"/>
  <c r="K222" i="8"/>
  <c r="M222" i="8" s="1"/>
  <c r="O222" i="8"/>
  <c r="I222" i="8"/>
  <c r="F224" i="9"/>
  <c r="G223" i="9"/>
  <c r="F224" i="8"/>
  <c r="G223" i="8"/>
  <c r="K222" i="9"/>
  <c r="M222" i="9" s="1"/>
  <c r="I222" i="9"/>
  <c r="P222" i="9" a="1"/>
  <c r="P222" i="9" s="1"/>
  <c r="O222" i="9"/>
  <c r="D230" i="3"/>
  <c r="I223" i="8" l="1"/>
  <c r="K223" i="8"/>
  <c r="M223" i="8" s="1"/>
  <c r="P223" i="8" a="1"/>
  <c r="P223" i="8" s="1"/>
  <c r="O223" i="8"/>
  <c r="F225" i="8"/>
  <c r="G224" i="8"/>
  <c r="F225" i="9"/>
  <c r="G224" i="9"/>
  <c r="O223" i="9"/>
  <c r="K223" i="9"/>
  <c r="M223" i="9" s="1"/>
  <c r="P223" i="9" a="1"/>
  <c r="P223" i="9" s="1"/>
  <c r="I223" i="9"/>
  <c r="D231" i="3"/>
  <c r="P224" i="9" l="1" a="1"/>
  <c r="P224" i="9" s="1"/>
  <c r="O224" i="9"/>
  <c r="K224" i="9"/>
  <c r="M224" i="9" s="1"/>
  <c r="I224" i="9"/>
  <c r="K224" i="8"/>
  <c r="M224" i="8" s="1"/>
  <c r="O224" i="8"/>
  <c r="P224" i="8" a="1"/>
  <c r="P224" i="8" s="1"/>
  <c r="I224" i="8"/>
  <c r="F226" i="9"/>
  <c r="G225" i="9"/>
  <c r="F226" i="8"/>
  <c r="G225" i="8"/>
  <c r="D232" i="3"/>
  <c r="G226" i="9" l="1"/>
  <c r="F227" i="9"/>
  <c r="K225" i="8"/>
  <c r="M225" i="8" s="1"/>
  <c r="O225" i="8"/>
  <c r="P225" i="8" a="1"/>
  <c r="P225" i="8" s="1"/>
  <c r="I225" i="8"/>
  <c r="F227" i="8"/>
  <c r="G226" i="8"/>
  <c r="K225" i="9"/>
  <c r="M225" i="9" s="1"/>
  <c r="I225" i="9"/>
  <c r="O225" i="9"/>
  <c r="P225" i="9" a="1"/>
  <c r="P225" i="9" s="1"/>
  <c r="D233" i="3"/>
  <c r="K226" i="8" l="1"/>
  <c r="M226" i="8" s="1"/>
  <c r="I226" i="8"/>
  <c r="P226" i="8" a="1"/>
  <c r="P226" i="8" s="1"/>
  <c r="O226" i="8"/>
  <c r="F228" i="8"/>
  <c r="G227" i="8"/>
  <c r="G227" i="9"/>
  <c r="F228" i="9"/>
  <c r="I226" i="9"/>
  <c r="O226" i="9"/>
  <c r="P226" i="9" a="1"/>
  <c r="P226" i="9" s="1"/>
  <c r="K226" i="9"/>
  <c r="M226" i="9" s="1"/>
  <c r="D234" i="3"/>
  <c r="F229" i="9" l="1"/>
  <c r="G228" i="9"/>
  <c r="K227" i="8"/>
  <c r="M227" i="8" s="1"/>
  <c r="P227" i="8" a="1"/>
  <c r="P227" i="8" s="1"/>
  <c r="I227" i="8"/>
  <c r="O227" i="8"/>
  <c r="F229" i="8"/>
  <c r="G228" i="8"/>
  <c r="K227" i="9"/>
  <c r="M227" i="9" s="1"/>
  <c r="O227" i="9"/>
  <c r="P227" i="9" a="1"/>
  <c r="P227" i="9" s="1"/>
  <c r="I227" i="9"/>
  <c r="D235" i="3"/>
  <c r="P228" i="8" l="1" a="1"/>
  <c r="P228" i="8" s="1"/>
  <c r="O228" i="8"/>
  <c r="K228" i="8"/>
  <c r="M228" i="8" s="1"/>
  <c r="I228" i="8"/>
  <c r="K228" i="9"/>
  <c r="M228" i="9" s="1"/>
  <c r="O228" i="9"/>
  <c r="P228" i="9" a="1"/>
  <c r="P228" i="9" s="1"/>
  <c r="I228" i="9"/>
  <c r="F230" i="8"/>
  <c r="G229" i="8"/>
  <c r="F230" i="9"/>
  <c r="G229" i="9"/>
  <c r="D236" i="3"/>
  <c r="F231" i="8" l="1"/>
  <c r="G230" i="8"/>
  <c r="O229" i="9"/>
  <c r="P229" i="9" a="1"/>
  <c r="P229" i="9" s="1"/>
  <c r="K229" i="9"/>
  <c r="M229" i="9" s="1"/>
  <c r="I229" i="9"/>
  <c r="F231" i="9"/>
  <c r="G230" i="9"/>
  <c r="K229" i="8"/>
  <c r="M229" i="8" s="1"/>
  <c r="I229" i="8"/>
  <c r="P229" i="8" a="1"/>
  <c r="P229" i="8" s="1"/>
  <c r="O229" i="8"/>
  <c r="D237" i="3"/>
  <c r="O230" i="9" l="1"/>
  <c r="P230" i="9" a="1"/>
  <c r="P230" i="9" s="1"/>
  <c r="K230" i="9"/>
  <c r="M230" i="9" s="1"/>
  <c r="I230" i="9"/>
  <c r="G231" i="9"/>
  <c r="F232" i="9"/>
  <c r="K230" i="8"/>
  <c r="M230" i="8" s="1"/>
  <c r="P230" i="8" a="1"/>
  <c r="P230" i="8" s="1"/>
  <c r="O230" i="8"/>
  <c r="I230" i="8"/>
  <c r="F232" i="8"/>
  <c r="G231" i="8"/>
  <c r="D238" i="3"/>
  <c r="K231" i="9" l="1"/>
  <c r="M231" i="9" s="1"/>
  <c r="P231" i="9" a="1"/>
  <c r="P231" i="9" s="1"/>
  <c r="O231" i="9"/>
  <c r="I231" i="9"/>
  <c r="P231" i="8" a="1"/>
  <c r="P231" i="8" s="1"/>
  <c r="K231" i="8"/>
  <c r="M231" i="8" s="1"/>
  <c r="I231" i="8"/>
  <c r="O231" i="8"/>
  <c r="F233" i="8"/>
  <c r="G232" i="8"/>
  <c r="F233" i="9"/>
  <c r="G232" i="9"/>
  <c r="D239" i="3"/>
  <c r="K232" i="9" l="1"/>
  <c r="M232" i="9" s="1"/>
  <c r="I232" i="9"/>
  <c r="O232" i="9"/>
  <c r="P232" i="9" a="1"/>
  <c r="P232" i="9" s="1"/>
  <c r="G233" i="9"/>
  <c r="F234" i="9"/>
  <c r="K232" i="8"/>
  <c r="M232" i="8" s="1"/>
  <c r="P232" i="8" a="1"/>
  <c r="P232" i="8" s="1"/>
  <c r="O232" i="8"/>
  <c r="I232" i="8"/>
  <c r="F234" i="8"/>
  <c r="G233" i="8"/>
  <c r="D240" i="3"/>
  <c r="F235" i="9" l="1"/>
  <c r="G234" i="9"/>
  <c r="F235" i="8"/>
  <c r="G234" i="8"/>
  <c r="O233" i="9"/>
  <c r="I233" i="9"/>
  <c r="P233" i="9" a="1"/>
  <c r="P233" i="9" s="1"/>
  <c r="K233" i="9"/>
  <c r="M233" i="9" s="1"/>
  <c r="O233" i="8"/>
  <c r="K233" i="8"/>
  <c r="M233" i="8" s="1"/>
  <c r="I233" i="8"/>
  <c r="P233" i="8" a="1"/>
  <c r="P233" i="8" s="1"/>
  <c r="D241" i="3"/>
  <c r="O234" i="8" l="1"/>
  <c r="I234" i="8"/>
  <c r="P234" i="8" a="1"/>
  <c r="P234" i="8" s="1"/>
  <c r="K234" i="8"/>
  <c r="M234" i="8" s="1"/>
  <c r="F236" i="8"/>
  <c r="G235" i="8"/>
  <c r="P234" i="9" a="1"/>
  <c r="P234" i="9" s="1"/>
  <c r="K234" i="9"/>
  <c r="M234" i="9" s="1"/>
  <c r="O234" i="9"/>
  <c r="I234" i="9"/>
  <c r="G235" i="9"/>
  <c r="F236" i="9"/>
  <c r="D242" i="3"/>
  <c r="F237" i="8" l="1"/>
  <c r="G236" i="8"/>
  <c r="K235" i="9"/>
  <c r="M235" i="9" s="1"/>
  <c r="I235" i="9"/>
  <c r="O235" i="9"/>
  <c r="P235" i="9" a="1"/>
  <c r="P235" i="9" s="1"/>
  <c r="P235" i="8" a="1"/>
  <c r="P235" i="8" s="1"/>
  <c r="K235" i="8"/>
  <c r="M235" i="8" s="1"/>
  <c r="I235" i="8"/>
  <c r="O235" i="8"/>
  <c r="F237" i="9"/>
  <c r="G236" i="9"/>
  <c r="D243" i="3"/>
  <c r="P236" i="9" l="1" a="1"/>
  <c r="P236" i="9" s="1"/>
  <c r="K236" i="9"/>
  <c r="M236" i="9" s="1"/>
  <c r="O236" i="9"/>
  <c r="I236" i="9"/>
  <c r="P236" i="8" a="1"/>
  <c r="P236" i="8" s="1"/>
  <c r="K236" i="8"/>
  <c r="M236" i="8" s="1"/>
  <c r="O236" i="8"/>
  <c r="I236" i="8"/>
  <c r="F238" i="9"/>
  <c r="G237" i="9"/>
  <c r="F238" i="8"/>
  <c r="G237" i="8"/>
  <c r="D244" i="3"/>
  <c r="G238" i="9" l="1"/>
  <c r="F239" i="9"/>
  <c r="P237" i="8" a="1"/>
  <c r="P237" i="8" s="1"/>
  <c r="K237" i="8"/>
  <c r="M237" i="8" s="1"/>
  <c r="O237" i="8"/>
  <c r="I237" i="8"/>
  <c r="F239" i="8"/>
  <c r="G238" i="8"/>
  <c r="K237" i="9"/>
  <c r="M237" i="9" s="1"/>
  <c r="P237" i="9" a="1"/>
  <c r="P237" i="9" s="1"/>
  <c r="O237" i="9"/>
  <c r="I237" i="9"/>
  <c r="D245" i="3"/>
  <c r="K238" i="8" l="1"/>
  <c r="M238" i="8" s="1"/>
  <c r="P238" i="8" a="1"/>
  <c r="P238" i="8" s="1"/>
  <c r="I238" i="8"/>
  <c r="O238" i="8"/>
  <c r="F240" i="8"/>
  <c r="G239" i="8"/>
  <c r="G239" i="9"/>
  <c r="F240" i="9"/>
  <c r="O238" i="9"/>
  <c r="K238" i="9"/>
  <c r="M238" i="9" s="1"/>
  <c r="P238" i="9" a="1"/>
  <c r="P238" i="9" s="1"/>
  <c r="I238" i="9"/>
  <c r="D246" i="3"/>
  <c r="F241" i="9" l="1"/>
  <c r="G240" i="9"/>
  <c r="K239" i="8"/>
  <c r="M239" i="8" s="1"/>
  <c r="P239" i="8" a="1"/>
  <c r="P239" i="8" s="1"/>
  <c r="I239" i="8"/>
  <c r="O239" i="8"/>
  <c r="F241" i="8"/>
  <c r="G240" i="8"/>
  <c r="K239" i="9"/>
  <c r="M239" i="9" s="1"/>
  <c r="O239" i="9"/>
  <c r="P239" i="9" a="1"/>
  <c r="P239" i="9" s="1"/>
  <c r="I239" i="9"/>
  <c r="D247" i="3"/>
  <c r="O240" i="8" l="1"/>
  <c r="K240" i="8"/>
  <c r="M240" i="8" s="1"/>
  <c r="P240" i="8" a="1"/>
  <c r="P240" i="8" s="1"/>
  <c r="I240" i="8"/>
  <c r="F242" i="8"/>
  <c r="G241" i="8"/>
  <c r="I240" i="9"/>
  <c r="P240" i="9" a="1"/>
  <c r="P240" i="9" s="1"/>
  <c r="O240" i="9"/>
  <c r="K240" i="9"/>
  <c r="M240" i="9" s="1"/>
  <c r="G241" i="9"/>
  <c r="F242" i="9"/>
  <c r="D248" i="3"/>
  <c r="K241" i="8" l="1"/>
  <c r="M241" i="8" s="1"/>
  <c r="I241" i="8"/>
  <c r="O241" i="8"/>
  <c r="P241" i="8" a="1"/>
  <c r="P241" i="8" s="1"/>
  <c r="F243" i="9"/>
  <c r="G242" i="9"/>
  <c r="F243" i="8"/>
  <c r="G242" i="8"/>
  <c r="K241" i="9"/>
  <c r="M241" i="9" s="1"/>
  <c r="O241" i="9"/>
  <c r="I241" i="9"/>
  <c r="P241" i="9" a="1"/>
  <c r="P241" i="9" s="1"/>
  <c r="D249" i="3"/>
  <c r="K242" i="8" l="1"/>
  <c r="M242" i="8" s="1"/>
  <c r="P242" i="8" a="1"/>
  <c r="P242" i="8" s="1"/>
  <c r="I242" i="8"/>
  <c r="O242" i="8"/>
  <c r="F244" i="8"/>
  <c r="G243" i="8"/>
  <c r="O242" i="9"/>
  <c r="I242" i="9"/>
  <c r="K242" i="9"/>
  <c r="M242" i="9" s="1"/>
  <c r="P242" i="9" a="1"/>
  <c r="P242" i="9" s="1"/>
  <c r="F244" i="9"/>
  <c r="G243" i="9"/>
  <c r="D250" i="3"/>
  <c r="K243" i="8" l="1"/>
  <c r="M243" i="8" s="1"/>
  <c r="P243" i="8" a="1"/>
  <c r="P243" i="8" s="1"/>
  <c r="O243" i="8"/>
  <c r="I243" i="8"/>
  <c r="F245" i="8"/>
  <c r="G244" i="8"/>
  <c r="P243" i="9" a="1"/>
  <c r="P243" i="9" s="1"/>
  <c r="K243" i="9"/>
  <c r="M243" i="9" s="1"/>
  <c r="O243" i="9"/>
  <c r="I243" i="9"/>
  <c r="F245" i="9"/>
  <c r="G244" i="9"/>
  <c r="D251" i="3"/>
  <c r="K244" i="8" l="1"/>
  <c r="M244" i="8" s="1"/>
  <c r="I244" i="8"/>
  <c r="O244" i="8"/>
  <c r="P244" i="8" a="1"/>
  <c r="P244" i="8" s="1"/>
  <c r="F246" i="8"/>
  <c r="G245" i="8"/>
  <c r="P244" i="9" a="1"/>
  <c r="P244" i="9" s="1"/>
  <c r="K244" i="9"/>
  <c r="M244" i="9" s="1"/>
  <c r="O244" i="9"/>
  <c r="I244" i="9"/>
  <c r="F246" i="9"/>
  <c r="G245" i="9"/>
  <c r="D252" i="3"/>
  <c r="K245" i="8" l="1"/>
  <c r="M245" i="8" s="1"/>
  <c r="I245" i="8"/>
  <c r="P245" i="8" a="1"/>
  <c r="P245" i="8" s="1"/>
  <c r="O245" i="8"/>
  <c r="F247" i="8"/>
  <c r="G246" i="8"/>
  <c r="F247" i="9"/>
  <c r="G246" i="9"/>
  <c r="P245" i="9" a="1"/>
  <c r="P245" i="9" s="1"/>
  <c r="O245" i="9"/>
  <c r="K245" i="9"/>
  <c r="M245" i="9" s="1"/>
  <c r="I245" i="9"/>
  <c r="D253" i="3"/>
  <c r="I246" i="9" l="1"/>
  <c r="O246" i="9"/>
  <c r="K246" i="9"/>
  <c r="M246" i="9" s="1"/>
  <c r="P246" i="9" a="1"/>
  <c r="P246" i="9" s="1"/>
  <c r="O246" i="8"/>
  <c r="K246" i="8"/>
  <c r="M246" i="8" s="1"/>
  <c r="P246" i="8" a="1"/>
  <c r="P246" i="8" s="1"/>
  <c r="I246" i="8"/>
  <c r="F248" i="8"/>
  <c r="G247" i="8"/>
  <c r="F248" i="9"/>
  <c r="G247" i="9"/>
  <c r="D254" i="3"/>
  <c r="F249" i="9" l="1"/>
  <c r="G248" i="9"/>
  <c r="K247" i="8"/>
  <c r="M247" i="8" s="1"/>
  <c r="P247" i="8" a="1"/>
  <c r="P247" i="8" s="1"/>
  <c r="O247" i="8"/>
  <c r="I247" i="8"/>
  <c r="K247" i="9"/>
  <c r="M247" i="9" s="1"/>
  <c r="P247" i="9" a="1"/>
  <c r="P247" i="9" s="1"/>
  <c r="O247" i="9"/>
  <c r="I247" i="9"/>
  <c r="F249" i="8"/>
  <c r="G248" i="8"/>
  <c r="D255" i="3"/>
  <c r="K248" i="8" l="1"/>
  <c r="M248" i="8" s="1"/>
  <c r="O248" i="8"/>
  <c r="P248" i="8" a="1"/>
  <c r="P248" i="8" s="1"/>
  <c r="I248" i="8"/>
  <c r="I248" i="9"/>
  <c r="P248" i="9" a="1"/>
  <c r="P248" i="9" s="1"/>
  <c r="K248" i="9"/>
  <c r="M248" i="9" s="1"/>
  <c r="O248" i="9"/>
  <c r="F250" i="8"/>
  <c r="G249" i="8"/>
  <c r="F250" i="9"/>
  <c r="G249" i="9"/>
  <c r="D256" i="3"/>
  <c r="O249" i="9" l="1"/>
  <c r="P249" i="9" a="1"/>
  <c r="P249" i="9" s="1"/>
  <c r="K249" i="9"/>
  <c r="M249" i="9" s="1"/>
  <c r="I249" i="9"/>
  <c r="G250" i="9"/>
  <c r="F251" i="9"/>
  <c r="P249" i="8" a="1"/>
  <c r="P249" i="8" s="1"/>
  <c r="I249" i="8"/>
  <c r="K249" i="8"/>
  <c r="M249" i="8" s="1"/>
  <c r="O249" i="8"/>
  <c r="F251" i="8"/>
  <c r="G250" i="8"/>
  <c r="D257" i="3"/>
  <c r="P250" i="9" l="1" a="1"/>
  <c r="P250" i="9" s="1"/>
  <c r="I250" i="9"/>
  <c r="K250" i="9"/>
  <c r="M250" i="9" s="1"/>
  <c r="O250" i="9"/>
  <c r="G251" i="9"/>
  <c r="F252" i="9"/>
  <c r="O250" i="8"/>
  <c r="K250" i="8"/>
  <c r="I250" i="8"/>
  <c r="P250" i="8" a="1"/>
  <c r="P250" i="8" s="1"/>
  <c r="F252" i="8"/>
  <c r="G251" i="8"/>
  <c r="D258" i="3"/>
  <c r="P251" i="9" l="1" a="1"/>
  <c r="P251" i="9" s="1"/>
  <c r="K251" i="9"/>
  <c r="M251" i="9" s="1"/>
  <c r="O251" i="9"/>
  <c r="I251" i="9"/>
  <c r="M250" i="8"/>
  <c r="K251" i="8"/>
  <c r="M251" i="8" s="1"/>
  <c r="P251" i="8" a="1"/>
  <c r="P251" i="8" s="1"/>
  <c r="O251" i="8"/>
  <c r="I251" i="8"/>
  <c r="F253" i="9"/>
  <c r="G252" i="9"/>
  <c r="F253" i="8"/>
  <c r="G252" i="8"/>
  <c r="D259" i="3"/>
  <c r="P252" i="9" l="1" a="1"/>
  <c r="P252" i="9" s="1"/>
  <c r="I252" i="9"/>
  <c r="K252" i="9"/>
  <c r="M252" i="9" s="1"/>
  <c r="O252" i="9"/>
  <c r="I252" i="8"/>
  <c r="O252" i="8"/>
  <c r="K252" i="8"/>
  <c r="M252" i="8" s="1"/>
  <c r="P252" i="8" a="1"/>
  <c r="P252" i="8" s="1"/>
  <c r="G253" i="9"/>
  <c r="F254" i="9"/>
  <c r="F254" i="8"/>
  <c r="G253" i="8"/>
  <c r="D260" i="3"/>
  <c r="I253" i="8" l="1"/>
  <c r="K253" i="8"/>
  <c r="M253" i="8" s="1"/>
  <c r="O253" i="8"/>
  <c r="P253" i="8" a="1"/>
  <c r="P253" i="8" s="1"/>
  <c r="P253" i="9" a="1"/>
  <c r="P253" i="9" s="1"/>
  <c r="I253" i="9"/>
  <c r="K253" i="9"/>
  <c r="M253" i="9" s="1"/>
  <c r="O253" i="9"/>
  <c r="F255" i="8"/>
  <c r="G254" i="8"/>
  <c r="F255" i="9"/>
  <c r="G254" i="9"/>
  <c r="D261" i="3"/>
  <c r="F256" i="9" l="1"/>
  <c r="G255" i="9"/>
  <c r="K254" i="9"/>
  <c r="M254" i="9" s="1"/>
  <c r="P254" i="9" a="1"/>
  <c r="P254" i="9" s="1"/>
  <c r="I254" i="9"/>
  <c r="O254" i="9"/>
  <c r="K254" i="8"/>
  <c r="M254" i="8" s="1"/>
  <c r="P254" i="8" a="1"/>
  <c r="P254" i="8" s="1"/>
  <c r="I254" i="8"/>
  <c r="O254" i="8"/>
  <c r="F256" i="8"/>
  <c r="G255" i="8"/>
  <c r="D262" i="3"/>
  <c r="F257" i="8" l="1"/>
  <c r="G256" i="8"/>
  <c r="O255" i="9"/>
  <c r="I255" i="9"/>
  <c r="P255" i="9" a="1"/>
  <c r="P255" i="9" s="1"/>
  <c r="K255" i="9"/>
  <c r="M255" i="9" s="1"/>
  <c r="I255" i="8"/>
  <c r="O255" i="8"/>
  <c r="P255" i="8" a="1"/>
  <c r="P255" i="8" s="1"/>
  <c r="K255" i="8"/>
  <c r="M255" i="8" s="1"/>
  <c r="G256" i="9"/>
  <c r="F257" i="9"/>
  <c r="D263" i="3"/>
  <c r="G257" i="9" l="1"/>
  <c r="F258" i="9"/>
  <c r="O256" i="9"/>
  <c r="K256" i="9"/>
  <c r="M256" i="9" s="1"/>
  <c r="P256" i="9" a="1"/>
  <c r="P256" i="9" s="1"/>
  <c r="I256" i="9"/>
  <c r="K256" i="8"/>
  <c r="M256" i="8" s="1"/>
  <c r="P256" i="8" a="1"/>
  <c r="P256" i="8" s="1"/>
  <c r="I256" i="8"/>
  <c r="O256" i="8"/>
  <c r="F258" i="8"/>
  <c r="G257" i="8"/>
  <c r="D264" i="3"/>
  <c r="K257" i="8" l="1"/>
  <c r="M257" i="8" s="1"/>
  <c r="O257" i="8"/>
  <c r="P257" i="8" a="1"/>
  <c r="P257" i="8" s="1"/>
  <c r="I257" i="8"/>
  <c r="G258" i="9"/>
  <c r="F259" i="9"/>
  <c r="F259" i="8"/>
  <c r="G258" i="8"/>
  <c r="O257" i="9"/>
  <c r="P257" i="9" a="1"/>
  <c r="P257" i="9" s="1"/>
  <c r="K257" i="9"/>
  <c r="M257" i="9" s="1"/>
  <c r="I257" i="9"/>
  <c r="D265" i="3"/>
  <c r="F260" i="8" l="1"/>
  <c r="G259" i="8"/>
  <c r="K258" i="9"/>
  <c r="M258" i="9" s="1"/>
  <c r="I258" i="9"/>
  <c r="P258" i="9" a="1"/>
  <c r="P258" i="9" s="1"/>
  <c r="O258" i="9"/>
  <c r="O258" i="8"/>
  <c r="K258" i="8"/>
  <c r="M258" i="8" s="1"/>
  <c r="P258" i="8" a="1"/>
  <c r="P258" i="8" s="1"/>
  <c r="I258" i="8"/>
  <c r="F260" i="9"/>
  <c r="G259" i="9"/>
  <c r="D266" i="3"/>
  <c r="P259" i="9" l="1" a="1"/>
  <c r="P259" i="9" s="1"/>
  <c r="K259" i="9"/>
  <c r="M259" i="9" s="1"/>
  <c r="I259" i="9"/>
  <c r="O259" i="9"/>
  <c r="F261" i="9"/>
  <c r="G260" i="9"/>
  <c r="K259" i="8"/>
  <c r="M259" i="8" s="1"/>
  <c r="P259" i="8" a="1"/>
  <c r="P259" i="8" s="1"/>
  <c r="O259" i="8"/>
  <c r="I259" i="8"/>
  <c r="F261" i="8"/>
  <c r="G260" i="8"/>
  <c r="D267" i="3"/>
  <c r="O260" i="9" l="1"/>
  <c r="I260" i="9"/>
  <c r="K260" i="9"/>
  <c r="M260" i="9" s="1"/>
  <c r="P260" i="9" a="1"/>
  <c r="P260" i="9" s="1"/>
  <c r="F262" i="8"/>
  <c r="G261" i="8"/>
  <c r="F262" i="9"/>
  <c r="G261" i="9"/>
  <c r="K260" i="8"/>
  <c r="M260" i="8" s="1"/>
  <c r="P260" i="8" a="1"/>
  <c r="P260" i="8" s="1"/>
  <c r="I260" i="8"/>
  <c r="O260" i="8"/>
  <c r="D268" i="3"/>
  <c r="K261" i="9" l="1"/>
  <c r="M261" i="9" s="1"/>
  <c r="O261" i="9"/>
  <c r="P261" i="9" a="1"/>
  <c r="P261" i="9" s="1"/>
  <c r="I261" i="9"/>
  <c r="F263" i="8"/>
  <c r="G262" i="8"/>
  <c r="F263" i="9"/>
  <c r="G262" i="9"/>
  <c r="K261" i="8"/>
  <c r="M261" i="8" s="1"/>
  <c r="P261" i="8" a="1"/>
  <c r="P261" i="8" s="1"/>
  <c r="O261" i="8"/>
  <c r="I261" i="8"/>
  <c r="D269" i="3"/>
  <c r="P262" i="9" l="1" a="1"/>
  <c r="P262" i="9" s="1"/>
  <c r="I262" i="9"/>
  <c r="O262" i="9"/>
  <c r="K262" i="9"/>
  <c r="M262" i="9" s="1"/>
  <c r="F264" i="8"/>
  <c r="G263" i="8"/>
  <c r="G263" i="9"/>
  <c r="F264" i="9"/>
  <c r="K262" i="8"/>
  <c r="I262" i="8"/>
  <c r="D81" i="7" s="1"/>
  <c r="O262" i="8"/>
  <c r="P262" i="8" a="1"/>
  <c r="P262" i="8" s="1"/>
  <c r="D270" i="3"/>
  <c r="M262" i="8" l="1"/>
  <c r="D83" i="7" s="1"/>
  <c r="I69" i="7" s="1"/>
  <c r="D84" i="7"/>
  <c r="G264" i="9"/>
  <c r="F265" i="9"/>
  <c r="P263" i="9" a="1"/>
  <c r="P263" i="9" s="1"/>
  <c r="O263" i="9"/>
  <c r="K263" i="9"/>
  <c r="M263" i="9" s="1"/>
  <c r="I263" i="9"/>
  <c r="K263" i="8"/>
  <c r="M263" i="8" s="1"/>
  <c r="O263" i="8"/>
  <c r="P263" i="8" a="1"/>
  <c r="P263" i="8" s="1"/>
  <c r="I263" i="8"/>
  <c r="F265" i="8"/>
  <c r="G264" i="8"/>
  <c r="D271" i="3"/>
  <c r="P264" i="8" l="1" a="1"/>
  <c r="P264" i="8" s="1"/>
  <c r="K264" i="8"/>
  <c r="M264" i="8" s="1"/>
  <c r="O264" i="8"/>
  <c r="I264" i="8"/>
  <c r="F266" i="8"/>
  <c r="G265" i="8"/>
  <c r="G265" i="9"/>
  <c r="F266" i="9"/>
  <c r="I264" i="9"/>
  <c r="K264" i="9"/>
  <c r="M264" i="9" s="1"/>
  <c r="P264" i="9" a="1"/>
  <c r="P264" i="9" s="1"/>
  <c r="O264" i="9"/>
  <c r="D272" i="3"/>
  <c r="F267" i="9" l="1"/>
  <c r="G266" i="9"/>
  <c r="F267" i="8"/>
  <c r="G266" i="8"/>
  <c r="P265" i="9" a="1"/>
  <c r="P265" i="9" s="1"/>
  <c r="K265" i="9"/>
  <c r="M265" i="9" s="1"/>
  <c r="I265" i="9"/>
  <c r="O265" i="9"/>
  <c r="O265" i="8"/>
  <c r="I265" i="8"/>
  <c r="K265" i="8"/>
  <c r="M265" i="8" s="1"/>
  <c r="P265" i="8" a="1"/>
  <c r="P265" i="8" s="1"/>
  <c r="D273" i="3"/>
  <c r="P266" i="8" l="1" a="1"/>
  <c r="P266" i="8" s="1"/>
  <c r="K266" i="8"/>
  <c r="M266" i="8" s="1"/>
  <c r="O266" i="8"/>
  <c r="I266" i="8"/>
  <c r="F268" i="8"/>
  <c r="G267" i="8"/>
  <c r="P266" i="9" a="1"/>
  <c r="P266" i="9" s="1"/>
  <c r="K266" i="9"/>
  <c r="M266" i="9" s="1"/>
  <c r="O266" i="9"/>
  <c r="I266" i="9"/>
  <c r="F268" i="9"/>
  <c r="G267" i="9"/>
  <c r="D274" i="3"/>
  <c r="F269" i="8" l="1"/>
  <c r="G268" i="8"/>
  <c r="K267" i="8"/>
  <c r="M267" i="8" s="1"/>
  <c r="O267" i="8"/>
  <c r="I267" i="8"/>
  <c r="P267" i="8" a="1"/>
  <c r="P267" i="8" s="1"/>
  <c r="O267" i="9"/>
  <c r="K267" i="9"/>
  <c r="M267" i="9" s="1"/>
  <c r="P267" i="9" a="1"/>
  <c r="P267" i="9" s="1"/>
  <c r="I267" i="9"/>
  <c r="G268" i="9"/>
  <c r="F269" i="9"/>
  <c r="D275" i="3"/>
  <c r="I268" i="9" l="1"/>
  <c r="H268" i="9"/>
  <c r="AF268" i="9"/>
  <c r="AG268" i="9" s="1"/>
  <c r="P268" i="9" a="1"/>
  <c r="P268" i="9" s="1"/>
  <c r="K268" i="9"/>
  <c r="O268" i="9"/>
  <c r="F270" i="9"/>
  <c r="G269" i="9"/>
  <c r="O268" i="8"/>
  <c r="K268" i="8"/>
  <c r="M268" i="8" s="1"/>
  <c r="P268" i="8" a="1"/>
  <c r="P268" i="8" s="1"/>
  <c r="I268" i="8"/>
  <c r="F270" i="8"/>
  <c r="G269" i="8"/>
  <c r="D276" i="3"/>
  <c r="O269" i="9" l="1"/>
  <c r="P269" i="9" a="1"/>
  <c r="P269" i="9" s="1"/>
  <c r="K269" i="9"/>
  <c r="I269" i="9"/>
  <c r="H269" i="9"/>
  <c r="AF269" i="9"/>
  <c r="AG269" i="9" s="1"/>
  <c r="K269" i="8"/>
  <c r="M269" i="8" s="1"/>
  <c r="P269" i="8" a="1"/>
  <c r="P269" i="8" s="1"/>
  <c r="O269" i="8"/>
  <c r="I269" i="8"/>
  <c r="X268" i="9"/>
  <c r="Y268" i="9" s="1"/>
  <c r="M268" i="9"/>
  <c r="W268" i="9"/>
  <c r="AJ268" i="9" s="1"/>
  <c r="L268" i="9"/>
  <c r="Q268" i="9" s="1"/>
  <c r="F271" i="9"/>
  <c r="G270" i="9"/>
  <c r="F271" i="8"/>
  <c r="G270" i="8"/>
  <c r="D277" i="3"/>
  <c r="F272" i="9" l="1"/>
  <c r="G271" i="9"/>
  <c r="O270" i="9"/>
  <c r="I270" i="9"/>
  <c r="H270" i="9"/>
  <c r="P270" i="9" a="1"/>
  <c r="P270" i="9" s="1"/>
  <c r="AF270" i="9"/>
  <c r="AG270" i="9" s="1"/>
  <c r="K270" i="9"/>
  <c r="W269" i="9"/>
  <c r="AJ269" i="9" s="1"/>
  <c r="L269" i="9"/>
  <c r="Q269" i="9" s="1"/>
  <c r="M269" i="9"/>
  <c r="X269" i="9"/>
  <c r="Y269" i="9" s="1"/>
  <c r="I270" i="8"/>
  <c r="K270" i="8"/>
  <c r="M270" i="8" s="1"/>
  <c r="P270" i="8" a="1"/>
  <c r="P270" i="8" s="1"/>
  <c r="O270" i="8"/>
  <c r="F272" i="8"/>
  <c r="G271" i="8"/>
  <c r="D279" i="3"/>
  <c r="X270" i="9" l="1"/>
  <c r="Y270" i="9" s="1"/>
  <c r="M270" i="9"/>
  <c r="W270" i="9"/>
  <c r="AJ270" i="9" s="1"/>
  <c r="L270" i="9"/>
  <c r="Q270" i="9" s="1"/>
  <c r="O271" i="8"/>
  <c r="K271" i="8"/>
  <c r="M271" i="8" s="1"/>
  <c r="P271" i="8" a="1"/>
  <c r="P271" i="8" s="1"/>
  <c r="I271" i="8"/>
  <c r="P271" i="9" a="1"/>
  <c r="P271" i="9" s="1"/>
  <c r="K271" i="9"/>
  <c r="M271" i="9" s="1"/>
  <c r="O271" i="9"/>
  <c r="I271" i="9"/>
  <c r="F273" i="8"/>
  <c r="G272" i="8"/>
  <c r="F273" i="9"/>
  <c r="G272" i="9"/>
  <c r="D280" i="3"/>
  <c r="F274" i="9" l="1"/>
  <c r="G273" i="9"/>
  <c r="H272" i="9"/>
  <c r="P272" i="9" a="1"/>
  <c r="P272" i="9" s="1"/>
  <c r="K272" i="9"/>
  <c r="M272" i="9" s="1"/>
  <c r="I272" i="9"/>
  <c r="O272" i="9"/>
  <c r="P272" i="8" a="1"/>
  <c r="P272" i="8" s="1"/>
  <c r="K272" i="8"/>
  <c r="M272" i="8" s="1"/>
  <c r="I272" i="8"/>
  <c r="O272" i="8"/>
  <c r="F274" i="8"/>
  <c r="G273" i="8"/>
  <c r="D281" i="3"/>
  <c r="K273" i="8" l="1"/>
  <c r="M273" i="8" s="1"/>
  <c r="O273" i="8"/>
  <c r="P273" i="8" a="1"/>
  <c r="P273" i="8" s="1"/>
  <c r="I273" i="8"/>
  <c r="F275" i="8"/>
  <c r="G274" i="8"/>
  <c r="P273" i="9" a="1"/>
  <c r="P273" i="9" s="1"/>
  <c r="K273" i="9"/>
  <c r="M273" i="9" s="1"/>
  <c r="O273" i="9"/>
  <c r="I273" i="9"/>
  <c r="G274" i="9"/>
  <c r="F275" i="9"/>
  <c r="D282" i="3"/>
  <c r="F276" i="8" l="1"/>
  <c r="G275" i="8"/>
  <c r="K274" i="8"/>
  <c r="M274" i="8" s="1"/>
  <c r="I274" i="8"/>
  <c r="P274" i="8" a="1"/>
  <c r="P274" i="8" s="1"/>
  <c r="O274" i="8"/>
  <c r="G275" i="9"/>
  <c r="F276" i="9"/>
  <c r="K274" i="9"/>
  <c r="M274" i="9" s="1"/>
  <c r="P274" i="9" a="1"/>
  <c r="P274" i="9" s="1"/>
  <c r="I274" i="9"/>
  <c r="O274" i="9"/>
  <c r="D283" i="3"/>
  <c r="F277" i="9" l="1"/>
  <c r="G276" i="9"/>
  <c r="P275" i="9" a="1"/>
  <c r="P275" i="9" s="1"/>
  <c r="K275" i="9"/>
  <c r="M275" i="9" s="1"/>
  <c r="O275" i="9"/>
  <c r="I275" i="9"/>
  <c r="K275" i="8"/>
  <c r="M275" i="8" s="1"/>
  <c r="P275" i="8" a="1"/>
  <c r="P275" i="8" s="1"/>
  <c r="O275" i="8"/>
  <c r="I275" i="8"/>
  <c r="F277" i="8"/>
  <c r="G276" i="8"/>
  <c r="D284" i="3"/>
  <c r="K276" i="8" l="1"/>
  <c r="M276" i="8" s="1"/>
  <c r="O276" i="8"/>
  <c r="P276" i="8" a="1"/>
  <c r="P276" i="8" s="1"/>
  <c r="I276" i="8"/>
  <c r="K276" i="9"/>
  <c r="M276" i="9" s="1"/>
  <c r="O276" i="9"/>
  <c r="P276" i="9" a="1"/>
  <c r="P276" i="9" s="1"/>
  <c r="I276" i="9"/>
  <c r="F278" i="8"/>
  <c r="G277" i="8"/>
  <c r="F278" i="9"/>
  <c r="G277" i="9"/>
  <c r="D285" i="3"/>
  <c r="K277" i="9" l="1"/>
  <c r="M277" i="9" s="1"/>
  <c r="I277" i="9"/>
  <c r="P277" i="9" a="1"/>
  <c r="P277" i="9" s="1"/>
  <c r="O277" i="9"/>
  <c r="G278" i="9"/>
  <c r="F279" i="9"/>
  <c r="O277" i="8"/>
  <c r="K277" i="8"/>
  <c r="M277" i="8" s="1"/>
  <c r="P277" i="8" a="1"/>
  <c r="P277" i="8" s="1"/>
  <c r="I277" i="8"/>
  <c r="F279" i="8"/>
  <c r="G278" i="8"/>
  <c r="D286" i="3"/>
  <c r="F280" i="9" l="1"/>
  <c r="G279" i="9"/>
  <c r="P278" i="9" a="1"/>
  <c r="P278" i="9" s="1"/>
  <c r="O278" i="9"/>
  <c r="K278" i="9"/>
  <c r="I278" i="9"/>
  <c r="E81" i="7" s="1"/>
  <c r="K278" i="8"/>
  <c r="M278" i="8" s="1"/>
  <c r="P278" i="8" a="1"/>
  <c r="P278" i="8" s="1"/>
  <c r="I278" i="8"/>
  <c r="O278" i="8"/>
  <c r="F280" i="8"/>
  <c r="G279" i="8"/>
  <c r="D287" i="3"/>
  <c r="F281" i="8" l="1"/>
  <c r="G280" i="8"/>
  <c r="P279" i="9" a="1"/>
  <c r="P279" i="9" s="1"/>
  <c r="K279" i="9"/>
  <c r="M279" i="9" s="1"/>
  <c r="I279" i="9"/>
  <c r="O279" i="9"/>
  <c r="M278" i="9"/>
  <c r="E83" i="7" s="1"/>
  <c r="I71" i="7" s="1"/>
  <c r="E84" i="7"/>
  <c r="K279" i="8"/>
  <c r="M279" i="8" s="1"/>
  <c r="P279" i="8" a="1"/>
  <c r="P279" i="8" s="1"/>
  <c r="O279" i="8"/>
  <c r="I279" i="8"/>
  <c r="G280" i="9"/>
  <c r="F281" i="9"/>
  <c r="D288" i="3"/>
  <c r="O280" i="9" l="1"/>
  <c r="P280" i="9" a="1"/>
  <c r="P280" i="9" s="1"/>
  <c r="I280" i="9"/>
  <c r="K280" i="9"/>
  <c r="M280" i="9" s="1"/>
  <c r="G281" i="9"/>
  <c r="F282" i="9"/>
  <c r="P280" i="8" a="1"/>
  <c r="P280" i="8" s="1"/>
  <c r="K280" i="8"/>
  <c r="M280" i="8" s="1"/>
  <c r="O280" i="8"/>
  <c r="I280" i="8"/>
  <c r="F282" i="8"/>
  <c r="G281" i="8"/>
  <c r="D289" i="3"/>
  <c r="O281" i="9" l="1"/>
  <c r="P281" i="9" a="1"/>
  <c r="P281" i="9" s="1"/>
  <c r="K281" i="9"/>
  <c r="M281" i="9" s="1"/>
  <c r="I281" i="9"/>
  <c r="F283" i="8"/>
  <c r="G282" i="8"/>
  <c r="G282" i="9"/>
  <c r="F283" i="9"/>
  <c r="P281" i="8" a="1"/>
  <c r="P281" i="8" s="1"/>
  <c r="O281" i="8"/>
  <c r="K281" i="8"/>
  <c r="M281" i="8" s="1"/>
  <c r="I281" i="8"/>
  <c r="D290" i="3"/>
  <c r="F284" i="9" l="1"/>
  <c r="G283" i="9"/>
  <c r="O282" i="8"/>
  <c r="I282" i="8"/>
  <c r="P282" i="8" a="1"/>
  <c r="P282" i="8" s="1"/>
  <c r="K282" i="8"/>
  <c r="M282" i="8" s="1"/>
  <c r="K282" i="9"/>
  <c r="M282" i="9" s="1"/>
  <c r="O282" i="9"/>
  <c r="P282" i="9" a="1"/>
  <c r="P282" i="9" s="1"/>
  <c r="I282" i="9"/>
  <c r="F284" i="8"/>
  <c r="G283" i="8"/>
  <c r="D291" i="3"/>
  <c r="F285" i="8" l="1"/>
  <c r="G284" i="8"/>
  <c r="I283" i="8"/>
  <c r="O283" i="8"/>
  <c r="K283" i="8"/>
  <c r="M283" i="8" s="1"/>
  <c r="P283" i="8" a="1"/>
  <c r="P283" i="8" s="1"/>
  <c r="P283" i="9" a="1"/>
  <c r="P283" i="9" s="1"/>
  <c r="K283" i="9"/>
  <c r="M283" i="9" s="1"/>
  <c r="O283" i="9"/>
  <c r="I283" i="9"/>
  <c r="F285" i="9"/>
  <c r="G284" i="9"/>
  <c r="D292" i="3"/>
  <c r="F286" i="9" l="1"/>
  <c r="G285" i="9"/>
  <c r="P284" i="8" a="1"/>
  <c r="P284" i="8" s="1"/>
  <c r="K284" i="8"/>
  <c r="M284" i="8" s="1"/>
  <c r="O284" i="8"/>
  <c r="I284" i="8"/>
  <c r="P284" i="9" a="1"/>
  <c r="P284" i="9" s="1"/>
  <c r="I284" i="9"/>
  <c r="O284" i="9"/>
  <c r="K284" i="9"/>
  <c r="M284" i="9" s="1"/>
  <c r="F286" i="8"/>
  <c r="G285" i="8"/>
  <c r="D293" i="3"/>
  <c r="K285" i="8" l="1"/>
  <c r="M285" i="8" s="1"/>
  <c r="O285" i="8"/>
  <c r="P285" i="8" a="1"/>
  <c r="P285" i="8" s="1"/>
  <c r="I285" i="8"/>
  <c r="I285" i="9"/>
  <c r="P285" i="9" a="1"/>
  <c r="P285" i="9" s="1"/>
  <c r="O285" i="9"/>
  <c r="K285" i="9"/>
  <c r="M285" i="9" s="1"/>
  <c r="F287" i="8"/>
  <c r="G286" i="8"/>
  <c r="F287" i="9"/>
  <c r="G286" i="9"/>
  <c r="D294" i="3"/>
  <c r="O286" i="9" l="1"/>
  <c r="I286" i="9"/>
  <c r="K286" i="9"/>
  <c r="M286" i="9" s="1"/>
  <c r="P286" i="9" a="1"/>
  <c r="P286" i="9" s="1"/>
  <c r="K286" i="8"/>
  <c r="M286" i="8" s="1"/>
  <c r="O286" i="8"/>
  <c r="P286" i="8" a="1"/>
  <c r="P286" i="8" s="1"/>
  <c r="I286" i="8"/>
  <c r="F288" i="9"/>
  <c r="G287" i="9"/>
  <c r="F288" i="8"/>
  <c r="G287" i="8"/>
  <c r="D295" i="3"/>
  <c r="I287" i="8" l="1"/>
  <c r="O287" i="8"/>
  <c r="K287" i="8"/>
  <c r="M287" i="8" s="1"/>
  <c r="P287" i="8" a="1"/>
  <c r="P287" i="8" s="1"/>
  <c r="K287" i="9"/>
  <c r="M287" i="9" s="1"/>
  <c r="I287" i="9"/>
  <c r="P287" i="9" a="1"/>
  <c r="P287" i="9" s="1"/>
  <c r="O287" i="9"/>
  <c r="F289" i="8"/>
  <c r="G288" i="8"/>
  <c r="F289" i="9"/>
  <c r="G288" i="9"/>
  <c r="D296" i="3"/>
  <c r="K288" i="9" l="1"/>
  <c r="M288" i="9" s="1"/>
  <c r="P288" i="9" a="1"/>
  <c r="P288" i="9" s="1"/>
  <c r="I288" i="9"/>
  <c r="O288" i="9"/>
  <c r="K288" i="8"/>
  <c r="M288" i="8" s="1"/>
  <c r="P288" i="8" a="1"/>
  <c r="P288" i="8" s="1"/>
  <c r="O288" i="8"/>
  <c r="I288" i="8"/>
  <c r="G289" i="9"/>
  <c r="F290" i="9"/>
  <c r="F290" i="8"/>
  <c r="G289" i="8"/>
  <c r="D297" i="3"/>
  <c r="O289" i="8" l="1"/>
  <c r="I289" i="8"/>
  <c r="K289" i="8"/>
  <c r="M289" i="8" s="1"/>
  <c r="P289" i="8" a="1"/>
  <c r="P289" i="8" s="1"/>
  <c r="F291" i="8"/>
  <c r="G290" i="8"/>
  <c r="F291" i="9"/>
  <c r="G290" i="9"/>
  <c r="O289" i="9"/>
  <c r="P289" i="9" a="1"/>
  <c r="P289" i="9" s="1"/>
  <c r="I289" i="9"/>
  <c r="K289" i="9"/>
  <c r="M289" i="9" s="1"/>
  <c r="D298" i="3"/>
  <c r="I290" i="9" l="1"/>
  <c r="K290" i="9"/>
  <c r="M290" i="9" s="1"/>
  <c r="O290" i="9"/>
  <c r="P290" i="9" a="1"/>
  <c r="P290" i="9" s="1"/>
  <c r="F292" i="9"/>
  <c r="G291" i="9"/>
  <c r="O290" i="8"/>
  <c r="K290" i="8"/>
  <c r="M290" i="8" s="1"/>
  <c r="P290" i="8" a="1"/>
  <c r="P290" i="8" s="1"/>
  <c r="I290" i="8"/>
  <c r="F292" i="8"/>
  <c r="G291" i="8"/>
  <c r="D299" i="3"/>
  <c r="K291" i="9" l="1"/>
  <c r="M291" i="9" s="1"/>
  <c r="P291" i="9" a="1"/>
  <c r="P291" i="9" s="1"/>
  <c r="O291" i="9"/>
  <c r="I291" i="9"/>
  <c r="F293" i="8"/>
  <c r="G292" i="8"/>
  <c r="F293" i="9"/>
  <c r="G292" i="9"/>
  <c r="P291" i="8" a="1"/>
  <c r="P291" i="8" s="1"/>
  <c r="K291" i="8"/>
  <c r="M291" i="8" s="1"/>
  <c r="I291" i="8"/>
  <c r="O291" i="8"/>
  <c r="D300" i="3"/>
  <c r="P292" i="9" l="1" a="1"/>
  <c r="P292" i="9" s="1"/>
  <c r="K292" i="9"/>
  <c r="M292" i="9" s="1"/>
  <c r="I292" i="9"/>
  <c r="O292" i="9"/>
  <c r="F294" i="8"/>
  <c r="G293" i="8"/>
  <c r="O292" i="8"/>
  <c r="P292" i="8" a="1"/>
  <c r="P292" i="8" s="1"/>
  <c r="K292" i="8"/>
  <c r="M292" i="8" s="1"/>
  <c r="I292" i="8"/>
  <c r="G293" i="9"/>
  <c r="F294" i="9"/>
  <c r="D301" i="3"/>
  <c r="F295" i="8" l="1"/>
  <c r="G294" i="8"/>
  <c r="I293" i="9"/>
  <c r="O293" i="9"/>
  <c r="P293" i="9" a="1"/>
  <c r="P293" i="9" s="1"/>
  <c r="K293" i="9"/>
  <c r="M293" i="9" s="1"/>
  <c r="O293" i="8"/>
  <c r="K293" i="8"/>
  <c r="M293" i="8" s="1"/>
  <c r="P293" i="8" a="1"/>
  <c r="P293" i="8" s="1"/>
  <c r="I293" i="8"/>
  <c r="F295" i="9"/>
  <c r="G294" i="9"/>
  <c r="D302" i="3"/>
  <c r="P294" i="9" l="1" a="1"/>
  <c r="P294" i="9" s="1"/>
  <c r="K294" i="9"/>
  <c r="M294" i="9" s="1"/>
  <c r="I294" i="9"/>
  <c r="O294" i="9"/>
  <c r="F296" i="9"/>
  <c r="G295" i="9"/>
  <c r="K294" i="8"/>
  <c r="M294" i="8" s="1"/>
  <c r="I294" i="8"/>
  <c r="O294" i="8"/>
  <c r="P294" i="8" a="1"/>
  <c r="P294" i="8" s="1"/>
  <c r="F296" i="8"/>
  <c r="G295" i="8"/>
  <c r="D303" i="3"/>
  <c r="O295" i="9" l="1"/>
  <c r="P295" i="9" a="1"/>
  <c r="P295" i="9" s="1"/>
  <c r="K295" i="9"/>
  <c r="M295" i="9" s="1"/>
  <c r="I295" i="9"/>
  <c r="G296" i="9"/>
  <c r="F297" i="9"/>
  <c r="I295" i="8"/>
  <c r="P295" i="8" a="1"/>
  <c r="P295" i="8" s="1"/>
  <c r="K295" i="8"/>
  <c r="M295" i="8" s="1"/>
  <c r="O295" i="8"/>
  <c r="F297" i="8"/>
  <c r="G296" i="8"/>
  <c r="D304" i="3"/>
  <c r="K296" i="9" l="1"/>
  <c r="M296" i="9" s="1"/>
  <c r="O296" i="9"/>
  <c r="P296" i="9" a="1"/>
  <c r="P296" i="9" s="1"/>
  <c r="I296" i="9"/>
  <c r="I296" i="8"/>
  <c r="K296" i="8"/>
  <c r="M296" i="8" s="1"/>
  <c r="P296" i="8" a="1"/>
  <c r="P296" i="8" s="1"/>
  <c r="O296" i="8"/>
  <c r="F298" i="8"/>
  <c r="G297" i="8"/>
  <c r="G297" i="9"/>
  <c r="F298" i="9"/>
  <c r="D305" i="3"/>
  <c r="K297" i="8" l="1"/>
  <c r="M297" i="8" s="1"/>
  <c r="P297" i="8" a="1"/>
  <c r="P297" i="8" s="1"/>
  <c r="I297" i="8"/>
  <c r="O297" i="8"/>
  <c r="G298" i="9"/>
  <c r="F299" i="9"/>
  <c r="K297" i="9"/>
  <c r="M297" i="9" s="1"/>
  <c r="I297" i="9"/>
  <c r="O297" i="9"/>
  <c r="P297" i="9" a="1"/>
  <c r="P297" i="9" s="1"/>
  <c r="F299" i="8"/>
  <c r="G298" i="8"/>
  <c r="D306" i="3"/>
  <c r="F300" i="9" l="1"/>
  <c r="G299" i="9"/>
  <c r="K298" i="8"/>
  <c r="M298" i="8" s="1"/>
  <c r="P298" i="8" a="1"/>
  <c r="P298" i="8" s="1"/>
  <c r="I298" i="8"/>
  <c r="O298" i="8"/>
  <c r="O298" i="9"/>
  <c r="P298" i="9" a="1"/>
  <c r="P298" i="9" s="1"/>
  <c r="K298" i="9"/>
  <c r="M298" i="9" s="1"/>
  <c r="I298" i="9"/>
  <c r="F300" i="8"/>
  <c r="G299" i="8"/>
  <c r="D307" i="3"/>
  <c r="K299" i="8" l="1"/>
  <c r="M299" i="8" s="1"/>
  <c r="P299" i="8" a="1"/>
  <c r="P299" i="8" s="1"/>
  <c r="O299" i="8"/>
  <c r="I299" i="8"/>
  <c r="O299" i="9"/>
  <c r="I299" i="9"/>
  <c r="K299" i="9"/>
  <c r="M299" i="9" s="1"/>
  <c r="P299" i="9" a="1"/>
  <c r="P299" i="9" s="1"/>
  <c r="F301" i="8"/>
  <c r="G300" i="8"/>
  <c r="F301" i="9"/>
  <c r="G300" i="9"/>
  <c r="D308" i="3"/>
  <c r="K300" i="9" l="1"/>
  <c r="M300" i="9" s="1"/>
  <c r="O300" i="9"/>
  <c r="P300" i="9" a="1"/>
  <c r="P300" i="9" s="1"/>
  <c r="I300" i="9"/>
  <c r="F302" i="9"/>
  <c r="G301" i="9"/>
  <c r="I300" i="8"/>
  <c r="K300" i="8"/>
  <c r="M300" i="8" s="1"/>
  <c r="P300" i="8" a="1"/>
  <c r="P300" i="8" s="1"/>
  <c r="O300" i="8"/>
  <c r="F302" i="8"/>
  <c r="G301" i="8"/>
  <c r="D309" i="3"/>
  <c r="G302" i="9" l="1"/>
  <c r="F303" i="9"/>
  <c r="P301" i="9" a="1"/>
  <c r="P301" i="9" s="1"/>
  <c r="K301" i="9"/>
  <c r="M301" i="9" s="1"/>
  <c r="I301" i="9"/>
  <c r="O301" i="9"/>
  <c r="P301" i="8" a="1"/>
  <c r="P301" i="8" s="1"/>
  <c r="K301" i="8"/>
  <c r="M301" i="8" s="1"/>
  <c r="I301" i="8"/>
  <c r="O301" i="8"/>
  <c r="F303" i="8"/>
  <c r="G302" i="8"/>
  <c r="D310" i="3"/>
  <c r="P302" i="8" l="1" a="1"/>
  <c r="P302" i="8" s="1"/>
  <c r="O302" i="8"/>
  <c r="K302" i="8"/>
  <c r="M302" i="8" s="1"/>
  <c r="I302" i="8"/>
  <c r="G303" i="9"/>
  <c r="F304" i="9"/>
  <c r="F304" i="8"/>
  <c r="G303" i="8"/>
  <c r="O302" i="9"/>
  <c r="K302" i="9"/>
  <c r="M302" i="9" s="1"/>
  <c r="I302" i="9"/>
  <c r="P302" i="9" a="1"/>
  <c r="P302" i="9" s="1"/>
  <c r="D311" i="3"/>
  <c r="P303" i="8" l="1" a="1"/>
  <c r="P303" i="8" s="1"/>
  <c r="I303" i="8"/>
  <c r="K303" i="8"/>
  <c r="M303" i="8" s="1"/>
  <c r="O303" i="8"/>
  <c r="F305" i="8"/>
  <c r="G304" i="8"/>
  <c r="F305" i="9"/>
  <c r="G304" i="9"/>
  <c r="K303" i="9"/>
  <c r="M303" i="9" s="1"/>
  <c r="P303" i="9" a="1"/>
  <c r="P303" i="9" s="1"/>
  <c r="O303" i="9"/>
  <c r="I303" i="9"/>
  <c r="D312" i="3"/>
  <c r="O304" i="9" l="1"/>
  <c r="P304" i="9" a="1"/>
  <c r="P304" i="9" s="1"/>
  <c r="K304" i="9"/>
  <c r="M304" i="9" s="1"/>
  <c r="I304" i="9"/>
  <c r="F306" i="8"/>
  <c r="G305" i="8"/>
  <c r="F306" i="9"/>
  <c r="G305" i="9"/>
  <c r="O304" i="8"/>
  <c r="I304" i="8"/>
  <c r="K304" i="8"/>
  <c r="M304" i="8" s="1"/>
  <c r="P304" i="8" a="1"/>
  <c r="P304" i="8" s="1"/>
  <c r="D313" i="3"/>
  <c r="K305" i="9" l="1"/>
  <c r="M305" i="9" s="1"/>
  <c r="O305" i="9"/>
  <c r="I305" i="9"/>
  <c r="P305" i="9" a="1"/>
  <c r="P305" i="9" s="1"/>
  <c r="G306" i="9"/>
  <c r="F307" i="9"/>
  <c r="K305" i="8"/>
  <c r="M305" i="8" s="1"/>
  <c r="P305" i="8" a="1"/>
  <c r="P305" i="8" s="1"/>
  <c r="I305" i="8"/>
  <c r="O305" i="8"/>
  <c r="F307" i="8"/>
  <c r="G306" i="8"/>
  <c r="D314" i="3"/>
  <c r="F308" i="8" l="1"/>
  <c r="G307" i="8"/>
  <c r="O306" i="9"/>
  <c r="I306" i="9"/>
  <c r="P306" i="9" a="1"/>
  <c r="P306" i="9" s="1"/>
  <c r="K306" i="9"/>
  <c r="M306" i="9" s="1"/>
  <c r="F308" i="9"/>
  <c r="G307" i="9"/>
  <c r="K306" i="8"/>
  <c r="M306" i="8" s="1"/>
  <c r="P306" i="8" a="1"/>
  <c r="P306" i="8" s="1"/>
  <c r="I306" i="8"/>
  <c r="O306" i="8"/>
  <c r="D315" i="3"/>
  <c r="K307" i="9" l="1"/>
  <c r="M307" i="9" s="1"/>
  <c r="P307" i="9" a="1"/>
  <c r="P307" i="9" s="1"/>
  <c r="O307" i="9"/>
  <c r="I307" i="9"/>
  <c r="G308" i="9"/>
  <c r="F309" i="9"/>
  <c r="P307" i="8" a="1"/>
  <c r="P307" i="8" s="1"/>
  <c r="K307" i="8"/>
  <c r="M307" i="8" s="1"/>
  <c r="O307" i="8"/>
  <c r="I307" i="8"/>
  <c r="F309" i="8"/>
  <c r="G308" i="8"/>
  <c r="D316" i="3"/>
  <c r="G309" i="9" l="1"/>
  <c r="F310" i="9"/>
  <c r="I308" i="8"/>
  <c r="P308" i="8" a="1"/>
  <c r="P308" i="8" s="1"/>
  <c r="O308" i="8"/>
  <c r="K308" i="8"/>
  <c r="M308" i="8" s="1"/>
  <c r="O308" i="9"/>
  <c r="K308" i="9"/>
  <c r="M308" i="9" s="1"/>
  <c r="I308" i="9"/>
  <c r="P308" i="9" a="1"/>
  <c r="P308" i="9" s="1"/>
  <c r="F310" i="8"/>
  <c r="G309" i="8"/>
  <c r="D317" i="3"/>
  <c r="I309" i="8" l="1"/>
  <c r="K309" i="8"/>
  <c r="M309" i="8" s="1"/>
  <c r="P309" i="8" a="1"/>
  <c r="P309" i="8" s="1"/>
  <c r="O309" i="8"/>
  <c r="F311" i="8"/>
  <c r="G310" i="8"/>
  <c r="F311" i="9"/>
  <c r="G310" i="9"/>
  <c r="O309" i="9"/>
  <c r="P309" i="9" a="1"/>
  <c r="P309" i="9" s="1"/>
  <c r="K309" i="9"/>
  <c r="M309" i="9" s="1"/>
  <c r="I309" i="9"/>
  <c r="D318" i="3"/>
  <c r="P310" i="9" l="1" a="1"/>
  <c r="P310" i="9" s="1"/>
  <c r="O310" i="9"/>
  <c r="K310" i="9"/>
  <c r="M310" i="9" s="1"/>
  <c r="I310" i="9"/>
  <c r="O310" i="8"/>
  <c r="K310" i="8"/>
  <c r="M310" i="8" s="1"/>
  <c r="P310" i="8" a="1"/>
  <c r="P310" i="8" s="1"/>
  <c r="I310" i="8"/>
  <c r="F312" i="8"/>
  <c r="G311" i="8"/>
  <c r="F312" i="9"/>
  <c r="G311" i="9"/>
  <c r="D319" i="3"/>
  <c r="P311" i="9" l="1" a="1"/>
  <c r="P311" i="9" s="1"/>
  <c r="I311" i="9"/>
  <c r="K311" i="9"/>
  <c r="M311" i="9" s="1"/>
  <c r="O311" i="9"/>
  <c r="F313" i="8"/>
  <c r="G312" i="8"/>
  <c r="F313" i="9"/>
  <c r="G312" i="9"/>
  <c r="K311" i="8"/>
  <c r="M311" i="8" s="1"/>
  <c r="P311" i="8" a="1"/>
  <c r="P311" i="8" s="1"/>
  <c r="I311" i="8"/>
  <c r="O311" i="8"/>
  <c r="D320" i="3"/>
  <c r="F314" i="8" l="1"/>
  <c r="G313" i="8"/>
  <c r="K312" i="9"/>
  <c r="M312" i="9" s="1"/>
  <c r="I312" i="9"/>
  <c r="P312" i="9" a="1"/>
  <c r="P312" i="9" s="1"/>
  <c r="O312" i="9"/>
  <c r="K312" i="8"/>
  <c r="M312" i="8" s="1"/>
  <c r="P312" i="8" a="1"/>
  <c r="P312" i="8" s="1"/>
  <c r="I312" i="8"/>
  <c r="O312" i="8"/>
  <c r="G313" i="9"/>
  <c r="F314" i="9"/>
  <c r="D321" i="3"/>
  <c r="O313" i="9" l="1"/>
  <c r="I313" i="9"/>
  <c r="P313" i="9" a="1"/>
  <c r="P313" i="9" s="1"/>
  <c r="K313" i="9"/>
  <c r="M313" i="9" s="1"/>
  <c r="P313" i="8" a="1"/>
  <c r="P313" i="8" s="1"/>
  <c r="K313" i="8"/>
  <c r="M313" i="8" s="1"/>
  <c r="I313" i="8"/>
  <c r="O313" i="8"/>
  <c r="F315" i="9"/>
  <c r="G314" i="9"/>
  <c r="F315" i="8"/>
  <c r="G314" i="8"/>
  <c r="D322" i="3"/>
  <c r="F316" i="8" l="1"/>
  <c r="G315" i="8"/>
  <c r="I314" i="9"/>
  <c r="P314" i="9" a="1"/>
  <c r="P314" i="9" s="1"/>
  <c r="K314" i="9"/>
  <c r="M314" i="9" s="1"/>
  <c r="O314" i="9"/>
  <c r="I314" i="8"/>
  <c r="K314" i="8"/>
  <c r="M314" i="8" s="1"/>
  <c r="P314" i="8" a="1"/>
  <c r="P314" i="8" s="1"/>
  <c r="O314" i="8"/>
  <c r="G315" i="9"/>
  <c r="F316" i="9"/>
  <c r="D323" i="3"/>
  <c r="G316" i="9" l="1"/>
  <c r="F317" i="9"/>
  <c r="P315" i="9" a="1"/>
  <c r="P315" i="9" s="1"/>
  <c r="K315" i="9"/>
  <c r="M315" i="9" s="1"/>
  <c r="I315" i="9"/>
  <c r="O315" i="9"/>
  <c r="O315" i="8"/>
  <c r="I315" i="8"/>
  <c r="P315" i="8" a="1"/>
  <c r="P315" i="8" s="1"/>
  <c r="K315" i="8"/>
  <c r="M315" i="8" s="1"/>
  <c r="F317" i="8"/>
  <c r="G316" i="8"/>
  <c r="D324" i="3"/>
  <c r="I316" i="8" l="1"/>
  <c r="P316" i="8" a="1"/>
  <c r="P316" i="8" s="1"/>
  <c r="K316" i="8"/>
  <c r="M316" i="8" s="1"/>
  <c r="O316" i="8"/>
  <c r="F318" i="8"/>
  <c r="G317" i="8"/>
  <c r="F318" i="9"/>
  <c r="G317" i="9"/>
  <c r="K316" i="9"/>
  <c r="M316" i="9" s="1"/>
  <c r="I316" i="9"/>
  <c r="P316" i="9" a="1"/>
  <c r="P316" i="9" s="1"/>
  <c r="O316" i="9"/>
  <c r="D325" i="3"/>
  <c r="K317" i="9" l="1"/>
  <c r="M317" i="9" s="1"/>
  <c r="I317" i="9"/>
  <c r="P317" i="9" a="1"/>
  <c r="P317" i="9" s="1"/>
  <c r="O317" i="9"/>
  <c r="F319" i="8"/>
  <c r="G318" i="8"/>
  <c r="O317" i="8"/>
  <c r="P317" i="8" a="1"/>
  <c r="P317" i="8" s="1"/>
  <c r="K317" i="8"/>
  <c r="M317" i="8" s="1"/>
  <c r="I317" i="8"/>
  <c r="F319" i="9"/>
  <c r="G318" i="9"/>
  <c r="D326" i="3"/>
  <c r="K318" i="8" l="1"/>
  <c r="M318" i="8" s="1"/>
  <c r="O318" i="8"/>
  <c r="I318" i="8"/>
  <c r="P318" i="8" a="1"/>
  <c r="P318" i="8" s="1"/>
  <c r="O318" i="9"/>
  <c r="K318" i="9"/>
  <c r="M318" i="9" s="1"/>
  <c r="I318" i="9"/>
  <c r="P318" i="9" a="1"/>
  <c r="P318" i="9" s="1"/>
  <c r="F320" i="9"/>
  <c r="G319" i="9"/>
  <c r="F320" i="8"/>
  <c r="G319" i="8"/>
  <c r="D327" i="3"/>
  <c r="K319" i="8" l="1"/>
  <c r="M319" i="8" s="1"/>
  <c r="P319" i="8" a="1"/>
  <c r="P319" i="8" s="1"/>
  <c r="I319" i="8"/>
  <c r="O319" i="8"/>
  <c r="F321" i="8"/>
  <c r="G320" i="8"/>
  <c r="I319" i="9"/>
  <c r="K319" i="9"/>
  <c r="M319" i="9" s="1"/>
  <c r="P319" i="9" a="1"/>
  <c r="P319" i="9" s="1"/>
  <c r="O319" i="9"/>
  <c r="G320" i="9"/>
  <c r="F321" i="9"/>
  <c r="D328" i="3"/>
  <c r="F322" i="9" l="1"/>
  <c r="G321" i="9"/>
  <c r="I320" i="8"/>
  <c r="O320" i="8"/>
  <c r="K320" i="8"/>
  <c r="M320" i="8" s="1"/>
  <c r="P320" i="8" a="1"/>
  <c r="P320" i="8" s="1"/>
  <c r="F322" i="8"/>
  <c r="G321" i="8"/>
  <c r="O320" i="9"/>
  <c r="I320" i="9"/>
  <c r="P320" i="9" a="1"/>
  <c r="P320" i="9" s="1"/>
  <c r="K320" i="9"/>
  <c r="M320" i="9" s="1"/>
  <c r="D329" i="3"/>
  <c r="F323" i="8" l="1"/>
  <c r="G322" i="8"/>
  <c r="K321" i="9"/>
  <c r="M321" i="9" s="1"/>
  <c r="O321" i="9"/>
  <c r="P321" i="9" a="1"/>
  <c r="P321" i="9" s="1"/>
  <c r="I321" i="9"/>
  <c r="K321" i="8"/>
  <c r="M321" i="8" s="1"/>
  <c r="P321" i="8" a="1"/>
  <c r="P321" i="8" s="1"/>
  <c r="O321" i="8"/>
  <c r="I321" i="8"/>
  <c r="F323" i="9"/>
  <c r="G322" i="9"/>
  <c r="D330" i="3"/>
  <c r="I322" i="9" l="1"/>
  <c r="P322" i="9" a="1"/>
  <c r="P322" i="9" s="1"/>
  <c r="K322" i="9"/>
  <c r="M322" i="9" s="1"/>
  <c r="O322" i="9"/>
  <c r="I322" i="8"/>
  <c r="K322" i="8"/>
  <c r="M322" i="8" s="1"/>
  <c r="P322" i="8" a="1"/>
  <c r="P322" i="8" s="1"/>
  <c r="O322" i="8"/>
  <c r="F324" i="9"/>
  <c r="G323" i="9"/>
  <c r="F324" i="8"/>
  <c r="G323" i="8"/>
  <c r="D331" i="3"/>
  <c r="F325" i="8" l="1"/>
  <c r="G324" i="8"/>
  <c r="P323" i="8" a="1"/>
  <c r="P323" i="8" s="1"/>
  <c r="O323" i="8"/>
  <c r="K323" i="8"/>
  <c r="M323" i="8" s="1"/>
  <c r="I323" i="8"/>
  <c r="P323" i="9" a="1"/>
  <c r="P323" i="9" s="1"/>
  <c r="K323" i="9"/>
  <c r="M323" i="9" s="1"/>
  <c r="O323" i="9"/>
  <c r="I323" i="9"/>
  <c r="G324" i="9"/>
  <c r="F325" i="9"/>
  <c r="D332" i="3"/>
  <c r="K324" i="8" l="1"/>
  <c r="M324" i="8" s="1"/>
  <c r="O324" i="8"/>
  <c r="P324" i="8" a="1"/>
  <c r="P324" i="8" s="1"/>
  <c r="I324" i="8"/>
  <c r="F326" i="8"/>
  <c r="G325" i="8"/>
  <c r="G325" i="9"/>
  <c r="F326" i="9"/>
  <c r="P324" i="9" a="1"/>
  <c r="P324" i="9" s="1"/>
  <c r="O324" i="9"/>
  <c r="K324" i="9"/>
  <c r="M324" i="9" s="1"/>
  <c r="I324" i="9"/>
  <c r="D333" i="3"/>
  <c r="G326" i="9" l="1"/>
  <c r="F327" i="9"/>
  <c r="O325" i="8"/>
  <c r="P325" i="8" a="1"/>
  <c r="P325" i="8" s="1"/>
  <c r="K325" i="8"/>
  <c r="M325" i="8" s="1"/>
  <c r="I325" i="8"/>
  <c r="K325" i="9"/>
  <c r="M325" i="9" s="1"/>
  <c r="I325" i="9"/>
  <c r="O325" i="9"/>
  <c r="P325" i="9" a="1"/>
  <c r="P325" i="9" s="1"/>
  <c r="F327" i="8"/>
  <c r="G326" i="8"/>
  <c r="D334" i="3"/>
  <c r="F328" i="8" l="1"/>
  <c r="G327" i="8"/>
  <c r="F328" i="9"/>
  <c r="G327" i="9"/>
  <c r="I326" i="8"/>
  <c r="O326" i="8"/>
  <c r="K326" i="8"/>
  <c r="M326" i="8" s="1"/>
  <c r="P326" i="8" a="1"/>
  <c r="P326" i="8" s="1"/>
  <c r="I326" i="9"/>
  <c r="K326" i="9"/>
  <c r="M326" i="9" s="1"/>
  <c r="P326" i="9" a="1"/>
  <c r="P326" i="9" s="1"/>
  <c r="O326" i="9"/>
  <c r="D335" i="3"/>
  <c r="O327" i="9" l="1"/>
  <c r="I327" i="9"/>
  <c r="K327" i="9"/>
  <c r="M327" i="9" s="1"/>
  <c r="P327" i="9" a="1"/>
  <c r="P327" i="9" s="1"/>
  <c r="F329" i="9"/>
  <c r="G328" i="9"/>
  <c r="I327" i="8"/>
  <c r="K327" i="8"/>
  <c r="M327" i="8" s="1"/>
  <c r="P327" i="8" a="1"/>
  <c r="P327" i="8" s="1"/>
  <c r="O327" i="8"/>
  <c r="F329" i="8"/>
  <c r="G328" i="8"/>
  <c r="D336" i="3"/>
  <c r="O328" i="9" l="1"/>
  <c r="P328" i="9" a="1"/>
  <c r="P328" i="9" s="1"/>
  <c r="I328" i="9"/>
  <c r="K328" i="9"/>
  <c r="M328" i="9" s="1"/>
  <c r="G329" i="9"/>
  <c r="F330" i="9"/>
  <c r="K328" i="8"/>
  <c r="M328" i="8" s="1"/>
  <c r="I328" i="8"/>
  <c r="P328" i="8" a="1"/>
  <c r="P328" i="8" s="1"/>
  <c r="O328" i="8"/>
  <c r="F330" i="8"/>
  <c r="G329" i="8"/>
  <c r="D337" i="3"/>
  <c r="F331" i="9" l="1"/>
  <c r="G330" i="9"/>
  <c r="O329" i="9"/>
  <c r="I329" i="9"/>
  <c r="P329" i="9" a="1"/>
  <c r="P329" i="9" s="1"/>
  <c r="K329" i="9"/>
  <c r="M329" i="9" s="1"/>
  <c r="P329" i="8" a="1"/>
  <c r="P329" i="8" s="1"/>
  <c r="K329" i="8"/>
  <c r="M329" i="8" s="1"/>
  <c r="O329" i="8"/>
  <c r="I329" i="8"/>
  <c r="F331" i="8"/>
  <c r="G330" i="8"/>
  <c r="D338" i="3"/>
  <c r="K330" i="8" l="1"/>
  <c r="M330" i="8" s="1"/>
  <c r="O330" i="8"/>
  <c r="I330" i="8"/>
  <c r="P330" i="8" a="1"/>
  <c r="P330" i="8" s="1"/>
  <c r="F332" i="8"/>
  <c r="G331" i="8"/>
  <c r="O330" i="9"/>
  <c r="I330" i="9"/>
  <c r="K330" i="9"/>
  <c r="M330" i="9" s="1"/>
  <c r="P330" i="9" a="1"/>
  <c r="P330" i="9" s="1"/>
  <c r="G331" i="9"/>
  <c r="F332" i="9"/>
  <c r="D339" i="3"/>
  <c r="I331" i="8" l="1"/>
  <c r="K331" i="8"/>
  <c r="M331" i="8" s="1"/>
  <c r="P331" i="8" a="1"/>
  <c r="P331" i="8" s="1"/>
  <c r="O331" i="8"/>
  <c r="F333" i="8"/>
  <c r="G332" i="8"/>
  <c r="F333" i="9"/>
  <c r="G332" i="9"/>
  <c r="O331" i="9"/>
  <c r="K331" i="9"/>
  <c r="M331" i="9" s="1"/>
  <c r="P331" i="9" a="1"/>
  <c r="P331" i="9" s="1"/>
  <c r="I331" i="9"/>
  <c r="D340" i="3"/>
  <c r="P332" i="9" l="1" a="1"/>
  <c r="P332" i="9" s="1"/>
  <c r="I332" i="9"/>
  <c r="O332" i="9"/>
  <c r="K332" i="9"/>
  <c r="M332" i="9" s="1"/>
  <c r="F334" i="9"/>
  <c r="G333" i="9"/>
  <c r="K332" i="8"/>
  <c r="M332" i="8" s="1"/>
  <c r="O332" i="8"/>
  <c r="P332" i="8" a="1"/>
  <c r="P332" i="8" s="1"/>
  <c r="I332" i="8"/>
  <c r="F334" i="8"/>
  <c r="G333" i="8"/>
  <c r="D341" i="3"/>
  <c r="G334" i="9" l="1"/>
  <c r="F335" i="9"/>
  <c r="I333" i="9"/>
  <c r="K333" i="9"/>
  <c r="M333" i="9" s="1"/>
  <c r="P333" i="9" a="1"/>
  <c r="P333" i="9" s="1"/>
  <c r="O333" i="9"/>
  <c r="I333" i="8"/>
  <c r="O333" i="8"/>
  <c r="K333" i="8"/>
  <c r="M333" i="8" s="1"/>
  <c r="P333" i="8" a="1"/>
  <c r="P333" i="8" s="1"/>
  <c r="F335" i="8"/>
  <c r="G334" i="8"/>
  <c r="D342" i="3"/>
  <c r="F336" i="8" l="1"/>
  <c r="G335" i="8"/>
  <c r="G335" i="9"/>
  <c r="F336" i="9"/>
  <c r="K334" i="8"/>
  <c r="M334" i="8" s="1"/>
  <c r="P334" i="8" a="1"/>
  <c r="P334" i="8" s="1"/>
  <c r="I334" i="8"/>
  <c r="O334" i="8"/>
  <c r="I334" i="9"/>
  <c r="K334" i="9"/>
  <c r="M334" i="9" s="1"/>
  <c r="O334" i="9"/>
  <c r="P334" i="9" a="1"/>
  <c r="P334" i="9" s="1"/>
  <c r="D343" i="3"/>
  <c r="G336" i="9" l="1"/>
  <c r="F337" i="9"/>
  <c r="O335" i="9"/>
  <c r="I335" i="9"/>
  <c r="P335" i="9" a="1"/>
  <c r="P335" i="9" s="1"/>
  <c r="K335" i="9"/>
  <c r="M335" i="9" s="1"/>
  <c r="O335" i="8"/>
  <c r="K335" i="8"/>
  <c r="M335" i="8" s="1"/>
  <c r="P335" i="8" a="1"/>
  <c r="P335" i="8" s="1"/>
  <c r="I335" i="8"/>
  <c r="F337" i="8"/>
  <c r="G336" i="8"/>
  <c r="D344" i="3"/>
  <c r="K336" i="8" l="1"/>
  <c r="M336" i="8" s="1"/>
  <c r="P336" i="8" a="1"/>
  <c r="P336" i="8" s="1"/>
  <c r="O336" i="8"/>
  <c r="I336" i="8"/>
  <c r="F338" i="8"/>
  <c r="G337" i="8"/>
  <c r="G337" i="9"/>
  <c r="F338" i="9"/>
  <c r="O336" i="9"/>
  <c r="I336" i="9"/>
  <c r="K336" i="9"/>
  <c r="M336" i="9" s="1"/>
  <c r="P336" i="9" a="1"/>
  <c r="P336" i="9" s="1"/>
  <c r="D345" i="3"/>
  <c r="F339" i="9" l="1"/>
  <c r="G338" i="9"/>
  <c r="O337" i="9"/>
  <c r="P337" i="9" a="1"/>
  <c r="P337" i="9" s="1"/>
  <c r="I337" i="9"/>
  <c r="K337" i="9"/>
  <c r="M337" i="9" s="1"/>
  <c r="P337" i="8" a="1"/>
  <c r="P337" i="8" s="1"/>
  <c r="K337" i="8"/>
  <c r="M337" i="8" s="1"/>
  <c r="O337" i="8"/>
  <c r="I337" i="8"/>
  <c r="F339" i="8"/>
  <c r="G338" i="8"/>
  <c r="D346" i="3"/>
  <c r="F340" i="8" l="1"/>
  <c r="G339" i="8"/>
  <c r="K338" i="8"/>
  <c r="M338" i="8" s="1"/>
  <c r="P338" i="8" a="1"/>
  <c r="P338" i="8" s="1"/>
  <c r="O338" i="8"/>
  <c r="I338" i="8"/>
  <c r="P338" i="9" a="1"/>
  <c r="P338" i="9" s="1"/>
  <c r="K338" i="9"/>
  <c r="M338" i="9" s="1"/>
  <c r="O338" i="9"/>
  <c r="I338" i="9"/>
  <c r="F340" i="9"/>
  <c r="G339" i="9"/>
  <c r="D347" i="3"/>
  <c r="F341" i="9" l="1"/>
  <c r="G340" i="9"/>
  <c r="O339" i="8"/>
  <c r="K339" i="8"/>
  <c r="M339" i="8" s="1"/>
  <c r="P339" i="8" a="1"/>
  <c r="P339" i="8" s="1"/>
  <c r="I339" i="8"/>
  <c r="P339" i="9" a="1"/>
  <c r="P339" i="9" s="1"/>
  <c r="O339" i="9"/>
  <c r="I339" i="9"/>
  <c r="K339" i="9"/>
  <c r="M339" i="9" s="1"/>
  <c r="F341" i="8"/>
  <c r="G340" i="8"/>
  <c r="D348" i="3"/>
  <c r="F342" i="8" l="1"/>
  <c r="G341" i="8"/>
  <c r="K340" i="9"/>
  <c r="M340" i="9" s="1"/>
  <c r="I340" i="9"/>
  <c r="P340" i="9" a="1"/>
  <c r="P340" i="9" s="1"/>
  <c r="O340" i="9"/>
  <c r="P340" i="8" a="1"/>
  <c r="P340" i="8" s="1"/>
  <c r="I340" i="8"/>
  <c r="O340" i="8"/>
  <c r="K340" i="8"/>
  <c r="M340" i="8" s="1"/>
  <c r="G341" i="9"/>
  <c r="F342" i="9"/>
  <c r="D349" i="3"/>
  <c r="F343" i="9" l="1"/>
  <c r="G342" i="9"/>
  <c r="K341" i="8"/>
  <c r="M341" i="8" s="1"/>
  <c r="P341" i="8" a="1"/>
  <c r="P341" i="8" s="1"/>
  <c r="I341" i="8"/>
  <c r="O341" i="8"/>
  <c r="P341" i="9" a="1"/>
  <c r="P341" i="9" s="1"/>
  <c r="K341" i="9"/>
  <c r="M341" i="9" s="1"/>
  <c r="O341" i="9"/>
  <c r="I341" i="9"/>
  <c r="F343" i="8"/>
  <c r="G342" i="8"/>
  <c r="D350" i="3"/>
  <c r="K342" i="8" l="1"/>
  <c r="M342" i="8" s="1"/>
  <c r="O342" i="8"/>
  <c r="P342" i="8" a="1"/>
  <c r="P342" i="8" s="1"/>
  <c r="I342" i="8"/>
  <c r="F344" i="8"/>
  <c r="G343" i="8"/>
  <c r="O342" i="9"/>
  <c r="I342" i="9"/>
  <c r="K342" i="9"/>
  <c r="M342" i="9" s="1"/>
  <c r="P342" i="9" a="1"/>
  <c r="P342" i="9" s="1"/>
  <c r="G343" i="9"/>
  <c r="F344" i="9"/>
  <c r="D351" i="3"/>
  <c r="I343" i="8" l="1"/>
  <c r="K343" i="8"/>
  <c r="M343" i="8" s="1"/>
  <c r="P343" i="8" a="1"/>
  <c r="P343" i="8" s="1"/>
  <c r="O343" i="8"/>
  <c r="I343" i="9"/>
  <c r="P343" i="9" a="1"/>
  <c r="P343" i="9" s="1"/>
  <c r="K343" i="9"/>
  <c r="M343" i="9" s="1"/>
  <c r="O343" i="9"/>
  <c r="F345" i="8"/>
  <c r="G344" i="8"/>
  <c r="G344" i="9"/>
  <c r="F345" i="9"/>
  <c r="D352" i="3"/>
  <c r="P344" i="8" l="1" a="1"/>
  <c r="P344" i="8" s="1"/>
  <c r="K344" i="8"/>
  <c r="M344" i="8" s="1"/>
  <c r="O344" i="8"/>
  <c r="I344" i="8"/>
  <c r="G345" i="9"/>
  <c r="F346" i="9"/>
  <c r="I344" i="9"/>
  <c r="O344" i="9"/>
  <c r="K344" i="9"/>
  <c r="M344" i="9" s="1"/>
  <c r="P344" i="9" a="1"/>
  <c r="P344" i="9" s="1"/>
  <c r="F346" i="8"/>
  <c r="G345" i="8"/>
  <c r="D353" i="3"/>
  <c r="G346" i="9" l="1"/>
  <c r="F347" i="9"/>
  <c r="I345" i="9"/>
  <c r="P345" i="9" a="1"/>
  <c r="P345" i="9" s="1"/>
  <c r="K345" i="9"/>
  <c r="M345" i="9" s="1"/>
  <c r="O345" i="9"/>
  <c r="I345" i="8"/>
  <c r="K345" i="8"/>
  <c r="M345" i="8" s="1"/>
  <c r="P345" i="8" a="1"/>
  <c r="P345" i="8" s="1"/>
  <c r="O345" i="8"/>
  <c r="F347" i="8"/>
  <c r="G346" i="8"/>
  <c r="D354" i="3"/>
  <c r="F348" i="8" l="1"/>
  <c r="G347" i="8"/>
  <c r="O346" i="8"/>
  <c r="I346" i="8"/>
  <c r="K346" i="8"/>
  <c r="M346" i="8" s="1"/>
  <c r="P346" i="8" a="1"/>
  <c r="P346" i="8" s="1"/>
  <c r="F348" i="9"/>
  <c r="G347" i="9"/>
  <c r="O346" i="9"/>
  <c r="I346" i="9"/>
  <c r="K346" i="9"/>
  <c r="M346" i="9" s="1"/>
  <c r="P346" i="9" a="1"/>
  <c r="P346" i="9" s="1"/>
  <c r="D355" i="3"/>
  <c r="P347" i="9" l="1" a="1"/>
  <c r="P347" i="9" s="1"/>
  <c r="O347" i="9"/>
  <c r="I347" i="9"/>
  <c r="K347" i="9"/>
  <c r="M347" i="9" s="1"/>
  <c r="F349" i="9"/>
  <c r="G348" i="9"/>
  <c r="K347" i="8"/>
  <c r="M347" i="8" s="1"/>
  <c r="I347" i="8"/>
  <c r="O347" i="8"/>
  <c r="P347" i="8" a="1"/>
  <c r="P347" i="8" s="1"/>
  <c r="F349" i="8"/>
  <c r="G348" i="8"/>
  <c r="D356" i="3"/>
  <c r="P348" i="9" l="1" a="1"/>
  <c r="P348" i="9" s="1"/>
  <c r="K348" i="9"/>
  <c r="M348" i="9" s="1"/>
  <c r="O348" i="9"/>
  <c r="I348" i="9"/>
  <c r="F350" i="9"/>
  <c r="G349" i="9"/>
  <c r="K348" i="8"/>
  <c r="M348" i="8" s="1"/>
  <c r="P348" i="8" a="1"/>
  <c r="P348" i="8" s="1"/>
  <c r="O348" i="8"/>
  <c r="I348" i="8"/>
  <c r="F350" i="8"/>
  <c r="G349" i="8"/>
  <c r="D357" i="3"/>
  <c r="I349" i="9" l="1"/>
  <c r="P349" i="9" a="1"/>
  <c r="P349" i="9" s="1"/>
  <c r="K349" i="9"/>
  <c r="M349" i="9" s="1"/>
  <c r="O349" i="9"/>
  <c r="G350" i="9"/>
  <c r="F351" i="9"/>
  <c r="K349" i="8"/>
  <c r="M349" i="8" s="1"/>
  <c r="O349" i="8"/>
  <c r="I349" i="8"/>
  <c r="P349" i="8" a="1"/>
  <c r="P349" i="8" s="1"/>
  <c r="F351" i="8"/>
  <c r="G350" i="8"/>
  <c r="D358" i="3"/>
  <c r="G351" i="9" l="1"/>
  <c r="F352" i="9"/>
  <c r="K350" i="9"/>
  <c r="M350" i="9" s="1"/>
  <c r="I350" i="9"/>
  <c r="P350" i="9" a="1"/>
  <c r="P350" i="9" s="1"/>
  <c r="O350" i="9"/>
  <c r="O350" i="8"/>
  <c r="I350" i="8"/>
  <c r="K350" i="8"/>
  <c r="M350" i="8" s="1"/>
  <c r="P350" i="8" a="1"/>
  <c r="P350" i="8" s="1"/>
  <c r="F352" i="8"/>
  <c r="G351" i="8"/>
  <c r="D359" i="3"/>
  <c r="K351" i="8" l="1"/>
  <c r="M351" i="8" s="1"/>
  <c r="I351" i="8"/>
  <c r="P351" i="8" a="1"/>
  <c r="P351" i="8" s="1"/>
  <c r="O351" i="8"/>
  <c r="F353" i="8"/>
  <c r="G352" i="8"/>
  <c r="G352" i="9"/>
  <c r="F353" i="9"/>
  <c r="K351" i="9"/>
  <c r="M351" i="9" s="1"/>
  <c r="I351" i="9"/>
  <c r="O351" i="9"/>
  <c r="P351" i="9" a="1"/>
  <c r="P351" i="9" s="1"/>
  <c r="D360" i="3"/>
  <c r="G353" i="9" l="1"/>
  <c r="F354" i="9"/>
  <c r="K352" i="8"/>
  <c r="M352" i="8" s="1"/>
  <c r="P352" i="8" a="1"/>
  <c r="P352" i="8" s="1"/>
  <c r="O352" i="8"/>
  <c r="I352" i="8"/>
  <c r="F354" i="8"/>
  <c r="G353" i="8"/>
  <c r="I352" i="9"/>
  <c r="O352" i="9"/>
  <c r="P352" i="9" a="1"/>
  <c r="P352" i="9" s="1"/>
  <c r="K352" i="9"/>
  <c r="M352" i="9" s="1"/>
  <c r="D361" i="3"/>
  <c r="I353" i="8" l="1"/>
  <c r="P353" i="8" a="1"/>
  <c r="P353" i="8" s="1"/>
  <c r="K353" i="8"/>
  <c r="M353" i="8" s="1"/>
  <c r="O353" i="8"/>
  <c r="F355" i="8"/>
  <c r="G354" i="8"/>
  <c r="F355" i="9"/>
  <c r="G354" i="9"/>
  <c r="I353" i="9"/>
  <c r="O353" i="9"/>
  <c r="K353" i="9"/>
  <c r="M353" i="9" s="1"/>
  <c r="P353" i="9" a="1"/>
  <c r="P353" i="9" s="1"/>
  <c r="D362" i="3"/>
  <c r="O354" i="9" l="1"/>
  <c r="I354" i="9"/>
  <c r="P354" i="9" a="1"/>
  <c r="P354" i="9" s="1"/>
  <c r="K354" i="9"/>
  <c r="M354" i="9" s="1"/>
  <c r="K354" i="8"/>
  <c r="M354" i="8" s="1"/>
  <c r="P354" i="8" a="1"/>
  <c r="P354" i="8" s="1"/>
  <c r="I354" i="8"/>
  <c r="O354" i="8"/>
  <c r="F356" i="8"/>
  <c r="G355" i="8"/>
  <c r="F356" i="9"/>
  <c r="G355" i="9"/>
  <c r="D363" i="3"/>
  <c r="K355" i="9" l="1"/>
  <c r="M355" i="9" s="1"/>
  <c r="I355" i="9"/>
  <c r="O355" i="9"/>
  <c r="P355" i="9" a="1"/>
  <c r="P355" i="9" s="1"/>
  <c r="I355" i="8"/>
  <c r="O355" i="8"/>
  <c r="P355" i="8" a="1"/>
  <c r="P355" i="8" s="1"/>
  <c r="K355" i="8"/>
  <c r="M355" i="8" s="1"/>
  <c r="F357" i="9"/>
  <c r="G356" i="9"/>
  <c r="F357" i="8"/>
  <c r="G356" i="8"/>
  <c r="D364" i="3"/>
  <c r="F358" i="8" l="1"/>
  <c r="G357" i="8"/>
  <c r="I356" i="9"/>
  <c r="O356" i="9"/>
  <c r="P356" i="9" a="1"/>
  <c r="P356" i="9" s="1"/>
  <c r="K356" i="9"/>
  <c r="M356" i="9" s="1"/>
  <c r="I356" i="8"/>
  <c r="K356" i="8"/>
  <c r="M356" i="8" s="1"/>
  <c r="O356" i="8"/>
  <c r="P356" i="8" a="1"/>
  <c r="P356" i="8" s="1"/>
  <c r="F358" i="9"/>
  <c r="G357" i="9"/>
  <c r="D365" i="3"/>
  <c r="F359" i="9" l="1"/>
  <c r="G358" i="9"/>
  <c r="P357" i="8" a="1"/>
  <c r="P357" i="8" s="1"/>
  <c r="I357" i="8"/>
  <c r="K357" i="8"/>
  <c r="M357" i="8" s="1"/>
  <c r="O357" i="8"/>
  <c r="P357" i="9" a="1"/>
  <c r="P357" i="9" s="1"/>
  <c r="O357" i="9"/>
  <c r="I357" i="9"/>
  <c r="K357" i="9"/>
  <c r="M357" i="9" s="1"/>
  <c r="F359" i="8"/>
  <c r="G358" i="8"/>
  <c r="D366" i="3"/>
  <c r="I358" i="8" l="1"/>
  <c r="O358" i="8"/>
  <c r="K358" i="8"/>
  <c r="M358" i="8" s="1"/>
  <c r="P358" i="8" a="1"/>
  <c r="P358" i="8" s="1"/>
  <c r="K358" i="9"/>
  <c r="M358" i="9" s="1"/>
  <c r="I358" i="9"/>
  <c r="O358" i="9"/>
  <c r="P358" i="9" a="1"/>
  <c r="P358" i="9" s="1"/>
  <c r="F360" i="8"/>
  <c r="G359" i="8"/>
  <c r="F360" i="9"/>
  <c r="G359" i="9"/>
  <c r="D367" i="3"/>
  <c r="I359" i="9" l="1"/>
  <c r="O359" i="9"/>
  <c r="K359" i="9"/>
  <c r="M359" i="9" s="1"/>
  <c r="P359" i="9" a="1"/>
  <c r="P359" i="9" s="1"/>
  <c r="K359" i="8"/>
  <c r="M359" i="8" s="1"/>
  <c r="I359" i="8"/>
  <c r="P359" i="8" a="1"/>
  <c r="P359" i="8" s="1"/>
  <c r="O359" i="8"/>
  <c r="G360" i="9"/>
  <c r="F361" i="9"/>
  <c r="F361" i="8"/>
  <c r="G360" i="8"/>
  <c r="D52" i="3"/>
  <c r="F52" i="3" s="1"/>
  <c r="G52" i="3" l="1"/>
  <c r="K360" i="8"/>
  <c r="M360" i="8" s="1"/>
  <c r="P360" i="8" a="1"/>
  <c r="P360" i="8" s="1"/>
  <c r="O360" i="8"/>
  <c r="I360" i="8"/>
  <c r="F362" i="8"/>
  <c r="G361" i="8"/>
  <c r="G361" i="9"/>
  <c r="F362" i="9"/>
  <c r="I360" i="9"/>
  <c r="K360" i="9"/>
  <c r="M360" i="9" s="1"/>
  <c r="P360" i="9" a="1"/>
  <c r="P360" i="9" s="1"/>
  <c r="O360" i="9"/>
  <c r="L23" i="8"/>
  <c r="Q23" i="8" s="1"/>
  <c r="L28" i="9"/>
  <c r="Q28" i="9" s="1"/>
  <c r="L27" i="9"/>
  <c r="Q27" i="9" s="1"/>
  <c r="L40" i="9"/>
  <c r="Q40" i="9" s="1"/>
  <c r="L59" i="9"/>
  <c r="Q59" i="9" s="1"/>
  <c r="L16" i="9"/>
  <c r="Q16" i="9" s="1"/>
  <c r="L50" i="9"/>
  <c r="Q50" i="9" s="1"/>
  <c r="L9" i="9"/>
  <c r="Q9" i="9" s="1"/>
  <c r="L15" i="9"/>
  <c r="Q15" i="9" s="1"/>
  <c r="L22" i="9"/>
  <c r="Q22" i="9" s="1"/>
  <c r="L3" i="9"/>
  <c r="Q3" i="9" s="1"/>
  <c r="L11" i="9"/>
  <c r="Q11" i="9" s="1"/>
  <c r="L45" i="9"/>
  <c r="Q45" i="9" s="1"/>
  <c r="L68" i="9"/>
  <c r="Q68" i="9" s="1"/>
  <c r="L42" i="9"/>
  <c r="Q42" i="9" s="1"/>
  <c r="L71" i="9"/>
  <c r="Q71" i="9" s="1"/>
  <c r="L7" i="9"/>
  <c r="Q7" i="9" s="1"/>
  <c r="L14" i="9"/>
  <c r="Q14" i="9" s="1"/>
  <c r="L10" i="8"/>
  <c r="Q10" i="8" s="1"/>
  <c r="L60" i="9"/>
  <c r="Q60" i="9" s="1"/>
  <c r="L33" i="9"/>
  <c r="Q33" i="9" s="1"/>
  <c r="L56" i="9"/>
  <c r="Q56" i="9" s="1"/>
  <c r="L34" i="9"/>
  <c r="Q34" i="9" s="1"/>
  <c r="L63" i="9"/>
  <c r="Q63" i="9" s="1"/>
  <c r="L70" i="9"/>
  <c r="Q70" i="9" s="1"/>
  <c r="L6" i="9"/>
  <c r="Q6" i="9" s="1"/>
  <c r="L22" i="8"/>
  <c r="Q22" i="8" s="1"/>
  <c r="L51" i="9"/>
  <c r="Q51" i="9" s="1"/>
  <c r="L49" i="9"/>
  <c r="Q49" i="9" s="1"/>
  <c r="L48" i="9"/>
  <c r="Q48" i="9" s="1"/>
  <c r="L19" i="9"/>
  <c r="Q19" i="9" s="1"/>
  <c r="L43" i="9"/>
  <c r="Q43" i="9" s="1"/>
  <c r="L26" i="9"/>
  <c r="Q26" i="9" s="1"/>
  <c r="L55" i="9"/>
  <c r="Q55" i="9" s="1"/>
  <c r="L62" i="9"/>
  <c r="Q62" i="9" s="1"/>
  <c r="L21" i="8"/>
  <c r="Q21" i="8" s="1"/>
  <c r="L12" i="9"/>
  <c r="Q12" i="9" s="1"/>
  <c r="L12" i="8"/>
  <c r="Q12" i="8" s="1"/>
  <c r="L36" i="9"/>
  <c r="Q36" i="9" s="1"/>
  <c r="L35" i="9"/>
  <c r="Q35" i="9" s="1"/>
  <c r="L69" i="9"/>
  <c r="Q69" i="9" s="1"/>
  <c r="L29" i="9"/>
  <c r="Q29" i="9" s="1"/>
  <c r="L18" i="9"/>
  <c r="Q18" i="9" s="1"/>
  <c r="L47" i="9"/>
  <c r="Q47" i="9" s="1"/>
  <c r="L54" i="9"/>
  <c r="Q54" i="9" s="1"/>
  <c r="L20" i="8"/>
  <c r="Q20" i="8" s="1"/>
  <c r="L61" i="9"/>
  <c r="Q61" i="9" s="1"/>
  <c r="L67" i="9"/>
  <c r="Q67" i="9" s="1"/>
  <c r="L24" i="9"/>
  <c r="Q24" i="9" s="1"/>
  <c r="L21" i="9"/>
  <c r="Q21" i="9" s="1"/>
  <c r="L20" i="9"/>
  <c r="Q20" i="9" s="1"/>
  <c r="L57" i="9"/>
  <c r="Q57" i="9" s="1"/>
  <c r="L13" i="9"/>
  <c r="Q13" i="9" s="1"/>
  <c r="L10" i="9"/>
  <c r="Q10" i="9" s="1"/>
  <c r="L39" i="9"/>
  <c r="Q39" i="9" s="1"/>
  <c r="L46" i="9"/>
  <c r="Q46" i="9" s="1"/>
  <c r="L64" i="9"/>
  <c r="Q64" i="9" s="1"/>
  <c r="L11" i="8"/>
  <c r="Q11" i="8" s="1"/>
  <c r="L9" i="8"/>
  <c r="Q9" i="8" s="1"/>
  <c r="L5" i="9"/>
  <c r="Q5" i="9" s="1"/>
  <c r="L44" i="9"/>
  <c r="Q44" i="9" s="1"/>
  <c r="L66" i="9"/>
  <c r="Q66" i="9" s="1"/>
  <c r="L25" i="9"/>
  <c r="Q25" i="9" s="1"/>
  <c r="L31" i="9"/>
  <c r="Q31" i="9" s="1"/>
  <c r="L38" i="9"/>
  <c r="Q38" i="9" s="1"/>
  <c r="L37" i="9"/>
  <c r="Q37" i="9" s="1"/>
  <c r="L53" i="9"/>
  <c r="Q53" i="9" s="1"/>
  <c r="L8" i="9"/>
  <c r="Q8" i="9" s="1"/>
  <c r="L4" i="9"/>
  <c r="Q4" i="9" s="1"/>
  <c r="L46" i="8"/>
  <c r="Q46" i="8" s="1"/>
  <c r="L41" i="9"/>
  <c r="Q41" i="9" s="1"/>
  <c r="L52" i="9"/>
  <c r="Q52" i="9" s="1"/>
  <c r="L65" i="9"/>
  <c r="Q65" i="9" s="1"/>
  <c r="L72" i="9"/>
  <c r="Q72" i="9" s="1"/>
  <c r="L32" i="9"/>
  <c r="Q32" i="9" s="1"/>
  <c r="L58" i="9"/>
  <c r="Q58" i="9" s="1"/>
  <c r="L17" i="9"/>
  <c r="Q17" i="9" s="1"/>
  <c r="L23" i="9"/>
  <c r="Q23" i="9" s="1"/>
  <c r="L30" i="9"/>
  <c r="Q30" i="9" s="1"/>
  <c r="W37" i="9"/>
  <c r="W36" i="9"/>
  <c r="W35" i="9"/>
  <c r="W69" i="9"/>
  <c r="W29" i="9"/>
  <c r="W18" i="9"/>
  <c r="W47" i="9"/>
  <c r="W54" i="9"/>
  <c r="W67" i="9"/>
  <c r="W24" i="9"/>
  <c r="W21" i="9"/>
  <c r="W20" i="9"/>
  <c r="W57" i="9"/>
  <c r="W13" i="9"/>
  <c r="W10" i="9"/>
  <c r="W39" i="9"/>
  <c r="W46" i="9"/>
  <c r="W8" i="9"/>
  <c r="W5" i="9"/>
  <c r="W4" i="9"/>
  <c r="W44" i="9"/>
  <c r="W66" i="9"/>
  <c r="W25" i="9"/>
  <c r="W31" i="9"/>
  <c r="W38" i="9"/>
  <c r="W53" i="9"/>
  <c r="W41" i="9"/>
  <c r="W52" i="9"/>
  <c r="W65" i="9"/>
  <c r="W72" i="9"/>
  <c r="W32" i="9"/>
  <c r="W58" i="9"/>
  <c r="W17" i="9"/>
  <c r="W23" i="9"/>
  <c r="W30" i="9"/>
  <c r="W28" i="9"/>
  <c r="W27" i="9"/>
  <c r="W40" i="9"/>
  <c r="W59" i="9"/>
  <c r="W16" i="9"/>
  <c r="W50" i="9"/>
  <c r="W9" i="9"/>
  <c r="W15" i="9"/>
  <c r="W22" i="9"/>
  <c r="W12" i="9"/>
  <c r="W3" i="9"/>
  <c r="W11" i="9"/>
  <c r="W45" i="9"/>
  <c r="W68" i="9"/>
  <c r="W42" i="9"/>
  <c r="W71" i="9"/>
  <c r="W7" i="9"/>
  <c r="W14" i="9"/>
  <c r="W64" i="9"/>
  <c r="W61" i="9"/>
  <c r="W60" i="9"/>
  <c r="W33" i="9"/>
  <c r="W56" i="9"/>
  <c r="W34" i="9"/>
  <c r="W63" i="9"/>
  <c r="W70" i="9"/>
  <c r="W6" i="9"/>
  <c r="W51" i="9"/>
  <c r="W49" i="9"/>
  <c r="W48" i="9"/>
  <c r="W19" i="9"/>
  <c r="W43" i="9"/>
  <c r="W26" i="9"/>
  <c r="W55" i="9"/>
  <c r="W62" i="9"/>
  <c r="W174" i="9"/>
  <c r="W56" i="8"/>
  <c r="W50" i="8"/>
  <c r="W20" i="8"/>
  <c r="W45" i="8"/>
  <c r="W9" i="8"/>
  <c r="W27" i="8"/>
  <c r="W25" i="8"/>
  <c r="W46" i="8"/>
  <c r="W23" i="8"/>
  <c r="W38" i="8"/>
  <c r="W58" i="8"/>
  <c r="W69" i="8"/>
  <c r="W19" i="8"/>
  <c r="W30" i="8"/>
  <c r="W32" i="8"/>
  <c r="W10" i="8"/>
  <c r="W8" i="8"/>
  <c r="W22" i="8"/>
  <c r="W36" i="8"/>
  <c r="W17" i="8"/>
  <c r="W11" i="8"/>
  <c r="W12" i="8"/>
  <c r="W21" i="8"/>
  <c r="L36" i="8"/>
  <c r="Q36" i="8" s="1"/>
  <c r="L45" i="8"/>
  <c r="Q45" i="8" s="1"/>
  <c r="L33" i="8"/>
  <c r="Q33" i="8" s="1"/>
  <c r="L50" i="8"/>
  <c r="Q50" i="8" s="1"/>
  <c r="L30" i="8"/>
  <c r="Q30" i="8" s="1"/>
  <c r="L27" i="8"/>
  <c r="Q27" i="8" s="1"/>
  <c r="L19" i="8"/>
  <c r="Q19" i="8" s="1"/>
  <c r="L57" i="8"/>
  <c r="Q57" i="8" s="1"/>
  <c r="L8" i="8"/>
  <c r="Q8" i="8" s="1"/>
  <c r="L38" i="8"/>
  <c r="Q38" i="8" s="1"/>
  <c r="L25" i="8"/>
  <c r="Q25" i="8" s="1"/>
  <c r="L13" i="8"/>
  <c r="Q13" i="8" s="1"/>
  <c r="D57" i="3"/>
  <c r="D58" i="3"/>
  <c r="L174" i="9"/>
  <c r="Q174" i="9" s="1"/>
  <c r="AF72" i="8"/>
  <c r="AG72" i="8" s="1"/>
  <c r="H72" i="8"/>
  <c r="H48" i="9"/>
  <c r="AF48" i="9"/>
  <c r="AG48" i="9" s="1"/>
  <c r="H15" i="8"/>
  <c r="AF15" i="8"/>
  <c r="AG15" i="8" s="1"/>
  <c r="H21" i="8"/>
  <c r="AF21" i="8"/>
  <c r="AG21" i="8" s="1"/>
  <c r="AF46" i="9"/>
  <c r="AG46" i="9" s="1"/>
  <c r="H46" i="9"/>
  <c r="H17" i="8"/>
  <c r="H16" i="8"/>
  <c r="AF16" i="8"/>
  <c r="AG16" i="8" s="1"/>
  <c r="AF4" i="8"/>
  <c r="AG4" i="8" s="1"/>
  <c r="H4" i="8"/>
  <c r="H63" i="9"/>
  <c r="AF63" i="9"/>
  <c r="AG63" i="9" s="1"/>
  <c r="AF30" i="8"/>
  <c r="AG30" i="8" s="1"/>
  <c r="H30" i="8"/>
  <c r="H22" i="8"/>
  <c r="AF22" i="8"/>
  <c r="AG22" i="8" s="1"/>
  <c r="H16" i="9"/>
  <c r="H15" i="9"/>
  <c r="AF15" i="9"/>
  <c r="AG15" i="9" s="1"/>
  <c r="AF53" i="9"/>
  <c r="AG53" i="9" s="1"/>
  <c r="AF37" i="9"/>
  <c r="AG37" i="9" s="1"/>
  <c r="H37" i="9"/>
  <c r="AF56" i="9"/>
  <c r="AG56" i="9" s="1"/>
  <c r="H56" i="9"/>
  <c r="AF36" i="8"/>
  <c r="AG36" i="8" s="1"/>
  <c r="H36" i="8"/>
  <c r="AF67" i="8"/>
  <c r="AG67" i="8" s="1"/>
  <c r="H67" i="8"/>
  <c r="AF57" i="8"/>
  <c r="AG57" i="8" s="1"/>
  <c r="H57" i="8"/>
  <c r="H55" i="9"/>
  <c r="AF55" i="9"/>
  <c r="AG55" i="9" s="1"/>
  <c r="AF3" i="9"/>
  <c r="AG3" i="9" s="1"/>
  <c r="H3" i="9"/>
  <c r="AF38" i="9"/>
  <c r="AG38" i="9" s="1"/>
  <c r="H38" i="9"/>
  <c r="H41" i="9"/>
  <c r="AF41" i="9"/>
  <c r="AG41" i="9" s="1"/>
  <c r="AF11" i="8"/>
  <c r="AG11" i="8" s="1"/>
  <c r="H11" i="8"/>
  <c r="AF6" i="8"/>
  <c r="AG6" i="8" s="1"/>
  <c r="H6" i="8"/>
  <c r="AF28" i="8"/>
  <c r="AG28" i="8" s="1"/>
  <c r="H28" i="8"/>
  <c r="H28" i="9"/>
  <c r="AF28" i="9"/>
  <c r="AG28" i="9" s="1"/>
  <c r="AF50" i="8"/>
  <c r="AG50" i="8" s="1"/>
  <c r="H50" i="8"/>
  <c r="AF31" i="8"/>
  <c r="AG31" i="8" s="1"/>
  <c r="H31" i="8"/>
  <c r="AF59" i="9"/>
  <c r="AG59" i="9" s="1"/>
  <c r="H59" i="9"/>
  <c r="H7" i="8"/>
  <c r="AF7" i="8"/>
  <c r="AG7" i="8" s="1"/>
  <c r="H53" i="9"/>
  <c r="AF52" i="9"/>
  <c r="AG52" i="9" s="1"/>
  <c r="H52" i="9"/>
  <c r="AF4" i="9"/>
  <c r="AG4" i="9" s="1"/>
  <c r="H4" i="9"/>
  <c r="AF23" i="9"/>
  <c r="AG23" i="9" s="1"/>
  <c r="H23" i="9"/>
  <c r="H17" i="9"/>
  <c r="AF17" i="9"/>
  <c r="AG17" i="9" s="1"/>
  <c r="H72" i="9"/>
  <c r="AF71" i="9"/>
  <c r="AG71" i="9" s="1"/>
  <c r="H71" i="9"/>
  <c r="AF37" i="8"/>
  <c r="AG37" i="8" s="1"/>
  <c r="H37" i="8"/>
  <c r="H25" i="8"/>
  <c r="AF25" i="8"/>
  <c r="AG25" i="8" s="1"/>
  <c r="AF66" i="8"/>
  <c r="AG66" i="8" s="1"/>
  <c r="H66" i="8"/>
  <c r="AF11" i="9"/>
  <c r="AG11" i="9" s="1"/>
  <c r="H11" i="9"/>
  <c r="AF16" i="9"/>
  <c r="AG16" i="9" s="1"/>
  <c r="AF58" i="9"/>
  <c r="AG58" i="9" s="1"/>
  <c r="H58" i="9"/>
  <c r="AF5" i="9"/>
  <c r="AG5" i="9" s="1"/>
  <c r="H5" i="9"/>
  <c r="H18" i="8"/>
  <c r="AF18" i="8"/>
  <c r="AG18" i="8" s="1"/>
  <c r="AF66" i="9"/>
  <c r="AG66" i="9" s="1"/>
  <c r="H66" i="9"/>
  <c r="AF69" i="8"/>
  <c r="AG69" i="8" s="1"/>
  <c r="H69" i="8"/>
  <c r="H9" i="8"/>
  <c r="H8" i="8"/>
  <c r="AF8" i="8"/>
  <c r="AG8" i="8" s="1"/>
  <c r="H47" i="8"/>
  <c r="AF47" i="8"/>
  <c r="AG47" i="8" s="1"/>
  <c r="H27" i="8"/>
  <c r="AF27" i="8"/>
  <c r="AG27" i="8" s="1"/>
  <c r="H23" i="8"/>
  <c r="AF23" i="8"/>
  <c r="AG23" i="8" s="1"/>
  <c r="AF14" i="9"/>
  <c r="AG14" i="9" s="1"/>
  <c r="H14" i="9"/>
  <c r="AF58" i="8"/>
  <c r="AG58" i="8" s="1"/>
  <c r="H58" i="8"/>
  <c r="H35" i="8"/>
  <c r="AF35" i="8"/>
  <c r="AG35" i="8" s="1"/>
  <c r="AF70" i="9"/>
  <c r="AG70" i="9" s="1"/>
  <c r="H70" i="9"/>
  <c r="AF25" i="9"/>
  <c r="AG25" i="9" s="1"/>
  <c r="H25" i="9"/>
  <c r="AF9" i="8"/>
  <c r="AG9" i="8" s="1"/>
  <c r="AF44" i="8"/>
  <c r="AG44" i="8" s="1"/>
  <c r="H44" i="8"/>
  <c r="AF33" i="8"/>
  <c r="AG33" i="8" s="1"/>
  <c r="H33" i="8"/>
  <c r="AF50" i="9"/>
  <c r="AG50" i="9" s="1"/>
  <c r="H50" i="9"/>
  <c r="AF24" i="9"/>
  <c r="AG24" i="9" s="1"/>
  <c r="H24" i="9"/>
  <c r="H29" i="9"/>
  <c r="AF29" i="9"/>
  <c r="AG29" i="9" s="1"/>
  <c r="H64" i="9"/>
  <c r="AF64" i="9"/>
  <c r="AG64" i="9" s="1"/>
  <c r="AF12" i="9"/>
  <c r="AG12" i="9" s="1"/>
  <c r="H12" i="9"/>
  <c r="AF19" i="8"/>
  <c r="AG19" i="8" s="1"/>
  <c r="H19" i="8"/>
  <c r="AF43" i="9"/>
  <c r="AG43" i="9" s="1"/>
  <c r="H43" i="9"/>
  <c r="AF62" i="8"/>
  <c r="AG62" i="8" s="1"/>
  <c r="H62" i="8"/>
  <c r="AF71" i="8"/>
  <c r="AG71" i="8" s="1"/>
  <c r="H71" i="8"/>
  <c r="AF48" i="8"/>
  <c r="AG48" i="8" s="1"/>
  <c r="H48" i="8"/>
  <c r="AF47" i="9"/>
  <c r="AG47" i="9" s="1"/>
  <c r="H47" i="9"/>
  <c r="AF18" i="9"/>
  <c r="AG18" i="9" s="1"/>
  <c r="H18" i="9"/>
  <c r="H40" i="9"/>
  <c r="AF40" i="9"/>
  <c r="AG40" i="9" s="1"/>
  <c r="H8" i="9"/>
  <c r="AF7" i="9"/>
  <c r="AG7" i="9" s="1"/>
  <c r="H7" i="9"/>
  <c r="AF34" i="9"/>
  <c r="AG34" i="9" s="1"/>
  <c r="H34" i="9"/>
  <c r="AF26" i="9"/>
  <c r="AG26" i="9" s="1"/>
  <c r="H26" i="9"/>
  <c r="AF22" i="9"/>
  <c r="AG22" i="9" s="1"/>
  <c r="H22" i="9"/>
  <c r="AF13" i="8"/>
  <c r="AG13" i="8" s="1"/>
  <c r="AF45" i="8"/>
  <c r="AG45" i="8" s="1"/>
  <c r="H45" i="8"/>
  <c r="AF54" i="8"/>
  <c r="AG54" i="8" s="1"/>
  <c r="H54" i="8"/>
  <c r="AF24" i="8"/>
  <c r="AG24" i="8" s="1"/>
  <c r="H24" i="8"/>
  <c r="AF35" i="9"/>
  <c r="AG35" i="9" s="1"/>
  <c r="H35" i="9"/>
  <c r="AF60" i="9"/>
  <c r="AG60" i="9" s="1"/>
  <c r="H60" i="9"/>
  <c r="AF65" i="9"/>
  <c r="AG65" i="9" s="1"/>
  <c r="H65" i="9"/>
  <c r="AF13" i="9"/>
  <c r="AG13" i="9" s="1"/>
  <c r="H13" i="9"/>
  <c r="AF3" i="8"/>
  <c r="AG3" i="8" s="1"/>
  <c r="AF70" i="8"/>
  <c r="AG70" i="8" s="1"/>
  <c r="H70" i="8"/>
  <c r="H64" i="8"/>
  <c r="AF64" i="8"/>
  <c r="AG64" i="8" s="1"/>
  <c r="H13" i="8"/>
  <c r="H12" i="8"/>
  <c r="AF12" i="8"/>
  <c r="AG12" i="8" s="1"/>
  <c r="AF67" i="9"/>
  <c r="AG67" i="9" s="1"/>
  <c r="H67" i="9"/>
  <c r="AF59" i="8"/>
  <c r="AG59" i="8" s="1"/>
  <c r="H59" i="8"/>
  <c r="AF33" i="9"/>
  <c r="AG33" i="9" s="1"/>
  <c r="H33" i="9"/>
  <c r="AF30" i="9"/>
  <c r="AG30" i="9" s="1"/>
  <c r="H30" i="9"/>
  <c r="H68" i="8"/>
  <c r="AF68" i="8"/>
  <c r="AG68" i="8" s="1"/>
  <c r="AF63" i="8"/>
  <c r="AG63" i="8" s="1"/>
  <c r="H63" i="8"/>
  <c r="AF55" i="8"/>
  <c r="AG55" i="8" s="1"/>
  <c r="H55" i="8"/>
  <c r="AF9" i="9"/>
  <c r="AG9" i="9" s="1"/>
  <c r="H9" i="9"/>
  <c r="AF17" i="8"/>
  <c r="AG17" i="8" s="1"/>
  <c r="AF52" i="8"/>
  <c r="AG52" i="8" s="1"/>
  <c r="H52" i="8"/>
  <c r="AF60" i="8"/>
  <c r="AG60" i="8" s="1"/>
  <c r="H60" i="8"/>
  <c r="AF32" i="8"/>
  <c r="AG32" i="8" s="1"/>
  <c r="H32" i="8"/>
  <c r="H36" i="9"/>
  <c r="AF36" i="9"/>
  <c r="AG36" i="9" s="1"/>
  <c r="AF68" i="9"/>
  <c r="AG68" i="9" s="1"/>
  <c r="H68" i="9"/>
  <c r="AF21" i="9"/>
  <c r="AG21" i="9" s="1"/>
  <c r="H21" i="9"/>
  <c r="AF19" i="9"/>
  <c r="AG19" i="9" s="1"/>
  <c r="H19" i="9"/>
  <c r="H65" i="8"/>
  <c r="AF65" i="8"/>
  <c r="AG65" i="8" s="1"/>
  <c r="H20" i="8"/>
  <c r="AF20" i="8"/>
  <c r="AG20" i="8" s="1"/>
  <c r="AF54" i="9"/>
  <c r="AG54" i="9" s="1"/>
  <c r="H54" i="9"/>
  <c r="AF38" i="8"/>
  <c r="AG38" i="8" s="1"/>
  <c r="H38" i="8"/>
  <c r="AF46" i="8"/>
  <c r="AG46" i="8" s="1"/>
  <c r="H46" i="8"/>
  <c r="AF10" i="9"/>
  <c r="AG10" i="9" s="1"/>
  <c r="H10" i="9"/>
  <c r="H43" i="8"/>
  <c r="AF43" i="8"/>
  <c r="AG43" i="8" s="1"/>
  <c r="AF34" i="8"/>
  <c r="AG34" i="8" s="1"/>
  <c r="H34" i="8"/>
  <c r="AF26" i="8"/>
  <c r="AG26" i="8" s="1"/>
  <c r="H26" i="8"/>
  <c r="AF42" i="8"/>
  <c r="AG42" i="8" s="1"/>
  <c r="H42" i="8"/>
  <c r="AF5" i="8"/>
  <c r="AG5" i="8" s="1"/>
  <c r="H5" i="8"/>
  <c r="AF53" i="8"/>
  <c r="AG53" i="8" s="1"/>
  <c r="H53" i="8"/>
  <c r="H61" i="8"/>
  <c r="AF61" i="8"/>
  <c r="AG61" i="8" s="1"/>
  <c r="AF40" i="8"/>
  <c r="AG40" i="8" s="1"/>
  <c r="H40" i="8"/>
  <c r="AF51" i="9"/>
  <c r="AG51" i="9" s="1"/>
  <c r="H51" i="9"/>
  <c r="AF27" i="9"/>
  <c r="AG27" i="9" s="1"/>
  <c r="H27" i="9"/>
  <c r="H32" i="9"/>
  <c r="AF32" i="9"/>
  <c r="AG32" i="9" s="1"/>
  <c r="AF42" i="9"/>
  <c r="AG42" i="9" s="1"/>
  <c r="H42" i="9"/>
  <c r="H57" i="9"/>
  <c r="AF57" i="9"/>
  <c r="AG57" i="9" s="1"/>
  <c r="AF14" i="8"/>
  <c r="AG14" i="8" s="1"/>
  <c r="H14" i="8"/>
  <c r="AF69" i="9"/>
  <c r="AG69" i="9" s="1"/>
  <c r="H69" i="9"/>
  <c r="AF56" i="8"/>
  <c r="AG56" i="8" s="1"/>
  <c r="H56" i="8"/>
  <c r="AF39" i="8"/>
  <c r="AG39" i="8" s="1"/>
  <c r="H39" i="8"/>
  <c r="AF62" i="9"/>
  <c r="AG62" i="9" s="1"/>
  <c r="H62" i="9"/>
  <c r="H39" i="9"/>
  <c r="AF39" i="9"/>
  <c r="AG39" i="9" s="1"/>
  <c r="AF51" i="8"/>
  <c r="AG51" i="8" s="1"/>
  <c r="H51" i="8"/>
  <c r="H6" i="9"/>
  <c r="AF6" i="9"/>
  <c r="AG6" i="9" s="1"/>
  <c r="AF31" i="9"/>
  <c r="AG31" i="9" s="1"/>
  <c r="H31" i="9"/>
  <c r="AF45" i="9"/>
  <c r="AG45" i="9" s="1"/>
  <c r="H45" i="9"/>
  <c r="AF44" i="9"/>
  <c r="AG44" i="9" s="1"/>
  <c r="H44" i="9"/>
  <c r="AF10" i="8"/>
  <c r="AG10" i="8" s="1"/>
  <c r="H10" i="8"/>
  <c r="AF29" i="8"/>
  <c r="AG29" i="8" s="1"/>
  <c r="H29" i="8"/>
  <c r="AF49" i="8"/>
  <c r="AG49" i="8" s="1"/>
  <c r="H49" i="8"/>
  <c r="H41" i="8"/>
  <c r="AF41" i="8"/>
  <c r="AG41" i="8" s="1"/>
  <c r="AF8" i="9"/>
  <c r="AG8" i="9" s="1"/>
  <c r="AF72" i="9"/>
  <c r="AG72" i="9" s="1"/>
  <c r="AF61" i="9"/>
  <c r="AG61" i="9" s="1"/>
  <c r="H61" i="9"/>
  <c r="H20" i="9"/>
  <c r="AF20" i="9"/>
  <c r="AG20" i="9" s="1"/>
  <c r="AF49" i="9"/>
  <c r="AG49" i="9" s="1"/>
  <c r="H49" i="9"/>
  <c r="O361" i="8" l="1"/>
  <c r="I361" i="8"/>
  <c r="K361" i="8"/>
  <c r="M361" i="8" s="1"/>
  <c r="P361" i="8" a="1"/>
  <c r="P361" i="8" s="1"/>
  <c r="F363" i="8"/>
  <c r="G362" i="8"/>
  <c r="G362" i="9"/>
  <c r="F363" i="9"/>
  <c r="P52" i="3" a="1"/>
  <c r="P52" i="3" s="1"/>
  <c r="O52" i="3"/>
  <c r="K52" i="3"/>
  <c r="M52" i="3" s="1"/>
  <c r="O361" i="9"/>
  <c r="I361" i="9"/>
  <c r="P361" i="9" a="1"/>
  <c r="P361" i="9" s="1"/>
  <c r="K361" i="9"/>
  <c r="M361" i="9" s="1"/>
  <c r="L272" i="9"/>
  <c r="L274" i="9"/>
  <c r="L278" i="9"/>
  <c r="Q278" i="9" s="1"/>
  <c r="L202" i="9"/>
  <c r="Q202" i="9" s="1"/>
  <c r="L112" i="9"/>
  <c r="Q112" i="9" s="1"/>
  <c r="L284" i="9"/>
  <c r="Q284" i="9" s="1"/>
  <c r="L223" i="9"/>
  <c r="Q223" i="9" s="1"/>
  <c r="L297" i="9"/>
  <c r="Q297" i="9" s="1"/>
  <c r="L95" i="9"/>
  <c r="Q95" i="9" s="1"/>
  <c r="L163" i="9"/>
  <c r="Q163" i="9" s="1"/>
  <c r="L193" i="9"/>
  <c r="Q193" i="9" s="1"/>
  <c r="L171" i="9"/>
  <c r="Q171" i="9" s="1"/>
  <c r="L260" i="9"/>
  <c r="Q260" i="9" s="1"/>
  <c r="L338" i="9"/>
  <c r="Q338" i="9" s="1"/>
  <c r="L184" i="9"/>
  <c r="Q184" i="9" s="1"/>
  <c r="L356" i="9"/>
  <c r="Q356" i="9" s="1"/>
  <c r="L295" i="9"/>
  <c r="Q295" i="9" s="1"/>
  <c r="L185" i="9"/>
  <c r="Q185" i="9" s="1"/>
  <c r="L82" i="9"/>
  <c r="Q82" i="9" s="1"/>
  <c r="L115" i="9"/>
  <c r="Q115" i="9" s="1"/>
  <c r="L232" i="9"/>
  <c r="Q232" i="9" s="1"/>
  <c r="L263" i="9"/>
  <c r="Q263" i="9" s="1"/>
  <c r="L281" i="9"/>
  <c r="Q281" i="9" s="1"/>
  <c r="L303" i="9"/>
  <c r="Q303" i="9" s="1"/>
  <c r="L194" i="9"/>
  <c r="Q194" i="9" s="1"/>
  <c r="L90" i="9"/>
  <c r="Q90" i="9" s="1"/>
  <c r="L128" i="9"/>
  <c r="Q128" i="9" s="1"/>
  <c r="L309" i="9"/>
  <c r="Q309" i="9" s="1"/>
  <c r="L224" i="9"/>
  <c r="Q224" i="9" s="1"/>
  <c r="L331" i="9"/>
  <c r="Q331" i="9" s="1"/>
  <c r="L168" i="9"/>
  <c r="Q168" i="9" s="1"/>
  <c r="L106" i="9"/>
  <c r="Q106" i="9" s="1"/>
  <c r="L195" i="9"/>
  <c r="Q195" i="9" s="1"/>
  <c r="L96" i="9"/>
  <c r="Q96" i="9" s="1"/>
  <c r="L333" i="9"/>
  <c r="Q333" i="9" s="1"/>
  <c r="L227" i="9"/>
  <c r="Q227" i="9" s="1"/>
  <c r="L346" i="9"/>
  <c r="Q346" i="9" s="1"/>
  <c r="L28" i="8"/>
  <c r="Q28" i="8" s="1"/>
  <c r="L43" i="8"/>
  <c r="Q43" i="8" s="1"/>
  <c r="L51" i="8"/>
  <c r="Q51" i="8" s="1"/>
  <c r="L16" i="8"/>
  <c r="Q16" i="8" s="1"/>
  <c r="L41" i="8"/>
  <c r="Q41" i="8" s="1"/>
  <c r="L47" i="8"/>
  <c r="Q47" i="8" s="1"/>
  <c r="L17" i="8"/>
  <c r="Q17" i="8" s="1"/>
  <c r="L58" i="8"/>
  <c r="Q58" i="8" s="1"/>
  <c r="L212" i="9"/>
  <c r="Q212" i="9" s="1"/>
  <c r="L342" i="9"/>
  <c r="Q342" i="9" s="1"/>
  <c r="L225" i="9"/>
  <c r="Q225" i="9" s="1"/>
  <c r="L118" i="9"/>
  <c r="Q118" i="9" s="1"/>
  <c r="L141" i="9"/>
  <c r="Q141" i="9" s="1"/>
  <c r="L348" i="9"/>
  <c r="Q348" i="9" s="1"/>
  <c r="L287" i="9"/>
  <c r="Q287" i="9" s="1"/>
  <c r="L176" i="9"/>
  <c r="Q176" i="9" s="1"/>
  <c r="L74" i="9"/>
  <c r="Q74" i="9" s="1"/>
  <c r="L101" i="9"/>
  <c r="Q101" i="9" s="1"/>
  <c r="L360" i="9"/>
  <c r="Q360" i="9" s="1"/>
  <c r="L153" i="9"/>
  <c r="Q153" i="9" s="1"/>
  <c r="L196" i="9"/>
  <c r="Q196" i="9" s="1"/>
  <c r="L102" i="9"/>
  <c r="Q102" i="9" s="1"/>
  <c r="L229" i="9"/>
  <c r="Q229" i="9" s="1"/>
  <c r="L359" i="9"/>
  <c r="Q359" i="9" s="1"/>
  <c r="L251" i="9"/>
  <c r="Q251" i="9" s="1"/>
  <c r="L146" i="9"/>
  <c r="Q146" i="9" s="1"/>
  <c r="L117" i="9"/>
  <c r="Q117" i="9" s="1"/>
  <c r="L201" i="9"/>
  <c r="Q201" i="9" s="1"/>
  <c r="L240" i="9"/>
  <c r="Q240" i="9" s="1"/>
  <c r="L237" i="9"/>
  <c r="Q237" i="9" s="1"/>
  <c r="L259" i="9"/>
  <c r="Q259" i="9" s="1"/>
  <c r="L154" i="9"/>
  <c r="Q154" i="9" s="1"/>
  <c r="L131" i="9"/>
  <c r="Q131" i="9" s="1"/>
  <c r="L179" i="9"/>
  <c r="Q179" i="9" s="1"/>
  <c r="L288" i="9"/>
  <c r="Q288" i="9" s="1"/>
  <c r="L330" i="9"/>
  <c r="Q330" i="9" s="1"/>
  <c r="L169" i="9"/>
  <c r="Q169" i="9" s="1"/>
  <c r="L84" i="9"/>
  <c r="Q84" i="9" s="1"/>
  <c r="L261" i="9"/>
  <c r="Q261" i="9" s="1"/>
  <c r="L85" i="9"/>
  <c r="Q85" i="9" s="1"/>
  <c r="L334" i="9"/>
  <c r="Q334" i="9" s="1"/>
  <c r="L122" i="9"/>
  <c r="Q122" i="9" s="1"/>
  <c r="L298" i="9"/>
  <c r="Q298" i="9" s="1"/>
  <c r="L53" i="8"/>
  <c r="Q53" i="8" s="1"/>
  <c r="L52" i="8"/>
  <c r="Q52" i="8" s="1"/>
  <c r="L59" i="8"/>
  <c r="Q59" i="8" s="1"/>
  <c r="L60" i="8"/>
  <c r="Q60" i="8" s="1"/>
  <c r="L39" i="8"/>
  <c r="Q39" i="8" s="1"/>
  <c r="L34" i="8"/>
  <c r="Q34" i="8" s="1"/>
  <c r="L276" i="9"/>
  <c r="Q276" i="9" s="1"/>
  <c r="L215" i="9"/>
  <c r="Q215" i="9" s="1"/>
  <c r="L289" i="9"/>
  <c r="Q289" i="9" s="1"/>
  <c r="L87" i="9"/>
  <c r="Q87" i="9" s="1"/>
  <c r="L152" i="9"/>
  <c r="L221" i="9"/>
  <c r="Q221" i="9" s="1"/>
  <c r="L351" i="9"/>
  <c r="Q351" i="9" s="1"/>
  <c r="L243" i="9"/>
  <c r="Q243" i="9" s="1"/>
  <c r="L138" i="9"/>
  <c r="Q138" i="9" s="1"/>
  <c r="L105" i="9"/>
  <c r="Q105" i="9" s="1"/>
  <c r="L329" i="9"/>
  <c r="Q329" i="9" s="1"/>
  <c r="L197" i="9"/>
  <c r="Q197" i="9" s="1"/>
  <c r="L114" i="9"/>
  <c r="Q114" i="9" s="1"/>
  <c r="L293" i="9"/>
  <c r="Q293" i="9" s="1"/>
  <c r="L208" i="9"/>
  <c r="Q208" i="9" s="1"/>
  <c r="L315" i="9"/>
  <c r="Q315" i="9" s="1"/>
  <c r="L145" i="9"/>
  <c r="Q145" i="9" s="1"/>
  <c r="L211" i="9"/>
  <c r="Q211" i="9" s="1"/>
  <c r="L209" i="9"/>
  <c r="Q209" i="9" s="1"/>
  <c r="L301" i="9"/>
  <c r="Q301" i="9" s="1"/>
  <c r="L216" i="9"/>
  <c r="Q216" i="9" s="1"/>
  <c r="L323" i="9"/>
  <c r="Q323" i="9" s="1"/>
  <c r="L157" i="9"/>
  <c r="Q157" i="9" s="1"/>
  <c r="L246" i="9"/>
  <c r="Q246" i="9" s="1"/>
  <c r="L352" i="9"/>
  <c r="Q352" i="9" s="1"/>
  <c r="L290" i="9"/>
  <c r="Q290" i="9" s="1"/>
  <c r="L170" i="9"/>
  <c r="Q170" i="9" s="1"/>
  <c r="L317" i="9"/>
  <c r="Q317" i="9" s="1"/>
  <c r="L113" i="9"/>
  <c r="Q113" i="9" s="1"/>
  <c r="L262" i="9"/>
  <c r="Q262" i="9" s="1"/>
  <c r="L164" i="9"/>
  <c r="Q164" i="9" s="1"/>
  <c r="L181" i="9"/>
  <c r="Q181" i="9" s="1"/>
  <c r="L316" i="9"/>
  <c r="Q316" i="9" s="1"/>
  <c r="L80" i="9"/>
  <c r="Q80" i="9" s="1"/>
  <c r="L3" i="8"/>
  <c r="Q3" i="8" s="1"/>
  <c r="L42" i="8"/>
  <c r="Q42" i="8" s="1"/>
  <c r="L68" i="8"/>
  <c r="Q68" i="8" s="1"/>
  <c r="L67" i="8"/>
  <c r="Q67" i="8" s="1"/>
  <c r="L69" i="8"/>
  <c r="Q69" i="8" s="1"/>
  <c r="L340" i="9"/>
  <c r="Q340" i="9" s="1"/>
  <c r="L279" i="9"/>
  <c r="Q279" i="9" s="1"/>
  <c r="L361" i="9"/>
  <c r="L151" i="9"/>
  <c r="Q151" i="9" s="1"/>
  <c r="L89" i="9"/>
  <c r="Q89" i="9" s="1"/>
  <c r="L285" i="9"/>
  <c r="Q285" i="9" s="1"/>
  <c r="L200" i="9"/>
  <c r="Q200" i="9" s="1"/>
  <c r="L307" i="9"/>
  <c r="Q307" i="9" s="1"/>
  <c r="L132" i="9"/>
  <c r="Q132" i="9" s="1"/>
  <c r="L275" i="9"/>
  <c r="Q275" i="9" s="1"/>
  <c r="L326" i="9"/>
  <c r="Q326" i="9" s="1"/>
  <c r="L97" i="9"/>
  <c r="Q97" i="9" s="1"/>
  <c r="L357" i="9"/>
  <c r="Q357" i="9" s="1"/>
  <c r="L322" i="9"/>
  <c r="Q322" i="9" s="1"/>
  <c r="L147" i="9"/>
  <c r="Q147" i="9" s="1"/>
  <c r="L354" i="9"/>
  <c r="Q354" i="9" s="1"/>
  <c r="L283" i="9"/>
  <c r="Q283" i="9" s="1"/>
  <c r="L280" i="9"/>
  <c r="Q280" i="9" s="1"/>
  <c r="L266" i="9"/>
  <c r="Q266" i="9" s="1"/>
  <c r="L159" i="9"/>
  <c r="Q159" i="9" s="1"/>
  <c r="L177" i="9"/>
  <c r="Q177" i="9" s="1"/>
  <c r="L310" i="9"/>
  <c r="Q310" i="9" s="1"/>
  <c r="L192" i="9"/>
  <c r="Q192" i="9" s="1"/>
  <c r="L86" i="9"/>
  <c r="Q86" i="9" s="1"/>
  <c r="L161" i="9"/>
  <c r="Q161" i="9" s="1"/>
  <c r="L189" i="9"/>
  <c r="Q189" i="9" s="1"/>
  <c r="L156" i="9"/>
  <c r="Q156" i="9" s="1"/>
  <c r="L210" i="9"/>
  <c r="Q210" i="9" s="1"/>
  <c r="L217" i="9"/>
  <c r="Q217" i="9" s="1"/>
  <c r="L79" i="9"/>
  <c r="Q79" i="9" s="1"/>
  <c r="L291" i="9"/>
  <c r="Q291" i="9" s="1"/>
  <c r="L61" i="8"/>
  <c r="Q61" i="8" s="1"/>
  <c r="L66" i="8"/>
  <c r="Q66" i="8" s="1"/>
  <c r="L72" i="8"/>
  <c r="Q72" i="8" s="1"/>
  <c r="L40" i="8"/>
  <c r="Q40" i="8" s="1"/>
  <c r="L109" i="9"/>
  <c r="Q109" i="9" s="1"/>
  <c r="L44" i="8"/>
  <c r="Q44" i="8" s="1"/>
  <c r="L135" i="8"/>
  <c r="Q135" i="8" s="1"/>
  <c r="L213" i="9"/>
  <c r="L343" i="9"/>
  <c r="Q343" i="9" s="1"/>
  <c r="L235" i="9"/>
  <c r="Q235" i="9" s="1"/>
  <c r="L130" i="9"/>
  <c r="Q130" i="9" s="1"/>
  <c r="L92" i="9"/>
  <c r="Q92" i="9" s="1"/>
  <c r="L349" i="9"/>
  <c r="Q349" i="9" s="1"/>
  <c r="L264" i="9"/>
  <c r="Q264" i="9" s="1"/>
  <c r="L258" i="9"/>
  <c r="Q258" i="9" s="1"/>
  <c r="L133" i="9"/>
  <c r="Q133" i="9" s="1"/>
  <c r="L327" i="9"/>
  <c r="Q327" i="9" s="1"/>
  <c r="L91" i="9"/>
  <c r="Q91" i="9" s="1"/>
  <c r="L204" i="9"/>
  <c r="Q204" i="9" s="1"/>
  <c r="L230" i="9"/>
  <c r="Q230" i="9" s="1"/>
  <c r="L336" i="9"/>
  <c r="Q336" i="9" s="1"/>
  <c r="L282" i="9"/>
  <c r="Q282" i="9" s="1"/>
  <c r="L148" i="9"/>
  <c r="Q148" i="9" s="1"/>
  <c r="L187" i="9"/>
  <c r="Q187" i="9" s="1"/>
  <c r="L127" i="9"/>
  <c r="Q127" i="9" s="1"/>
  <c r="L234" i="9"/>
  <c r="Q234" i="9" s="1"/>
  <c r="L205" i="9"/>
  <c r="Q205" i="9" s="1"/>
  <c r="L238" i="9"/>
  <c r="Q238" i="9" s="1"/>
  <c r="L344" i="9"/>
  <c r="Q344" i="9" s="1"/>
  <c r="L226" i="9"/>
  <c r="Q226" i="9" s="1"/>
  <c r="L160" i="9"/>
  <c r="Q160" i="9" s="1"/>
  <c r="L244" i="9"/>
  <c r="Q244" i="9" s="1"/>
  <c r="L180" i="9"/>
  <c r="Q180" i="9" s="1"/>
  <c r="L257" i="9"/>
  <c r="Q257" i="9" s="1"/>
  <c r="L150" i="9"/>
  <c r="Q150" i="9" s="1"/>
  <c r="L100" i="9"/>
  <c r="Q100" i="9" s="1"/>
  <c r="L296" i="9"/>
  <c r="Q296" i="9" s="1"/>
  <c r="L175" i="9"/>
  <c r="Q175" i="9" s="1"/>
  <c r="L139" i="9"/>
  <c r="Q139" i="9" s="1"/>
  <c r="L107" i="9"/>
  <c r="Q107" i="9" s="1"/>
  <c r="L65" i="8"/>
  <c r="Q65" i="8" s="1"/>
  <c r="L62" i="8"/>
  <c r="Q62" i="8" s="1"/>
  <c r="L5" i="8"/>
  <c r="Q5" i="8" s="1"/>
  <c r="L63" i="8"/>
  <c r="Q63" i="8" s="1"/>
  <c r="L29" i="8"/>
  <c r="Q29" i="8" s="1"/>
  <c r="L99" i="9"/>
  <c r="Q99" i="9" s="1"/>
  <c r="L35" i="8"/>
  <c r="Q35" i="8" s="1"/>
  <c r="L277" i="9"/>
  <c r="Q277" i="9" s="1"/>
  <c r="L191" i="9"/>
  <c r="Q191" i="9" s="1"/>
  <c r="L299" i="9"/>
  <c r="Q299" i="9" s="1"/>
  <c r="L120" i="9"/>
  <c r="Q120" i="9" s="1"/>
  <c r="L222" i="9"/>
  <c r="Q222" i="9" s="1"/>
  <c r="L328" i="9"/>
  <c r="Q328" i="9" s="1"/>
  <c r="L314" i="9"/>
  <c r="Q314" i="9" s="1"/>
  <c r="L136" i="9"/>
  <c r="Q136" i="9" s="1"/>
  <c r="L253" i="9"/>
  <c r="Q253" i="9" s="1"/>
  <c r="L158" i="9"/>
  <c r="Q158" i="9" s="1"/>
  <c r="L304" i="9"/>
  <c r="Q304" i="9" s="1"/>
  <c r="L167" i="9"/>
  <c r="Q167" i="9" s="1"/>
  <c r="L190" i="9"/>
  <c r="Q190" i="9" s="1"/>
  <c r="L294" i="9"/>
  <c r="Q294" i="9" s="1"/>
  <c r="L173" i="9"/>
  <c r="Q173" i="9" s="1"/>
  <c r="L250" i="9"/>
  <c r="Q250" i="9" s="1"/>
  <c r="L137" i="9"/>
  <c r="Q137" i="9" s="1"/>
  <c r="L188" i="9"/>
  <c r="Q188" i="9" s="1"/>
  <c r="L73" i="9"/>
  <c r="Q73" i="9" s="1"/>
  <c r="L324" i="9"/>
  <c r="Q324" i="9" s="1"/>
  <c r="L166" i="9"/>
  <c r="Q166" i="9" s="1"/>
  <c r="L206" i="9"/>
  <c r="Q206" i="9" s="1"/>
  <c r="L198" i="9"/>
  <c r="Q198" i="9" s="1"/>
  <c r="L302" i="9"/>
  <c r="Q302" i="9" s="1"/>
  <c r="L183" i="9"/>
  <c r="Q183" i="9" s="1"/>
  <c r="L78" i="9"/>
  <c r="Q78" i="9" s="1"/>
  <c r="L149" i="9"/>
  <c r="Q149" i="9" s="1"/>
  <c r="L207" i="9"/>
  <c r="Q207" i="9" s="1"/>
  <c r="L308" i="9"/>
  <c r="Q308" i="9" s="1"/>
  <c r="L247" i="9"/>
  <c r="Q247" i="9" s="1"/>
  <c r="L321" i="9"/>
  <c r="Q321" i="9" s="1"/>
  <c r="L119" i="9"/>
  <c r="Q119" i="9" s="1"/>
  <c r="L104" i="9"/>
  <c r="Q104" i="9" s="1"/>
  <c r="L265" i="9"/>
  <c r="Q265" i="9" s="1"/>
  <c r="L345" i="9"/>
  <c r="Q345" i="9" s="1"/>
  <c r="L353" i="9"/>
  <c r="Q353" i="9" s="1"/>
  <c r="L355" i="9"/>
  <c r="Q355" i="9" s="1"/>
  <c r="L4" i="8"/>
  <c r="Q4" i="8" s="1"/>
  <c r="L71" i="8"/>
  <c r="Q71" i="8" s="1"/>
  <c r="L18" i="8"/>
  <c r="Q18" i="8" s="1"/>
  <c r="L48" i="8"/>
  <c r="Q48" i="8" s="1"/>
  <c r="L116" i="9"/>
  <c r="Q116" i="9" s="1"/>
  <c r="L31" i="8"/>
  <c r="Q31" i="8" s="1"/>
  <c r="L341" i="9"/>
  <c r="Q341" i="9" s="1"/>
  <c r="L256" i="9"/>
  <c r="Q256" i="9" s="1"/>
  <c r="L121" i="9"/>
  <c r="Q121" i="9" s="1"/>
  <c r="L182" i="9"/>
  <c r="Q182" i="9" s="1"/>
  <c r="L286" i="9"/>
  <c r="Q286" i="9" s="1"/>
  <c r="L218" i="9"/>
  <c r="Q218" i="9" s="1"/>
  <c r="L242" i="9"/>
  <c r="Q242" i="9" s="1"/>
  <c r="L124" i="9"/>
  <c r="Q124" i="9" s="1"/>
  <c r="L254" i="9"/>
  <c r="Q254" i="9" s="1"/>
  <c r="L81" i="9"/>
  <c r="Q81" i="9" s="1"/>
  <c r="L273" i="9"/>
  <c r="Q273" i="9" s="1"/>
  <c r="L228" i="9"/>
  <c r="Q228" i="9" s="1"/>
  <c r="L358" i="9"/>
  <c r="Q358" i="9" s="1"/>
  <c r="L241" i="9"/>
  <c r="Q241" i="9" s="1"/>
  <c r="L134" i="9"/>
  <c r="Q134" i="9" s="1"/>
  <c r="L75" i="9"/>
  <c r="Q75" i="9" s="1"/>
  <c r="L318" i="9"/>
  <c r="Q318" i="9" s="1"/>
  <c r="L129" i="9"/>
  <c r="Q129" i="9" s="1"/>
  <c r="L325" i="9"/>
  <c r="Q325" i="9" s="1"/>
  <c r="L93" i="9"/>
  <c r="Q93" i="9" s="1"/>
  <c r="L271" i="9"/>
  <c r="Q271" i="9" s="1"/>
  <c r="L236" i="9"/>
  <c r="Q236" i="9" s="1"/>
  <c r="L249" i="9"/>
  <c r="Q249" i="9" s="1"/>
  <c r="L142" i="9"/>
  <c r="Q142" i="9" s="1"/>
  <c r="L88" i="9"/>
  <c r="Q88" i="9" s="1"/>
  <c r="L312" i="9"/>
  <c r="Q312" i="9" s="1"/>
  <c r="L178" i="9"/>
  <c r="Q178" i="9" s="1"/>
  <c r="L311" i="9"/>
  <c r="Q311" i="9" s="1"/>
  <c r="L203" i="9"/>
  <c r="Q203" i="9" s="1"/>
  <c r="L98" i="9"/>
  <c r="Q98" i="9" s="1"/>
  <c r="L140" i="9"/>
  <c r="Q140" i="9" s="1"/>
  <c r="L339" i="9"/>
  <c r="Q339" i="9" s="1"/>
  <c r="L347" i="9"/>
  <c r="Q347" i="9" s="1"/>
  <c r="L186" i="9"/>
  <c r="Q186" i="9" s="1"/>
  <c r="L143" i="9"/>
  <c r="Q143" i="9" s="1"/>
  <c r="L108" i="9"/>
  <c r="Q108" i="9" s="1"/>
  <c r="L24" i="8"/>
  <c r="Q24" i="8" s="1"/>
  <c r="L55" i="8"/>
  <c r="Q55" i="8" s="1"/>
  <c r="L7" i="8"/>
  <c r="Q7" i="8" s="1"/>
  <c r="L14" i="8"/>
  <c r="Q14" i="8" s="1"/>
  <c r="L70" i="8"/>
  <c r="Q70" i="8" s="1"/>
  <c r="L64" i="8"/>
  <c r="Q64" i="8" s="1"/>
  <c r="L56" i="8"/>
  <c r="Q56" i="8" s="1"/>
  <c r="L32" i="8"/>
  <c r="Q32" i="8" s="1"/>
  <c r="L214" i="9"/>
  <c r="Q214" i="9" s="1"/>
  <c r="L320" i="9"/>
  <c r="Q320" i="9" s="1"/>
  <c r="L306" i="9"/>
  <c r="Q306" i="9" s="1"/>
  <c r="L123" i="9"/>
  <c r="Q123" i="9" s="1"/>
  <c r="L155" i="9"/>
  <c r="Q155" i="9" s="1"/>
  <c r="L220" i="9"/>
  <c r="Q220" i="9" s="1"/>
  <c r="L350" i="9"/>
  <c r="Q350" i="9" s="1"/>
  <c r="L233" i="9"/>
  <c r="Q233" i="9" s="1"/>
  <c r="L126" i="9"/>
  <c r="Q126" i="9" s="1"/>
  <c r="L165" i="9"/>
  <c r="Q165" i="9" s="1"/>
  <c r="L255" i="9"/>
  <c r="Q255" i="9" s="1"/>
  <c r="L83" i="9"/>
  <c r="Q83" i="9" s="1"/>
  <c r="L219" i="9"/>
  <c r="Q219" i="9" s="1"/>
  <c r="L335" i="9"/>
  <c r="Q335" i="9" s="1"/>
  <c r="L292" i="9"/>
  <c r="Q292" i="9" s="1"/>
  <c r="L231" i="9"/>
  <c r="Q231" i="9" s="1"/>
  <c r="L305" i="9"/>
  <c r="Q305" i="9" s="1"/>
  <c r="L103" i="9"/>
  <c r="Q103" i="9" s="1"/>
  <c r="L172" i="9"/>
  <c r="Q172" i="9" s="1"/>
  <c r="L319" i="9"/>
  <c r="Q319" i="9" s="1"/>
  <c r="L199" i="9"/>
  <c r="Q199" i="9" s="1"/>
  <c r="L125" i="9"/>
  <c r="Q125" i="9" s="1"/>
  <c r="L248" i="9"/>
  <c r="Q248" i="9" s="1"/>
  <c r="L300" i="9"/>
  <c r="Q300" i="9" s="1"/>
  <c r="L239" i="9"/>
  <c r="Q239" i="9" s="1"/>
  <c r="L313" i="9"/>
  <c r="Q313" i="9" s="1"/>
  <c r="L111" i="9"/>
  <c r="Q111" i="9" s="1"/>
  <c r="L77" i="9"/>
  <c r="Q77" i="9" s="1"/>
  <c r="L245" i="9"/>
  <c r="Q245" i="9" s="1"/>
  <c r="L337" i="9"/>
  <c r="Q337" i="9" s="1"/>
  <c r="L267" i="9"/>
  <c r="Q267" i="9" s="1"/>
  <c r="L162" i="9"/>
  <c r="Q162" i="9" s="1"/>
  <c r="L144" i="9"/>
  <c r="Q144" i="9" s="1"/>
  <c r="L94" i="9"/>
  <c r="Q94" i="9" s="1"/>
  <c r="L135" i="9"/>
  <c r="Q135" i="9" s="1"/>
  <c r="L332" i="9"/>
  <c r="Q332" i="9" s="1"/>
  <c r="L252" i="9"/>
  <c r="Q252" i="9" s="1"/>
  <c r="L76" i="9"/>
  <c r="Q76" i="9" s="1"/>
  <c r="L110" i="9"/>
  <c r="Q110" i="9" s="1"/>
  <c r="L37" i="8"/>
  <c r="Q37" i="8" s="1"/>
  <c r="L15" i="8"/>
  <c r="Q15" i="8" s="1"/>
  <c r="L6" i="8"/>
  <c r="Q6" i="8" s="1"/>
  <c r="L26" i="8"/>
  <c r="Q26" i="8" s="1"/>
  <c r="L49" i="8"/>
  <c r="Q49" i="8" s="1"/>
  <c r="L54" i="8"/>
  <c r="Q54" i="8" s="1"/>
  <c r="W214" i="9"/>
  <c r="W320" i="9"/>
  <c r="W306" i="9"/>
  <c r="W123" i="9"/>
  <c r="W155" i="9"/>
  <c r="W220" i="9"/>
  <c r="W350" i="9"/>
  <c r="W233" i="9"/>
  <c r="W126" i="9"/>
  <c r="W165" i="9"/>
  <c r="W255" i="9"/>
  <c r="W83" i="9"/>
  <c r="W219" i="9"/>
  <c r="W335" i="9"/>
  <c r="W292" i="9"/>
  <c r="W231" i="9"/>
  <c r="W305" i="9"/>
  <c r="W103" i="9"/>
  <c r="W172" i="9"/>
  <c r="W319" i="9"/>
  <c r="W199" i="9"/>
  <c r="W125" i="9"/>
  <c r="W248" i="9"/>
  <c r="W300" i="9"/>
  <c r="W239" i="9"/>
  <c r="W313" i="9"/>
  <c r="W111" i="9"/>
  <c r="W77" i="9"/>
  <c r="W245" i="9"/>
  <c r="W337" i="9"/>
  <c r="W267" i="9"/>
  <c r="W162" i="9"/>
  <c r="W144" i="9"/>
  <c r="W94" i="9"/>
  <c r="W135" i="9"/>
  <c r="W332" i="9"/>
  <c r="W252" i="9"/>
  <c r="W76" i="9"/>
  <c r="W278" i="9"/>
  <c r="W202" i="9"/>
  <c r="W112" i="9"/>
  <c r="W284" i="9"/>
  <c r="W223" i="9"/>
  <c r="W297" i="9"/>
  <c r="W95" i="9"/>
  <c r="W163" i="9"/>
  <c r="W193" i="9"/>
  <c r="W171" i="9"/>
  <c r="W260" i="9"/>
  <c r="W338" i="9"/>
  <c r="W184" i="9"/>
  <c r="W356" i="9"/>
  <c r="W295" i="9"/>
  <c r="W185" i="9"/>
  <c r="W82" i="9"/>
  <c r="W115" i="9"/>
  <c r="W232" i="9"/>
  <c r="W263" i="9"/>
  <c r="W281" i="9"/>
  <c r="W303" i="9"/>
  <c r="W194" i="9"/>
  <c r="W90" i="9"/>
  <c r="W128" i="9"/>
  <c r="W309" i="9"/>
  <c r="W224" i="9"/>
  <c r="W331" i="9"/>
  <c r="W168" i="9"/>
  <c r="W106" i="9"/>
  <c r="W195" i="9"/>
  <c r="W96" i="9"/>
  <c r="W333" i="9"/>
  <c r="W227" i="9"/>
  <c r="W109" i="9"/>
  <c r="W212" i="9"/>
  <c r="W342" i="9"/>
  <c r="W225" i="9"/>
  <c r="W118" i="9"/>
  <c r="W141" i="9"/>
  <c r="W348" i="9"/>
  <c r="W287" i="9"/>
  <c r="W176" i="9"/>
  <c r="W74" i="9"/>
  <c r="W101" i="9"/>
  <c r="W360" i="9"/>
  <c r="W153" i="9"/>
  <c r="W196" i="9"/>
  <c r="W102" i="9"/>
  <c r="W229" i="9"/>
  <c r="W359" i="9"/>
  <c r="W251" i="9"/>
  <c r="W146" i="9"/>
  <c r="W117" i="9"/>
  <c r="W201" i="9"/>
  <c r="W240" i="9"/>
  <c r="W237" i="9"/>
  <c r="W259" i="9"/>
  <c r="W154" i="9"/>
  <c r="W131" i="9"/>
  <c r="W179" i="9"/>
  <c r="W288" i="9"/>
  <c r="W330" i="9"/>
  <c r="W169" i="9"/>
  <c r="W84" i="9"/>
  <c r="W261" i="9"/>
  <c r="W85" i="9"/>
  <c r="W334" i="9"/>
  <c r="W298" i="9"/>
  <c r="W99" i="9"/>
  <c r="W276" i="9"/>
  <c r="W215" i="9"/>
  <c r="W289" i="9"/>
  <c r="W87" i="9"/>
  <c r="W152" i="9"/>
  <c r="W221" i="9"/>
  <c r="W351" i="9"/>
  <c r="W243" i="9"/>
  <c r="W138" i="9"/>
  <c r="W105" i="9"/>
  <c r="W329" i="9"/>
  <c r="W197" i="9"/>
  <c r="W114" i="9"/>
  <c r="W293" i="9"/>
  <c r="W208" i="9"/>
  <c r="W315" i="9"/>
  <c r="W145" i="9"/>
  <c r="W211" i="9"/>
  <c r="W209" i="9"/>
  <c r="W301" i="9"/>
  <c r="W216" i="9"/>
  <c r="W323" i="9"/>
  <c r="W157" i="9"/>
  <c r="W246" i="9"/>
  <c r="W352" i="9"/>
  <c r="W290" i="9"/>
  <c r="W170" i="9"/>
  <c r="W317" i="9"/>
  <c r="W113" i="9"/>
  <c r="W262" i="9"/>
  <c r="W164" i="9"/>
  <c r="W181" i="9"/>
  <c r="W116" i="9"/>
  <c r="W340" i="9"/>
  <c r="W279" i="9"/>
  <c r="W151" i="9"/>
  <c r="W89" i="9"/>
  <c r="W285" i="9"/>
  <c r="W200" i="9"/>
  <c r="W307" i="9"/>
  <c r="W132" i="9"/>
  <c r="W275" i="9"/>
  <c r="W326" i="9"/>
  <c r="W97" i="9"/>
  <c r="W357" i="9"/>
  <c r="W272" i="9"/>
  <c r="W322" i="9"/>
  <c r="W147" i="9"/>
  <c r="W354" i="9"/>
  <c r="W283" i="9"/>
  <c r="W280" i="9"/>
  <c r="W266" i="9"/>
  <c r="W159" i="9"/>
  <c r="W177" i="9"/>
  <c r="W310" i="9"/>
  <c r="W192" i="9"/>
  <c r="W86" i="9"/>
  <c r="W161" i="9"/>
  <c r="W189" i="9"/>
  <c r="W156" i="9"/>
  <c r="W210" i="9"/>
  <c r="W217" i="9"/>
  <c r="W291" i="9"/>
  <c r="W213" i="9"/>
  <c r="W343" i="9"/>
  <c r="W235" i="9"/>
  <c r="W130" i="9"/>
  <c r="W92" i="9"/>
  <c r="W349" i="9"/>
  <c r="W264" i="9"/>
  <c r="W258" i="9"/>
  <c r="W133" i="9"/>
  <c r="W274" i="9"/>
  <c r="W327" i="9"/>
  <c r="W91" i="9"/>
  <c r="W204" i="9"/>
  <c r="W230" i="9"/>
  <c r="W336" i="9"/>
  <c r="W282" i="9"/>
  <c r="W148" i="9"/>
  <c r="W187" i="9"/>
  <c r="W127" i="9"/>
  <c r="W234" i="9"/>
  <c r="W205" i="9"/>
  <c r="W238" i="9"/>
  <c r="W344" i="9"/>
  <c r="W226" i="9"/>
  <c r="W160" i="9"/>
  <c r="W244" i="9"/>
  <c r="W180" i="9"/>
  <c r="W257" i="9"/>
  <c r="W150" i="9"/>
  <c r="W100" i="9"/>
  <c r="W296" i="9"/>
  <c r="W175" i="9"/>
  <c r="W107" i="9"/>
  <c r="W277" i="9"/>
  <c r="W191" i="9"/>
  <c r="W299" i="9"/>
  <c r="W120" i="9"/>
  <c r="W222" i="9"/>
  <c r="W328" i="9"/>
  <c r="W314" i="9"/>
  <c r="W136" i="9"/>
  <c r="W253" i="9"/>
  <c r="W158" i="9"/>
  <c r="W304" i="9"/>
  <c r="W167" i="9"/>
  <c r="W190" i="9"/>
  <c r="W294" i="9"/>
  <c r="W173" i="9"/>
  <c r="W250" i="9"/>
  <c r="W137" i="9"/>
  <c r="W188" i="9"/>
  <c r="W73" i="9"/>
  <c r="W324" i="9"/>
  <c r="W166" i="9"/>
  <c r="W206" i="9"/>
  <c r="W198" i="9"/>
  <c r="W302" i="9"/>
  <c r="W183" i="9"/>
  <c r="W78" i="9"/>
  <c r="W149" i="9"/>
  <c r="W207" i="9"/>
  <c r="W308" i="9"/>
  <c r="W247" i="9"/>
  <c r="W321" i="9"/>
  <c r="W119" i="9"/>
  <c r="W104" i="9"/>
  <c r="W265" i="9"/>
  <c r="W345" i="9"/>
  <c r="W341" i="9"/>
  <c r="W256" i="9"/>
  <c r="W121" i="9"/>
  <c r="W182" i="9"/>
  <c r="W286" i="9"/>
  <c r="W218" i="9"/>
  <c r="W242" i="9"/>
  <c r="W124" i="9"/>
  <c r="W254" i="9"/>
  <c r="W81" i="9"/>
  <c r="W273" i="9"/>
  <c r="W228" i="9"/>
  <c r="W358" i="9"/>
  <c r="W241" i="9"/>
  <c r="W134" i="9"/>
  <c r="W75" i="9"/>
  <c r="W318" i="9"/>
  <c r="W129" i="9"/>
  <c r="W325" i="9"/>
  <c r="W93" i="9"/>
  <c r="W271" i="9"/>
  <c r="W236" i="9"/>
  <c r="W249" i="9"/>
  <c r="W142" i="9"/>
  <c r="W88" i="9"/>
  <c r="W312" i="9"/>
  <c r="W178" i="9"/>
  <c r="W311" i="9"/>
  <c r="W203" i="9"/>
  <c r="W98" i="9"/>
  <c r="W140" i="9"/>
  <c r="W339" i="9"/>
  <c r="W347" i="9"/>
  <c r="W186" i="9"/>
  <c r="W143" i="9"/>
  <c r="W152" i="8"/>
  <c r="W165" i="8"/>
  <c r="W13" i="8"/>
  <c r="AJ13" i="8" s="1"/>
  <c r="W57" i="8"/>
  <c r="AJ57" i="8" s="1"/>
  <c r="W14" i="8"/>
  <c r="AJ14" i="8" s="1"/>
  <c r="W29" i="8"/>
  <c r="AJ29" i="8" s="1"/>
  <c r="W35" i="8"/>
  <c r="AJ35" i="8" s="1"/>
  <c r="W155" i="8"/>
  <c r="W127" i="8"/>
  <c r="W3" i="8"/>
  <c r="AJ3" i="8" s="1"/>
  <c r="W55" i="8"/>
  <c r="AJ55" i="8" s="1"/>
  <c r="W42" i="8"/>
  <c r="AJ42" i="8" s="1"/>
  <c r="W7" i="8"/>
  <c r="AJ7" i="8" s="1"/>
  <c r="W48" i="8"/>
  <c r="AJ48" i="8" s="1"/>
  <c r="W31" i="8"/>
  <c r="AJ31" i="8" s="1"/>
  <c r="W135" i="8"/>
  <c r="W24" i="8"/>
  <c r="AJ24" i="8" s="1"/>
  <c r="W6" i="8"/>
  <c r="AJ6" i="8" s="1"/>
  <c r="W72" i="8"/>
  <c r="AJ72" i="8" s="1"/>
  <c r="W26" i="8"/>
  <c r="AJ26" i="8" s="1"/>
  <c r="W70" i="8"/>
  <c r="AJ70" i="8" s="1"/>
  <c r="W64" i="8"/>
  <c r="AJ64" i="8" s="1"/>
  <c r="W91" i="8"/>
  <c r="W61" i="8"/>
  <c r="AJ61" i="8" s="1"/>
  <c r="W15" i="8"/>
  <c r="AJ15" i="8" s="1"/>
  <c r="W66" i="8"/>
  <c r="AJ66" i="8" s="1"/>
  <c r="W49" i="8"/>
  <c r="AJ49" i="8" s="1"/>
  <c r="W54" i="8"/>
  <c r="AJ54" i="8" s="1"/>
  <c r="W86" i="8"/>
  <c r="W37" i="8"/>
  <c r="AJ37" i="8" s="1"/>
  <c r="W51" i="8"/>
  <c r="AJ51" i="8" s="1"/>
  <c r="W63" i="8"/>
  <c r="AJ63" i="8" s="1"/>
  <c r="W16" i="8"/>
  <c r="AJ16" i="8" s="1"/>
  <c r="W41" i="8"/>
  <c r="AJ41" i="8" s="1"/>
  <c r="W47" i="8"/>
  <c r="AJ47" i="8" s="1"/>
  <c r="W143" i="8"/>
  <c r="W113" i="8"/>
  <c r="W62" i="8"/>
  <c r="AJ62" i="8" s="1"/>
  <c r="W43" i="8"/>
  <c r="AJ43" i="8" s="1"/>
  <c r="W5" i="8"/>
  <c r="AJ5" i="8" s="1"/>
  <c r="W60" i="8"/>
  <c r="AJ60" i="8" s="1"/>
  <c r="W39" i="8"/>
  <c r="AJ39" i="8" s="1"/>
  <c r="W34" i="8"/>
  <c r="AJ34" i="8" s="1"/>
  <c r="W93" i="8"/>
  <c r="W172" i="8"/>
  <c r="W65" i="8"/>
  <c r="AJ65" i="8" s="1"/>
  <c r="W28" i="8"/>
  <c r="AJ28" i="8" s="1"/>
  <c r="W59" i="8"/>
  <c r="AJ59" i="8" s="1"/>
  <c r="W18" i="8"/>
  <c r="AJ18" i="8" s="1"/>
  <c r="W68" i="8"/>
  <c r="AJ68" i="8" s="1"/>
  <c r="W67" i="8"/>
  <c r="AJ67" i="8" s="1"/>
  <c r="W33" i="8"/>
  <c r="AJ33" i="8" s="1"/>
  <c r="W134" i="8"/>
  <c r="W162" i="8"/>
  <c r="W53" i="8"/>
  <c r="AJ53" i="8" s="1"/>
  <c r="W4" i="8"/>
  <c r="AJ4" i="8" s="1"/>
  <c r="W52" i="8"/>
  <c r="AJ52" i="8" s="1"/>
  <c r="W71" i="8"/>
  <c r="AJ71" i="8" s="1"/>
  <c r="W40" i="8"/>
  <c r="AJ40" i="8" s="1"/>
  <c r="W44" i="8"/>
  <c r="AJ44" i="8" s="1"/>
  <c r="X298" i="9"/>
  <c r="Y298" i="9" s="1"/>
  <c r="L162" i="8"/>
  <c r="Q162" i="8" s="1"/>
  <c r="L163" i="8"/>
  <c r="Q163" i="8" s="1"/>
  <c r="L155" i="8"/>
  <c r="Q155" i="8" s="1"/>
  <c r="L164" i="8"/>
  <c r="Q164" i="8" s="1"/>
  <c r="X227" i="9"/>
  <c r="Y227" i="9" s="1"/>
  <c r="L94" i="8"/>
  <c r="Q94" i="8" s="1"/>
  <c r="AH3" i="9"/>
  <c r="L172" i="8"/>
  <c r="Q172" i="8" s="1"/>
  <c r="L114" i="8"/>
  <c r="Q114" i="8" s="1"/>
  <c r="L86" i="8"/>
  <c r="Q86" i="8" s="1"/>
  <c r="L91" i="8"/>
  <c r="Q91" i="8" s="1"/>
  <c r="AH3" i="8"/>
  <c r="D54" i="3"/>
  <c r="D53" i="3"/>
  <c r="F53" i="3" s="1"/>
  <c r="D55" i="3"/>
  <c r="D56" i="3"/>
  <c r="X291" i="9"/>
  <c r="Y291" i="9" s="1"/>
  <c r="W79" i="9"/>
  <c r="W139" i="9"/>
  <c r="W353" i="9"/>
  <c r="W355" i="9"/>
  <c r="W108" i="9"/>
  <c r="W110" i="9"/>
  <c r="W346" i="9"/>
  <c r="W122" i="9"/>
  <c r="W316" i="9"/>
  <c r="W80" i="9"/>
  <c r="X316" i="9"/>
  <c r="Y316" i="9" s="1"/>
  <c r="X277" i="9"/>
  <c r="Y277" i="9" s="1"/>
  <c r="X292" i="9"/>
  <c r="Y292" i="9" s="1"/>
  <c r="X231" i="9"/>
  <c r="Y231" i="9" s="1"/>
  <c r="X239" i="9"/>
  <c r="Y239" i="9" s="1"/>
  <c r="X256" i="9"/>
  <c r="Y256" i="9" s="1"/>
  <c r="X224" i="9"/>
  <c r="Y224" i="9" s="1"/>
  <c r="X252" i="9"/>
  <c r="Y252" i="9" s="1"/>
  <c r="X235" i="9"/>
  <c r="Y235" i="9" s="1"/>
  <c r="X220" i="9"/>
  <c r="Y220" i="9" s="1"/>
  <c r="X233" i="9"/>
  <c r="Y233" i="9" s="1"/>
  <c r="X255" i="9"/>
  <c r="Y255" i="9" s="1"/>
  <c r="X335" i="9"/>
  <c r="Y335" i="9" s="1"/>
  <c r="X228" i="9"/>
  <c r="Y228" i="9" s="1"/>
  <c r="X241" i="9"/>
  <c r="Y241" i="9" s="1"/>
  <c r="X318" i="9"/>
  <c r="Y318" i="9" s="1"/>
  <c r="X325" i="9"/>
  <c r="Y325" i="9" s="1"/>
  <c r="X271" i="9"/>
  <c r="Y271" i="9" s="1"/>
  <c r="X236" i="9"/>
  <c r="Y236" i="9" s="1"/>
  <c r="X249" i="9"/>
  <c r="Y249" i="9" s="1"/>
  <c r="X312" i="9"/>
  <c r="Y312" i="9" s="1"/>
  <c r="X311" i="9"/>
  <c r="Y311" i="9" s="1"/>
  <c r="X223" i="9"/>
  <c r="Y223" i="9" s="1"/>
  <c r="X332" i="9"/>
  <c r="Y332" i="9" s="1"/>
  <c r="X306" i="9"/>
  <c r="Y306" i="9" s="1"/>
  <c r="X221" i="9"/>
  <c r="Y221" i="9" s="1"/>
  <c r="X243" i="9"/>
  <c r="Y243" i="9" s="1"/>
  <c r="X329" i="9"/>
  <c r="Y329" i="9" s="1"/>
  <c r="X229" i="9"/>
  <c r="Y229" i="9" s="1"/>
  <c r="X251" i="9"/>
  <c r="Y251" i="9" s="1"/>
  <c r="X240" i="9"/>
  <c r="Y240" i="9" s="1"/>
  <c r="X237" i="9"/>
  <c r="Y237" i="9" s="1"/>
  <c r="X259" i="9"/>
  <c r="Y259" i="9" s="1"/>
  <c r="X288" i="9"/>
  <c r="Y288" i="9" s="1"/>
  <c r="X330" i="9"/>
  <c r="Y330" i="9" s="1"/>
  <c r="X261" i="9"/>
  <c r="Y261" i="9" s="1"/>
  <c r="X334" i="9"/>
  <c r="Y334" i="9" s="1"/>
  <c r="X299" i="9"/>
  <c r="Y299" i="9" s="1"/>
  <c r="X297" i="9"/>
  <c r="Y297" i="9" s="1"/>
  <c r="X260" i="9"/>
  <c r="Y260" i="9" s="1"/>
  <c r="X305" i="9"/>
  <c r="Y305" i="9" s="1"/>
  <c r="X248" i="9"/>
  <c r="Y248" i="9" s="1"/>
  <c r="X245" i="9"/>
  <c r="Y245" i="9" s="1"/>
  <c r="X287" i="9"/>
  <c r="Y287" i="9" s="1"/>
  <c r="X295" i="9"/>
  <c r="Y295" i="9" s="1"/>
  <c r="X232" i="9"/>
  <c r="Y232" i="9" s="1"/>
  <c r="X320" i="9"/>
  <c r="Y320" i="9" s="1"/>
  <c r="X278" i="9"/>
  <c r="Y278" i="9" s="1"/>
  <c r="X285" i="9"/>
  <c r="Y285" i="9" s="1"/>
  <c r="X307" i="9"/>
  <c r="Y307" i="9" s="1"/>
  <c r="X275" i="9"/>
  <c r="Y275" i="9" s="1"/>
  <c r="X326" i="9"/>
  <c r="Y326" i="9" s="1"/>
  <c r="X293" i="9"/>
  <c r="Y293" i="9" s="1"/>
  <c r="X315" i="9"/>
  <c r="Y315" i="9" s="1"/>
  <c r="X301" i="9"/>
  <c r="Y301" i="9" s="1"/>
  <c r="X323" i="9"/>
  <c r="Y323" i="9" s="1"/>
  <c r="X246" i="9"/>
  <c r="Y246" i="9" s="1"/>
  <c r="X290" i="9"/>
  <c r="Y290" i="9" s="1"/>
  <c r="X317" i="9"/>
  <c r="Y317" i="9" s="1"/>
  <c r="X262" i="9"/>
  <c r="Y262" i="9" s="1"/>
  <c r="X319" i="9"/>
  <c r="Y319" i="9" s="1"/>
  <c r="X263" i="9"/>
  <c r="Y263" i="9" s="1"/>
  <c r="X303" i="9"/>
  <c r="Y303" i="9" s="1"/>
  <c r="X225" i="9"/>
  <c r="Y225" i="9" s="1"/>
  <c r="X264" i="9"/>
  <c r="Y264" i="9" s="1"/>
  <c r="X258" i="9"/>
  <c r="Y258" i="9" s="1"/>
  <c r="X274" i="9"/>
  <c r="Y274" i="9" s="1"/>
  <c r="X327" i="9"/>
  <c r="Y327" i="9" s="1"/>
  <c r="X272" i="9"/>
  <c r="Y272" i="9" s="1"/>
  <c r="X322" i="9"/>
  <c r="Y322" i="9" s="1"/>
  <c r="X283" i="9"/>
  <c r="Y283" i="9" s="1"/>
  <c r="X280" i="9"/>
  <c r="Y280" i="9" s="1"/>
  <c r="X266" i="9"/>
  <c r="Y266" i="9" s="1"/>
  <c r="X310" i="9"/>
  <c r="Y310" i="9" s="1"/>
  <c r="X300" i="9"/>
  <c r="Y300" i="9" s="1"/>
  <c r="X267" i="9"/>
  <c r="Y267" i="9" s="1"/>
  <c r="X281" i="9"/>
  <c r="Y281" i="9" s="1"/>
  <c r="X331" i="9"/>
  <c r="Y331" i="9" s="1"/>
  <c r="X276" i="9"/>
  <c r="Y276" i="9" s="1"/>
  <c r="X289" i="9"/>
  <c r="Y289" i="9" s="1"/>
  <c r="X222" i="9"/>
  <c r="Y222" i="9" s="1"/>
  <c r="X328" i="9"/>
  <c r="Y328" i="9" s="1"/>
  <c r="X314" i="9"/>
  <c r="Y314" i="9" s="1"/>
  <c r="X253" i="9"/>
  <c r="Y253" i="9" s="1"/>
  <c r="X304" i="9"/>
  <c r="Y304" i="9" s="1"/>
  <c r="X230" i="9"/>
  <c r="Y230" i="9" s="1"/>
  <c r="X282" i="9"/>
  <c r="Y282" i="9" s="1"/>
  <c r="X234" i="9"/>
  <c r="Y234" i="9" s="1"/>
  <c r="X238" i="9"/>
  <c r="Y238" i="9" s="1"/>
  <c r="X226" i="9"/>
  <c r="Y226" i="9" s="1"/>
  <c r="X244" i="9"/>
  <c r="Y244" i="9" s="1"/>
  <c r="X257" i="9"/>
  <c r="Y257" i="9" s="1"/>
  <c r="X296" i="9"/>
  <c r="Y296" i="9" s="1"/>
  <c r="X284" i="9"/>
  <c r="Y284" i="9" s="1"/>
  <c r="X313" i="9"/>
  <c r="Y313" i="9" s="1"/>
  <c r="X309" i="9"/>
  <c r="Y309" i="9" s="1"/>
  <c r="X333" i="9"/>
  <c r="Y333" i="9" s="1"/>
  <c r="X279" i="9"/>
  <c r="Y279" i="9" s="1"/>
  <c r="X286" i="9"/>
  <c r="Y286" i="9" s="1"/>
  <c r="X242" i="9"/>
  <c r="Y242" i="9" s="1"/>
  <c r="X254" i="9"/>
  <c r="Y254" i="9" s="1"/>
  <c r="X273" i="9"/>
  <c r="Y273" i="9" s="1"/>
  <c r="X294" i="9"/>
  <c r="Y294" i="9" s="1"/>
  <c r="X250" i="9"/>
  <c r="Y250" i="9" s="1"/>
  <c r="X324" i="9"/>
  <c r="Y324" i="9" s="1"/>
  <c r="X302" i="9"/>
  <c r="Y302" i="9" s="1"/>
  <c r="X308" i="9"/>
  <c r="Y308" i="9" s="1"/>
  <c r="X247" i="9"/>
  <c r="Y247" i="9" s="1"/>
  <c r="X321" i="9"/>
  <c r="Y321" i="9" s="1"/>
  <c r="X265" i="9"/>
  <c r="Y265" i="9" s="1"/>
  <c r="AF77" i="8"/>
  <c r="AG77" i="8" s="1"/>
  <c r="AF129" i="9"/>
  <c r="AG129" i="9" s="1"/>
  <c r="AF123" i="8"/>
  <c r="AG123" i="8" s="1"/>
  <c r="AF96" i="8"/>
  <c r="AG96" i="8" s="1"/>
  <c r="AF104" i="9"/>
  <c r="AG104" i="9" s="1"/>
  <c r="AF152" i="8"/>
  <c r="AG152" i="8" s="1"/>
  <c r="AF97" i="8"/>
  <c r="AG97" i="8" s="1"/>
  <c r="AF79" i="8"/>
  <c r="AG79" i="8" s="1"/>
  <c r="AF157" i="8"/>
  <c r="AG157" i="8" s="1"/>
  <c r="AF82" i="8"/>
  <c r="AG82" i="8" s="1"/>
  <c r="AF135" i="9"/>
  <c r="AG135" i="9" s="1"/>
  <c r="AF162" i="9"/>
  <c r="AG162" i="9" s="1"/>
  <c r="AF137" i="8"/>
  <c r="AG137" i="8" s="1"/>
  <c r="AF98" i="9"/>
  <c r="AG98" i="9" s="1"/>
  <c r="AF133" i="9"/>
  <c r="AG133" i="9" s="1"/>
  <c r="AF77" i="9"/>
  <c r="AG77" i="9" s="1"/>
  <c r="AF87" i="8"/>
  <c r="AG87" i="8" s="1"/>
  <c r="AF147" i="9"/>
  <c r="AG147" i="9" s="1"/>
  <c r="AF101" i="8"/>
  <c r="AG101" i="8" s="1"/>
  <c r="AF88" i="9"/>
  <c r="AG88" i="9" s="1"/>
  <c r="AF116" i="9"/>
  <c r="AG116" i="9" s="1"/>
  <c r="AF144" i="9"/>
  <c r="AG144" i="9" s="1"/>
  <c r="AJ23" i="9"/>
  <c r="AJ20" i="9"/>
  <c r="AJ45" i="9"/>
  <c r="AJ67" i="9"/>
  <c r="AJ7" i="9"/>
  <c r="AJ19" i="8"/>
  <c r="AJ29" i="9"/>
  <c r="AJ58" i="8"/>
  <c r="AJ50" i="8"/>
  <c r="AJ37" i="9"/>
  <c r="AJ35" i="9"/>
  <c r="AF111" i="8"/>
  <c r="AG111" i="8" s="1"/>
  <c r="AJ62" i="9"/>
  <c r="AJ51" i="9"/>
  <c r="AJ38" i="8"/>
  <c r="AJ20" i="8"/>
  <c r="AJ12" i="8"/>
  <c r="AJ26" i="9"/>
  <c r="AJ40" i="9"/>
  <c r="AJ50" i="9"/>
  <c r="AJ11" i="8"/>
  <c r="AJ70" i="9"/>
  <c r="AF149" i="8"/>
  <c r="AG149" i="8" s="1"/>
  <c r="AJ46" i="9"/>
  <c r="AJ49" i="9"/>
  <c r="AJ8" i="9"/>
  <c r="AJ44" i="9"/>
  <c r="AJ57" i="9"/>
  <c r="AJ54" i="9"/>
  <c r="AJ21" i="9"/>
  <c r="AJ33" i="9"/>
  <c r="AJ60" i="9"/>
  <c r="AJ43" i="9"/>
  <c r="AJ69" i="8"/>
  <c r="H136" i="8"/>
  <c r="H147" i="8"/>
  <c r="AJ16" i="9"/>
  <c r="AJ25" i="8"/>
  <c r="AJ41" i="9"/>
  <c r="AJ30" i="8"/>
  <c r="AF105" i="8"/>
  <c r="AG105" i="8" s="1"/>
  <c r="H105" i="8"/>
  <c r="AJ6" i="9"/>
  <c r="AJ56" i="8"/>
  <c r="AJ42" i="9"/>
  <c r="AJ10" i="9"/>
  <c r="AJ19" i="9"/>
  <c r="AJ45" i="8"/>
  <c r="AJ24" i="9"/>
  <c r="AF104" i="8"/>
  <c r="AG104" i="8" s="1"/>
  <c r="AF93" i="8"/>
  <c r="AG93" i="8" s="1"/>
  <c r="AF147" i="8"/>
  <c r="AG147" i="8" s="1"/>
  <c r="AF121" i="8"/>
  <c r="AG121" i="8" s="1"/>
  <c r="AJ71" i="9"/>
  <c r="AJ38" i="9"/>
  <c r="AJ15" i="9"/>
  <c r="AJ63" i="9"/>
  <c r="AF88" i="8"/>
  <c r="AG88" i="8" s="1"/>
  <c r="AJ61" i="9"/>
  <c r="AJ69" i="9"/>
  <c r="AJ46" i="8"/>
  <c r="AJ68" i="9"/>
  <c r="AJ36" i="9"/>
  <c r="AJ9" i="9"/>
  <c r="AJ25" i="9"/>
  <c r="AJ23" i="8"/>
  <c r="AJ8" i="8"/>
  <c r="H160" i="8"/>
  <c r="AJ58" i="9"/>
  <c r="AJ11" i="9"/>
  <c r="AJ4" i="9"/>
  <c r="AJ52" i="9"/>
  <c r="AJ3" i="9"/>
  <c r="AJ53" i="9"/>
  <c r="AJ72" i="9"/>
  <c r="AJ18" i="9"/>
  <c r="AJ64" i="9"/>
  <c r="AF136" i="8"/>
  <c r="AG136" i="8" s="1"/>
  <c r="AJ66" i="9"/>
  <c r="AJ10" i="8"/>
  <c r="AJ31" i="9"/>
  <c r="AJ32" i="9"/>
  <c r="AJ27" i="9"/>
  <c r="AJ30" i="9"/>
  <c r="AJ12" i="9"/>
  <c r="AJ9" i="8"/>
  <c r="AJ14" i="9"/>
  <c r="H144" i="9"/>
  <c r="AJ17" i="9"/>
  <c r="AJ56" i="9"/>
  <c r="AJ21" i="8"/>
  <c r="AJ48" i="9"/>
  <c r="AJ13" i="9"/>
  <c r="AJ39" i="9"/>
  <c r="AJ32" i="8"/>
  <c r="AJ17" i="8"/>
  <c r="AJ65" i="9"/>
  <c r="AJ22" i="9"/>
  <c r="AJ34" i="9"/>
  <c r="AJ47" i="9"/>
  <c r="AJ27" i="8"/>
  <c r="H116" i="8"/>
  <c r="AJ5" i="9"/>
  <c r="AJ59" i="9"/>
  <c r="AJ28" i="9"/>
  <c r="AJ55" i="9"/>
  <c r="AJ36" i="8"/>
  <c r="AJ22" i="8"/>
  <c r="H73" i="8"/>
  <c r="W361" i="9" l="1"/>
  <c r="F54" i="3"/>
  <c r="G53" i="3"/>
  <c r="F364" i="9"/>
  <c r="G363" i="9"/>
  <c r="O362" i="9"/>
  <c r="P362" i="9" a="1"/>
  <c r="P362" i="9" s="1"/>
  <c r="I362" i="9"/>
  <c r="K362" i="9"/>
  <c r="U362" i="9" s="1"/>
  <c r="I362" i="8"/>
  <c r="P362" i="8" a="1"/>
  <c r="P362" i="8" s="1"/>
  <c r="K362" i="8"/>
  <c r="M362" i="8" s="1"/>
  <c r="O362" i="8"/>
  <c r="F364" i="8"/>
  <c r="G363" i="8"/>
  <c r="Q361" i="9"/>
  <c r="U269" i="9"/>
  <c r="U270" i="9"/>
  <c r="U268" i="9"/>
  <c r="U9" i="9"/>
  <c r="U17" i="9"/>
  <c r="U25" i="9"/>
  <c r="U33" i="9"/>
  <c r="U41" i="9"/>
  <c r="U49" i="9"/>
  <c r="U57" i="9"/>
  <c r="U65" i="9"/>
  <c r="U73" i="9"/>
  <c r="U81" i="9"/>
  <c r="U89" i="9"/>
  <c r="U97" i="9"/>
  <c r="U105" i="9"/>
  <c r="U113" i="9"/>
  <c r="U121" i="9"/>
  <c r="U129" i="9"/>
  <c r="U137" i="9"/>
  <c r="U145" i="9"/>
  <c r="U153" i="9"/>
  <c r="U161" i="9"/>
  <c r="U169" i="9"/>
  <c r="U177" i="9"/>
  <c r="U185" i="9"/>
  <c r="U193" i="9"/>
  <c r="U201" i="9"/>
  <c r="U209" i="9"/>
  <c r="U217" i="9"/>
  <c r="U225" i="9"/>
  <c r="U233" i="9"/>
  <c r="U241" i="9"/>
  <c r="U249" i="9"/>
  <c r="U257" i="9"/>
  <c r="U265" i="9"/>
  <c r="U273" i="9"/>
  <c r="U281" i="9"/>
  <c r="U289" i="9"/>
  <c r="U297" i="9"/>
  <c r="U305" i="9"/>
  <c r="U313" i="9"/>
  <c r="U321" i="9"/>
  <c r="U329" i="9"/>
  <c r="U337" i="9"/>
  <c r="U345" i="9"/>
  <c r="U353" i="9"/>
  <c r="U361" i="9"/>
  <c r="U3" i="9"/>
  <c r="U15" i="9"/>
  <c r="U103" i="9"/>
  <c r="U175" i="9"/>
  <c r="U231" i="9"/>
  <c r="U279" i="9"/>
  <c r="U319" i="9"/>
  <c r="U16" i="9"/>
  <c r="U120" i="9"/>
  <c r="U200" i="9"/>
  <c r="U248" i="9"/>
  <c r="U312" i="9"/>
  <c r="U360" i="9"/>
  <c r="U10" i="9"/>
  <c r="U18" i="9"/>
  <c r="U26" i="9"/>
  <c r="U34" i="9"/>
  <c r="U42" i="9"/>
  <c r="U50" i="9"/>
  <c r="U58" i="9"/>
  <c r="U66" i="9"/>
  <c r="U74" i="9"/>
  <c r="U82" i="9"/>
  <c r="U90" i="9"/>
  <c r="U98" i="9"/>
  <c r="U106" i="9"/>
  <c r="U114" i="9"/>
  <c r="U122" i="9"/>
  <c r="U130" i="9"/>
  <c r="U138" i="9"/>
  <c r="U146" i="9"/>
  <c r="U154" i="9"/>
  <c r="U162" i="9"/>
  <c r="U170" i="9"/>
  <c r="U178" i="9"/>
  <c r="U186" i="9"/>
  <c r="U194" i="9"/>
  <c r="U202" i="9"/>
  <c r="U210" i="9"/>
  <c r="U218" i="9"/>
  <c r="U226" i="9"/>
  <c r="U234" i="9"/>
  <c r="U242" i="9"/>
  <c r="U250" i="9"/>
  <c r="U258" i="9"/>
  <c r="U266" i="9"/>
  <c r="U274" i="9"/>
  <c r="U282" i="9"/>
  <c r="U290" i="9"/>
  <c r="U298" i="9"/>
  <c r="U306" i="9"/>
  <c r="U314" i="9"/>
  <c r="U322" i="9"/>
  <c r="U330" i="9"/>
  <c r="U338" i="9"/>
  <c r="U346" i="9"/>
  <c r="U354" i="9"/>
  <c r="U7" i="9"/>
  <c r="U55" i="9"/>
  <c r="U87" i="9"/>
  <c r="U135" i="9"/>
  <c r="U191" i="9"/>
  <c r="U239" i="9"/>
  <c r="U287" i="9"/>
  <c r="U335" i="9"/>
  <c r="U24" i="9"/>
  <c r="U72" i="9"/>
  <c r="U112" i="9"/>
  <c r="U160" i="9"/>
  <c r="U208" i="9"/>
  <c r="U256" i="9"/>
  <c r="U304" i="9"/>
  <c r="U352" i="9"/>
  <c r="U11" i="9"/>
  <c r="U19" i="9"/>
  <c r="U27" i="9"/>
  <c r="U35" i="9"/>
  <c r="U43" i="9"/>
  <c r="U51" i="9"/>
  <c r="U59" i="9"/>
  <c r="U67" i="9"/>
  <c r="U75" i="9"/>
  <c r="U83" i="9"/>
  <c r="U91" i="9"/>
  <c r="U99" i="9"/>
  <c r="U107" i="9"/>
  <c r="U115" i="9"/>
  <c r="U123" i="9"/>
  <c r="U131" i="9"/>
  <c r="U139" i="9"/>
  <c r="U147" i="9"/>
  <c r="U155" i="9"/>
  <c r="U163" i="9"/>
  <c r="U171" i="9"/>
  <c r="U179" i="9"/>
  <c r="U187" i="9"/>
  <c r="U195" i="9"/>
  <c r="U203" i="9"/>
  <c r="U211" i="9"/>
  <c r="U219" i="9"/>
  <c r="U227" i="9"/>
  <c r="U235" i="9"/>
  <c r="U243" i="9"/>
  <c r="U251" i="9"/>
  <c r="U259" i="9"/>
  <c r="U267" i="9"/>
  <c r="U275" i="9"/>
  <c r="U283" i="9"/>
  <c r="U291" i="9"/>
  <c r="U299" i="9"/>
  <c r="U307" i="9"/>
  <c r="U315" i="9"/>
  <c r="U323" i="9"/>
  <c r="U331" i="9"/>
  <c r="U339" i="9"/>
  <c r="U347" i="9"/>
  <c r="U355" i="9"/>
  <c r="U47" i="9"/>
  <c r="U71" i="9"/>
  <c r="U119" i="9"/>
  <c r="U159" i="9"/>
  <c r="U199" i="9"/>
  <c r="U247" i="9"/>
  <c r="U303" i="9"/>
  <c r="U351" i="9"/>
  <c r="U48" i="9"/>
  <c r="U88" i="9"/>
  <c r="U136" i="9"/>
  <c r="U184" i="9"/>
  <c r="U232" i="9"/>
  <c r="U272" i="9"/>
  <c r="U320" i="9"/>
  <c r="U4" i="9"/>
  <c r="U12" i="9"/>
  <c r="U20" i="9"/>
  <c r="U28" i="9"/>
  <c r="U36" i="9"/>
  <c r="U44" i="9"/>
  <c r="U52" i="9"/>
  <c r="U60" i="9"/>
  <c r="U68" i="9"/>
  <c r="U76" i="9"/>
  <c r="U84" i="9"/>
  <c r="U92" i="9"/>
  <c r="U100" i="9"/>
  <c r="U108" i="9"/>
  <c r="U116" i="9"/>
  <c r="U124" i="9"/>
  <c r="U132" i="9"/>
  <c r="U140" i="9"/>
  <c r="U148" i="9"/>
  <c r="U156" i="9"/>
  <c r="U164" i="9"/>
  <c r="U172" i="9"/>
  <c r="U180" i="9"/>
  <c r="U188" i="9"/>
  <c r="U196" i="9"/>
  <c r="U204" i="9"/>
  <c r="U212" i="9"/>
  <c r="U220" i="9"/>
  <c r="U228" i="9"/>
  <c r="U236" i="9"/>
  <c r="U244" i="9"/>
  <c r="U252" i="9"/>
  <c r="U260" i="9"/>
  <c r="U276" i="9"/>
  <c r="U284" i="9"/>
  <c r="U292" i="9"/>
  <c r="U300" i="9"/>
  <c r="U308" i="9"/>
  <c r="U316" i="9"/>
  <c r="U324" i="9"/>
  <c r="U332" i="9"/>
  <c r="U340" i="9"/>
  <c r="U348" i="9"/>
  <c r="U356" i="9"/>
  <c r="U31" i="9"/>
  <c r="U95" i="9"/>
  <c r="U167" i="9"/>
  <c r="U215" i="9"/>
  <c r="U271" i="9"/>
  <c r="U327" i="9"/>
  <c r="U8" i="9"/>
  <c r="U80" i="9"/>
  <c r="U128" i="9"/>
  <c r="U168" i="9"/>
  <c r="U216" i="9"/>
  <c r="U280" i="9"/>
  <c r="U336" i="9"/>
  <c r="U5" i="9"/>
  <c r="U13" i="9"/>
  <c r="U21" i="9"/>
  <c r="U29" i="9"/>
  <c r="U37" i="9"/>
  <c r="U45" i="9"/>
  <c r="U53" i="9"/>
  <c r="U61" i="9"/>
  <c r="U69" i="9"/>
  <c r="U77" i="9"/>
  <c r="U85" i="9"/>
  <c r="U93" i="9"/>
  <c r="U101" i="9"/>
  <c r="U109" i="9"/>
  <c r="U117" i="9"/>
  <c r="U125" i="9"/>
  <c r="U133" i="9"/>
  <c r="U141" i="9"/>
  <c r="U149" i="9"/>
  <c r="U157" i="9"/>
  <c r="U165" i="9"/>
  <c r="U173" i="9"/>
  <c r="U181" i="9"/>
  <c r="U189" i="9"/>
  <c r="U197" i="9"/>
  <c r="U205" i="9"/>
  <c r="U213" i="9"/>
  <c r="U221" i="9"/>
  <c r="U229" i="9"/>
  <c r="U237" i="9"/>
  <c r="U245" i="9"/>
  <c r="U253" i="9"/>
  <c r="U261" i="9"/>
  <c r="U277" i="9"/>
  <c r="U285" i="9"/>
  <c r="U293" i="9"/>
  <c r="U301" i="9"/>
  <c r="U309" i="9"/>
  <c r="U317" i="9"/>
  <c r="U325" i="9"/>
  <c r="U333" i="9"/>
  <c r="U341" i="9"/>
  <c r="U349" i="9"/>
  <c r="U357" i="9"/>
  <c r="U39" i="9"/>
  <c r="U79" i="9"/>
  <c r="U127" i="9"/>
  <c r="U143" i="9"/>
  <c r="U183" i="9"/>
  <c r="U223" i="9"/>
  <c r="U263" i="9"/>
  <c r="U311" i="9"/>
  <c r="U359" i="9"/>
  <c r="U32" i="9"/>
  <c r="U56" i="9"/>
  <c r="U96" i="9"/>
  <c r="U144" i="9"/>
  <c r="U176" i="9"/>
  <c r="U224" i="9"/>
  <c r="U264" i="9"/>
  <c r="U296" i="9"/>
  <c r="U344" i="9"/>
  <c r="U6" i="9"/>
  <c r="U14" i="9"/>
  <c r="U22" i="9"/>
  <c r="U30" i="9"/>
  <c r="U38" i="9"/>
  <c r="U46" i="9"/>
  <c r="U54" i="9"/>
  <c r="U62" i="9"/>
  <c r="U70" i="9"/>
  <c r="U78" i="9"/>
  <c r="U86" i="9"/>
  <c r="U94" i="9"/>
  <c r="U102" i="9"/>
  <c r="U110" i="9"/>
  <c r="U118" i="9"/>
  <c r="U126" i="9"/>
  <c r="U134" i="9"/>
  <c r="U142" i="9"/>
  <c r="U150" i="9"/>
  <c r="U158" i="9"/>
  <c r="U166" i="9"/>
  <c r="U174" i="9"/>
  <c r="U182" i="9"/>
  <c r="U190" i="9"/>
  <c r="U198" i="9"/>
  <c r="U206" i="9"/>
  <c r="U214" i="9"/>
  <c r="U222" i="9"/>
  <c r="U230" i="9"/>
  <c r="U238" i="9"/>
  <c r="U246" i="9"/>
  <c r="U254" i="9"/>
  <c r="U262" i="9"/>
  <c r="U278" i="9"/>
  <c r="U286" i="9"/>
  <c r="U294" i="9"/>
  <c r="U302" i="9"/>
  <c r="U310" i="9"/>
  <c r="U318" i="9"/>
  <c r="U326" i="9"/>
  <c r="U334" i="9"/>
  <c r="U342" i="9"/>
  <c r="U350" i="9"/>
  <c r="U358" i="9"/>
  <c r="U23" i="9"/>
  <c r="U63" i="9"/>
  <c r="U111" i="9"/>
  <c r="U151" i="9"/>
  <c r="U207" i="9"/>
  <c r="U255" i="9"/>
  <c r="U295" i="9"/>
  <c r="U343" i="9"/>
  <c r="U40" i="9"/>
  <c r="U64" i="9"/>
  <c r="U104" i="9"/>
  <c r="U152" i="9"/>
  <c r="U192" i="9"/>
  <c r="U240" i="9"/>
  <c r="U288" i="9"/>
  <c r="U328" i="9"/>
  <c r="Q274" i="9"/>
  <c r="Q213" i="9"/>
  <c r="Q152" i="9"/>
  <c r="L106" i="8"/>
  <c r="Q106" i="8" s="1"/>
  <c r="L157" i="8"/>
  <c r="Q157" i="8" s="1"/>
  <c r="L74" i="8"/>
  <c r="Q74" i="8" s="1"/>
  <c r="L151" i="8"/>
  <c r="Q151" i="8" s="1"/>
  <c r="L87" i="8"/>
  <c r="Q87" i="8" s="1"/>
  <c r="L136" i="8"/>
  <c r="Q136" i="8" s="1"/>
  <c r="L144" i="8"/>
  <c r="Q144" i="8" s="1"/>
  <c r="L141" i="8"/>
  <c r="Q141" i="8" s="1"/>
  <c r="L97" i="8"/>
  <c r="Q97" i="8" s="1"/>
  <c r="L165" i="8"/>
  <c r="Q165" i="8" s="1"/>
  <c r="L159" i="8"/>
  <c r="Q159" i="8" s="1"/>
  <c r="L123" i="8"/>
  <c r="Q123" i="8" s="1"/>
  <c r="L110" i="8"/>
  <c r="Q110" i="8" s="1"/>
  <c r="L95" i="8"/>
  <c r="Q95" i="8" s="1"/>
  <c r="L84" i="8"/>
  <c r="Q84" i="8" s="1"/>
  <c r="L103" i="8"/>
  <c r="Q103" i="8" s="1"/>
  <c r="L146" i="8"/>
  <c r="Q146" i="8" s="1"/>
  <c r="L167" i="8"/>
  <c r="Q167" i="8" s="1"/>
  <c r="L142" i="8"/>
  <c r="Q142" i="8" s="1"/>
  <c r="L147" i="8"/>
  <c r="Q147" i="8" s="1"/>
  <c r="L112" i="8"/>
  <c r="Q112" i="8" s="1"/>
  <c r="L118" i="8"/>
  <c r="Q118" i="8" s="1"/>
  <c r="L81" i="8"/>
  <c r="Q81" i="8" s="1"/>
  <c r="L101" i="8"/>
  <c r="Q101" i="8" s="1"/>
  <c r="L76" i="8"/>
  <c r="Q76" i="8" s="1"/>
  <c r="L82" i="8"/>
  <c r="Q82" i="8" s="1"/>
  <c r="L139" i="8"/>
  <c r="Q139" i="8" s="1"/>
  <c r="L133" i="8"/>
  <c r="Q133" i="8" s="1"/>
  <c r="L125" i="8"/>
  <c r="Q125" i="8" s="1"/>
  <c r="L113" i="8"/>
  <c r="Q113" i="8" s="1"/>
  <c r="L152" i="8"/>
  <c r="L134" i="8"/>
  <c r="Q134" i="8" s="1"/>
  <c r="L77" i="8"/>
  <c r="Q77" i="8" s="1"/>
  <c r="L145" i="8"/>
  <c r="Q145" i="8" s="1"/>
  <c r="L92" i="8"/>
  <c r="Q92" i="8" s="1"/>
  <c r="L140" i="8"/>
  <c r="Q140" i="8" s="1"/>
  <c r="L129" i="8"/>
  <c r="Q129" i="8" s="1"/>
  <c r="L88" i="8"/>
  <c r="Q88" i="8" s="1"/>
  <c r="L96" i="8"/>
  <c r="Q96" i="8" s="1"/>
  <c r="L75" i="8"/>
  <c r="Q75" i="8" s="1"/>
  <c r="L150" i="8"/>
  <c r="Q150" i="8" s="1"/>
  <c r="L148" i="8"/>
  <c r="Q148" i="8" s="1"/>
  <c r="Q272" i="9"/>
  <c r="L115" i="8"/>
  <c r="Q115" i="8" s="1"/>
  <c r="L100" i="8"/>
  <c r="Q100" i="8" s="1"/>
  <c r="L126" i="8"/>
  <c r="Q126" i="8" s="1"/>
  <c r="L120" i="8"/>
  <c r="Q120" i="8" s="1"/>
  <c r="L156" i="8"/>
  <c r="Q156" i="8" s="1"/>
  <c r="L107" i="8"/>
  <c r="Q107" i="8" s="1"/>
  <c r="L104" i="8"/>
  <c r="Q104" i="8" s="1"/>
  <c r="L121" i="8"/>
  <c r="Q121" i="8" s="1"/>
  <c r="L122" i="8"/>
  <c r="Q122" i="8" s="1"/>
  <c r="L158" i="8"/>
  <c r="Q158" i="8" s="1"/>
  <c r="L143" i="8"/>
  <c r="Q143" i="8" s="1"/>
  <c r="L73" i="8"/>
  <c r="Q73" i="8" s="1"/>
  <c r="L90" i="8"/>
  <c r="Q90" i="8" s="1"/>
  <c r="L85" i="8"/>
  <c r="Q85" i="8" s="1"/>
  <c r="L131" i="8"/>
  <c r="Q131" i="8" s="1"/>
  <c r="L111" i="8"/>
  <c r="Q111" i="8" s="1"/>
  <c r="L149" i="8"/>
  <c r="Q149" i="8" s="1"/>
  <c r="L168" i="8"/>
  <c r="Q168" i="8" s="1"/>
  <c r="L138" i="8"/>
  <c r="Q138" i="8" s="1"/>
  <c r="L160" i="8"/>
  <c r="Q160" i="8" s="1"/>
  <c r="L117" i="8"/>
  <c r="Q117" i="8" s="1"/>
  <c r="L137" i="8"/>
  <c r="Q137" i="8" s="1"/>
  <c r="L80" i="8"/>
  <c r="Q80" i="8" s="1"/>
  <c r="L170" i="8"/>
  <c r="Q170" i="8" s="1"/>
  <c r="L89" i="8"/>
  <c r="Q89" i="8" s="1"/>
  <c r="L102" i="8"/>
  <c r="Q102" i="8" s="1"/>
  <c r="L79" i="8"/>
  <c r="Q79" i="8" s="1"/>
  <c r="L130" i="8"/>
  <c r="Q130" i="8" s="1"/>
  <c r="L119" i="8"/>
  <c r="Q119" i="8" s="1"/>
  <c r="L99" i="8"/>
  <c r="Q99" i="8" s="1"/>
  <c r="L109" i="8"/>
  <c r="Q109" i="8" s="1"/>
  <c r="L83" i="8"/>
  <c r="Q83" i="8" s="1"/>
  <c r="L124" i="8"/>
  <c r="Q124" i="8" s="1"/>
  <c r="L93" i="8"/>
  <c r="Q93" i="8" s="1"/>
  <c r="L116" i="8"/>
  <c r="Q116" i="8" s="1"/>
  <c r="L166" i="8"/>
  <c r="Q166" i="8" s="1"/>
  <c r="L128" i="8"/>
  <c r="Q128" i="8" s="1"/>
  <c r="L153" i="8"/>
  <c r="Q153" i="8" s="1"/>
  <c r="L108" i="8"/>
  <c r="Q108" i="8" s="1"/>
  <c r="L171" i="8"/>
  <c r="Q171" i="8" s="1"/>
  <c r="L78" i="8"/>
  <c r="Q78" i="8" s="1"/>
  <c r="L98" i="8"/>
  <c r="Q98" i="8" s="1"/>
  <c r="L154" i="8"/>
  <c r="Q154" i="8" s="1"/>
  <c r="L132" i="8"/>
  <c r="Q132" i="8" s="1"/>
  <c r="L161" i="8"/>
  <c r="Q161" i="8" s="1"/>
  <c r="L169" i="8"/>
  <c r="Q169" i="8" s="1"/>
  <c r="L105" i="8"/>
  <c r="Q105" i="8" s="1"/>
  <c r="L127" i="8"/>
  <c r="Q127" i="8" s="1"/>
  <c r="T3" i="8"/>
  <c r="Z3" i="8" s="1"/>
  <c r="AR3" i="8" s="1"/>
  <c r="W81" i="8"/>
  <c r="W170" i="8"/>
  <c r="AJ170" i="8" s="1"/>
  <c r="W101" i="8"/>
  <c r="AJ101" i="8" s="1"/>
  <c r="W89" i="8"/>
  <c r="W76" i="8"/>
  <c r="W102" i="8"/>
  <c r="W149" i="8"/>
  <c r="AJ149" i="8" s="1"/>
  <c r="W168" i="8"/>
  <c r="AJ168" i="8" s="1"/>
  <c r="W138" i="8"/>
  <c r="W139" i="8"/>
  <c r="AJ139" i="8" s="1"/>
  <c r="W133" i="8"/>
  <c r="W125" i="8"/>
  <c r="W137" i="8"/>
  <c r="AJ137" i="8" s="1"/>
  <c r="W118" i="8"/>
  <c r="W80" i="8"/>
  <c r="AJ80" i="8" s="1"/>
  <c r="W108" i="8"/>
  <c r="W79" i="8"/>
  <c r="W130" i="8"/>
  <c r="W119" i="8"/>
  <c r="W99" i="8"/>
  <c r="AJ99" i="8" s="1"/>
  <c r="W75" i="8"/>
  <c r="W150" i="8"/>
  <c r="W148" i="8"/>
  <c r="W145" i="8"/>
  <c r="W128" i="8"/>
  <c r="W92" i="8"/>
  <c r="AJ92" i="8" s="1"/>
  <c r="W153" i="8"/>
  <c r="AJ153" i="8" s="1"/>
  <c r="W140" i="8"/>
  <c r="W171" i="8"/>
  <c r="W78" i="8"/>
  <c r="W98" i="8"/>
  <c r="W154" i="8"/>
  <c r="AJ154" i="8" s="1"/>
  <c r="W122" i="8"/>
  <c r="AJ122" i="8" s="1"/>
  <c r="W106" i="8"/>
  <c r="W158" i="8"/>
  <c r="W116" i="8"/>
  <c r="AJ116" i="8" s="1"/>
  <c r="W77" i="8"/>
  <c r="W166" i="8"/>
  <c r="W144" i="8"/>
  <c r="AJ144" i="8" s="1"/>
  <c r="W160" i="8"/>
  <c r="W117" i="8"/>
  <c r="W151" i="8"/>
  <c r="AJ151" i="8" s="1"/>
  <c r="W126" i="8"/>
  <c r="W87" i="8"/>
  <c r="AJ87" i="8" s="1"/>
  <c r="W114" i="8"/>
  <c r="W136" i="8"/>
  <c r="AJ136" i="8" s="1"/>
  <c r="W120" i="8"/>
  <c r="AJ120" i="8" s="1"/>
  <c r="W84" i="8"/>
  <c r="W103" i="8"/>
  <c r="W146" i="8"/>
  <c r="W109" i="8"/>
  <c r="W83" i="8"/>
  <c r="W124" i="8"/>
  <c r="W115" i="8"/>
  <c r="W74" i="8"/>
  <c r="W100" i="8"/>
  <c r="AJ100" i="8" s="1"/>
  <c r="W82" i="8"/>
  <c r="AJ82" i="8" s="1"/>
  <c r="W157" i="8"/>
  <c r="W94" i="8"/>
  <c r="W164" i="8"/>
  <c r="W163" i="8"/>
  <c r="W132" i="8"/>
  <c r="W161" i="8"/>
  <c r="AJ161" i="8" s="1"/>
  <c r="W169" i="8"/>
  <c r="AJ169" i="8" s="1"/>
  <c r="W105" i="8"/>
  <c r="AJ105" i="8" s="1"/>
  <c r="W123" i="8"/>
  <c r="AJ123" i="8" s="1"/>
  <c r="W85" i="8"/>
  <c r="AJ85" i="8" s="1"/>
  <c r="W110" i="8"/>
  <c r="W131" i="8"/>
  <c r="AJ131" i="8" s="1"/>
  <c r="W95" i="8"/>
  <c r="AJ95" i="8" s="1"/>
  <c r="W111" i="8"/>
  <c r="W129" i="8"/>
  <c r="W88" i="8"/>
  <c r="AJ88" i="8" s="1"/>
  <c r="W96" i="8"/>
  <c r="AJ96" i="8" s="1"/>
  <c r="W141" i="8"/>
  <c r="AJ141" i="8" s="1"/>
  <c r="W97" i="8"/>
  <c r="AJ97" i="8" s="1"/>
  <c r="W73" i="8"/>
  <c r="W159" i="8"/>
  <c r="W90" i="8"/>
  <c r="AJ90" i="8" s="1"/>
  <c r="W156" i="8"/>
  <c r="AJ156" i="8" s="1"/>
  <c r="W107" i="8"/>
  <c r="W104" i="8"/>
  <c r="AJ104" i="8" s="1"/>
  <c r="W121" i="8"/>
  <c r="AJ121" i="8" s="1"/>
  <c r="W167" i="8"/>
  <c r="W142" i="8"/>
  <c r="W147" i="8"/>
  <c r="AJ147" i="8" s="1"/>
  <c r="W112" i="8"/>
  <c r="N4" i="8"/>
  <c r="AH4" i="9"/>
  <c r="AI4" i="9" s="1"/>
  <c r="AI3" i="9"/>
  <c r="AI3" i="8"/>
  <c r="AH4" i="8"/>
  <c r="AI4" i="8" s="1"/>
  <c r="H173" i="8"/>
  <c r="H141" i="9"/>
  <c r="AF110" i="9"/>
  <c r="AG110" i="9" s="1"/>
  <c r="AF149" i="9"/>
  <c r="AG149" i="9" s="1"/>
  <c r="AF126" i="9"/>
  <c r="AG126" i="9" s="1"/>
  <c r="H127" i="9"/>
  <c r="H109" i="9"/>
  <c r="AF150" i="9"/>
  <c r="AG150" i="9" s="1"/>
  <c r="AF83" i="9"/>
  <c r="AG83" i="9" s="1"/>
  <c r="H148" i="9"/>
  <c r="AF141" i="9"/>
  <c r="AG141" i="9" s="1"/>
  <c r="H147" i="9"/>
  <c r="AF107" i="9"/>
  <c r="AG107" i="9" s="1"/>
  <c r="AJ107" i="9"/>
  <c r="AF109" i="9"/>
  <c r="AG109" i="9" s="1"/>
  <c r="AF127" i="9"/>
  <c r="AG127" i="9" s="1"/>
  <c r="AF90" i="9"/>
  <c r="AG90" i="9" s="1"/>
  <c r="AF80" i="8"/>
  <c r="AG80" i="8" s="1"/>
  <c r="AF161" i="8"/>
  <c r="AG161" i="8" s="1"/>
  <c r="H127" i="8"/>
  <c r="H96" i="8"/>
  <c r="AF95" i="8"/>
  <c r="AG95" i="8" s="1"/>
  <c r="H122" i="8"/>
  <c r="H95" i="8"/>
  <c r="AF153" i="8"/>
  <c r="AG153" i="8" s="1"/>
  <c r="H120" i="8"/>
  <c r="AF122" i="8"/>
  <c r="AG122" i="8" s="1"/>
  <c r="H149" i="9"/>
  <c r="H97" i="8"/>
  <c r="H169" i="8"/>
  <c r="AF113" i="9"/>
  <c r="AG113" i="9" s="1"/>
  <c r="AF90" i="8"/>
  <c r="AG90" i="8" s="1"/>
  <c r="AF99" i="8"/>
  <c r="AG99" i="8" s="1"/>
  <c r="AF165" i="9"/>
  <c r="AG165" i="9" s="1"/>
  <c r="H123" i="9"/>
  <c r="H152" i="8"/>
  <c r="AF122" i="9"/>
  <c r="AG122" i="9" s="1"/>
  <c r="AF76" i="9"/>
  <c r="AG76" i="9" s="1"/>
  <c r="H113" i="9"/>
  <c r="AJ85" i="9"/>
  <c r="H153" i="8"/>
  <c r="AF115" i="9"/>
  <c r="AG115" i="9" s="1"/>
  <c r="H115" i="9"/>
  <c r="AF85" i="9"/>
  <c r="AG85" i="9" s="1"/>
  <c r="AF131" i="8"/>
  <c r="AG131" i="8" s="1"/>
  <c r="AF151" i="8"/>
  <c r="AG151" i="8" s="1"/>
  <c r="H116" i="9"/>
  <c r="AF188" i="9"/>
  <c r="AG188" i="9" s="1"/>
  <c r="AF328" i="8"/>
  <c r="AG328" i="8" s="1"/>
  <c r="AF245" i="8"/>
  <c r="AG245" i="8" s="1"/>
  <c r="AF330" i="9"/>
  <c r="AG330" i="9" s="1"/>
  <c r="AF224" i="9"/>
  <c r="AG224" i="9" s="1"/>
  <c r="AF311" i="9"/>
  <c r="AG311" i="9" s="1"/>
  <c r="AF179" i="8"/>
  <c r="AG179" i="8" s="1"/>
  <c r="H189" i="9"/>
  <c r="AF289" i="9"/>
  <c r="AG289" i="9" s="1"/>
  <c r="AF192" i="9"/>
  <c r="AG192" i="9" s="1"/>
  <c r="AF345" i="9"/>
  <c r="AG345" i="9" s="1"/>
  <c r="AF210" i="9"/>
  <c r="AG210" i="9" s="1"/>
  <c r="AF283" i="9"/>
  <c r="AG283" i="9" s="1"/>
  <c r="AF345" i="8"/>
  <c r="AG345" i="8" s="1"/>
  <c r="AF174" i="9"/>
  <c r="AG174" i="9" s="1"/>
  <c r="AJ218" i="9"/>
  <c r="AF304" i="8"/>
  <c r="AG304" i="8" s="1"/>
  <c r="AF238" i="8"/>
  <c r="AG238" i="8" s="1"/>
  <c r="AF212" i="9"/>
  <c r="AG212" i="9" s="1"/>
  <c r="AF321" i="9"/>
  <c r="AG321" i="9" s="1"/>
  <c r="AF185" i="9"/>
  <c r="AG185" i="9" s="1"/>
  <c r="AF305" i="8"/>
  <c r="AG305" i="8" s="1"/>
  <c r="AF255" i="8"/>
  <c r="AG255" i="8" s="1"/>
  <c r="AF307" i="9"/>
  <c r="AG307" i="9" s="1"/>
  <c r="AF308" i="8"/>
  <c r="AG308" i="8" s="1"/>
  <c r="AF317" i="8"/>
  <c r="AG317" i="8" s="1"/>
  <c r="AF313" i="9"/>
  <c r="AG313" i="9" s="1"/>
  <c r="AF242" i="9"/>
  <c r="AG242" i="9" s="1"/>
  <c r="AF341" i="9"/>
  <c r="AG341" i="9" s="1"/>
  <c r="AF245" i="9"/>
  <c r="AG245" i="9" s="1"/>
  <c r="AF330" i="8"/>
  <c r="AG330" i="8" s="1"/>
  <c r="AF299" i="9"/>
  <c r="AG299" i="9" s="1"/>
  <c r="AF343" i="8"/>
  <c r="AG343" i="8" s="1"/>
  <c r="AF196" i="8"/>
  <c r="AG196" i="8" s="1"/>
  <c r="AF274" i="9"/>
  <c r="AG274" i="9" s="1"/>
  <c r="H188" i="9"/>
  <c r="AF221" i="8"/>
  <c r="AG221" i="8" s="1"/>
  <c r="AF300" i="8"/>
  <c r="AG300" i="8" s="1"/>
  <c r="AF363" i="9"/>
  <c r="AG363" i="9" s="1"/>
  <c r="H270" i="8"/>
  <c r="AF342" i="9"/>
  <c r="AG342" i="9" s="1"/>
  <c r="H302" i="8"/>
  <c r="AF355" i="9"/>
  <c r="AG355" i="9" s="1"/>
  <c r="H226" i="9"/>
  <c r="H281" i="8"/>
  <c r="AF244" i="9"/>
  <c r="AG244" i="9" s="1"/>
  <c r="AF295" i="9"/>
  <c r="AG295" i="9" s="1"/>
  <c r="AF193" i="9"/>
  <c r="AG193" i="9" s="1"/>
  <c r="AF230" i="8"/>
  <c r="AG230" i="8" s="1"/>
  <c r="H207" i="8"/>
  <c r="AF238" i="9"/>
  <c r="AG238" i="9" s="1"/>
  <c r="H203" i="8"/>
  <c r="AF323" i="9"/>
  <c r="AG323" i="9" s="1"/>
  <c r="AF287" i="9"/>
  <c r="AG287" i="9" s="1"/>
  <c r="AF253" i="9"/>
  <c r="AG253" i="9" s="1"/>
  <c r="H315" i="8"/>
  <c r="AF351" i="9"/>
  <c r="AG351" i="9" s="1"/>
  <c r="H248" i="8"/>
  <c r="AF308" i="9"/>
  <c r="AG308" i="9" s="1"/>
  <c r="AF252" i="8"/>
  <c r="AG252" i="8" s="1"/>
  <c r="AF328" i="9"/>
  <c r="AG328" i="9" s="1"/>
  <c r="H361" i="8"/>
  <c r="H250" i="8"/>
  <c r="AF335" i="9"/>
  <c r="AG335" i="9" s="1"/>
  <c r="H244" i="8"/>
  <c r="AF163" i="9"/>
  <c r="AG163" i="9" s="1"/>
  <c r="AF203" i="9"/>
  <c r="AG203" i="9" s="1"/>
  <c r="AF310" i="8"/>
  <c r="AG310" i="8" s="1"/>
  <c r="AF156" i="9"/>
  <c r="AG156" i="9" s="1"/>
  <c r="AF359" i="9"/>
  <c r="AG359" i="9" s="1"/>
  <c r="AF223" i="8"/>
  <c r="AG223" i="8" s="1"/>
  <c r="H94" i="9"/>
  <c r="AF94" i="9"/>
  <c r="AG94" i="9" s="1"/>
  <c r="H170" i="8"/>
  <c r="AF169" i="8"/>
  <c r="AG169" i="8" s="1"/>
  <c r="AF255" i="9"/>
  <c r="AG255" i="9" s="1"/>
  <c r="AF141" i="8"/>
  <c r="AG141" i="8" s="1"/>
  <c r="AF92" i="9"/>
  <c r="AG92" i="9" s="1"/>
  <c r="AJ92" i="9"/>
  <c r="AF183" i="8"/>
  <c r="AG183" i="8" s="1"/>
  <c r="AF309" i="8"/>
  <c r="AG309" i="8" s="1"/>
  <c r="AJ131" i="9"/>
  <c r="AF131" i="9"/>
  <c r="AG131" i="9" s="1"/>
  <c r="AJ98" i="9"/>
  <c r="H230" i="9"/>
  <c r="AF139" i="8"/>
  <c r="AG139" i="8" s="1"/>
  <c r="H189" i="8"/>
  <c r="AF235" i="8"/>
  <c r="AG235" i="8" s="1"/>
  <c r="AJ91" i="8"/>
  <c r="AF91" i="8"/>
  <c r="AG91" i="8" s="1"/>
  <c r="AF144" i="8"/>
  <c r="AG144" i="8" s="1"/>
  <c r="H139" i="8"/>
  <c r="AF73" i="8"/>
  <c r="AG73" i="8" s="1"/>
  <c r="H131" i="9"/>
  <c r="AF123" i="9"/>
  <c r="AG123" i="9" s="1"/>
  <c r="H90" i="9"/>
  <c r="AF168" i="8"/>
  <c r="AG168" i="8" s="1"/>
  <c r="H92" i="8"/>
  <c r="H156" i="9"/>
  <c r="H141" i="8"/>
  <c r="AF92" i="8"/>
  <c r="AG92" i="8" s="1"/>
  <c r="H168" i="8"/>
  <c r="AF155" i="8"/>
  <c r="AG155" i="8" s="1"/>
  <c r="H161" i="8"/>
  <c r="AF279" i="8"/>
  <c r="AG279" i="8" s="1"/>
  <c r="AF160" i="8"/>
  <c r="AG160" i="8" s="1"/>
  <c r="AF244" i="8"/>
  <c r="AG244" i="8" s="1"/>
  <c r="AF151" i="9"/>
  <c r="AG151" i="9" s="1"/>
  <c r="AJ104" i="9"/>
  <c r="H110" i="9"/>
  <c r="H91" i="8"/>
  <c r="H93" i="9"/>
  <c r="H90" i="8"/>
  <c r="AF93" i="9"/>
  <c r="AG93" i="9" s="1"/>
  <c r="H152" i="9"/>
  <c r="H279" i="8"/>
  <c r="H77" i="9"/>
  <c r="AF120" i="8"/>
  <c r="AG120" i="8" s="1"/>
  <c r="AJ77" i="9"/>
  <c r="H121" i="8"/>
  <c r="AF127" i="8"/>
  <c r="AG127" i="8" s="1"/>
  <c r="AF153" i="9"/>
  <c r="AG153" i="9" s="1"/>
  <c r="H156" i="8"/>
  <c r="H80" i="8"/>
  <c r="AF239" i="8"/>
  <c r="AG239" i="8" s="1"/>
  <c r="H79" i="8"/>
  <c r="H129" i="9"/>
  <c r="H131" i="8"/>
  <c r="AF170" i="8"/>
  <c r="AG170" i="8" s="1"/>
  <c r="AF156" i="8"/>
  <c r="AG156" i="8" s="1"/>
  <c r="H324" i="8"/>
  <c r="H107" i="8"/>
  <c r="AF116" i="8"/>
  <c r="AG116" i="8" s="1"/>
  <c r="AF324" i="8"/>
  <c r="AG324" i="8" s="1"/>
  <c r="AF107" i="8"/>
  <c r="AG107" i="8" s="1"/>
  <c r="H157" i="8"/>
  <c r="H81" i="8"/>
  <c r="H171" i="8"/>
  <c r="H134" i="9"/>
  <c r="H85" i="9"/>
  <c r="AF98" i="8"/>
  <c r="AG98" i="8" s="1"/>
  <c r="H99" i="8"/>
  <c r="AF121" i="9"/>
  <c r="AG121" i="9" s="1"/>
  <c r="H170" i="9"/>
  <c r="H172" i="9"/>
  <c r="H151" i="8"/>
  <c r="H87" i="8"/>
  <c r="H151" i="9"/>
  <c r="H150" i="8"/>
  <c r="AF171" i="8"/>
  <c r="AG171" i="8" s="1"/>
  <c r="H162" i="9"/>
  <c r="H154" i="8"/>
  <c r="AF313" i="8"/>
  <c r="AG313" i="8" s="1"/>
  <c r="H88" i="8"/>
  <c r="AF154" i="8"/>
  <c r="AG154" i="8" s="1"/>
  <c r="AF318" i="8"/>
  <c r="AG318" i="8" s="1"/>
  <c r="H153" i="9"/>
  <c r="AF117" i="9"/>
  <c r="AG117" i="9" s="1"/>
  <c r="H88" i="9"/>
  <c r="H155" i="8"/>
  <c r="H150" i="9"/>
  <c r="AF169" i="9"/>
  <c r="AG169" i="9" s="1"/>
  <c r="H169" i="9"/>
  <c r="H93" i="8"/>
  <c r="AJ172" i="9"/>
  <c r="H117" i="9"/>
  <c r="AF150" i="8"/>
  <c r="AG150" i="8" s="1"/>
  <c r="H163" i="9"/>
  <c r="H137" i="8"/>
  <c r="AF172" i="9"/>
  <c r="AG172" i="9" s="1"/>
  <c r="AF152" i="9"/>
  <c r="AG152" i="9" s="1"/>
  <c r="H135" i="9"/>
  <c r="H100" i="8"/>
  <c r="H161" i="9"/>
  <c r="H122" i="9"/>
  <c r="AJ166" i="9"/>
  <c r="H121" i="9"/>
  <c r="H98" i="8"/>
  <c r="AF161" i="9"/>
  <c r="AG161" i="9" s="1"/>
  <c r="H313" i="8"/>
  <c r="AF166" i="9"/>
  <c r="AG166" i="9" s="1"/>
  <c r="AJ135" i="9"/>
  <c r="H101" i="8"/>
  <c r="AF154" i="9"/>
  <c r="AG154" i="9" s="1"/>
  <c r="AF134" i="9"/>
  <c r="AG134" i="9" s="1"/>
  <c r="AF84" i="9"/>
  <c r="AG84" i="9" s="1"/>
  <c r="H239" i="8"/>
  <c r="AF312" i="8"/>
  <c r="AG312" i="8" s="1"/>
  <c r="H84" i="9"/>
  <c r="H154" i="9"/>
  <c r="AF85" i="8"/>
  <c r="AG85" i="8" s="1"/>
  <c r="AF120" i="9"/>
  <c r="AG120" i="9" s="1"/>
  <c r="AF100" i="8"/>
  <c r="AG100" i="8" s="1"/>
  <c r="H123" i="8"/>
  <c r="H166" i="9"/>
  <c r="AF76" i="8"/>
  <c r="AG76" i="8" s="1"/>
  <c r="H76" i="8"/>
  <c r="AF99" i="9"/>
  <c r="AG99" i="9" s="1"/>
  <c r="H99" i="9"/>
  <c r="AF110" i="8"/>
  <c r="AG110" i="8" s="1"/>
  <c r="H110" i="8"/>
  <c r="AF164" i="8"/>
  <c r="AG164" i="8" s="1"/>
  <c r="H164" i="8"/>
  <c r="AF200" i="8"/>
  <c r="AG200" i="8" s="1"/>
  <c r="H200" i="8"/>
  <c r="H353" i="8"/>
  <c r="AF353" i="8"/>
  <c r="AG353" i="8" s="1"/>
  <c r="H140" i="9"/>
  <c r="AF139" i="9"/>
  <c r="AG139" i="9" s="1"/>
  <c r="H139" i="9"/>
  <c r="AF133" i="8"/>
  <c r="AG133" i="8" s="1"/>
  <c r="H84" i="8"/>
  <c r="AF84" i="8"/>
  <c r="AG84" i="8" s="1"/>
  <c r="AF142" i="9"/>
  <c r="AG142" i="9" s="1"/>
  <c r="H142" i="9"/>
  <c r="AF102" i="8"/>
  <c r="AG102" i="8" s="1"/>
  <c r="H102" i="8"/>
  <c r="AF172" i="8"/>
  <c r="AG172" i="8" s="1"/>
  <c r="H172" i="8"/>
  <c r="AF181" i="9"/>
  <c r="AG181" i="9" s="1"/>
  <c r="AF294" i="9"/>
  <c r="AG294" i="9" s="1"/>
  <c r="H216" i="8"/>
  <c r="AF130" i="9"/>
  <c r="AG130" i="9" s="1"/>
  <c r="H130" i="9"/>
  <c r="H89" i="8"/>
  <c r="AF89" i="8"/>
  <c r="AG89" i="8" s="1"/>
  <c r="H101" i="9"/>
  <c r="AF101" i="9"/>
  <c r="AG101" i="9" s="1"/>
  <c r="AF181" i="8"/>
  <c r="AG181" i="8" s="1"/>
  <c r="H208" i="8"/>
  <c r="AF207" i="8"/>
  <c r="AG207" i="8" s="1"/>
  <c r="AF87" i="9"/>
  <c r="AG87" i="9" s="1"/>
  <c r="H87" i="9"/>
  <c r="AF162" i="8"/>
  <c r="AG162" i="8" s="1"/>
  <c r="H162" i="8"/>
  <c r="AJ120" i="9"/>
  <c r="AF189" i="8"/>
  <c r="AG189" i="8" s="1"/>
  <c r="AF192" i="8"/>
  <c r="AG192" i="8" s="1"/>
  <c r="AJ151" i="9"/>
  <c r="AF332" i="8"/>
  <c r="AG332" i="8" s="1"/>
  <c r="AF341" i="8"/>
  <c r="AG341" i="8" s="1"/>
  <c r="H96" i="9"/>
  <c r="AF96" i="9"/>
  <c r="AG96" i="9" s="1"/>
  <c r="AF165" i="8"/>
  <c r="AG165" i="8" s="1"/>
  <c r="H165" i="8"/>
  <c r="AF138" i="9"/>
  <c r="AG138" i="9" s="1"/>
  <c r="H138" i="9"/>
  <c r="AJ110" i="9"/>
  <c r="AF243" i="9"/>
  <c r="AG243" i="9" s="1"/>
  <c r="AF351" i="8"/>
  <c r="AG351" i="8" s="1"/>
  <c r="AF103" i="9"/>
  <c r="AG103" i="9" s="1"/>
  <c r="H103" i="9"/>
  <c r="H125" i="8"/>
  <c r="AF125" i="8"/>
  <c r="AG125" i="8" s="1"/>
  <c r="AF174" i="8"/>
  <c r="AG174" i="8" s="1"/>
  <c r="AF132" i="9"/>
  <c r="AG132" i="9" s="1"/>
  <c r="H132" i="9"/>
  <c r="AF94" i="8"/>
  <c r="AG94" i="8" s="1"/>
  <c r="H94" i="8"/>
  <c r="AF124" i="8"/>
  <c r="AG124" i="8" s="1"/>
  <c r="H124" i="8"/>
  <c r="AF251" i="8"/>
  <c r="AG251" i="8" s="1"/>
  <c r="AJ90" i="9"/>
  <c r="AF272" i="9"/>
  <c r="AG272" i="9" s="1"/>
  <c r="H354" i="9"/>
  <c r="H285" i="8"/>
  <c r="AF284" i="8"/>
  <c r="AG284" i="8" s="1"/>
  <c r="AF74" i="9"/>
  <c r="AG74" i="9" s="1"/>
  <c r="H74" i="9"/>
  <c r="AF157" i="9"/>
  <c r="AG157" i="9" s="1"/>
  <c r="H157" i="9"/>
  <c r="AF146" i="9"/>
  <c r="AG146" i="9" s="1"/>
  <c r="H146" i="9"/>
  <c r="AF240" i="8"/>
  <c r="AG240" i="8" s="1"/>
  <c r="AF91" i="9"/>
  <c r="AG91" i="9" s="1"/>
  <c r="H91" i="9"/>
  <c r="AF171" i="9"/>
  <c r="AG171" i="9" s="1"/>
  <c r="H171" i="9"/>
  <c r="AF232" i="9"/>
  <c r="AG232" i="9" s="1"/>
  <c r="AF275" i="9"/>
  <c r="AG275" i="9" s="1"/>
  <c r="AF180" i="8"/>
  <c r="AG180" i="8" s="1"/>
  <c r="AF97" i="9"/>
  <c r="AG97" i="9" s="1"/>
  <c r="H97" i="9"/>
  <c r="AF148" i="8"/>
  <c r="AG148" i="8" s="1"/>
  <c r="H148" i="8"/>
  <c r="AF125" i="9"/>
  <c r="AG125" i="9" s="1"/>
  <c r="H125" i="9"/>
  <c r="AJ150" i="9"/>
  <c r="AF291" i="8"/>
  <c r="AG291" i="8" s="1"/>
  <c r="AF95" i="9"/>
  <c r="AG95" i="9" s="1"/>
  <c r="H95" i="9"/>
  <c r="AF109" i="8"/>
  <c r="AG109" i="8" s="1"/>
  <c r="H109" i="8"/>
  <c r="AJ161" i="9"/>
  <c r="AF214" i="8"/>
  <c r="AG214" i="8" s="1"/>
  <c r="AF205" i="9"/>
  <c r="AG205" i="9" s="1"/>
  <c r="AF100" i="9"/>
  <c r="AG100" i="9" s="1"/>
  <c r="H100" i="9"/>
  <c r="AF117" i="8"/>
  <c r="AG117" i="8" s="1"/>
  <c r="H117" i="8"/>
  <c r="AF314" i="9"/>
  <c r="AG314" i="9" s="1"/>
  <c r="AF195" i="9"/>
  <c r="AG195" i="9" s="1"/>
  <c r="AF264" i="9"/>
  <c r="AG264" i="9" s="1"/>
  <c r="AF119" i="8"/>
  <c r="AG119" i="8" s="1"/>
  <c r="H119" i="8"/>
  <c r="AF86" i="9"/>
  <c r="AG86" i="9" s="1"/>
  <c r="H86" i="9"/>
  <c r="AF129" i="8"/>
  <c r="AG129" i="8" s="1"/>
  <c r="H129" i="8"/>
  <c r="H126" i="9"/>
  <c r="H149" i="8"/>
  <c r="AF209" i="8"/>
  <c r="AG209" i="8" s="1"/>
  <c r="H209" i="8"/>
  <c r="AF217" i="8"/>
  <c r="AG217" i="8" s="1"/>
  <c r="AF114" i="8"/>
  <c r="AG114" i="8" s="1"/>
  <c r="AF163" i="8"/>
  <c r="AG163" i="8" s="1"/>
  <c r="H163" i="8"/>
  <c r="AF197" i="8"/>
  <c r="AG197" i="8" s="1"/>
  <c r="H98" i="9"/>
  <c r="H158" i="8"/>
  <c r="AF158" i="8"/>
  <c r="AG158" i="8" s="1"/>
  <c r="AF142" i="8"/>
  <c r="AG142" i="8" s="1"/>
  <c r="H142" i="8"/>
  <c r="H133" i="8"/>
  <c r="AF132" i="8"/>
  <c r="AG132" i="8" s="1"/>
  <c r="H132" i="8"/>
  <c r="AF155" i="9"/>
  <c r="AG155" i="9" s="1"/>
  <c r="H155" i="9"/>
  <c r="AF225" i="9"/>
  <c r="AG225" i="9" s="1"/>
  <c r="AF315" i="8"/>
  <c r="AG315" i="8" s="1"/>
  <c r="AF80" i="9"/>
  <c r="AG80" i="9" s="1"/>
  <c r="H80" i="9"/>
  <c r="H114" i="8"/>
  <c r="AF113" i="8"/>
  <c r="AG113" i="8" s="1"/>
  <c r="H113" i="8"/>
  <c r="AF252" i="9"/>
  <c r="AG252" i="9" s="1"/>
  <c r="AF177" i="8"/>
  <c r="AG177" i="8" s="1"/>
  <c r="AF270" i="8"/>
  <c r="AG270" i="8" s="1"/>
  <c r="H82" i="9"/>
  <c r="AF82" i="9"/>
  <c r="AG82" i="9" s="1"/>
  <c r="AF166" i="8"/>
  <c r="AG166" i="8" s="1"/>
  <c r="H166" i="8"/>
  <c r="H104" i="9"/>
  <c r="AF356" i="9"/>
  <c r="AG356" i="9" s="1"/>
  <c r="AF285" i="9"/>
  <c r="AG285" i="9" s="1"/>
  <c r="AF337" i="8"/>
  <c r="AG337" i="8" s="1"/>
  <c r="AJ121" i="9"/>
  <c r="H85" i="8"/>
  <c r="AF322" i="8"/>
  <c r="AG322" i="8" s="1"/>
  <c r="H322" i="8"/>
  <c r="AF193" i="8"/>
  <c r="AG193" i="8" s="1"/>
  <c r="H193" i="8"/>
  <c r="AF160" i="9"/>
  <c r="AG160" i="9" s="1"/>
  <c r="H160" i="9"/>
  <c r="AF146" i="8"/>
  <c r="AG146" i="8" s="1"/>
  <c r="H146" i="8"/>
  <c r="AF140" i="8"/>
  <c r="AG140" i="8" s="1"/>
  <c r="H140" i="8"/>
  <c r="AF112" i="8"/>
  <c r="AG112" i="8" s="1"/>
  <c r="H112" i="8"/>
  <c r="AF89" i="9"/>
  <c r="AG89" i="9" s="1"/>
  <c r="H89" i="9"/>
  <c r="H143" i="8"/>
  <c r="AF143" i="8"/>
  <c r="AG143" i="8" s="1"/>
  <c r="AF79" i="9"/>
  <c r="AG79" i="9" s="1"/>
  <c r="H79" i="9"/>
  <c r="AF286" i="8"/>
  <c r="AG286" i="8" s="1"/>
  <c r="H286" i="8"/>
  <c r="AF262" i="8"/>
  <c r="AG262" i="8" s="1"/>
  <c r="AF230" i="9"/>
  <c r="AG230" i="9" s="1"/>
  <c r="AF363" i="8"/>
  <c r="AG363" i="8" s="1"/>
  <c r="AJ109" i="9"/>
  <c r="AF145" i="9"/>
  <c r="AG145" i="9" s="1"/>
  <c r="H145" i="9"/>
  <c r="AF81" i="8"/>
  <c r="AG81" i="8" s="1"/>
  <c r="AF78" i="9"/>
  <c r="AG78" i="9" s="1"/>
  <c r="H78" i="9"/>
  <c r="H108" i="8"/>
  <c r="AF108" i="8"/>
  <c r="AG108" i="8" s="1"/>
  <c r="AF247" i="8"/>
  <c r="AG247" i="8" s="1"/>
  <c r="AF319" i="9"/>
  <c r="AG319" i="9" s="1"/>
  <c r="AF114" i="9"/>
  <c r="AG114" i="9" s="1"/>
  <c r="H114" i="9"/>
  <c r="AF128" i="8"/>
  <c r="AG128" i="8" s="1"/>
  <c r="H128" i="8"/>
  <c r="AF297" i="8"/>
  <c r="AG297" i="8" s="1"/>
  <c r="H297" i="8"/>
  <c r="AF201" i="9"/>
  <c r="AG201" i="9" s="1"/>
  <c r="H201" i="9"/>
  <c r="AF199" i="8"/>
  <c r="AG199" i="8" s="1"/>
  <c r="H199" i="8"/>
  <c r="AF168" i="9"/>
  <c r="AG168" i="9" s="1"/>
  <c r="H168" i="9"/>
  <c r="AF103" i="8"/>
  <c r="AG103" i="8" s="1"/>
  <c r="H103" i="8"/>
  <c r="AF336" i="9"/>
  <c r="AG336" i="9" s="1"/>
  <c r="H104" i="8"/>
  <c r="AF292" i="8"/>
  <c r="AG292" i="8" s="1"/>
  <c r="AF119" i="9"/>
  <c r="AG119" i="9" s="1"/>
  <c r="AF86" i="8"/>
  <c r="AG86" i="8" s="1"/>
  <c r="H86" i="8"/>
  <c r="AF112" i="9"/>
  <c r="AG112" i="9" s="1"/>
  <c r="H112" i="9"/>
  <c r="AF275" i="8"/>
  <c r="AG275" i="8" s="1"/>
  <c r="AF158" i="9"/>
  <c r="AG158" i="9" s="1"/>
  <c r="H158" i="9"/>
  <c r="AF74" i="8"/>
  <c r="AG74" i="8" s="1"/>
  <c r="H74" i="8"/>
  <c r="H133" i="9"/>
  <c r="H111" i="8"/>
  <c r="AJ152" i="8"/>
  <c r="AF201" i="8"/>
  <c r="AG201" i="8" s="1"/>
  <c r="H201" i="8"/>
  <c r="AF241" i="8"/>
  <c r="AG241" i="8" s="1"/>
  <c r="H319" i="8"/>
  <c r="AF319" i="8"/>
  <c r="AG319" i="8" s="1"/>
  <c r="H82" i="8"/>
  <c r="AF118" i="8"/>
  <c r="AG118" i="8" s="1"/>
  <c r="H118" i="8"/>
  <c r="AF105" i="9"/>
  <c r="AG105" i="9" s="1"/>
  <c r="H105" i="9"/>
  <c r="H145" i="8"/>
  <c r="AF145" i="8"/>
  <c r="AG145" i="8" s="1"/>
  <c r="AF208" i="8"/>
  <c r="AG208" i="8" s="1"/>
  <c r="AF195" i="8"/>
  <c r="AG195" i="8" s="1"/>
  <c r="AF138" i="8"/>
  <c r="AG138" i="8" s="1"/>
  <c r="H138" i="8"/>
  <c r="H136" i="9"/>
  <c r="AF136" i="9"/>
  <c r="AG136" i="9" s="1"/>
  <c r="AF352" i="8"/>
  <c r="AG352" i="8" s="1"/>
  <c r="H352" i="8"/>
  <c r="AF298" i="8"/>
  <c r="AG298" i="8" s="1"/>
  <c r="H298" i="8"/>
  <c r="AF111" i="9"/>
  <c r="AG111" i="9" s="1"/>
  <c r="H111" i="9"/>
  <c r="AF140" i="9"/>
  <c r="AG140" i="9" s="1"/>
  <c r="AJ113" i="9"/>
  <c r="AF329" i="8"/>
  <c r="AG329" i="8" s="1"/>
  <c r="AF206" i="8"/>
  <c r="AG206" i="8" s="1"/>
  <c r="AF331" i="9"/>
  <c r="AG331" i="9" s="1"/>
  <c r="AF216" i="9"/>
  <c r="AG216" i="9" s="1"/>
  <c r="AF124" i="9"/>
  <c r="AG124" i="9" s="1"/>
  <c r="H124" i="9"/>
  <c r="AF83" i="8"/>
  <c r="AG83" i="8" s="1"/>
  <c r="H83" i="8"/>
  <c r="H128" i="9"/>
  <c r="AF128" i="9"/>
  <c r="AG128" i="9" s="1"/>
  <c r="H106" i="9"/>
  <c r="AF106" i="9"/>
  <c r="AG106" i="9" s="1"/>
  <c r="AF75" i="8"/>
  <c r="AG75" i="8" s="1"/>
  <c r="H75" i="8"/>
  <c r="H120" i="9"/>
  <c r="H92" i="9"/>
  <c r="AJ163" i="9"/>
  <c r="AF329" i="9"/>
  <c r="AG329" i="9" s="1"/>
  <c r="AJ152" i="9"/>
  <c r="AJ116" i="9"/>
  <c r="H77" i="8"/>
  <c r="AJ155" i="8"/>
  <c r="AF323" i="8"/>
  <c r="AG323" i="8" s="1"/>
  <c r="H323" i="8"/>
  <c r="AF344" i="8"/>
  <c r="AG344" i="8" s="1"/>
  <c r="AF73" i="9"/>
  <c r="AG73" i="9" s="1"/>
  <c r="H73" i="9"/>
  <c r="AF164" i="9"/>
  <c r="AG164" i="9" s="1"/>
  <c r="H164" i="9"/>
  <c r="AJ127" i="8"/>
  <c r="AJ147" i="9"/>
  <c r="AF340" i="8"/>
  <c r="AG340" i="8" s="1"/>
  <c r="AF356" i="8"/>
  <c r="AG356" i="8" s="1"/>
  <c r="H134" i="8"/>
  <c r="AF134" i="8"/>
  <c r="AG134" i="8" s="1"/>
  <c r="AF102" i="9"/>
  <c r="AG102" i="9" s="1"/>
  <c r="H102" i="9"/>
  <c r="AJ83" i="9"/>
  <c r="AJ153" i="9"/>
  <c r="AF236" i="9"/>
  <c r="AG236" i="9" s="1"/>
  <c r="H262" i="8"/>
  <c r="AF261" i="8"/>
  <c r="AG261" i="8" s="1"/>
  <c r="AJ94" i="9"/>
  <c r="AF170" i="9"/>
  <c r="AG170" i="9" s="1"/>
  <c r="AF78" i="8"/>
  <c r="AG78" i="8" s="1"/>
  <c r="AF148" i="9"/>
  <c r="AG148" i="9" s="1"/>
  <c r="AJ126" i="9"/>
  <c r="AF305" i="9"/>
  <c r="AG305" i="9" s="1"/>
  <c r="AF347" i="8"/>
  <c r="AG347" i="8" s="1"/>
  <c r="H347" i="8"/>
  <c r="H159" i="9"/>
  <c r="AF159" i="9"/>
  <c r="AG159" i="9" s="1"/>
  <c r="H167" i="8"/>
  <c r="AF167" i="8"/>
  <c r="AG167" i="8" s="1"/>
  <c r="AF264" i="8"/>
  <c r="AG264" i="8" s="1"/>
  <c r="H264" i="8"/>
  <c r="AF299" i="8"/>
  <c r="AG299" i="8" s="1"/>
  <c r="H299" i="8"/>
  <c r="AF307" i="8"/>
  <c r="AG307" i="8" s="1"/>
  <c r="AJ123" i="9"/>
  <c r="H78" i="8"/>
  <c r="AJ144" i="9"/>
  <c r="AF360" i="8"/>
  <c r="AG360" i="8" s="1"/>
  <c r="AF224" i="8"/>
  <c r="AG224" i="8" s="1"/>
  <c r="AF108" i="9"/>
  <c r="AG108" i="9" s="1"/>
  <c r="H108" i="9"/>
  <c r="H126" i="8"/>
  <c r="AF126" i="8"/>
  <c r="AG126" i="8" s="1"/>
  <c r="AF115" i="8"/>
  <c r="AG115" i="8" s="1"/>
  <c r="H115" i="8"/>
  <c r="H263" i="8"/>
  <c r="AF263" i="8"/>
  <c r="AG263" i="8" s="1"/>
  <c r="AF143" i="9"/>
  <c r="AG143" i="9" s="1"/>
  <c r="H143" i="9"/>
  <c r="H106" i="8"/>
  <c r="AF106" i="8"/>
  <c r="AG106" i="8" s="1"/>
  <c r="H76" i="9"/>
  <c r="AF75" i="9"/>
  <c r="AG75" i="9" s="1"/>
  <c r="H75" i="9"/>
  <c r="H165" i="9"/>
  <c r="AJ122" i="9"/>
  <c r="AF159" i="8"/>
  <c r="AG159" i="8" s="1"/>
  <c r="H159" i="8"/>
  <c r="H119" i="9"/>
  <c r="AF118" i="9"/>
  <c r="AG118" i="9" s="1"/>
  <c r="H118" i="9"/>
  <c r="H83" i="9"/>
  <c r="AF278" i="8"/>
  <c r="AG278" i="8" s="1"/>
  <c r="H278" i="8"/>
  <c r="AF276" i="8"/>
  <c r="AG276" i="8" s="1"/>
  <c r="H276" i="8"/>
  <c r="AJ93" i="8"/>
  <c r="AJ149" i="9"/>
  <c r="AF285" i="8"/>
  <c r="AG285" i="8" s="1"/>
  <c r="AF281" i="8"/>
  <c r="AG281" i="8" s="1"/>
  <c r="AF331" i="8"/>
  <c r="AG331" i="8" s="1"/>
  <c r="H167" i="9"/>
  <c r="AF167" i="9"/>
  <c r="AG167" i="9" s="1"/>
  <c r="AF135" i="8"/>
  <c r="AG135" i="8" s="1"/>
  <c r="H135" i="8"/>
  <c r="AF137" i="9"/>
  <c r="AG137" i="9" s="1"/>
  <c r="H137" i="9"/>
  <c r="AF353" i="9"/>
  <c r="AG353" i="9" s="1"/>
  <c r="AF200" i="9"/>
  <c r="AG200" i="9" s="1"/>
  <c r="AF186" i="8"/>
  <c r="AG186" i="8" s="1"/>
  <c r="AF81" i="9"/>
  <c r="AG81" i="9" s="1"/>
  <c r="H81" i="9"/>
  <c r="AF130" i="8"/>
  <c r="AG130" i="8" s="1"/>
  <c r="H130" i="8"/>
  <c r="AF321" i="8"/>
  <c r="AG321" i="8" s="1"/>
  <c r="H321" i="8"/>
  <c r="H107" i="9"/>
  <c r="H144" i="8"/>
  <c r="M362" i="9" l="1"/>
  <c r="L362" i="9"/>
  <c r="Q362" i="9" s="1"/>
  <c r="W362" i="9"/>
  <c r="K363" i="8"/>
  <c r="M363" i="8" s="1"/>
  <c r="O363" i="8"/>
  <c r="I363" i="8"/>
  <c r="P363" i="8" a="1"/>
  <c r="P363" i="8" s="1"/>
  <c r="F365" i="8"/>
  <c r="G364" i="8"/>
  <c r="K363" i="9"/>
  <c r="O363" i="9"/>
  <c r="P363" i="9" a="1"/>
  <c r="P363" i="9" s="1"/>
  <c r="I363" i="9"/>
  <c r="F365" i="9"/>
  <c r="G364" i="9"/>
  <c r="K53" i="3"/>
  <c r="M53" i="3" s="1"/>
  <c r="P53" i="3" a="1"/>
  <c r="P53" i="3" s="1"/>
  <c r="O53" i="3"/>
  <c r="F55" i="3"/>
  <c r="G54" i="3"/>
  <c r="V268" i="9"/>
  <c r="AC268" i="9" s="1"/>
  <c r="AB268" i="9"/>
  <c r="V270" i="9"/>
  <c r="AC270" i="9" s="1"/>
  <c r="AB270" i="9"/>
  <c r="V269" i="9"/>
  <c r="AC269" i="9" s="1"/>
  <c r="AB269" i="9"/>
  <c r="V295" i="9"/>
  <c r="AC295" i="9" s="1"/>
  <c r="AB295" i="9"/>
  <c r="V306" i="9"/>
  <c r="AC306" i="9" s="1"/>
  <c r="AB306" i="9"/>
  <c r="V281" i="9"/>
  <c r="AC281" i="9" s="1"/>
  <c r="AB281" i="9"/>
  <c r="V97" i="9"/>
  <c r="AC97" i="9" s="1"/>
  <c r="AB97" i="9"/>
  <c r="V231" i="9"/>
  <c r="AC231" i="9" s="1"/>
  <c r="AB231" i="9"/>
  <c r="V290" i="9"/>
  <c r="AC290" i="9" s="1"/>
  <c r="AB290" i="9"/>
  <c r="V308" i="9"/>
  <c r="AC308" i="9" s="1"/>
  <c r="AB308" i="9"/>
  <c r="V275" i="9"/>
  <c r="AC275" i="9" s="1"/>
  <c r="AB275" i="9"/>
  <c r="V213" i="9"/>
  <c r="AC213" i="9" s="1"/>
  <c r="AB213" i="9"/>
  <c r="V265" i="9"/>
  <c r="AC265" i="9" s="1"/>
  <c r="AB265" i="9"/>
  <c r="V86" i="9"/>
  <c r="AC86" i="9" s="1"/>
  <c r="AB86" i="9"/>
  <c r="V73" i="9"/>
  <c r="AC73" i="9" s="1"/>
  <c r="AB73" i="9"/>
  <c r="V254" i="9"/>
  <c r="AC254" i="9" s="1"/>
  <c r="AB254" i="9"/>
  <c r="V222" i="9"/>
  <c r="AC222" i="9" s="1"/>
  <c r="AB222" i="9"/>
  <c r="V118" i="9"/>
  <c r="AC118" i="9" s="1"/>
  <c r="AB118" i="9"/>
  <c r="V54" i="9"/>
  <c r="AC54" i="9" s="1"/>
  <c r="AB54" i="9"/>
  <c r="V16" i="9"/>
  <c r="AC16" i="9" s="1"/>
  <c r="AB16" i="9"/>
  <c r="V280" i="9"/>
  <c r="AC280" i="9" s="1"/>
  <c r="AB280" i="9"/>
  <c r="V27" i="9"/>
  <c r="AC27" i="9" s="1"/>
  <c r="AB27" i="9"/>
  <c r="V143" i="9"/>
  <c r="AC143" i="9" s="1"/>
  <c r="AB143" i="9"/>
  <c r="V57" i="9"/>
  <c r="AC57" i="9" s="1"/>
  <c r="AB57" i="9"/>
  <c r="V313" i="9"/>
  <c r="AC313" i="9" s="1"/>
  <c r="AB313" i="9"/>
  <c r="V77" i="9"/>
  <c r="AC77" i="9" s="1"/>
  <c r="AB77" i="9"/>
  <c r="V216" i="9"/>
  <c r="AC216" i="9" s="1"/>
  <c r="AB216" i="9"/>
  <c r="V274" i="9"/>
  <c r="AC274" i="9" s="1"/>
  <c r="AB274" i="9"/>
  <c r="V70" i="9"/>
  <c r="AC70" i="9" s="1"/>
  <c r="AB70" i="9"/>
  <c r="V326" i="9"/>
  <c r="AC326" i="9" s="1"/>
  <c r="AB326" i="9"/>
  <c r="V215" i="9"/>
  <c r="AC215" i="9" s="1"/>
  <c r="AB215" i="9"/>
  <c r="V129" i="9"/>
  <c r="AC129" i="9" s="1"/>
  <c r="AB129" i="9"/>
  <c r="V58" i="9"/>
  <c r="AC58" i="9" s="1"/>
  <c r="AB58" i="9"/>
  <c r="V96" i="9"/>
  <c r="AC96" i="9" s="1"/>
  <c r="AB96" i="9"/>
  <c r="V360" i="9"/>
  <c r="AC360" i="9" s="1"/>
  <c r="AB360" i="9"/>
  <c r="V45" i="9"/>
  <c r="AC45" i="9" s="1"/>
  <c r="AB45" i="9"/>
  <c r="V168" i="9"/>
  <c r="AC168" i="9" s="1"/>
  <c r="AB168" i="9"/>
  <c r="V146" i="9"/>
  <c r="AC146" i="9" s="1"/>
  <c r="AB146" i="9"/>
  <c r="V7" i="9"/>
  <c r="AC7" i="9" s="1"/>
  <c r="AB7" i="9"/>
  <c r="V263" i="9"/>
  <c r="AC263" i="9" s="1"/>
  <c r="AB263" i="9"/>
  <c r="V145" i="9"/>
  <c r="AC145" i="9" s="1"/>
  <c r="AB145" i="9"/>
  <c r="V114" i="9"/>
  <c r="AC114" i="9" s="1"/>
  <c r="AB114" i="9"/>
  <c r="V66" i="9"/>
  <c r="AC66" i="9" s="1"/>
  <c r="AB66" i="9"/>
  <c r="V322" i="9"/>
  <c r="AC322" i="9" s="1"/>
  <c r="AB322" i="9"/>
  <c r="V203" i="9"/>
  <c r="AC203" i="9" s="1"/>
  <c r="AB203" i="9"/>
  <c r="V84" i="9"/>
  <c r="AC84" i="9" s="1"/>
  <c r="AB84" i="9"/>
  <c r="V340" i="9"/>
  <c r="AC340" i="9" s="1"/>
  <c r="AB340" i="9"/>
  <c r="V253" i="9"/>
  <c r="AC253" i="9" s="1"/>
  <c r="AB253" i="9"/>
  <c r="V51" i="9"/>
  <c r="AC51" i="9" s="1"/>
  <c r="AB51" i="9"/>
  <c r="V307" i="9"/>
  <c r="AC307" i="9" s="1"/>
  <c r="AB307" i="9"/>
  <c r="V220" i="9"/>
  <c r="AC220" i="9" s="1"/>
  <c r="AB220" i="9"/>
  <c r="V101" i="9"/>
  <c r="AC101" i="9" s="1"/>
  <c r="AB101" i="9"/>
  <c r="V357" i="9"/>
  <c r="AC357" i="9" s="1"/>
  <c r="AB357" i="9"/>
  <c r="V227" i="9"/>
  <c r="AC227" i="9" s="1"/>
  <c r="AB227" i="9"/>
  <c r="V108" i="9"/>
  <c r="AC108" i="9" s="1"/>
  <c r="AB108" i="9"/>
  <c r="V245" i="9"/>
  <c r="AC245" i="9" s="1"/>
  <c r="AB245" i="9"/>
  <c r="V169" i="9"/>
  <c r="AC169" i="9" s="1"/>
  <c r="AB169" i="9"/>
  <c r="V150" i="9"/>
  <c r="AC150" i="9" s="1"/>
  <c r="AB150" i="9"/>
  <c r="V111" i="9"/>
  <c r="AC111" i="9" s="1"/>
  <c r="AB111" i="9"/>
  <c r="V294" i="9"/>
  <c r="AC294" i="9" s="1"/>
  <c r="AB294" i="9"/>
  <c r="V292" i="9"/>
  <c r="AC292" i="9" s="1"/>
  <c r="AB292" i="9"/>
  <c r="V113" i="9"/>
  <c r="AC113" i="9" s="1"/>
  <c r="AB113" i="9"/>
  <c r="V171" i="9"/>
  <c r="AC171" i="9" s="1"/>
  <c r="AB171" i="9"/>
  <c r="V195" i="9"/>
  <c r="AC195" i="9" s="1"/>
  <c r="AB195" i="9"/>
  <c r="V22" i="9"/>
  <c r="AC22" i="9" s="1"/>
  <c r="AB22" i="9"/>
  <c r="V106" i="9"/>
  <c r="AC106" i="9" s="1"/>
  <c r="AB106" i="9"/>
  <c r="V158" i="9"/>
  <c r="AC158" i="9" s="1"/>
  <c r="AB158" i="9"/>
  <c r="V329" i="9"/>
  <c r="AC329" i="9" s="1"/>
  <c r="AB329" i="9"/>
  <c r="V334" i="9"/>
  <c r="AC334" i="9" s="1"/>
  <c r="AB334" i="9"/>
  <c r="V190" i="9"/>
  <c r="AC190" i="9" s="1"/>
  <c r="AB190" i="9"/>
  <c r="V126" i="9"/>
  <c r="AC126" i="9" s="1"/>
  <c r="AB126" i="9"/>
  <c r="V48" i="9"/>
  <c r="AC48" i="9" s="1"/>
  <c r="AB48" i="9"/>
  <c r="V312" i="9"/>
  <c r="AC312" i="9" s="1"/>
  <c r="AB312" i="9"/>
  <c r="V283" i="9"/>
  <c r="AC283" i="9" s="1"/>
  <c r="AB283" i="9"/>
  <c r="V175" i="9"/>
  <c r="AC175" i="9" s="1"/>
  <c r="AB175" i="9"/>
  <c r="V89" i="9"/>
  <c r="AC89" i="9" s="1"/>
  <c r="AB89" i="9"/>
  <c r="V345" i="9"/>
  <c r="AC345" i="9" s="1"/>
  <c r="AB345" i="9"/>
  <c r="V333" i="9"/>
  <c r="AC333" i="9" s="1"/>
  <c r="AB333" i="9"/>
  <c r="V248" i="9"/>
  <c r="AC248" i="9" s="1"/>
  <c r="AB248" i="9"/>
  <c r="V314" i="9"/>
  <c r="AC314" i="9" s="1"/>
  <c r="AB314" i="9"/>
  <c r="V102" i="9"/>
  <c r="AC102" i="9" s="1"/>
  <c r="AB102" i="9"/>
  <c r="V358" i="9"/>
  <c r="AC358" i="9" s="1"/>
  <c r="AB358" i="9"/>
  <c r="V247" i="9"/>
  <c r="AC247" i="9" s="1"/>
  <c r="AB247" i="9"/>
  <c r="V161" i="9"/>
  <c r="AC161" i="9" s="1"/>
  <c r="AB161" i="9"/>
  <c r="V170" i="9"/>
  <c r="AC170" i="9" s="1"/>
  <c r="AB170" i="9"/>
  <c r="V128" i="9"/>
  <c r="AC128" i="9" s="1"/>
  <c r="AB128" i="9"/>
  <c r="V26" i="9"/>
  <c r="AC26" i="9" s="1"/>
  <c r="AB26" i="9"/>
  <c r="V301" i="9"/>
  <c r="AC301" i="9" s="1"/>
  <c r="AB301" i="9"/>
  <c r="V200" i="9"/>
  <c r="AC200" i="9" s="1"/>
  <c r="AB200" i="9"/>
  <c r="V218" i="9"/>
  <c r="AC218" i="9" s="1"/>
  <c r="AB218" i="9"/>
  <c r="V39" i="9"/>
  <c r="AC39" i="9" s="1"/>
  <c r="AB39" i="9"/>
  <c r="V303" i="9"/>
  <c r="AC303" i="9" s="1"/>
  <c r="AB303" i="9"/>
  <c r="V177" i="9"/>
  <c r="AC177" i="9" s="1"/>
  <c r="AB177" i="9"/>
  <c r="V186" i="9"/>
  <c r="AC186" i="9" s="1"/>
  <c r="AB186" i="9"/>
  <c r="V98" i="9"/>
  <c r="AC98" i="9" s="1"/>
  <c r="AB98" i="9"/>
  <c r="V354" i="9"/>
  <c r="AC354" i="9" s="1"/>
  <c r="AB354" i="9"/>
  <c r="V235" i="9"/>
  <c r="AC235" i="9" s="1"/>
  <c r="AB235" i="9"/>
  <c r="V116" i="9"/>
  <c r="AC116" i="9" s="1"/>
  <c r="AB116" i="9"/>
  <c r="V29" i="9"/>
  <c r="AC29" i="9" s="1"/>
  <c r="AB29" i="9"/>
  <c r="V285" i="9"/>
  <c r="AC285" i="9" s="1"/>
  <c r="AB285" i="9"/>
  <c r="V83" i="9"/>
  <c r="AC83" i="9" s="1"/>
  <c r="AB83" i="9"/>
  <c r="V339" i="9"/>
  <c r="AC339" i="9" s="1"/>
  <c r="AB339" i="9"/>
  <c r="V252" i="9"/>
  <c r="AC252" i="9" s="1"/>
  <c r="AB252" i="9"/>
  <c r="V133" i="9"/>
  <c r="AC133" i="9" s="1"/>
  <c r="AB133" i="9"/>
  <c r="V346" i="9"/>
  <c r="AC346" i="9" s="1"/>
  <c r="AB346" i="9"/>
  <c r="V259" i="9"/>
  <c r="AC259" i="9" s="1"/>
  <c r="AB259" i="9"/>
  <c r="V140" i="9"/>
  <c r="AC140" i="9" s="1"/>
  <c r="AB140" i="9"/>
  <c r="V21" i="9"/>
  <c r="AC21" i="9" s="1"/>
  <c r="AB21" i="9"/>
  <c r="V277" i="9"/>
  <c r="AC277" i="9" s="1"/>
  <c r="AB277" i="9"/>
  <c r="V361" i="9"/>
  <c r="AC361" i="9" s="1"/>
  <c r="AB361" i="9"/>
  <c r="V183" i="9"/>
  <c r="AC183" i="9" s="1"/>
  <c r="AB183" i="9"/>
  <c r="V325" i="9"/>
  <c r="AC325" i="9" s="1"/>
  <c r="AB325" i="9"/>
  <c r="V94" i="9"/>
  <c r="AC94" i="9" s="1"/>
  <c r="AB94" i="9"/>
  <c r="V62" i="9"/>
  <c r="AC62" i="9" s="1"/>
  <c r="AB62" i="9"/>
  <c r="V30" i="9"/>
  <c r="AC30" i="9" s="1"/>
  <c r="AB30" i="9"/>
  <c r="V178" i="9"/>
  <c r="AC178" i="9" s="1"/>
  <c r="AB178" i="9"/>
  <c r="V191" i="9"/>
  <c r="AC191" i="9" s="1"/>
  <c r="AB191" i="9"/>
  <c r="V95" i="9"/>
  <c r="AC95" i="9" s="1"/>
  <c r="AB95" i="9"/>
  <c r="V302" i="9"/>
  <c r="AC302" i="9" s="1"/>
  <c r="AB302" i="9"/>
  <c r="V238" i="9"/>
  <c r="AC238" i="9" s="1"/>
  <c r="AB238" i="9"/>
  <c r="V80" i="9"/>
  <c r="AC80" i="9" s="1"/>
  <c r="AB80" i="9"/>
  <c r="V344" i="9"/>
  <c r="AC344" i="9" s="1"/>
  <c r="AB344" i="9"/>
  <c r="V164" i="9"/>
  <c r="AC164" i="9" s="1"/>
  <c r="AB164" i="9"/>
  <c r="V207" i="9"/>
  <c r="AC207" i="9" s="1"/>
  <c r="AB207" i="9"/>
  <c r="V121" i="9"/>
  <c r="AC121" i="9" s="1"/>
  <c r="AB121" i="9"/>
  <c r="V50" i="9"/>
  <c r="AC50" i="9" s="1"/>
  <c r="AB50" i="9"/>
  <c r="V24" i="9"/>
  <c r="AC24" i="9" s="1"/>
  <c r="AB24" i="9"/>
  <c r="V288" i="9"/>
  <c r="AC288" i="9" s="1"/>
  <c r="AB288" i="9"/>
  <c r="V91" i="9"/>
  <c r="AC91" i="9" s="1"/>
  <c r="AB91" i="9"/>
  <c r="V134" i="9"/>
  <c r="AC134" i="9" s="1"/>
  <c r="AB134" i="9"/>
  <c r="V23" i="9"/>
  <c r="AC23" i="9" s="1"/>
  <c r="AB23" i="9"/>
  <c r="V287" i="9"/>
  <c r="AC287" i="9" s="1"/>
  <c r="AB287" i="9"/>
  <c r="V193" i="9"/>
  <c r="AC193" i="9" s="1"/>
  <c r="AB193" i="9"/>
  <c r="V242" i="9"/>
  <c r="AC242" i="9" s="1"/>
  <c r="AB242" i="9"/>
  <c r="V160" i="9"/>
  <c r="AC160" i="9" s="1"/>
  <c r="AB160" i="9"/>
  <c r="V138" i="9"/>
  <c r="AC138" i="9" s="1"/>
  <c r="AB138" i="9"/>
  <c r="V205" i="9"/>
  <c r="AC205" i="9" s="1"/>
  <c r="AB205" i="9"/>
  <c r="V232" i="9"/>
  <c r="AC232" i="9" s="1"/>
  <c r="AB232" i="9"/>
  <c r="V338" i="9"/>
  <c r="AC338" i="9" s="1"/>
  <c r="AB338" i="9"/>
  <c r="V71" i="9"/>
  <c r="AC71" i="9" s="1"/>
  <c r="AB71" i="9"/>
  <c r="V335" i="9"/>
  <c r="AC335" i="9" s="1"/>
  <c r="AB335" i="9"/>
  <c r="V209" i="9"/>
  <c r="AC209" i="9" s="1"/>
  <c r="AB209" i="9"/>
  <c r="V123" i="9"/>
  <c r="AC123" i="9" s="1"/>
  <c r="AB123" i="9"/>
  <c r="V130" i="9"/>
  <c r="AC130" i="9" s="1"/>
  <c r="AB130" i="9"/>
  <c r="V11" i="9"/>
  <c r="AC11" i="9" s="1"/>
  <c r="AB11" i="9"/>
  <c r="V267" i="9"/>
  <c r="AC267" i="9" s="1"/>
  <c r="AB267" i="9"/>
  <c r="V148" i="9"/>
  <c r="AC148" i="9" s="1"/>
  <c r="AB148" i="9"/>
  <c r="V61" i="9"/>
  <c r="AC61" i="9" s="1"/>
  <c r="AB61" i="9"/>
  <c r="V317" i="9"/>
  <c r="AC317" i="9" s="1"/>
  <c r="AB317" i="9"/>
  <c r="V115" i="9"/>
  <c r="AC115" i="9" s="1"/>
  <c r="AB115" i="9"/>
  <c r="V28" i="9"/>
  <c r="AC28" i="9" s="1"/>
  <c r="AB28" i="9"/>
  <c r="V284" i="9"/>
  <c r="AC284" i="9" s="1"/>
  <c r="AB284" i="9"/>
  <c r="V165" i="9"/>
  <c r="AC165" i="9" s="1"/>
  <c r="AB165" i="9"/>
  <c r="V35" i="9"/>
  <c r="AC35" i="9" s="1"/>
  <c r="AB35" i="9"/>
  <c r="V291" i="9"/>
  <c r="AC291" i="9" s="1"/>
  <c r="AB291" i="9"/>
  <c r="V172" i="9"/>
  <c r="AC172" i="9" s="1"/>
  <c r="AB172" i="9"/>
  <c r="V53" i="9"/>
  <c r="AC53" i="9" s="1"/>
  <c r="AB53" i="9"/>
  <c r="V309" i="9"/>
  <c r="AC309" i="9" s="1"/>
  <c r="AB309" i="9"/>
  <c r="V46" i="9"/>
  <c r="AC46" i="9" s="1"/>
  <c r="AB46" i="9"/>
  <c r="V184" i="9"/>
  <c r="AC184" i="9" s="1"/>
  <c r="AB184" i="9"/>
  <c r="V136" i="9"/>
  <c r="AC136" i="9" s="1"/>
  <c r="AB136" i="9"/>
  <c r="V76" i="9"/>
  <c r="AC76" i="9" s="1"/>
  <c r="AB76" i="9"/>
  <c r="V206" i="9"/>
  <c r="AC206" i="9" s="1"/>
  <c r="AB206" i="9"/>
  <c r="V174" i="9"/>
  <c r="AC174" i="9" s="1"/>
  <c r="AB174" i="9"/>
  <c r="V142" i="9"/>
  <c r="AC142" i="9" s="1"/>
  <c r="AB142" i="9"/>
  <c r="V196" i="9"/>
  <c r="AC196" i="9" s="1"/>
  <c r="AB196" i="9"/>
  <c r="V233" i="9"/>
  <c r="AC233" i="9" s="1"/>
  <c r="AB233" i="9"/>
  <c r="V359" i="9"/>
  <c r="AC359" i="9" s="1"/>
  <c r="AB359" i="9"/>
  <c r="V255" i="9"/>
  <c r="AC255" i="9" s="1"/>
  <c r="AB255" i="9"/>
  <c r="V310" i="9"/>
  <c r="AC310" i="9" s="1"/>
  <c r="AB310" i="9"/>
  <c r="V112" i="9"/>
  <c r="AC112" i="9" s="1"/>
  <c r="AB112" i="9"/>
  <c r="V10" i="9"/>
  <c r="AC10" i="9" s="1"/>
  <c r="AB10" i="9"/>
  <c r="V173" i="9"/>
  <c r="AC173" i="9" s="1"/>
  <c r="AB173" i="9"/>
  <c r="V239" i="9"/>
  <c r="AC239" i="9" s="1"/>
  <c r="AB239" i="9"/>
  <c r="V153" i="9"/>
  <c r="AC153" i="9" s="1"/>
  <c r="AB153" i="9"/>
  <c r="V122" i="9"/>
  <c r="AC122" i="9" s="1"/>
  <c r="AB122" i="9"/>
  <c r="V56" i="9"/>
  <c r="AC56" i="9" s="1"/>
  <c r="AB56" i="9"/>
  <c r="V320" i="9"/>
  <c r="AC320" i="9" s="1"/>
  <c r="AB320" i="9"/>
  <c r="V347" i="9"/>
  <c r="AC347" i="9" s="1"/>
  <c r="AB347" i="9"/>
  <c r="V166" i="9"/>
  <c r="AC166" i="9" s="1"/>
  <c r="AB166" i="9"/>
  <c r="V55" i="9"/>
  <c r="AC55" i="9" s="1"/>
  <c r="AB55" i="9"/>
  <c r="V319" i="9"/>
  <c r="AC319" i="9" s="1"/>
  <c r="AB319" i="9"/>
  <c r="V225" i="9"/>
  <c r="AC225" i="9" s="1"/>
  <c r="AB225" i="9"/>
  <c r="V251" i="9"/>
  <c r="AC251" i="9" s="1"/>
  <c r="AB251" i="9"/>
  <c r="V192" i="9"/>
  <c r="AC192" i="9" s="1"/>
  <c r="AB192" i="9"/>
  <c r="V210" i="9"/>
  <c r="AC210" i="9" s="1"/>
  <c r="AB210" i="9"/>
  <c r="V8" i="9"/>
  <c r="AC8" i="9" s="1"/>
  <c r="AB8" i="9"/>
  <c r="V264" i="9"/>
  <c r="AC264" i="9" s="1"/>
  <c r="AB264" i="9"/>
  <c r="V219" i="9"/>
  <c r="AC219" i="9" s="1"/>
  <c r="AB219" i="9"/>
  <c r="V103" i="9"/>
  <c r="AC103" i="9" s="1"/>
  <c r="AB103" i="9"/>
  <c r="V241" i="9"/>
  <c r="AC241" i="9" s="1"/>
  <c r="AB241" i="9"/>
  <c r="V4" i="9"/>
  <c r="AC4" i="9" s="1"/>
  <c r="AB4" i="9"/>
  <c r="V162" i="9"/>
  <c r="AC162" i="9" s="1"/>
  <c r="AB162" i="9"/>
  <c r="V43" i="9"/>
  <c r="AC43" i="9" s="1"/>
  <c r="AB43" i="9"/>
  <c r="V299" i="9"/>
  <c r="AC299" i="9" s="1"/>
  <c r="AB299" i="9"/>
  <c r="V180" i="9"/>
  <c r="AC180" i="9" s="1"/>
  <c r="AB180" i="9"/>
  <c r="V93" i="9"/>
  <c r="AC93" i="9" s="1"/>
  <c r="AB93" i="9"/>
  <c r="V349" i="9"/>
  <c r="AC349" i="9" s="1"/>
  <c r="AB349" i="9"/>
  <c r="V147" i="9"/>
  <c r="AC147" i="9" s="1"/>
  <c r="AB147" i="9"/>
  <c r="V60" i="9"/>
  <c r="AC60" i="9" s="1"/>
  <c r="AB60" i="9"/>
  <c r="V316" i="9"/>
  <c r="AC316" i="9" s="1"/>
  <c r="AB316" i="9"/>
  <c r="V197" i="9"/>
  <c r="AC197" i="9" s="1"/>
  <c r="AB197" i="9"/>
  <c r="V67" i="9"/>
  <c r="AC67" i="9" s="1"/>
  <c r="AB67" i="9"/>
  <c r="V323" i="9"/>
  <c r="AC323" i="9" s="1"/>
  <c r="AB323" i="9"/>
  <c r="V204" i="9"/>
  <c r="AC204" i="9" s="1"/>
  <c r="AB204" i="9"/>
  <c r="V85" i="9"/>
  <c r="AC85" i="9" s="1"/>
  <c r="AB85" i="9"/>
  <c r="V341" i="9"/>
  <c r="AC341" i="9" s="1"/>
  <c r="AB341" i="9"/>
  <c r="V9" i="9"/>
  <c r="AC9" i="9" s="1"/>
  <c r="AB9" i="9"/>
  <c r="V342" i="9"/>
  <c r="AC342" i="9" s="1"/>
  <c r="AB342" i="9"/>
  <c r="V324" i="9"/>
  <c r="AC324" i="9" s="1"/>
  <c r="AB324" i="9"/>
  <c r="V353" i="9"/>
  <c r="AC353" i="9" s="1"/>
  <c r="AB353" i="9"/>
  <c r="V42" i="9"/>
  <c r="AC42" i="9" s="1"/>
  <c r="AB42" i="9"/>
  <c r="V52" i="9"/>
  <c r="AC52" i="9" s="1"/>
  <c r="AB52" i="9"/>
  <c r="V221" i="9"/>
  <c r="AC221" i="9" s="1"/>
  <c r="AB221" i="9"/>
  <c r="V19" i="9"/>
  <c r="AC19" i="9" s="1"/>
  <c r="AB19" i="9"/>
  <c r="V332" i="9"/>
  <c r="AC332" i="9" s="1"/>
  <c r="AB332" i="9"/>
  <c r="V278" i="9"/>
  <c r="AC278" i="9" s="1"/>
  <c r="AB278" i="9"/>
  <c r="V246" i="9"/>
  <c r="AC246" i="9" s="1"/>
  <c r="AB246" i="9"/>
  <c r="V214" i="9"/>
  <c r="AC214" i="9" s="1"/>
  <c r="AB214" i="9"/>
  <c r="V14" i="9"/>
  <c r="AC14" i="9" s="1"/>
  <c r="AB14" i="9"/>
  <c r="V137" i="9"/>
  <c r="AC137" i="9" s="1"/>
  <c r="AB137" i="9"/>
  <c r="V41" i="9"/>
  <c r="AC41" i="9" s="1"/>
  <c r="AB41" i="9"/>
  <c r="V63" i="9"/>
  <c r="AC63" i="9" s="1"/>
  <c r="AB63" i="9"/>
  <c r="V144" i="9"/>
  <c r="AC144" i="9" s="1"/>
  <c r="AB144" i="9"/>
  <c r="V82" i="9"/>
  <c r="AC82" i="9" s="1"/>
  <c r="AB82" i="9"/>
  <c r="V15" i="9"/>
  <c r="AC15" i="9" s="1"/>
  <c r="AB15" i="9"/>
  <c r="V279" i="9"/>
  <c r="AC279" i="9" s="1"/>
  <c r="AB279" i="9"/>
  <c r="V185" i="9"/>
  <c r="AC185" i="9" s="1"/>
  <c r="AB185" i="9"/>
  <c r="V234" i="9"/>
  <c r="AC234" i="9" s="1"/>
  <c r="AB234" i="9"/>
  <c r="V88" i="9"/>
  <c r="AC88" i="9" s="1"/>
  <c r="AB88" i="9"/>
  <c r="V352" i="9"/>
  <c r="AC352" i="9" s="1"/>
  <c r="AB352" i="9"/>
  <c r="V228" i="9"/>
  <c r="AC228" i="9" s="1"/>
  <c r="AB228" i="9"/>
  <c r="V198" i="9"/>
  <c r="AC198" i="9" s="1"/>
  <c r="AB198" i="9"/>
  <c r="V87" i="9"/>
  <c r="AC87" i="9" s="1"/>
  <c r="AB87" i="9"/>
  <c r="V351" i="9"/>
  <c r="AC351" i="9" s="1"/>
  <c r="AB351" i="9"/>
  <c r="V257" i="9"/>
  <c r="AC257" i="9" s="1"/>
  <c r="AB257" i="9"/>
  <c r="V132" i="9"/>
  <c r="AC132" i="9" s="1"/>
  <c r="AB132" i="9"/>
  <c r="V224" i="9"/>
  <c r="AC224" i="9" s="1"/>
  <c r="AB224" i="9"/>
  <c r="V282" i="9"/>
  <c r="AC282" i="9" s="1"/>
  <c r="AB282" i="9"/>
  <c r="V40" i="9"/>
  <c r="AC40" i="9" s="1"/>
  <c r="AB40" i="9"/>
  <c r="V304" i="9"/>
  <c r="AC304" i="9" s="1"/>
  <c r="AB304" i="9"/>
  <c r="V100" i="9"/>
  <c r="AC100" i="9" s="1"/>
  <c r="AB100" i="9"/>
  <c r="V135" i="9"/>
  <c r="AC135" i="9" s="1"/>
  <c r="AB135" i="9"/>
  <c r="V17" i="9"/>
  <c r="AC17" i="9" s="1"/>
  <c r="AB17" i="9"/>
  <c r="V273" i="9"/>
  <c r="AC273" i="9" s="1"/>
  <c r="AB273" i="9"/>
  <c r="V260" i="9"/>
  <c r="AC260" i="9" s="1"/>
  <c r="AB260" i="9"/>
  <c r="V194" i="9"/>
  <c r="AC194" i="9" s="1"/>
  <c r="AB194" i="9"/>
  <c r="V75" i="9"/>
  <c r="AC75" i="9" s="1"/>
  <c r="AB75" i="9"/>
  <c r="V331" i="9"/>
  <c r="AC331" i="9" s="1"/>
  <c r="AB331" i="9"/>
  <c r="V212" i="9"/>
  <c r="AC212" i="9" s="1"/>
  <c r="AB212" i="9"/>
  <c r="V125" i="9"/>
  <c r="AC125" i="9" s="1"/>
  <c r="AB125" i="9"/>
  <c r="V298" i="9"/>
  <c r="AC298" i="9" s="1"/>
  <c r="AB298" i="9"/>
  <c r="V179" i="9"/>
  <c r="AC179" i="9" s="1"/>
  <c r="AB179" i="9"/>
  <c r="V92" i="9"/>
  <c r="AC92" i="9" s="1"/>
  <c r="AB92" i="9"/>
  <c r="V348" i="9"/>
  <c r="AC348" i="9" s="1"/>
  <c r="AB348" i="9"/>
  <c r="V229" i="9"/>
  <c r="AC229" i="9" s="1"/>
  <c r="AB229" i="9"/>
  <c r="V99" i="9"/>
  <c r="AC99" i="9" s="1"/>
  <c r="AB99" i="9"/>
  <c r="V355" i="9"/>
  <c r="AC355" i="9" s="1"/>
  <c r="AB355" i="9"/>
  <c r="V236" i="9"/>
  <c r="AC236" i="9" s="1"/>
  <c r="AB236" i="9"/>
  <c r="V117" i="9"/>
  <c r="AC117" i="9" s="1"/>
  <c r="AB117" i="9"/>
  <c r="V272" i="9"/>
  <c r="AC272" i="9" s="1"/>
  <c r="AB272" i="9"/>
  <c r="V182" i="9"/>
  <c r="AC182" i="9" s="1"/>
  <c r="AB182" i="9"/>
  <c r="V25" i="9"/>
  <c r="AC25" i="9" s="1"/>
  <c r="AB25" i="9"/>
  <c r="V38" i="9"/>
  <c r="AC38" i="9" s="1"/>
  <c r="AB38" i="9"/>
  <c r="V64" i="9"/>
  <c r="AC64" i="9" s="1"/>
  <c r="AB64" i="9"/>
  <c r="V74" i="9"/>
  <c r="AC74" i="9" s="1"/>
  <c r="AB74" i="9"/>
  <c r="V34" i="9"/>
  <c r="AC34" i="9" s="1"/>
  <c r="AB34" i="9"/>
  <c r="V188" i="9"/>
  <c r="AC188" i="9" s="1"/>
  <c r="AB188" i="9"/>
  <c r="V350" i="9"/>
  <c r="AC350" i="9" s="1"/>
  <c r="AB350" i="9"/>
  <c r="V318" i="9"/>
  <c r="AC318" i="9" s="1"/>
  <c r="AB318" i="9"/>
  <c r="V286" i="9"/>
  <c r="AC286" i="9" s="1"/>
  <c r="AB286" i="9"/>
  <c r="V159" i="9"/>
  <c r="AC159" i="9" s="1"/>
  <c r="AB159" i="9"/>
  <c r="V201" i="9"/>
  <c r="AC201" i="9" s="1"/>
  <c r="AB201" i="9"/>
  <c r="V250" i="9"/>
  <c r="AC250" i="9" s="1"/>
  <c r="AB250" i="9"/>
  <c r="V297" i="9"/>
  <c r="AC297" i="9" s="1"/>
  <c r="AB297" i="9"/>
  <c r="V327" i="9"/>
  <c r="AC327" i="9" s="1"/>
  <c r="AB327" i="9"/>
  <c r="V176" i="9"/>
  <c r="AC176" i="9" s="1"/>
  <c r="AB176" i="9"/>
  <c r="V154" i="9"/>
  <c r="AC154" i="9" s="1"/>
  <c r="AB154" i="9"/>
  <c r="V47" i="9"/>
  <c r="AC47" i="9" s="1"/>
  <c r="AB47" i="9"/>
  <c r="V311" i="9"/>
  <c r="AC311" i="9" s="1"/>
  <c r="AB311" i="9"/>
  <c r="V217" i="9"/>
  <c r="AC217" i="9" s="1"/>
  <c r="AB217" i="9"/>
  <c r="V187" i="9"/>
  <c r="AC187" i="9" s="1"/>
  <c r="AB187" i="9"/>
  <c r="V120" i="9"/>
  <c r="AC120" i="9" s="1"/>
  <c r="AB120" i="9"/>
  <c r="V18" i="9"/>
  <c r="AC18" i="9" s="1"/>
  <c r="AB18" i="9"/>
  <c r="V237" i="9"/>
  <c r="AC237" i="9" s="1"/>
  <c r="AB237" i="9"/>
  <c r="V230" i="9"/>
  <c r="AC230" i="9" s="1"/>
  <c r="AB230" i="9"/>
  <c r="V119" i="9"/>
  <c r="AC119" i="9" s="1"/>
  <c r="AB119" i="9"/>
  <c r="V33" i="9"/>
  <c r="AC33" i="9" s="1"/>
  <c r="AB33" i="9"/>
  <c r="V289" i="9"/>
  <c r="AC289" i="9" s="1"/>
  <c r="AB289" i="9"/>
  <c r="V141" i="9"/>
  <c r="AC141" i="9" s="1"/>
  <c r="AB141" i="9"/>
  <c r="V256" i="9"/>
  <c r="AC256" i="9" s="1"/>
  <c r="AB256" i="9"/>
  <c r="V155" i="9"/>
  <c r="AC155" i="9" s="1"/>
  <c r="AB155" i="9"/>
  <c r="V72" i="9"/>
  <c r="AC72" i="9" s="1"/>
  <c r="AB72" i="9"/>
  <c r="V336" i="9"/>
  <c r="AC336" i="9" s="1"/>
  <c r="AB336" i="9"/>
  <c r="V356" i="9"/>
  <c r="AC356" i="9" s="1"/>
  <c r="AB356" i="9"/>
  <c r="V167" i="9"/>
  <c r="AC167" i="9" s="1"/>
  <c r="AB167" i="9"/>
  <c r="V49" i="9"/>
  <c r="AC49" i="9" s="1"/>
  <c r="AB49" i="9"/>
  <c r="V305" i="9"/>
  <c r="AC305" i="9" s="1"/>
  <c r="AB305" i="9"/>
  <c r="V13" i="9"/>
  <c r="AC13" i="9" s="1"/>
  <c r="AB13" i="9"/>
  <c r="V226" i="9"/>
  <c r="AC226" i="9" s="1"/>
  <c r="AB226" i="9"/>
  <c r="V107" i="9"/>
  <c r="AC107" i="9" s="1"/>
  <c r="AB107" i="9"/>
  <c r="V244" i="9"/>
  <c r="AC244" i="9" s="1"/>
  <c r="AB244" i="9"/>
  <c r="V157" i="9"/>
  <c r="AC157" i="9" s="1"/>
  <c r="AB157" i="9"/>
  <c r="V330" i="9"/>
  <c r="AC330" i="9" s="1"/>
  <c r="AB330" i="9"/>
  <c r="V211" i="9"/>
  <c r="AC211" i="9" s="1"/>
  <c r="AB211" i="9"/>
  <c r="V124" i="9"/>
  <c r="AC124" i="9" s="1"/>
  <c r="AB124" i="9"/>
  <c r="V5" i="9"/>
  <c r="AC5" i="9" s="1"/>
  <c r="AB5" i="9"/>
  <c r="V261" i="9"/>
  <c r="AC261" i="9" s="1"/>
  <c r="AB261" i="9"/>
  <c r="V131" i="9"/>
  <c r="AC131" i="9" s="1"/>
  <c r="AB131" i="9"/>
  <c r="V12" i="9"/>
  <c r="AC12" i="9" s="1"/>
  <c r="AB12" i="9"/>
  <c r="V149" i="9"/>
  <c r="AC149" i="9" s="1"/>
  <c r="AB149" i="9"/>
  <c r="V271" i="9"/>
  <c r="AC271" i="9" s="1"/>
  <c r="AB271" i="9"/>
  <c r="V240" i="9"/>
  <c r="AC240" i="9" s="1"/>
  <c r="AB240" i="9"/>
  <c r="V202" i="9"/>
  <c r="AC202" i="9" s="1"/>
  <c r="AB202" i="9"/>
  <c r="V328" i="9"/>
  <c r="AC328" i="9" s="1"/>
  <c r="AB328" i="9"/>
  <c r="V69" i="9"/>
  <c r="AC69" i="9" s="1"/>
  <c r="AB69" i="9"/>
  <c r="V223" i="9"/>
  <c r="AC223" i="9" s="1"/>
  <c r="AB223" i="9"/>
  <c r="V127" i="9"/>
  <c r="AC127" i="9" s="1"/>
  <c r="AB127" i="9"/>
  <c r="V31" i="9"/>
  <c r="AC31" i="9" s="1"/>
  <c r="AB31" i="9"/>
  <c r="V110" i="9"/>
  <c r="AC110" i="9" s="1"/>
  <c r="AB110" i="9"/>
  <c r="V78" i="9"/>
  <c r="AC78" i="9" s="1"/>
  <c r="AB78" i="9"/>
  <c r="V59" i="9"/>
  <c r="AC59" i="9" s="1"/>
  <c r="AB59" i="9"/>
  <c r="V315" i="9"/>
  <c r="AC315" i="9" s="1"/>
  <c r="AB315" i="9"/>
  <c r="V105" i="9"/>
  <c r="AC105" i="9" s="1"/>
  <c r="AB105" i="9"/>
  <c r="V208" i="9"/>
  <c r="AC208" i="9" s="1"/>
  <c r="AB208" i="9"/>
  <c r="V266" i="9"/>
  <c r="AC266" i="9" s="1"/>
  <c r="AB266" i="9"/>
  <c r="V79" i="9"/>
  <c r="AC79" i="9" s="1"/>
  <c r="AB79" i="9"/>
  <c r="V343" i="9"/>
  <c r="AC343" i="9" s="1"/>
  <c r="AB343" i="9"/>
  <c r="V249" i="9"/>
  <c r="AC249" i="9" s="1"/>
  <c r="AB249" i="9"/>
  <c r="V68" i="9"/>
  <c r="AC68" i="9" s="1"/>
  <c r="AB68" i="9"/>
  <c r="V152" i="9"/>
  <c r="AC152" i="9" s="1"/>
  <c r="AB152" i="9"/>
  <c r="V90" i="9"/>
  <c r="AC90" i="9" s="1"/>
  <c r="AB90" i="9"/>
  <c r="V6" i="9"/>
  <c r="AC6" i="9" s="1"/>
  <c r="AB6" i="9"/>
  <c r="V262" i="9"/>
  <c r="AC262" i="9" s="1"/>
  <c r="AB262" i="9"/>
  <c r="V151" i="9"/>
  <c r="AC151" i="9" s="1"/>
  <c r="AB151" i="9"/>
  <c r="V65" i="9"/>
  <c r="AC65" i="9" s="1"/>
  <c r="AB65" i="9"/>
  <c r="V321" i="9"/>
  <c r="AC321" i="9" s="1"/>
  <c r="AB321" i="9"/>
  <c r="V32" i="9"/>
  <c r="AC32" i="9" s="1"/>
  <c r="AB32" i="9"/>
  <c r="V296" i="9"/>
  <c r="AC296" i="9" s="1"/>
  <c r="AB296" i="9"/>
  <c r="V36" i="9"/>
  <c r="AC36" i="9" s="1"/>
  <c r="AB36" i="9"/>
  <c r="V104" i="9"/>
  <c r="AC104" i="9" s="1"/>
  <c r="AB104" i="9"/>
  <c r="V3" i="9"/>
  <c r="AC3" i="9" s="1"/>
  <c r="AB3" i="9"/>
  <c r="V109" i="9"/>
  <c r="AC109" i="9" s="1"/>
  <c r="AB109" i="9"/>
  <c r="V199" i="9"/>
  <c r="AC199" i="9" s="1"/>
  <c r="AB199" i="9"/>
  <c r="V81" i="9"/>
  <c r="AC81" i="9" s="1"/>
  <c r="AB81" i="9"/>
  <c r="V337" i="9"/>
  <c r="AC337" i="9" s="1"/>
  <c r="AB337" i="9"/>
  <c r="V258" i="9"/>
  <c r="AC258" i="9" s="1"/>
  <c r="AB258" i="9"/>
  <c r="V139" i="9"/>
  <c r="AC139" i="9" s="1"/>
  <c r="AB139" i="9"/>
  <c r="V20" i="9"/>
  <c r="AC20" i="9" s="1"/>
  <c r="AB20" i="9"/>
  <c r="V276" i="9"/>
  <c r="AC276" i="9" s="1"/>
  <c r="AB276" i="9"/>
  <c r="V189" i="9"/>
  <c r="AC189" i="9" s="1"/>
  <c r="AB189" i="9"/>
  <c r="V362" i="9"/>
  <c r="AC362" i="9" s="1"/>
  <c r="AB362" i="9"/>
  <c r="V243" i="9"/>
  <c r="AC243" i="9" s="1"/>
  <c r="AB243" i="9"/>
  <c r="V156" i="9"/>
  <c r="AC156" i="9" s="1"/>
  <c r="AB156" i="9"/>
  <c r="V37" i="9"/>
  <c r="AC37" i="9" s="1"/>
  <c r="AB37" i="9"/>
  <c r="V293" i="9"/>
  <c r="AC293" i="9" s="1"/>
  <c r="AB293" i="9"/>
  <c r="V163" i="9"/>
  <c r="AC163" i="9" s="1"/>
  <c r="AB163" i="9"/>
  <c r="V44" i="9"/>
  <c r="AC44" i="9" s="1"/>
  <c r="AB44" i="9"/>
  <c r="V300" i="9"/>
  <c r="AC300" i="9" s="1"/>
  <c r="AB300" i="9"/>
  <c r="V181" i="9"/>
  <c r="AC181" i="9" s="1"/>
  <c r="AB181" i="9"/>
  <c r="Q152" i="8"/>
  <c r="R4" i="8"/>
  <c r="S4" i="8"/>
  <c r="L173" i="8"/>
  <c r="Q173" i="8" s="1"/>
  <c r="L186" i="8"/>
  <c r="Q186" i="8" s="1"/>
  <c r="L246" i="8"/>
  <c r="Q246" i="8" s="1"/>
  <c r="L206" i="8"/>
  <c r="Q206" i="8" s="1"/>
  <c r="L199" i="8"/>
  <c r="Q199" i="8" s="1"/>
  <c r="L234" i="8"/>
  <c r="Q234" i="8" s="1"/>
  <c r="L207" i="8"/>
  <c r="Q207" i="8" s="1"/>
  <c r="L256" i="8"/>
  <c r="Q256" i="8" s="1"/>
  <c r="L341" i="8"/>
  <c r="Q341" i="8" s="1"/>
  <c r="L288" i="8"/>
  <c r="Q288" i="8" s="1"/>
  <c r="L317" i="8"/>
  <c r="Q317" i="8" s="1"/>
  <c r="L181" i="8"/>
  <c r="Q181" i="8" s="1"/>
  <c r="L330" i="8"/>
  <c r="Q330" i="8" s="1"/>
  <c r="L291" i="8"/>
  <c r="Q291" i="8" s="1"/>
  <c r="L344" i="8"/>
  <c r="Q344" i="8" s="1"/>
  <c r="L208" i="8"/>
  <c r="Q208" i="8" s="1"/>
  <c r="L360" i="8"/>
  <c r="Q360" i="8" s="1"/>
  <c r="L316" i="8"/>
  <c r="Q316" i="8" s="1"/>
  <c r="L301" i="8"/>
  <c r="Q301" i="8" s="1"/>
  <c r="L254" i="8"/>
  <c r="Q254" i="8" s="1"/>
  <c r="L328" i="8"/>
  <c r="Q328" i="8" s="1"/>
  <c r="L196" i="8"/>
  <c r="Q196" i="8" s="1"/>
  <c r="L307" i="8"/>
  <c r="Q307" i="8" s="1"/>
  <c r="L332" i="8"/>
  <c r="Q332" i="8" s="1"/>
  <c r="L311" i="8"/>
  <c r="Q311" i="8" s="1"/>
  <c r="L292" i="8"/>
  <c r="Q292" i="8" s="1"/>
  <c r="L306" i="8"/>
  <c r="Q306" i="8" s="1"/>
  <c r="L319" i="8"/>
  <c r="Q319" i="8" s="1"/>
  <c r="L293" i="8"/>
  <c r="Q293" i="8" s="1"/>
  <c r="L354" i="8"/>
  <c r="Q354" i="8" s="1"/>
  <c r="L221" i="8"/>
  <c r="Q221" i="8" s="1"/>
  <c r="L336" i="8"/>
  <c r="Q336" i="8" s="1"/>
  <c r="L283" i="8"/>
  <c r="Q283" i="8" s="1"/>
  <c r="L266" i="8"/>
  <c r="Q266" i="8" s="1"/>
  <c r="L239" i="8"/>
  <c r="Q239" i="8" s="1"/>
  <c r="L209" i="8"/>
  <c r="Q209" i="8" s="1"/>
  <c r="L346" i="8"/>
  <c r="Q346" i="8" s="1"/>
  <c r="L304" i="8"/>
  <c r="Q304" i="8" s="1"/>
  <c r="L182" i="8"/>
  <c r="Q182" i="8" s="1"/>
  <c r="L242" i="8"/>
  <c r="Q242" i="8" s="1"/>
  <c r="L228" i="8"/>
  <c r="Q228" i="8" s="1"/>
  <c r="L324" i="8"/>
  <c r="Q324" i="8" s="1"/>
  <c r="L329" i="8"/>
  <c r="Q329" i="8" s="1"/>
  <c r="L249" i="8"/>
  <c r="Q249" i="8" s="1"/>
  <c r="L193" i="8"/>
  <c r="Q193" i="8" s="1"/>
  <c r="L255" i="8"/>
  <c r="Q255" i="8" s="1"/>
  <c r="L243" i="8"/>
  <c r="Q243" i="8" s="1"/>
  <c r="L213" i="8"/>
  <c r="L217" i="8"/>
  <c r="Q217" i="8" s="1"/>
  <c r="L357" i="8"/>
  <c r="Q357" i="8" s="1"/>
  <c r="L259" i="8"/>
  <c r="Q259" i="8" s="1"/>
  <c r="L187" i="8"/>
  <c r="Q187" i="8" s="1"/>
  <c r="L223" i="8"/>
  <c r="Q223" i="8" s="1"/>
  <c r="L197" i="8"/>
  <c r="Q197" i="8" s="1"/>
  <c r="L325" i="8"/>
  <c r="Q325" i="8" s="1"/>
  <c r="L224" i="8"/>
  <c r="Q224" i="8" s="1"/>
  <c r="L363" i="8"/>
  <c r="L312" i="8"/>
  <c r="Q312" i="8" s="1"/>
  <c r="L238" i="8"/>
  <c r="Q238" i="8" s="1"/>
  <c r="L201" i="8"/>
  <c r="Q201" i="8" s="1"/>
  <c r="L343" i="8"/>
  <c r="Q343" i="8" s="1"/>
  <c r="L323" i="8"/>
  <c r="Q323" i="8" s="1"/>
  <c r="L273" i="8"/>
  <c r="Q273" i="8" s="1"/>
  <c r="L215" i="8"/>
  <c r="Q215" i="8" s="1"/>
  <c r="L356" i="8"/>
  <c r="Q356" i="8" s="1"/>
  <c r="L184" i="8"/>
  <c r="Q184" i="8" s="1"/>
  <c r="L274" i="8"/>
  <c r="L204" i="8"/>
  <c r="Q204" i="8" s="1"/>
  <c r="L290" i="8"/>
  <c r="Q290" i="8" s="1"/>
  <c r="L313" i="8"/>
  <c r="Q313" i="8" s="1"/>
  <c r="L222" i="8"/>
  <c r="Q222" i="8" s="1"/>
  <c r="L200" i="8"/>
  <c r="Q200" i="8" s="1"/>
  <c r="L227" i="8"/>
  <c r="Q227" i="8" s="1"/>
  <c r="L275" i="8"/>
  <c r="Q275" i="8" s="1"/>
  <c r="L179" i="8"/>
  <c r="Q179" i="8" s="1"/>
  <c r="L212" i="8"/>
  <c r="Q212" i="8" s="1"/>
  <c r="L251" i="8"/>
  <c r="Q251" i="8" s="1"/>
  <c r="L309" i="8"/>
  <c r="Q309" i="8" s="1"/>
  <c r="L282" i="8"/>
  <c r="Q282" i="8" s="1"/>
  <c r="L252" i="8"/>
  <c r="Q252" i="8" s="1"/>
  <c r="L269" i="8"/>
  <c r="Q269" i="8" s="1"/>
  <c r="L263" i="8"/>
  <c r="Q263" i="8" s="1"/>
  <c r="L218" i="8"/>
  <c r="Q218" i="8" s="1"/>
  <c r="L349" i="8"/>
  <c r="Q349" i="8" s="1"/>
  <c r="L322" i="8"/>
  <c r="Q322" i="8" s="1"/>
  <c r="L265" i="8"/>
  <c r="Q265" i="8" s="1"/>
  <c r="L320" i="8"/>
  <c r="Q320" i="8" s="1"/>
  <c r="L198" i="8"/>
  <c r="Q198" i="8" s="1"/>
  <c r="L358" i="8"/>
  <c r="Q358" i="8" s="1"/>
  <c r="L174" i="8"/>
  <c r="Q174" i="8" s="1"/>
  <c r="L189" i="8"/>
  <c r="Q189" i="8" s="1"/>
  <c r="L270" i="8"/>
  <c r="Q270" i="8" s="1"/>
  <c r="L279" i="8"/>
  <c r="Q279" i="8" s="1"/>
  <c r="L214" i="8"/>
  <c r="Q214" i="8" s="1"/>
  <c r="L308" i="8"/>
  <c r="Q308" i="8" s="1"/>
  <c r="L219" i="8"/>
  <c r="Q219" i="8" s="1"/>
  <c r="L211" i="8"/>
  <c r="Q211" i="8" s="1"/>
  <c r="L318" i="8"/>
  <c r="Q318" i="8" s="1"/>
  <c r="L298" i="8"/>
  <c r="Q298" i="8" s="1"/>
  <c r="L267" i="8"/>
  <c r="Q267" i="8" s="1"/>
  <c r="L300" i="8"/>
  <c r="Q300" i="8" s="1"/>
  <c r="L225" i="8"/>
  <c r="Q225" i="8" s="1"/>
  <c r="L315" i="8"/>
  <c r="Q315" i="8" s="1"/>
  <c r="L192" i="8"/>
  <c r="Q192" i="8" s="1"/>
  <c r="L355" i="8"/>
  <c r="Q355" i="8" s="1"/>
  <c r="L177" i="8"/>
  <c r="Q177" i="8" s="1"/>
  <c r="L278" i="8"/>
  <c r="Q278" i="8" s="1"/>
  <c r="L285" i="8"/>
  <c r="Q285" i="8" s="1"/>
  <c r="L303" i="8"/>
  <c r="Q303" i="8" s="1"/>
  <c r="L264" i="8"/>
  <c r="Q264" i="8" s="1"/>
  <c r="L229" i="8"/>
  <c r="Q229" i="8" s="1"/>
  <c r="L190" i="8"/>
  <c r="Q190" i="8" s="1"/>
  <c r="L353" i="8"/>
  <c r="Q353" i="8" s="1"/>
  <c r="L284" i="8"/>
  <c r="Q284" i="8" s="1"/>
  <c r="L205" i="8"/>
  <c r="Q205" i="8" s="1"/>
  <c r="L260" i="8"/>
  <c r="Q260" i="8" s="1"/>
  <c r="L295" i="8"/>
  <c r="Q295" i="8" s="1"/>
  <c r="L175" i="8"/>
  <c r="Q175" i="8" s="1"/>
  <c r="L230" i="8"/>
  <c r="Q230" i="8" s="1"/>
  <c r="L334" i="8"/>
  <c r="Q334" i="8" s="1"/>
  <c r="L347" i="8"/>
  <c r="Q347" i="8" s="1"/>
  <c r="L188" i="8"/>
  <c r="Q188" i="8" s="1"/>
  <c r="L310" i="8"/>
  <c r="Q310" i="8" s="1"/>
  <c r="L299" i="8"/>
  <c r="Q299" i="8" s="1"/>
  <c r="L258" i="8"/>
  <c r="Q258" i="8" s="1"/>
  <c r="L195" i="8"/>
  <c r="Q195" i="8" s="1"/>
  <c r="L185" i="8"/>
  <c r="Q185" i="8" s="1"/>
  <c r="L203" i="8"/>
  <c r="Q203" i="8" s="1"/>
  <c r="L289" i="8"/>
  <c r="Q289" i="8" s="1"/>
  <c r="L233" i="8"/>
  <c r="Q233" i="8" s="1"/>
  <c r="L226" i="8"/>
  <c r="Q226" i="8" s="1"/>
  <c r="L240" i="8"/>
  <c r="Q240" i="8" s="1"/>
  <c r="L241" i="8"/>
  <c r="Q241" i="8" s="1"/>
  <c r="L345" i="8"/>
  <c r="Q345" i="8" s="1"/>
  <c r="L231" i="8"/>
  <c r="Q231" i="8" s="1"/>
  <c r="L176" i="8"/>
  <c r="Q176" i="8" s="1"/>
  <c r="L342" i="8"/>
  <c r="Q342" i="8" s="1"/>
  <c r="L314" i="8"/>
  <c r="Q314" i="8" s="1"/>
  <c r="L276" i="8"/>
  <c r="Q276" i="8" s="1"/>
  <c r="L183" i="8"/>
  <c r="Q183" i="8" s="1"/>
  <c r="L340" i="8"/>
  <c r="Q340" i="8" s="1"/>
  <c r="L191" i="8"/>
  <c r="Q191" i="8" s="1"/>
  <c r="L338" i="8"/>
  <c r="Q338" i="8" s="1"/>
  <c r="L296" i="8"/>
  <c r="Q296" i="8" s="1"/>
  <c r="L261" i="8"/>
  <c r="Q261" i="8" s="1"/>
  <c r="L280" i="8"/>
  <c r="Q280" i="8" s="1"/>
  <c r="L235" i="8"/>
  <c r="Q235" i="8" s="1"/>
  <c r="L297" i="8"/>
  <c r="Q297" i="8" s="1"/>
  <c r="L236" i="8"/>
  <c r="Q236" i="8" s="1"/>
  <c r="L348" i="8"/>
  <c r="Q348" i="8" s="1"/>
  <c r="L305" i="8"/>
  <c r="Q305" i="8" s="1"/>
  <c r="L216" i="8"/>
  <c r="Q216" i="8" s="1"/>
  <c r="L361" i="8"/>
  <c r="Q361" i="8" s="1"/>
  <c r="L262" i="8"/>
  <c r="Q262" i="8" s="1"/>
  <c r="L362" i="8"/>
  <c r="Q362" i="8" s="1"/>
  <c r="L272" i="8"/>
  <c r="L350" i="8"/>
  <c r="Q350" i="8" s="1"/>
  <c r="L247" i="8"/>
  <c r="Q247" i="8" s="1"/>
  <c r="L333" i="8"/>
  <c r="Q333" i="8" s="1"/>
  <c r="L277" i="8"/>
  <c r="Q277" i="8" s="1"/>
  <c r="L250" i="8"/>
  <c r="Q250" i="8" s="1"/>
  <c r="L287" i="8"/>
  <c r="Q287" i="8" s="1"/>
  <c r="L339" i="8"/>
  <c r="Q339" i="8" s="1"/>
  <c r="L237" i="8"/>
  <c r="Q237" i="8" s="1"/>
  <c r="L180" i="8"/>
  <c r="Q180" i="8" s="1"/>
  <c r="L245" i="8"/>
  <c r="Q245" i="8" s="1"/>
  <c r="L202" i="8"/>
  <c r="Q202" i="8" s="1"/>
  <c r="L326" i="8"/>
  <c r="Q326" i="8" s="1"/>
  <c r="L194" i="8"/>
  <c r="Q194" i="8" s="1"/>
  <c r="L232" i="8"/>
  <c r="Q232" i="8" s="1"/>
  <c r="L321" i="8"/>
  <c r="Q321" i="8" s="1"/>
  <c r="L178" i="8"/>
  <c r="Q178" i="8" s="1"/>
  <c r="L268" i="8"/>
  <c r="Q268" i="8" s="1"/>
  <c r="L302" i="8"/>
  <c r="Q302" i="8" s="1"/>
  <c r="L327" i="8"/>
  <c r="Q327" i="8" s="1"/>
  <c r="L294" i="8"/>
  <c r="Q294" i="8" s="1"/>
  <c r="L335" i="8"/>
  <c r="Q335" i="8" s="1"/>
  <c r="L253" i="8"/>
  <c r="Q253" i="8" s="1"/>
  <c r="L352" i="8"/>
  <c r="Q352" i="8" s="1"/>
  <c r="L248" i="8"/>
  <c r="Q248" i="8" s="1"/>
  <c r="L210" i="8"/>
  <c r="Q210" i="8" s="1"/>
  <c r="L351" i="8"/>
  <c r="Q351" i="8" s="1"/>
  <c r="L331" i="8"/>
  <c r="Q331" i="8" s="1"/>
  <c r="L359" i="8"/>
  <c r="Q359" i="8" s="1"/>
  <c r="L220" i="8"/>
  <c r="Q220" i="8" s="1"/>
  <c r="L271" i="8"/>
  <c r="Q271" i="8" s="1"/>
  <c r="L286" i="8"/>
  <c r="Q286" i="8" s="1"/>
  <c r="L257" i="8"/>
  <c r="Q257" i="8" s="1"/>
  <c r="L337" i="8"/>
  <c r="Q337" i="8" s="1"/>
  <c r="L281" i="8"/>
  <c r="Q281" i="8" s="1"/>
  <c r="L244" i="8"/>
  <c r="Q244" i="8" s="1"/>
  <c r="X243" i="8"/>
  <c r="Y243" i="8" s="1"/>
  <c r="W179" i="8"/>
  <c r="AJ179" i="8" s="1"/>
  <c r="X244" i="8"/>
  <c r="Y244" i="8" s="1"/>
  <c r="N5" i="8"/>
  <c r="S5" i="8" s="1"/>
  <c r="X318" i="8"/>
  <c r="Y318" i="8" s="1"/>
  <c r="W336" i="8"/>
  <c r="AJ336" i="8" s="1"/>
  <c r="W266" i="8"/>
  <c r="AJ266" i="8" s="1"/>
  <c r="W239" i="8"/>
  <c r="AJ239" i="8" s="1"/>
  <c r="W340" i="8"/>
  <c r="AJ340" i="8" s="1"/>
  <c r="W209" i="8"/>
  <c r="AJ209" i="8" s="1"/>
  <c r="W191" i="8"/>
  <c r="AJ191" i="8" s="1"/>
  <c r="W346" i="8"/>
  <c r="AJ346" i="8" s="1"/>
  <c r="X261" i="8"/>
  <c r="Y261" i="8" s="1"/>
  <c r="X242" i="8"/>
  <c r="Y242" i="8" s="1"/>
  <c r="W257" i="8"/>
  <c r="W267" i="8"/>
  <c r="AJ267" i="8" s="1"/>
  <c r="W300" i="8"/>
  <c r="AJ300" i="8" s="1"/>
  <c r="W173" i="8"/>
  <c r="AJ173" i="8" s="1"/>
  <c r="W194" i="8"/>
  <c r="AJ194" i="8" s="1"/>
  <c r="W251" i="8"/>
  <c r="AJ251" i="8" s="1"/>
  <c r="W232" i="8"/>
  <c r="AJ232" i="8" s="1"/>
  <c r="X321" i="8"/>
  <c r="Y321" i="8" s="1"/>
  <c r="W282" i="8"/>
  <c r="AJ282" i="8" s="1"/>
  <c r="W178" i="8"/>
  <c r="W234" i="8"/>
  <c r="AJ234" i="8" s="1"/>
  <c r="W207" i="8"/>
  <c r="AJ207" i="8" s="1"/>
  <c r="W285" i="8"/>
  <c r="AJ285" i="8" s="1"/>
  <c r="W256" i="8"/>
  <c r="AJ256" i="8" s="1"/>
  <c r="W341" i="8"/>
  <c r="AJ341" i="8" s="1"/>
  <c r="W254" i="8"/>
  <c r="W328" i="8"/>
  <c r="AJ328" i="8" s="1"/>
  <c r="W195" i="8"/>
  <c r="AJ195" i="8" s="1"/>
  <c r="W185" i="8"/>
  <c r="AJ185" i="8" s="1"/>
  <c r="W203" i="8"/>
  <c r="W221" i="8"/>
  <c r="W362" i="8"/>
  <c r="AJ362" i="8" s="1"/>
  <c r="W238" i="8"/>
  <c r="AJ238" i="8" s="1"/>
  <c r="W201" i="8"/>
  <c r="AJ201" i="8" s="1"/>
  <c r="W350" i="8"/>
  <c r="AJ350" i="8" s="1"/>
  <c r="X247" i="8"/>
  <c r="Y247" i="8" s="1"/>
  <c r="W333" i="8"/>
  <c r="AJ333" i="8" s="1"/>
  <c r="W277" i="8"/>
  <c r="AJ277" i="8" s="1"/>
  <c r="W215" i="8"/>
  <c r="AJ215" i="8" s="1"/>
  <c r="W250" i="8"/>
  <c r="AJ250" i="8" s="1"/>
  <c r="W356" i="8"/>
  <c r="AJ356" i="8" s="1"/>
  <c r="W339" i="8"/>
  <c r="AJ339" i="8" s="1"/>
  <c r="W274" i="8"/>
  <c r="W307" i="8"/>
  <c r="AJ307" i="8" s="1"/>
  <c r="W281" i="8"/>
  <c r="AJ281" i="8" s="1"/>
  <c r="W192" i="8"/>
  <c r="AJ192" i="8" s="1"/>
  <c r="W355" i="8"/>
  <c r="W199" i="8"/>
  <c r="AJ199" i="8" s="1"/>
  <c r="W293" i="8"/>
  <c r="AJ293" i="8" s="1"/>
  <c r="X231" i="8"/>
  <c r="Y231" i="8" s="1"/>
  <c r="W354" i="8"/>
  <c r="AJ354" i="8" s="1"/>
  <c r="W313" i="8"/>
  <c r="AJ313" i="8" s="1"/>
  <c r="W222" i="8"/>
  <c r="AJ222" i="8" s="1"/>
  <c r="W227" i="8"/>
  <c r="AJ227" i="8" s="1"/>
  <c r="X255" i="8"/>
  <c r="Y255" i="8" s="1"/>
  <c r="W243" i="8"/>
  <c r="W349" i="8"/>
  <c r="AJ349" i="8" s="1"/>
  <c r="X335" i="8"/>
  <c r="Y335" i="8" s="1"/>
  <c r="W253" i="8"/>
  <c r="AJ253" i="8" s="1"/>
  <c r="W265" i="8"/>
  <c r="AJ265" i="8" s="1"/>
  <c r="W198" i="8"/>
  <c r="W358" i="8"/>
  <c r="AJ358" i="8" s="1"/>
  <c r="W174" i="8"/>
  <c r="AJ174" i="8" s="1"/>
  <c r="W331" i="8"/>
  <c r="AJ331" i="8" s="1"/>
  <c r="W189" i="8"/>
  <c r="AJ189" i="8" s="1"/>
  <c r="X220" i="8"/>
  <c r="Y220" i="8" s="1"/>
  <c r="W214" i="8"/>
  <c r="AJ214" i="8" s="1"/>
  <c r="W219" i="8"/>
  <c r="AJ219" i="8" s="1"/>
  <c r="W196" i="8"/>
  <c r="W213" i="8"/>
  <c r="AJ213" i="8" s="1"/>
  <c r="W244" i="8"/>
  <c r="W233" i="8"/>
  <c r="AJ233" i="8" s="1"/>
  <c r="X311" i="8"/>
  <c r="Y311" i="8" s="1"/>
  <c r="X226" i="8"/>
  <c r="Y226" i="8" s="1"/>
  <c r="W292" i="8"/>
  <c r="AJ292" i="8" s="1"/>
  <c r="W240" i="8"/>
  <c r="AJ240" i="8" s="1"/>
  <c r="W363" i="8"/>
  <c r="AJ363" i="8" s="1"/>
  <c r="X312" i="8"/>
  <c r="Y312" i="8" s="1"/>
  <c r="W230" i="8"/>
  <c r="AJ230" i="8" s="1"/>
  <c r="W334" i="8"/>
  <c r="AJ334" i="8" s="1"/>
  <c r="W188" i="8"/>
  <c r="AJ188" i="8" s="1"/>
  <c r="W211" i="8"/>
  <c r="AJ211" i="8" s="1"/>
  <c r="W318" i="8"/>
  <c r="AJ318" i="8" s="1"/>
  <c r="W298" i="8"/>
  <c r="AJ298" i="8" s="1"/>
  <c r="W217" i="8"/>
  <c r="AJ217" i="8" s="1"/>
  <c r="W325" i="8"/>
  <c r="AJ325" i="8" s="1"/>
  <c r="W264" i="8"/>
  <c r="AJ264" i="8" s="1"/>
  <c r="X229" i="8"/>
  <c r="Y229" i="8" s="1"/>
  <c r="W190" i="8"/>
  <c r="AJ190" i="8" s="1"/>
  <c r="W181" i="8"/>
  <c r="AJ181" i="8" s="1"/>
  <c r="W353" i="8"/>
  <c r="AJ353" i="8" s="1"/>
  <c r="X330" i="8"/>
  <c r="Y330" i="8" s="1"/>
  <c r="W284" i="8"/>
  <c r="AJ284" i="8" s="1"/>
  <c r="X291" i="8"/>
  <c r="Y291" i="8" s="1"/>
  <c r="W205" i="8"/>
  <c r="AJ205" i="8" s="1"/>
  <c r="W344" i="8"/>
  <c r="AJ344" i="8" s="1"/>
  <c r="W208" i="8"/>
  <c r="AJ208" i="8" s="1"/>
  <c r="W175" i="8"/>
  <c r="W310" i="8"/>
  <c r="AJ310" i="8" s="1"/>
  <c r="W212" i="8"/>
  <c r="AJ212" i="8" s="1"/>
  <c r="W187" i="8"/>
  <c r="W297" i="8"/>
  <c r="AJ297" i="8" s="1"/>
  <c r="W236" i="8"/>
  <c r="AJ236" i="8" s="1"/>
  <c r="W197" i="8"/>
  <c r="AJ197" i="8" s="1"/>
  <c r="W252" i="8"/>
  <c r="AJ252" i="8" s="1"/>
  <c r="W269" i="8"/>
  <c r="AJ269" i="8" s="1"/>
  <c r="W302" i="8"/>
  <c r="W327" i="8"/>
  <c r="AJ327" i="8" s="1"/>
  <c r="W218" i="8"/>
  <c r="AJ218" i="8" s="1"/>
  <c r="W237" i="8"/>
  <c r="AJ237" i="8" s="1"/>
  <c r="W235" i="8"/>
  <c r="X328" i="8"/>
  <c r="Y328" i="8" s="1"/>
  <c r="X235" i="8"/>
  <c r="Y235" i="8" s="1"/>
  <c r="W326" i="8"/>
  <c r="AJ326" i="8" s="1"/>
  <c r="X326" i="8"/>
  <c r="Y326" i="8" s="1"/>
  <c r="W259" i="8"/>
  <c r="X259" i="8"/>
  <c r="Y259" i="8" s="1"/>
  <c r="X300" i="8"/>
  <c r="Y300" i="8" s="1"/>
  <c r="X281" i="8"/>
  <c r="Y281" i="8" s="1"/>
  <c r="X298" i="8"/>
  <c r="Y298" i="8" s="1"/>
  <c r="T4" i="8"/>
  <c r="Z4" i="8" s="1"/>
  <c r="AR4" i="8" s="1"/>
  <c r="X267" i="8"/>
  <c r="Y267" i="8" s="1"/>
  <c r="W357" i="8"/>
  <c r="AJ357" i="8" s="1"/>
  <c r="W262" i="8"/>
  <c r="AJ262" i="8" s="1"/>
  <c r="X230" i="8"/>
  <c r="Y230" i="8" s="1"/>
  <c r="W275" i="8"/>
  <c r="AJ275" i="8" s="1"/>
  <c r="X334" i="8"/>
  <c r="Y334" i="8" s="1"/>
  <c r="X307" i="8"/>
  <c r="Y307" i="8" s="1"/>
  <c r="X257" i="8"/>
  <c r="Y257" i="8" s="1"/>
  <c r="W343" i="8"/>
  <c r="AJ343" i="8" s="1"/>
  <c r="W299" i="8"/>
  <c r="AJ299" i="8" s="1"/>
  <c r="X299" i="8"/>
  <c r="Y299" i="8" s="1"/>
  <c r="W258" i="8"/>
  <c r="AJ258" i="8" s="1"/>
  <c r="X258" i="8"/>
  <c r="Y258" i="8" s="1"/>
  <c r="W202" i="8"/>
  <c r="X262" i="8"/>
  <c r="Y262" i="8" s="1"/>
  <c r="X224" i="8"/>
  <c r="Y224" i="8" s="1"/>
  <c r="W216" i="8"/>
  <c r="W312" i="8"/>
  <c r="AJ312" i="8" s="1"/>
  <c r="W306" i="8"/>
  <c r="AJ306" i="8" s="1"/>
  <c r="W276" i="8"/>
  <c r="AJ276" i="8" s="1"/>
  <c r="W337" i="8"/>
  <c r="AJ337" i="8" s="1"/>
  <c r="X275" i="8"/>
  <c r="Y275" i="8" s="1"/>
  <c r="W338" i="8"/>
  <c r="W245" i="8"/>
  <c r="AJ245" i="8" s="1"/>
  <c r="X245" i="8"/>
  <c r="Y245" i="8" s="1"/>
  <c r="AH5" i="8"/>
  <c r="AI5" i="8" s="1"/>
  <c r="W226" i="8"/>
  <c r="W182" i="8"/>
  <c r="AJ182" i="8" s="1"/>
  <c r="W314" i="8"/>
  <c r="AJ314" i="8" s="1"/>
  <c r="X286" i="8"/>
  <c r="Y286" i="8" s="1"/>
  <c r="W330" i="8"/>
  <c r="AJ330" i="8" s="1"/>
  <c r="W229" i="8"/>
  <c r="X310" i="8"/>
  <c r="Y310" i="8" s="1"/>
  <c r="X221" i="8"/>
  <c r="Y221" i="8" s="1"/>
  <c r="AH5" i="9"/>
  <c r="AH6" i="9" s="1"/>
  <c r="X273" i="8"/>
  <c r="Y273" i="8" s="1"/>
  <c r="W272" i="8"/>
  <c r="AJ272" i="8" s="1"/>
  <c r="W184" i="8"/>
  <c r="AJ184" i="8" s="1"/>
  <c r="X323" i="8"/>
  <c r="Y323" i="8" s="1"/>
  <c r="W273" i="8"/>
  <c r="W247" i="8"/>
  <c r="AJ247" i="8" s="1"/>
  <c r="W323" i="8"/>
  <c r="AJ323" i="8" s="1"/>
  <c r="X250" i="8"/>
  <c r="Y250" i="8" s="1"/>
  <c r="X277" i="8"/>
  <c r="Y277" i="8" s="1"/>
  <c r="X238" i="8"/>
  <c r="Y238" i="8" s="1"/>
  <c r="W315" i="8"/>
  <c r="AJ315" i="8" s="1"/>
  <c r="W231" i="8"/>
  <c r="AJ231" i="8" s="1"/>
  <c r="X333" i="8"/>
  <c r="Y333" i="8" s="1"/>
  <c r="X272" i="8"/>
  <c r="Y272" i="8" s="1"/>
  <c r="X274" i="8"/>
  <c r="Y274" i="8" s="1"/>
  <c r="W283" i="8"/>
  <c r="AJ283" i="8" s="1"/>
  <c r="W342" i="8"/>
  <c r="AJ342" i="8" s="1"/>
  <c r="X276" i="8"/>
  <c r="Y276" i="8" s="1"/>
  <c r="W183" i="8"/>
  <c r="X314" i="8"/>
  <c r="Y314" i="8" s="1"/>
  <c r="W261" i="8"/>
  <c r="AJ261" i="8" s="1"/>
  <c r="W242" i="8"/>
  <c r="AJ242" i="8" s="1"/>
  <c r="X239" i="8"/>
  <c r="Y239" i="8" s="1"/>
  <c r="X283" i="8"/>
  <c r="Y283" i="8" s="1"/>
  <c r="X266" i="8"/>
  <c r="Y266" i="8" s="1"/>
  <c r="W255" i="8"/>
  <c r="W335" i="8"/>
  <c r="AJ335" i="8" s="1"/>
  <c r="X227" i="8"/>
  <c r="Y227" i="8" s="1"/>
  <c r="AF53" i="3"/>
  <c r="AG53" i="3" s="1"/>
  <c r="W210" i="8"/>
  <c r="AJ210" i="8" s="1"/>
  <c r="X322" i="8"/>
  <c r="Y322" i="8" s="1"/>
  <c r="W320" i="8"/>
  <c r="AJ320" i="8" s="1"/>
  <c r="W220" i="8"/>
  <c r="AJ220" i="8" s="1"/>
  <c r="W248" i="8"/>
  <c r="AJ248" i="8" s="1"/>
  <c r="W278" i="8"/>
  <c r="AJ278" i="8" s="1"/>
  <c r="X222" i="8"/>
  <c r="Y222" i="8" s="1"/>
  <c r="X237" i="8"/>
  <c r="Y237" i="8" s="1"/>
  <c r="X223" i="8"/>
  <c r="Y223" i="8" s="1"/>
  <c r="W180" i="8"/>
  <c r="AJ180" i="8" s="1"/>
  <c r="W351" i="8"/>
  <c r="AJ351" i="8" s="1"/>
  <c r="X253" i="8"/>
  <c r="Y253" i="8" s="1"/>
  <c r="X252" i="8"/>
  <c r="Y252" i="8" s="1"/>
  <c r="W223" i="8"/>
  <c r="AJ223" i="8" s="1"/>
  <c r="W348" i="8"/>
  <c r="AJ348" i="8" s="1"/>
  <c r="X265" i="8"/>
  <c r="Y265" i="8" s="1"/>
  <c r="W322" i="8"/>
  <c r="AJ322" i="8" s="1"/>
  <c r="X331" i="8"/>
  <c r="Y331" i="8" s="1"/>
  <c r="X327" i="8"/>
  <c r="Y327" i="8" s="1"/>
  <c r="X254" i="8"/>
  <c r="Y254" i="8" s="1"/>
  <c r="X269" i="8"/>
  <c r="Y269" i="8" s="1"/>
  <c r="X302" i="8"/>
  <c r="Y302" i="8" s="1"/>
  <c r="W193" i="8"/>
  <c r="AJ193" i="8" s="1"/>
  <c r="X313" i="8"/>
  <c r="Y313" i="8" s="1"/>
  <c r="X248" i="8"/>
  <c r="Y248" i="8" s="1"/>
  <c r="X297" i="8"/>
  <c r="Y297" i="8" s="1"/>
  <c r="X236" i="8"/>
  <c r="Y236" i="8" s="1"/>
  <c r="W270" i="8"/>
  <c r="AJ270" i="8" s="1"/>
  <c r="X320" i="8"/>
  <c r="Y320" i="8" s="1"/>
  <c r="X270" i="8"/>
  <c r="Y270" i="8" s="1"/>
  <c r="X319" i="8"/>
  <c r="Y319" i="8" s="1"/>
  <c r="X315" i="8"/>
  <c r="Y315" i="8" s="1"/>
  <c r="W345" i="8"/>
  <c r="AJ345" i="8" s="1"/>
  <c r="W246" i="8"/>
  <c r="AJ246" i="8" s="1"/>
  <c r="W319" i="8"/>
  <c r="AJ319" i="8" s="1"/>
  <c r="X293" i="8"/>
  <c r="Y293" i="8" s="1"/>
  <c r="X246" i="8"/>
  <c r="Y246" i="8" s="1"/>
  <c r="W206" i="8"/>
  <c r="AJ206" i="8" s="1"/>
  <c r="W260" i="8"/>
  <c r="AJ260" i="8" s="1"/>
  <c r="X316" i="8"/>
  <c r="Y316" i="8" s="1"/>
  <c r="W286" i="8"/>
  <c r="AJ286" i="8" s="1"/>
  <c r="W291" i="8"/>
  <c r="AJ291" i="8" s="1"/>
  <c r="X325" i="8"/>
  <c r="Y325" i="8" s="1"/>
  <c r="X284" i="8"/>
  <c r="Y284" i="8" s="1"/>
  <c r="W316" i="8"/>
  <c r="AJ316" i="8" s="1"/>
  <c r="X264" i="8"/>
  <c r="Y264" i="8" s="1"/>
  <c r="W200" i="8"/>
  <c r="AJ200" i="8" s="1"/>
  <c r="X260" i="8"/>
  <c r="Y260" i="8" s="1"/>
  <c r="X278" i="8"/>
  <c r="Y278" i="8" s="1"/>
  <c r="X303" i="8"/>
  <c r="Y303" i="8" s="1"/>
  <c r="W347" i="8"/>
  <c r="AJ347" i="8" s="1"/>
  <c r="W308" i="8"/>
  <c r="AJ308" i="8" s="1"/>
  <c r="W303" i="8"/>
  <c r="X308" i="8"/>
  <c r="Y308" i="8" s="1"/>
  <c r="X256" i="8"/>
  <c r="Y256" i="8" s="1"/>
  <c r="X285" i="8"/>
  <c r="Y285" i="8" s="1"/>
  <c r="X234" i="8"/>
  <c r="Y234" i="8" s="1"/>
  <c r="W204" i="8"/>
  <c r="AJ204" i="8" s="1"/>
  <c r="W279" i="8"/>
  <c r="X279" i="8"/>
  <c r="Y279" i="8" s="1"/>
  <c r="W324" i="8"/>
  <c r="AJ324" i="8" s="1"/>
  <c r="X324" i="8"/>
  <c r="Y324" i="8" s="1"/>
  <c r="W290" i="8"/>
  <c r="AJ290" i="8" s="1"/>
  <c r="X290" i="8"/>
  <c r="Y290" i="8" s="1"/>
  <c r="W329" i="8"/>
  <c r="AJ329" i="8" s="1"/>
  <c r="X329" i="8"/>
  <c r="Y329" i="8" s="1"/>
  <c r="W249" i="8"/>
  <c r="AJ249" i="8" s="1"/>
  <c r="X249" i="8"/>
  <c r="Y249" i="8" s="1"/>
  <c r="X251" i="8"/>
  <c r="Y251" i="8" s="1"/>
  <c r="X309" i="8"/>
  <c r="Y309" i="8" s="1"/>
  <c r="W321" i="8"/>
  <c r="AJ321" i="8" s="1"/>
  <c r="W311" i="8"/>
  <c r="AJ311" i="8" s="1"/>
  <c r="W309" i="8"/>
  <c r="AJ309" i="8" s="1"/>
  <c r="X240" i="8"/>
  <c r="Y240" i="8" s="1"/>
  <c r="X292" i="8"/>
  <c r="Y292" i="8" s="1"/>
  <c r="X233" i="8"/>
  <c r="Y233" i="8" s="1"/>
  <c r="X282" i="8"/>
  <c r="Y282" i="8" s="1"/>
  <c r="X306" i="8"/>
  <c r="Y306" i="8" s="1"/>
  <c r="X232" i="8"/>
  <c r="Y232" i="8" s="1"/>
  <c r="W301" i="8"/>
  <c r="X301" i="8"/>
  <c r="Y301" i="8" s="1"/>
  <c r="W228" i="8"/>
  <c r="X228" i="8"/>
  <c r="Y228" i="8" s="1"/>
  <c r="W280" i="8"/>
  <c r="X280" i="8"/>
  <c r="Y280" i="8" s="1"/>
  <c r="W271" i="8"/>
  <c r="AJ271" i="8" s="1"/>
  <c r="X271" i="8"/>
  <c r="Y271" i="8" s="1"/>
  <c r="W268" i="8"/>
  <c r="AJ268" i="8" s="1"/>
  <c r="X268" i="8"/>
  <c r="Y268" i="8" s="1"/>
  <c r="W263" i="8"/>
  <c r="AJ263" i="8" s="1"/>
  <c r="X263" i="8"/>
  <c r="Y263" i="8" s="1"/>
  <c r="W294" i="8"/>
  <c r="AJ294" i="8" s="1"/>
  <c r="X294" i="8"/>
  <c r="Y294" i="8" s="1"/>
  <c r="W295" i="8"/>
  <c r="AJ295" i="8" s="1"/>
  <c r="X295" i="8"/>
  <c r="Y295" i="8" s="1"/>
  <c r="W360" i="8"/>
  <c r="AJ360" i="8" s="1"/>
  <c r="W177" i="8"/>
  <c r="AJ177" i="8" s="1"/>
  <c r="W304" i="8"/>
  <c r="X304" i="8"/>
  <c r="Y304" i="8" s="1"/>
  <c r="W296" i="8"/>
  <c r="X296" i="8"/>
  <c r="Y296" i="8" s="1"/>
  <c r="W225" i="8"/>
  <c r="X225" i="8"/>
  <c r="Y225" i="8" s="1"/>
  <c r="W186" i="8"/>
  <c r="AJ186" i="8" s="1"/>
  <c r="W241" i="8"/>
  <c r="AJ241" i="8" s="1"/>
  <c r="X241" i="8"/>
  <c r="Y241" i="8" s="1"/>
  <c r="W176" i="8"/>
  <c r="AJ176" i="8" s="1"/>
  <c r="W287" i="8"/>
  <c r="AJ287" i="8" s="1"/>
  <c r="X287" i="8"/>
  <c r="Y287" i="8" s="1"/>
  <c r="W352" i="8"/>
  <c r="AJ352" i="8" s="1"/>
  <c r="W289" i="8"/>
  <c r="AJ289" i="8" s="1"/>
  <c r="X289" i="8"/>
  <c r="Y289" i="8" s="1"/>
  <c r="W332" i="8"/>
  <c r="AJ332" i="8" s="1"/>
  <c r="X332" i="8"/>
  <c r="Y332" i="8" s="1"/>
  <c r="W305" i="8"/>
  <c r="X305" i="8"/>
  <c r="Y305" i="8" s="1"/>
  <c r="W224" i="8"/>
  <c r="AJ224" i="8" s="1"/>
  <c r="W361" i="8"/>
  <c r="AJ361" i="8" s="1"/>
  <c r="W359" i="8"/>
  <c r="AJ359" i="8" s="1"/>
  <c r="W288" i="8"/>
  <c r="AJ288" i="8" s="1"/>
  <c r="X288" i="8"/>
  <c r="Y288" i="8" s="1"/>
  <c r="W317" i="8"/>
  <c r="AJ317" i="8" s="1"/>
  <c r="X317" i="8"/>
  <c r="Y317" i="8" s="1"/>
  <c r="H294" i="9"/>
  <c r="H237" i="9"/>
  <c r="AJ127" i="9"/>
  <c r="H207" i="9"/>
  <c r="AF239" i="9"/>
  <c r="AG239" i="9" s="1"/>
  <c r="H205" i="9"/>
  <c r="AF298" i="9"/>
  <c r="AG298" i="9" s="1"/>
  <c r="H239" i="9"/>
  <c r="AF247" i="9"/>
  <c r="AG247" i="9" s="1"/>
  <c r="AF291" i="9"/>
  <c r="AG291" i="9" s="1"/>
  <c r="AJ239" i="9"/>
  <c r="AF316" i="9"/>
  <c r="AG316" i="9" s="1"/>
  <c r="AF339" i="9"/>
  <c r="AG339" i="9" s="1"/>
  <c r="AF350" i="9"/>
  <c r="AG350" i="9" s="1"/>
  <c r="AF204" i="9"/>
  <c r="AG204" i="9" s="1"/>
  <c r="H299" i="9"/>
  <c r="H176" i="9"/>
  <c r="AF249" i="9"/>
  <c r="AG249" i="9" s="1"/>
  <c r="H213" i="9"/>
  <c r="AF233" i="9"/>
  <c r="AG233" i="9" s="1"/>
  <c r="AF250" i="9"/>
  <c r="AG250" i="9" s="1"/>
  <c r="AJ169" i="9"/>
  <c r="AF334" i="9"/>
  <c r="AG334" i="9" s="1"/>
  <c r="H200" i="9"/>
  <c r="AJ264" i="9"/>
  <c r="AJ342" i="9"/>
  <c r="AJ141" i="9"/>
  <c r="AF325" i="9"/>
  <c r="AG325" i="9" s="1"/>
  <c r="AF189" i="9"/>
  <c r="AG189" i="9" s="1"/>
  <c r="H344" i="9"/>
  <c r="H181" i="9"/>
  <c r="AJ129" i="9"/>
  <c r="AF186" i="9"/>
  <c r="AG186" i="9" s="1"/>
  <c r="AJ176" i="9"/>
  <c r="AF235" i="9"/>
  <c r="AG235" i="9" s="1"/>
  <c r="AJ253" i="9"/>
  <c r="AF262" i="9"/>
  <c r="AG262" i="9" s="1"/>
  <c r="AF290" i="9"/>
  <c r="AG290" i="9" s="1"/>
  <c r="AJ188" i="9"/>
  <c r="AF346" i="9"/>
  <c r="AG346" i="9" s="1"/>
  <c r="H209" i="9"/>
  <c r="H236" i="9"/>
  <c r="H253" i="9"/>
  <c r="AJ235" i="9"/>
  <c r="AF362" i="9"/>
  <c r="AG362" i="9" s="1"/>
  <c r="H250" i="9"/>
  <c r="H363" i="9"/>
  <c r="AF281" i="9"/>
  <c r="AG281" i="9" s="1"/>
  <c r="AF302" i="9"/>
  <c r="AG302" i="9" s="1"/>
  <c r="AF179" i="9"/>
  <c r="AG179" i="9" s="1"/>
  <c r="AF175" i="9"/>
  <c r="AG175" i="9" s="1"/>
  <c r="AF198" i="9"/>
  <c r="AG198" i="9" s="1"/>
  <c r="H233" i="9"/>
  <c r="H285" i="9"/>
  <c r="AF176" i="9"/>
  <c r="AG176" i="9" s="1"/>
  <c r="AF357" i="9"/>
  <c r="AG357" i="9" s="1"/>
  <c r="AJ249" i="9"/>
  <c r="AF293" i="9"/>
  <c r="AG293" i="9" s="1"/>
  <c r="H289" i="9"/>
  <c r="AF267" i="9"/>
  <c r="AG267" i="9" s="1"/>
  <c r="AF304" i="9"/>
  <c r="AG304" i="9" s="1"/>
  <c r="H220" i="9"/>
  <c r="H277" i="9"/>
  <c r="H273" i="9"/>
  <c r="H267" i="9"/>
  <c r="AF273" i="9"/>
  <c r="AG273" i="9" s="1"/>
  <c r="AF256" i="9"/>
  <c r="AG256" i="9" s="1"/>
  <c r="AF309" i="9"/>
  <c r="AG309" i="9" s="1"/>
  <c r="H305" i="9"/>
  <c r="H334" i="9"/>
  <c r="AF333" i="9"/>
  <c r="AG333" i="9" s="1"/>
  <c r="AF277" i="9"/>
  <c r="AG277" i="9" s="1"/>
  <c r="H353" i="9"/>
  <c r="AF219" i="9"/>
  <c r="AG219" i="9" s="1"/>
  <c r="AJ115" i="9"/>
  <c r="H292" i="9"/>
  <c r="AF292" i="9"/>
  <c r="AG292" i="9" s="1"/>
  <c r="H194" i="9"/>
  <c r="H286" i="9"/>
  <c r="H330" i="9"/>
  <c r="AF191" i="9"/>
  <c r="AG191" i="9" s="1"/>
  <c r="H293" i="9"/>
  <c r="H191" i="9"/>
  <c r="H192" i="9"/>
  <c r="H331" i="9"/>
  <c r="H314" i="9"/>
  <c r="AF258" i="9"/>
  <c r="AG258" i="9" s="1"/>
  <c r="H329" i="9"/>
  <c r="AF286" i="9"/>
  <c r="AG286" i="9" s="1"/>
  <c r="AJ258" i="9"/>
  <c r="H326" i="9"/>
  <c r="H258" i="9"/>
  <c r="H235" i="9"/>
  <c r="H313" i="9"/>
  <c r="AF202" i="8"/>
  <c r="AG202" i="8" s="1"/>
  <c r="AF258" i="8"/>
  <c r="AG258" i="8" s="1"/>
  <c r="H318" i="8"/>
  <c r="H216" i="9"/>
  <c r="H265" i="8"/>
  <c r="H275" i="8"/>
  <c r="H359" i="9"/>
  <c r="H202" i="9"/>
  <c r="AF243" i="8"/>
  <c r="AG243" i="8" s="1"/>
  <c r="H272" i="8"/>
  <c r="AF326" i="9"/>
  <c r="AG326" i="9" s="1"/>
  <c r="H300" i="8"/>
  <c r="AF302" i="8"/>
  <c r="AG302" i="8" s="1"/>
  <c r="H235" i="8"/>
  <c r="AF314" i="8"/>
  <c r="AG314" i="8" s="1"/>
  <c r="AF327" i="8"/>
  <c r="AG327" i="8" s="1"/>
  <c r="H202" i="8"/>
  <c r="AJ76" i="9"/>
  <c r="AF358" i="9"/>
  <c r="AG358" i="9" s="1"/>
  <c r="AF232" i="8"/>
  <c r="AG232" i="8" s="1"/>
  <c r="AF221" i="9"/>
  <c r="AG221" i="9" s="1"/>
  <c r="AF362" i="8"/>
  <c r="AG362" i="8" s="1"/>
  <c r="AF293" i="8"/>
  <c r="AG293" i="8" s="1"/>
  <c r="H191" i="8"/>
  <c r="H238" i="9"/>
  <c r="H179" i="8"/>
  <c r="AF274" i="8"/>
  <c r="AG274" i="8" s="1"/>
  <c r="AF178" i="9"/>
  <c r="AG178" i="9" s="1"/>
  <c r="AJ190" i="9"/>
  <c r="AF344" i="9"/>
  <c r="AG344" i="9" s="1"/>
  <c r="H323" i="9"/>
  <c r="AJ202" i="9"/>
  <c r="H358" i="9"/>
  <c r="AJ307" i="9"/>
  <c r="AF191" i="8"/>
  <c r="AG191" i="8" s="1"/>
  <c r="H343" i="9"/>
  <c r="H249" i="9"/>
  <c r="AF295" i="8"/>
  <c r="AG295" i="8" s="1"/>
  <c r="H193" i="9"/>
  <c r="AF265" i="8"/>
  <c r="AG265" i="8" s="1"/>
  <c r="AF215" i="9"/>
  <c r="AG215" i="9" s="1"/>
  <c r="AJ192" i="9"/>
  <c r="H335" i="9"/>
  <c r="H179" i="9"/>
  <c r="AF202" i="9"/>
  <c r="AG202" i="9" s="1"/>
  <c r="H248" i="9"/>
  <c r="H291" i="9"/>
  <c r="H293" i="8"/>
  <c r="H306" i="9"/>
  <c r="AF190" i="9"/>
  <c r="AG190" i="9" s="1"/>
  <c r="AF220" i="8"/>
  <c r="AG220" i="8" s="1"/>
  <c r="AJ184" i="9"/>
  <c r="H234" i="8"/>
  <c r="AF248" i="9"/>
  <c r="AG248" i="9" s="1"/>
  <c r="H343" i="8"/>
  <c r="H327" i="9"/>
  <c r="AF203" i="8"/>
  <c r="AG203" i="8" s="1"/>
  <c r="AF296" i="9"/>
  <c r="AG296" i="9" s="1"/>
  <c r="AJ323" i="9"/>
  <c r="H307" i="9"/>
  <c r="AF306" i="9"/>
  <c r="AG306" i="9" s="1"/>
  <c r="AF257" i="9"/>
  <c r="AG257" i="9" s="1"/>
  <c r="H336" i="9"/>
  <c r="AJ335" i="9"/>
  <c r="AF184" i="9"/>
  <c r="AG184" i="9" s="1"/>
  <c r="AF234" i="8"/>
  <c r="AG234" i="8" s="1"/>
  <c r="H266" i="8"/>
  <c r="H314" i="8"/>
  <c r="H363" i="8"/>
  <c r="H192" i="8"/>
  <c r="H327" i="8"/>
  <c r="H232" i="8"/>
  <c r="AJ308" i="9"/>
  <c r="AF173" i="8"/>
  <c r="AG173" i="8" s="1"/>
  <c r="H188" i="8"/>
  <c r="AF213" i="8"/>
  <c r="AG213" i="8" s="1"/>
  <c r="H359" i="8"/>
  <c r="H294" i="8"/>
  <c r="H338" i="9"/>
  <c r="H354" i="8"/>
  <c r="H187" i="9"/>
  <c r="H173" i="9"/>
  <c r="H230" i="8"/>
  <c r="AF204" i="8"/>
  <c r="AG204" i="8" s="1"/>
  <c r="AJ361" i="9"/>
  <c r="AF207" i="9"/>
  <c r="AG207" i="9" s="1"/>
  <c r="AF271" i="8"/>
  <c r="AG271" i="8" s="1"/>
  <c r="H241" i="8"/>
  <c r="AF248" i="8"/>
  <c r="AG248" i="8" s="1"/>
  <c r="AF350" i="8"/>
  <c r="AG350" i="8" s="1"/>
  <c r="AF260" i="9"/>
  <c r="AG260" i="9" s="1"/>
  <c r="H240" i="8"/>
  <c r="AF294" i="8"/>
  <c r="AG294" i="8" s="1"/>
  <c r="AF214" i="9"/>
  <c r="AG214" i="9" s="1"/>
  <c r="AF283" i="8"/>
  <c r="AG283" i="8" s="1"/>
  <c r="AF223" i="9"/>
  <c r="AG223" i="9" s="1"/>
  <c r="H183" i="9"/>
  <c r="H224" i="8"/>
  <c r="H184" i="8"/>
  <c r="AF334" i="8"/>
  <c r="AG334" i="8" s="1"/>
  <c r="H215" i="9"/>
  <c r="H240" i="9"/>
  <c r="H190" i="8"/>
  <c r="H337" i="9"/>
  <c r="H238" i="8"/>
  <c r="AF278" i="9"/>
  <c r="AG278" i="9" s="1"/>
  <c r="H184" i="9"/>
  <c r="H255" i="8"/>
  <c r="AF227" i="8"/>
  <c r="AG227" i="8" s="1"/>
  <c r="AF237" i="9"/>
  <c r="AG237" i="9" s="1"/>
  <c r="H243" i="9"/>
  <c r="H283" i="8"/>
  <c r="H360" i="9"/>
  <c r="H276" i="9"/>
  <c r="H196" i="8"/>
  <c r="H259" i="8"/>
  <c r="AF240" i="9"/>
  <c r="AG240" i="9" s="1"/>
  <c r="AF190" i="8"/>
  <c r="AG190" i="8" s="1"/>
  <c r="AF337" i="9"/>
  <c r="AG337" i="9" s="1"/>
  <c r="H328" i="8"/>
  <c r="H217" i="9"/>
  <c r="H291" i="8"/>
  <c r="H360" i="8"/>
  <c r="AF184" i="8"/>
  <c r="AG184" i="8" s="1"/>
  <c r="H244" i="9"/>
  <c r="H334" i="8"/>
  <c r="AF269" i="8"/>
  <c r="AG269" i="8" s="1"/>
  <c r="H190" i="9"/>
  <c r="AF254" i="8"/>
  <c r="AG254" i="8" s="1"/>
  <c r="H210" i="8"/>
  <c r="AJ133" i="9"/>
  <c r="H245" i="9"/>
  <c r="H284" i="8"/>
  <c r="AF225" i="8"/>
  <c r="AG225" i="8" s="1"/>
  <c r="H295" i="8"/>
  <c r="H329" i="8"/>
  <c r="AJ337" i="9"/>
  <c r="H316" i="9"/>
  <c r="AF210" i="8"/>
  <c r="AG210" i="8" s="1"/>
  <c r="AF290" i="8"/>
  <c r="AG290" i="8" s="1"/>
  <c r="H210" i="9"/>
  <c r="AF276" i="9"/>
  <c r="AG276" i="9" s="1"/>
  <c r="H287" i="9"/>
  <c r="H350" i="8"/>
  <c r="H261" i="9"/>
  <c r="H278" i="9"/>
  <c r="AJ88" i="9"/>
  <c r="AF217" i="9"/>
  <c r="AG217" i="9" s="1"/>
  <c r="AF359" i="8"/>
  <c r="AG359" i="8" s="1"/>
  <c r="AF237" i="8"/>
  <c r="AG237" i="8" s="1"/>
  <c r="H351" i="8"/>
  <c r="AF360" i="9"/>
  <c r="AG360" i="9" s="1"/>
  <c r="AF288" i="8"/>
  <c r="AG288" i="8" s="1"/>
  <c r="H271" i="8"/>
  <c r="H225" i="8"/>
  <c r="H290" i="8"/>
  <c r="AJ84" i="9"/>
  <c r="H226" i="8"/>
  <c r="H258" i="8"/>
  <c r="H260" i="8"/>
  <c r="H195" i="9"/>
  <c r="AJ157" i="8"/>
  <c r="H296" i="9"/>
  <c r="H205" i="8"/>
  <c r="AF205" i="8"/>
  <c r="AG205" i="8" s="1"/>
  <c r="AF303" i="8"/>
  <c r="AG303" i="8" s="1"/>
  <c r="AF213" i="9"/>
  <c r="AG213" i="9" s="1"/>
  <c r="H287" i="8"/>
  <c r="H295" i="9"/>
  <c r="H350" i="9"/>
  <c r="H236" i="8"/>
  <c r="H214" i="9"/>
  <c r="H362" i="8"/>
  <c r="H288" i="8"/>
  <c r="AF349" i="9"/>
  <c r="AG349" i="9" s="1"/>
  <c r="AF267" i="8"/>
  <c r="AG267" i="8" s="1"/>
  <c r="AF236" i="8"/>
  <c r="AG236" i="8" s="1"/>
  <c r="H237" i="8"/>
  <c r="H345" i="8"/>
  <c r="AF287" i="8"/>
  <c r="AG287" i="8" s="1"/>
  <c r="AF361" i="8"/>
  <c r="AG361" i="8" s="1"/>
  <c r="H344" i="8"/>
  <c r="H303" i="8"/>
  <c r="H206" i="8"/>
  <c r="AF231" i="9"/>
  <c r="AG231" i="9" s="1"/>
  <c r="H349" i="9"/>
  <c r="H312" i="8"/>
  <c r="H262" i="9"/>
  <c r="H185" i="8"/>
  <c r="H206" i="9"/>
  <c r="H215" i="8"/>
  <c r="H186" i="8"/>
  <c r="H331" i="8"/>
  <c r="AF320" i="9"/>
  <c r="AG320" i="9" s="1"/>
  <c r="AF220" i="9"/>
  <c r="AG220" i="9" s="1"/>
  <c r="H342" i="9"/>
  <c r="AF301" i="8"/>
  <c r="AG301" i="8" s="1"/>
  <c r="H231" i="8"/>
  <c r="H300" i="9"/>
  <c r="H340" i="8"/>
  <c r="H199" i="9"/>
  <c r="H309" i="8"/>
  <c r="H223" i="8"/>
  <c r="AF272" i="8"/>
  <c r="AG272" i="8" s="1"/>
  <c r="H194" i="8"/>
  <c r="H177" i="9"/>
  <c r="H180" i="8"/>
  <c r="H212" i="9"/>
  <c r="AF324" i="9"/>
  <c r="AG324" i="9" s="1"/>
  <c r="H181" i="8"/>
  <c r="AJ261" i="9"/>
  <c r="AJ73" i="8"/>
  <c r="AF222" i="8"/>
  <c r="AG222" i="8" s="1"/>
  <c r="H351" i="9"/>
  <c r="AJ150" i="8"/>
  <c r="AF215" i="8"/>
  <c r="AG215" i="8" s="1"/>
  <c r="AJ356" i="9"/>
  <c r="H219" i="8"/>
  <c r="H330" i="8"/>
  <c r="H321" i="9"/>
  <c r="H325" i="9"/>
  <c r="AF185" i="8"/>
  <c r="AG185" i="8" s="1"/>
  <c r="H301" i="9"/>
  <c r="AJ280" i="9"/>
  <c r="AJ341" i="9"/>
  <c r="H251" i="9"/>
  <c r="AF326" i="8"/>
  <c r="AG326" i="8" s="1"/>
  <c r="AF177" i="9"/>
  <c r="AG177" i="9" s="1"/>
  <c r="AJ211" i="9"/>
  <c r="AF219" i="8"/>
  <c r="AG219" i="8" s="1"/>
  <c r="H346" i="9"/>
  <c r="AF301" i="9"/>
  <c r="AG301" i="9" s="1"/>
  <c r="AF282" i="9"/>
  <c r="AG282" i="9" s="1"/>
  <c r="H218" i="9"/>
  <c r="AF280" i="9"/>
  <c r="AG280" i="9" s="1"/>
  <c r="H339" i="8"/>
  <c r="H301" i="8"/>
  <c r="AF231" i="8"/>
  <c r="AG231" i="8" s="1"/>
  <c r="AF300" i="9"/>
  <c r="AG300" i="9" s="1"/>
  <c r="H222" i="8"/>
  <c r="AF199" i="9"/>
  <c r="AG199" i="9" s="1"/>
  <c r="AF251" i="9"/>
  <c r="AG251" i="9" s="1"/>
  <c r="H220" i="8"/>
  <c r="AF206" i="9"/>
  <c r="AG206" i="9" s="1"/>
  <c r="H345" i="9"/>
  <c r="H211" i="9"/>
  <c r="H297" i="9"/>
  <c r="H221" i="9"/>
  <c r="H180" i="9"/>
  <c r="H333" i="8"/>
  <c r="H282" i="9"/>
  <c r="H280" i="9"/>
  <c r="H320" i="9"/>
  <c r="AF339" i="8"/>
  <c r="AG339" i="8" s="1"/>
  <c r="AF261" i="9"/>
  <c r="AG261" i="9" s="1"/>
  <c r="H298" i="9"/>
  <c r="H182" i="9"/>
  <c r="H281" i="9"/>
  <c r="H253" i="8"/>
  <c r="AF194" i="8"/>
  <c r="AG194" i="8" s="1"/>
  <c r="H219" i="9"/>
  <c r="AF211" i="9"/>
  <c r="AG211" i="9" s="1"/>
  <c r="AF297" i="9"/>
  <c r="AG297" i="9" s="1"/>
  <c r="H324" i="9"/>
  <c r="H198" i="9"/>
  <c r="AJ180" i="9"/>
  <c r="H357" i="9"/>
  <c r="H308" i="8"/>
  <c r="H357" i="8"/>
  <c r="H348" i="8"/>
  <c r="H246" i="8"/>
  <c r="H341" i="9"/>
  <c r="AF253" i="8"/>
  <c r="AG253" i="8" s="1"/>
  <c r="H245" i="8"/>
  <c r="H302" i="9"/>
  <c r="H310" i="8"/>
  <c r="H254" i="8"/>
  <c r="H356" i="9"/>
  <c r="AJ206" i="9"/>
  <c r="AF197" i="9"/>
  <c r="AG197" i="9" s="1"/>
  <c r="H283" i="9"/>
  <c r="AF357" i="8"/>
  <c r="AG357" i="8" s="1"/>
  <c r="AF348" i="8"/>
  <c r="AG348" i="8" s="1"/>
  <c r="H332" i="8"/>
  <c r="AF216" i="8"/>
  <c r="AG216" i="8" s="1"/>
  <c r="AF333" i="8"/>
  <c r="AG333" i="8" s="1"/>
  <c r="H197" i="9"/>
  <c r="H227" i="9"/>
  <c r="H195" i="8"/>
  <c r="H178" i="9"/>
  <c r="H217" i="8"/>
  <c r="AF180" i="9"/>
  <c r="AG180" i="9" s="1"/>
  <c r="AF218" i="9"/>
  <c r="AG218" i="9" s="1"/>
  <c r="AJ208" i="9"/>
  <c r="AF311" i="8"/>
  <c r="AG311" i="8" s="1"/>
  <c r="H232" i="9"/>
  <c r="H311" i="8"/>
  <c r="AF266" i="8"/>
  <c r="AG266" i="8" s="1"/>
  <c r="H204" i="9"/>
  <c r="H182" i="8"/>
  <c r="H289" i="8"/>
  <c r="AJ156" i="9"/>
  <c r="H231" i="9"/>
  <c r="AF289" i="8"/>
  <c r="AG289" i="8" s="1"/>
  <c r="AF182" i="8"/>
  <c r="AG182" i="8" s="1"/>
  <c r="H211" i="8"/>
  <c r="H328" i="9"/>
  <c r="H208" i="9"/>
  <c r="H203" i="9"/>
  <c r="AJ154" i="9"/>
  <c r="AF208" i="9"/>
  <c r="AG208" i="9" s="1"/>
  <c r="H267" i="8"/>
  <c r="H319" i="9"/>
  <c r="H341" i="8"/>
  <c r="H241" i="9"/>
  <c r="H263" i="9"/>
  <c r="H311" i="9"/>
  <c r="H288" i="9"/>
  <c r="H249" i="8"/>
  <c r="H356" i="8"/>
  <c r="AJ134" i="9"/>
  <c r="AJ77" i="8"/>
  <c r="H303" i="9"/>
  <c r="H315" i="9"/>
  <c r="H274" i="8"/>
  <c r="AF358" i="8"/>
  <c r="AG358" i="8" s="1"/>
  <c r="AF226" i="9"/>
  <c r="AG226" i="9" s="1"/>
  <c r="AF211" i="8"/>
  <c r="AG211" i="8" s="1"/>
  <c r="AF364" i="9"/>
  <c r="AG364" i="9" s="1"/>
  <c r="H255" i="9"/>
  <c r="AF288" i="9"/>
  <c r="AG288" i="9" s="1"/>
  <c r="H186" i="9"/>
  <c r="H362" i="9"/>
  <c r="H290" i="9"/>
  <c r="H251" i="8"/>
  <c r="AF218" i="8"/>
  <c r="AG218" i="8" s="1"/>
  <c r="AF347" i="9"/>
  <c r="AG347" i="9" s="1"/>
  <c r="H196" i="9"/>
  <c r="AF173" i="9"/>
  <c r="AG173" i="9" s="1"/>
  <c r="H242" i="9"/>
  <c r="H358" i="8"/>
  <c r="H307" i="8"/>
  <c r="AF349" i="8"/>
  <c r="AG349" i="8" s="1"/>
  <c r="H308" i="9"/>
  <c r="AF273" i="8"/>
  <c r="AG273" i="8" s="1"/>
  <c r="AF187" i="9"/>
  <c r="AG187" i="9" s="1"/>
  <c r="AF268" i="8"/>
  <c r="AG268" i="8" s="1"/>
  <c r="H347" i="9"/>
  <c r="AF355" i="8"/>
  <c r="AG355" i="8" s="1"/>
  <c r="H212" i="8"/>
  <c r="AF222" i="9"/>
  <c r="AG222" i="9" s="1"/>
  <c r="H318" i="9"/>
  <c r="AJ255" i="9"/>
  <c r="AF194" i="9"/>
  <c r="AG194" i="9" s="1"/>
  <c r="H349" i="8"/>
  <c r="H282" i="8"/>
  <c r="AF249" i="8"/>
  <c r="AG249" i="8" s="1"/>
  <c r="H252" i="8"/>
  <c r="AF260" i="8"/>
  <c r="AG260" i="8" s="1"/>
  <c r="AF310" i="9"/>
  <c r="AG310" i="9" s="1"/>
  <c r="H197" i="8"/>
  <c r="AF241" i="9"/>
  <c r="AG241" i="9" s="1"/>
  <c r="H264" i="9"/>
  <c r="H214" i="8"/>
  <c r="H310" i="9"/>
  <c r="AF327" i="9"/>
  <c r="AG327" i="9" s="1"/>
  <c r="AF234" i="9"/>
  <c r="AG234" i="9" s="1"/>
  <c r="AJ347" i="9"/>
  <c r="AF318" i="9"/>
  <c r="AG318" i="9" s="1"/>
  <c r="H269" i="8"/>
  <c r="H256" i="8"/>
  <c r="H204" i="8"/>
  <c r="H224" i="9"/>
  <c r="AF282" i="8"/>
  <c r="AG282" i="8" s="1"/>
  <c r="H175" i="8"/>
  <c r="H332" i="9"/>
  <c r="AJ241" i="9"/>
  <c r="H273" i="8"/>
  <c r="AF354" i="9"/>
  <c r="AG354" i="9" s="1"/>
  <c r="AJ327" i="9"/>
  <c r="H234" i="9"/>
  <c r="H304" i="8"/>
  <c r="H280" i="8"/>
  <c r="AF256" i="8"/>
  <c r="AG256" i="8" s="1"/>
  <c r="AF188" i="8"/>
  <c r="AG188" i="8" s="1"/>
  <c r="H361" i="9"/>
  <c r="AF175" i="8"/>
  <c r="AG175" i="8" s="1"/>
  <c r="AF332" i="9"/>
  <c r="AG332" i="9" s="1"/>
  <c r="H348" i="9"/>
  <c r="H174" i="9"/>
  <c r="H342" i="8"/>
  <c r="AF196" i="9"/>
  <c r="AG196" i="9" s="1"/>
  <c r="H213" i="8"/>
  <c r="H261" i="8"/>
  <c r="AF250" i="8"/>
  <c r="AG250" i="8" s="1"/>
  <c r="H364" i="9"/>
  <c r="AF354" i="8"/>
  <c r="AG354" i="8" s="1"/>
  <c r="AJ224" i="9"/>
  <c r="AF361" i="9"/>
  <c r="AG361" i="9" s="1"/>
  <c r="H309" i="9"/>
  <c r="H333" i="9"/>
  <c r="H174" i="8"/>
  <c r="H218" i="8"/>
  <c r="H185" i="9"/>
  <c r="H268" i="8"/>
  <c r="H223" i="9"/>
  <c r="H355" i="8"/>
  <c r="H355" i="9"/>
  <c r="AF306" i="8"/>
  <c r="AG306" i="8" s="1"/>
  <c r="AJ171" i="8"/>
  <c r="H252" i="9"/>
  <c r="H337" i="8"/>
  <c r="H338" i="8"/>
  <c r="H322" i="9"/>
  <c r="AF259" i="9"/>
  <c r="AG259" i="9" s="1"/>
  <c r="H320" i="8"/>
  <c r="AF303" i="9"/>
  <c r="AG303" i="9" s="1"/>
  <c r="H260" i="9"/>
  <c r="AJ175" i="9"/>
  <c r="AF315" i="9"/>
  <c r="AG315" i="9" s="1"/>
  <c r="AF246" i="8"/>
  <c r="AG246" i="8" s="1"/>
  <c r="H317" i="8"/>
  <c r="AF233" i="8"/>
  <c r="AG233" i="8" s="1"/>
  <c r="AF346" i="8"/>
  <c r="AG346" i="8" s="1"/>
  <c r="H292" i="8"/>
  <c r="AF265" i="9"/>
  <c r="AG265" i="9" s="1"/>
  <c r="H336" i="8"/>
  <c r="AF342" i="8"/>
  <c r="AG342" i="8" s="1"/>
  <c r="AF246" i="9"/>
  <c r="AG246" i="9" s="1"/>
  <c r="H316" i="8"/>
  <c r="H305" i="8"/>
  <c r="H352" i="9"/>
  <c r="AJ117" i="9"/>
  <c r="AF320" i="8"/>
  <c r="AG320" i="8" s="1"/>
  <c r="H247" i="8"/>
  <c r="H256" i="9"/>
  <c r="H177" i="8"/>
  <c r="H277" i="8"/>
  <c r="H275" i="9"/>
  <c r="AF242" i="8"/>
  <c r="AG242" i="8" s="1"/>
  <c r="H227" i="8"/>
  <c r="H265" i="9"/>
  <c r="H246" i="9"/>
  <c r="AF352" i="9"/>
  <c r="AG352" i="9" s="1"/>
  <c r="H274" i="9"/>
  <c r="H259" i="9"/>
  <c r="H257" i="9"/>
  <c r="H183" i="8"/>
  <c r="H326" i="8"/>
  <c r="H243" i="8"/>
  <c r="H325" i="8"/>
  <c r="H335" i="8"/>
  <c r="H339" i="9"/>
  <c r="H228" i="9"/>
  <c r="AF176" i="8"/>
  <c r="AG176" i="8" s="1"/>
  <c r="AF277" i="8"/>
  <c r="AG277" i="8" s="1"/>
  <c r="H242" i="8"/>
  <c r="AF336" i="8"/>
  <c r="AG336" i="8" s="1"/>
  <c r="AF325" i="8"/>
  <c r="AG325" i="8" s="1"/>
  <c r="AF335" i="8"/>
  <c r="AG335" i="8" s="1"/>
  <c r="AF228" i="9"/>
  <c r="AG228" i="9" s="1"/>
  <c r="H247" i="9"/>
  <c r="H306" i="8"/>
  <c r="H346" i="8"/>
  <c r="AJ259" i="9"/>
  <c r="H225" i="9"/>
  <c r="H176" i="8"/>
  <c r="H304" i="9"/>
  <c r="H175" i="9"/>
  <c r="H221" i="8"/>
  <c r="AF316" i="8"/>
  <c r="AG316" i="8" s="1"/>
  <c r="H233" i="8"/>
  <c r="H317" i="9"/>
  <c r="AF317" i="9"/>
  <c r="AG317" i="9" s="1"/>
  <c r="AF212" i="8"/>
  <c r="AG212" i="8" s="1"/>
  <c r="H222" i="9"/>
  <c r="AF271" i="9"/>
  <c r="AG271" i="9" s="1"/>
  <c r="AF343" i="9"/>
  <c r="AG343" i="9" s="1"/>
  <c r="AF209" i="9"/>
  <c r="AG209" i="9" s="1"/>
  <c r="AF254" i="9"/>
  <c r="AG254" i="9" s="1"/>
  <c r="H254" i="9"/>
  <c r="AF229" i="8"/>
  <c r="AG229" i="8" s="1"/>
  <c r="H229" i="8"/>
  <c r="H187" i="8"/>
  <c r="AF187" i="8"/>
  <c r="AG187" i="8" s="1"/>
  <c r="H271" i="9"/>
  <c r="AF338" i="9"/>
  <c r="AG338" i="9" s="1"/>
  <c r="AF228" i="8"/>
  <c r="AG228" i="8" s="1"/>
  <c r="AF226" i="8"/>
  <c r="AG226" i="8" s="1"/>
  <c r="H229" i="9"/>
  <c r="AF338" i="8"/>
  <c r="AG338" i="8" s="1"/>
  <c r="AF280" i="8"/>
  <c r="AG280" i="8" s="1"/>
  <c r="H257" i="8"/>
  <c r="AF257" i="8"/>
  <c r="AG257" i="8" s="1"/>
  <c r="AF263" i="9"/>
  <c r="AG263" i="9" s="1"/>
  <c r="AF229" i="9"/>
  <c r="AG229" i="9" s="1"/>
  <c r="AF279" i="9"/>
  <c r="AG279" i="9" s="1"/>
  <c r="H178" i="8"/>
  <c r="H340" i="9"/>
  <c r="AF322" i="9"/>
  <c r="AG322" i="9" s="1"/>
  <c r="H312" i="9"/>
  <c r="AF198" i="8"/>
  <c r="AG198" i="8" s="1"/>
  <c r="AF296" i="8"/>
  <c r="AG296" i="8" s="1"/>
  <c r="H296" i="8"/>
  <c r="H198" i="8"/>
  <c r="H284" i="9"/>
  <c r="AF312" i="9"/>
  <c r="AG312" i="9" s="1"/>
  <c r="H266" i="9"/>
  <c r="AF266" i="9"/>
  <c r="AG266" i="9" s="1"/>
  <c r="AF340" i="9"/>
  <c r="AG340" i="9" s="1"/>
  <c r="AF182" i="9"/>
  <c r="AG182" i="9" s="1"/>
  <c r="AF227" i="9"/>
  <c r="AG227" i="9" s="1"/>
  <c r="AF284" i="9"/>
  <c r="AG284" i="9" s="1"/>
  <c r="AF348" i="9"/>
  <c r="AG348" i="9" s="1"/>
  <c r="AF178" i="8"/>
  <c r="AG178" i="8" s="1"/>
  <c r="H228" i="8"/>
  <c r="AF259" i="8"/>
  <c r="AG259" i="8" s="1"/>
  <c r="H279" i="9"/>
  <c r="AF183" i="9"/>
  <c r="AG183" i="9" s="1"/>
  <c r="AJ111" i="8"/>
  <c r="AJ93" i="9"/>
  <c r="AJ107" i="8"/>
  <c r="AJ98" i="8"/>
  <c r="AJ160" i="8"/>
  <c r="AJ79" i="8"/>
  <c r="AJ165" i="9"/>
  <c r="AJ162" i="9"/>
  <c r="AJ353" i="9"/>
  <c r="AJ81" i="9"/>
  <c r="AJ75" i="9"/>
  <c r="AJ115" i="8"/>
  <c r="AJ148" i="9"/>
  <c r="AJ193" i="9"/>
  <c r="AJ106" i="9"/>
  <c r="AJ331" i="9"/>
  <c r="AJ273" i="9"/>
  <c r="AJ140" i="9"/>
  <c r="AJ138" i="8"/>
  <c r="AJ201" i="9"/>
  <c r="AJ262" i="9"/>
  <c r="AJ89" i="9"/>
  <c r="AJ179" i="9"/>
  <c r="AJ146" i="8"/>
  <c r="AJ163" i="8"/>
  <c r="AJ100" i="9"/>
  <c r="AJ272" i="9"/>
  <c r="AJ233" i="9"/>
  <c r="AJ294" i="9"/>
  <c r="AJ102" i="8"/>
  <c r="AJ301" i="9"/>
  <c r="AJ357" i="9"/>
  <c r="AJ76" i="8"/>
  <c r="AJ159" i="8"/>
  <c r="AJ220" i="9"/>
  <c r="AJ281" i="9"/>
  <c r="AJ329" i="9"/>
  <c r="AJ158" i="9"/>
  <c r="AJ114" i="9"/>
  <c r="AJ155" i="9"/>
  <c r="AJ158" i="8"/>
  <c r="AJ114" i="8"/>
  <c r="AJ86" i="9"/>
  <c r="AJ95" i="9"/>
  <c r="AJ304" i="9"/>
  <c r="AJ247" i="9"/>
  <c r="AJ198" i="9"/>
  <c r="AJ94" i="8"/>
  <c r="AJ221" i="9"/>
  <c r="AJ360" i="9"/>
  <c r="AJ87" i="9"/>
  <c r="AJ306" i="9"/>
  <c r="AJ145" i="9"/>
  <c r="AJ79" i="9"/>
  <c r="AJ256" i="9"/>
  <c r="AJ285" i="9"/>
  <c r="AJ177" i="9"/>
  <c r="AJ314" i="9"/>
  <c r="AJ148" i="8"/>
  <c r="AJ358" i="9"/>
  <c r="AJ265" i="9"/>
  <c r="AJ313" i="9"/>
  <c r="AJ142" i="9"/>
  <c r="AJ164" i="8"/>
  <c r="AJ99" i="9"/>
  <c r="AJ207" i="9"/>
  <c r="AJ173" i="9"/>
  <c r="AJ242" i="9"/>
  <c r="AJ73" i="9"/>
  <c r="AJ124" i="9"/>
  <c r="AJ136" i="9"/>
  <c r="AJ145" i="8"/>
  <c r="AJ231" i="9"/>
  <c r="AJ74" i="8"/>
  <c r="AJ213" i="9"/>
  <c r="AJ103" i="8"/>
  <c r="AJ140" i="8"/>
  <c r="AJ82" i="9"/>
  <c r="AJ142" i="8"/>
  <c r="AJ362" i="9"/>
  <c r="AJ117" i="8"/>
  <c r="AJ232" i="9"/>
  <c r="AJ91" i="9"/>
  <c r="AJ101" i="9"/>
  <c r="AJ130" i="9"/>
  <c r="AJ172" i="8"/>
  <c r="AJ133" i="8"/>
  <c r="AJ75" i="8"/>
  <c r="AJ118" i="9"/>
  <c r="AJ159" i="9"/>
  <c r="AJ78" i="8"/>
  <c r="AJ236" i="9"/>
  <c r="AJ134" i="8"/>
  <c r="AJ118" i="8"/>
  <c r="AJ178" i="9"/>
  <c r="AJ316" i="9"/>
  <c r="AJ86" i="8"/>
  <c r="AJ336" i="9"/>
  <c r="AJ292" i="9"/>
  <c r="AJ168" i="9"/>
  <c r="AJ128" i="8"/>
  <c r="AJ303" i="9"/>
  <c r="AJ230" i="9"/>
  <c r="AJ119" i="8"/>
  <c r="AJ195" i="9"/>
  <c r="AJ109" i="8"/>
  <c r="AJ125" i="9"/>
  <c r="AJ212" i="9"/>
  <c r="AJ146" i="9"/>
  <c r="AJ124" i="8"/>
  <c r="AJ132" i="9"/>
  <c r="AJ103" i="9"/>
  <c r="AJ246" i="9"/>
  <c r="AJ349" i="9"/>
  <c r="AJ216" i="9"/>
  <c r="AJ137" i="9"/>
  <c r="AJ126" i="8"/>
  <c r="AJ215" i="9"/>
  <c r="AJ128" i="9"/>
  <c r="AJ257" i="9"/>
  <c r="AJ78" i="9"/>
  <c r="AJ311" i="9"/>
  <c r="AJ160" i="9"/>
  <c r="AJ217" i="9"/>
  <c r="AJ113" i="8"/>
  <c r="AJ260" i="9"/>
  <c r="AJ332" i="9"/>
  <c r="AJ210" i="9"/>
  <c r="AJ290" i="9"/>
  <c r="AJ354" i="9"/>
  <c r="AJ325" i="9"/>
  <c r="AJ243" i="9"/>
  <c r="AJ138" i="9"/>
  <c r="AJ162" i="8"/>
  <c r="AJ181" i="9"/>
  <c r="AJ130" i="8"/>
  <c r="AJ298" i="9"/>
  <c r="AJ305" i="9"/>
  <c r="AJ170" i="9"/>
  <c r="AJ102" i="9"/>
  <c r="AJ164" i="9"/>
  <c r="AJ240" i="9"/>
  <c r="AJ83" i="8"/>
  <c r="AJ105" i="9"/>
  <c r="AJ119" i="9"/>
  <c r="AJ166" i="8"/>
  <c r="AJ80" i="9"/>
  <c r="AJ132" i="8"/>
  <c r="AJ129" i="8"/>
  <c r="AJ245" i="9"/>
  <c r="AJ97" i="9"/>
  <c r="AJ334" i="9"/>
  <c r="AJ275" i="9"/>
  <c r="AJ157" i="9"/>
  <c r="AJ234" i="9"/>
  <c r="AJ89" i="8"/>
  <c r="AJ223" i="9"/>
  <c r="AJ110" i="8"/>
  <c r="AJ291" i="9"/>
  <c r="AJ135" i="8"/>
  <c r="AJ106" i="8"/>
  <c r="AJ200" i="9"/>
  <c r="AJ167" i="9"/>
  <c r="AJ359" i="9"/>
  <c r="AJ143" i="9"/>
  <c r="AJ108" i="9"/>
  <c r="AJ167" i="8"/>
  <c r="AJ302" i="9"/>
  <c r="AJ296" i="9"/>
  <c r="AJ111" i="9"/>
  <c r="AJ112" i="9"/>
  <c r="AJ108" i="8"/>
  <c r="AJ81" i="8"/>
  <c r="AJ143" i="8"/>
  <c r="AJ112" i="8"/>
  <c r="AJ186" i="9"/>
  <c r="AJ171" i="9"/>
  <c r="AJ74" i="9"/>
  <c r="AJ321" i="9"/>
  <c r="AJ125" i="8"/>
  <c r="AJ165" i="8"/>
  <c r="AJ96" i="9"/>
  <c r="AJ191" i="9"/>
  <c r="AJ277" i="9"/>
  <c r="AJ84" i="8"/>
  <c r="AJ139" i="9"/>
  <c r="AJ274" i="9"/>
  <c r="Q363" i="8" l="1"/>
  <c r="F366" i="8"/>
  <c r="G365" i="8"/>
  <c r="P364" i="9" a="1"/>
  <c r="P364" i="9" s="1"/>
  <c r="O364" i="9"/>
  <c r="I364" i="9"/>
  <c r="K364" i="9"/>
  <c r="F366" i="9"/>
  <c r="G365" i="9"/>
  <c r="K54" i="3"/>
  <c r="M54" i="3" s="1"/>
  <c r="P54" i="3" a="1"/>
  <c r="P54" i="3" s="1"/>
  <c r="O54" i="3"/>
  <c r="F56" i="3"/>
  <c r="G55" i="3"/>
  <c r="H55" i="3" s="1"/>
  <c r="M363" i="9"/>
  <c r="W363" i="9"/>
  <c r="AJ363" i="9" s="1"/>
  <c r="L363" i="9"/>
  <c r="Q363" i="9" s="1"/>
  <c r="U363" i="9"/>
  <c r="K364" i="8"/>
  <c r="U364" i="8" s="1"/>
  <c r="P364" i="8" a="1"/>
  <c r="P364" i="8" s="1"/>
  <c r="O364" i="8"/>
  <c r="I364" i="8"/>
  <c r="H364" i="8"/>
  <c r="AF364" i="8"/>
  <c r="AG364" i="8" s="1"/>
  <c r="AD84" i="9"/>
  <c r="AD269" i="9"/>
  <c r="AD268" i="9"/>
  <c r="AE268" i="9" s="1"/>
  <c r="AD116" i="9"/>
  <c r="AD129" i="9"/>
  <c r="AD161" i="9"/>
  <c r="AD270" i="9"/>
  <c r="AE270" i="9" s="1"/>
  <c r="AD169" i="9"/>
  <c r="AD123" i="9"/>
  <c r="AD126" i="9"/>
  <c r="U11" i="8"/>
  <c r="U19" i="8"/>
  <c r="U27" i="8"/>
  <c r="U35" i="8"/>
  <c r="U43" i="8"/>
  <c r="U51" i="8"/>
  <c r="U59" i="8"/>
  <c r="U67" i="8"/>
  <c r="U75" i="8"/>
  <c r="U83" i="8"/>
  <c r="U91" i="8"/>
  <c r="U99" i="8"/>
  <c r="U107" i="8"/>
  <c r="U115" i="8"/>
  <c r="U123" i="8"/>
  <c r="U131" i="8"/>
  <c r="U139" i="8"/>
  <c r="U147" i="8"/>
  <c r="U155" i="8"/>
  <c r="U163" i="8"/>
  <c r="U171" i="8"/>
  <c r="U179" i="8"/>
  <c r="U187" i="8"/>
  <c r="U195" i="8"/>
  <c r="U203" i="8"/>
  <c r="U211" i="8"/>
  <c r="U219" i="8"/>
  <c r="U227" i="8"/>
  <c r="U235" i="8"/>
  <c r="U243" i="8"/>
  <c r="U251" i="8"/>
  <c r="U259" i="8"/>
  <c r="U267" i="8"/>
  <c r="U275" i="8"/>
  <c r="U283" i="8"/>
  <c r="U291" i="8"/>
  <c r="U299" i="8"/>
  <c r="U307" i="8"/>
  <c r="U315" i="8"/>
  <c r="U323" i="8"/>
  <c r="U331" i="8"/>
  <c r="U339" i="8"/>
  <c r="U347" i="8"/>
  <c r="U355" i="8"/>
  <c r="U363" i="8"/>
  <c r="U42" i="8"/>
  <c r="U106" i="8"/>
  <c r="U154" i="8"/>
  <c r="U218" i="8"/>
  <c r="U266" i="8"/>
  <c r="U354" i="8"/>
  <c r="U4" i="8"/>
  <c r="U12" i="8"/>
  <c r="U20" i="8"/>
  <c r="U28" i="8"/>
  <c r="U36" i="8"/>
  <c r="U44" i="8"/>
  <c r="U52" i="8"/>
  <c r="U60" i="8"/>
  <c r="U68" i="8"/>
  <c r="U76" i="8"/>
  <c r="U84" i="8"/>
  <c r="U92" i="8"/>
  <c r="U100" i="8"/>
  <c r="U108" i="8"/>
  <c r="U116" i="8"/>
  <c r="U124" i="8"/>
  <c r="U132" i="8"/>
  <c r="U140" i="8"/>
  <c r="U148" i="8"/>
  <c r="U156" i="8"/>
  <c r="U164" i="8"/>
  <c r="U172" i="8"/>
  <c r="U180" i="8"/>
  <c r="U188" i="8"/>
  <c r="U196" i="8"/>
  <c r="U204" i="8"/>
  <c r="U212" i="8"/>
  <c r="U220" i="8"/>
  <c r="U228" i="8"/>
  <c r="U236" i="8"/>
  <c r="U244" i="8"/>
  <c r="U252" i="8"/>
  <c r="U260" i="8"/>
  <c r="U268" i="8"/>
  <c r="U276" i="8"/>
  <c r="U284" i="8"/>
  <c r="U292" i="8"/>
  <c r="U300" i="8"/>
  <c r="U308" i="8"/>
  <c r="U316" i="8"/>
  <c r="U324" i="8"/>
  <c r="U332" i="8"/>
  <c r="U340" i="8"/>
  <c r="U348" i="8"/>
  <c r="U356" i="8"/>
  <c r="U50" i="8"/>
  <c r="U98" i="8"/>
  <c r="U122" i="8"/>
  <c r="U170" i="8"/>
  <c r="U226" i="8"/>
  <c r="U282" i="8"/>
  <c r="U338" i="8"/>
  <c r="U5" i="8"/>
  <c r="U13" i="8"/>
  <c r="U21" i="8"/>
  <c r="U29" i="8"/>
  <c r="U37" i="8"/>
  <c r="U45" i="8"/>
  <c r="U53" i="8"/>
  <c r="U61" i="8"/>
  <c r="U69" i="8"/>
  <c r="U77" i="8"/>
  <c r="U85" i="8"/>
  <c r="U93" i="8"/>
  <c r="U101" i="8"/>
  <c r="U109" i="8"/>
  <c r="U117" i="8"/>
  <c r="U125" i="8"/>
  <c r="U133" i="8"/>
  <c r="U141" i="8"/>
  <c r="U149" i="8"/>
  <c r="U157" i="8"/>
  <c r="U165" i="8"/>
  <c r="U173" i="8"/>
  <c r="U181" i="8"/>
  <c r="U189" i="8"/>
  <c r="U197" i="8"/>
  <c r="U205" i="8"/>
  <c r="U213" i="8"/>
  <c r="U221" i="8"/>
  <c r="U229" i="8"/>
  <c r="U237" i="8"/>
  <c r="U245" i="8"/>
  <c r="U253" i="8"/>
  <c r="U261" i="8"/>
  <c r="U269" i="8"/>
  <c r="U277" i="8"/>
  <c r="U285" i="8"/>
  <c r="U293" i="8"/>
  <c r="U301" i="8"/>
  <c r="U309" i="8"/>
  <c r="U317" i="8"/>
  <c r="U325" i="8"/>
  <c r="U333" i="8"/>
  <c r="U341" i="8"/>
  <c r="U349" i="8"/>
  <c r="U357" i="8"/>
  <c r="U26" i="8"/>
  <c r="U82" i="8"/>
  <c r="U146" i="8"/>
  <c r="U178" i="8"/>
  <c r="U234" i="8"/>
  <c r="U274" i="8"/>
  <c r="U314" i="8"/>
  <c r="U362" i="8"/>
  <c r="U6" i="8"/>
  <c r="U14" i="8"/>
  <c r="U22" i="8"/>
  <c r="U30" i="8"/>
  <c r="U38" i="8"/>
  <c r="U46" i="8"/>
  <c r="U54" i="8"/>
  <c r="U62" i="8"/>
  <c r="U70" i="8"/>
  <c r="U78" i="8"/>
  <c r="U86" i="8"/>
  <c r="U94" i="8"/>
  <c r="U102" i="8"/>
  <c r="U110" i="8"/>
  <c r="U118" i="8"/>
  <c r="U126" i="8"/>
  <c r="U134" i="8"/>
  <c r="U142" i="8"/>
  <c r="U150" i="8"/>
  <c r="U158" i="8"/>
  <c r="U166" i="8"/>
  <c r="U174" i="8"/>
  <c r="U182" i="8"/>
  <c r="U190" i="8"/>
  <c r="U198" i="8"/>
  <c r="U206" i="8"/>
  <c r="U214" i="8"/>
  <c r="U222" i="8"/>
  <c r="U230" i="8"/>
  <c r="U238" i="8"/>
  <c r="U246" i="8"/>
  <c r="U254" i="8"/>
  <c r="U262" i="8"/>
  <c r="U270" i="8"/>
  <c r="U278" i="8"/>
  <c r="U286" i="8"/>
  <c r="U294" i="8"/>
  <c r="U302" i="8"/>
  <c r="U310" i="8"/>
  <c r="U318" i="8"/>
  <c r="U326" i="8"/>
  <c r="U334" i="8"/>
  <c r="U342" i="8"/>
  <c r="U350" i="8"/>
  <c r="U358" i="8"/>
  <c r="U58" i="8"/>
  <c r="U202" i="8"/>
  <c r="U306" i="8"/>
  <c r="U7" i="8"/>
  <c r="U15" i="8"/>
  <c r="U23" i="8"/>
  <c r="U31" i="8"/>
  <c r="U39" i="8"/>
  <c r="U47" i="8"/>
  <c r="U55" i="8"/>
  <c r="U63" i="8"/>
  <c r="U71" i="8"/>
  <c r="U79" i="8"/>
  <c r="U87" i="8"/>
  <c r="U95" i="8"/>
  <c r="U103" i="8"/>
  <c r="U111" i="8"/>
  <c r="U119" i="8"/>
  <c r="U127" i="8"/>
  <c r="U135" i="8"/>
  <c r="U143" i="8"/>
  <c r="U151" i="8"/>
  <c r="U159" i="8"/>
  <c r="U167" i="8"/>
  <c r="U175" i="8"/>
  <c r="U183" i="8"/>
  <c r="U191" i="8"/>
  <c r="U199" i="8"/>
  <c r="U207" i="8"/>
  <c r="U215" i="8"/>
  <c r="U223" i="8"/>
  <c r="U231" i="8"/>
  <c r="U239" i="8"/>
  <c r="U247" i="8"/>
  <c r="U255" i="8"/>
  <c r="U263" i="8"/>
  <c r="U271" i="8"/>
  <c r="U279" i="8"/>
  <c r="U287" i="8"/>
  <c r="U295" i="8"/>
  <c r="U303" i="8"/>
  <c r="U311" i="8"/>
  <c r="U319" i="8"/>
  <c r="U327" i="8"/>
  <c r="U335" i="8"/>
  <c r="U343" i="8"/>
  <c r="U351" i="8"/>
  <c r="U359" i="8"/>
  <c r="U18" i="8"/>
  <c r="U74" i="8"/>
  <c r="U114" i="8"/>
  <c r="U162" i="8"/>
  <c r="U194" i="8"/>
  <c r="U250" i="8"/>
  <c r="U322" i="8"/>
  <c r="U8" i="8"/>
  <c r="U16" i="8"/>
  <c r="U24" i="8"/>
  <c r="U32" i="8"/>
  <c r="U40" i="8"/>
  <c r="U48" i="8"/>
  <c r="U56" i="8"/>
  <c r="U64" i="8"/>
  <c r="U72" i="8"/>
  <c r="U80" i="8"/>
  <c r="U88" i="8"/>
  <c r="U96" i="8"/>
  <c r="U104" i="8"/>
  <c r="U112" i="8"/>
  <c r="U120" i="8"/>
  <c r="U128" i="8"/>
  <c r="U136" i="8"/>
  <c r="U144" i="8"/>
  <c r="U152" i="8"/>
  <c r="U160" i="8"/>
  <c r="U168" i="8"/>
  <c r="U176" i="8"/>
  <c r="U184" i="8"/>
  <c r="U192" i="8"/>
  <c r="U200" i="8"/>
  <c r="U208" i="8"/>
  <c r="U216" i="8"/>
  <c r="U224" i="8"/>
  <c r="U232" i="8"/>
  <c r="U240" i="8"/>
  <c r="U248" i="8"/>
  <c r="U256" i="8"/>
  <c r="U264" i="8"/>
  <c r="U272" i="8"/>
  <c r="U280" i="8"/>
  <c r="U288" i="8"/>
  <c r="U296" i="8"/>
  <c r="U304" i="8"/>
  <c r="U312" i="8"/>
  <c r="U320" i="8"/>
  <c r="U328" i="8"/>
  <c r="U336" i="8"/>
  <c r="U344" i="8"/>
  <c r="U352" i="8"/>
  <c r="U360" i="8"/>
  <c r="U3" i="8"/>
  <c r="U10" i="8"/>
  <c r="U66" i="8"/>
  <c r="U138" i="8"/>
  <c r="U210" i="8"/>
  <c r="U258" i="8"/>
  <c r="U298" i="8"/>
  <c r="U346" i="8"/>
  <c r="U9" i="8"/>
  <c r="U17" i="8"/>
  <c r="U25" i="8"/>
  <c r="U33" i="8"/>
  <c r="U41" i="8"/>
  <c r="U49" i="8"/>
  <c r="U57" i="8"/>
  <c r="U65" i="8"/>
  <c r="U73" i="8"/>
  <c r="U81" i="8"/>
  <c r="U89" i="8"/>
  <c r="U97" i="8"/>
  <c r="U105" i="8"/>
  <c r="U113" i="8"/>
  <c r="U121" i="8"/>
  <c r="U129" i="8"/>
  <c r="U137" i="8"/>
  <c r="U145" i="8"/>
  <c r="U153" i="8"/>
  <c r="U161" i="8"/>
  <c r="U169" i="8"/>
  <c r="U177" i="8"/>
  <c r="U185" i="8"/>
  <c r="U193" i="8"/>
  <c r="U201" i="8"/>
  <c r="U209" i="8"/>
  <c r="U217" i="8"/>
  <c r="U225" i="8"/>
  <c r="U233" i="8"/>
  <c r="U241" i="8"/>
  <c r="U249" i="8"/>
  <c r="U257" i="8"/>
  <c r="U265" i="8"/>
  <c r="U273" i="8"/>
  <c r="U281" i="8"/>
  <c r="U289" i="8"/>
  <c r="U297" i="8"/>
  <c r="U305" i="8"/>
  <c r="U313" i="8"/>
  <c r="U321" i="8"/>
  <c r="U329" i="8"/>
  <c r="U337" i="8"/>
  <c r="U345" i="8"/>
  <c r="U353" i="8"/>
  <c r="U361" i="8"/>
  <c r="U34" i="8"/>
  <c r="U90" i="8"/>
  <c r="U130" i="8"/>
  <c r="U186" i="8"/>
  <c r="U242" i="8"/>
  <c r="U290" i="8"/>
  <c r="U330" i="8"/>
  <c r="AD153" i="9"/>
  <c r="AD156" i="9"/>
  <c r="AD109" i="9"/>
  <c r="AD151" i="9"/>
  <c r="AD152" i="9"/>
  <c r="AD149" i="9"/>
  <c r="AD107" i="9"/>
  <c r="AD147" i="9"/>
  <c r="AD122" i="9"/>
  <c r="AD133" i="9"/>
  <c r="AD163" i="9"/>
  <c r="AD127" i="9"/>
  <c r="AD188" i="9"/>
  <c r="AD117" i="9"/>
  <c r="AD144" i="9"/>
  <c r="AD120" i="9"/>
  <c r="AD93" i="9"/>
  <c r="AD162" i="9"/>
  <c r="AD76" i="9"/>
  <c r="AD115" i="9"/>
  <c r="AD134" i="9"/>
  <c r="AD58" i="9"/>
  <c r="AD70" i="9"/>
  <c r="AD57" i="9"/>
  <c r="AD51" i="9"/>
  <c r="AD141" i="9"/>
  <c r="AD16" i="9"/>
  <c r="AD20" i="9"/>
  <c r="AD3" i="9"/>
  <c r="AD32" i="9"/>
  <c r="AD68" i="9"/>
  <c r="AD59" i="9"/>
  <c r="AD5" i="9"/>
  <c r="AD33" i="9"/>
  <c r="AD18" i="9"/>
  <c r="AD38" i="9"/>
  <c r="AD17" i="9"/>
  <c r="AD40" i="9"/>
  <c r="AD52" i="9"/>
  <c r="AD43" i="9"/>
  <c r="AD8" i="9"/>
  <c r="AD46" i="9"/>
  <c r="AD28" i="9"/>
  <c r="AD23" i="9"/>
  <c r="AD24" i="9"/>
  <c r="AD30" i="9"/>
  <c r="AD29" i="9"/>
  <c r="AD39" i="9"/>
  <c r="AD26" i="9"/>
  <c r="AD45" i="9"/>
  <c r="AD90" i="9"/>
  <c r="AD110" i="9"/>
  <c r="AD154" i="9"/>
  <c r="AD88" i="9"/>
  <c r="AD165" i="9"/>
  <c r="AD121" i="9"/>
  <c r="AD94" i="9"/>
  <c r="AD83" i="9"/>
  <c r="AD113" i="9"/>
  <c r="AD150" i="9"/>
  <c r="AD37" i="9"/>
  <c r="AD36" i="9"/>
  <c r="AD65" i="9"/>
  <c r="AD69" i="9"/>
  <c r="AD15" i="9"/>
  <c r="AD41" i="9"/>
  <c r="AD19" i="9"/>
  <c r="AD9" i="9"/>
  <c r="AD60" i="9"/>
  <c r="AD4" i="9"/>
  <c r="AD55" i="9"/>
  <c r="AD56" i="9"/>
  <c r="AD53" i="9"/>
  <c r="AD11" i="9"/>
  <c r="AD66" i="9"/>
  <c r="AD7" i="9"/>
  <c r="AD54" i="9"/>
  <c r="AD44" i="9"/>
  <c r="AD31" i="9"/>
  <c r="AD49" i="9"/>
  <c r="AD72" i="9"/>
  <c r="AD64" i="9"/>
  <c r="AD67" i="9"/>
  <c r="AD10" i="9"/>
  <c r="AD61" i="9"/>
  <c r="AD71" i="9"/>
  <c r="AD21" i="9"/>
  <c r="AD48" i="9"/>
  <c r="AD22" i="9"/>
  <c r="AD27" i="9"/>
  <c r="AD6" i="9"/>
  <c r="AD12" i="9"/>
  <c r="AD13" i="9"/>
  <c r="AD47" i="9"/>
  <c r="AD34" i="9"/>
  <c r="AD25" i="9"/>
  <c r="AD63" i="9"/>
  <c r="AD14" i="9"/>
  <c r="AD42" i="9"/>
  <c r="AD35" i="9"/>
  <c r="AD50" i="9"/>
  <c r="AD62" i="9"/>
  <c r="Q213" i="8"/>
  <c r="Q274" i="8"/>
  <c r="AI5" i="9"/>
  <c r="L53" i="3"/>
  <c r="Q53" i="3" s="1"/>
  <c r="Q272" i="8"/>
  <c r="T5" i="8"/>
  <c r="Z5" i="8" s="1"/>
  <c r="AR5" i="8" s="1"/>
  <c r="R5" i="8"/>
  <c r="N6" i="8"/>
  <c r="AH6" i="8"/>
  <c r="AI6" i="8" s="1"/>
  <c r="I22" i="3"/>
  <c r="I9" i="3"/>
  <c r="I14" i="3"/>
  <c r="I30" i="3"/>
  <c r="I54" i="3"/>
  <c r="I17" i="3"/>
  <c r="I48" i="3"/>
  <c r="I18" i="3"/>
  <c r="I10" i="3"/>
  <c r="I13" i="3"/>
  <c r="I12" i="3"/>
  <c r="I51" i="3"/>
  <c r="I40" i="3"/>
  <c r="I19" i="3"/>
  <c r="I34" i="3"/>
  <c r="I42" i="3"/>
  <c r="I21" i="3"/>
  <c r="I43" i="3"/>
  <c r="I35" i="3"/>
  <c r="I32" i="3"/>
  <c r="I46" i="3"/>
  <c r="I27" i="3"/>
  <c r="I24" i="3"/>
  <c r="I38" i="3"/>
  <c r="I23" i="3"/>
  <c r="I53" i="3"/>
  <c r="I39" i="3"/>
  <c r="I52" i="3"/>
  <c r="I49" i="3"/>
  <c r="I16" i="3"/>
  <c r="I6" i="3"/>
  <c r="I45" i="3"/>
  <c r="I26" i="3"/>
  <c r="I15" i="3"/>
  <c r="I44" i="3"/>
  <c r="I20" i="3"/>
  <c r="I41" i="3"/>
  <c r="I8" i="3"/>
  <c r="I47" i="3"/>
  <c r="I37" i="3"/>
  <c r="I36" i="3"/>
  <c r="I25" i="3"/>
  <c r="I7" i="3"/>
  <c r="I50" i="3"/>
  <c r="I33" i="3"/>
  <c r="I31" i="3"/>
  <c r="I29" i="3"/>
  <c r="I28" i="3"/>
  <c r="AF30" i="3"/>
  <c r="AG30" i="3" s="1"/>
  <c r="AF21" i="3"/>
  <c r="AG21" i="3" s="1"/>
  <c r="AF17" i="3"/>
  <c r="AG17" i="3" s="1"/>
  <c r="W53" i="3"/>
  <c r="AJ53" i="3" s="1"/>
  <c r="H35" i="3"/>
  <c r="R3" i="3"/>
  <c r="AF42" i="3"/>
  <c r="AG42" i="3" s="1"/>
  <c r="AF34" i="3"/>
  <c r="AG34" i="3" s="1"/>
  <c r="H37" i="3"/>
  <c r="AF47" i="3"/>
  <c r="AG47" i="3" s="1"/>
  <c r="AF35" i="3"/>
  <c r="AG35" i="3" s="1"/>
  <c r="AF13" i="3"/>
  <c r="AG13" i="3" s="1"/>
  <c r="AF54" i="3"/>
  <c r="AG54" i="3" s="1"/>
  <c r="AF31" i="3"/>
  <c r="AG31" i="3" s="1"/>
  <c r="AF26" i="3"/>
  <c r="AG26" i="3" s="1"/>
  <c r="H54" i="3"/>
  <c r="AF45" i="3"/>
  <c r="AG45" i="3" s="1"/>
  <c r="AF36" i="3"/>
  <c r="AG36" i="3" s="1"/>
  <c r="H36" i="3"/>
  <c r="H22" i="3"/>
  <c r="H38" i="3"/>
  <c r="AF4" i="3"/>
  <c r="AG4" i="3" s="1"/>
  <c r="AF22" i="3"/>
  <c r="AG22" i="3" s="1"/>
  <c r="H31" i="3"/>
  <c r="AF38" i="3"/>
  <c r="AG38" i="3" s="1"/>
  <c r="AF18" i="3"/>
  <c r="AG18" i="3" s="1"/>
  <c r="H18" i="3"/>
  <c r="AF49" i="3"/>
  <c r="AG49" i="3" s="1"/>
  <c r="AF33" i="3"/>
  <c r="AG33" i="3" s="1"/>
  <c r="AF46" i="3"/>
  <c r="AG46" i="3" s="1"/>
  <c r="AF28" i="3"/>
  <c r="AG28" i="3" s="1"/>
  <c r="H47" i="3"/>
  <c r="H46" i="3"/>
  <c r="AF6" i="3"/>
  <c r="AG6" i="3" s="1"/>
  <c r="H34" i="3"/>
  <c r="AF44" i="3"/>
  <c r="AG44" i="3" s="1"/>
  <c r="AF52" i="3"/>
  <c r="AG52" i="3" s="1"/>
  <c r="H45" i="3"/>
  <c r="H4" i="3"/>
  <c r="AF50" i="3"/>
  <c r="AG50" i="3" s="1"/>
  <c r="AF11" i="3"/>
  <c r="AG11" i="3" s="1"/>
  <c r="AF48" i="3"/>
  <c r="AG48" i="3" s="1"/>
  <c r="AF3" i="3"/>
  <c r="H23" i="3"/>
  <c r="H14" i="3"/>
  <c r="AF12" i="3"/>
  <c r="AG12" i="3" s="1"/>
  <c r="AF7" i="3"/>
  <c r="AG7" i="3" s="1"/>
  <c r="AF14" i="3"/>
  <c r="AG14" i="3" s="1"/>
  <c r="H40" i="3"/>
  <c r="H42" i="3"/>
  <c r="H48" i="3"/>
  <c r="AF25" i="3"/>
  <c r="AG25" i="3" s="1"/>
  <c r="AF8" i="3"/>
  <c r="AG8" i="3" s="1"/>
  <c r="AF40" i="3"/>
  <c r="AG40" i="3" s="1"/>
  <c r="H24" i="3"/>
  <c r="H26" i="3"/>
  <c r="H8" i="3"/>
  <c r="H25" i="3"/>
  <c r="H13" i="3"/>
  <c r="AF24" i="3"/>
  <c r="AG24" i="3" s="1"/>
  <c r="H43" i="3"/>
  <c r="H28" i="3"/>
  <c r="AF23" i="3"/>
  <c r="AG23" i="3" s="1"/>
  <c r="H12" i="3"/>
  <c r="H32" i="3"/>
  <c r="H29" i="3"/>
  <c r="AF29" i="3"/>
  <c r="AG29" i="3" s="1"/>
  <c r="H44" i="3"/>
  <c r="H30" i="3"/>
  <c r="AF32" i="3"/>
  <c r="AG32" i="3" s="1"/>
  <c r="H33" i="3"/>
  <c r="AF41" i="3"/>
  <c r="AG41" i="3" s="1"/>
  <c r="H41" i="3"/>
  <c r="AF27" i="3"/>
  <c r="AG27" i="3" s="1"/>
  <c r="AF43" i="3"/>
  <c r="AG43" i="3" s="1"/>
  <c r="H27" i="3"/>
  <c r="H53" i="3"/>
  <c r="AF10" i="3"/>
  <c r="AG10" i="3" s="1"/>
  <c r="H52" i="3"/>
  <c r="H49" i="3"/>
  <c r="H50" i="3"/>
  <c r="H21" i="3"/>
  <c r="AF39" i="3"/>
  <c r="AG39" i="3" s="1"/>
  <c r="H10" i="3"/>
  <c r="H17" i="3"/>
  <c r="AF20" i="3"/>
  <c r="AG20" i="3" s="1"/>
  <c r="H39" i="3"/>
  <c r="AF51" i="3"/>
  <c r="AG51" i="3" s="1"/>
  <c r="H11" i="3"/>
  <c r="H19" i="3"/>
  <c r="AF9" i="3"/>
  <c r="AG9" i="3" s="1"/>
  <c r="H20" i="3"/>
  <c r="H51" i="3"/>
  <c r="AF19" i="3"/>
  <c r="AG19" i="3" s="1"/>
  <c r="AF16" i="3"/>
  <c r="AG16" i="3" s="1"/>
  <c r="H9" i="3"/>
  <c r="N4" i="3"/>
  <c r="S4" i="3" s="1"/>
  <c r="AF15" i="3"/>
  <c r="AG15" i="3" s="1"/>
  <c r="AF37" i="3"/>
  <c r="AG37" i="3" s="1"/>
  <c r="H15" i="3"/>
  <c r="H16" i="3"/>
  <c r="W42" i="3"/>
  <c r="AJ42" i="3" s="1"/>
  <c r="W34" i="3"/>
  <c r="AJ34" i="3" s="1"/>
  <c r="W52" i="3"/>
  <c r="AJ52" i="3" s="1"/>
  <c r="AJ324" i="9"/>
  <c r="AJ328" i="9"/>
  <c r="AD98" i="9"/>
  <c r="AD283" i="9"/>
  <c r="AJ276" i="9"/>
  <c r="AJ283" i="9"/>
  <c r="AJ351" i="9"/>
  <c r="AJ310" i="9"/>
  <c r="AJ355" i="9"/>
  <c r="AD92" i="9"/>
  <c r="AJ330" i="9"/>
  <c r="AJ267" i="9"/>
  <c r="AJ293" i="9"/>
  <c r="AJ238" i="9"/>
  <c r="AJ299" i="9"/>
  <c r="AJ319" i="9"/>
  <c r="AD189" i="9"/>
  <c r="AJ286" i="9"/>
  <c r="AD176" i="9"/>
  <c r="AD345" i="9"/>
  <c r="AJ244" i="9"/>
  <c r="AJ248" i="9"/>
  <c r="AJ345" i="9"/>
  <c r="AJ204" i="9"/>
  <c r="AD204" i="9"/>
  <c r="AD166" i="9"/>
  <c r="AJ225" i="9"/>
  <c r="AJ226" i="9"/>
  <c r="AD85" i="9"/>
  <c r="AJ205" i="9"/>
  <c r="AJ346" i="9"/>
  <c r="AJ352" i="9"/>
  <c r="AJ333" i="9"/>
  <c r="AJ350" i="9"/>
  <c r="AJ189" i="9"/>
  <c r="AJ339" i="9"/>
  <c r="AD192" i="9"/>
  <c r="AD356" i="9"/>
  <c r="AD317" i="9"/>
  <c r="AJ309" i="9"/>
  <c r="AD104" i="9"/>
  <c r="AJ320" i="9"/>
  <c r="AJ219" i="9"/>
  <c r="AD320" i="9"/>
  <c r="AD182" i="9"/>
  <c r="AJ317" i="9"/>
  <c r="AJ182" i="9"/>
  <c r="AJ250" i="9"/>
  <c r="AJ214" i="9"/>
  <c r="AJ251" i="9"/>
  <c r="AD214" i="9"/>
  <c r="AJ297" i="9"/>
  <c r="AD297" i="9"/>
  <c r="AD251" i="9"/>
  <c r="AD174" i="9"/>
  <c r="AJ237" i="9"/>
  <c r="AD218" i="9"/>
  <c r="AJ326" i="9"/>
  <c r="AD339" i="9"/>
  <c r="AJ295" i="9"/>
  <c r="AD326" i="9"/>
  <c r="AJ278" i="9"/>
  <c r="AJ315" i="9"/>
  <c r="AD361" i="9"/>
  <c r="AJ288" i="9"/>
  <c r="AJ300" i="9"/>
  <c r="AJ174" i="9"/>
  <c r="AD344" i="9"/>
  <c r="AJ344" i="9"/>
  <c r="AJ175" i="8"/>
  <c r="AJ302" i="8"/>
  <c r="AJ235" i="8"/>
  <c r="AJ274" i="8"/>
  <c r="AJ203" i="8"/>
  <c r="AJ273" i="8"/>
  <c r="AJ255" i="8"/>
  <c r="AJ202" i="8"/>
  <c r="AJ254" i="8"/>
  <c r="AD180" i="9"/>
  <c r="AJ282" i="9"/>
  <c r="AJ318" i="9"/>
  <c r="AJ303" i="8"/>
  <c r="AD282" i="9"/>
  <c r="AJ301" i="8"/>
  <c r="AD172" i="9"/>
  <c r="AD351" i="9"/>
  <c r="AJ221" i="8"/>
  <c r="AJ289" i="9"/>
  <c r="AD289" i="9"/>
  <c r="AD196" i="9"/>
  <c r="AJ196" i="9"/>
  <c r="AJ305" i="8"/>
  <c r="AD175" i="9"/>
  <c r="AD131" i="9"/>
  <c r="AJ225" i="8"/>
  <c r="AD197" i="9"/>
  <c r="AJ203" i="9"/>
  <c r="AJ196" i="8"/>
  <c r="AJ197" i="9"/>
  <c r="AD203" i="9"/>
  <c r="AJ228" i="9"/>
  <c r="AJ187" i="9"/>
  <c r="AJ199" i="9"/>
  <c r="AJ185" i="9"/>
  <c r="AD187" i="9"/>
  <c r="AD185" i="9"/>
  <c r="AJ216" i="8"/>
  <c r="AJ194" i="9"/>
  <c r="AD194" i="9"/>
  <c r="AJ243" i="8"/>
  <c r="AJ183" i="8"/>
  <c r="AJ252" i="9"/>
  <c r="AD318" i="9"/>
  <c r="AJ355" i="8"/>
  <c r="AJ304" i="8"/>
  <c r="AD77" i="9"/>
  <c r="AD135" i="9"/>
  <c r="AJ348" i="9"/>
  <c r="AJ279" i="9"/>
  <c r="AJ229" i="9"/>
  <c r="AJ229" i="8"/>
  <c r="AJ183" i="9"/>
  <c r="AJ178" i="8"/>
  <c r="AJ340" i="9"/>
  <c r="AJ257" i="8"/>
  <c r="AJ279" i="8"/>
  <c r="AJ312" i="9"/>
  <c r="AJ227" i="9"/>
  <c r="AJ266" i="9"/>
  <c r="AJ244" i="8"/>
  <c r="AJ263" i="9"/>
  <c r="AJ226" i="8"/>
  <c r="AJ338" i="9"/>
  <c r="AJ187" i="8"/>
  <c r="AJ287" i="9"/>
  <c r="AJ296" i="8"/>
  <c r="AJ322" i="9"/>
  <c r="AJ284" i="9"/>
  <c r="AJ198" i="8"/>
  <c r="AJ280" i="8"/>
  <c r="AJ254" i="9"/>
  <c r="AJ209" i="9"/>
  <c r="AJ271" i="9"/>
  <c r="AJ259" i="8"/>
  <c r="AJ338" i="8"/>
  <c r="AJ222" i="9"/>
  <c r="AJ228" i="8"/>
  <c r="AJ343" i="9"/>
  <c r="AD181" i="9"/>
  <c r="AD199" i="9"/>
  <c r="AD102" i="9"/>
  <c r="AD112" i="9"/>
  <c r="AD281" i="9"/>
  <c r="AD213" i="9"/>
  <c r="AD73" i="9"/>
  <c r="AD350" i="9"/>
  <c r="AD81" i="9"/>
  <c r="AD95" i="9"/>
  <c r="AD158" i="9"/>
  <c r="AD225" i="9"/>
  <c r="AD164" i="9"/>
  <c r="AD142" i="9"/>
  <c r="AD198" i="9"/>
  <c r="AD219" i="9"/>
  <c r="AD352" i="9"/>
  <c r="AD311" i="9"/>
  <c r="AD177" i="9"/>
  <c r="AD171" i="9"/>
  <c r="AD336" i="9"/>
  <c r="AD233" i="9"/>
  <c r="AD89" i="9"/>
  <c r="AD360" i="9"/>
  <c r="AD236" i="9"/>
  <c r="AD232" i="9"/>
  <c r="AD82" i="9"/>
  <c r="AD148" i="9"/>
  <c r="AD75" i="9"/>
  <c r="AD191" i="9"/>
  <c r="AD296" i="9"/>
  <c r="AD80" i="9"/>
  <c r="AD105" i="9"/>
  <c r="AD277" i="9"/>
  <c r="AD97" i="9"/>
  <c r="AD241" i="9"/>
  <c r="AD362" i="9"/>
  <c r="AD87" i="9"/>
  <c r="AD96" i="9"/>
  <c r="AD234" i="9"/>
  <c r="AD290" i="9"/>
  <c r="AD349" i="9"/>
  <c r="AD285" i="9"/>
  <c r="AD145" i="9"/>
  <c r="AD272" i="9"/>
  <c r="AD178" i="9"/>
  <c r="AD299" i="9"/>
  <c r="AD108" i="9"/>
  <c r="AD292" i="9"/>
  <c r="AD315" i="9"/>
  <c r="AD91" i="9"/>
  <c r="AD124" i="9"/>
  <c r="AD314" i="9"/>
  <c r="AD273" i="9"/>
  <c r="AD119" i="9"/>
  <c r="AD128" i="9"/>
  <c r="AD212" i="9"/>
  <c r="AD304" i="9"/>
  <c r="AD114" i="9"/>
  <c r="AD301" i="9"/>
  <c r="AD106" i="9"/>
  <c r="AD118" i="9"/>
  <c r="AD193" i="9"/>
  <c r="AD333" i="9"/>
  <c r="AD342" i="9"/>
  <c r="AD215" i="9"/>
  <c r="AD316" i="9"/>
  <c r="AD136" i="9"/>
  <c r="AD205" i="9"/>
  <c r="AD329" i="9"/>
  <c r="AD346" i="9"/>
  <c r="AD140" i="9"/>
  <c r="AD200" i="9"/>
  <c r="AD246" i="9"/>
  <c r="AD358" i="9"/>
  <c r="AD240" i="9"/>
  <c r="AD138" i="9"/>
  <c r="AD146" i="9"/>
  <c r="AD293" i="9"/>
  <c r="AD294" i="9"/>
  <c r="AD137" i="9"/>
  <c r="AD155" i="9"/>
  <c r="AD100" i="9"/>
  <c r="AD274" i="9"/>
  <c r="AD324" i="9"/>
  <c r="AD74" i="9"/>
  <c r="AD359" i="9"/>
  <c r="AD157" i="9"/>
  <c r="AD275" i="9"/>
  <c r="AD170" i="9"/>
  <c r="AD354" i="9"/>
  <c r="AD216" i="9"/>
  <c r="AD101" i="9"/>
  <c r="AD231" i="9"/>
  <c r="AD173" i="9"/>
  <c r="AD265" i="9"/>
  <c r="AD179" i="9"/>
  <c r="AD334" i="9"/>
  <c r="AD305" i="9"/>
  <c r="AD313" i="9"/>
  <c r="AD353" i="9"/>
  <c r="AD139" i="9"/>
  <c r="AD330" i="9"/>
  <c r="AD302" i="9"/>
  <c r="AD298" i="9"/>
  <c r="AD168" i="9"/>
  <c r="AD99" i="9"/>
  <c r="AD256" i="9"/>
  <c r="AD250" i="9"/>
  <c r="AD331" i="9"/>
  <c r="AD253" i="9"/>
  <c r="AD244" i="9"/>
  <c r="AD186" i="9"/>
  <c r="AD261" i="9"/>
  <c r="AD143" i="9"/>
  <c r="AD167" i="9"/>
  <c r="AD291" i="9"/>
  <c r="AD245" i="9"/>
  <c r="AD325" i="9"/>
  <c r="AD332" i="9"/>
  <c r="AD160" i="9"/>
  <c r="AD257" i="9"/>
  <c r="AD267" i="9"/>
  <c r="AD103" i="9"/>
  <c r="AD132" i="9"/>
  <c r="AD230" i="9"/>
  <c r="AD264" i="9"/>
  <c r="AD207" i="9"/>
  <c r="AD262" i="9"/>
  <c r="AD278" i="9"/>
  <c r="AD321" i="9"/>
  <c r="AD111" i="9"/>
  <c r="AD243" i="9"/>
  <c r="AD221" i="9"/>
  <c r="AD355" i="9"/>
  <c r="AD357" i="9"/>
  <c r="AD323" i="9"/>
  <c r="AD223" i="9"/>
  <c r="AD210" i="9"/>
  <c r="AD217" i="9"/>
  <c r="AD195" i="9"/>
  <c r="AD130" i="9"/>
  <c r="AD220" i="9"/>
  <c r="AD201" i="9"/>
  <c r="AD79" i="9"/>
  <c r="AD306" i="9"/>
  <c r="AD247" i="9"/>
  <c r="AD86" i="9"/>
  <c r="AH7" i="9"/>
  <c r="AI6" i="9"/>
  <c r="AD328" i="9"/>
  <c r="AD78" i="9"/>
  <c r="AD125" i="9"/>
  <c r="AD303" i="9"/>
  <c r="AD159" i="9"/>
  <c r="AD242" i="9"/>
  <c r="AD337" i="9"/>
  <c r="AF55" i="3" l="1"/>
  <c r="AG55" i="3" s="1"/>
  <c r="I55" i="3"/>
  <c r="AE129" i="9"/>
  <c r="AE84" i="9"/>
  <c r="K365" i="9"/>
  <c r="P365" i="9" a="1"/>
  <c r="P365" i="9" s="1"/>
  <c r="I365" i="9"/>
  <c r="O365" i="9"/>
  <c r="H365" i="9"/>
  <c r="AF365" i="9"/>
  <c r="AG365" i="9" s="1"/>
  <c r="G366" i="9"/>
  <c r="F367" i="9"/>
  <c r="M364" i="9"/>
  <c r="W364" i="9"/>
  <c r="AJ364" i="9" s="1"/>
  <c r="L364" i="9"/>
  <c r="Q364" i="9" s="1"/>
  <c r="U364" i="9"/>
  <c r="V364" i="9" s="1"/>
  <c r="AC364" i="9" s="1"/>
  <c r="K55" i="3"/>
  <c r="M55" i="3" s="1"/>
  <c r="P55" i="3" a="1"/>
  <c r="P55" i="3" s="1"/>
  <c r="O55" i="3"/>
  <c r="F57" i="3"/>
  <c r="G56" i="3"/>
  <c r="AE116" i="9"/>
  <c r="M364" i="8"/>
  <c r="W364" i="8"/>
  <c r="AJ364" i="8" s="1"/>
  <c r="L364" i="8"/>
  <c r="Q364" i="8" s="1"/>
  <c r="I365" i="8"/>
  <c r="O365" i="8"/>
  <c r="K365" i="8"/>
  <c r="P365" i="8" a="1"/>
  <c r="P365" i="8" s="1"/>
  <c r="H365" i="8"/>
  <c r="AF365" i="8"/>
  <c r="AG365" i="8" s="1"/>
  <c r="V363" i="9"/>
  <c r="AC363" i="9" s="1"/>
  <c r="AB363" i="9"/>
  <c r="F367" i="8"/>
  <c r="G367" i="8" s="1"/>
  <c r="G366" i="8"/>
  <c r="AE269" i="9"/>
  <c r="AE161" i="9"/>
  <c r="AE90" i="9"/>
  <c r="AE113" i="9"/>
  <c r="AE115" i="9"/>
  <c r="AE127" i="9"/>
  <c r="AE151" i="9"/>
  <c r="AE126" i="9"/>
  <c r="AE152" i="9"/>
  <c r="AE169" i="9"/>
  <c r="AE153" i="9"/>
  <c r="AE123" i="9"/>
  <c r="AE144" i="9"/>
  <c r="AE107" i="9"/>
  <c r="AE154" i="9"/>
  <c r="AE58" i="9"/>
  <c r="AE117" i="9"/>
  <c r="AE149" i="9"/>
  <c r="AE134" i="9"/>
  <c r="AE188" i="9"/>
  <c r="AE76" i="9"/>
  <c r="AE163" i="9"/>
  <c r="AE109" i="9"/>
  <c r="AE141" i="9"/>
  <c r="AE162" i="9"/>
  <c r="AE133" i="9"/>
  <c r="AE156" i="9"/>
  <c r="AE121" i="9"/>
  <c r="AE93" i="9"/>
  <c r="AE122" i="9"/>
  <c r="AE120" i="9"/>
  <c r="AE147" i="9"/>
  <c r="AE6" i="9"/>
  <c r="AE69" i="9"/>
  <c r="AE14" i="9"/>
  <c r="AE21" i="9"/>
  <c r="AE31" i="9"/>
  <c r="AE55" i="9"/>
  <c r="AE65" i="9"/>
  <c r="AE165" i="9"/>
  <c r="AE29" i="9"/>
  <c r="AE52" i="9"/>
  <c r="AE68" i="9"/>
  <c r="AE57" i="9"/>
  <c r="AE70" i="9"/>
  <c r="AE48" i="9"/>
  <c r="AE59" i="9"/>
  <c r="AE63" i="9"/>
  <c r="AE71" i="9"/>
  <c r="AE44" i="9"/>
  <c r="AE4" i="9"/>
  <c r="AE36" i="9"/>
  <c r="AE88" i="9"/>
  <c r="AE30" i="9"/>
  <c r="AE40" i="9"/>
  <c r="AE32" i="9"/>
  <c r="AE25" i="9"/>
  <c r="AE61" i="9"/>
  <c r="AE54" i="9"/>
  <c r="AE60" i="9"/>
  <c r="AE37" i="9"/>
  <c r="AE24" i="9"/>
  <c r="AE17" i="9"/>
  <c r="AE34" i="9"/>
  <c r="AE10" i="9"/>
  <c r="AE7" i="9"/>
  <c r="AE9" i="9"/>
  <c r="AE150" i="9"/>
  <c r="AE110" i="9"/>
  <c r="AE23" i="9"/>
  <c r="AE38" i="9"/>
  <c r="AE20" i="9"/>
  <c r="AE56" i="9"/>
  <c r="AE39" i="9"/>
  <c r="AE62" i="9"/>
  <c r="AE47" i="9"/>
  <c r="AE67" i="9"/>
  <c r="AE66" i="9"/>
  <c r="AE19" i="9"/>
  <c r="AE28" i="9"/>
  <c r="AE18" i="9"/>
  <c r="AE42" i="9"/>
  <c r="AE49" i="9"/>
  <c r="AE43" i="9"/>
  <c r="AE50" i="9"/>
  <c r="AE13" i="9"/>
  <c r="AE27" i="9"/>
  <c r="AE64" i="9"/>
  <c r="AE11" i="9"/>
  <c r="AE41" i="9"/>
  <c r="AE83" i="9"/>
  <c r="AE45" i="9"/>
  <c r="AE46" i="9"/>
  <c r="AE33" i="9"/>
  <c r="AE16" i="9"/>
  <c r="AE51" i="9"/>
  <c r="AE35" i="9"/>
  <c r="AE12" i="9"/>
  <c r="AE22" i="9"/>
  <c r="AE72" i="9"/>
  <c r="AE53" i="9"/>
  <c r="AE15" i="9"/>
  <c r="AE94" i="9"/>
  <c r="AE26" i="9"/>
  <c r="AE8" i="9"/>
  <c r="AE5" i="9"/>
  <c r="AE3" i="9"/>
  <c r="V301" i="8"/>
  <c r="AC301" i="8" s="1"/>
  <c r="AB301" i="8"/>
  <c r="V4" i="8"/>
  <c r="AC4" i="8" s="1"/>
  <c r="AB4" i="8"/>
  <c r="V203" i="8"/>
  <c r="AC203" i="8" s="1"/>
  <c r="AB203" i="8"/>
  <c r="V256" i="8"/>
  <c r="AC256" i="8" s="1"/>
  <c r="AB256" i="8"/>
  <c r="V99" i="8"/>
  <c r="AC99" i="8" s="1"/>
  <c r="AB99" i="8"/>
  <c r="V156" i="8"/>
  <c r="AC156" i="8" s="1"/>
  <c r="AB156" i="8"/>
  <c r="V287" i="8"/>
  <c r="AC287" i="8" s="1"/>
  <c r="AB287" i="8"/>
  <c r="V43" i="8"/>
  <c r="AC43" i="8" s="1"/>
  <c r="AB43" i="8"/>
  <c r="V100" i="8"/>
  <c r="AC100" i="8" s="1"/>
  <c r="AB100" i="8"/>
  <c r="V191" i="8"/>
  <c r="AC191" i="8" s="1"/>
  <c r="AB191" i="8"/>
  <c r="V258" i="8"/>
  <c r="AC258" i="8" s="1"/>
  <c r="AB258" i="8"/>
  <c r="V44" i="8"/>
  <c r="AC44" i="8" s="1"/>
  <c r="AB44" i="8"/>
  <c r="V111" i="8"/>
  <c r="AC111" i="8" s="1"/>
  <c r="AB111" i="8"/>
  <c r="V74" i="8"/>
  <c r="AC74" i="8" s="1"/>
  <c r="AB74" i="8"/>
  <c r="V315" i="8"/>
  <c r="AC315" i="8" s="1"/>
  <c r="AB315" i="8"/>
  <c r="V269" i="8"/>
  <c r="AC269" i="8" s="1"/>
  <c r="AB269" i="8"/>
  <c r="V24" i="8"/>
  <c r="AC24" i="8" s="1"/>
  <c r="AB24" i="8"/>
  <c r="V274" i="8"/>
  <c r="AC274" i="8" s="1"/>
  <c r="AB274" i="8"/>
  <c r="V60" i="8"/>
  <c r="AC60" i="8" s="1"/>
  <c r="AB60" i="8"/>
  <c r="V173" i="8"/>
  <c r="AC173" i="8" s="1"/>
  <c r="AB173" i="8"/>
  <c r="V344" i="8"/>
  <c r="AC344" i="8" s="1"/>
  <c r="AB344" i="8"/>
  <c r="V147" i="8"/>
  <c r="AC147" i="8" s="1"/>
  <c r="AB147" i="8"/>
  <c r="V204" i="8"/>
  <c r="AC204" i="8" s="1"/>
  <c r="AB204" i="8"/>
  <c r="V255" i="8"/>
  <c r="AC255" i="8" s="1"/>
  <c r="AB255" i="8"/>
  <c r="V234" i="8"/>
  <c r="AC234" i="8" s="1"/>
  <c r="AB234" i="8"/>
  <c r="V20" i="8"/>
  <c r="AC20" i="8" s="1"/>
  <c r="AB20" i="8"/>
  <c r="V285" i="8"/>
  <c r="AC285" i="8" s="1"/>
  <c r="AB285" i="8"/>
  <c r="V121" i="8"/>
  <c r="AC121" i="8" s="1"/>
  <c r="AB121" i="8"/>
  <c r="V25" i="8"/>
  <c r="AC25" i="8" s="1"/>
  <c r="AB25" i="8"/>
  <c r="V87" i="8"/>
  <c r="AC87" i="8" s="1"/>
  <c r="AB87" i="8"/>
  <c r="V224" i="8"/>
  <c r="AC224" i="8" s="1"/>
  <c r="AB224" i="8"/>
  <c r="V246" i="8"/>
  <c r="AC246" i="8" s="1"/>
  <c r="AB246" i="8"/>
  <c r="V238" i="8"/>
  <c r="AC238" i="8" s="1"/>
  <c r="AB238" i="8"/>
  <c r="V113" i="8"/>
  <c r="AC113" i="8" s="1"/>
  <c r="AB113" i="8"/>
  <c r="V231" i="8"/>
  <c r="AC231" i="8" s="1"/>
  <c r="AB231" i="8"/>
  <c r="V270" i="8"/>
  <c r="AC270" i="8" s="1"/>
  <c r="AB270" i="8"/>
  <c r="V145" i="8"/>
  <c r="AC145" i="8" s="1"/>
  <c r="AB145" i="8"/>
  <c r="V230" i="8"/>
  <c r="AC230" i="8" s="1"/>
  <c r="AB230" i="8"/>
  <c r="V333" i="8"/>
  <c r="AC333" i="8" s="1"/>
  <c r="AB333" i="8"/>
  <c r="V102" i="8"/>
  <c r="AC102" i="8" s="1"/>
  <c r="AB102" i="8"/>
  <c r="V257" i="8"/>
  <c r="AC257" i="8" s="1"/>
  <c r="AB257" i="8"/>
  <c r="V33" i="8"/>
  <c r="AC33" i="8" s="1"/>
  <c r="AB33" i="8"/>
  <c r="V71" i="8"/>
  <c r="AC71" i="8" s="1"/>
  <c r="AB71" i="8"/>
  <c r="V208" i="8"/>
  <c r="AC208" i="8" s="1"/>
  <c r="AB208" i="8"/>
  <c r="V182" i="8"/>
  <c r="AC182" i="8" s="1"/>
  <c r="AB182" i="8"/>
  <c r="V353" i="8"/>
  <c r="AC353" i="8" s="1"/>
  <c r="AB353" i="8"/>
  <c r="V247" i="8"/>
  <c r="AC247" i="8" s="1"/>
  <c r="AB247" i="8"/>
  <c r="V93" i="8"/>
  <c r="AC93" i="8" s="1"/>
  <c r="AB93" i="8"/>
  <c r="V132" i="8"/>
  <c r="AC132" i="8" s="1"/>
  <c r="AB132" i="8"/>
  <c r="V282" i="8"/>
  <c r="AC282" i="8" s="1"/>
  <c r="AB282" i="8"/>
  <c r="V163" i="8"/>
  <c r="AC163" i="8" s="1"/>
  <c r="AB163" i="8"/>
  <c r="V220" i="8"/>
  <c r="AC220" i="8" s="1"/>
  <c r="AB220" i="8"/>
  <c r="V88" i="8"/>
  <c r="AC88" i="8" s="1"/>
  <c r="AB88" i="8"/>
  <c r="V107" i="8"/>
  <c r="AC107" i="8" s="1"/>
  <c r="AB107" i="8"/>
  <c r="V164" i="8"/>
  <c r="AC164" i="8" s="1"/>
  <c r="AB164" i="8"/>
  <c r="V303" i="8"/>
  <c r="AC303" i="8" s="1"/>
  <c r="AB303" i="8"/>
  <c r="V51" i="8"/>
  <c r="AC51" i="8" s="1"/>
  <c r="AB51" i="8"/>
  <c r="V108" i="8"/>
  <c r="AC108" i="8" s="1"/>
  <c r="AB108" i="8"/>
  <c r="V207" i="8"/>
  <c r="AC207" i="8" s="1"/>
  <c r="AB207" i="8"/>
  <c r="V138" i="8"/>
  <c r="AC138" i="8" s="1"/>
  <c r="AB138" i="8"/>
  <c r="V324" i="8"/>
  <c r="AC324" i="8" s="1"/>
  <c r="AB324" i="8"/>
  <c r="V5" i="8"/>
  <c r="AC5" i="8" s="1"/>
  <c r="AB5" i="8"/>
  <c r="V128" i="8"/>
  <c r="AC128" i="8" s="1"/>
  <c r="AB128" i="8"/>
  <c r="V67" i="8"/>
  <c r="AC67" i="8" s="1"/>
  <c r="AB67" i="8"/>
  <c r="V124" i="8"/>
  <c r="AC124" i="8" s="1"/>
  <c r="AB124" i="8"/>
  <c r="V31" i="8"/>
  <c r="AC31" i="8" s="1"/>
  <c r="AB31" i="8"/>
  <c r="V34" i="8"/>
  <c r="AC34" i="8" s="1"/>
  <c r="AB34" i="8"/>
  <c r="V211" i="8"/>
  <c r="AC211" i="8" s="1"/>
  <c r="AB211" i="8"/>
  <c r="V268" i="8"/>
  <c r="AC268" i="8" s="1"/>
  <c r="AB268" i="8"/>
  <c r="V27" i="8"/>
  <c r="AC27" i="8" s="1"/>
  <c r="AB27" i="8"/>
  <c r="V84" i="8"/>
  <c r="AC84" i="8" s="1"/>
  <c r="AB84" i="8"/>
  <c r="V63" i="8"/>
  <c r="AC63" i="8" s="1"/>
  <c r="AB63" i="8"/>
  <c r="V110" i="8"/>
  <c r="AC110" i="8" s="1"/>
  <c r="AB110" i="8"/>
  <c r="V354" i="8"/>
  <c r="AC354" i="8" s="1"/>
  <c r="AB354" i="8"/>
  <c r="V151" i="8"/>
  <c r="AC151" i="8" s="1"/>
  <c r="AB151" i="8"/>
  <c r="V288" i="8"/>
  <c r="AC288" i="8" s="1"/>
  <c r="AB288" i="8"/>
  <c r="V321" i="8"/>
  <c r="AC321" i="8" s="1"/>
  <c r="AB321" i="8"/>
  <c r="V217" i="8"/>
  <c r="AC217" i="8" s="1"/>
  <c r="AB217" i="8"/>
  <c r="V306" i="8"/>
  <c r="AC306" i="8" s="1"/>
  <c r="AB306" i="8"/>
  <c r="V295" i="8"/>
  <c r="AC295" i="8" s="1"/>
  <c r="AB295" i="8"/>
  <c r="V273" i="8"/>
  <c r="AC273" i="8" s="1"/>
  <c r="AB273" i="8"/>
  <c r="V314" i="8"/>
  <c r="AC314" i="8" s="1"/>
  <c r="AB314" i="8"/>
  <c r="V249" i="8"/>
  <c r="AC249" i="8" s="1"/>
  <c r="AB249" i="8"/>
  <c r="V190" i="8"/>
  <c r="AC190" i="8" s="1"/>
  <c r="AB190" i="8"/>
  <c r="V57" i="8"/>
  <c r="AC57" i="8" s="1"/>
  <c r="AB57" i="8"/>
  <c r="V86" i="8"/>
  <c r="AC86" i="8" s="1"/>
  <c r="AB86" i="8"/>
  <c r="V337" i="8"/>
  <c r="AC337" i="8" s="1"/>
  <c r="AB337" i="8"/>
  <c r="V135" i="8"/>
  <c r="AC135" i="8" s="1"/>
  <c r="AB135" i="8"/>
  <c r="V272" i="8"/>
  <c r="AC272" i="8" s="1"/>
  <c r="AB272" i="8"/>
  <c r="V193" i="8"/>
  <c r="AC193" i="8" s="1"/>
  <c r="AB193" i="8"/>
  <c r="V3" i="8"/>
  <c r="AC3" i="8" s="1"/>
  <c r="AB3" i="8"/>
  <c r="V114" i="8"/>
  <c r="AC114" i="8" s="1"/>
  <c r="AB114" i="8"/>
  <c r="V260" i="8"/>
  <c r="AC260" i="8" s="1"/>
  <c r="AB260" i="8"/>
  <c r="V56" i="8"/>
  <c r="AC56" i="8" s="1"/>
  <c r="AB56" i="8"/>
  <c r="V50" i="8"/>
  <c r="AC50" i="8" s="1"/>
  <c r="AB50" i="8"/>
  <c r="V227" i="8"/>
  <c r="AC227" i="8" s="1"/>
  <c r="AB227" i="8"/>
  <c r="V284" i="8"/>
  <c r="AC284" i="8" s="1"/>
  <c r="AB284" i="8"/>
  <c r="V192" i="8"/>
  <c r="AC192" i="8" s="1"/>
  <c r="AB192" i="8"/>
  <c r="V171" i="8"/>
  <c r="AC171" i="8" s="1"/>
  <c r="AB171" i="8"/>
  <c r="V228" i="8"/>
  <c r="AC228" i="8" s="1"/>
  <c r="AB228" i="8"/>
  <c r="V104" i="8"/>
  <c r="AC104" i="8" s="1"/>
  <c r="AB104" i="8"/>
  <c r="V115" i="8"/>
  <c r="AC115" i="8" s="1"/>
  <c r="AB115" i="8"/>
  <c r="V172" i="8"/>
  <c r="AC172" i="8" s="1"/>
  <c r="AB172" i="8"/>
  <c r="V311" i="8"/>
  <c r="AC311" i="8" s="1"/>
  <c r="AB311" i="8"/>
  <c r="V202" i="8"/>
  <c r="AC202" i="8" s="1"/>
  <c r="AB202" i="8"/>
  <c r="V261" i="8"/>
  <c r="AC261" i="8" s="1"/>
  <c r="AB261" i="8"/>
  <c r="V77" i="8"/>
  <c r="AC77" i="8" s="1"/>
  <c r="AB77" i="8"/>
  <c r="V232" i="8"/>
  <c r="AC232" i="8" s="1"/>
  <c r="AB232" i="8"/>
  <c r="V131" i="8"/>
  <c r="AC131" i="8" s="1"/>
  <c r="AB131" i="8"/>
  <c r="V188" i="8"/>
  <c r="AC188" i="8" s="1"/>
  <c r="AB188" i="8"/>
  <c r="V127" i="8"/>
  <c r="AC127" i="8" s="1"/>
  <c r="AB127" i="8"/>
  <c r="V98" i="8"/>
  <c r="AC98" i="8" s="1"/>
  <c r="AB98" i="8"/>
  <c r="V275" i="8"/>
  <c r="AC275" i="8" s="1"/>
  <c r="AB275" i="8"/>
  <c r="V157" i="8"/>
  <c r="AC157" i="8" s="1"/>
  <c r="AB157" i="8"/>
  <c r="V64" i="8"/>
  <c r="AC64" i="8" s="1"/>
  <c r="AB64" i="8"/>
  <c r="V91" i="8"/>
  <c r="AC91" i="8" s="1"/>
  <c r="AB91" i="8"/>
  <c r="V148" i="8"/>
  <c r="AC148" i="8" s="1"/>
  <c r="AB148" i="8"/>
  <c r="V175" i="8"/>
  <c r="AC175" i="8" s="1"/>
  <c r="AB175" i="8"/>
  <c r="V62" i="8"/>
  <c r="AC62" i="8" s="1"/>
  <c r="AB62" i="8"/>
  <c r="V215" i="8"/>
  <c r="AC215" i="8" s="1"/>
  <c r="AB215" i="8"/>
  <c r="V352" i="8"/>
  <c r="AC352" i="8" s="1"/>
  <c r="AB352" i="8"/>
  <c r="V105" i="8"/>
  <c r="AC105" i="8" s="1"/>
  <c r="AB105" i="8"/>
  <c r="V174" i="8"/>
  <c r="AC174" i="8" s="1"/>
  <c r="AB174" i="8"/>
  <c r="V309" i="8"/>
  <c r="AC309" i="8" s="1"/>
  <c r="AB309" i="8"/>
  <c r="V359" i="8"/>
  <c r="AC359" i="8" s="1"/>
  <c r="AB359" i="8"/>
  <c r="V198" i="8"/>
  <c r="AC198" i="8" s="1"/>
  <c r="AB198" i="8"/>
  <c r="V325" i="8"/>
  <c r="AC325" i="8" s="1"/>
  <c r="AB325" i="8"/>
  <c r="V70" i="8"/>
  <c r="AC70" i="8" s="1"/>
  <c r="AB70" i="8"/>
  <c r="V201" i="8"/>
  <c r="AC201" i="8" s="1"/>
  <c r="AB201" i="8"/>
  <c r="V9" i="8"/>
  <c r="AC9" i="8" s="1"/>
  <c r="AB9" i="8"/>
  <c r="V358" i="8"/>
  <c r="AC358" i="8" s="1"/>
  <c r="AB358" i="8"/>
  <c r="V305" i="8"/>
  <c r="AC305" i="8" s="1"/>
  <c r="AB305" i="8"/>
  <c r="V199" i="8"/>
  <c r="AC199" i="8" s="1"/>
  <c r="AB199" i="8"/>
  <c r="V336" i="8"/>
  <c r="AC336" i="8" s="1"/>
  <c r="AB336" i="8"/>
  <c r="V41" i="8"/>
  <c r="AC41" i="8" s="1"/>
  <c r="AB41" i="8"/>
  <c r="V11" i="8"/>
  <c r="AC11" i="8" s="1"/>
  <c r="AB11" i="8"/>
  <c r="V178" i="8"/>
  <c r="AC178" i="8" s="1"/>
  <c r="AB178" i="8"/>
  <c r="V242" i="8"/>
  <c r="AC242" i="8" s="1"/>
  <c r="AB242" i="8"/>
  <c r="V356" i="8"/>
  <c r="AC356" i="8" s="1"/>
  <c r="AB356" i="8"/>
  <c r="V291" i="8"/>
  <c r="AC291" i="8" s="1"/>
  <c r="AB291" i="8"/>
  <c r="V205" i="8"/>
  <c r="AC205" i="8" s="1"/>
  <c r="AB205" i="8"/>
  <c r="V296" i="8"/>
  <c r="AC296" i="8" s="1"/>
  <c r="AB296" i="8"/>
  <c r="V235" i="8"/>
  <c r="AC235" i="8" s="1"/>
  <c r="AB235" i="8"/>
  <c r="V292" i="8"/>
  <c r="AC292" i="8" s="1"/>
  <c r="AB292" i="8"/>
  <c r="V200" i="8"/>
  <c r="AC200" i="8" s="1"/>
  <c r="AB200" i="8"/>
  <c r="V179" i="8"/>
  <c r="AC179" i="8" s="1"/>
  <c r="AB179" i="8"/>
  <c r="V236" i="8"/>
  <c r="AC236" i="8" s="1"/>
  <c r="AB236" i="8"/>
  <c r="V8" i="8"/>
  <c r="AC8" i="8" s="1"/>
  <c r="AB8" i="8"/>
  <c r="V266" i="8"/>
  <c r="AC266" i="8" s="1"/>
  <c r="AB266" i="8"/>
  <c r="V52" i="8"/>
  <c r="AC52" i="8" s="1"/>
  <c r="AB52" i="8"/>
  <c r="V149" i="8"/>
  <c r="AC149" i="8" s="1"/>
  <c r="AB149" i="8"/>
  <c r="V328" i="8"/>
  <c r="AC328" i="8" s="1"/>
  <c r="AB328" i="8"/>
  <c r="V195" i="8"/>
  <c r="AC195" i="8" s="1"/>
  <c r="AB195" i="8"/>
  <c r="V252" i="8"/>
  <c r="AC252" i="8" s="1"/>
  <c r="AB252" i="8"/>
  <c r="V239" i="8"/>
  <c r="AC239" i="8" s="1"/>
  <c r="AB239" i="8"/>
  <c r="V162" i="8"/>
  <c r="AC162" i="8" s="1"/>
  <c r="AB162" i="8"/>
  <c r="V339" i="8"/>
  <c r="AC339" i="8" s="1"/>
  <c r="AB339" i="8"/>
  <c r="V29" i="8"/>
  <c r="AC29" i="8" s="1"/>
  <c r="AB29" i="8"/>
  <c r="V168" i="8"/>
  <c r="AC168" i="8" s="1"/>
  <c r="AB168" i="8"/>
  <c r="V155" i="8"/>
  <c r="AC155" i="8" s="1"/>
  <c r="AB155" i="8"/>
  <c r="V212" i="8"/>
  <c r="AC212" i="8" s="1"/>
  <c r="AB212" i="8"/>
  <c r="V271" i="8"/>
  <c r="AC271" i="8" s="1"/>
  <c r="AB271" i="8"/>
  <c r="V318" i="8"/>
  <c r="AC318" i="8" s="1"/>
  <c r="AB318" i="8"/>
  <c r="V279" i="8"/>
  <c r="AC279" i="8" s="1"/>
  <c r="AB279" i="8"/>
  <c r="V206" i="8"/>
  <c r="AC206" i="8" s="1"/>
  <c r="AB206" i="8"/>
  <c r="V97" i="8"/>
  <c r="AC97" i="8" s="1"/>
  <c r="AB97" i="8"/>
  <c r="V161" i="8"/>
  <c r="AC161" i="8" s="1"/>
  <c r="AB161" i="8"/>
  <c r="V118" i="8"/>
  <c r="AC118" i="8" s="1"/>
  <c r="AB118" i="8"/>
  <c r="V48" i="8"/>
  <c r="AC48" i="8" s="1"/>
  <c r="AB48" i="8"/>
  <c r="V209" i="8"/>
  <c r="AC209" i="8" s="1"/>
  <c r="AB209" i="8"/>
  <c r="V150" i="8"/>
  <c r="AC150" i="8" s="1"/>
  <c r="AB150" i="8"/>
  <c r="V342" i="8"/>
  <c r="AC342" i="8" s="1"/>
  <c r="AB342" i="8"/>
  <c r="V38" i="8"/>
  <c r="AC38" i="8" s="1"/>
  <c r="AB38" i="8"/>
  <c r="V281" i="8"/>
  <c r="AC281" i="8" s="1"/>
  <c r="AB281" i="8"/>
  <c r="V30" i="8"/>
  <c r="AC30" i="8" s="1"/>
  <c r="AB30" i="8"/>
  <c r="V338" i="8"/>
  <c r="AC338" i="8" s="1"/>
  <c r="AB338" i="8"/>
  <c r="V263" i="8"/>
  <c r="AC263" i="8" s="1"/>
  <c r="AB263" i="8"/>
  <c r="V126" i="8"/>
  <c r="AC126" i="8" s="1"/>
  <c r="AB126" i="8"/>
  <c r="V17" i="8"/>
  <c r="AC17" i="8" s="1"/>
  <c r="AB17" i="8"/>
  <c r="V21" i="8"/>
  <c r="AC21" i="8" s="1"/>
  <c r="AB21" i="8"/>
  <c r="V139" i="8"/>
  <c r="AC139" i="8" s="1"/>
  <c r="AB139" i="8"/>
  <c r="V267" i="8"/>
  <c r="AC267" i="8" s="1"/>
  <c r="AB267" i="8"/>
  <c r="V348" i="8"/>
  <c r="AC348" i="8" s="1"/>
  <c r="AB348" i="8"/>
  <c r="V355" i="8"/>
  <c r="AC355" i="8" s="1"/>
  <c r="AB355" i="8"/>
  <c r="V45" i="8"/>
  <c r="AC45" i="8" s="1"/>
  <c r="AB45" i="8"/>
  <c r="V58" i="8"/>
  <c r="AC58" i="8" s="1"/>
  <c r="AB58" i="8"/>
  <c r="V299" i="8"/>
  <c r="AC299" i="8" s="1"/>
  <c r="AB299" i="8"/>
  <c r="V229" i="8"/>
  <c r="AC229" i="8" s="1"/>
  <c r="AB229" i="8"/>
  <c r="V312" i="8"/>
  <c r="AC312" i="8" s="1"/>
  <c r="AB312" i="8"/>
  <c r="V243" i="8"/>
  <c r="AC243" i="8" s="1"/>
  <c r="AB243" i="8"/>
  <c r="V300" i="8"/>
  <c r="AC300" i="8" s="1"/>
  <c r="AB300" i="8"/>
  <c r="V120" i="8"/>
  <c r="AC120" i="8" s="1"/>
  <c r="AB120" i="8"/>
  <c r="V59" i="8"/>
  <c r="AC59" i="8" s="1"/>
  <c r="AB59" i="8"/>
  <c r="V116" i="8"/>
  <c r="AC116" i="8" s="1"/>
  <c r="AB116" i="8"/>
  <c r="V15" i="8"/>
  <c r="AC15" i="8" s="1"/>
  <c r="AB15" i="8"/>
  <c r="V18" i="8"/>
  <c r="AC18" i="8" s="1"/>
  <c r="AB18" i="8"/>
  <c r="V259" i="8"/>
  <c r="AC259" i="8" s="1"/>
  <c r="AB259" i="8"/>
  <c r="V332" i="8"/>
  <c r="AC332" i="8" s="1"/>
  <c r="AB332" i="8"/>
  <c r="V335" i="8"/>
  <c r="AC335" i="8" s="1"/>
  <c r="AB335" i="8"/>
  <c r="V226" i="8"/>
  <c r="AC226" i="8" s="1"/>
  <c r="AB226" i="8"/>
  <c r="V364" i="8"/>
  <c r="AC364" i="8" s="1"/>
  <c r="AB364" i="8"/>
  <c r="V101" i="8"/>
  <c r="AC101" i="8" s="1"/>
  <c r="AB101" i="8"/>
  <c r="V264" i="8"/>
  <c r="AC264" i="8" s="1"/>
  <c r="AB264" i="8"/>
  <c r="V219" i="8"/>
  <c r="AC219" i="8" s="1"/>
  <c r="AB219" i="8"/>
  <c r="V276" i="8"/>
  <c r="AC276" i="8" s="1"/>
  <c r="AB276" i="8"/>
  <c r="V72" i="8"/>
  <c r="AC72" i="8" s="1"/>
  <c r="AB72" i="8"/>
  <c r="V214" i="8"/>
  <c r="AC214" i="8" s="1"/>
  <c r="AB214" i="8"/>
  <c r="V53" i="8"/>
  <c r="AC53" i="8" s="1"/>
  <c r="AB53" i="8"/>
  <c r="V343" i="8"/>
  <c r="AC343" i="8" s="1"/>
  <c r="AB343" i="8"/>
  <c r="V169" i="8"/>
  <c r="AC169" i="8" s="1"/>
  <c r="AB169" i="8"/>
  <c r="V298" i="8"/>
  <c r="AC298" i="8" s="1"/>
  <c r="AB298" i="8"/>
  <c r="V22" i="8"/>
  <c r="AC22" i="8" s="1"/>
  <c r="AB22" i="8"/>
  <c r="V65" i="8"/>
  <c r="AC65" i="8" s="1"/>
  <c r="AB65" i="8"/>
  <c r="V112" i="8"/>
  <c r="AC112" i="8" s="1"/>
  <c r="AB112" i="8"/>
  <c r="V54" i="8"/>
  <c r="AC54" i="8" s="1"/>
  <c r="AB54" i="8"/>
  <c r="V153" i="8"/>
  <c r="AC153" i="8" s="1"/>
  <c r="AB153" i="8"/>
  <c r="V297" i="8"/>
  <c r="AC297" i="8" s="1"/>
  <c r="AB297" i="8"/>
  <c r="V334" i="8"/>
  <c r="AC334" i="8" s="1"/>
  <c r="AB334" i="8"/>
  <c r="V241" i="8"/>
  <c r="AC241" i="8" s="1"/>
  <c r="AB241" i="8"/>
  <c r="V294" i="8"/>
  <c r="AC294" i="8" s="1"/>
  <c r="AB294" i="8"/>
  <c r="V14" i="8"/>
  <c r="AC14" i="8" s="1"/>
  <c r="AB14" i="8"/>
  <c r="V327" i="8"/>
  <c r="AC327" i="8" s="1"/>
  <c r="AB327" i="8"/>
  <c r="V81" i="8"/>
  <c r="AC81" i="8" s="1"/>
  <c r="AB81" i="8"/>
  <c r="V361" i="8"/>
  <c r="AC361" i="8" s="1"/>
  <c r="AB361" i="8"/>
  <c r="V26" i="8"/>
  <c r="AC26" i="8" s="1"/>
  <c r="AB26" i="8"/>
  <c r="V351" i="8"/>
  <c r="AC351" i="8" s="1"/>
  <c r="AB351" i="8"/>
  <c r="V68" i="8"/>
  <c r="AC68" i="8" s="1"/>
  <c r="AB68" i="8"/>
  <c r="V196" i="8"/>
  <c r="AC196" i="8" s="1"/>
  <c r="AB196" i="8"/>
  <c r="V143" i="8"/>
  <c r="AC143" i="8" s="1"/>
  <c r="AB143" i="8"/>
  <c r="V197" i="8"/>
  <c r="AC197" i="8" s="1"/>
  <c r="AB197" i="8"/>
  <c r="V125" i="8"/>
  <c r="AC125" i="8" s="1"/>
  <c r="AB125" i="8"/>
  <c r="V122" i="8"/>
  <c r="AC122" i="8" s="1"/>
  <c r="AB122" i="8"/>
  <c r="V363" i="8"/>
  <c r="AC363" i="8" s="1"/>
  <c r="AB363" i="8"/>
  <c r="V61" i="8"/>
  <c r="AC61" i="8" s="1"/>
  <c r="AB61" i="8"/>
  <c r="V66" i="8"/>
  <c r="AC66" i="8" s="1"/>
  <c r="AB66" i="8"/>
  <c r="V307" i="8"/>
  <c r="AC307" i="8" s="1"/>
  <c r="AB307" i="8"/>
  <c r="V253" i="8"/>
  <c r="AC253" i="8" s="1"/>
  <c r="AB253" i="8"/>
  <c r="V216" i="8"/>
  <c r="AC216" i="8" s="1"/>
  <c r="AB216" i="8"/>
  <c r="V123" i="8"/>
  <c r="AC123" i="8" s="1"/>
  <c r="AB123" i="8"/>
  <c r="V180" i="8"/>
  <c r="AC180" i="8" s="1"/>
  <c r="AB180" i="8"/>
  <c r="V119" i="8"/>
  <c r="AC119" i="8" s="1"/>
  <c r="AB119" i="8"/>
  <c r="V82" i="8"/>
  <c r="AC82" i="8" s="1"/>
  <c r="AB82" i="8"/>
  <c r="V323" i="8"/>
  <c r="AC323" i="8" s="1"/>
  <c r="AB323" i="8"/>
  <c r="V293" i="8"/>
  <c r="AC293" i="8" s="1"/>
  <c r="AB293" i="8"/>
  <c r="V40" i="8"/>
  <c r="AC40" i="8" s="1"/>
  <c r="AB40" i="8"/>
  <c r="V290" i="8"/>
  <c r="AC290" i="8" s="1"/>
  <c r="AB290" i="8"/>
  <c r="V12" i="8"/>
  <c r="AC12" i="8" s="1"/>
  <c r="AB12" i="8"/>
  <c r="V213" i="8"/>
  <c r="AC213" i="8" s="1"/>
  <c r="AB213" i="8"/>
  <c r="V42" i="8"/>
  <c r="AC42" i="8" s="1"/>
  <c r="AB42" i="8"/>
  <c r="V283" i="8"/>
  <c r="AC283" i="8" s="1"/>
  <c r="AB283" i="8"/>
  <c r="V181" i="8"/>
  <c r="AC181" i="8" s="1"/>
  <c r="AB181" i="8"/>
  <c r="V184" i="8"/>
  <c r="AC184" i="8" s="1"/>
  <c r="AB184" i="8"/>
  <c r="V265" i="8"/>
  <c r="AC265" i="8" s="1"/>
  <c r="AB265" i="8"/>
  <c r="V117" i="8"/>
  <c r="AC117" i="8" s="1"/>
  <c r="AB117" i="8"/>
  <c r="V32" i="8"/>
  <c r="AC32" i="8" s="1"/>
  <c r="AB32" i="8"/>
  <c r="V142" i="8"/>
  <c r="AC142" i="8" s="1"/>
  <c r="AB142" i="8"/>
  <c r="V362" i="8"/>
  <c r="AC362" i="8" s="1"/>
  <c r="AB362" i="8"/>
  <c r="V278" i="8"/>
  <c r="AC278" i="8" s="1"/>
  <c r="AB278" i="8"/>
  <c r="V39" i="8"/>
  <c r="AC39" i="8" s="1"/>
  <c r="AB39" i="8"/>
  <c r="V176" i="8"/>
  <c r="AC176" i="8" s="1"/>
  <c r="AB176" i="8"/>
  <c r="V310" i="8"/>
  <c r="AC310" i="8" s="1"/>
  <c r="AB310" i="8"/>
  <c r="V349" i="8"/>
  <c r="AC349" i="8" s="1"/>
  <c r="AB349" i="8"/>
  <c r="V233" i="8"/>
  <c r="AC233" i="8" s="1"/>
  <c r="AB233" i="8"/>
  <c r="V341" i="8"/>
  <c r="AC341" i="8" s="1"/>
  <c r="AB341" i="8"/>
  <c r="V330" i="8"/>
  <c r="AC330" i="8" s="1"/>
  <c r="AB330" i="8"/>
  <c r="V345" i="8"/>
  <c r="AC345" i="8" s="1"/>
  <c r="AB345" i="8"/>
  <c r="V254" i="8"/>
  <c r="AC254" i="8" s="1"/>
  <c r="AB254" i="8"/>
  <c r="V16" i="8"/>
  <c r="AC16" i="8" s="1"/>
  <c r="AB16" i="8"/>
  <c r="V78" i="8"/>
  <c r="AC78" i="8" s="1"/>
  <c r="AB78" i="8"/>
  <c r="V346" i="8"/>
  <c r="AC346" i="8" s="1"/>
  <c r="AB346" i="8"/>
  <c r="V331" i="8"/>
  <c r="AC331" i="8" s="1"/>
  <c r="AB331" i="8"/>
  <c r="V154" i="8"/>
  <c r="AC154" i="8" s="1"/>
  <c r="AB154" i="8"/>
  <c r="V189" i="8"/>
  <c r="AC189" i="8" s="1"/>
  <c r="AB189" i="8"/>
  <c r="V152" i="8"/>
  <c r="AC152" i="8" s="1"/>
  <c r="AB152" i="8"/>
  <c r="V360" i="8"/>
  <c r="AC360" i="8" s="1"/>
  <c r="AB360" i="8"/>
  <c r="V28" i="8"/>
  <c r="AC28" i="8" s="1"/>
  <c r="AB28" i="8"/>
  <c r="V79" i="8"/>
  <c r="AC79" i="8" s="1"/>
  <c r="AB79" i="8"/>
  <c r="V186" i="8"/>
  <c r="AC186" i="8" s="1"/>
  <c r="AB186" i="8"/>
  <c r="V221" i="8"/>
  <c r="AC221" i="8" s="1"/>
  <c r="AB221" i="8"/>
  <c r="V133" i="8"/>
  <c r="AC133" i="8" s="1"/>
  <c r="AB133" i="8"/>
  <c r="V130" i="8"/>
  <c r="AC130" i="8" s="1"/>
  <c r="AB130" i="8"/>
  <c r="V308" i="8"/>
  <c r="AC308" i="8" s="1"/>
  <c r="AB308" i="8"/>
  <c r="V69" i="8"/>
  <c r="AC69" i="8" s="1"/>
  <c r="AB69" i="8"/>
  <c r="V320" i="8"/>
  <c r="AC320" i="8" s="1"/>
  <c r="AB320" i="8"/>
  <c r="V187" i="8"/>
  <c r="AC187" i="8" s="1"/>
  <c r="AB187" i="8"/>
  <c r="V244" i="8"/>
  <c r="AC244" i="8" s="1"/>
  <c r="AB244" i="8"/>
  <c r="V223" i="8"/>
  <c r="AC223" i="8" s="1"/>
  <c r="AB223" i="8"/>
  <c r="V146" i="8"/>
  <c r="AC146" i="8" s="1"/>
  <c r="AB146" i="8"/>
  <c r="V340" i="8"/>
  <c r="AC340" i="8" s="1"/>
  <c r="AB340" i="8"/>
  <c r="V13" i="8"/>
  <c r="AC13" i="8" s="1"/>
  <c r="AB13" i="8"/>
  <c r="V136" i="8"/>
  <c r="AC136" i="8" s="1"/>
  <c r="AB136" i="8"/>
  <c r="V19" i="8"/>
  <c r="AC19" i="8" s="1"/>
  <c r="AB19" i="8"/>
  <c r="V76" i="8"/>
  <c r="AC76" i="8" s="1"/>
  <c r="AB76" i="8"/>
  <c r="V55" i="8"/>
  <c r="AC55" i="8" s="1"/>
  <c r="AB55" i="8"/>
  <c r="V106" i="8"/>
  <c r="AC106" i="8" s="1"/>
  <c r="AB106" i="8"/>
  <c r="V347" i="8"/>
  <c r="AC347" i="8" s="1"/>
  <c r="AB347" i="8"/>
  <c r="V37" i="8"/>
  <c r="AC37" i="8" s="1"/>
  <c r="AB37" i="8"/>
  <c r="V280" i="8"/>
  <c r="AC280" i="8" s="1"/>
  <c r="AB280" i="8"/>
  <c r="V73" i="8"/>
  <c r="AC73" i="8" s="1"/>
  <c r="AB73" i="8"/>
  <c r="V245" i="8"/>
  <c r="AC245" i="8" s="1"/>
  <c r="AB245" i="8"/>
  <c r="V96" i="8"/>
  <c r="AC96" i="8" s="1"/>
  <c r="AB96" i="8"/>
  <c r="V89" i="8"/>
  <c r="AC89" i="8" s="1"/>
  <c r="AB89" i="8"/>
  <c r="V94" i="8"/>
  <c r="AC94" i="8" s="1"/>
  <c r="AB94" i="8"/>
  <c r="V158" i="8"/>
  <c r="AC158" i="8" s="1"/>
  <c r="AB158" i="8"/>
  <c r="V103" i="8"/>
  <c r="AC103" i="8" s="1"/>
  <c r="AB103" i="8"/>
  <c r="V240" i="8"/>
  <c r="AC240" i="8" s="1"/>
  <c r="AB240" i="8"/>
  <c r="V225" i="8"/>
  <c r="AC225" i="8" s="1"/>
  <c r="AB225" i="8"/>
  <c r="V302" i="8"/>
  <c r="AC302" i="8" s="1"/>
  <c r="AB302" i="8"/>
  <c r="V185" i="8"/>
  <c r="AC185" i="8" s="1"/>
  <c r="AB185" i="8"/>
  <c r="V262" i="8"/>
  <c r="AC262" i="8" s="1"/>
  <c r="AB262" i="8"/>
  <c r="V357" i="8"/>
  <c r="AC357" i="8" s="1"/>
  <c r="AB357" i="8"/>
  <c r="V134" i="8"/>
  <c r="AC134" i="8" s="1"/>
  <c r="AB134" i="8"/>
  <c r="V313" i="8"/>
  <c r="AC313" i="8" s="1"/>
  <c r="AB313" i="8"/>
  <c r="V80" i="8"/>
  <c r="AC80" i="8" s="1"/>
  <c r="AB80" i="8"/>
  <c r="V326" i="8"/>
  <c r="AC326" i="8" s="1"/>
  <c r="AB326" i="8"/>
  <c r="V46" i="8"/>
  <c r="AC46" i="8" s="1"/>
  <c r="AB46" i="8"/>
  <c r="V90" i="8"/>
  <c r="AC90" i="8" s="1"/>
  <c r="AB90" i="8"/>
  <c r="V75" i="8"/>
  <c r="AC75" i="8" s="1"/>
  <c r="AB75" i="8"/>
  <c r="V218" i="8"/>
  <c r="AC218" i="8" s="1"/>
  <c r="AB218" i="8"/>
  <c r="V47" i="8"/>
  <c r="AC47" i="8" s="1"/>
  <c r="AB47" i="8"/>
  <c r="V35" i="8"/>
  <c r="AC35" i="8" s="1"/>
  <c r="AB35" i="8"/>
  <c r="V92" i="8"/>
  <c r="AC92" i="8" s="1"/>
  <c r="AB92" i="8"/>
  <c r="V183" i="8"/>
  <c r="AC183" i="8" s="1"/>
  <c r="AB183" i="8"/>
  <c r="V250" i="8"/>
  <c r="AC250" i="8" s="1"/>
  <c r="AB250" i="8"/>
  <c r="V36" i="8"/>
  <c r="AC36" i="8" s="1"/>
  <c r="AB36" i="8"/>
  <c r="V95" i="8"/>
  <c r="AC95" i="8" s="1"/>
  <c r="AB95" i="8"/>
  <c r="V194" i="8"/>
  <c r="AC194" i="8" s="1"/>
  <c r="AB194" i="8"/>
  <c r="V237" i="8"/>
  <c r="AC237" i="8" s="1"/>
  <c r="AB237" i="8"/>
  <c r="V141" i="8"/>
  <c r="AC141" i="8" s="1"/>
  <c r="AB141" i="8"/>
  <c r="V10" i="8"/>
  <c r="AC10" i="8" s="1"/>
  <c r="AB10" i="8"/>
  <c r="V251" i="8"/>
  <c r="AC251" i="8" s="1"/>
  <c r="AB251" i="8"/>
  <c r="V316" i="8"/>
  <c r="AC316" i="8" s="1"/>
  <c r="AB316" i="8"/>
  <c r="V319" i="8"/>
  <c r="AC319" i="8" s="1"/>
  <c r="AB319" i="8"/>
  <c r="V210" i="8"/>
  <c r="AC210" i="8" s="1"/>
  <c r="AB210" i="8"/>
  <c r="V277" i="8"/>
  <c r="AC277" i="8" s="1"/>
  <c r="AB277" i="8"/>
  <c r="V85" i="8"/>
  <c r="AC85" i="8" s="1"/>
  <c r="AB85" i="8"/>
  <c r="V248" i="8"/>
  <c r="AC248" i="8" s="1"/>
  <c r="AB248" i="8"/>
  <c r="V83" i="8"/>
  <c r="AC83" i="8" s="1"/>
  <c r="AB83" i="8"/>
  <c r="V140" i="8"/>
  <c r="AC140" i="8" s="1"/>
  <c r="AB140" i="8"/>
  <c r="V159" i="8"/>
  <c r="AC159" i="8" s="1"/>
  <c r="AB159" i="8"/>
  <c r="V170" i="8"/>
  <c r="AC170" i="8" s="1"/>
  <c r="AB170" i="8"/>
  <c r="V165" i="8"/>
  <c r="AC165" i="8" s="1"/>
  <c r="AB165" i="8"/>
  <c r="V109" i="8"/>
  <c r="AC109" i="8" s="1"/>
  <c r="AB109" i="8"/>
  <c r="V166" i="8"/>
  <c r="AC166" i="8" s="1"/>
  <c r="AB166" i="8"/>
  <c r="V49" i="8"/>
  <c r="AC49" i="8" s="1"/>
  <c r="AB49" i="8"/>
  <c r="V23" i="8"/>
  <c r="AC23" i="8" s="1"/>
  <c r="AB23" i="8"/>
  <c r="V160" i="8"/>
  <c r="AC160" i="8" s="1"/>
  <c r="AB160" i="8"/>
  <c r="V6" i="8"/>
  <c r="AC6" i="8" s="1"/>
  <c r="AB6" i="8"/>
  <c r="V350" i="8"/>
  <c r="AC350" i="8" s="1"/>
  <c r="AB350" i="8"/>
  <c r="V129" i="8"/>
  <c r="AC129" i="8" s="1"/>
  <c r="AB129" i="8"/>
  <c r="V167" i="8"/>
  <c r="AC167" i="8" s="1"/>
  <c r="AB167" i="8"/>
  <c r="V304" i="8"/>
  <c r="AC304" i="8" s="1"/>
  <c r="AB304" i="8"/>
  <c r="V177" i="8"/>
  <c r="AC177" i="8" s="1"/>
  <c r="AB177" i="8"/>
  <c r="V329" i="8"/>
  <c r="AC329" i="8" s="1"/>
  <c r="AB329" i="8"/>
  <c r="V322" i="8"/>
  <c r="AC322" i="8" s="1"/>
  <c r="AB322" i="8"/>
  <c r="V289" i="8"/>
  <c r="AC289" i="8" s="1"/>
  <c r="AB289" i="8"/>
  <c r="V222" i="8"/>
  <c r="AC222" i="8" s="1"/>
  <c r="AB222" i="8"/>
  <c r="V137" i="8"/>
  <c r="AC137" i="8" s="1"/>
  <c r="AB137" i="8"/>
  <c r="V7" i="8"/>
  <c r="AC7" i="8" s="1"/>
  <c r="AB7" i="8"/>
  <c r="V144" i="8"/>
  <c r="AC144" i="8" s="1"/>
  <c r="AB144" i="8"/>
  <c r="V317" i="8"/>
  <c r="AC317" i="8" s="1"/>
  <c r="AB317" i="8"/>
  <c r="V286" i="8"/>
  <c r="AC286" i="8" s="1"/>
  <c r="AB286" i="8"/>
  <c r="AH7" i="8"/>
  <c r="AI7" i="8" s="1"/>
  <c r="R6" i="8"/>
  <c r="S6" i="8"/>
  <c r="L41" i="3"/>
  <c r="Q41" i="3" s="1"/>
  <c r="L50" i="3"/>
  <c r="Q50" i="3" s="1"/>
  <c r="R4" i="3"/>
  <c r="L55" i="3"/>
  <c r="L16" i="3"/>
  <c r="Q16" i="3" s="1"/>
  <c r="L9" i="3"/>
  <c r="Q9" i="3" s="1"/>
  <c r="L25" i="3"/>
  <c r="Q25" i="3" s="1"/>
  <c r="L19" i="3"/>
  <c r="Q19" i="3" s="1"/>
  <c r="L45" i="3"/>
  <c r="Q45" i="3" s="1"/>
  <c r="L33" i="3"/>
  <c r="Q33" i="3" s="1"/>
  <c r="L34" i="3"/>
  <c r="Q34" i="3" s="1"/>
  <c r="L32" i="3"/>
  <c r="Q32" i="3" s="1"/>
  <c r="L8" i="3"/>
  <c r="L44" i="3"/>
  <c r="Q44" i="3" s="1"/>
  <c r="L28" i="3"/>
  <c r="Q28" i="3" s="1"/>
  <c r="L17" i="3"/>
  <c r="Q17" i="3" s="1"/>
  <c r="L21" i="3"/>
  <c r="Q21" i="3" s="1"/>
  <c r="L47" i="3"/>
  <c r="Q47" i="3" s="1"/>
  <c r="L31" i="3"/>
  <c r="Q31" i="3" s="1"/>
  <c r="L35" i="3"/>
  <c r="Q35" i="3" s="1"/>
  <c r="L18" i="3"/>
  <c r="Q18" i="3" s="1"/>
  <c r="L39" i="3"/>
  <c r="Q39" i="3" s="1"/>
  <c r="L10" i="3"/>
  <c r="Q10" i="3" s="1"/>
  <c r="L29" i="3"/>
  <c r="Q29" i="3" s="1"/>
  <c r="L24" i="3"/>
  <c r="Q24" i="3" s="1"/>
  <c r="L40" i="3"/>
  <c r="Q40" i="3" s="1"/>
  <c r="L48" i="3"/>
  <c r="Q48" i="3" s="1"/>
  <c r="L46" i="3"/>
  <c r="Q46" i="3" s="1"/>
  <c r="L49" i="3"/>
  <c r="Q49" i="3" s="1"/>
  <c r="L30" i="3"/>
  <c r="Q30" i="3" s="1"/>
  <c r="L54" i="3"/>
  <c r="Q54" i="3" s="1"/>
  <c r="L36" i="3"/>
  <c r="Q3" i="3"/>
  <c r="L20" i="3"/>
  <c r="Q20" i="3" s="1"/>
  <c r="L51" i="3"/>
  <c r="Q51" i="3" s="1"/>
  <c r="L14" i="3"/>
  <c r="Q14" i="3" s="1"/>
  <c r="L22" i="3"/>
  <c r="Q22" i="3" s="1"/>
  <c r="Q4" i="3"/>
  <c r="L26" i="3"/>
  <c r="Q26" i="3" s="1"/>
  <c r="L42" i="3"/>
  <c r="Q42" i="3" s="1"/>
  <c r="L52" i="3"/>
  <c r="Q52" i="3" s="1"/>
  <c r="L37" i="3"/>
  <c r="Q37" i="3" s="1"/>
  <c r="L27" i="3"/>
  <c r="Q27" i="3" s="1"/>
  <c r="L12" i="3"/>
  <c r="Q12" i="3" s="1"/>
  <c r="L15" i="3"/>
  <c r="Q15" i="3" s="1"/>
  <c r="L43" i="3"/>
  <c r="Q43" i="3" s="1"/>
  <c r="L23" i="3"/>
  <c r="Q23" i="3" s="1"/>
  <c r="L11" i="3"/>
  <c r="Q11" i="3" s="1"/>
  <c r="L7" i="3"/>
  <c r="L38" i="3"/>
  <c r="Q38" i="3" s="1"/>
  <c r="L13" i="3"/>
  <c r="Q13" i="3" s="1"/>
  <c r="W49" i="3"/>
  <c r="AJ49" i="3" s="1"/>
  <c r="W50" i="3"/>
  <c r="AJ50" i="3" s="1"/>
  <c r="W33" i="3"/>
  <c r="AJ33" i="3" s="1"/>
  <c r="W22" i="3"/>
  <c r="AJ22" i="3" s="1"/>
  <c r="AG3" i="3"/>
  <c r="AH3" i="3" s="1"/>
  <c r="AI3" i="3" s="1"/>
  <c r="N7" i="8"/>
  <c r="T6" i="8"/>
  <c r="Z6" i="8" s="1"/>
  <c r="AR6" i="8" s="1"/>
  <c r="W18" i="3"/>
  <c r="AJ18" i="3" s="1"/>
  <c r="W35" i="3"/>
  <c r="AJ35" i="3" s="1"/>
  <c r="W3" i="3"/>
  <c r="AJ3" i="3" s="1"/>
  <c r="W39" i="3"/>
  <c r="AJ39" i="3" s="1"/>
  <c r="X172" i="3"/>
  <c r="Y172" i="3" s="1"/>
  <c r="W54" i="3"/>
  <c r="AJ54" i="3" s="1"/>
  <c r="W48" i="3"/>
  <c r="AJ48" i="3" s="1"/>
  <c r="W45" i="3"/>
  <c r="AJ45" i="3" s="1"/>
  <c r="W11" i="3"/>
  <c r="AJ11" i="3" s="1"/>
  <c r="W4" i="3"/>
  <c r="AJ4" i="3" s="1"/>
  <c r="W7" i="3"/>
  <c r="AJ7" i="3" s="1"/>
  <c r="W31" i="3"/>
  <c r="AJ31" i="3" s="1"/>
  <c r="W43" i="3"/>
  <c r="AJ43" i="3" s="1"/>
  <c r="W28" i="3"/>
  <c r="AJ28" i="3" s="1"/>
  <c r="W21" i="3"/>
  <c r="AJ21" i="3" s="1"/>
  <c r="W8" i="3"/>
  <c r="AJ8" i="3" s="1"/>
  <c r="W12" i="3"/>
  <c r="AJ12" i="3" s="1"/>
  <c r="W19" i="3"/>
  <c r="AJ19" i="3" s="1"/>
  <c r="W30" i="3"/>
  <c r="AJ30" i="3" s="1"/>
  <c r="W23" i="3"/>
  <c r="AJ23" i="3" s="1"/>
  <c r="W17" i="3"/>
  <c r="AJ17" i="3" s="1"/>
  <c r="W26" i="3"/>
  <c r="AJ26" i="3" s="1"/>
  <c r="W36" i="3"/>
  <c r="AJ36" i="3" s="1"/>
  <c r="W32" i="3"/>
  <c r="AJ32" i="3" s="1"/>
  <c r="W40" i="3"/>
  <c r="AJ40" i="3" s="1"/>
  <c r="W14" i="3"/>
  <c r="AJ14" i="3" s="1"/>
  <c r="W46" i="3"/>
  <c r="AJ46" i="3" s="1"/>
  <c r="W44" i="3"/>
  <c r="AJ44" i="3" s="1"/>
  <c r="W51" i="3"/>
  <c r="AJ51" i="3" s="1"/>
  <c r="W10" i="3"/>
  <c r="AJ10" i="3" s="1"/>
  <c r="W24" i="3"/>
  <c r="AJ24" i="3" s="1"/>
  <c r="W9" i="3"/>
  <c r="AJ9" i="3" s="1"/>
  <c r="W37" i="3"/>
  <c r="AJ37" i="3" s="1"/>
  <c r="W29" i="3"/>
  <c r="AJ29" i="3" s="1"/>
  <c r="W25" i="3"/>
  <c r="AJ25" i="3" s="1"/>
  <c r="W38" i="3"/>
  <c r="AJ38" i="3" s="1"/>
  <c r="W27" i="3"/>
  <c r="AJ27" i="3" s="1"/>
  <c r="W6" i="3"/>
  <c r="AJ6" i="3" s="1"/>
  <c r="W47" i="3"/>
  <c r="AJ47" i="3" s="1"/>
  <c r="W13" i="3"/>
  <c r="AJ13" i="3" s="1"/>
  <c r="W16" i="3"/>
  <c r="AJ16" i="3" s="1"/>
  <c r="W41" i="3"/>
  <c r="AJ41" i="3" s="1"/>
  <c r="W20" i="3"/>
  <c r="AJ20" i="3" s="1"/>
  <c r="W15" i="3"/>
  <c r="AJ15" i="3" s="1"/>
  <c r="T4" i="3"/>
  <c r="T3" i="3"/>
  <c r="Z3" i="3" s="1"/>
  <c r="AR3" i="3" s="1"/>
  <c r="AE233" i="9"/>
  <c r="AE137" i="9"/>
  <c r="AE246" i="9"/>
  <c r="AE106" i="9"/>
  <c r="AE212" i="9"/>
  <c r="AE299" i="9"/>
  <c r="AE290" i="9"/>
  <c r="AE277" i="9"/>
  <c r="AE191" i="9"/>
  <c r="AE75" i="9"/>
  <c r="AE73" i="9"/>
  <c r="AE135" i="9"/>
  <c r="AE172" i="9"/>
  <c r="AE361" i="9"/>
  <c r="AE326" i="9"/>
  <c r="AE104" i="9"/>
  <c r="AE176" i="9"/>
  <c r="AE294" i="9"/>
  <c r="AE358" i="9"/>
  <c r="AE136" i="9"/>
  <c r="AE193" i="9"/>
  <c r="AE301" i="9"/>
  <c r="AE128" i="9"/>
  <c r="AE292" i="9"/>
  <c r="AE178" i="9"/>
  <c r="AE148" i="9"/>
  <c r="AE198" i="9"/>
  <c r="AE213" i="9"/>
  <c r="AE199" i="9"/>
  <c r="AE131" i="9"/>
  <c r="AE351" i="9"/>
  <c r="AE218" i="9"/>
  <c r="AE214" i="9"/>
  <c r="AE85" i="9"/>
  <c r="AE92" i="9"/>
  <c r="AE205" i="9"/>
  <c r="AE236" i="9"/>
  <c r="AE350" i="9"/>
  <c r="AE100" i="9"/>
  <c r="AE293" i="9"/>
  <c r="AE200" i="9"/>
  <c r="AE114" i="9"/>
  <c r="AE119" i="9"/>
  <c r="AE314" i="9"/>
  <c r="AE272" i="9"/>
  <c r="AE234" i="9"/>
  <c r="AE362" i="9"/>
  <c r="AE360" i="9"/>
  <c r="AE89" i="9"/>
  <c r="AE142" i="9"/>
  <c r="AE225" i="9"/>
  <c r="AE203" i="9"/>
  <c r="AE175" i="9"/>
  <c r="AE98" i="9"/>
  <c r="AE97" i="9"/>
  <c r="AE146" i="9"/>
  <c r="AE316" i="9"/>
  <c r="AE118" i="9"/>
  <c r="AE304" i="9"/>
  <c r="AE124" i="9"/>
  <c r="AE145" i="9"/>
  <c r="AE96" i="9"/>
  <c r="AE336" i="9"/>
  <c r="AE311" i="9"/>
  <c r="AE158" i="9"/>
  <c r="AE281" i="9"/>
  <c r="AE344" i="9"/>
  <c r="AE174" i="9"/>
  <c r="AE317" i="9"/>
  <c r="AE333" i="9"/>
  <c r="AE177" i="9"/>
  <c r="AE155" i="9"/>
  <c r="AE140" i="9"/>
  <c r="AE342" i="9"/>
  <c r="AE285" i="9"/>
  <c r="AE82" i="9"/>
  <c r="AE352" i="9"/>
  <c r="AE95" i="9"/>
  <c r="AE81" i="9"/>
  <c r="AE112" i="9"/>
  <c r="AE282" i="9"/>
  <c r="AE166" i="9"/>
  <c r="AE349" i="9"/>
  <c r="AE164" i="9"/>
  <c r="AE138" i="9"/>
  <c r="AE346" i="9"/>
  <c r="AE215" i="9"/>
  <c r="AE273" i="9"/>
  <c r="AE91" i="9"/>
  <c r="AE105" i="9"/>
  <c r="AE232" i="9"/>
  <c r="AE219" i="9"/>
  <c r="AE77" i="9"/>
  <c r="AE194" i="9"/>
  <c r="AE187" i="9"/>
  <c r="AE204" i="9"/>
  <c r="AE296" i="9"/>
  <c r="AE318" i="9"/>
  <c r="AE192" i="9"/>
  <c r="AE240" i="9"/>
  <c r="AE329" i="9"/>
  <c r="AE315" i="9"/>
  <c r="AE108" i="9"/>
  <c r="AE87" i="9"/>
  <c r="AE241" i="9"/>
  <c r="AE80" i="9"/>
  <c r="AE171" i="9"/>
  <c r="AE102" i="9"/>
  <c r="AE181" i="9"/>
  <c r="AE182" i="9"/>
  <c r="AE356" i="9"/>
  <c r="AE189" i="9"/>
  <c r="AD307" i="9"/>
  <c r="AD341" i="9"/>
  <c r="AD276" i="9"/>
  <c r="AD260" i="9"/>
  <c r="AD295" i="9"/>
  <c r="AD238" i="9"/>
  <c r="AD280" i="9"/>
  <c r="AD226" i="9"/>
  <c r="AD248" i="9"/>
  <c r="AD235" i="9"/>
  <c r="AD239" i="9"/>
  <c r="AD206" i="9"/>
  <c r="AD335" i="9"/>
  <c r="AD288" i="9"/>
  <c r="AD249" i="9"/>
  <c r="AD319" i="9"/>
  <c r="AD300" i="9"/>
  <c r="AD309" i="9"/>
  <c r="AD258" i="9"/>
  <c r="AD237" i="9"/>
  <c r="AD202" i="9"/>
  <c r="AD286" i="9"/>
  <c r="AD347" i="9"/>
  <c r="AD211" i="9"/>
  <c r="AD190" i="9"/>
  <c r="AD228" i="9"/>
  <c r="AD184" i="9"/>
  <c r="AD259" i="9"/>
  <c r="AD308" i="9"/>
  <c r="AD224" i="9"/>
  <c r="AD252" i="9"/>
  <c r="AD310" i="9"/>
  <c r="AD327" i="9"/>
  <c r="AD208" i="9"/>
  <c r="AD183" i="9"/>
  <c r="AD255" i="9"/>
  <c r="AD271" i="9"/>
  <c r="AD340" i="9"/>
  <c r="AD343" i="9"/>
  <c r="AD279" i="9"/>
  <c r="AD266" i="9"/>
  <c r="AD287" i="9"/>
  <c r="AD312" i="9"/>
  <c r="AD348" i="9"/>
  <c r="AD254" i="9"/>
  <c r="AD227" i="9"/>
  <c r="AD229" i="9"/>
  <c r="AD222" i="9"/>
  <c r="AD263" i="9"/>
  <c r="AD209" i="9"/>
  <c r="AD284" i="9"/>
  <c r="AD322" i="9"/>
  <c r="AD338" i="9"/>
  <c r="AE306" i="9"/>
  <c r="AE195" i="9"/>
  <c r="AE278" i="9"/>
  <c r="AE197" i="9"/>
  <c r="AE230" i="9"/>
  <c r="AE332" i="9"/>
  <c r="AE180" i="9"/>
  <c r="AE313" i="9"/>
  <c r="AE179" i="9"/>
  <c r="AE170" i="9"/>
  <c r="AE201" i="9"/>
  <c r="AE125" i="9"/>
  <c r="AE78" i="9"/>
  <c r="AE355" i="9"/>
  <c r="AE321" i="9"/>
  <c r="AE297" i="9"/>
  <c r="AE291" i="9"/>
  <c r="AE168" i="9"/>
  <c r="AE330" i="9"/>
  <c r="AE139" i="9"/>
  <c r="AE337" i="9"/>
  <c r="AE267" i="9"/>
  <c r="AE167" i="9"/>
  <c r="AE253" i="9"/>
  <c r="AE99" i="9"/>
  <c r="AE339" i="9"/>
  <c r="AE173" i="9"/>
  <c r="AE101" i="9"/>
  <c r="AE354" i="9"/>
  <c r="AE359" i="9"/>
  <c r="AE74" i="9"/>
  <c r="AE79" i="9"/>
  <c r="AE196" i="9"/>
  <c r="AE130" i="9"/>
  <c r="AE217" i="9"/>
  <c r="AE243" i="9"/>
  <c r="AE262" i="9"/>
  <c r="AE143" i="9"/>
  <c r="AE186" i="9"/>
  <c r="AE331" i="9"/>
  <c r="AE320" i="9"/>
  <c r="AE251" i="9"/>
  <c r="AE334" i="9"/>
  <c r="AE324" i="9"/>
  <c r="AE303" i="9"/>
  <c r="AE242" i="9"/>
  <c r="AE328" i="9"/>
  <c r="AE86" i="9"/>
  <c r="AE289" i="9"/>
  <c r="AE185" i="9"/>
  <c r="AE210" i="9"/>
  <c r="AE221" i="9"/>
  <c r="AE111" i="9"/>
  <c r="AE261" i="9"/>
  <c r="AE256" i="9"/>
  <c r="AE298" i="9"/>
  <c r="AE353" i="9"/>
  <c r="AE247" i="9"/>
  <c r="AE220" i="9"/>
  <c r="AE223" i="9"/>
  <c r="AE357" i="9"/>
  <c r="AE207" i="9"/>
  <c r="AE132" i="9"/>
  <c r="AE257" i="9"/>
  <c r="AE245" i="9"/>
  <c r="AE265" i="9"/>
  <c r="AE231" i="9"/>
  <c r="AE216" i="9"/>
  <c r="AE264" i="9"/>
  <c r="AE103" i="9"/>
  <c r="AE325" i="9"/>
  <c r="AE305" i="9"/>
  <c r="AE275" i="9"/>
  <c r="AE274" i="9"/>
  <c r="AE159" i="9"/>
  <c r="AH8" i="9"/>
  <c r="AI7" i="9"/>
  <c r="AE345" i="9"/>
  <c r="AE323" i="9"/>
  <c r="AE160" i="9"/>
  <c r="AE244" i="9"/>
  <c r="AE250" i="9"/>
  <c r="AE302" i="9"/>
  <c r="AE157" i="9"/>
  <c r="AE283" i="9"/>
  <c r="W55" i="3" l="1"/>
  <c r="AJ55" i="3" s="1"/>
  <c r="Q55" i="3"/>
  <c r="AB364" i="9"/>
  <c r="AD364" i="9" s="1"/>
  <c r="AE364" i="9" s="1"/>
  <c r="AD363" i="9"/>
  <c r="I366" i="8"/>
  <c r="O366" i="8"/>
  <c r="P366" i="8" a="1"/>
  <c r="P366" i="8" s="1"/>
  <c r="K366" i="8"/>
  <c r="H366" i="8"/>
  <c r="AF366" i="8"/>
  <c r="AG366" i="8" s="1"/>
  <c r="G367" i="9"/>
  <c r="F368" i="9"/>
  <c r="G368" i="9" s="1"/>
  <c r="P367" i="8" a="1"/>
  <c r="P367" i="8" s="1"/>
  <c r="K367" i="8"/>
  <c r="I367" i="8"/>
  <c r="O367" i="8"/>
  <c r="AF367" i="8"/>
  <c r="AG367" i="8" s="1"/>
  <c r="H367" i="8"/>
  <c r="I366" i="9"/>
  <c r="O366" i="9"/>
  <c r="K366" i="9"/>
  <c r="P366" i="9" a="1"/>
  <c r="P366" i="9" s="1"/>
  <c r="AF366" i="9"/>
  <c r="AG366" i="9" s="1"/>
  <c r="H366" i="9"/>
  <c r="P56" i="3" a="1"/>
  <c r="P56" i="3" s="1"/>
  <c r="K56" i="3"/>
  <c r="O56" i="3"/>
  <c r="H56" i="3"/>
  <c r="I56" i="3"/>
  <c r="AF56" i="3"/>
  <c r="AG56" i="3" s="1"/>
  <c r="M365" i="8"/>
  <c r="L365" i="8"/>
  <c r="Q365" i="8" s="1"/>
  <c r="W365" i="8"/>
  <c r="AJ365" i="8" s="1"/>
  <c r="U365" i="8"/>
  <c r="F58" i="3"/>
  <c r="G57" i="3"/>
  <c r="H57" i="3" s="1"/>
  <c r="M365" i="9"/>
  <c r="L365" i="9"/>
  <c r="Q365" i="9" s="1"/>
  <c r="W365" i="9"/>
  <c r="AJ365" i="9" s="1"/>
  <c r="U365" i="9"/>
  <c r="V365" i="9" s="1"/>
  <c r="AC365" i="9" s="1"/>
  <c r="AD257" i="8"/>
  <c r="AD282" i="8"/>
  <c r="AD228" i="8"/>
  <c r="AD198" i="8"/>
  <c r="AD328" i="8"/>
  <c r="AH8" i="8"/>
  <c r="AH9" i="8" s="1"/>
  <c r="AD280" i="8"/>
  <c r="AD244" i="8"/>
  <c r="AD254" i="8"/>
  <c r="AD233" i="8"/>
  <c r="AD39" i="8"/>
  <c r="AD32" i="8"/>
  <c r="AD181" i="8"/>
  <c r="AD12" i="8"/>
  <c r="AD323" i="8"/>
  <c r="AD123" i="8"/>
  <c r="AD66" i="8"/>
  <c r="AD125" i="8"/>
  <c r="AD68" i="8"/>
  <c r="AD81" i="8"/>
  <c r="AD241" i="8"/>
  <c r="AD54" i="8"/>
  <c r="AD298" i="8"/>
  <c r="AD214" i="8"/>
  <c r="AD264" i="8"/>
  <c r="AD335" i="8"/>
  <c r="AD15" i="8"/>
  <c r="AD300" i="8"/>
  <c r="AD299" i="8"/>
  <c r="AD348" i="8"/>
  <c r="AD17" i="8"/>
  <c r="AD30" i="8"/>
  <c r="AD150" i="8"/>
  <c r="AD161" i="8"/>
  <c r="AD318" i="8"/>
  <c r="AD155" i="8"/>
  <c r="AD162" i="8"/>
  <c r="AD8" i="8"/>
  <c r="AD292" i="8"/>
  <c r="AD291" i="8"/>
  <c r="AD11" i="8"/>
  <c r="AD305" i="8"/>
  <c r="AD70" i="8"/>
  <c r="AD309" i="8"/>
  <c r="AD215" i="8"/>
  <c r="AD148" i="8"/>
  <c r="AD131" i="8"/>
  <c r="AD202" i="8"/>
  <c r="AD284" i="8"/>
  <c r="AD260" i="8"/>
  <c r="AD57" i="8"/>
  <c r="AD273" i="8"/>
  <c r="AD321" i="8"/>
  <c r="AD110" i="8"/>
  <c r="AD31" i="8"/>
  <c r="AD5" i="8"/>
  <c r="AD108" i="8"/>
  <c r="AD107" i="8"/>
  <c r="AD353" i="8"/>
  <c r="AD33" i="8"/>
  <c r="AD230" i="8"/>
  <c r="AD113" i="8"/>
  <c r="AD20" i="8"/>
  <c r="AD147" i="8"/>
  <c r="AD274" i="8"/>
  <c r="AD74" i="8"/>
  <c r="AD191" i="8"/>
  <c r="AD156" i="8"/>
  <c r="AD4" i="8"/>
  <c r="AD295" i="8"/>
  <c r="AD288" i="8"/>
  <c r="AD63" i="8"/>
  <c r="AD225" i="8"/>
  <c r="AD268" i="8"/>
  <c r="AD346" i="8"/>
  <c r="AD345" i="8"/>
  <c r="AD349" i="8"/>
  <c r="AD278" i="8"/>
  <c r="AD117" i="8"/>
  <c r="AD283" i="8"/>
  <c r="AD290" i="8"/>
  <c r="AD82" i="8"/>
  <c r="AD216" i="8"/>
  <c r="AD61" i="8"/>
  <c r="AD197" i="8"/>
  <c r="AD351" i="8"/>
  <c r="AD112" i="8"/>
  <c r="AD169" i="8"/>
  <c r="AD72" i="8"/>
  <c r="AD101" i="8"/>
  <c r="AD332" i="8"/>
  <c r="AD116" i="8"/>
  <c r="AD243" i="8"/>
  <c r="AD58" i="8"/>
  <c r="AD267" i="8"/>
  <c r="AD126" i="8"/>
  <c r="AD209" i="8"/>
  <c r="AD168" i="8"/>
  <c r="AD239" i="8"/>
  <c r="AD149" i="8"/>
  <c r="AD236" i="8"/>
  <c r="AD356" i="8"/>
  <c r="AD325" i="8"/>
  <c r="AD174" i="8"/>
  <c r="AD62" i="8"/>
  <c r="AD135" i="8"/>
  <c r="AD190" i="8"/>
  <c r="AD124" i="8"/>
  <c r="AD51" i="8"/>
  <c r="AD182" i="8"/>
  <c r="AD145" i="8"/>
  <c r="AD238" i="8"/>
  <c r="AD25" i="8"/>
  <c r="AD234" i="8"/>
  <c r="AD24" i="8"/>
  <c r="AD99" i="8"/>
  <c r="AD187" i="8"/>
  <c r="AD304" i="8"/>
  <c r="AD341" i="8"/>
  <c r="AD226" i="8"/>
  <c r="AD229" i="8"/>
  <c r="AD338" i="8"/>
  <c r="AD342" i="8"/>
  <c r="AD279" i="8"/>
  <c r="AD178" i="8"/>
  <c r="AD204" i="8"/>
  <c r="AD301" i="8"/>
  <c r="AD78" i="8"/>
  <c r="AD330" i="8"/>
  <c r="AD310" i="8"/>
  <c r="AD362" i="8"/>
  <c r="AD265" i="8"/>
  <c r="AD42" i="8"/>
  <c r="AD40" i="8"/>
  <c r="AD119" i="8"/>
  <c r="AD253" i="8"/>
  <c r="AD363" i="8"/>
  <c r="AD143" i="8"/>
  <c r="AD26" i="8"/>
  <c r="AD14" i="8"/>
  <c r="AD297" i="8"/>
  <c r="AD65" i="8"/>
  <c r="AD343" i="8"/>
  <c r="AD276" i="8"/>
  <c r="AD364" i="8"/>
  <c r="AD259" i="8"/>
  <c r="AD59" i="8"/>
  <c r="AD312" i="8"/>
  <c r="AD45" i="8"/>
  <c r="AD139" i="8"/>
  <c r="AD263" i="8"/>
  <c r="AD38" i="8"/>
  <c r="AD48" i="8"/>
  <c r="AD206" i="8"/>
  <c r="AD271" i="8"/>
  <c r="AD29" i="8"/>
  <c r="AD252" i="8"/>
  <c r="AD52" i="8"/>
  <c r="AD179" i="8"/>
  <c r="AD296" i="8"/>
  <c r="AD242" i="8"/>
  <c r="AD336" i="8"/>
  <c r="AD9" i="8"/>
  <c r="AD105" i="8"/>
  <c r="AD64" i="8"/>
  <c r="AD127" i="8"/>
  <c r="AD77" i="8"/>
  <c r="AD172" i="8"/>
  <c r="AD171" i="8"/>
  <c r="AD50" i="8"/>
  <c r="AD3" i="8"/>
  <c r="AD337" i="8"/>
  <c r="AD249" i="8"/>
  <c r="AD306" i="8"/>
  <c r="AD151" i="8"/>
  <c r="AD84" i="8"/>
  <c r="AD211" i="8"/>
  <c r="AD67" i="8"/>
  <c r="AD138" i="8"/>
  <c r="AD303" i="8"/>
  <c r="AD220" i="8"/>
  <c r="AD93" i="8"/>
  <c r="AD208" i="8"/>
  <c r="AD102" i="8"/>
  <c r="AD270" i="8"/>
  <c r="AD327" i="8"/>
  <c r="AD334" i="8"/>
  <c r="AD281" i="8"/>
  <c r="AD97" i="8"/>
  <c r="AD235" i="8"/>
  <c r="AD41" i="8"/>
  <c r="AD358" i="8"/>
  <c r="AD91" i="8"/>
  <c r="AD88" i="8"/>
  <c r="AD246" i="8"/>
  <c r="AD121" i="8"/>
  <c r="AD255" i="8"/>
  <c r="AD173" i="8"/>
  <c r="AD269" i="8"/>
  <c r="AD44" i="8"/>
  <c r="AD43" i="8"/>
  <c r="AD256" i="8"/>
  <c r="AD111" i="8"/>
  <c r="AD16" i="8"/>
  <c r="AD176" i="8"/>
  <c r="AD142" i="8"/>
  <c r="AD184" i="8"/>
  <c r="AD213" i="8"/>
  <c r="AD293" i="8"/>
  <c r="AD180" i="8"/>
  <c r="AD307" i="8"/>
  <c r="AD122" i="8"/>
  <c r="AD196" i="8"/>
  <c r="AD361" i="8"/>
  <c r="AD294" i="8"/>
  <c r="AD153" i="8"/>
  <c r="AD22" i="8"/>
  <c r="AD53" i="8"/>
  <c r="AD219" i="8"/>
  <c r="AD18" i="8"/>
  <c r="AD120" i="8"/>
  <c r="AD355" i="8"/>
  <c r="AD21" i="8"/>
  <c r="AD118" i="8"/>
  <c r="AD212" i="8"/>
  <c r="AD339" i="8"/>
  <c r="AD195" i="8"/>
  <c r="AD266" i="8"/>
  <c r="AD200" i="8"/>
  <c r="AD205" i="8"/>
  <c r="AD199" i="8"/>
  <c r="AD201" i="8"/>
  <c r="AD359" i="8"/>
  <c r="AD352" i="8"/>
  <c r="AD175" i="8"/>
  <c r="AD157" i="8"/>
  <c r="AD188" i="8"/>
  <c r="AD261" i="8"/>
  <c r="AD115" i="8"/>
  <c r="AD192" i="8"/>
  <c r="AD56" i="8"/>
  <c r="AD193" i="8"/>
  <c r="AD86" i="8"/>
  <c r="AD314" i="8"/>
  <c r="AD217" i="8"/>
  <c r="AD354" i="8"/>
  <c r="AD27" i="8"/>
  <c r="AD34" i="8"/>
  <c r="AD128" i="8"/>
  <c r="AD207" i="8"/>
  <c r="AD224" i="8"/>
  <c r="AD258" i="8"/>
  <c r="AD287" i="8"/>
  <c r="AD203" i="8"/>
  <c r="AD275" i="8"/>
  <c r="AD104" i="8"/>
  <c r="AD272" i="8"/>
  <c r="AD87" i="8"/>
  <c r="AD98" i="8"/>
  <c r="AD232" i="8"/>
  <c r="AD311" i="8"/>
  <c r="AD227" i="8"/>
  <c r="AD114" i="8"/>
  <c r="AD324" i="8"/>
  <c r="AD132" i="8"/>
  <c r="AD344" i="8"/>
  <c r="AD100" i="8"/>
  <c r="AD144" i="8"/>
  <c r="AD289" i="8"/>
  <c r="AD6" i="8"/>
  <c r="AD166" i="8"/>
  <c r="AD159" i="8"/>
  <c r="AD85" i="8"/>
  <c r="AD316" i="8"/>
  <c r="AD237" i="8"/>
  <c r="AD250" i="8"/>
  <c r="AD47" i="8"/>
  <c r="AD46" i="8"/>
  <c r="AD134" i="8"/>
  <c r="AD302" i="8"/>
  <c r="AD158" i="8"/>
  <c r="AD245" i="8"/>
  <c r="AD347" i="8"/>
  <c r="AD19" i="8"/>
  <c r="AD146" i="8"/>
  <c r="AD320" i="8"/>
  <c r="AD133" i="8"/>
  <c r="AD28" i="8"/>
  <c r="AD154" i="8"/>
  <c r="AD164" i="8"/>
  <c r="AD163" i="8"/>
  <c r="AD247" i="8"/>
  <c r="AD71" i="8"/>
  <c r="AD333" i="8"/>
  <c r="AD231" i="8"/>
  <c r="AD285" i="8"/>
  <c r="AD60" i="8"/>
  <c r="AD315" i="8"/>
  <c r="AD7" i="8"/>
  <c r="AD322" i="8"/>
  <c r="AD167" i="8"/>
  <c r="AD160" i="8"/>
  <c r="AD109" i="8"/>
  <c r="AD140" i="8"/>
  <c r="AD277" i="8"/>
  <c r="AD251" i="8"/>
  <c r="AD194" i="8"/>
  <c r="AD183" i="8"/>
  <c r="AD218" i="8"/>
  <c r="AD326" i="8"/>
  <c r="AD357" i="8"/>
  <c r="AD94" i="8"/>
  <c r="AD73" i="8"/>
  <c r="AD106" i="8"/>
  <c r="AD136" i="8"/>
  <c r="AD223" i="8"/>
  <c r="AD69" i="8"/>
  <c r="AD221" i="8"/>
  <c r="AD360" i="8"/>
  <c r="AD331" i="8"/>
  <c r="AD286" i="8"/>
  <c r="AD137" i="8"/>
  <c r="AD329" i="8"/>
  <c r="AD129" i="8"/>
  <c r="AD23" i="8"/>
  <c r="AD165" i="8"/>
  <c r="AD83" i="8"/>
  <c r="AD210" i="8"/>
  <c r="AD10" i="8"/>
  <c r="AD95" i="8"/>
  <c r="AD92" i="8"/>
  <c r="AD75" i="8"/>
  <c r="AD80" i="8"/>
  <c r="AD262" i="8"/>
  <c r="AD240" i="8"/>
  <c r="AD89" i="8"/>
  <c r="AD55" i="8"/>
  <c r="AD13" i="8"/>
  <c r="AD308" i="8"/>
  <c r="AD186" i="8"/>
  <c r="AD152" i="8"/>
  <c r="AD317" i="8"/>
  <c r="AD222" i="8"/>
  <c r="AD177" i="8"/>
  <c r="AD350" i="8"/>
  <c r="AD49" i="8"/>
  <c r="AD170" i="8"/>
  <c r="AD248" i="8"/>
  <c r="AD319" i="8"/>
  <c r="AD141" i="8"/>
  <c r="AD36" i="8"/>
  <c r="AD35" i="8"/>
  <c r="AD90" i="8"/>
  <c r="AD313" i="8"/>
  <c r="AD185" i="8"/>
  <c r="AD103" i="8"/>
  <c r="AD96" i="8"/>
  <c r="AD37" i="8"/>
  <c r="AD76" i="8"/>
  <c r="AD340" i="8"/>
  <c r="AD130" i="8"/>
  <c r="AD79" i="8"/>
  <c r="AD189" i="8"/>
  <c r="Q36" i="3"/>
  <c r="R7" i="8"/>
  <c r="S7" i="8"/>
  <c r="AH4" i="3"/>
  <c r="AI4" i="3" s="1"/>
  <c r="N8" i="8"/>
  <c r="T7" i="8"/>
  <c r="Z7" i="8" s="1"/>
  <c r="AR7" i="8" s="1"/>
  <c r="X340" i="3"/>
  <c r="Y340" i="3" s="1"/>
  <c r="X339" i="3"/>
  <c r="Y339" i="3" s="1"/>
  <c r="X205" i="3"/>
  <c r="Y205" i="3" s="1"/>
  <c r="X337" i="3"/>
  <c r="Y337" i="3" s="1"/>
  <c r="X209" i="3"/>
  <c r="Y209" i="3" s="1"/>
  <c r="X206" i="3"/>
  <c r="Y206" i="3" s="1"/>
  <c r="X208" i="3"/>
  <c r="Y208" i="3" s="1"/>
  <c r="X203" i="3"/>
  <c r="Y203" i="3" s="1"/>
  <c r="X338" i="3"/>
  <c r="Y338" i="3" s="1"/>
  <c r="X344" i="3"/>
  <c r="Y344" i="3" s="1"/>
  <c r="X179" i="3"/>
  <c r="Y179" i="3" s="1"/>
  <c r="X173" i="3"/>
  <c r="Y173" i="3" s="1"/>
  <c r="X175" i="3"/>
  <c r="Y175" i="3" s="1"/>
  <c r="X184" i="3"/>
  <c r="Y184" i="3" s="1"/>
  <c r="X171" i="3"/>
  <c r="Y171" i="3" s="1"/>
  <c r="X190" i="3"/>
  <c r="Y190" i="3" s="1"/>
  <c r="X183" i="3"/>
  <c r="Y183" i="3" s="1"/>
  <c r="X192" i="3"/>
  <c r="Y192" i="3" s="1"/>
  <c r="X333" i="3"/>
  <c r="Y333" i="3" s="1"/>
  <c r="X332" i="3"/>
  <c r="Y332" i="3" s="1"/>
  <c r="Z4" i="3"/>
  <c r="AR4" i="3" s="1"/>
  <c r="AE206" i="9"/>
  <c r="AE229" i="9"/>
  <c r="AE208" i="9"/>
  <c r="AE260" i="9"/>
  <c r="AE287" i="9"/>
  <c r="AE252" i="9"/>
  <c r="AE237" i="9"/>
  <c r="AE258" i="9"/>
  <c r="AE235" i="9"/>
  <c r="AE276" i="9"/>
  <c r="AE310" i="9"/>
  <c r="AE239" i="9"/>
  <c r="AE263" i="9"/>
  <c r="AE308" i="9"/>
  <c r="AE309" i="9"/>
  <c r="AE248" i="9"/>
  <c r="AE341" i="9"/>
  <c r="AE202" i="9"/>
  <c r="AE184" i="9"/>
  <c r="AE338" i="9"/>
  <c r="AE222" i="9"/>
  <c r="AE227" i="9"/>
  <c r="AE348" i="9"/>
  <c r="AE266" i="9"/>
  <c r="AE340" i="9"/>
  <c r="AE259" i="9"/>
  <c r="AE190" i="9"/>
  <c r="AE319" i="9"/>
  <c r="AE226" i="9"/>
  <c r="AE238" i="9"/>
  <c r="AE307" i="9"/>
  <c r="AE343" i="9"/>
  <c r="AE322" i="9"/>
  <c r="AE254" i="9"/>
  <c r="AE312" i="9"/>
  <c r="AE279" i="9"/>
  <c r="AE271" i="9"/>
  <c r="AE255" i="9"/>
  <c r="AE224" i="9"/>
  <c r="AE211" i="9"/>
  <c r="AE300" i="9"/>
  <c r="AE249" i="9"/>
  <c r="AE295" i="9"/>
  <c r="AE284" i="9"/>
  <c r="AE327" i="9"/>
  <c r="AE228" i="9"/>
  <c r="AE347" i="9"/>
  <c r="AE288" i="9"/>
  <c r="AE280" i="9"/>
  <c r="AE209" i="9"/>
  <c r="AE183" i="9"/>
  <c r="AE286" i="9"/>
  <c r="AE335" i="9"/>
  <c r="AH9" i="9"/>
  <c r="AI8" i="9"/>
  <c r="AE255" i="8" l="1"/>
  <c r="AE282" i="8"/>
  <c r="AE305" i="8"/>
  <c r="AE257" i="8"/>
  <c r="AE363" i="9"/>
  <c r="AB365" i="9"/>
  <c r="AD365" i="9" s="1"/>
  <c r="P57" i="3" a="1"/>
  <c r="P57" i="3" s="1"/>
  <c r="O57" i="3"/>
  <c r="K57" i="3"/>
  <c r="I57" i="3"/>
  <c r="AF57" i="3"/>
  <c r="AG57" i="3" s="1"/>
  <c r="H368" i="9"/>
  <c r="O368" i="9"/>
  <c r="AF368" i="9"/>
  <c r="AG368" i="9" s="1"/>
  <c r="K368" i="9"/>
  <c r="P368" i="9" a="1"/>
  <c r="P368" i="9" s="1"/>
  <c r="I368" i="9"/>
  <c r="F59" i="3"/>
  <c r="G58" i="3"/>
  <c r="I367" i="9"/>
  <c r="K367" i="9"/>
  <c r="P367" i="9" a="1"/>
  <c r="P367" i="9" s="1"/>
  <c r="O367" i="9"/>
  <c r="H367" i="9"/>
  <c r="AF367" i="9"/>
  <c r="AG367" i="9" s="1"/>
  <c r="AE228" i="8"/>
  <c r="AE68" i="8"/>
  <c r="V365" i="8"/>
  <c r="AC365" i="8" s="1"/>
  <c r="AB365" i="8"/>
  <c r="M56" i="3"/>
  <c r="L56" i="3"/>
  <c r="Q56" i="3" s="1"/>
  <c r="W56" i="3"/>
  <c r="AJ56" i="3" s="1"/>
  <c r="AE39" i="8"/>
  <c r="AE198" i="8"/>
  <c r="M366" i="8"/>
  <c r="L366" i="8"/>
  <c r="Q366" i="8" s="1"/>
  <c r="W366" i="8"/>
  <c r="AJ366" i="8" s="1"/>
  <c r="U366" i="8"/>
  <c r="V366" i="8" s="1"/>
  <c r="AC366" i="8" s="1"/>
  <c r="M367" i="8"/>
  <c r="L367" i="8"/>
  <c r="Q367" i="8" s="1"/>
  <c r="W367" i="8"/>
  <c r="AJ367" i="8" s="1"/>
  <c r="U367" i="8"/>
  <c r="V367" i="8" s="1"/>
  <c r="AC367" i="8" s="1"/>
  <c r="M366" i="9"/>
  <c r="L366" i="9"/>
  <c r="Q366" i="9" s="1"/>
  <c r="W366" i="9"/>
  <c r="AJ366" i="9" s="1"/>
  <c r="U366" i="9"/>
  <c r="V366" i="9" s="1"/>
  <c r="AC366" i="9" s="1"/>
  <c r="AE328" i="8"/>
  <c r="AE81" i="8"/>
  <c r="AI8" i="8"/>
  <c r="AE204" i="8"/>
  <c r="AE304" i="8"/>
  <c r="AE336" i="8"/>
  <c r="AE244" i="8"/>
  <c r="AE4" i="8"/>
  <c r="AE259" i="8"/>
  <c r="AE338" i="8"/>
  <c r="AE57" i="8"/>
  <c r="AE342" i="8"/>
  <c r="AE147" i="8"/>
  <c r="AE5" i="8"/>
  <c r="AE284" i="8"/>
  <c r="AE11" i="8"/>
  <c r="AE150" i="8"/>
  <c r="AE264" i="8"/>
  <c r="AE66" i="8"/>
  <c r="AE254" i="8"/>
  <c r="AE20" i="8"/>
  <c r="AE31" i="8"/>
  <c r="AE202" i="8"/>
  <c r="AE291" i="8"/>
  <c r="AE30" i="8"/>
  <c r="AE214" i="8"/>
  <c r="AE123" i="8"/>
  <c r="AE229" i="8"/>
  <c r="AE113" i="8"/>
  <c r="AE131" i="8"/>
  <c r="AE292" i="8"/>
  <c r="AE17" i="8"/>
  <c r="AE298" i="8"/>
  <c r="AE323" i="8"/>
  <c r="AE280" i="8"/>
  <c r="AE225" i="8"/>
  <c r="AE230" i="8"/>
  <c r="AE110" i="8"/>
  <c r="AE148" i="8"/>
  <c r="AE8" i="8"/>
  <c r="AE348" i="8"/>
  <c r="AE54" i="8"/>
  <c r="AE12" i="8"/>
  <c r="AE156" i="8"/>
  <c r="AE33" i="8"/>
  <c r="AE321" i="8"/>
  <c r="AE215" i="8"/>
  <c r="AE162" i="8"/>
  <c r="AE299" i="8"/>
  <c r="AE241" i="8"/>
  <c r="AE181" i="8"/>
  <c r="AE191" i="8"/>
  <c r="AE353" i="8"/>
  <c r="AE273" i="8"/>
  <c r="AE309" i="8"/>
  <c r="AE155" i="8"/>
  <c r="AE300" i="8"/>
  <c r="AE32" i="8"/>
  <c r="AE74" i="8"/>
  <c r="AE107" i="8"/>
  <c r="AE70" i="8"/>
  <c r="AE318" i="8"/>
  <c r="AE15" i="8"/>
  <c r="AE279" i="8"/>
  <c r="AE274" i="8"/>
  <c r="AE108" i="8"/>
  <c r="AE260" i="8"/>
  <c r="AE161" i="8"/>
  <c r="AE335" i="8"/>
  <c r="AE125" i="8"/>
  <c r="AE233" i="8"/>
  <c r="AE76" i="8"/>
  <c r="AE36" i="8"/>
  <c r="AE222" i="8"/>
  <c r="AE240" i="8"/>
  <c r="AE83" i="8"/>
  <c r="AE331" i="8"/>
  <c r="AE94" i="8"/>
  <c r="AE140" i="8"/>
  <c r="AE285" i="8"/>
  <c r="AE28" i="8"/>
  <c r="AE302" i="8"/>
  <c r="AE159" i="8"/>
  <c r="AE324" i="8"/>
  <c r="AE104" i="8"/>
  <c r="AE34" i="8"/>
  <c r="AE192" i="8"/>
  <c r="AE201" i="8"/>
  <c r="AE118" i="8"/>
  <c r="AE153" i="8"/>
  <c r="AE213" i="8"/>
  <c r="AE44" i="8"/>
  <c r="AE358" i="8"/>
  <c r="AE102" i="8"/>
  <c r="AE84" i="8"/>
  <c r="AE172" i="8"/>
  <c r="AE242" i="8"/>
  <c r="AE48" i="8"/>
  <c r="AE364" i="8"/>
  <c r="AE363" i="8"/>
  <c r="AE330" i="8"/>
  <c r="AE25" i="8"/>
  <c r="AE62" i="8"/>
  <c r="AE101" i="8"/>
  <c r="AE82" i="8"/>
  <c r="AE268" i="8"/>
  <c r="AE37" i="8"/>
  <c r="AE141" i="8"/>
  <c r="AE317" i="8"/>
  <c r="AE262" i="8"/>
  <c r="AE165" i="8"/>
  <c r="AE360" i="8"/>
  <c r="AE357" i="8"/>
  <c r="AE109" i="8"/>
  <c r="AE231" i="8"/>
  <c r="AE133" i="8"/>
  <c r="AE134" i="8"/>
  <c r="AE166" i="8"/>
  <c r="AE114" i="8"/>
  <c r="AE275" i="8"/>
  <c r="AE27" i="8"/>
  <c r="AE115" i="8"/>
  <c r="AE199" i="8"/>
  <c r="AE21" i="8"/>
  <c r="AE294" i="8"/>
  <c r="AE184" i="8"/>
  <c r="AE269" i="8"/>
  <c r="AE41" i="8"/>
  <c r="AE208" i="8"/>
  <c r="AE151" i="8"/>
  <c r="AE77" i="8"/>
  <c r="AE296" i="8"/>
  <c r="AE38" i="8"/>
  <c r="AE276" i="8"/>
  <c r="AE253" i="8"/>
  <c r="AE78" i="8"/>
  <c r="AE226" i="8"/>
  <c r="AE238" i="8"/>
  <c r="AE174" i="8"/>
  <c r="AE209" i="8"/>
  <c r="AE72" i="8"/>
  <c r="AE290" i="8"/>
  <c r="AE96" i="8"/>
  <c r="AE319" i="8"/>
  <c r="AE152" i="8"/>
  <c r="AE80" i="8"/>
  <c r="AE23" i="8"/>
  <c r="AE221" i="8"/>
  <c r="AE326" i="8"/>
  <c r="AE160" i="8"/>
  <c r="AE333" i="8"/>
  <c r="AE320" i="8"/>
  <c r="AE46" i="8"/>
  <c r="AE6" i="8"/>
  <c r="AE227" i="8"/>
  <c r="AE203" i="8"/>
  <c r="AE354" i="8"/>
  <c r="AE261" i="8"/>
  <c r="AE205" i="8"/>
  <c r="AE355" i="8"/>
  <c r="AE361" i="8"/>
  <c r="AE142" i="8"/>
  <c r="AE173" i="8"/>
  <c r="AE235" i="8"/>
  <c r="AE93" i="8"/>
  <c r="AE306" i="8"/>
  <c r="AE127" i="8"/>
  <c r="AE179" i="8"/>
  <c r="AE263" i="8"/>
  <c r="AE343" i="8"/>
  <c r="AE119" i="8"/>
  <c r="AE301" i="8"/>
  <c r="AE341" i="8"/>
  <c r="AE145" i="8"/>
  <c r="AE325" i="8"/>
  <c r="AE126" i="8"/>
  <c r="AE169" i="8"/>
  <c r="AE283" i="8"/>
  <c r="AE63" i="8"/>
  <c r="AE103" i="8"/>
  <c r="AE248" i="8"/>
  <c r="AE186" i="8"/>
  <c r="AE75" i="8"/>
  <c r="AE129" i="8"/>
  <c r="AE69" i="8"/>
  <c r="AE218" i="8"/>
  <c r="AE167" i="8"/>
  <c r="AE71" i="8"/>
  <c r="AE146" i="8"/>
  <c r="AE47" i="8"/>
  <c r="AE289" i="8"/>
  <c r="AE311" i="8"/>
  <c r="AE287" i="8"/>
  <c r="AE217" i="8"/>
  <c r="AE188" i="8"/>
  <c r="AE200" i="8"/>
  <c r="AE120" i="8"/>
  <c r="AE196" i="8"/>
  <c r="AE176" i="8"/>
  <c r="AE97" i="8"/>
  <c r="AE220" i="8"/>
  <c r="AE249" i="8"/>
  <c r="AE64" i="8"/>
  <c r="AE52" i="8"/>
  <c r="AE139" i="8"/>
  <c r="AE65" i="8"/>
  <c r="AE40" i="8"/>
  <c r="AE182" i="8"/>
  <c r="AE356" i="8"/>
  <c r="AE267" i="8"/>
  <c r="AE112" i="8"/>
  <c r="AE117" i="8"/>
  <c r="AE288" i="8"/>
  <c r="AE189" i="8"/>
  <c r="AE185" i="8"/>
  <c r="AE170" i="8"/>
  <c r="AE308" i="8"/>
  <c r="AE92" i="8"/>
  <c r="AE329" i="8"/>
  <c r="AE223" i="8"/>
  <c r="AE183" i="8"/>
  <c r="AE322" i="8"/>
  <c r="AE247" i="8"/>
  <c r="AE19" i="8"/>
  <c r="AE250" i="8"/>
  <c r="AE144" i="8"/>
  <c r="AE232" i="8"/>
  <c r="AE258" i="8"/>
  <c r="AE314" i="8"/>
  <c r="AE157" i="8"/>
  <c r="AE266" i="8"/>
  <c r="AE18" i="8"/>
  <c r="AE122" i="8"/>
  <c r="AE16" i="8"/>
  <c r="AE121" i="8"/>
  <c r="AE281" i="8"/>
  <c r="AE303" i="8"/>
  <c r="AE337" i="8"/>
  <c r="AE252" i="8"/>
  <c r="AE45" i="8"/>
  <c r="AE297" i="8"/>
  <c r="AE42" i="8"/>
  <c r="AE178" i="8"/>
  <c r="AE187" i="8"/>
  <c r="AE51" i="8"/>
  <c r="AE236" i="8"/>
  <c r="AE58" i="8"/>
  <c r="AE351" i="8"/>
  <c r="AE278" i="8"/>
  <c r="AE295" i="8"/>
  <c r="AE79" i="8"/>
  <c r="AE313" i="8"/>
  <c r="AE49" i="8"/>
  <c r="AE13" i="8"/>
  <c r="AE95" i="8"/>
  <c r="AE137" i="8"/>
  <c r="AE136" i="8"/>
  <c r="AE194" i="8"/>
  <c r="AE7" i="8"/>
  <c r="AE163" i="8"/>
  <c r="AE347" i="8"/>
  <c r="AE237" i="8"/>
  <c r="AE100" i="8"/>
  <c r="AE98" i="8"/>
  <c r="AE224" i="8"/>
  <c r="AE86" i="8"/>
  <c r="AE175" i="8"/>
  <c r="AE195" i="8"/>
  <c r="AE219" i="8"/>
  <c r="AE307" i="8"/>
  <c r="AE111" i="8"/>
  <c r="AE246" i="8"/>
  <c r="AE334" i="8"/>
  <c r="AE138" i="8"/>
  <c r="AE105" i="8"/>
  <c r="AE29" i="8"/>
  <c r="AE312" i="8"/>
  <c r="AE14" i="8"/>
  <c r="AE265" i="8"/>
  <c r="AE99" i="8"/>
  <c r="AE124" i="8"/>
  <c r="AE149" i="8"/>
  <c r="AE243" i="8"/>
  <c r="AE197" i="8"/>
  <c r="AE349" i="8"/>
  <c r="AE130" i="8"/>
  <c r="AE90" i="8"/>
  <c r="AE350" i="8"/>
  <c r="AE55" i="8"/>
  <c r="AE10" i="8"/>
  <c r="AE286" i="8"/>
  <c r="AE106" i="8"/>
  <c r="AE251" i="8"/>
  <c r="AE315" i="8"/>
  <c r="AE164" i="8"/>
  <c r="AE245" i="8"/>
  <c r="AE316" i="8"/>
  <c r="AE344" i="8"/>
  <c r="AE87" i="8"/>
  <c r="AE207" i="8"/>
  <c r="AE193" i="8"/>
  <c r="AE352" i="8"/>
  <c r="AE339" i="8"/>
  <c r="AE53" i="8"/>
  <c r="AE180" i="8"/>
  <c r="AE256" i="8"/>
  <c r="AE88" i="8"/>
  <c r="AE327" i="8"/>
  <c r="AE67" i="8"/>
  <c r="AE50" i="8"/>
  <c r="AE9" i="8"/>
  <c r="AE271" i="8"/>
  <c r="AE59" i="8"/>
  <c r="AE26" i="8"/>
  <c r="AE362" i="8"/>
  <c r="AE24" i="8"/>
  <c r="AE190" i="8"/>
  <c r="AE239" i="8"/>
  <c r="AE116" i="8"/>
  <c r="AE61" i="8"/>
  <c r="AE345" i="8"/>
  <c r="AE340" i="8"/>
  <c r="AE35" i="8"/>
  <c r="AE177" i="8"/>
  <c r="AE89" i="8"/>
  <c r="AE210" i="8"/>
  <c r="AE73" i="8"/>
  <c r="AE277" i="8"/>
  <c r="AE60" i="8"/>
  <c r="AE154" i="8"/>
  <c r="AE158" i="8"/>
  <c r="AE85" i="8"/>
  <c r="AE132" i="8"/>
  <c r="AE272" i="8"/>
  <c r="AE128" i="8"/>
  <c r="AE56" i="8"/>
  <c r="AE359" i="8"/>
  <c r="AE212" i="8"/>
  <c r="AE22" i="8"/>
  <c r="AE293" i="8"/>
  <c r="AE43" i="8"/>
  <c r="AE91" i="8"/>
  <c r="AE270" i="8"/>
  <c r="AE211" i="8"/>
  <c r="AE171" i="8"/>
  <c r="AE206" i="8"/>
  <c r="AE143" i="8"/>
  <c r="AE310" i="8"/>
  <c r="AE234" i="8"/>
  <c r="AE135" i="8"/>
  <c r="AE168" i="8"/>
  <c r="AE332" i="8"/>
  <c r="AE216" i="8"/>
  <c r="AE346" i="8"/>
  <c r="AE3" i="8"/>
  <c r="R8" i="8"/>
  <c r="S8" i="8"/>
  <c r="N9" i="8"/>
  <c r="T8" i="8"/>
  <c r="Z8" i="8" s="1"/>
  <c r="AR8" i="8" s="1"/>
  <c r="X178" i="3"/>
  <c r="Y178" i="3" s="1"/>
  <c r="X207" i="3"/>
  <c r="Y207" i="3" s="1"/>
  <c r="X189" i="3"/>
  <c r="Y189" i="3" s="1"/>
  <c r="X177" i="3"/>
  <c r="Y177" i="3" s="1"/>
  <c r="X201" i="3"/>
  <c r="Y201" i="3" s="1"/>
  <c r="X182" i="3"/>
  <c r="Y182" i="3" s="1"/>
  <c r="X196" i="3"/>
  <c r="Y196" i="3" s="1"/>
  <c r="X200" i="3"/>
  <c r="Y200" i="3" s="1"/>
  <c r="X191" i="3"/>
  <c r="Y191" i="3" s="1"/>
  <c r="X174" i="3"/>
  <c r="Y174" i="3" s="1"/>
  <c r="X199" i="3"/>
  <c r="Y199" i="3" s="1"/>
  <c r="X194" i="3"/>
  <c r="Y194" i="3" s="1"/>
  <c r="X198" i="3"/>
  <c r="Y198" i="3" s="1"/>
  <c r="X181" i="3"/>
  <c r="Y181" i="3" s="1"/>
  <c r="X202" i="3"/>
  <c r="Y202" i="3" s="1"/>
  <c r="X185" i="3"/>
  <c r="Y185" i="3" s="1"/>
  <c r="X176" i="3"/>
  <c r="Y176" i="3" s="1"/>
  <c r="X186" i="3"/>
  <c r="Y186" i="3" s="1"/>
  <c r="X343" i="3"/>
  <c r="Y343" i="3" s="1"/>
  <c r="X345" i="3"/>
  <c r="Y345" i="3" s="1"/>
  <c r="X341" i="3"/>
  <c r="Y341" i="3" s="1"/>
  <c r="X336" i="3"/>
  <c r="Y336" i="3" s="1"/>
  <c r="X342" i="3"/>
  <c r="Y342" i="3" s="1"/>
  <c r="X187" i="3"/>
  <c r="Y187" i="3" s="1"/>
  <c r="X180" i="3"/>
  <c r="Y180" i="3" s="1"/>
  <c r="X188" i="3"/>
  <c r="Y188" i="3" s="1"/>
  <c r="X193" i="3"/>
  <c r="Y193" i="3" s="1"/>
  <c r="X195" i="3"/>
  <c r="Y195" i="3" s="1"/>
  <c r="X197" i="3"/>
  <c r="Y197" i="3" s="1"/>
  <c r="X204" i="3"/>
  <c r="Y204" i="3" s="1"/>
  <c r="X210" i="3"/>
  <c r="Y210" i="3" s="1"/>
  <c r="H5" i="3"/>
  <c r="AF5" i="3"/>
  <c r="X330" i="3"/>
  <c r="Y330" i="3" s="1"/>
  <c r="X329" i="3"/>
  <c r="Y329" i="3" s="1"/>
  <c r="X334" i="3"/>
  <c r="Y334" i="3" s="1"/>
  <c r="X335" i="3"/>
  <c r="Y335" i="3" s="1"/>
  <c r="X328" i="3"/>
  <c r="Y328" i="3" s="1"/>
  <c r="X331" i="3"/>
  <c r="Y331" i="3" s="1"/>
  <c r="AI9" i="8"/>
  <c r="AH10" i="8"/>
  <c r="AH10" i="9"/>
  <c r="AI9" i="9"/>
  <c r="AD365" i="8" l="1"/>
  <c r="AE365" i="9"/>
  <c r="K58" i="3"/>
  <c r="P58" i="3" a="1"/>
  <c r="P58" i="3" s="1"/>
  <c r="O58" i="3"/>
  <c r="I58" i="3"/>
  <c r="AF58" i="3"/>
  <c r="AG58" i="3" s="1"/>
  <c r="H58" i="3"/>
  <c r="F60" i="3"/>
  <c r="G59" i="3"/>
  <c r="AB366" i="9"/>
  <c r="AD366" i="9" s="1"/>
  <c r="M57" i="3"/>
  <c r="W57" i="3"/>
  <c r="AJ57" i="3" s="1"/>
  <c r="L57" i="3"/>
  <c r="Q57" i="3" s="1"/>
  <c r="AB366" i="8"/>
  <c r="AD366" i="8" s="1"/>
  <c r="M368" i="9"/>
  <c r="W368" i="9"/>
  <c r="AJ368" i="9" s="1"/>
  <c r="L368" i="9"/>
  <c r="Q368" i="9" s="1"/>
  <c r="U368" i="9"/>
  <c r="V368" i="9" s="1"/>
  <c r="AC368" i="9" s="1"/>
  <c r="M367" i="9"/>
  <c r="L367" i="9"/>
  <c r="Q367" i="9" s="1"/>
  <c r="W367" i="9"/>
  <c r="AJ367" i="9" s="1"/>
  <c r="U367" i="9"/>
  <c r="V367" i="9" s="1"/>
  <c r="AC367" i="9" s="1"/>
  <c r="AB367" i="8"/>
  <c r="AD367" i="8" s="1"/>
  <c r="S9" i="8"/>
  <c r="R9" i="8"/>
  <c r="L5" i="3"/>
  <c r="Q5" i="3" s="1"/>
  <c r="Q6" i="3"/>
  <c r="AG5" i="3"/>
  <c r="AH5" i="3" s="1"/>
  <c r="AI5" i="3" s="1"/>
  <c r="N10" i="8"/>
  <c r="T9" i="8"/>
  <c r="Z9" i="8" s="1"/>
  <c r="AR9" i="8" s="1"/>
  <c r="W5" i="3"/>
  <c r="AJ5" i="3" s="1"/>
  <c r="N5" i="3"/>
  <c r="AH11" i="8"/>
  <c r="AI10" i="8"/>
  <c r="AH11" i="9"/>
  <c r="AI10" i="9"/>
  <c r="AE365" i="8" l="1"/>
  <c r="AB368" i="9"/>
  <c r="AD368" i="9" s="1"/>
  <c r="AB367" i="9"/>
  <c r="AD367" i="9" s="1"/>
  <c r="P59" i="3" a="1"/>
  <c r="P59" i="3" s="1"/>
  <c r="K59" i="3"/>
  <c r="O59" i="3"/>
  <c r="H59" i="3"/>
  <c r="I59" i="3"/>
  <c r="AF59" i="3"/>
  <c r="AG59" i="3" s="1"/>
  <c r="F61" i="3"/>
  <c r="G60" i="3"/>
  <c r="AE367" i="8"/>
  <c r="AE366" i="8"/>
  <c r="AE366" i="9"/>
  <c r="M58" i="3"/>
  <c r="L58" i="3"/>
  <c r="Q58" i="3" s="1"/>
  <c r="W58" i="3"/>
  <c r="AJ58" i="3" s="1"/>
  <c r="S10" i="8"/>
  <c r="R10" i="8"/>
  <c r="R5" i="3"/>
  <c r="S5" i="3"/>
  <c r="AH6" i="3"/>
  <c r="AI6" i="3" s="1"/>
  <c r="N11" i="8"/>
  <c r="R11" i="8" s="1"/>
  <c r="T10" i="8"/>
  <c r="Z10" i="8" s="1"/>
  <c r="AR10" i="8" s="1"/>
  <c r="N6" i="3"/>
  <c r="T5" i="3"/>
  <c r="Z5" i="3" s="1"/>
  <c r="AR5" i="3" s="1"/>
  <c r="AI11" i="9"/>
  <c r="AH12" i="9"/>
  <c r="AI11" i="8"/>
  <c r="AH12" i="8"/>
  <c r="AE368" i="9" l="1"/>
  <c r="M59" i="3"/>
  <c r="W59" i="3"/>
  <c r="AJ59" i="3" s="1"/>
  <c r="L59" i="3"/>
  <c r="Q59" i="3" s="1"/>
  <c r="P60" i="3" a="1"/>
  <c r="P60" i="3" s="1"/>
  <c r="O60" i="3"/>
  <c r="K60" i="3"/>
  <c r="H60" i="3"/>
  <c r="I60" i="3"/>
  <c r="AF60" i="3"/>
  <c r="AG60" i="3" s="1"/>
  <c r="AE367" i="9"/>
  <c r="F62" i="3"/>
  <c r="G61" i="3"/>
  <c r="R6" i="3"/>
  <c r="S6" i="3"/>
  <c r="S11" i="8"/>
  <c r="AH7" i="3"/>
  <c r="AI7" i="3" s="1"/>
  <c r="T6" i="3"/>
  <c r="Z6" i="3" s="1"/>
  <c r="AR6" i="3" s="1"/>
  <c r="N12" i="8"/>
  <c r="T11" i="8"/>
  <c r="Z11" i="8" s="1"/>
  <c r="AR11" i="8" s="1"/>
  <c r="AI12" i="8"/>
  <c r="AH13" i="8"/>
  <c r="AH13" i="9"/>
  <c r="AI12" i="9"/>
  <c r="M60" i="3" l="1"/>
  <c r="W60" i="3"/>
  <c r="AJ60" i="3" s="1"/>
  <c r="L60" i="3"/>
  <c r="Q60" i="3" s="1"/>
  <c r="P61" i="3" a="1"/>
  <c r="P61" i="3" s="1"/>
  <c r="K61" i="3"/>
  <c r="O61" i="3"/>
  <c r="AF61" i="3"/>
  <c r="AG61" i="3" s="1"/>
  <c r="H61" i="3"/>
  <c r="I61" i="3"/>
  <c r="F63" i="3"/>
  <c r="G62" i="3"/>
  <c r="R12" i="8"/>
  <c r="S12" i="8"/>
  <c r="AH8" i="3"/>
  <c r="AI8" i="3" s="1"/>
  <c r="N13" i="8"/>
  <c r="T12" i="8"/>
  <c r="Z12" i="8" s="1"/>
  <c r="AR12" i="8" s="1"/>
  <c r="AH14" i="8"/>
  <c r="AI13" i="8"/>
  <c r="AI13" i="9"/>
  <c r="AH14" i="9"/>
  <c r="M61" i="3" l="1"/>
  <c r="L61" i="3"/>
  <c r="Q61" i="3" s="1"/>
  <c r="W61" i="3"/>
  <c r="AJ61" i="3" s="1"/>
  <c r="P62" i="3" a="1"/>
  <c r="P62" i="3" s="1"/>
  <c r="K62" i="3"/>
  <c r="O62" i="3"/>
  <c r="I62" i="3"/>
  <c r="AF62" i="3"/>
  <c r="AG62" i="3" s="1"/>
  <c r="H62" i="3"/>
  <c r="F64" i="3"/>
  <c r="G63" i="3"/>
  <c r="R13" i="8"/>
  <c r="S13" i="8"/>
  <c r="AH9" i="3"/>
  <c r="AI9" i="3" s="1"/>
  <c r="N14" i="8"/>
  <c r="T13" i="8"/>
  <c r="Z13" i="8" s="1"/>
  <c r="AR13" i="8" s="1"/>
  <c r="AI14" i="9"/>
  <c r="AH15" i="9"/>
  <c r="AI14" i="8"/>
  <c r="AH15" i="8"/>
  <c r="M62" i="3" l="1"/>
  <c r="W62" i="3"/>
  <c r="AJ62" i="3" s="1"/>
  <c r="L62" i="3"/>
  <c r="Q62" i="3" s="1"/>
  <c r="P63" i="3" a="1"/>
  <c r="P63" i="3" s="1"/>
  <c r="O63" i="3"/>
  <c r="K63" i="3"/>
  <c r="I63" i="3"/>
  <c r="AF63" i="3"/>
  <c r="AG63" i="3" s="1"/>
  <c r="H63" i="3"/>
  <c r="F65" i="3"/>
  <c r="G64" i="3"/>
  <c r="R14" i="8"/>
  <c r="S14" i="8"/>
  <c r="AH10" i="3"/>
  <c r="AI10" i="3" s="1"/>
  <c r="N15" i="8"/>
  <c r="T14" i="8"/>
  <c r="Z14" i="8" s="1"/>
  <c r="AR14" i="8" s="1"/>
  <c r="AH16" i="9"/>
  <c r="AI15" i="9"/>
  <c r="AH16" i="8"/>
  <c r="AI15" i="8"/>
  <c r="F66" i="3" l="1"/>
  <c r="G65" i="3"/>
  <c r="P64" i="3" a="1"/>
  <c r="P64" i="3" s="1"/>
  <c r="O64" i="3"/>
  <c r="K64" i="3"/>
  <c r="H64" i="3"/>
  <c r="I64" i="3"/>
  <c r="AF64" i="3"/>
  <c r="AG64" i="3" s="1"/>
  <c r="M63" i="3"/>
  <c r="W63" i="3"/>
  <c r="AJ63" i="3" s="1"/>
  <c r="L63" i="3"/>
  <c r="Q63" i="3" s="1"/>
  <c r="R15" i="8"/>
  <c r="S15" i="8"/>
  <c r="AH11" i="3"/>
  <c r="AI11" i="3" s="1"/>
  <c r="T15" i="8"/>
  <c r="Z15" i="8" s="1"/>
  <c r="AR15" i="8" s="1"/>
  <c r="N16" i="8"/>
  <c r="AH17" i="8"/>
  <c r="AI16" i="8"/>
  <c r="AH17" i="9"/>
  <c r="AI16" i="9"/>
  <c r="M64" i="3" l="1"/>
  <c r="W64" i="3"/>
  <c r="AJ64" i="3" s="1"/>
  <c r="L64" i="3"/>
  <c r="Q64" i="3" s="1"/>
  <c r="P65" i="3" a="1"/>
  <c r="P65" i="3" s="1"/>
  <c r="K65" i="3"/>
  <c r="O65" i="3"/>
  <c r="I65" i="3"/>
  <c r="H65" i="3"/>
  <c r="AF65" i="3"/>
  <c r="AG65" i="3" s="1"/>
  <c r="F67" i="3"/>
  <c r="G66" i="3"/>
  <c r="R16" i="8"/>
  <c r="S16" i="8"/>
  <c r="AH12" i="3"/>
  <c r="AI12" i="3" s="1"/>
  <c r="N17" i="8"/>
  <c r="T16" i="8"/>
  <c r="Z16" i="8" s="1"/>
  <c r="AR16" i="8" s="1"/>
  <c r="AI17" i="8"/>
  <c r="AH18" i="8"/>
  <c r="AI17" i="9"/>
  <c r="AH18" i="9"/>
  <c r="F68" i="3" l="1"/>
  <c r="G67" i="3"/>
  <c r="P66" i="3" a="1"/>
  <c r="P66" i="3" s="1"/>
  <c r="O66" i="3"/>
  <c r="K66" i="3"/>
  <c r="AF66" i="3"/>
  <c r="AG66" i="3" s="1"/>
  <c r="H66" i="3"/>
  <c r="I66" i="3"/>
  <c r="M65" i="3"/>
  <c r="L65" i="3"/>
  <c r="Q65" i="3" s="1"/>
  <c r="W65" i="3"/>
  <c r="AJ65" i="3" s="1"/>
  <c r="R17" i="8"/>
  <c r="S17" i="8"/>
  <c r="AH13" i="3"/>
  <c r="AI13" i="3" s="1"/>
  <c r="N18" i="8"/>
  <c r="T17" i="8"/>
  <c r="Z17" i="8" s="1"/>
  <c r="AR17" i="8" s="1"/>
  <c r="AH19" i="9"/>
  <c r="AI18" i="9"/>
  <c r="AI18" i="8"/>
  <c r="AH19" i="8"/>
  <c r="M66" i="3" l="1"/>
  <c r="W66" i="3"/>
  <c r="AJ66" i="3" s="1"/>
  <c r="L66" i="3"/>
  <c r="Q66" i="3" s="1"/>
  <c r="K67" i="3"/>
  <c r="P67" i="3" a="1"/>
  <c r="P67" i="3" s="1"/>
  <c r="O67" i="3"/>
  <c r="I67" i="3"/>
  <c r="AF67" i="3"/>
  <c r="AG67" i="3" s="1"/>
  <c r="H67" i="3"/>
  <c r="F69" i="3"/>
  <c r="G68" i="3"/>
  <c r="R18" i="8"/>
  <c r="S18" i="8"/>
  <c r="AH14" i="3"/>
  <c r="AI14" i="3" s="1"/>
  <c r="T18" i="8"/>
  <c r="Z18" i="8" s="1"/>
  <c r="AR18" i="8" s="1"/>
  <c r="N19" i="8"/>
  <c r="AI19" i="8"/>
  <c r="AH20" i="8"/>
  <c r="AH20" i="9"/>
  <c r="AI19" i="9"/>
  <c r="F70" i="3" l="1"/>
  <c r="G69" i="3"/>
  <c r="M67" i="3"/>
  <c r="L67" i="3"/>
  <c r="Q67" i="3" s="1"/>
  <c r="W67" i="3"/>
  <c r="AJ67" i="3" s="1"/>
  <c r="K68" i="3"/>
  <c r="P68" i="3" a="1"/>
  <c r="P68" i="3" s="1"/>
  <c r="O68" i="3"/>
  <c r="I68" i="3"/>
  <c r="AF68" i="3"/>
  <c r="AG68" i="3" s="1"/>
  <c r="H68" i="3"/>
  <c r="R19" i="8"/>
  <c r="S19" i="8"/>
  <c r="AH15" i="3"/>
  <c r="AI15" i="3" s="1"/>
  <c r="N20" i="8"/>
  <c r="T19" i="8"/>
  <c r="Z19" i="8" s="1"/>
  <c r="AR19" i="8" s="1"/>
  <c r="AH21" i="8"/>
  <c r="AI20" i="8"/>
  <c r="AI20" i="9"/>
  <c r="AH21" i="9"/>
  <c r="K69" i="3" l="1"/>
  <c r="P69" i="3" a="1"/>
  <c r="P69" i="3" s="1"/>
  <c r="O69" i="3"/>
  <c r="AF69" i="3"/>
  <c r="AG69" i="3" s="1"/>
  <c r="H69" i="3"/>
  <c r="I69" i="3"/>
  <c r="M68" i="3"/>
  <c r="W68" i="3"/>
  <c r="AJ68" i="3" s="1"/>
  <c r="L68" i="3"/>
  <c r="Q68" i="3" s="1"/>
  <c r="F71" i="3"/>
  <c r="G70" i="3"/>
  <c r="R20" i="8"/>
  <c r="S20" i="8"/>
  <c r="AH16" i="3"/>
  <c r="AI16" i="3" s="1"/>
  <c r="T20" i="8"/>
  <c r="Z20" i="8" s="1"/>
  <c r="AR20" i="8" s="1"/>
  <c r="N21" i="8"/>
  <c r="AH22" i="9"/>
  <c r="AI21" i="9"/>
  <c r="AI21" i="8"/>
  <c r="AH22" i="8"/>
  <c r="F72" i="3" l="1"/>
  <c r="G71" i="3"/>
  <c r="K70" i="3"/>
  <c r="P70" i="3" a="1"/>
  <c r="P70" i="3" s="1"/>
  <c r="O70" i="3"/>
  <c r="AF70" i="3"/>
  <c r="AG70" i="3" s="1"/>
  <c r="H70" i="3"/>
  <c r="I70" i="3"/>
  <c r="M69" i="3"/>
  <c r="W69" i="3"/>
  <c r="AJ69" i="3" s="1"/>
  <c r="L69" i="3"/>
  <c r="Q69" i="3" s="1"/>
  <c r="R21" i="8"/>
  <c r="S21" i="8"/>
  <c r="AH17" i="3"/>
  <c r="AI17" i="3" s="1"/>
  <c r="N22" i="8"/>
  <c r="T21" i="8"/>
  <c r="Z21" i="8" s="1"/>
  <c r="AR21" i="8" s="1"/>
  <c r="AI22" i="8"/>
  <c r="AH23" i="8"/>
  <c r="AI22" i="9"/>
  <c r="AH23" i="9"/>
  <c r="M70" i="3" l="1"/>
  <c r="L70" i="3"/>
  <c r="Q70" i="3" s="1"/>
  <c r="W70" i="3"/>
  <c r="AJ70" i="3" s="1"/>
  <c r="P71" i="3" a="1"/>
  <c r="P71" i="3" s="1"/>
  <c r="K71" i="3"/>
  <c r="O71" i="3"/>
  <c r="AF71" i="3"/>
  <c r="AG71" i="3" s="1"/>
  <c r="I71" i="3"/>
  <c r="H71" i="3"/>
  <c r="F73" i="3"/>
  <c r="G72" i="3"/>
  <c r="R22" i="8"/>
  <c r="S22" i="8"/>
  <c r="AH18" i="3"/>
  <c r="AI18" i="3" s="1"/>
  <c r="N23" i="8"/>
  <c r="T22" i="8"/>
  <c r="Z22" i="8" s="1"/>
  <c r="AR22" i="8" s="1"/>
  <c r="AH24" i="8"/>
  <c r="AI23" i="8"/>
  <c r="AH24" i="9"/>
  <c r="AI23" i="9"/>
  <c r="M71" i="3" l="1"/>
  <c r="L71" i="3"/>
  <c r="Q71" i="3" s="1"/>
  <c r="W71" i="3"/>
  <c r="AJ71" i="3" s="1"/>
  <c r="F74" i="3"/>
  <c r="G73" i="3"/>
  <c r="P72" i="3" a="1"/>
  <c r="P72" i="3" s="1"/>
  <c r="K72" i="3"/>
  <c r="O72" i="3"/>
  <c r="AF72" i="3"/>
  <c r="AG72" i="3" s="1"/>
  <c r="H72" i="3"/>
  <c r="I72" i="3"/>
  <c r="R23" i="8"/>
  <c r="S23" i="8"/>
  <c r="AH19" i="3"/>
  <c r="AI19" i="3" s="1"/>
  <c r="N24" i="8"/>
  <c r="T23" i="8"/>
  <c r="Z23" i="8" s="1"/>
  <c r="AR23" i="8" s="1"/>
  <c r="AH25" i="9"/>
  <c r="AI24" i="9"/>
  <c r="AI24" i="8"/>
  <c r="AH25" i="8"/>
  <c r="P73" i="3" l="1" a="1"/>
  <c r="P73" i="3" s="1"/>
  <c r="K73" i="3"/>
  <c r="O73" i="3"/>
  <c r="I73" i="3"/>
  <c r="AF73" i="3"/>
  <c r="AG73" i="3" s="1"/>
  <c r="H73" i="3"/>
  <c r="F75" i="3"/>
  <c r="G74" i="3"/>
  <c r="M72" i="3"/>
  <c r="L72" i="3"/>
  <c r="Q72" i="3" s="1"/>
  <c r="W72" i="3"/>
  <c r="AJ72" i="3" s="1"/>
  <c r="R24" i="8"/>
  <c r="S24" i="8"/>
  <c r="AH20" i="3"/>
  <c r="AI20" i="3" s="1"/>
  <c r="N25" i="8"/>
  <c r="T24" i="8"/>
  <c r="Z24" i="8" s="1"/>
  <c r="AR24" i="8" s="1"/>
  <c r="AI25" i="9"/>
  <c r="AH26" i="9"/>
  <c r="AH26" i="8"/>
  <c r="AI25" i="8"/>
  <c r="P74" i="3" l="1" a="1"/>
  <c r="P74" i="3" s="1"/>
  <c r="K74" i="3"/>
  <c r="O74" i="3"/>
  <c r="I74" i="3"/>
  <c r="AF74" i="3"/>
  <c r="AG74" i="3" s="1"/>
  <c r="H74" i="3"/>
  <c r="F76" i="3"/>
  <c r="G75" i="3"/>
  <c r="M73" i="3"/>
  <c r="L73" i="3"/>
  <c r="Q73" i="3" s="1"/>
  <c r="W73" i="3"/>
  <c r="AJ73" i="3" s="1"/>
  <c r="R25" i="8"/>
  <c r="S25" i="8"/>
  <c r="AH21" i="3"/>
  <c r="AI21" i="3" s="1"/>
  <c r="N26" i="8"/>
  <c r="T25" i="8"/>
  <c r="Z25" i="8" s="1"/>
  <c r="AR25" i="8" s="1"/>
  <c r="AH27" i="8"/>
  <c r="AI26" i="8"/>
  <c r="AH27" i="9"/>
  <c r="AI26" i="9"/>
  <c r="P75" i="3" l="1" a="1"/>
  <c r="P75" i="3" s="1"/>
  <c r="K75" i="3"/>
  <c r="O75" i="3"/>
  <c r="I75" i="3"/>
  <c r="H75" i="3"/>
  <c r="AF75" i="3"/>
  <c r="AG75" i="3" s="1"/>
  <c r="F77" i="3"/>
  <c r="G76" i="3"/>
  <c r="M74" i="3"/>
  <c r="L74" i="3"/>
  <c r="Q74" i="3" s="1"/>
  <c r="W74" i="3"/>
  <c r="AJ74" i="3" s="1"/>
  <c r="R26" i="8"/>
  <c r="S26" i="8"/>
  <c r="AH22" i="3"/>
  <c r="AI22" i="3" s="1"/>
  <c r="N27" i="8"/>
  <c r="T26" i="8"/>
  <c r="Z26" i="8" s="1"/>
  <c r="AR26" i="8" s="1"/>
  <c r="AH28" i="9"/>
  <c r="AI27" i="9"/>
  <c r="AH28" i="8"/>
  <c r="AI27" i="8"/>
  <c r="P76" i="3" l="1" a="1"/>
  <c r="P76" i="3" s="1"/>
  <c r="K76" i="3"/>
  <c r="O76" i="3"/>
  <c r="I76" i="3"/>
  <c r="AF76" i="3"/>
  <c r="AG76" i="3" s="1"/>
  <c r="H76" i="3"/>
  <c r="F78" i="3"/>
  <c r="G77" i="3"/>
  <c r="M75" i="3"/>
  <c r="W75" i="3"/>
  <c r="AJ75" i="3" s="1"/>
  <c r="L75" i="3"/>
  <c r="Q75" i="3" s="1"/>
  <c r="R27" i="8"/>
  <c r="S27" i="8"/>
  <c r="AH23" i="3"/>
  <c r="AI23" i="3" s="1"/>
  <c r="T27" i="8"/>
  <c r="Z27" i="8" s="1"/>
  <c r="AR27" i="8" s="1"/>
  <c r="N28" i="8"/>
  <c r="AI28" i="9"/>
  <c r="AH29" i="9"/>
  <c r="AH29" i="8"/>
  <c r="AI28" i="8"/>
  <c r="P77" i="3" l="1" a="1"/>
  <c r="P77" i="3" s="1"/>
  <c r="K77" i="3"/>
  <c r="O77" i="3"/>
  <c r="I77" i="3"/>
  <c r="H77" i="3"/>
  <c r="AF77" i="3"/>
  <c r="AG77" i="3" s="1"/>
  <c r="F79" i="3"/>
  <c r="G78" i="3"/>
  <c r="M76" i="3"/>
  <c r="L76" i="3"/>
  <c r="Q76" i="3" s="1"/>
  <c r="W76" i="3"/>
  <c r="AJ76" i="3" s="1"/>
  <c r="R28" i="8"/>
  <c r="S28" i="8"/>
  <c r="AH24" i="3"/>
  <c r="AI24" i="3" s="1"/>
  <c r="N29" i="8"/>
  <c r="T28" i="8"/>
  <c r="Z28" i="8" s="1"/>
  <c r="AR28" i="8" s="1"/>
  <c r="AH30" i="9"/>
  <c r="AI29" i="9"/>
  <c r="AI29" i="8"/>
  <c r="AH30" i="8"/>
  <c r="P78" i="3" l="1" a="1"/>
  <c r="P78" i="3" s="1"/>
  <c r="K78" i="3"/>
  <c r="O78" i="3"/>
  <c r="I78" i="3"/>
  <c r="AF78" i="3"/>
  <c r="AG78" i="3" s="1"/>
  <c r="H78" i="3"/>
  <c r="F80" i="3"/>
  <c r="G79" i="3"/>
  <c r="M77" i="3"/>
  <c r="L77" i="3"/>
  <c r="Q77" i="3" s="1"/>
  <c r="W77" i="3"/>
  <c r="AJ77" i="3" s="1"/>
  <c r="R29" i="8"/>
  <c r="S29" i="8"/>
  <c r="AH25" i="3"/>
  <c r="AI25" i="3" s="1"/>
  <c r="T29" i="8"/>
  <c r="Z29" i="8" s="1"/>
  <c r="AR29" i="8" s="1"/>
  <c r="N30" i="8"/>
  <c r="AI30" i="8"/>
  <c r="AH31" i="8"/>
  <c r="AI30" i="9"/>
  <c r="AH31" i="9"/>
  <c r="F81" i="3" l="1"/>
  <c r="G80" i="3"/>
  <c r="P79" i="3" a="1"/>
  <c r="P79" i="3" s="1"/>
  <c r="O79" i="3"/>
  <c r="K79" i="3"/>
  <c r="I79" i="3"/>
  <c r="H79" i="3"/>
  <c r="AF79" i="3"/>
  <c r="AG79" i="3" s="1"/>
  <c r="M78" i="3"/>
  <c r="L78" i="3"/>
  <c r="Q78" i="3" s="1"/>
  <c r="W78" i="3"/>
  <c r="AJ78" i="3" s="1"/>
  <c r="R30" i="8"/>
  <c r="S30" i="8"/>
  <c r="AH26" i="3"/>
  <c r="AI26" i="3" s="1"/>
  <c r="N31" i="8"/>
  <c r="T30" i="8"/>
  <c r="Z30" i="8" s="1"/>
  <c r="AR30" i="8" s="1"/>
  <c r="AI31" i="8"/>
  <c r="AH32" i="8"/>
  <c r="AI31" i="9"/>
  <c r="AH32" i="9"/>
  <c r="M79" i="3" l="1"/>
  <c r="W79" i="3"/>
  <c r="AJ79" i="3" s="1"/>
  <c r="L79" i="3"/>
  <c r="Q79" i="3" s="1"/>
  <c r="P80" i="3" a="1"/>
  <c r="P80" i="3" s="1"/>
  <c r="K80" i="3"/>
  <c r="O80" i="3"/>
  <c r="I80" i="3"/>
  <c r="H80" i="3"/>
  <c r="AF80" i="3"/>
  <c r="AG80" i="3" s="1"/>
  <c r="F82" i="3"/>
  <c r="G81" i="3"/>
  <c r="R31" i="8"/>
  <c r="S31" i="8"/>
  <c r="AH27" i="3"/>
  <c r="AI27" i="3" s="1"/>
  <c r="N32" i="8"/>
  <c r="T31" i="8"/>
  <c r="Z31" i="8" s="1"/>
  <c r="AR31" i="8" s="1"/>
  <c r="AI32" i="8"/>
  <c r="AH33" i="8"/>
  <c r="AI32" i="9"/>
  <c r="AH33" i="9"/>
  <c r="M80" i="3" l="1"/>
  <c r="L80" i="3"/>
  <c r="Q80" i="3" s="1"/>
  <c r="W80" i="3"/>
  <c r="AJ80" i="3" s="1"/>
  <c r="F83" i="3"/>
  <c r="G82" i="3"/>
  <c r="P81" i="3" a="1"/>
  <c r="P81" i="3" s="1"/>
  <c r="K81" i="3"/>
  <c r="O81" i="3"/>
  <c r="I81" i="3"/>
  <c r="AF81" i="3"/>
  <c r="AG81" i="3" s="1"/>
  <c r="H81" i="3"/>
  <c r="R32" i="8"/>
  <c r="S32" i="8"/>
  <c r="AH28" i="3"/>
  <c r="AI28" i="3" s="1"/>
  <c r="N33" i="8"/>
  <c r="T32" i="8"/>
  <c r="Z32" i="8" s="1"/>
  <c r="AR32" i="8" s="1"/>
  <c r="AH34" i="9"/>
  <c r="AI33" i="9"/>
  <c r="AI33" i="8"/>
  <c r="AH34" i="8"/>
  <c r="F84" i="3" l="1"/>
  <c r="G83" i="3"/>
  <c r="P82" i="3" a="1"/>
  <c r="P82" i="3" s="1"/>
  <c r="O82" i="3"/>
  <c r="K82" i="3"/>
  <c r="I82" i="3"/>
  <c r="AF82" i="3"/>
  <c r="AG82" i="3" s="1"/>
  <c r="H82" i="3"/>
  <c r="M81" i="3"/>
  <c r="W81" i="3"/>
  <c r="AJ81" i="3" s="1"/>
  <c r="L81" i="3"/>
  <c r="Q81" i="3" s="1"/>
  <c r="R33" i="8"/>
  <c r="S33" i="8"/>
  <c r="AH29" i="3"/>
  <c r="AI29" i="3" s="1"/>
  <c r="T33" i="8"/>
  <c r="Z33" i="8" s="1"/>
  <c r="AR33" i="8" s="1"/>
  <c r="N34" i="8"/>
  <c r="AH35" i="8"/>
  <c r="AI34" i="8"/>
  <c r="AI34" i="9"/>
  <c r="AH35" i="9"/>
  <c r="M82" i="3" l="1"/>
  <c r="W82" i="3"/>
  <c r="AJ82" i="3" s="1"/>
  <c r="L82" i="3"/>
  <c r="Q82" i="3" s="1"/>
  <c r="P83" i="3" a="1"/>
  <c r="P83" i="3" s="1"/>
  <c r="K83" i="3"/>
  <c r="O83" i="3"/>
  <c r="I83" i="3"/>
  <c r="H83" i="3"/>
  <c r="AF83" i="3"/>
  <c r="AG83" i="3" s="1"/>
  <c r="F85" i="3"/>
  <c r="G84" i="3"/>
  <c r="R34" i="8"/>
  <c r="S34" i="8"/>
  <c r="AH30" i="3"/>
  <c r="AI30" i="3" s="1"/>
  <c r="N35" i="8"/>
  <c r="T34" i="8"/>
  <c r="Z34" i="8" s="1"/>
  <c r="AR34" i="8" s="1"/>
  <c r="AI35" i="8"/>
  <c r="AH36" i="8"/>
  <c r="AI35" i="9"/>
  <c r="AH36" i="9"/>
  <c r="F86" i="3" l="1"/>
  <c r="G85" i="3"/>
  <c r="M83" i="3"/>
  <c r="W83" i="3"/>
  <c r="AJ83" i="3" s="1"/>
  <c r="L83" i="3"/>
  <c r="Q83" i="3" s="1"/>
  <c r="P84" i="3" a="1"/>
  <c r="P84" i="3" s="1"/>
  <c r="K84" i="3"/>
  <c r="O84" i="3"/>
  <c r="I84" i="3"/>
  <c r="H84" i="3"/>
  <c r="AF84" i="3"/>
  <c r="AG84" i="3" s="1"/>
  <c r="R35" i="8"/>
  <c r="S35" i="8"/>
  <c r="AH31" i="3"/>
  <c r="AI31" i="3" s="1"/>
  <c r="T35" i="8"/>
  <c r="Z35" i="8" s="1"/>
  <c r="AR35" i="8" s="1"/>
  <c r="N36" i="8"/>
  <c r="AI36" i="8"/>
  <c r="AH37" i="8"/>
  <c r="AH37" i="9"/>
  <c r="AI36" i="9"/>
  <c r="M84" i="3" l="1"/>
  <c r="W84" i="3"/>
  <c r="AJ84" i="3" s="1"/>
  <c r="L84" i="3"/>
  <c r="Q84" i="3" s="1"/>
  <c r="P85" i="3" a="1"/>
  <c r="P85" i="3" s="1"/>
  <c r="K85" i="3"/>
  <c r="O85" i="3"/>
  <c r="AF85" i="3"/>
  <c r="AG85" i="3" s="1"/>
  <c r="I85" i="3"/>
  <c r="H85" i="3"/>
  <c r="F87" i="3"/>
  <c r="G86" i="3"/>
  <c r="R36" i="8"/>
  <c r="S36" i="8"/>
  <c r="AH32" i="3"/>
  <c r="AI32" i="3" s="1"/>
  <c r="T36" i="8"/>
  <c r="Z36" i="8" s="1"/>
  <c r="AR36" i="8" s="1"/>
  <c r="N37" i="8"/>
  <c r="AH38" i="8"/>
  <c r="AI37" i="8"/>
  <c r="AH38" i="9"/>
  <c r="AI37" i="9"/>
  <c r="F88" i="3" l="1"/>
  <c r="G87" i="3"/>
  <c r="M85" i="3"/>
  <c r="W85" i="3"/>
  <c r="AJ85" i="3" s="1"/>
  <c r="L85" i="3"/>
  <c r="Q85" i="3" s="1"/>
  <c r="P86" i="3" a="1"/>
  <c r="P86" i="3" s="1"/>
  <c r="K86" i="3"/>
  <c r="O86" i="3"/>
  <c r="I86" i="3"/>
  <c r="AF86" i="3"/>
  <c r="AG86" i="3" s="1"/>
  <c r="H86" i="3"/>
  <c r="R37" i="8"/>
  <c r="S37" i="8"/>
  <c r="AH33" i="3"/>
  <c r="AI33" i="3" s="1"/>
  <c r="N38" i="8"/>
  <c r="T37" i="8"/>
  <c r="Z37" i="8" s="1"/>
  <c r="AR37" i="8" s="1"/>
  <c r="AI38" i="9"/>
  <c r="AH39" i="9"/>
  <c r="AH39" i="8"/>
  <c r="AI38" i="8"/>
  <c r="M86" i="3" l="1"/>
  <c r="L86" i="3"/>
  <c r="Q86" i="3" s="1"/>
  <c r="W86" i="3"/>
  <c r="AJ86" i="3" s="1"/>
  <c r="P87" i="3" a="1"/>
  <c r="P87" i="3" s="1"/>
  <c r="K87" i="3"/>
  <c r="O87" i="3"/>
  <c r="I87" i="3"/>
  <c r="AF87" i="3"/>
  <c r="AG87" i="3" s="1"/>
  <c r="H87" i="3"/>
  <c r="F89" i="3"/>
  <c r="G88" i="3"/>
  <c r="R38" i="8"/>
  <c r="S38" i="8"/>
  <c r="AH34" i="3"/>
  <c r="AI34" i="3" s="1"/>
  <c r="N39" i="8"/>
  <c r="T38" i="8"/>
  <c r="Z38" i="8" s="1"/>
  <c r="AR38" i="8" s="1"/>
  <c r="AI39" i="9"/>
  <c r="AH40" i="9"/>
  <c r="AI39" i="8"/>
  <c r="AH40" i="8"/>
  <c r="F90" i="3" l="1"/>
  <c r="G89" i="3"/>
  <c r="M87" i="3"/>
  <c r="L87" i="3"/>
  <c r="Q87" i="3" s="1"/>
  <c r="W87" i="3"/>
  <c r="AJ87" i="3" s="1"/>
  <c r="P88" i="3" a="1"/>
  <c r="P88" i="3" s="1"/>
  <c r="K88" i="3"/>
  <c r="O88" i="3"/>
  <c r="I88" i="3"/>
  <c r="AF88" i="3"/>
  <c r="AG88" i="3" s="1"/>
  <c r="H88" i="3"/>
  <c r="R39" i="8"/>
  <c r="S39" i="8"/>
  <c r="AH35" i="3"/>
  <c r="AI35" i="3" s="1"/>
  <c r="N40" i="8"/>
  <c r="T39" i="8"/>
  <c r="Z39" i="8" s="1"/>
  <c r="AR39" i="8" s="1"/>
  <c r="AH41" i="9"/>
  <c r="AI40" i="9"/>
  <c r="AH41" i="8"/>
  <c r="AI40" i="8"/>
  <c r="M88" i="3" l="1"/>
  <c r="L88" i="3"/>
  <c r="Q88" i="3" s="1"/>
  <c r="W88" i="3"/>
  <c r="AJ88" i="3" s="1"/>
  <c r="K89" i="3"/>
  <c r="P89" i="3" a="1"/>
  <c r="P89" i="3" s="1"/>
  <c r="O89" i="3"/>
  <c r="I89" i="3"/>
  <c r="H89" i="3"/>
  <c r="AF89" i="3"/>
  <c r="AG89" i="3" s="1"/>
  <c r="F91" i="3"/>
  <c r="G90" i="3"/>
  <c r="R40" i="8"/>
  <c r="S40" i="8"/>
  <c r="AH36" i="3"/>
  <c r="AI36" i="3" s="1"/>
  <c r="N41" i="8"/>
  <c r="T40" i="8"/>
  <c r="Z40" i="8" s="1"/>
  <c r="AR40" i="8" s="1"/>
  <c r="AI41" i="9"/>
  <c r="AH42" i="9"/>
  <c r="AH42" i="8"/>
  <c r="AI41" i="8"/>
  <c r="F92" i="3" l="1"/>
  <c r="G91" i="3"/>
  <c r="M89" i="3"/>
  <c r="L89" i="3"/>
  <c r="Q89" i="3" s="1"/>
  <c r="W89" i="3"/>
  <c r="AJ89" i="3" s="1"/>
  <c r="P90" i="3" a="1"/>
  <c r="P90" i="3" s="1"/>
  <c r="K90" i="3"/>
  <c r="O90" i="3"/>
  <c r="I90" i="3"/>
  <c r="AF90" i="3"/>
  <c r="AG90" i="3" s="1"/>
  <c r="H90" i="3"/>
  <c r="R41" i="8"/>
  <c r="S41" i="8"/>
  <c r="AH37" i="3"/>
  <c r="AI37" i="3" s="1"/>
  <c r="T41" i="8"/>
  <c r="Z41" i="8" s="1"/>
  <c r="AR41" i="8" s="1"/>
  <c r="N42" i="8"/>
  <c r="AH43" i="8"/>
  <c r="AI42" i="8"/>
  <c r="AH43" i="9"/>
  <c r="AI42" i="9"/>
  <c r="M90" i="3" l="1"/>
  <c r="W90" i="3"/>
  <c r="AJ90" i="3" s="1"/>
  <c r="L90" i="3"/>
  <c r="Q90" i="3" s="1"/>
  <c r="P91" i="3" a="1"/>
  <c r="P91" i="3" s="1"/>
  <c r="K91" i="3"/>
  <c r="O91" i="3"/>
  <c r="I91" i="3"/>
  <c r="AF91" i="3"/>
  <c r="AG91" i="3" s="1"/>
  <c r="H91" i="3"/>
  <c r="F93" i="3"/>
  <c r="G92" i="3"/>
  <c r="R42" i="8"/>
  <c r="S42" i="8"/>
  <c r="AH38" i="3"/>
  <c r="AI38" i="3" s="1"/>
  <c r="N43" i="8"/>
  <c r="T42" i="8"/>
  <c r="Z42" i="8" s="1"/>
  <c r="AR42" i="8" s="1"/>
  <c r="AI43" i="9"/>
  <c r="AH44" i="9"/>
  <c r="AH44" i="8"/>
  <c r="AI43" i="8"/>
  <c r="M91" i="3" l="1"/>
  <c r="L91" i="3"/>
  <c r="Q91" i="3" s="1"/>
  <c r="W91" i="3"/>
  <c r="AJ91" i="3" s="1"/>
  <c r="F94" i="3"/>
  <c r="G93" i="3"/>
  <c r="P92" i="3" a="1"/>
  <c r="P92" i="3" s="1"/>
  <c r="K92" i="3"/>
  <c r="O92" i="3"/>
  <c r="I92" i="3"/>
  <c r="AF92" i="3"/>
  <c r="AG92" i="3" s="1"/>
  <c r="H92" i="3"/>
  <c r="R43" i="8"/>
  <c r="S43" i="8"/>
  <c r="AH39" i="3"/>
  <c r="AI39" i="3" s="1"/>
  <c r="N44" i="8"/>
  <c r="T43" i="8"/>
  <c r="Z43" i="8" s="1"/>
  <c r="AR43" i="8" s="1"/>
  <c r="AH45" i="9"/>
  <c r="AI44" i="9"/>
  <c r="AH45" i="8"/>
  <c r="AI44" i="8"/>
  <c r="P93" i="3" l="1" a="1"/>
  <c r="P93" i="3" s="1"/>
  <c r="O93" i="3"/>
  <c r="K93" i="3"/>
  <c r="I93" i="3"/>
  <c r="AF93" i="3"/>
  <c r="AG93" i="3" s="1"/>
  <c r="H93" i="3"/>
  <c r="F95" i="3"/>
  <c r="G94" i="3"/>
  <c r="M92" i="3"/>
  <c r="W92" i="3"/>
  <c r="AJ92" i="3" s="1"/>
  <c r="L92" i="3"/>
  <c r="Q92" i="3" s="1"/>
  <c r="R44" i="8"/>
  <c r="S44" i="8"/>
  <c r="AH40" i="3"/>
  <c r="AI40" i="3" s="1"/>
  <c r="N45" i="8"/>
  <c r="T44" i="8"/>
  <c r="Z44" i="8" s="1"/>
  <c r="AR44" i="8" s="1"/>
  <c r="AH46" i="9"/>
  <c r="AI45" i="9"/>
  <c r="AI45" i="8"/>
  <c r="AH46" i="8"/>
  <c r="P94" i="3" l="1" a="1"/>
  <c r="P94" i="3" s="1"/>
  <c r="K94" i="3"/>
  <c r="O94" i="3"/>
  <c r="I94" i="3"/>
  <c r="H94" i="3"/>
  <c r="AF94" i="3"/>
  <c r="AG94" i="3" s="1"/>
  <c r="F96" i="3"/>
  <c r="G95" i="3"/>
  <c r="M93" i="3"/>
  <c r="L93" i="3"/>
  <c r="Q93" i="3" s="1"/>
  <c r="W93" i="3"/>
  <c r="AJ93" i="3" s="1"/>
  <c r="R45" i="8"/>
  <c r="S45" i="8"/>
  <c r="AH41" i="3"/>
  <c r="AI41" i="3" s="1"/>
  <c r="N46" i="8"/>
  <c r="T45" i="8"/>
  <c r="Z45" i="8" s="1"/>
  <c r="AR45" i="8" s="1"/>
  <c r="AH47" i="8"/>
  <c r="AI46" i="8"/>
  <c r="AI46" i="9"/>
  <c r="AH47" i="9"/>
  <c r="P95" i="3" l="1" a="1"/>
  <c r="P95" i="3" s="1"/>
  <c r="O95" i="3"/>
  <c r="K95" i="3"/>
  <c r="I95" i="3"/>
  <c r="H95" i="3"/>
  <c r="AF95" i="3"/>
  <c r="AG95" i="3" s="1"/>
  <c r="F97" i="3"/>
  <c r="G96" i="3"/>
  <c r="M94" i="3"/>
  <c r="W94" i="3"/>
  <c r="AJ94" i="3" s="1"/>
  <c r="L94" i="3"/>
  <c r="Q94" i="3" s="1"/>
  <c r="R46" i="8"/>
  <c r="S46" i="8"/>
  <c r="AH42" i="3"/>
  <c r="AI42" i="3" s="1"/>
  <c r="N47" i="8"/>
  <c r="T46" i="8"/>
  <c r="Z46" i="8" s="1"/>
  <c r="AR46" i="8" s="1"/>
  <c r="AI47" i="8"/>
  <c r="AH48" i="8"/>
  <c r="AH48" i="9"/>
  <c r="AI47" i="9"/>
  <c r="P96" i="3" l="1" a="1"/>
  <c r="P96" i="3" s="1"/>
  <c r="K96" i="3"/>
  <c r="O96" i="3"/>
  <c r="I96" i="3"/>
  <c r="AF96" i="3"/>
  <c r="AG96" i="3" s="1"/>
  <c r="H96" i="3"/>
  <c r="F98" i="3"/>
  <c r="G97" i="3"/>
  <c r="M95" i="3"/>
  <c r="L95" i="3"/>
  <c r="Q95" i="3" s="1"/>
  <c r="W95" i="3"/>
  <c r="AJ95" i="3" s="1"/>
  <c r="R47" i="8"/>
  <c r="S47" i="8"/>
  <c r="AH43" i="3"/>
  <c r="AI43" i="3" s="1"/>
  <c r="N48" i="8"/>
  <c r="T47" i="8"/>
  <c r="Z47" i="8" s="1"/>
  <c r="AR47" i="8" s="1"/>
  <c r="AH49" i="8"/>
  <c r="AI48" i="8"/>
  <c r="AI48" i="9"/>
  <c r="AH49" i="9"/>
  <c r="P97" i="3" l="1" a="1"/>
  <c r="P97" i="3" s="1"/>
  <c r="K97" i="3"/>
  <c r="O97" i="3"/>
  <c r="I97" i="3"/>
  <c r="AF97" i="3"/>
  <c r="AG97" i="3" s="1"/>
  <c r="H97" i="3"/>
  <c r="F99" i="3"/>
  <c r="G98" i="3"/>
  <c r="M96" i="3"/>
  <c r="W96" i="3"/>
  <c r="AJ96" i="3" s="1"/>
  <c r="L96" i="3"/>
  <c r="Q96" i="3" s="1"/>
  <c r="R48" i="8"/>
  <c r="S48" i="8"/>
  <c r="AH44" i="3"/>
  <c r="AI44" i="3" s="1"/>
  <c r="N49" i="8"/>
  <c r="T48" i="8"/>
  <c r="Z48" i="8" s="1"/>
  <c r="AR48" i="8" s="1"/>
  <c r="AI49" i="8"/>
  <c r="AH50" i="8"/>
  <c r="AH50" i="9"/>
  <c r="AI49" i="9"/>
  <c r="P98" i="3" l="1" a="1"/>
  <c r="P98" i="3" s="1"/>
  <c r="O98" i="3"/>
  <c r="K98" i="3"/>
  <c r="I98" i="3"/>
  <c r="AF98" i="3"/>
  <c r="AG98" i="3" s="1"/>
  <c r="H98" i="3"/>
  <c r="F100" i="3"/>
  <c r="G99" i="3"/>
  <c r="M97" i="3"/>
  <c r="W97" i="3"/>
  <c r="AJ97" i="3" s="1"/>
  <c r="L97" i="3"/>
  <c r="Q97" i="3" s="1"/>
  <c r="R49" i="8"/>
  <c r="S49" i="8"/>
  <c r="AH45" i="3"/>
  <c r="AI45" i="3" s="1"/>
  <c r="T49" i="8"/>
  <c r="Z49" i="8" s="1"/>
  <c r="AR49" i="8" s="1"/>
  <c r="N50" i="8"/>
  <c r="AI50" i="8"/>
  <c r="AH51" i="8"/>
  <c r="AH51" i="9"/>
  <c r="AI50" i="9"/>
  <c r="P99" i="3" l="1" a="1"/>
  <c r="P99" i="3" s="1"/>
  <c r="K99" i="3"/>
  <c r="O99" i="3"/>
  <c r="I99" i="3"/>
  <c r="AF99" i="3"/>
  <c r="AG99" i="3" s="1"/>
  <c r="H99" i="3"/>
  <c r="F101" i="3"/>
  <c r="G100" i="3"/>
  <c r="M98" i="3"/>
  <c r="L98" i="3"/>
  <c r="Q98" i="3" s="1"/>
  <c r="W98" i="3"/>
  <c r="AJ98" i="3" s="1"/>
  <c r="R50" i="8"/>
  <c r="S50" i="8"/>
  <c r="AH46" i="3"/>
  <c r="AI46" i="3" s="1"/>
  <c r="N51" i="8"/>
  <c r="T50" i="8"/>
  <c r="Z50" i="8" s="1"/>
  <c r="AR50" i="8" s="1"/>
  <c r="AI51" i="9"/>
  <c r="AH52" i="9"/>
  <c r="AI51" i="8"/>
  <c r="AH52" i="8"/>
  <c r="O100" i="3" l="1"/>
  <c r="P100" i="3" a="1"/>
  <c r="P100" i="3" s="1"/>
  <c r="K100" i="3"/>
  <c r="I100" i="3"/>
  <c r="AF100" i="3"/>
  <c r="AG100" i="3" s="1"/>
  <c r="H100" i="3"/>
  <c r="F102" i="3"/>
  <c r="G101" i="3"/>
  <c r="M99" i="3"/>
  <c r="L99" i="3"/>
  <c r="Q99" i="3" s="1"/>
  <c r="W99" i="3"/>
  <c r="AJ99" i="3" s="1"/>
  <c r="R51" i="8"/>
  <c r="S51" i="8"/>
  <c r="AH47" i="3"/>
  <c r="AI47" i="3" s="1"/>
  <c r="N52" i="8"/>
  <c r="T51" i="8"/>
  <c r="Z51" i="8" s="1"/>
  <c r="AR51" i="8" s="1"/>
  <c r="AH53" i="9"/>
  <c r="AI52" i="9"/>
  <c r="AH53" i="8"/>
  <c r="AI52" i="8"/>
  <c r="P101" i="3" l="1" a="1"/>
  <c r="P101" i="3" s="1"/>
  <c r="K101" i="3"/>
  <c r="O101" i="3"/>
  <c r="I101" i="3"/>
  <c r="H101" i="3"/>
  <c r="AF101" i="3"/>
  <c r="AG101" i="3" s="1"/>
  <c r="F103" i="3"/>
  <c r="G102" i="3"/>
  <c r="M100" i="3"/>
  <c r="L100" i="3"/>
  <c r="Q100" i="3" s="1"/>
  <c r="W100" i="3"/>
  <c r="AJ100" i="3" s="1"/>
  <c r="R52" i="8"/>
  <c r="S52" i="8"/>
  <c r="AH48" i="3"/>
  <c r="AI48" i="3" s="1"/>
  <c r="N53" i="8"/>
  <c r="T52" i="8"/>
  <c r="Z52" i="8" s="1"/>
  <c r="AR52" i="8" s="1"/>
  <c r="AH54" i="9"/>
  <c r="AI53" i="9"/>
  <c r="AH54" i="8"/>
  <c r="AI53" i="8"/>
  <c r="K102" i="3" l="1"/>
  <c r="P102" i="3" a="1"/>
  <c r="P102" i="3" s="1"/>
  <c r="O102" i="3"/>
  <c r="I102" i="3"/>
  <c r="AF102" i="3"/>
  <c r="AG102" i="3" s="1"/>
  <c r="H102" i="3"/>
  <c r="F104" i="3"/>
  <c r="G103" i="3"/>
  <c r="M101" i="3"/>
  <c r="L101" i="3"/>
  <c r="Q101" i="3" s="1"/>
  <c r="W101" i="3"/>
  <c r="AJ101" i="3" s="1"/>
  <c r="R53" i="8"/>
  <c r="S53" i="8"/>
  <c r="AH49" i="3"/>
  <c r="AI49" i="3" s="1"/>
  <c r="N54" i="8"/>
  <c r="T53" i="8"/>
  <c r="Z53" i="8" s="1"/>
  <c r="AR53" i="8" s="1"/>
  <c r="AH55" i="8"/>
  <c r="AI54" i="8"/>
  <c r="AI54" i="9"/>
  <c r="AH55" i="9"/>
  <c r="F105" i="3" l="1"/>
  <c r="G104" i="3"/>
  <c r="P103" i="3" a="1"/>
  <c r="P103" i="3" s="1"/>
  <c r="K103" i="3"/>
  <c r="O103" i="3"/>
  <c r="I103" i="3"/>
  <c r="H103" i="3"/>
  <c r="AF103" i="3"/>
  <c r="AG103" i="3" s="1"/>
  <c r="M102" i="3"/>
  <c r="W102" i="3"/>
  <c r="AJ102" i="3" s="1"/>
  <c r="L102" i="3"/>
  <c r="Q102" i="3" s="1"/>
  <c r="R54" i="8"/>
  <c r="S54" i="8"/>
  <c r="AH50" i="3"/>
  <c r="AI50" i="3" s="1"/>
  <c r="N55" i="8"/>
  <c r="T54" i="8"/>
  <c r="Z54" i="8" s="1"/>
  <c r="AR54" i="8" s="1"/>
  <c r="AI55" i="9"/>
  <c r="AH56" i="9"/>
  <c r="AH56" i="8"/>
  <c r="AI55" i="8"/>
  <c r="M103" i="3" l="1"/>
  <c r="W103" i="3"/>
  <c r="AJ103" i="3" s="1"/>
  <c r="L103" i="3"/>
  <c r="Q103" i="3" s="1"/>
  <c r="P104" i="3" a="1"/>
  <c r="P104" i="3" s="1"/>
  <c r="K104" i="3"/>
  <c r="O104" i="3"/>
  <c r="I104" i="3"/>
  <c r="AF104" i="3"/>
  <c r="AG104" i="3" s="1"/>
  <c r="H104" i="3"/>
  <c r="F106" i="3"/>
  <c r="G105" i="3"/>
  <c r="R55" i="8"/>
  <c r="S55" i="8"/>
  <c r="AH51" i="3"/>
  <c r="AI51" i="3" s="1"/>
  <c r="N56" i="8"/>
  <c r="T55" i="8"/>
  <c r="Z55" i="8" s="1"/>
  <c r="AR55" i="8" s="1"/>
  <c r="AH57" i="9"/>
  <c r="AI56" i="9"/>
  <c r="AH57" i="8"/>
  <c r="AI56" i="8"/>
  <c r="M104" i="3" l="1"/>
  <c r="L104" i="3"/>
  <c r="Q104" i="3" s="1"/>
  <c r="W104" i="3"/>
  <c r="AJ104" i="3" s="1"/>
  <c r="F107" i="3"/>
  <c r="G106" i="3"/>
  <c r="P105" i="3" a="1"/>
  <c r="P105" i="3" s="1"/>
  <c r="O105" i="3"/>
  <c r="K105" i="3"/>
  <c r="I105" i="3"/>
  <c r="AF105" i="3"/>
  <c r="AG105" i="3" s="1"/>
  <c r="H105" i="3"/>
  <c r="R56" i="8"/>
  <c r="S56" i="8"/>
  <c r="AH52" i="3"/>
  <c r="AI52" i="3" s="1"/>
  <c r="N57" i="8"/>
  <c r="T56" i="8"/>
  <c r="Z56" i="8" s="1"/>
  <c r="AR56" i="8" s="1"/>
  <c r="AH58" i="9"/>
  <c r="AI57" i="9"/>
  <c r="AH58" i="8"/>
  <c r="AI57" i="8"/>
  <c r="F108" i="3" l="1"/>
  <c r="G107" i="3"/>
  <c r="P106" i="3" a="1"/>
  <c r="P106" i="3" s="1"/>
  <c r="K106" i="3"/>
  <c r="O106" i="3"/>
  <c r="I106" i="3"/>
  <c r="H106" i="3"/>
  <c r="AF106" i="3"/>
  <c r="AG106" i="3" s="1"/>
  <c r="M105" i="3"/>
  <c r="W105" i="3"/>
  <c r="AJ105" i="3" s="1"/>
  <c r="L105" i="3"/>
  <c r="Q105" i="3" s="1"/>
  <c r="R57" i="8"/>
  <c r="S57" i="8"/>
  <c r="AH53" i="3"/>
  <c r="AI53" i="3" s="1"/>
  <c r="N58" i="8"/>
  <c r="T57" i="8"/>
  <c r="Z57" i="8" s="1"/>
  <c r="AR57" i="8" s="1"/>
  <c r="AI58" i="9"/>
  <c r="AH59" i="9"/>
  <c r="AI58" i="8"/>
  <c r="AH59" i="8"/>
  <c r="M106" i="3" l="1"/>
  <c r="L106" i="3"/>
  <c r="Q106" i="3" s="1"/>
  <c r="W106" i="3"/>
  <c r="AJ106" i="3" s="1"/>
  <c r="P107" i="3" a="1"/>
  <c r="P107" i="3" s="1"/>
  <c r="K107" i="3"/>
  <c r="O107" i="3"/>
  <c r="I107" i="3"/>
  <c r="H107" i="3"/>
  <c r="AF107" i="3"/>
  <c r="AG107" i="3" s="1"/>
  <c r="F109" i="3"/>
  <c r="G108" i="3"/>
  <c r="R58" i="8"/>
  <c r="S58" i="8"/>
  <c r="AH54" i="3"/>
  <c r="AI54" i="3" s="1"/>
  <c r="N59" i="8"/>
  <c r="T58" i="8"/>
  <c r="Z58" i="8" s="1"/>
  <c r="AR58" i="8" s="1"/>
  <c r="AH60" i="9"/>
  <c r="AI59" i="9"/>
  <c r="AI59" i="8"/>
  <c r="AH60" i="8"/>
  <c r="F110" i="3" l="1"/>
  <c r="G109" i="3"/>
  <c r="M107" i="3"/>
  <c r="L107" i="3"/>
  <c r="Q107" i="3" s="1"/>
  <c r="W107" i="3"/>
  <c r="AJ107" i="3" s="1"/>
  <c r="K108" i="3"/>
  <c r="P108" i="3" a="1"/>
  <c r="P108" i="3" s="1"/>
  <c r="O108" i="3"/>
  <c r="I108" i="3"/>
  <c r="AF108" i="3"/>
  <c r="AG108" i="3" s="1"/>
  <c r="H108" i="3"/>
  <c r="R59" i="8"/>
  <c r="S59" i="8"/>
  <c r="AH55" i="3"/>
  <c r="AI55" i="3" s="1"/>
  <c r="N60" i="8"/>
  <c r="T59" i="8"/>
  <c r="Z59" i="8" s="1"/>
  <c r="AR59" i="8" s="1"/>
  <c r="AI60" i="8"/>
  <c r="AH61" i="8"/>
  <c r="AH61" i="9"/>
  <c r="AI60" i="9"/>
  <c r="P109" i="3" l="1" a="1"/>
  <c r="P109" i="3" s="1"/>
  <c r="O109" i="3"/>
  <c r="K109" i="3"/>
  <c r="I109" i="3"/>
  <c r="AF109" i="3"/>
  <c r="AG109" i="3" s="1"/>
  <c r="H109" i="3"/>
  <c r="M108" i="3"/>
  <c r="L108" i="3"/>
  <c r="Q108" i="3" s="1"/>
  <c r="W108" i="3"/>
  <c r="AJ108" i="3" s="1"/>
  <c r="F111" i="3"/>
  <c r="G110" i="3"/>
  <c r="R60" i="8"/>
  <c r="S60" i="8"/>
  <c r="AH56" i="3"/>
  <c r="AI56" i="3" s="1"/>
  <c r="N61" i="8"/>
  <c r="T60" i="8"/>
  <c r="Z60" i="8" s="1"/>
  <c r="AR60" i="8" s="1"/>
  <c r="AH62" i="8"/>
  <c r="AI61" i="8"/>
  <c r="AH62" i="9"/>
  <c r="AI61" i="9"/>
  <c r="P110" i="3" l="1" a="1"/>
  <c r="P110" i="3" s="1"/>
  <c r="O110" i="3"/>
  <c r="K110" i="3"/>
  <c r="I110" i="3"/>
  <c r="H110" i="3"/>
  <c r="AF110" i="3"/>
  <c r="AG110" i="3" s="1"/>
  <c r="M109" i="3"/>
  <c r="W109" i="3"/>
  <c r="AJ109" i="3" s="1"/>
  <c r="L109" i="3"/>
  <c r="Q109" i="3" s="1"/>
  <c r="F112" i="3"/>
  <c r="G111" i="3"/>
  <c r="R61" i="8"/>
  <c r="S61" i="8"/>
  <c r="AH57" i="3"/>
  <c r="AI57" i="3" s="1"/>
  <c r="T61" i="8"/>
  <c r="Z61" i="8" s="1"/>
  <c r="AR61" i="8" s="1"/>
  <c r="N62" i="8"/>
  <c r="AI62" i="9"/>
  <c r="AH63" i="9"/>
  <c r="AH63" i="8"/>
  <c r="AI62" i="8"/>
  <c r="P111" i="3" l="1" a="1"/>
  <c r="P111" i="3" s="1"/>
  <c r="K111" i="3"/>
  <c r="O111" i="3"/>
  <c r="I111" i="3"/>
  <c r="H111" i="3"/>
  <c r="AF111" i="3"/>
  <c r="AG111" i="3" s="1"/>
  <c r="M110" i="3"/>
  <c r="L110" i="3"/>
  <c r="Q110" i="3" s="1"/>
  <c r="W110" i="3"/>
  <c r="AJ110" i="3" s="1"/>
  <c r="F113" i="3"/>
  <c r="G112" i="3"/>
  <c r="R62" i="8"/>
  <c r="S62" i="8"/>
  <c r="AH58" i="3"/>
  <c r="AI58" i="3" s="1"/>
  <c r="N63" i="8"/>
  <c r="T62" i="8"/>
  <c r="Z62" i="8" s="1"/>
  <c r="AR62" i="8" s="1"/>
  <c r="AI63" i="8"/>
  <c r="AH64" i="8"/>
  <c r="AH64" i="9"/>
  <c r="AI63" i="9"/>
  <c r="F114" i="3" l="1"/>
  <c r="G113" i="3"/>
  <c r="P112" i="3" a="1"/>
  <c r="P112" i="3" s="1"/>
  <c r="O112" i="3"/>
  <c r="K112" i="3"/>
  <c r="I112" i="3"/>
  <c r="H112" i="3"/>
  <c r="AF112" i="3"/>
  <c r="AG112" i="3" s="1"/>
  <c r="M111" i="3"/>
  <c r="W111" i="3"/>
  <c r="AJ111" i="3" s="1"/>
  <c r="L111" i="3"/>
  <c r="Q111" i="3" s="1"/>
  <c r="R63" i="8"/>
  <c r="S63" i="8"/>
  <c r="AH59" i="3"/>
  <c r="AI59" i="3" s="1"/>
  <c r="N64" i="8"/>
  <c r="T63" i="8"/>
  <c r="Z63" i="8" s="1"/>
  <c r="AR63" i="8" s="1"/>
  <c r="AH65" i="9"/>
  <c r="AI64" i="9"/>
  <c r="AH65" i="8"/>
  <c r="AI64" i="8"/>
  <c r="P113" i="3" l="1" a="1"/>
  <c r="P113" i="3" s="1"/>
  <c r="O113" i="3"/>
  <c r="K113" i="3"/>
  <c r="I113" i="3"/>
  <c r="AF113" i="3"/>
  <c r="AG113" i="3" s="1"/>
  <c r="H113" i="3"/>
  <c r="M112" i="3"/>
  <c r="L112" i="3"/>
  <c r="Q112" i="3" s="1"/>
  <c r="W112" i="3"/>
  <c r="AJ112" i="3" s="1"/>
  <c r="F115" i="3"/>
  <c r="G114" i="3"/>
  <c r="R64" i="8"/>
  <c r="S64" i="8"/>
  <c r="AH60" i="3"/>
  <c r="AI60" i="3" s="1"/>
  <c r="T64" i="8"/>
  <c r="Z64" i="8" s="1"/>
  <c r="AR64" i="8" s="1"/>
  <c r="N65" i="8"/>
  <c r="AI65" i="8"/>
  <c r="AH66" i="8"/>
  <c r="AH66" i="9"/>
  <c r="AI65" i="9"/>
  <c r="F116" i="3" l="1"/>
  <c r="G115" i="3"/>
  <c r="P114" i="3" a="1"/>
  <c r="P114" i="3" s="1"/>
  <c r="K114" i="3"/>
  <c r="O114" i="3"/>
  <c r="I114" i="3"/>
  <c r="H114" i="3"/>
  <c r="AF114" i="3"/>
  <c r="AG114" i="3" s="1"/>
  <c r="M113" i="3"/>
  <c r="W113" i="3"/>
  <c r="AJ113" i="3" s="1"/>
  <c r="L113" i="3"/>
  <c r="Q113" i="3" s="1"/>
  <c r="R65" i="8"/>
  <c r="S65" i="8"/>
  <c r="AH61" i="3"/>
  <c r="AI61" i="3" s="1"/>
  <c r="N66" i="8"/>
  <c r="T65" i="8"/>
  <c r="Z65" i="8" s="1"/>
  <c r="AR65" i="8" s="1"/>
  <c r="AI66" i="8"/>
  <c r="AH67" i="8"/>
  <c r="AH67" i="9"/>
  <c r="AI66" i="9"/>
  <c r="M114" i="3" l="1"/>
  <c r="L114" i="3"/>
  <c r="Q114" i="3" s="1"/>
  <c r="W114" i="3"/>
  <c r="AJ114" i="3" s="1"/>
  <c r="P115" i="3" a="1"/>
  <c r="P115" i="3" s="1"/>
  <c r="K115" i="3"/>
  <c r="O115" i="3"/>
  <c r="I115" i="3"/>
  <c r="H115" i="3"/>
  <c r="AF115" i="3"/>
  <c r="AG115" i="3" s="1"/>
  <c r="F117" i="3"/>
  <c r="G116" i="3"/>
  <c r="R66" i="8"/>
  <c r="S66" i="8"/>
  <c r="AH62" i="3"/>
  <c r="AI62" i="3" s="1"/>
  <c r="N67" i="8"/>
  <c r="T66" i="8"/>
  <c r="Z66" i="8" s="1"/>
  <c r="AR66" i="8" s="1"/>
  <c r="AH68" i="8"/>
  <c r="AI67" i="8"/>
  <c r="AH68" i="9"/>
  <c r="AI67" i="9"/>
  <c r="F118" i="3" l="1"/>
  <c r="G117" i="3"/>
  <c r="M115" i="3"/>
  <c r="W115" i="3"/>
  <c r="AJ115" i="3" s="1"/>
  <c r="L115" i="3"/>
  <c r="Q115" i="3" s="1"/>
  <c r="P116" i="3" a="1"/>
  <c r="P116" i="3" s="1"/>
  <c r="O116" i="3"/>
  <c r="K116" i="3"/>
  <c r="I116" i="3"/>
  <c r="AF116" i="3"/>
  <c r="AG116" i="3" s="1"/>
  <c r="H116" i="3"/>
  <c r="R67" i="8"/>
  <c r="S67" i="8"/>
  <c r="AH63" i="3"/>
  <c r="AI63" i="3" s="1"/>
  <c r="T67" i="8"/>
  <c r="Z67" i="8" s="1"/>
  <c r="AR67" i="8" s="1"/>
  <c r="N68" i="8"/>
  <c r="AH69" i="8"/>
  <c r="AI68" i="8"/>
  <c r="AI68" i="9"/>
  <c r="AH69" i="9"/>
  <c r="M116" i="3" l="1"/>
  <c r="L116" i="3"/>
  <c r="Q116" i="3" s="1"/>
  <c r="W116" i="3"/>
  <c r="AJ116" i="3" s="1"/>
  <c r="K117" i="3"/>
  <c r="P117" i="3" a="1"/>
  <c r="P117" i="3" s="1"/>
  <c r="O117" i="3"/>
  <c r="I117" i="3"/>
  <c r="AF117" i="3"/>
  <c r="AG117" i="3" s="1"/>
  <c r="H117" i="3"/>
  <c r="F119" i="3"/>
  <c r="G118" i="3"/>
  <c r="R68" i="8"/>
  <c r="S68" i="8"/>
  <c r="AH64" i="3"/>
  <c r="AI64" i="3" s="1"/>
  <c r="N69" i="8"/>
  <c r="T68" i="8"/>
  <c r="Z68" i="8" s="1"/>
  <c r="AR68" i="8" s="1"/>
  <c r="AI69" i="9"/>
  <c r="AH70" i="9"/>
  <c r="AH70" i="8"/>
  <c r="AI69" i="8"/>
  <c r="M117" i="3" l="1"/>
  <c r="L117" i="3"/>
  <c r="Q117" i="3" s="1"/>
  <c r="W117" i="3"/>
  <c r="AJ117" i="3" s="1"/>
  <c r="K118" i="3"/>
  <c r="P118" i="3" a="1"/>
  <c r="P118" i="3" s="1"/>
  <c r="O118" i="3"/>
  <c r="I118" i="3"/>
  <c r="H118" i="3"/>
  <c r="AF118" i="3"/>
  <c r="AG118" i="3" s="1"/>
  <c r="F120" i="3"/>
  <c r="G119" i="3"/>
  <c r="R69" i="8"/>
  <c r="S69" i="8"/>
  <c r="AH65" i="3"/>
  <c r="AI65" i="3" s="1"/>
  <c r="N70" i="8"/>
  <c r="T69" i="8"/>
  <c r="Z69" i="8" s="1"/>
  <c r="AR69" i="8" s="1"/>
  <c r="AH71" i="8"/>
  <c r="AI70" i="8"/>
  <c r="AH71" i="9"/>
  <c r="AI70" i="9"/>
  <c r="M118" i="3" l="1"/>
  <c r="L118" i="3"/>
  <c r="Q118" i="3" s="1"/>
  <c r="W118" i="3"/>
  <c r="AJ118" i="3" s="1"/>
  <c r="K119" i="3"/>
  <c r="P119" i="3" a="1"/>
  <c r="P119" i="3" s="1"/>
  <c r="O119" i="3"/>
  <c r="I119" i="3"/>
  <c r="AF119" i="3"/>
  <c r="AG119" i="3" s="1"/>
  <c r="H119" i="3"/>
  <c r="F121" i="3"/>
  <c r="G120" i="3"/>
  <c r="R70" i="8"/>
  <c r="S70" i="8"/>
  <c r="AH66" i="3"/>
  <c r="AI66" i="3" s="1"/>
  <c r="T70" i="8"/>
  <c r="Z70" i="8" s="1"/>
  <c r="AR70" i="8" s="1"/>
  <c r="N71" i="8"/>
  <c r="AH72" i="8"/>
  <c r="AI71" i="8"/>
  <c r="AH72" i="9"/>
  <c r="AI71" i="9"/>
  <c r="F122" i="3" l="1"/>
  <c r="G121" i="3"/>
  <c r="P120" i="3" a="1"/>
  <c r="P120" i="3" s="1"/>
  <c r="K120" i="3"/>
  <c r="O120" i="3"/>
  <c r="I120" i="3"/>
  <c r="AF120" i="3"/>
  <c r="AG120" i="3" s="1"/>
  <c r="H120" i="3"/>
  <c r="M119" i="3"/>
  <c r="L119" i="3"/>
  <c r="Q119" i="3" s="1"/>
  <c r="W119" i="3"/>
  <c r="AJ119" i="3" s="1"/>
  <c r="R71" i="8"/>
  <c r="S71" i="8"/>
  <c r="AH67" i="3"/>
  <c r="AI67" i="3" s="1"/>
  <c r="N72" i="8"/>
  <c r="T71" i="8"/>
  <c r="Z71" i="8" s="1"/>
  <c r="AR71" i="8" s="1"/>
  <c r="AH73" i="8"/>
  <c r="AI72" i="8"/>
  <c r="AH73" i="9"/>
  <c r="AI72" i="9"/>
  <c r="M120" i="3" l="1"/>
  <c r="W120" i="3"/>
  <c r="AJ120" i="3" s="1"/>
  <c r="L120" i="3"/>
  <c r="Q120" i="3" s="1"/>
  <c r="P121" i="3" a="1"/>
  <c r="P121" i="3" s="1"/>
  <c r="K121" i="3"/>
  <c r="O121" i="3"/>
  <c r="I121" i="3"/>
  <c r="AF121" i="3"/>
  <c r="AG121" i="3" s="1"/>
  <c r="H121" i="3"/>
  <c r="F123" i="3"/>
  <c r="G122" i="3"/>
  <c r="R72" i="8"/>
  <c r="S72" i="8"/>
  <c r="AH68" i="3"/>
  <c r="AI68" i="3" s="1"/>
  <c r="T72" i="8"/>
  <c r="Z72" i="8" s="1"/>
  <c r="AR72" i="8" s="1"/>
  <c r="N73" i="8"/>
  <c r="AI73" i="8"/>
  <c r="AH74" i="8"/>
  <c r="AI73" i="9"/>
  <c r="AH74" i="9"/>
  <c r="M121" i="3" l="1"/>
  <c r="L121" i="3"/>
  <c r="Q121" i="3" s="1"/>
  <c r="W121" i="3"/>
  <c r="AJ121" i="3" s="1"/>
  <c r="F124" i="3"/>
  <c r="G123" i="3"/>
  <c r="K122" i="3"/>
  <c r="P122" i="3" a="1"/>
  <c r="P122" i="3" s="1"/>
  <c r="O122" i="3"/>
  <c r="I122" i="3"/>
  <c r="AF122" i="3"/>
  <c r="AG122" i="3" s="1"/>
  <c r="H122" i="3"/>
  <c r="R73" i="8"/>
  <c r="S73" i="8"/>
  <c r="AH69" i="3"/>
  <c r="AI69" i="3" s="1"/>
  <c r="T73" i="8"/>
  <c r="Z73" i="8" s="1"/>
  <c r="AR73" i="8" s="1"/>
  <c r="N74" i="8"/>
  <c r="AH75" i="8"/>
  <c r="AI74" i="8"/>
  <c r="AI74" i="9"/>
  <c r="AH75" i="9"/>
  <c r="P123" i="3" l="1" a="1"/>
  <c r="P123" i="3" s="1"/>
  <c r="O123" i="3"/>
  <c r="K123" i="3"/>
  <c r="AF123" i="3"/>
  <c r="AG123" i="3" s="1"/>
  <c r="I123" i="3"/>
  <c r="H123" i="3"/>
  <c r="F125" i="3"/>
  <c r="G124" i="3"/>
  <c r="M122" i="3"/>
  <c r="W122" i="3"/>
  <c r="AJ122" i="3" s="1"/>
  <c r="L122" i="3"/>
  <c r="Q122" i="3" s="1"/>
  <c r="R74" i="8"/>
  <c r="S74" i="8"/>
  <c r="AH70" i="3"/>
  <c r="AI70" i="3" s="1"/>
  <c r="T74" i="8"/>
  <c r="Z74" i="8" s="1"/>
  <c r="AR74" i="8" s="1"/>
  <c r="N75" i="8"/>
  <c r="AH76" i="9"/>
  <c r="AI75" i="9"/>
  <c r="AH76" i="8"/>
  <c r="AI75" i="8"/>
  <c r="P124" i="3" l="1" a="1"/>
  <c r="P124" i="3" s="1"/>
  <c r="K124" i="3"/>
  <c r="O124" i="3"/>
  <c r="I124" i="3"/>
  <c r="H124" i="3"/>
  <c r="AF124" i="3"/>
  <c r="AG124" i="3" s="1"/>
  <c r="F126" i="3"/>
  <c r="G125" i="3"/>
  <c r="M123" i="3"/>
  <c r="W123" i="3"/>
  <c r="AJ123" i="3" s="1"/>
  <c r="L123" i="3"/>
  <c r="Q123" i="3" s="1"/>
  <c r="R75" i="8"/>
  <c r="S75" i="8"/>
  <c r="AH71" i="3"/>
  <c r="AI71" i="3" s="1"/>
  <c r="N76" i="8"/>
  <c r="T75" i="8"/>
  <c r="Z75" i="8" s="1"/>
  <c r="AR75" i="8" s="1"/>
  <c r="AI76" i="8"/>
  <c r="AH77" i="8"/>
  <c r="AI76" i="9"/>
  <c r="AH77" i="9"/>
  <c r="P125" i="3" l="1" a="1"/>
  <c r="P125" i="3" s="1"/>
  <c r="K125" i="3"/>
  <c r="O125" i="3"/>
  <c r="AF125" i="3"/>
  <c r="AG125" i="3" s="1"/>
  <c r="I125" i="3"/>
  <c r="H125" i="3"/>
  <c r="F127" i="3"/>
  <c r="G126" i="3"/>
  <c r="M124" i="3"/>
  <c r="L124" i="3"/>
  <c r="Q124" i="3" s="1"/>
  <c r="W124" i="3"/>
  <c r="AJ124" i="3" s="1"/>
  <c r="R76" i="8"/>
  <c r="S76" i="8"/>
  <c r="AH72" i="3"/>
  <c r="AI72" i="3" s="1"/>
  <c r="N77" i="8"/>
  <c r="T76" i="8"/>
  <c r="Z76" i="8" s="1"/>
  <c r="AR76" i="8" s="1"/>
  <c r="AH78" i="9"/>
  <c r="AI77" i="9"/>
  <c r="AI77" i="8"/>
  <c r="AH78" i="8"/>
  <c r="P126" i="3" l="1" a="1"/>
  <c r="P126" i="3" s="1"/>
  <c r="K126" i="3"/>
  <c r="O126" i="3"/>
  <c r="I126" i="3"/>
  <c r="H126" i="3"/>
  <c r="AF126" i="3"/>
  <c r="AG126" i="3" s="1"/>
  <c r="F128" i="3"/>
  <c r="G127" i="3"/>
  <c r="M125" i="3"/>
  <c r="L125" i="3"/>
  <c r="Q125" i="3" s="1"/>
  <c r="W125" i="3"/>
  <c r="AJ125" i="3" s="1"/>
  <c r="R77" i="8"/>
  <c r="S77" i="8"/>
  <c r="AH73" i="3"/>
  <c r="AI73" i="3" s="1"/>
  <c r="N78" i="8"/>
  <c r="T77" i="8"/>
  <c r="Z77" i="8" s="1"/>
  <c r="AR77" i="8" s="1"/>
  <c r="AH79" i="9"/>
  <c r="AI78" i="9"/>
  <c r="AI78" i="8"/>
  <c r="AH79" i="8"/>
  <c r="P127" i="3" l="1" a="1"/>
  <c r="P127" i="3" s="1"/>
  <c r="K127" i="3"/>
  <c r="O127" i="3"/>
  <c r="I127" i="3"/>
  <c r="AF127" i="3"/>
  <c r="AG127" i="3" s="1"/>
  <c r="H127" i="3"/>
  <c r="F129" i="3"/>
  <c r="G128" i="3"/>
  <c r="M126" i="3"/>
  <c r="L126" i="3"/>
  <c r="Q126" i="3" s="1"/>
  <c r="W126" i="3"/>
  <c r="AJ126" i="3" s="1"/>
  <c r="R78" i="8"/>
  <c r="S78" i="8"/>
  <c r="AH74" i="3"/>
  <c r="AI74" i="3" s="1"/>
  <c r="N79" i="8"/>
  <c r="T78" i="8"/>
  <c r="Z78" i="8" s="1"/>
  <c r="AR78" i="8" s="1"/>
  <c r="AI79" i="8"/>
  <c r="AH80" i="8"/>
  <c r="AH80" i="9"/>
  <c r="AI79" i="9"/>
  <c r="P128" i="3" l="1" a="1"/>
  <c r="P128" i="3" s="1"/>
  <c r="O128" i="3"/>
  <c r="K128" i="3"/>
  <c r="I128" i="3"/>
  <c r="H128" i="3"/>
  <c r="AF128" i="3"/>
  <c r="AG128" i="3" s="1"/>
  <c r="F130" i="3"/>
  <c r="G129" i="3"/>
  <c r="M127" i="3"/>
  <c r="L127" i="3"/>
  <c r="Q127" i="3" s="1"/>
  <c r="W127" i="3"/>
  <c r="AJ127" i="3" s="1"/>
  <c r="R79" i="8"/>
  <c r="S79" i="8"/>
  <c r="AH75" i="3"/>
  <c r="AI75" i="3" s="1"/>
  <c r="T79" i="8"/>
  <c r="Z79" i="8" s="1"/>
  <c r="AR79" i="8" s="1"/>
  <c r="N80" i="8"/>
  <c r="AH81" i="9"/>
  <c r="AI80" i="9"/>
  <c r="AI80" i="8"/>
  <c r="AH81" i="8"/>
  <c r="P129" i="3" l="1" a="1"/>
  <c r="P129" i="3" s="1"/>
  <c r="K129" i="3"/>
  <c r="O129" i="3"/>
  <c r="I129" i="3"/>
  <c r="AF129" i="3"/>
  <c r="AG129" i="3" s="1"/>
  <c r="H129" i="3"/>
  <c r="M128" i="3"/>
  <c r="L128" i="3"/>
  <c r="Q128" i="3" s="1"/>
  <c r="W128" i="3"/>
  <c r="AJ128" i="3" s="1"/>
  <c r="F131" i="3"/>
  <c r="G130" i="3"/>
  <c r="R80" i="8"/>
  <c r="S80" i="8"/>
  <c r="AH76" i="3"/>
  <c r="AI76" i="3" s="1"/>
  <c r="T80" i="8"/>
  <c r="Z80" i="8" s="1"/>
  <c r="AR80" i="8" s="1"/>
  <c r="N81" i="8"/>
  <c r="AI81" i="8"/>
  <c r="AH82" i="8"/>
  <c r="AI81" i="9"/>
  <c r="AH82" i="9"/>
  <c r="F132" i="3" l="1"/>
  <c r="G131" i="3"/>
  <c r="P130" i="3" a="1"/>
  <c r="P130" i="3" s="1"/>
  <c r="K130" i="3"/>
  <c r="O130" i="3"/>
  <c r="I130" i="3"/>
  <c r="AF130" i="3"/>
  <c r="AG130" i="3" s="1"/>
  <c r="H130" i="3"/>
  <c r="M129" i="3"/>
  <c r="W129" i="3"/>
  <c r="AJ129" i="3" s="1"/>
  <c r="L129" i="3"/>
  <c r="Q129" i="3" s="1"/>
  <c r="R81" i="8"/>
  <c r="S81" i="8"/>
  <c r="AH77" i="3"/>
  <c r="AI77" i="3" s="1"/>
  <c r="N82" i="8"/>
  <c r="T81" i="8"/>
  <c r="Z81" i="8" s="1"/>
  <c r="AR81" i="8" s="1"/>
  <c r="AI82" i="8"/>
  <c r="AH83" i="8"/>
  <c r="AI82" i="9"/>
  <c r="AH83" i="9"/>
  <c r="M130" i="3" l="1"/>
  <c r="L130" i="3"/>
  <c r="Q130" i="3" s="1"/>
  <c r="W130" i="3"/>
  <c r="AJ130" i="3" s="1"/>
  <c r="K131" i="3"/>
  <c r="P131" i="3" a="1"/>
  <c r="P131" i="3" s="1"/>
  <c r="O131" i="3"/>
  <c r="I131" i="3"/>
  <c r="AF131" i="3"/>
  <c r="AG131" i="3" s="1"/>
  <c r="H131" i="3"/>
  <c r="F133" i="3"/>
  <c r="G132" i="3"/>
  <c r="R82" i="8"/>
  <c r="S82" i="8"/>
  <c r="AH78" i="3"/>
  <c r="AI78" i="3" s="1"/>
  <c r="N83" i="8"/>
  <c r="T82" i="8"/>
  <c r="Z82" i="8" s="1"/>
  <c r="AR82" i="8" s="1"/>
  <c r="AH84" i="8"/>
  <c r="AI83" i="8"/>
  <c r="AH84" i="9"/>
  <c r="AI83" i="9"/>
  <c r="F134" i="3" l="1"/>
  <c r="G133" i="3"/>
  <c r="M131" i="3"/>
  <c r="L131" i="3"/>
  <c r="Q131" i="3" s="1"/>
  <c r="W131" i="3"/>
  <c r="AJ131" i="3" s="1"/>
  <c r="P132" i="3" a="1"/>
  <c r="P132" i="3" s="1"/>
  <c r="K132" i="3"/>
  <c r="O132" i="3"/>
  <c r="I132" i="3"/>
  <c r="AF132" i="3"/>
  <c r="AG132" i="3" s="1"/>
  <c r="H132" i="3"/>
  <c r="R83" i="8"/>
  <c r="S83" i="8"/>
  <c r="AH79" i="3"/>
  <c r="AI79" i="3" s="1"/>
  <c r="N84" i="8"/>
  <c r="T83" i="8"/>
  <c r="Z83" i="8" s="1"/>
  <c r="AR83" i="8" s="1"/>
  <c r="AH85" i="9"/>
  <c r="AI84" i="9"/>
  <c r="AH85" i="8"/>
  <c r="AI84" i="8"/>
  <c r="M132" i="3" l="1"/>
  <c r="L132" i="3"/>
  <c r="Q132" i="3" s="1"/>
  <c r="W132" i="3"/>
  <c r="AJ132" i="3" s="1"/>
  <c r="K133" i="3"/>
  <c r="P133" i="3" a="1"/>
  <c r="P133" i="3" s="1"/>
  <c r="O133" i="3"/>
  <c r="I133" i="3"/>
  <c r="AF133" i="3"/>
  <c r="AG133" i="3" s="1"/>
  <c r="H133" i="3"/>
  <c r="F135" i="3"/>
  <c r="G134" i="3"/>
  <c r="R84" i="8"/>
  <c r="S84" i="8"/>
  <c r="AH80" i="3"/>
  <c r="AI80" i="3" s="1"/>
  <c r="N85" i="8"/>
  <c r="T84" i="8"/>
  <c r="Z84" i="8" s="1"/>
  <c r="AR84" i="8" s="1"/>
  <c r="AI85" i="8"/>
  <c r="AH86" i="8"/>
  <c r="AH86" i="9"/>
  <c r="AI85" i="9"/>
  <c r="K134" i="3" l="1"/>
  <c r="P134" i="3" a="1"/>
  <c r="P134" i="3" s="1"/>
  <c r="O134" i="3"/>
  <c r="I134" i="3"/>
  <c r="H134" i="3"/>
  <c r="AF134" i="3"/>
  <c r="AG134" i="3" s="1"/>
  <c r="F136" i="3"/>
  <c r="G135" i="3"/>
  <c r="M133" i="3"/>
  <c r="L133" i="3"/>
  <c r="Q133" i="3" s="1"/>
  <c r="W133" i="3"/>
  <c r="AJ133" i="3" s="1"/>
  <c r="R85" i="8"/>
  <c r="S85" i="8"/>
  <c r="AH81" i="3"/>
  <c r="AI81" i="3" s="1"/>
  <c r="N86" i="8"/>
  <c r="T85" i="8"/>
  <c r="Z85" i="8" s="1"/>
  <c r="AR85" i="8" s="1"/>
  <c r="AI86" i="9"/>
  <c r="AH87" i="9"/>
  <c r="AI86" i="8"/>
  <c r="AH87" i="8"/>
  <c r="P135" i="3" l="1" a="1"/>
  <c r="P135" i="3" s="1"/>
  <c r="K135" i="3"/>
  <c r="O135" i="3"/>
  <c r="I135" i="3"/>
  <c r="H135" i="3"/>
  <c r="AF135" i="3"/>
  <c r="AG135" i="3" s="1"/>
  <c r="F137" i="3"/>
  <c r="G136" i="3"/>
  <c r="M134" i="3"/>
  <c r="W134" i="3"/>
  <c r="AJ134" i="3" s="1"/>
  <c r="L134" i="3"/>
  <c r="Q134" i="3" s="1"/>
  <c r="R86" i="8"/>
  <c r="S86" i="8"/>
  <c r="AH82" i="3"/>
  <c r="AI82" i="3" s="1"/>
  <c r="T86" i="8"/>
  <c r="Z86" i="8" s="1"/>
  <c r="AR86" i="8" s="1"/>
  <c r="N87" i="8"/>
  <c r="AI87" i="8"/>
  <c r="AH88" i="8"/>
  <c r="AI87" i="9"/>
  <c r="AH88" i="9"/>
  <c r="P136" i="3" l="1" a="1"/>
  <c r="P136" i="3" s="1"/>
  <c r="K136" i="3"/>
  <c r="O136" i="3"/>
  <c r="I136" i="3"/>
  <c r="AF136" i="3"/>
  <c r="AG136" i="3" s="1"/>
  <c r="H136" i="3"/>
  <c r="F138" i="3"/>
  <c r="G137" i="3"/>
  <c r="M135" i="3"/>
  <c r="L135" i="3"/>
  <c r="Q135" i="3" s="1"/>
  <c r="W135" i="3"/>
  <c r="AJ135" i="3" s="1"/>
  <c r="R87" i="8"/>
  <c r="S87" i="8"/>
  <c r="AH83" i="3"/>
  <c r="AI83" i="3" s="1"/>
  <c r="N88" i="8"/>
  <c r="T87" i="8"/>
  <c r="Z87" i="8" s="1"/>
  <c r="AR87" i="8" s="1"/>
  <c r="AH89" i="8"/>
  <c r="AI88" i="8"/>
  <c r="AH89" i="9"/>
  <c r="AI88" i="9"/>
  <c r="P137" i="3" l="1" a="1"/>
  <c r="P137" i="3" s="1"/>
  <c r="O137" i="3"/>
  <c r="K137" i="3"/>
  <c r="I137" i="3"/>
  <c r="AF137" i="3"/>
  <c r="AG137" i="3" s="1"/>
  <c r="H137" i="3"/>
  <c r="F139" i="3"/>
  <c r="G138" i="3"/>
  <c r="M136" i="3"/>
  <c r="L136" i="3"/>
  <c r="Q136" i="3" s="1"/>
  <c r="W136" i="3"/>
  <c r="AJ136" i="3" s="1"/>
  <c r="R88" i="8"/>
  <c r="S88" i="8"/>
  <c r="AH84" i="3"/>
  <c r="AI84" i="3" s="1"/>
  <c r="N89" i="8"/>
  <c r="T88" i="8"/>
  <c r="Z88" i="8" s="1"/>
  <c r="AR88" i="8" s="1"/>
  <c r="AI89" i="9"/>
  <c r="AH90" i="9"/>
  <c r="AH90" i="8"/>
  <c r="AI89" i="8"/>
  <c r="P138" i="3" l="1" a="1"/>
  <c r="P138" i="3" s="1"/>
  <c r="K138" i="3"/>
  <c r="O138" i="3"/>
  <c r="I138" i="3"/>
  <c r="AF138" i="3"/>
  <c r="AG138" i="3" s="1"/>
  <c r="H138" i="3"/>
  <c r="F140" i="3"/>
  <c r="G139" i="3"/>
  <c r="M137" i="3"/>
  <c r="L137" i="3"/>
  <c r="Q137" i="3" s="1"/>
  <c r="W137" i="3"/>
  <c r="AJ137" i="3" s="1"/>
  <c r="R89" i="8"/>
  <c r="S89" i="8"/>
  <c r="AH85" i="3"/>
  <c r="AI85" i="3" s="1"/>
  <c r="N90" i="8"/>
  <c r="T89" i="8"/>
  <c r="Z89" i="8" s="1"/>
  <c r="AR89" i="8" s="1"/>
  <c r="AH91" i="9"/>
  <c r="AI90" i="9"/>
  <c r="AI90" i="8"/>
  <c r="AH91" i="8"/>
  <c r="P139" i="3" l="1" a="1"/>
  <c r="P139" i="3" s="1"/>
  <c r="O139" i="3"/>
  <c r="K139" i="3"/>
  <c r="I139" i="3"/>
  <c r="AF139" i="3"/>
  <c r="AG139" i="3" s="1"/>
  <c r="H139" i="3"/>
  <c r="F141" i="3"/>
  <c r="G140" i="3"/>
  <c r="M138" i="3"/>
  <c r="L138" i="3"/>
  <c r="Q138" i="3" s="1"/>
  <c r="W138" i="3"/>
  <c r="AJ138" i="3" s="1"/>
  <c r="R90" i="8"/>
  <c r="S90" i="8"/>
  <c r="AH86" i="3"/>
  <c r="AI86" i="3" s="1"/>
  <c r="T90" i="8"/>
  <c r="Z90" i="8" s="1"/>
  <c r="AR90" i="8" s="1"/>
  <c r="N91" i="8"/>
  <c r="AH92" i="9"/>
  <c r="AI91" i="9"/>
  <c r="AH92" i="8"/>
  <c r="AI91" i="8"/>
  <c r="F142" i="3" l="1"/>
  <c r="G141" i="3"/>
  <c r="P140" i="3" a="1"/>
  <c r="P140" i="3" s="1"/>
  <c r="K140" i="3"/>
  <c r="O140" i="3"/>
  <c r="I140" i="3"/>
  <c r="H140" i="3"/>
  <c r="AF140" i="3"/>
  <c r="AG140" i="3" s="1"/>
  <c r="M139" i="3"/>
  <c r="L139" i="3"/>
  <c r="Q139" i="3" s="1"/>
  <c r="W139" i="3"/>
  <c r="AJ139" i="3" s="1"/>
  <c r="R91" i="8"/>
  <c r="S91" i="8"/>
  <c r="AH87" i="3"/>
  <c r="AI87" i="3" s="1"/>
  <c r="N92" i="8"/>
  <c r="T91" i="8"/>
  <c r="Z91" i="8" s="1"/>
  <c r="AR91" i="8" s="1"/>
  <c r="AH93" i="9"/>
  <c r="AI92" i="9"/>
  <c r="AH93" i="8"/>
  <c r="AI92" i="8"/>
  <c r="M140" i="3" l="1"/>
  <c r="L140" i="3"/>
  <c r="Q140" i="3" s="1"/>
  <c r="W140" i="3"/>
  <c r="AJ140" i="3" s="1"/>
  <c r="P141" i="3" a="1"/>
  <c r="P141" i="3" s="1"/>
  <c r="K141" i="3"/>
  <c r="O141" i="3"/>
  <c r="AF141" i="3"/>
  <c r="AG141" i="3" s="1"/>
  <c r="I141" i="3"/>
  <c r="H141" i="3"/>
  <c r="F143" i="3"/>
  <c r="G142" i="3"/>
  <c r="R92" i="8"/>
  <c r="S92" i="8"/>
  <c r="AH88" i="3"/>
  <c r="AI88" i="3" s="1"/>
  <c r="N93" i="8"/>
  <c r="T92" i="8"/>
  <c r="Z92" i="8" s="1"/>
  <c r="AR92" i="8" s="1"/>
  <c r="AI93" i="8"/>
  <c r="AH94" i="8"/>
  <c r="AH94" i="9"/>
  <c r="AI93" i="9"/>
  <c r="M141" i="3" l="1"/>
  <c r="L141" i="3"/>
  <c r="Q141" i="3" s="1"/>
  <c r="W141" i="3"/>
  <c r="AJ141" i="3" s="1"/>
  <c r="F144" i="3"/>
  <c r="G143" i="3"/>
  <c r="P142" i="3" a="1"/>
  <c r="P142" i="3" s="1"/>
  <c r="O142" i="3"/>
  <c r="K142" i="3"/>
  <c r="I142" i="3"/>
  <c r="AF142" i="3"/>
  <c r="AG142" i="3" s="1"/>
  <c r="H142" i="3"/>
  <c r="R93" i="8"/>
  <c r="S93" i="8"/>
  <c r="AH89" i="3"/>
  <c r="AI89" i="3" s="1"/>
  <c r="T93" i="8"/>
  <c r="Z93" i="8" s="1"/>
  <c r="AR93" i="8" s="1"/>
  <c r="N94" i="8"/>
  <c r="AI94" i="9"/>
  <c r="AH95" i="9"/>
  <c r="AH95" i="8"/>
  <c r="AI94" i="8"/>
  <c r="P143" i="3" l="1" a="1"/>
  <c r="P143" i="3" s="1"/>
  <c r="K143" i="3"/>
  <c r="O143" i="3"/>
  <c r="I143" i="3"/>
  <c r="AF143" i="3"/>
  <c r="AG143" i="3" s="1"/>
  <c r="H143" i="3"/>
  <c r="F145" i="3"/>
  <c r="G144" i="3"/>
  <c r="M142" i="3"/>
  <c r="L142" i="3"/>
  <c r="Q142" i="3" s="1"/>
  <c r="W142" i="3"/>
  <c r="AJ142" i="3" s="1"/>
  <c r="R94" i="8"/>
  <c r="S94" i="8"/>
  <c r="AH90" i="3"/>
  <c r="AI90" i="3" s="1"/>
  <c r="N95" i="8"/>
  <c r="T94" i="8"/>
  <c r="Z94" i="8" s="1"/>
  <c r="AR94" i="8" s="1"/>
  <c r="AI95" i="9"/>
  <c r="AH96" i="9"/>
  <c r="AI95" i="8"/>
  <c r="AH96" i="8"/>
  <c r="F146" i="3" l="1"/>
  <c r="G145" i="3"/>
  <c r="P144" i="3" a="1"/>
  <c r="P144" i="3" s="1"/>
  <c r="K144" i="3"/>
  <c r="O144" i="3"/>
  <c r="I144" i="3"/>
  <c r="H144" i="3"/>
  <c r="AF144" i="3"/>
  <c r="AG144" i="3" s="1"/>
  <c r="M143" i="3"/>
  <c r="W143" i="3"/>
  <c r="AJ143" i="3" s="1"/>
  <c r="L143" i="3"/>
  <c r="Q143" i="3" s="1"/>
  <c r="R95" i="8"/>
  <c r="S95" i="8"/>
  <c r="AH91" i="3"/>
  <c r="AI91" i="3" s="1"/>
  <c r="T95" i="8"/>
  <c r="Z95" i="8" s="1"/>
  <c r="AR95" i="8" s="1"/>
  <c r="N96" i="8"/>
  <c r="AI96" i="8"/>
  <c r="AH97" i="8"/>
  <c r="AH97" i="9"/>
  <c r="AI96" i="9"/>
  <c r="M144" i="3" l="1"/>
  <c r="W144" i="3"/>
  <c r="AJ144" i="3" s="1"/>
  <c r="L144" i="3"/>
  <c r="Q144" i="3" s="1"/>
  <c r="P145" i="3" a="1"/>
  <c r="P145" i="3" s="1"/>
  <c r="K145" i="3"/>
  <c r="O145" i="3"/>
  <c r="I145" i="3"/>
  <c r="AF145" i="3"/>
  <c r="AG145" i="3" s="1"/>
  <c r="H145" i="3"/>
  <c r="F147" i="3"/>
  <c r="G146" i="3"/>
  <c r="R96" i="8"/>
  <c r="S96" i="8"/>
  <c r="AH92" i="3"/>
  <c r="AI92" i="3" s="1"/>
  <c r="T96" i="8"/>
  <c r="Z96" i="8" s="1"/>
  <c r="AR96" i="8" s="1"/>
  <c r="N97" i="8"/>
  <c r="AI97" i="9"/>
  <c r="AH98" i="9"/>
  <c r="AH98" i="8"/>
  <c r="AI97" i="8"/>
  <c r="M145" i="3" l="1"/>
  <c r="L145" i="3"/>
  <c r="Q145" i="3" s="1"/>
  <c r="W145" i="3"/>
  <c r="AJ145" i="3" s="1"/>
  <c r="P146" i="3" a="1"/>
  <c r="P146" i="3" s="1"/>
  <c r="K146" i="3"/>
  <c r="O146" i="3"/>
  <c r="AF146" i="3"/>
  <c r="AG146" i="3" s="1"/>
  <c r="I146" i="3"/>
  <c r="H146" i="3"/>
  <c r="F148" i="3"/>
  <c r="G147" i="3"/>
  <c r="R97" i="8"/>
  <c r="S97" i="8"/>
  <c r="AH93" i="3"/>
  <c r="AI93" i="3" s="1"/>
  <c r="N98" i="8"/>
  <c r="T97" i="8"/>
  <c r="Z97" i="8" s="1"/>
  <c r="AR97" i="8" s="1"/>
  <c r="AH99" i="9"/>
  <c r="AI98" i="9"/>
  <c r="AI98" i="8"/>
  <c r="AH99" i="8"/>
  <c r="P147" i="3" l="1" a="1"/>
  <c r="P147" i="3" s="1"/>
  <c r="K147" i="3"/>
  <c r="O147" i="3"/>
  <c r="I147" i="3"/>
  <c r="AF147" i="3"/>
  <c r="AG147" i="3" s="1"/>
  <c r="H147" i="3"/>
  <c r="M146" i="3"/>
  <c r="W146" i="3"/>
  <c r="AJ146" i="3" s="1"/>
  <c r="L146" i="3"/>
  <c r="Q146" i="3" s="1"/>
  <c r="F149" i="3"/>
  <c r="G148" i="3"/>
  <c r="R98" i="8"/>
  <c r="S98" i="8"/>
  <c r="AH94" i="3"/>
  <c r="AI94" i="3" s="1"/>
  <c r="N99" i="8"/>
  <c r="T98" i="8"/>
  <c r="Z98" i="8" s="1"/>
  <c r="AR98" i="8" s="1"/>
  <c r="AI99" i="9"/>
  <c r="AH100" i="9"/>
  <c r="AI99" i="8"/>
  <c r="AH100" i="8"/>
  <c r="F150" i="3" l="1"/>
  <c r="G149" i="3"/>
  <c r="P148" i="3" a="1"/>
  <c r="P148" i="3" s="1"/>
  <c r="K148" i="3"/>
  <c r="O148" i="3"/>
  <c r="I148" i="3"/>
  <c r="AF148" i="3"/>
  <c r="AG148" i="3" s="1"/>
  <c r="H148" i="3"/>
  <c r="M147" i="3"/>
  <c r="L147" i="3"/>
  <c r="Q147" i="3" s="1"/>
  <c r="W147" i="3"/>
  <c r="AJ147" i="3" s="1"/>
  <c r="R99" i="8"/>
  <c r="S99" i="8"/>
  <c r="AH95" i="3"/>
  <c r="AI95" i="3" s="1"/>
  <c r="T99" i="8"/>
  <c r="Z99" i="8" s="1"/>
  <c r="AR99" i="8" s="1"/>
  <c r="N100" i="8"/>
  <c r="AI100" i="9"/>
  <c r="AH101" i="9"/>
  <c r="AH101" i="8"/>
  <c r="AI100" i="8"/>
  <c r="M148" i="3" l="1"/>
  <c r="W148" i="3"/>
  <c r="AJ148" i="3" s="1"/>
  <c r="L148" i="3"/>
  <c r="Q148" i="3" s="1"/>
  <c r="P149" i="3" a="1"/>
  <c r="P149" i="3" s="1"/>
  <c r="K149" i="3"/>
  <c r="O149" i="3"/>
  <c r="AF149" i="3"/>
  <c r="AG149" i="3" s="1"/>
  <c r="I149" i="3"/>
  <c r="H149" i="3"/>
  <c r="F151" i="3"/>
  <c r="G150" i="3"/>
  <c r="R100" i="8"/>
  <c r="S100" i="8"/>
  <c r="AH96" i="3"/>
  <c r="AI96" i="3" s="1"/>
  <c r="T100" i="8"/>
  <c r="Z100" i="8" s="1"/>
  <c r="AR100" i="8" s="1"/>
  <c r="N101" i="8"/>
  <c r="AH102" i="8"/>
  <c r="AI101" i="8"/>
  <c r="AI101" i="9"/>
  <c r="AH102" i="9"/>
  <c r="M149" i="3" l="1"/>
  <c r="L149" i="3"/>
  <c r="Q149" i="3" s="1"/>
  <c r="W149" i="3"/>
  <c r="AJ149" i="3" s="1"/>
  <c r="P150" i="3" a="1"/>
  <c r="P150" i="3" s="1"/>
  <c r="K150" i="3"/>
  <c r="O150" i="3"/>
  <c r="I150" i="3"/>
  <c r="H150" i="3"/>
  <c r="AF150" i="3"/>
  <c r="AG150" i="3" s="1"/>
  <c r="F152" i="3"/>
  <c r="G151" i="3"/>
  <c r="R101" i="8"/>
  <c r="S101" i="8"/>
  <c r="AH97" i="3"/>
  <c r="AI97" i="3" s="1"/>
  <c r="N102" i="8"/>
  <c r="T101" i="8"/>
  <c r="Z101" i="8" s="1"/>
  <c r="AR101" i="8" s="1"/>
  <c r="AH103" i="8"/>
  <c r="AI102" i="8"/>
  <c r="AI102" i="9"/>
  <c r="AH103" i="9"/>
  <c r="M150" i="3" l="1"/>
  <c r="W150" i="3"/>
  <c r="AJ150" i="3" s="1"/>
  <c r="L150" i="3"/>
  <c r="Q150" i="3" s="1"/>
  <c r="P151" i="3" a="1"/>
  <c r="P151" i="3" s="1"/>
  <c r="K151" i="3"/>
  <c r="O151" i="3"/>
  <c r="I151" i="3"/>
  <c r="H151" i="3"/>
  <c r="AF151" i="3"/>
  <c r="AG151" i="3" s="1"/>
  <c r="F153" i="3"/>
  <c r="G152" i="3"/>
  <c r="R102" i="8"/>
  <c r="S102" i="8"/>
  <c r="AH98" i="3"/>
  <c r="AI98" i="3" s="1"/>
  <c r="T102" i="8"/>
  <c r="Z102" i="8" s="1"/>
  <c r="AR102" i="8" s="1"/>
  <c r="N103" i="8"/>
  <c r="AI103" i="8"/>
  <c r="AH104" i="8"/>
  <c r="AH104" i="9"/>
  <c r="AI103" i="9"/>
  <c r="P152" i="3" l="1" a="1"/>
  <c r="P152" i="3" s="1"/>
  <c r="K152" i="3"/>
  <c r="O152" i="3"/>
  <c r="I152" i="3"/>
  <c r="H152" i="3"/>
  <c r="AF152" i="3"/>
  <c r="AG152" i="3" s="1"/>
  <c r="F154" i="3"/>
  <c r="G153" i="3"/>
  <c r="M151" i="3"/>
  <c r="W151" i="3"/>
  <c r="AJ151" i="3" s="1"/>
  <c r="L151" i="3"/>
  <c r="Q151" i="3" s="1"/>
  <c r="R103" i="8"/>
  <c r="S103" i="8"/>
  <c r="AH99" i="3"/>
  <c r="AI99" i="3" s="1"/>
  <c r="N104" i="8"/>
  <c r="T103" i="8"/>
  <c r="Z103" i="8" s="1"/>
  <c r="AR103" i="8" s="1"/>
  <c r="AH105" i="9"/>
  <c r="AI104" i="9"/>
  <c r="AI104" i="8"/>
  <c r="AH105" i="8"/>
  <c r="P153" i="3" l="1" a="1"/>
  <c r="P153" i="3" s="1"/>
  <c r="O153" i="3"/>
  <c r="K153" i="3"/>
  <c r="I153" i="3"/>
  <c r="AF153" i="3"/>
  <c r="AG153" i="3" s="1"/>
  <c r="H153" i="3"/>
  <c r="F155" i="3"/>
  <c r="G154" i="3"/>
  <c r="M152" i="3"/>
  <c r="L152" i="3"/>
  <c r="Q152" i="3" s="1"/>
  <c r="W152" i="3"/>
  <c r="AJ152" i="3" s="1"/>
  <c r="R104" i="8"/>
  <c r="S104" i="8"/>
  <c r="AH100" i="3"/>
  <c r="AI100" i="3" s="1"/>
  <c r="N105" i="8"/>
  <c r="T104" i="8"/>
  <c r="Z104" i="8" s="1"/>
  <c r="AR104" i="8" s="1"/>
  <c r="AI105" i="8"/>
  <c r="AH106" i="8"/>
  <c r="AI105" i="9"/>
  <c r="AH106" i="9"/>
  <c r="P154" i="3" l="1" a="1"/>
  <c r="P154" i="3" s="1"/>
  <c r="K154" i="3"/>
  <c r="O154" i="3"/>
  <c r="H154" i="3"/>
  <c r="I154" i="3"/>
  <c r="AF154" i="3"/>
  <c r="AG154" i="3" s="1"/>
  <c r="F156" i="3"/>
  <c r="G155" i="3"/>
  <c r="M153" i="3"/>
  <c r="W153" i="3"/>
  <c r="AJ153" i="3" s="1"/>
  <c r="L153" i="3"/>
  <c r="Q153" i="3" s="1"/>
  <c r="R105" i="8"/>
  <c r="S105" i="8"/>
  <c r="AH101" i="3"/>
  <c r="AI101" i="3" s="1"/>
  <c r="N106" i="8"/>
  <c r="T105" i="8"/>
  <c r="Z105" i="8" s="1"/>
  <c r="AH107" i="9"/>
  <c r="AI106" i="9"/>
  <c r="AH107" i="8"/>
  <c r="AI106" i="8"/>
  <c r="P155" i="3" l="1" a="1"/>
  <c r="P155" i="3" s="1"/>
  <c r="O155" i="3"/>
  <c r="K155" i="3"/>
  <c r="I155" i="3"/>
  <c r="AF155" i="3"/>
  <c r="AG155" i="3" s="1"/>
  <c r="H155" i="3"/>
  <c r="F157" i="3"/>
  <c r="G156" i="3"/>
  <c r="M154" i="3"/>
  <c r="L154" i="3"/>
  <c r="Q154" i="3" s="1"/>
  <c r="W154" i="3"/>
  <c r="AJ154" i="3" s="1"/>
  <c r="AR105" i="8"/>
  <c r="R106" i="8"/>
  <c r="S106" i="8"/>
  <c r="AH102" i="3"/>
  <c r="AI102" i="3" s="1"/>
  <c r="N107" i="8"/>
  <c r="T106" i="8"/>
  <c r="Z106" i="8" s="1"/>
  <c r="AH108" i="9"/>
  <c r="AI107" i="9"/>
  <c r="AH108" i="8"/>
  <c r="AI107" i="8"/>
  <c r="P156" i="3" l="1" a="1"/>
  <c r="P156" i="3" s="1"/>
  <c r="K156" i="3"/>
  <c r="O156" i="3"/>
  <c r="I156" i="3"/>
  <c r="AF156" i="3"/>
  <c r="AG156" i="3" s="1"/>
  <c r="H156" i="3"/>
  <c r="F158" i="3"/>
  <c r="G157" i="3"/>
  <c r="M155" i="3"/>
  <c r="W155" i="3"/>
  <c r="AJ155" i="3" s="1"/>
  <c r="L155" i="3"/>
  <c r="Q155" i="3" s="1"/>
  <c r="AR106" i="8"/>
  <c r="R107" i="8"/>
  <c r="S107" i="8"/>
  <c r="AH103" i="3"/>
  <c r="AI103" i="3" s="1"/>
  <c r="N108" i="8"/>
  <c r="T107" i="8"/>
  <c r="Z107" i="8" s="1"/>
  <c r="AI108" i="9"/>
  <c r="AH109" i="9"/>
  <c r="AI108" i="8"/>
  <c r="AH109" i="8"/>
  <c r="P157" i="3" l="1" a="1"/>
  <c r="P157" i="3" s="1"/>
  <c r="K157" i="3"/>
  <c r="O157" i="3"/>
  <c r="I157" i="3"/>
  <c r="AF157" i="3"/>
  <c r="AG157" i="3" s="1"/>
  <c r="H157" i="3"/>
  <c r="F159" i="3"/>
  <c r="G158" i="3"/>
  <c r="M156" i="3"/>
  <c r="L156" i="3"/>
  <c r="Q156" i="3" s="1"/>
  <c r="W156" i="3"/>
  <c r="AJ156" i="3" s="1"/>
  <c r="AR107" i="8"/>
  <c r="R108" i="8"/>
  <c r="S108" i="8"/>
  <c r="AH104" i="3"/>
  <c r="AI104" i="3" s="1"/>
  <c r="N109" i="8"/>
  <c r="T108" i="8"/>
  <c r="Z108" i="8" s="1"/>
  <c r="AH110" i="9"/>
  <c r="AI109" i="9"/>
  <c r="AH110" i="8"/>
  <c r="AI109" i="8"/>
  <c r="P158" i="3" l="1" a="1"/>
  <c r="P158" i="3" s="1"/>
  <c r="O158" i="3"/>
  <c r="K158" i="3"/>
  <c r="AF158" i="3"/>
  <c r="AG158" i="3" s="1"/>
  <c r="I158" i="3"/>
  <c r="H158" i="3"/>
  <c r="F160" i="3"/>
  <c r="G159" i="3"/>
  <c r="M157" i="3"/>
  <c r="L157" i="3"/>
  <c r="Q157" i="3" s="1"/>
  <c r="W157" i="3"/>
  <c r="AJ157" i="3" s="1"/>
  <c r="AR108" i="8"/>
  <c r="R109" i="8"/>
  <c r="S109" i="8"/>
  <c r="AH105" i="3"/>
  <c r="AI105" i="3" s="1"/>
  <c r="T109" i="8"/>
  <c r="Z109" i="8" s="1"/>
  <c r="N110" i="8"/>
  <c r="AH111" i="8"/>
  <c r="AI110" i="8"/>
  <c r="AI110" i="9"/>
  <c r="AH111" i="9"/>
  <c r="P159" i="3" l="1" a="1"/>
  <c r="P159" i="3" s="1"/>
  <c r="O159" i="3"/>
  <c r="K159" i="3"/>
  <c r="I159" i="3"/>
  <c r="H159" i="3"/>
  <c r="AF159" i="3"/>
  <c r="AG159" i="3" s="1"/>
  <c r="F161" i="3"/>
  <c r="G160" i="3"/>
  <c r="M158" i="3"/>
  <c r="W158" i="3"/>
  <c r="AJ158" i="3" s="1"/>
  <c r="L158" i="3"/>
  <c r="Q158" i="3" s="1"/>
  <c r="AR109" i="8"/>
  <c r="R110" i="8"/>
  <c r="S110" i="8"/>
  <c r="AH106" i="3"/>
  <c r="AI106" i="3" s="1"/>
  <c r="N111" i="8"/>
  <c r="T110" i="8"/>
  <c r="Z110" i="8" s="1"/>
  <c r="AH112" i="9"/>
  <c r="AI111" i="9"/>
  <c r="AI111" i="8"/>
  <c r="AH112" i="8"/>
  <c r="P160" i="3" l="1" a="1"/>
  <c r="P160" i="3" s="1"/>
  <c r="K160" i="3"/>
  <c r="O160" i="3"/>
  <c r="I160" i="3"/>
  <c r="AF160" i="3"/>
  <c r="AG160" i="3" s="1"/>
  <c r="H160" i="3"/>
  <c r="F162" i="3"/>
  <c r="G161" i="3"/>
  <c r="M159" i="3"/>
  <c r="L159" i="3"/>
  <c r="Q159" i="3" s="1"/>
  <c r="W159" i="3"/>
  <c r="AJ159" i="3" s="1"/>
  <c r="AR110" i="8"/>
  <c r="R111" i="8"/>
  <c r="S111" i="8"/>
  <c r="AH107" i="3"/>
  <c r="AI107" i="3" s="1"/>
  <c r="N112" i="8"/>
  <c r="T111" i="8"/>
  <c r="Z111" i="8" s="1"/>
  <c r="AH113" i="9"/>
  <c r="AI112" i="9"/>
  <c r="AI112" i="8"/>
  <c r="AH113" i="8"/>
  <c r="P161" i="3" l="1" a="1"/>
  <c r="P161" i="3" s="1"/>
  <c r="K161" i="3"/>
  <c r="O161" i="3"/>
  <c r="I161" i="3"/>
  <c r="AF161" i="3"/>
  <c r="AG161" i="3" s="1"/>
  <c r="H161" i="3"/>
  <c r="F163" i="3"/>
  <c r="G162" i="3"/>
  <c r="C72" i="7" s="1"/>
  <c r="M160" i="3"/>
  <c r="W160" i="3"/>
  <c r="AJ160" i="3" s="1"/>
  <c r="L160" i="3"/>
  <c r="Q160" i="3" s="1"/>
  <c r="AR111" i="8"/>
  <c r="R112" i="8"/>
  <c r="S112" i="8"/>
  <c r="AH108" i="3"/>
  <c r="AI108" i="3" s="1"/>
  <c r="N113" i="8"/>
  <c r="T112" i="8"/>
  <c r="Z112" i="8" s="1"/>
  <c r="AH114" i="8"/>
  <c r="AI113" i="8"/>
  <c r="AH114" i="9"/>
  <c r="AI113" i="9"/>
  <c r="O162" i="3" l="1"/>
  <c r="K162" i="3"/>
  <c r="P162" i="3" a="1"/>
  <c r="P162" i="3" s="1"/>
  <c r="I162" i="3"/>
  <c r="H162" i="3"/>
  <c r="AF162" i="3"/>
  <c r="AG162" i="3" s="1"/>
  <c r="F164" i="3"/>
  <c r="G163" i="3"/>
  <c r="M161" i="3"/>
  <c r="L161" i="3"/>
  <c r="Q161" i="3" s="1"/>
  <c r="W161" i="3"/>
  <c r="AJ161" i="3" s="1"/>
  <c r="AR112" i="8"/>
  <c r="R113" i="8"/>
  <c r="S113" i="8"/>
  <c r="AH109" i="3"/>
  <c r="AI109" i="3" s="1"/>
  <c r="T113" i="8"/>
  <c r="Z113" i="8" s="1"/>
  <c r="N114" i="8"/>
  <c r="AH115" i="8"/>
  <c r="AI114" i="8"/>
  <c r="AI114" i="9"/>
  <c r="AH115" i="9"/>
  <c r="K163" i="3" l="1"/>
  <c r="P163" i="3" a="1"/>
  <c r="P163" i="3" s="1"/>
  <c r="O163" i="3"/>
  <c r="I163" i="3"/>
  <c r="AF163" i="3"/>
  <c r="AG163" i="3" s="1"/>
  <c r="H163" i="3"/>
  <c r="F165" i="3"/>
  <c r="G164" i="3"/>
  <c r="M162" i="3"/>
  <c r="L162" i="3"/>
  <c r="Q162" i="3" s="1"/>
  <c r="W162" i="3"/>
  <c r="AJ162" i="3" s="1"/>
  <c r="AR113" i="8"/>
  <c r="R114" i="8"/>
  <c r="S114" i="8"/>
  <c r="AH110" i="3"/>
  <c r="AI110" i="3" s="1"/>
  <c r="T114" i="8"/>
  <c r="Z114" i="8" s="1"/>
  <c r="N115" i="8"/>
  <c r="AI115" i="8"/>
  <c r="AH116" i="8"/>
  <c r="AH116" i="9"/>
  <c r="AI115" i="9"/>
  <c r="P164" i="3" l="1" a="1"/>
  <c r="P164" i="3" s="1"/>
  <c r="O164" i="3"/>
  <c r="K164" i="3"/>
  <c r="I164" i="3"/>
  <c r="AF164" i="3"/>
  <c r="AG164" i="3" s="1"/>
  <c r="H164" i="3"/>
  <c r="F166" i="3"/>
  <c r="F167" i="3" s="1"/>
  <c r="G167" i="3" s="1"/>
  <c r="G165" i="3"/>
  <c r="M163" i="3"/>
  <c r="W163" i="3"/>
  <c r="AJ163" i="3" s="1"/>
  <c r="L163" i="3"/>
  <c r="Q163" i="3" s="1"/>
  <c r="AR114" i="8"/>
  <c r="R115" i="8"/>
  <c r="S115" i="8"/>
  <c r="AH111" i="3"/>
  <c r="AI111" i="3" s="1"/>
  <c r="T115" i="8"/>
  <c r="Z115" i="8" s="1"/>
  <c r="N116" i="8"/>
  <c r="AI116" i="9"/>
  <c r="AH117" i="9"/>
  <c r="AI116" i="8"/>
  <c r="AH117" i="8"/>
  <c r="K165" i="3" l="1"/>
  <c r="P165" i="3" a="1"/>
  <c r="P165" i="3" s="1"/>
  <c r="O165" i="3"/>
  <c r="I165" i="3"/>
  <c r="H165" i="3"/>
  <c r="AF165" i="3"/>
  <c r="AG165" i="3" s="1"/>
  <c r="G166" i="3"/>
  <c r="H167" i="3" s="1"/>
  <c r="M164" i="3"/>
  <c r="W164" i="3"/>
  <c r="AJ164" i="3" s="1"/>
  <c r="L164" i="3"/>
  <c r="Q164" i="3" s="1"/>
  <c r="AR115" i="8"/>
  <c r="R116" i="8"/>
  <c r="S116" i="8"/>
  <c r="AH112" i="3"/>
  <c r="AI112" i="3" s="1"/>
  <c r="T116" i="8"/>
  <c r="Z116" i="8" s="1"/>
  <c r="N117" i="8"/>
  <c r="AH118" i="9"/>
  <c r="AI117" i="9"/>
  <c r="AI117" i="8"/>
  <c r="D73" i="7" s="1"/>
  <c r="AH118" i="8"/>
  <c r="K166" i="3" l="1"/>
  <c r="P166" i="3" a="1"/>
  <c r="P166" i="3" s="1"/>
  <c r="O166" i="3"/>
  <c r="I166" i="3"/>
  <c r="H166" i="3"/>
  <c r="AF166" i="3"/>
  <c r="AG166" i="3" s="1"/>
  <c r="F168" i="3"/>
  <c r="M165" i="3"/>
  <c r="L165" i="3"/>
  <c r="Q165" i="3" s="1"/>
  <c r="W165" i="3"/>
  <c r="AJ165" i="3" s="1"/>
  <c r="AR116" i="8"/>
  <c r="R117" i="8"/>
  <c r="S117" i="8"/>
  <c r="AH113" i="3"/>
  <c r="AI113" i="3" s="1"/>
  <c r="N118" i="8"/>
  <c r="T117" i="8"/>
  <c r="Z117" i="8" s="1"/>
  <c r="AH119" i="8"/>
  <c r="AI118" i="8"/>
  <c r="AI118" i="9"/>
  <c r="AH119" i="9"/>
  <c r="K167" i="3" l="1"/>
  <c r="P167" i="3" a="1"/>
  <c r="P167" i="3" s="1"/>
  <c r="O167" i="3"/>
  <c r="AF167" i="3"/>
  <c r="AG167" i="3" s="1"/>
  <c r="I167" i="3"/>
  <c r="F169" i="3"/>
  <c r="G168" i="3"/>
  <c r="M166" i="3"/>
  <c r="W166" i="3"/>
  <c r="AJ166" i="3" s="1"/>
  <c r="L166" i="3"/>
  <c r="Q166" i="3" s="1"/>
  <c r="AR117" i="8"/>
  <c r="D75" i="7" s="1"/>
  <c r="AN117" i="8" s="1"/>
  <c r="AW117" i="8" s="1"/>
  <c r="R118" i="8"/>
  <c r="S118" i="8"/>
  <c r="AH114" i="3"/>
  <c r="AI114" i="3" s="1"/>
  <c r="N119" i="8"/>
  <c r="T118" i="8"/>
  <c r="Z118" i="8" s="1"/>
  <c r="AH120" i="9"/>
  <c r="AI119" i="9"/>
  <c r="AH120" i="8"/>
  <c r="AI119" i="8"/>
  <c r="AN3" i="8" l="1"/>
  <c r="AW3" i="8" s="1"/>
  <c r="AN36" i="8"/>
  <c r="AW36" i="8" s="1"/>
  <c r="AN100" i="8"/>
  <c r="AW100" i="8" s="1"/>
  <c r="AN61" i="8"/>
  <c r="AW61" i="8" s="1"/>
  <c r="AN22" i="8"/>
  <c r="AW22" i="8" s="1"/>
  <c r="AN86" i="8"/>
  <c r="AW86" i="8" s="1"/>
  <c r="AN47" i="8"/>
  <c r="AW47" i="8" s="1"/>
  <c r="AN97" i="8"/>
  <c r="AW97" i="8" s="1"/>
  <c r="AN64" i="8"/>
  <c r="AW64" i="8" s="1"/>
  <c r="AN33" i="8"/>
  <c r="AW33" i="8" s="1"/>
  <c r="AN10" i="8"/>
  <c r="AW10" i="8" s="1"/>
  <c r="AN74" i="8"/>
  <c r="AW74" i="8" s="1"/>
  <c r="AN43" i="8"/>
  <c r="AW43" i="8" s="1"/>
  <c r="AN67" i="8"/>
  <c r="AW67" i="8" s="1"/>
  <c r="AN42" i="8"/>
  <c r="AW42" i="8" s="1"/>
  <c r="AN83" i="8"/>
  <c r="AW83" i="8" s="1"/>
  <c r="AN44" i="8"/>
  <c r="AW44" i="8" s="1"/>
  <c r="AN5" i="8"/>
  <c r="AW5" i="8" s="1"/>
  <c r="AN69" i="8"/>
  <c r="AW69" i="8" s="1"/>
  <c r="AN30" i="8"/>
  <c r="AW30" i="8" s="1"/>
  <c r="AN94" i="8"/>
  <c r="AW94" i="8" s="1"/>
  <c r="AN55" i="8"/>
  <c r="AW55" i="8" s="1"/>
  <c r="AN8" i="8"/>
  <c r="AW8" i="8" s="1"/>
  <c r="AN72" i="8"/>
  <c r="AW72" i="8" s="1"/>
  <c r="AN41" i="8"/>
  <c r="AW41" i="8" s="1"/>
  <c r="AN18" i="8"/>
  <c r="AW18" i="8" s="1"/>
  <c r="AN82" i="8"/>
  <c r="AW82" i="8" s="1"/>
  <c r="AN51" i="8"/>
  <c r="AW51" i="8" s="1"/>
  <c r="AN98" i="8"/>
  <c r="AW98" i="8" s="1"/>
  <c r="AN11" i="8"/>
  <c r="AW11" i="8" s="1"/>
  <c r="AN58" i="8"/>
  <c r="AW58" i="8" s="1"/>
  <c r="AN52" i="8"/>
  <c r="AW52" i="8" s="1"/>
  <c r="AN13" i="8"/>
  <c r="AW13" i="8" s="1"/>
  <c r="AN77" i="8"/>
  <c r="AW77" i="8" s="1"/>
  <c r="AN38" i="8"/>
  <c r="AW38" i="8" s="1"/>
  <c r="AN102" i="8"/>
  <c r="AW102" i="8" s="1"/>
  <c r="AN63" i="8"/>
  <c r="AW63" i="8" s="1"/>
  <c r="AN16" i="8"/>
  <c r="AW16" i="8" s="1"/>
  <c r="AN80" i="8"/>
  <c r="AW80" i="8" s="1"/>
  <c r="AN49" i="8"/>
  <c r="AW49" i="8" s="1"/>
  <c r="AN26" i="8"/>
  <c r="AW26" i="8" s="1"/>
  <c r="AN90" i="8"/>
  <c r="AW90" i="8" s="1"/>
  <c r="AN59" i="8"/>
  <c r="AW59" i="8" s="1"/>
  <c r="AN65" i="8"/>
  <c r="AW65" i="8" s="1"/>
  <c r="AN50" i="8"/>
  <c r="AW50" i="8" s="1"/>
  <c r="AN99" i="8"/>
  <c r="AW99" i="8" s="1"/>
  <c r="AN60" i="8"/>
  <c r="AW60" i="8" s="1"/>
  <c r="AN21" i="8"/>
  <c r="AW21" i="8" s="1"/>
  <c r="AN85" i="8"/>
  <c r="AW85" i="8" s="1"/>
  <c r="AN46" i="8"/>
  <c r="AW46" i="8" s="1"/>
  <c r="AN7" i="8"/>
  <c r="AW7" i="8" s="1"/>
  <c r="AN71" i="8"/>
  <c r="AW71" i="8" s="1"/>
  <c r="AN24" i="8"/>
  <c r="AW24" i="8" s="1"/>
  <c r="AN88" i="8"/>
  <c r="AW88" i="8" s="1"/>
  <c r="AN57" i="8"/>
  <c r="AW57" i="8" s="1"/>
  <c r="AN34" i="8"/>
  <c r="AW34" i="8" s="1"/>
  <c r="AN75" i="8"/>
  <c r="AW75" i="8" s="1"/>
  <c r="AN27" i="8"/>
  <c r="AW27" i="8" s="1"/>
  <c r="AN4" i="8"/>
  <c r="AW4" i="8" s="1"/>
  <c r="AN68" i="8"/>
  <c r="AW68" i="8" s="1"/>
  <c r="AN29" i="8"/>
  <c r="AW29" i="8" s="1"/>
  <c r="AN93" i="8"/>
  <c r="AW93" i="8" s="1"/>
  <c r="AN54" i="8"/>
  <c r="AW54" i="8" s="1"/>
  <c r="AN15" i="8"/>
  <c r="AW15" i="8" s="1"/>
  <c r="AN79" i="8"/>
  <c r="AW79" i="8" s="1"/>
  <c r="AN32" i="8"/>
  <c r="AW32" i="8" s="1"/>
  <c r="AN96" i="8"/>
  <c r="AW96" i="8" s="1"/>
  <c r="AN12" i="8"/>
  <c r="AW12" i="8" s="1"/>
  <c r="AN76" i="8"/>
  <c r="AW76" i="8" s="1"/>
  <c r="AN37" i="8"/>
  <c r="AW37" i="8" s="1"/>
  <c r="AN101" i="8"/>
  <c r="AW101" i="8" s="1"/>
  <c r="AN62" i="8"/>
  <c r="AW62" i="8" s="1"/>
  <c r="AN23" i="8"/>
  <c r="AW23" i="8" s="1"/>
  <c r="AN87" i="8"/>
  <c r="AW87" i="8" s="1"/>
  <c r="AN40" i="8"/>
  <c r="AW40" i="8" s="1"/>
  <c r="AN9" i="8"/>
  <c r="AW9" i="8" s="1"/>
  <c r="AN73" i="8"/>
  <c r="AW73" i="8" s="1"/>
  <c r="AN19" i="8"/>
  <c r="AW19" i="8" s="1"/>
  <c r="AN20" i="8"/>
  <c r="AW20" i="8" s="1"/>
  <c r="AN84" i="8"/>
  <c r="AW84" i="8" s="1"/>
  <c r="AN45" i="8"/>
  <c r="AW45" i="8" s="1"/>
  <c r="AN6" i="8"/>
  <c r="AW6" i="8" s="1"/>
  <c r="AN70" i="8"/>
  <c r="AW70" i="8" s="1"/>
  <c r="AN31" i="8"/>
  <c r="AW31" i="8" s="1"/>
  <c r="AN95" i="8"/>
  <c r="AW95" i="8" s="1"/>
  <c r="AN48" i="8"/>
  <c r="AW48" i="8" s="1"/>
  <c r="AN17" i="8"/>
  <c r="AW17" i="8" s="1"/>
  <c r="AN81" i="8"/>
  <c r="AW81" i="8" s="1"/>
  <c r="AN91" i="8"/>
  <c r="AW91" i="8" s="1"/>
  <c r="AN28" i="8"/>
  <c r="AW28" i="8" s="1"/>
  <c r="AN92" i="8"/>
  <c r="AW92" i="8" s="1"/>
  <c r="AN53" i="8"/>
  <c r="AW53" i="8" s="1"/>
  <c r="AN14" i="8"/>
  <c r="AW14" i="8" s="1"/>
  <c r="AN78" i="8"/>
  <c r="AW78" i="8" s="1"/>
  <c r="AN39" i="8"/>
  <c r="AW39" i="8" s="1"/>
  <c r="AN103" i="8"/>
  <c r="AW103" i="8" s="1"/>
  <c r="AN56" i="8"/>
  <c r="AW56" i="8" s="1"/>
  <c r="AN25" i="8"/>
  <c r="AW25" i="8" s="1"/>
  <c r="AN89" i="8"/>
  <c r="AW89" i="8" s="1"/>
  <c r="AN66" i="8"/>
  <c r="AW66" i="8" s="1"/>
  <c r="AN35" i="8"/>
  <c r="AW35" i="8" s="1"/>
  <c r="AN104" i="8"/>
  <c r="AW104" i="8" s="1"/>
  <c r="AN105" i="8"/>
  <c r="AW105" i="8" s="1"/>
  <c r="AN106" i="8"/>
  <c r="AW106" i="8" s="1"/>
  <c r="AN107" i="8"/>
  <c r="AW107" i="8" s="1"/>
  <c r="AN108" i="8"/>
  <c r="AW108" i="8" s="1"/>
  <c r="AN109" i="8"/>
  <c r="AW109" i="8" s="1"/>
  <c r="AN110" i="8"/>
  <c r="AW110" i="8" s="1"/>
  <c r="AN111" i="8"/>
  <c r="AW111" i="8" s="1"/>
  <c r="AN112" i="8"/>
  <c r="AW112" i="8" s="1"/>
  <c r="AN113" i="8"/>
  <c r="AW113" i="8" s="1"/>
  <c r="AN114" i="8"/>
  <c r="AW114" i="8" s="1"/>
  <c r="AN115" i="8"/>
  <c r="AW115" i="8" s="1"/>
  <c r="AN116" i="8"/>
  <c r="AW116" i="8" s="1"/>
  <c r="P168" i="3" a="1"/>
  <c r="P168" i="3" s="1"/>
  <c r="K168" i="3"/>
  <c r="O168" i="3"/>
  <c r="I168" i="3"/>
  <c r="AF168" i="3"/>
  <c r="AG168" i="3" s="1"/>
  <c r="H168" i="3"/>
  <c r="F170" i="3"/>
  <c r="G169" i="3"/>
  <c r="M167" i="3"/>
  <c r="L167" i="3"/>
  <c r="Q167" i="3" s="1"/>
  <c r="W167" i="3"/>
  <c r="AJ167" i="3" s="1"/>
  <c r="AR118" i="8"/>
  <c r="AN118" i="8"/>
  <c r="AW118" i="8" s="1"/>
  <c r="AO117" i="8"/>
  <c r="AP117" i="8"/>
  <c r="R119" i="8"/>
  <c r="S119" i="8"/>
  <c r="AH115" i="3"/>
  <c r="AI115" i="3" s="1"/>
  <c r="T119" i="8"/>
  <c r="Z119" i="8" s="1"/>
  <c r="N120" i="8"/>
  <c r="AI120" i="9"/>
  <c r="AH121" i="9"/>
  <c r="AH121" i="8"/>
  <c r="AI120" i="8"/>
  <c r="AT118" i="8" l="1"/>
  <c r="AT105" i="8"/>
  <c r="AO105" i="8"/>
  <c r="AP105" i="8"/>
  <c r="AO39" i="8"/>
  <c r="AT39" i="8"/>
  <c r="AP39" i="8"/>
  <c r="AT17" i="8"/>
  <c r="AO17" i="8"/>
  <c r="AP17" i="8"/>
  <c r="AT20" i="8"/>
  <c r="AO20" i="8"/>
  <c r="AP20" i="8"/>
  <c r="AO101" i="8"/>
  <c r="AP101" i="8"/>
  <c r="AT101" i="8"/>
  <c r="AO54" i="8"/>
  <c r="AP54" i="8"/>
  <c r="AT54" i="8"/>
  <c r="AO57" i="8"/>
  <c r="AT57" i="8"/>
  <c r="AP57" i="8"/>
  <c r="AT60" i="8"/>
  <c r="AO60" i="8"/>
  <c r="AP60" i="8"/>
  <c r="AT80" i="8"/>
  <c r="AO80" i="8"/>
  <c r="AP80" i="8"/>
  <c r="AO58" i="8"/>
  <c r="AP58" i="8"/>
  <c r="AT58" i="8"/>
  <c r="AO8" i="8"/>
  <c r="AP8" i="8"/>
  <c r="AT8" i="8"/>
  <c r="AT42" i="8"/>
  <c r="AO42" i="8"/>
  <c r="AP42" i="8"/>
  <c r="AT47" i="8"/>
  <c r="AO47" i="8"/>
  <c r="AP47" i="8"/>
  <c r="AO104" i="8"/>
  <c r="AT104" i="8"/>
  <c r="AP104" i="8"/>
  <c r="AT48" i="8"/>
  <c r="AO48" i="8"/>
  <c r="AP48" i="8"/>
  <c r="AT19" i="8"/>
  <c r="AO19" i="8"/>
  <c r="AP19" i="8"/>
  <c r="AO37" i="8"/>
  <c r="AP37" i="8"/>
  <c r="AT37" i="8"/>
  <c r="AO93" i="8"/>
  <c r="AT93" i="8"/>
  <c r="AP93" i="8"/>
  <c r="AO88" i="8"/>
  <c r="AP88" i="8"/>
  <c r="AT88" i="8"/>
  <c r="AO99" i="8"/>
  <c r="AT99" i="8"/>
  <c r="AP99" i="8"/>
  <c r="AT16" i="8"/>
  <c r="AO16" i="8"/>
  <c r="AP16" i="8"/>
  <c r="AT11" i="8"/>
  <c r="AO11" i="8"/>
  <c r="AP11" i="8"/>
  <c r="AO55" i="8"/>
  <c r="AP55" i="8"/>
  <c r="AT55" i="8"/>
  <c r="AT67" i="8"/>
  <c r="AO67" i="8"/>
  <c r="AP67" i="8"/>
  <c r="AO86" i="8"/>
  <c r="AP86" i="8"/>
  <c r="AT86" i="8"/>
  <c r="AO35" i="8"/>
  <c r="AP35" i="8"/>
  <c r="AT35" i="8"/>
  <c r="AT14" i="8"/>
  <c r="AO14" i="8"/>
  <c r="AP14" i="8"/>
  <c r="AO95" i="8"/>
  <c r="AP95" i="8"/>
  <c r="AT95" i="8"/>
  <c r="AO73" i="8"/>
  <c r="AP73" i="8"/>
  <c r="AT73" i="8"/>
  <c r="AO76" i="8"/>
  <c r="AP76" i="8"/>
  <c r="AT76" i="8"/>
  <c r="AT29" i="8"/>
  <c r="AO29" i="8"/>
  <c r="AP29" i="8"/>
  <c r="AO24" i="8"/>
  <c r="AP24" i="8"/>
  <c r="AT24" i="8"/>
  <c r="AO50" i="8"/>
  <c r="AP50" i="8"/>
  <c r="AT50" i="8"/>
  <c r="AT63" i="8"/>
  <c r="AO63" i="8"/>
  <c r="AP63" i="8"/>
  <c r="AO98" i="8"/>
  <c r="AP98" i="8"/>
  <c r="AT98" i="8"/>
  <c r="AT94" i="8"/>
  <c r="AO94" i="8"/>
  <c r="AP94" i="8"/>
  <c r="AO43" i="8"/>
  <c r="AP43" i="8"/>
  <c r="AT43" i="8"/>
  <c r="AT22" i="8"/>
  <c r="AO22" i="8"/>
  <c r="AP22" i="8"/>
  <c r="AO66" i="8"/>
  <c r="AP66" i="8"/>
  <c r="AT66" i="8"/>
  <c r="AO53" i="8"/>
  <c r="AP53" i="8"/>
  <c r="AT53" i="8"/>
  <c r="AT31" i="8"/>
  <c r="AO31" i="8"/>
  <c r="AP31" i="8"/>
  <c r="AO9" i="8"/>
  <c r="AP9" i="8"/>
  <c r="AT9" i="8"/>
  <c r="AO12" i="8"/>
  <c r="AT12" i="8"/>
  <c r="AP12" i="8"/>
  <c r="AO68" i="8"/>
  <c r="AP68" i="8"/>
  <c r="AT68" i="8"/>
  <c r="AT71" i="8"/>
  <c r="AO71" i="8"/>
  <c r="AP71" i="8"/>
  <c r="AT65" i="8"/>
  <c r="AO65" i="8"/>
  <c r="AP65" i="8"/>
  <c r="AO102" i="8"/>
  <c r="AT102" i="8"/>
  <c r="AP102" i="8"/>
  <c r="AO51" i="8"/>
  <c r="AP51" i="8"/>
  <c r="AT51" i="8"/>
  <c r="AT30" i="8"/>
  <c r="AO30" i="8"/>
  <c r="AP30" i="8"/>
  <c r="AT74" i="8"/>
  <c r="AO74" i="8"/>
  <c r="AU74" i="8" s="1"/>
  <c r="AP74" i="8"/>
  <c r="AV74" i="8" s="1"/>
  <c r="AO61" i="8"/>
  <c r="AP61" i="8"/>
  <c r="AV61" i="8" s="1"/>
  <c r="AT61" i="8"/>
  <c r="AT113" i="8"/>
  <c r="AO113" i="8"/>
  <c r="AP113" i="8"/>
  <c r="AT111" i="8"/>
  <c r="AO111" i="8"/>
  <c r="AP111" i="8"/>
  <c r="AT109" i="8"/>
  <c r="AO109" i="8"/>
  <c r="AP109" i="8"/>
  <c r="AO89" i="8"/>
  <c r="AP89" i="8"/>
  <c r="AT89" i="8"/>
  <c r="AT92" i="8"/>
  <c r="AO92" i="8"/>
  <c r="AP92" i="8"/>
  <c r="AT70" i="8"/>
  <c r="AO70" i="8"/>
  <c r="AP70" i="8"/>
  <c r="AO40" i="8"/>
  <c r="AU40" i="8" s="1"/>
  <c r="AP40" i="8"/>
  <c r="AT40" i="8"/>
  <c r="AO96" i="8"/>
  <c r="AT96" i="8"/>
  <c r="AP96" i="8"/>
  <c r="AO4" i="8"/>
  <c r="AP4" i="8"/>
  <c r="AT4" i="8"/>
  <c r="AT7" i="8"/>
  <c r="AO7" i="8"/>
  <c r="AP7" i="8"/>
  <c r="AO59" i="8"/>
  <c r="AP59" i="8"/>
  <c r="AT59" i="8"/>
  <c r="AO38" i="8"/>
  <c r="AT38" i="8"/>
  <c r="AP38" i="8"/>
  <c r="AT82" i="8"/>
  <c r="AO82" i="8"/>
  <c r="AP82" i="8"/>
  <c r="AO69" i="8"/>
  <c r="AP69" i="8"/>
  <c r="AT69" i="8"/>
  <c r="AT10" i="8"/>
  <c r="AO10" i="8"/>
  <c r="AP10" i="8"/>
  <c r="AT100" i="8"/>
  <c r="AO100" i="8"/>
  <c r="AP100" i="8"/>
  <c r="AT112" i="8"/>
  <c r="AP112" i="8"/>
  <c r="AO112" i="8"/>
  <c r="AT110" i="8"/>
  <c r="AO110" i="8"/>
  <c r="AP110" i="8"/>
  <c r="AT116" i="8"/>
  <c r="AO116" i="8"/>
  <c r="AU117" i="8" s="1"/>
  <c r="AP116" i="8"/>
  <c r="AV117" i="8" s="1"/>
  <c r="AT108" i="8"/>
  <c r="AO108" i="8"/>
  <c r="AP108" i="8"/>
  <c r="AT25" i="8"/>
  <c r="AO25" i="8"/>
  <c r="AP25" i="8"/>
  <c r="AO28" i="8"/>
  <c r="AT28" i="8"/>
  <c r="AP28" i="8"/>
  <c r="AT6" i="8"/>
  <c r="AO6" i="8"/>
  <c r="AP6" i="8"/>
  <c r="AO87" i="8"/>
  <c r="AP87" i="8"/>
  <c r="AT87" i="8"/>
  <c r="AO32" i="8"/>
  <c r="AU32" i="8" s="1"/>
  <c r="AT32" i="8"/>
  <c r="AP32" i="8"/>
  <c r="AP27" i="8"/>
  <c r="AT27" i="8"/>
  <c r="AO27" i="8"/>
  <c r="AO46" i="8"/>
  <c r="AP46" i="8"/>
  <c r="AT46" i="8"/>
  <c r="AO90" i="8"/>
  <c r="AU90" i="8" s="1"/>
  <c r="AP90" i="8"/>
  <c r="AV90" i="8" s="1"/>
  <c r="AT90" i="8"/>
  <c r="AO77" i="8"/>
  <c r="AP77" i="8"/>
  <c r="AT77" i="8"/>
  <c r="AO18" i="8"/>
  <c r="AT18" i="8"/>
  <c r="AP18" i="8"/>
  <c r="AT5" i="8"/>
  <c r="AO5" i="8"/>
  <c r="AP5" i="8"/>
  <c r="AO33" i="8"/>
  <c r="AP33" i="8"/>
  <c r="AT33" i="8"/>
  <c r="AT36" i="8"/>
  <c r="AO36" i="8"/>
  <c r="AP36" i="8"/>
  <c r="AT78" i="8"/>
  <c r="AO78" i="8"/>
  <c r="AP78" i="8"/>
  <c r="AT115" i="8"/>
  <c r="AO115" i="8"/>
  <c r="AP115" i="8"/>
  <c r="AP107" i="8"/>
  <c r="AT107" i="8"/>
  <c r="AO107" i="8"/>
  <c r="AT56" i="8"/>
  <c r="AO56" i="8"/>
  <c r="AP56" i="8"/>
  <c r="AO91" i="8"/>
  <c r="AT91" i="8"/>
  <c r="AP91" i="8"/>
  <c r="AT45" i="8"/>
  <c r="AO45" i="8"/>
  <c r="AP45" i="8"/>
  <c r="AO23" i="8"/>
  <c r="AT23" i="8"/>
  <c r="AP23" i="8"/>
  <c r="AO79" i="8"/>
  <c r="AP79" i="8"/>
  <c r="AT79" i="8"/>
  <c r="AT75" i="8"/>
  <c r="AO75" i="8"/>
  <c r="AP75" i="8"/>
  <c r="AT85" i="8"/>
  <c r="AO85" i="8"/>
  <c r="AP85" i="8"/>
  <c r="AT26" i="8"/>
  <c r="AO26" i="8"/>
  <c r="AP26" i="8"/>
  <c r="AT13" i="8"/>
  <c r="AO13" i="8"/>
  <c r="AU13" i="8" s="1"/>
  <c r="AP13" i="8"/>
  <c r="AO41" i="8"/>
  <c r="AP41" i="8"/>
  <c r="AT41" i="8"/>
  <c r="AO44" i="8"/>
  <c r="AP44" i="8"/>
  <c r="AT44" i="8"/>
  <c r="AT64" i="8"/>
  <c r="AO64" i="8"/>
  <c r="AP64" i="8"/>
  <c r="AO3" i="8"/>
  <c r="AP3" i="8"/>
  <c r="AT114" i="8"/>
  <c r="AO114" i="8"/>
  <c r="AP114" i="8"/>
  <c r="AT106" i="8"/>
  <c r="AO106" i="8"/>
  <c r="AP106" i="8"/>
  <c r="AO103" i="8"/>
  <c r="AP103" i="8"/>
  <c r="AT103" i="8"/>
  <c r="AO81" i="8"/>
  <c r="AP81" i="8"/>
  <c r="AT81" i="8"/>
  <c r="AO84" i="8"/>
  <c r="AP84" i="8"/>
  <c r="AT84" i="8"/>
  <c r="AT62" i="8"/>
  <c r="AO62" i="8"/>
  <c r="AP62" i="8"/>
  <c r="AT15" i="8"/>
  <c r="AO15" i="8"/>
  <c r="AP15" i="8"/>
  <c r="AT34" i="8"/>
  <c r="AO34" i="8"/>
  <c r="AP34" i="8"/>
  <c r="AT21" i="8"/>
  <c r="AO21" i="8"/>
  <c r="AP21" i="8"/>
  <c r="AO49" i="8"/>
  <c r="AT49" i="8"/>
  <c r="AP49" i="8"/>
  <c r="AO52" i="8"/>
  <c r="AP52" i="8"/>
  <c r="AT52" i="8"/>
  <c r="AT72" i="8"/>
  <c r="AO72" i="8"/>
  <c r="AP72" i="8"/>
  <c r="AV72" i="8" s="1"/>
  <c r="AT83" i="8"/>
  <c r="AO83" i="8"/>
  <c r="AP83" i="8"/>
  <c r="AO97" i="8"/>
  <c r="AP97" i="8"/>
  <c r="AT97" i="8"/>
  <c r="AT117" i="8"/>
  <c r="P169" i="3" a="1"/>
  <c r="P169" i="3" s="1"/>
  <c r="K169" i="3"/>
  <c r="O169" i="3"/>
  <c r="I169" i="3"/>
  <c r="H169" i="3"/>
  <c r="AF169" i="3"/>
  <c r="AG169" i="3" s="1"/>
  <c r="F171" i="3"/>
  <c r="G170" i="3"/>
  <c r="M168" i="3"/>
  <c r="L168" i="3"/>
  <c r="Q168" i="3" s="1"/>
  <c r="W168" i="3"/>
  <c r="AJ168" i="3" s="1"/>
  <c r="AO118" i="8"/>
  <c r="AU118" i="8" s="1"/>
  <c r="AP118" i="8"/>
  <c r="AV118" i="8" s="1"/>
  <c r="AR119" i="8"/>
  <c r="AN119" i="8"/>
  <c r="AW119" i="8" s="1"/>
  <c r="R120" i="8"/>
  <c r="S120" i="8"/>
  <c r="AH116" i="3"/>
  <c r="AI116" i="3" s="1"/>
  <c r="N121" i="8"/>
  <c r="T120" i="8"/>
  <c r="Z120" i="8" s="1"/>
  <c r="AI121" i="9"/>
  <c r="AH122" i="9"/>
  <c r="AI121" i="8"/>
  <c r="AH122" i="8"/>
  <c r="AU72" i="8" l="1"/>
  <c r="AV21" i="8"/>
  <c r="AU61" i="8"/>
  <c r="AV114" i="8"/>
  <c r="AV58" i="8"/>
  <c r="AU44" i="8"/>
  <c r="AV36" i="8"/>
  <c r="AV49" i="8"/>
  <c r="AU64" i="8"/>
  <c r="AU75" i="8"/>
  <c r="AV25" i="8"/>
  <c r="AV10" i="8"/>
  <c r="AV43" i="8"/>
  <c r="AU36" i="8"/>
  <c r="AV56" i="8"/>
  <c r="AU59" i="8"/>
  <c r="AU49" i="8"/>
  <c r="AT119" i="8"/>
  <c r="AU78" i="8"/>
  <c r="AU21" i="8"/>
  <c r="AU25" i="8"/>
  <c r="AV15" i="8"/>
  <c r="AU106" i="8"/>
  <c r="AU23" i="8"/>
  <c r="AV77" i="8"/>
  <c r="AU87" i="8"/>
  <c r="AU12" i="8"/>
  <c r="AU51" i="8"/>
  <c r="AV23" i="8"/>
  <c r="AU81" i="8"/>
  <c r="AV55" i="8"/>
  <c r="AV18" i="8"/>
  <c r="AU38" i="8"/>
  <c r="AV100" i="8"/>
  <c r="AV103" i="8"/>
  <c r="AV59" i="8"/>
  <c r="AU94" i="8"/>
  <c r="AV78" i="8"/>
  <c r="AU15" i="8"/>
  <c r="AU110" i="8"/>
  <c r="AV97" i="8"/>
  <c r="AV13" i="8"/>
  <c r="AV81" i="8"/>
  <c r="AU56" i="8"/>
  <c r="AU114" i="8"/>
  <c r="AV5" i="8"/>
  <c r="AU43" i="8"/>
  <c r="AV32" i="8"/>
  <c r="AU58" i="8"/>
  <c r="AV106" i="8"/>
  <c r="AV69" i="8"/>
  <c r="AV96" i="8"/>
  <c r="AV44" i="8"/>
  <c r="AV40" i="8"/>
  <c r="AV102" i="8"/>
  <c r="AU97" i="8"/>
  <c r="AV52" i="8"/>
  <c r="AU9" i="8"/>
  <c r="AV94" i="8"/>
  <c r="AU52" i="8"/>
  <c r="AU89" i="8"/>
  <c r="AU83" i="8"/>
  <c r="AU62" i="8"/>
  <c r="AV64" i="8"/>
  <c r="AV41" i="8"/>
  <c r="AV62" i="8"/>
  <c r="AU77" i="8"/>
  <c r="AV26" i="8"/>
  <c r="AV9" i="8"/>
  <c r="AV89" i="8"/>
  <c r="AV30" i="8"/>
  <c r="AV34" i="8"/>
  <c r="AV83" i="8"/>
  <c r="AU18" i="8"/>
  <c r="AV91" i="8"/>
  <c r="AU41" i="8"/>
  <c r="AV75" i="8"/>
  <c r="AV87" i="8"/>
  <c r="AU100" i="8"/>
  <c r="AU33" i="8"/>
  <c r="AV110" i="8"/>
  <c r="AU96" i="8"/>
  <c r="AV51" i="8"/>
  <c r="AU5" i="8"/>
  <c r="AV38" i="8"/>
  <c r="AU69" i="8"/>
  <c r="AV12" i="8"/>
  <c r="AU107" i="8"/>
  <c r="AV33" i="8"/>
  <c r="AU71" i="8"/>
  <c r="AU10" i="8"/>
  <c r="AV66" i="8"/>
  <c r="AU30" i="8"/>
  <c r="AU26" i="8"/>
  <c r="AU34" i="8"/>
  <c r="AU79" i="8"/>
  <c r="AV68" i="8"/>
  <c r="AV70" i="8"/>
  <c r="AV45" i="8"/>
  <c r="AV7" i="8"/>
  <c r="AV71" i="8"/>
  <c r="AU67" i="8"/>
  <c r="AU112" i="8"/>
  <c r="AU55" i="8"/>
  <c r="AU46" i="8"/>
  <c r="AV82" i="8"/>
  <c r="AV92" i="8"/>
  <c r="AV98" i="8"/>
  <c r="AU76" i="8"/>
  <c r="AU14" i="8"/>
  <c r="AV67" i="8"/>
  <c r="AV88" i="8"/>
  <c r="AV19" i="8"/>
  <c r="AU104" i="8"/>
  <c r="AV8" i="8"/>
  <c r="AV60" i="8"/>
  <c r="AU54" i="8"/>
  <c r="AU17" i="8"/>
  <c r="AU27" i="8"/>
  <c r="AU82" i="8"/>
  <c r="AU92" i="8"/>
  <c r="AV111" i="8"/>
  <c r="AV53" i="8"/>
  <c r="AU98" i="8"/>
  <c r="AV24" i="8"/>
  <c r="AV16" i="8"/>
  <c r="AU88" i="8"/>
  <c r="AU19" i="8"/>
  <c r="AV47" i="8"/>
  <c r="AU8" i="8"/>
  <c r="AU60" i="8"/>
  <c r="AU45" i="8"/>
  <c r="AV6" i="8"/>
  <c r="AU7" i="8"/>
  <c r="AU111" i="8"/>
  <c r="AU53" i="8"/>
  <c r="AV63" i="8"/>
  <c r="AU24" i="8"/>
  <c r="AV73" i="8"/>
  <c r="AU16" i="8"/>
  <c r="AV93" i="8"/>
  <c r="AU47" i="8"/>
  <c r="AV101" i="8"/>
  <c r="AV39" i="8"/>
  <c r="AV27" i="8"/>
  <c r="AU6" i="8"/>
  <c r="AV108" i="8"/>
  <c r="AU63" i="8"/>
  <c r="AV29" i="8"/>
  <c r="AU73" i="8"/>
  <c r="AV35" i="8"/>
  <c r="AV48" i="8"/>
  <c r="AV57" i="8"/>
  <c r="AU101" i="8"/>
  <c r="AV79" i="8"/>
  <c r="AV107" i="8"/>
  <c r="AU108" i="8"/>
  <c r="AV113" i="8"/>
  <c r="AU29" i="8"/>
  <c r="AU35" i="8"/>
  <c r="AV99" i="8"/>
  <c r="AU93" i="8"/>
  <c r="AU48" i="8"/>
  <c r="AV42" i="8"/>
  <c r="AV20" i="8"/>
  <c r="AU39" i="8"/>
  <c r="AV84" i="8"/>
  <c r="AV85" i="8"/>
  <c r="AV115" i="8"/>
  <c r="AV28" i="8"/>
  <c r="AV112" i="8"/>
  <c r="AV4" i="8"/>
  <c r="AU113" i="8"/>
  <c r="AU103" i="8"/>
  <c r="AU102" i="8"/>
  <c r="AV31" i="8"/>
  <c r="AU66" i="8"/>
  <c r="AV95" i="8"/>
  <c r="AU42" i="8"/>
  <c r="AV80" i="8"/>
  <c r="AU57" i="8"/>
  <c r="AU20" i="8"/>
  <c r="AV105" i="8"/>
  <c r="AU84" i="8"/>
  <c r="AU85" i="8"/>
  <c r="AU91" i="8"/>
  <c r="AU115" i="8"/>
  <c r="AV116" i="8"/>
  <c r="AU4" i="8"/>
  <c r="AU70" i="8"/>
  <c r="AV109" i="8"/>
  <c r="AV65" i="8"/>
  <c r="AU68" i="8"/>
  <c r="AU31" i="8"/>
  <c r="AV22" i="8"/>
  <c r="AV50" i="8"/>
  <c r="AU95" i="8"/>
  <c r="AV86" i="8"/>
  <c r="AV11" i="8"/>
  <c r="AU99" i="8"/>
  <c r="AV37" i="8"/>
  <c r="AV104" i="8"/>
  <c r="AU80" i="8"/>
  <c r="AU105" i="8"/>
  <c r="AV46" i="8"/>
  <c r="AU28" i="8"/>
  <c r="AU116" i="8"/>
  <c r="AU109" i="8"/>
  <c r="AU65" i="8"/>
  <c r="AU22" i="8"/>
  <c r="AU50" i="8"/>
  <c r="AV76" i="8"/>
  <c r="AV14" i="8"/>
  <c r="AU86" i="8"/>
  <c r="AU11" i="8"/>
  <c r="AU37" i="8"/>
  <c r="AV54" i="8"/>
  <c r="AV17" i="8"/>
  <c r="K170" i="3"/>
  <c r="P170" i="3" a="1"/>
  <c r="P170" i="3" s="1"/>
  <c r="O170" i="3"/>
  <c r="I170" i="3"/>
  <c r="H170" i="3"/>
  <c r="AF170" i="3"/>
  <c r="AG170" i="3" s="1"/>
  <c r="F172" i="3"/>
  <c r="G171" i="3"/>
  <c r="M169" i="3"/>
  <c r="W169" i="3"/>
  <c r="AJ169" i="3" s="1"/>
  <c r="L169" i="3"/>
  <c r="Q169" i="3" s="1"/>
  <c r="AR120" i="8"/>
  <c r="AN120" i="8"/>
  <c r="AW120" i="8" s="1"/>
  <c r="AP119" i="8"/>
  <c r="AV119" i="8" s="1"/>
  <c r="AO119" i="8"/>
  <c r="AU119" i="8" s="1"/>
  <c r="R121" i="8"/>
  <c r="S121" i="8"/>
  <c r="AH117" i="3"/>
  <c r="AI117" i="3" s="1"/>
  <c r="N122" i="8"/>
  <c r="T121" i="8"/>
  <c r="Z121" i="8" s="1"/>
  <c r="AI122" i="9"/>
  <c r="AH123" i="9"/>
  <c r="AI122" i="8"/>
  <c r="AH123" i="8"/>
  <c r="AT120" i="8" l="1"/>
  <c r="K171" i="3"/>
  <c r="P171" i="3" a="1"/>
  <c r="P171" i="3" s="1"/>
  <c r="O171" i="3"/>
  <c r="I171" i="3"/>
  <c r="H171" i="3"/>
  <c r="AF171" i="3"/>
  <c r="AG171" i="3" s="1"/>
  <c r="F173" i="3"/>
  <c r="G172" i="3"/>
  <c r="M170" i="3"/>
  <c r="L170" i="3"/>
  <c r="Q170" i="3" s="1"/>
  <c r="W170" i="3"/>
  <c r="AJ170" i="3" s="1"/>
  <c r="AR121" i="8"/>
  <c r="AN121" i="8"/>
  <c r="AW121" i="8" s="1"/>
  <c r="AO120" i="8"/>
  <c r="AU120" i="8" s="1"/>
  <c r="AP120" i="8"/>
  <c r="AV120" i="8" s="1"/>
  <c r="R122" i="8"/>
  <c r="S122" i="8"/>
  <c r="AH118" i="3"/>
  <c r="AI118" i="3" s="1"/>
  <c r="N123" i="8"/>
  <c r="T122" i="8"/>
  <c r="Z122" i="8" s="1"/>
  <c r="AH124" i="9"/>
  <c r="AI123" i="9"/>
  <c r="AH124" i="8"/>
  <c r="AI123" i="8"/>
  <c r="AT121" i="8" l="1"/>
  <c r="P172" i="3" a="1"/>
  <c r="P172" i="3" s="1"/>
  <c r="O172" i="3"/>
  <c r="K172" i="3"/>
  <c r="I172" i="3"/>
  <c r="H172" i="3"/>
  <c r="AF172" i="3"/>
  <c r="AG172" i="3" s="1"/>
  <c r="F174" i="3"/>
  <c r="G173" i="3"/>
  <c r="M171" i="3"/>
  <c r="W171" i="3"/>
  <c r="AJ171" i="3" s="1"/>
  <c r="L171" i="3"/>
  <c r="Q171" i="3" s="1"/>
  <c r="AR122" i="8"/>
  <c r="AN122" i="8"/>
  <c r="AW122" i="8" s="1"/>
  <c r="AO121" i="8"/>
  <c r="AU121" i="8" s="1"/>
  <c r="AP121" i="8"/>
  <c r="AV121" i="8" s="1"/>
  <c r="R123" i="8"/>
  <c r="S123" i="8"/>
  <c r="AH119" i="3"/>
  <c r="AI119" i="3" s="1"/>
  <c r="N124" i="8"/>
  <c r="T123" i="8"/>
  <c r="Z123" i="8" s="1"/>
  <c r="AH125" i="8"/>
  <c r="AI124" i="8"/>
  <c r="AH125" i="9"/>
  <c r="AI124" i="9"/>
  <c r="AT122" i="8" l="1"/>
  <c r="K173" i="3"/>
  <c r="P173" i="3" a="1"/>
  <c r="P173" i="3" s="1"/>
  <c r="O173" i="3"/>
  <c r="I173" i="3"/>
  <c r="AF173" i="3"/>
  <c r="AG173" i="3" s="1"/>
  <c r="H173" i="3"/>
  <c r="F175" i="3"/>
  <c r="G174" i="3"/>
  <c r="M172" i="3"/>
  <c r="W172" i="3"/>
  <c r="AJ172" i="3" s="1"/>
  <c r="L172" i="3"/>
  <c r="Q172" i="3" s="1"/>
  <c r="AR123" i="8"/>
  <c r="AN123" i="8"/>
  <c r="AW123" i="8" s="1"/>
  <c r="AO122" i="8"/>
  <c r="AP122" i="8"/>
  <c r="AV122" i="8" s="1"/>
  <c r="R124" i="8"/>
  <c r="S124" i="8"/>
  <c r="AH120" i="3"/>
  <c r="AI120" i="3" s="1"/>
  <c r="T124" i="8"/>
  <c r="Z124" i="8" s="1"/>
  <c r="N125" i="8"/>
  <c r="AH126" i="9"/>
  <c r="AI125" i="9"/>
  <c r="AI125" i="8"/>
  <c r="AH126" i="8"/>
  <c r="AU122" i="8" l="1"/>
  <c r="AT123" i="8"/>
  <c r="K174" i="3"/>
  <c r="O174" i="3"/>
  <c r="P174" i="3" a="1"/>
  <c r="P174" i="3" s="1"/>
  <c r="I174" i="3"/>
  <c r="H174" i="3"/>
  <c r="AF174" i="3"/>
  <c r="AG174" i="3" s="1"/>
  <c r="F176" i="3"/>
  <c r="G175" i="3"/>
  <c r="M173" i="3"/>
  <c r="L173" i="3"/>
  <c r="Q173" i="3" s="1"/>
  <c r="W173" i="3"/>
  <c r="AJ173" i="3" s="1"/>
  <c r="AO123" i="8"/>
  <c r="AU123" i="8" s="1"/>
  <c r="AP123" i="8"/>
  <c r="AR124" i="8"/>
  <c r="AN124" i="8"/>
  <c r="AW124" i="8" s="1"/>
  <c r="R125" i="8"/>
  <c r="S125" i="8"/>
  <c r="AH121" i="3"/>
  <c r="AI121" i="3" s="1"/>
  <c r="N126" i="8"/>
  <c r="T125" i="8"/>
  <c r="Z125" i="8" s="1"/>
  <c r="AI126" i="8"/>
  <c r="AH127" i="8"/>
  <c r="AI126" i="9"/>
  <c r="AH127" i="9"/>
  <c r="AV123" i="8" l="1"/>
  <c r="AT124" i="8"/>
  <c r="O175" i="3"/>
  <c r="K175" i="3"/>
  <c r="P175" i="3" a="1"/>
  <c r="P175" i="3" s="1"/>
  <c r="I175" i="3"/>
  <c r="AF175" i="3"/>
  <c r="AG175" i="3" s="1"/>
  <c r="H175" i="3"/>
  <c r="F177" i="3"/>
  <c r="G176" i="3"/>
  <c r="M174" i="3"/>
  <c r="L174" i="3"/>
  <c r="Q174" i="3" s="1"/>
  <c r="W174" i="3"/>
  <c r="AJ174" i="3" s="1"/>
  <c r="AR125" i="8"/>
  <c r="AN125" i="8"/>
  <c r="AW125" i="8" s="1"/>
  <c r="AO124" i="8"/>
  <c r="AP124" i="8"/>
  <c r="AV124" i="8" s="1"/>
  <c r="R126" i="8"/>
  <c r="S126" i="8"/>
  <c r="AH122" i="3"/>
  <c r="AI122" i="3" s="1"/>
  <c r="T126" i="8"/>
  <c r="Z126" i="8" s="1"/>
  <c r="N127" i="8"/>
  <c r="AI127" i="8"/>
  <c r="AH128" i="8"/>
  <c r="AH128" i="9"/>
  <c r="AI127" i="9"/>
  <c r="AU124" i="8" l="1"/>
  <c r="AT125" i="8"/>
  <c r="K176" i="3"/>
  <c r="P176" i="3" a="1"/>
  <c r="P176" i="3" s="1"/>
  <c r="O176" i="3"/>
  <c r="I176" i="3"/>
  <c r="H176" i="3"/>
  <c r="AF176" i="3"/>
  <c r="AG176" i="3" s="1"/>
  <c r="M175" i="3"/>
  <c r="L175" i="3"/>
  <c r="Q175" i="3" s="1"/>
  <c r="W175" i="3"/>
  <c r="AJ175" i="3" s="1"/>
  <c r="F178" i="3"/>
  <c r="G177" i="3"/>
  <c r="AR126" i="8"/>
  <c r="AN126" i="8"/>
  <c r="AW126" i="8" s="1"/>
  <c r="AP125" i="8"/>
  <c r="AV125" i="8" s="1"/>
  <c r="AO125" i="8"/>
  <c r="AU125" i="8" s="1"/>
  <c r="R127" i="8"/>
  <c r="S127" i="8"/>
  <c r="AH123" i="3"/>
  <c r="AI123" i="3" s="1"/>
  <c r="N128" i="8"/>
  <c r="T127" i="8"/>
  <c r="Z127" i="8" s="1"/>
  <c r="AH129" i="8"/>
  <c r="AI128" i="8"/>
  <c r="AH129" i="9"/>
  <c r="AI128" i="9"/>
  <c r="AT126" i="8" l="1"/>
  <c r="F179" i="3"/>
  <c r="G178" i="3"/>
  <c r="K177" i="3"/>
  <c r="P177" i="3" a="1"/>
  <c r="P177" i="3" s="1"/>
  <c r="O177" i="3"/>
  <c r="I177" i="3"/>
  <c r="H177" i="3"/>
  <c r="AF177" i="3"/>
  <c r="AG177" i="3" s="1"/>
  <c r="M176" i="3"/>
  <c r="W176" i="3"/>
  <c r="AJ176" i="3" s="1"/>
  <c r="L176" i="3"/>
  <c r="Q176" i="3" s="1"/>
  <c r="AR127" i="8"/>
  <c r="AN127" i="8"/>
  <c r="AW127" i="8" s="1"/>
  <c r="AP126" i="8"/>
  <c r="AV126" i="8" s="1"/>
  <c r="AO126" i="8"/>
  <c r="AU126" i="8" s="1"/>
  <c r="R128" i="8"/>
  <c r="S128" i="8"/>
  <c r="AH124" i="3"/>
  <c r="AI124" i="3" s="1"/>
  <c r="N129" i="8"/>
  <c r="T128" i="8"/>
  <c r="Z128" i="8" s="1"/>
  <c r="AI129" i="9"/>
  <c r="AH130" i="9"/>
  <c r="AI129" i="8"/>
  <c r="AH130" i="8"/>
  <c r="AT127" i="8" l="1"/>
  <c r="M177" i="3"/>
  <c r="W177" i="3"/>
  <c r="AJ177" i="3" s="1"/>
  <c r="L177" i="3"/>
  <c r="Q177" i="3" s="1"/>
  <c r="P178" i="3" a="1"/>
  <c r="P178" i="3" s="1"/>
  <c r="O178" i="3"/>
  <c r="K178" i="3"/>
  <c r="I178" i="3"/>
  <c r="H178" i="3"/>
  <c r="AF178" i="3"/>
  <c r="AG178" i="3" s="1"/>
  <c r="F180" i="3"/>
  <c r="G179" i="3"/>
  <c r="AR128" i="8"/>
  <c r="AN128" i="8"/>
  <c r="AW128" i="8" s="1"/>
  <c r="AP127" i="8"/>
  <c r="AV127" i="8" s="1"/>
  <c r="AO127" i="8"/>
  <c r="AU127" i="8" s="1"/>
  <c r="R129" i="8"/>
  <c r="S129" i="8"/>
  <c r="AH125" i="3"/>
  <c r="AI125" i="3" s="1"/>
  <c r="T129" i="8"/>
  <c r="Z129" i="8" s="1"/>
  <c r="N130" i="8"/>
  <c r="AI130" i="8"/>
  <c r="AH131" i="8"/>
  <c r="AI130" i="9"/>
  <c r="AH131" i="9"/>
  <c r="AT128" i="8" l="1"/>
  <c r="F181" i="3"/>
  <c r="G180" i="3"/>
  <c r="O179" i="3"/>
  <c r="K179" i="3"/>
  <c r="P179" i="3" a="1"/>
  <c r="P179" i="3" s="1"/>
  <c r="I179" i="3"/>
  <c r="AF179" i="3"/>
  <c r="AG179" i="3" s="1"/>
  <c r="H179" i="3"/>
  <c r="M178" i="3"/>
  <c r="L178" i="3"/>
  <c r="Q178" i="3" s="1"/>
  <c r="W178" i="3"/>
  <c r="AJ178" i="3" s="1"/>
  <c r="AR129" i="8"/>
  <c r="AN129" i="8"/>
  <c r="AW129" i="8" s="1"/>
  <c r="AO128" i="8"/>
  <c r="AU128" i="8" s="1"/>
  <c r="AP128" i="8"/>
  <c r="AV128" i="8" s="1"/>
  <c r="R130" i="8"/>
  <c r="S130" i="8"/>
  <c r="AH126" i="3"/>
  <c r="AI126" i="3" s="1"/>
  <c r="N131" i="8"/>
  <c r="T130" i="8"/>
  <c r="Z130" i="8" s="1"/>
  <c r="AH132" i="9"/>
  <c r="AI131" i="9"/>
  <c r="AH132" i="8"/>
  <c r="AI131" i="8"/>
  <c r="AT129" i="8" l="1"/>
  <c r="M179" i="3"/>
  <c r="W179" i="3"/>
  <c r="AJ179" i="3" s="1"/>
  <c r="L179" i="3"/>
  <c r="Q179" i="3" s="1"/>
  <c r="K180" i="3"/>
  <c r="P180" i="3" a="1"/>
  <c r="P180" i="3" s="1"/>
  <c r="O180" i="3"/>
  <c r="I180" i="3"/>
  <c r="H180" i="3"/>
  <c r="AF180" i="3"/>
  <c r="AG180" i="3" s="1"/>
  <c r="F182" i="3"/>
  <c r="G181" i="3"/>
  <c r="AR130" i="8"/>
  <c r="AN130" i="8"/>
  <c r="AW130" i="8" s="1"/>
  <c r="AO129" i="8"/>
  <c r="AU129" i="8" s="1"/>
  <c r="AP129" i="8"/>
  <c r="AV129" i="8" s="1"/>
  <c r="R131" i="8"/>
  <c r="S131" i="8"/>
  <c r="AH127" i="3"/>
  <c r="AI127" i="3" s="1"/>
  <c r="N132" i="8"/>
  <c r="T131" i="8"/>
  <c r="Z131" i="8" s="1"/>
  <c r="AH133" i="8"/>
  <c r="AI132" i="8"/>
  <c r="AH133" i="9"/>
  <c r="AI132" i="9"/>
  <c r="AT130" i="8" l="1"/>
  <c r="O181" i="3"/>
  <c r="K181" i="3"/>
  <c r="P181" i="3" a="1"/>
  <c r="P181" i="3" s="1"/>
  <c r="I181" i="3"/>
  <c r="H181" i="3"/>
  <c r="AF181" i="3"/>
  <c r="AG181" i="3" s="1"/>
  <c r="M180" i="3"/>
  <c r="L180" i="3"/>
  <c r="Q180" i="3" s="1"/>
  <c r="W180" i="3"/>
  <c r="AJ180" i="3" s="1"/>
  <c r="F183" i="3"/>
  <c r="G182" i="3"/>
  <c r="AR131" i="8"/>
  <c r="AN131" i="8"/>
  <c r="AW131" i="8" s="1"/>
  <c r="AO130" i="8"/>
  <c r="AU130" i="8" s="1"/>
  <c r="AP130" i="8"/>
  <c r="AV130" i="8" s="1"/>
  <c r="R132" i="8"/>
  <c r="S132" i="8"/>
  <c r="AH128" i="3"/>
  <c r="AI128" i="3" s="1"/>
  <c r="N133" i="8"/>
  <c r="T132" i="8"/>
  <c r="Z132" i="8" s="1"/>
  <c r="AI133" i="9"/>
  <c r="E73" i="7" s="1"/>
  <c r="AH134" i="9"/>
  <c r="AH134" i="8"/>
  <c r="AI133" i="8"/>
  <c r="AT131" i="8" l="1"/>
  <c r="F184" i="3"/>
  <c r="G183" i="3"/>
  <c r="O182" i="3"/>
  <c r="K182" i="3"/>
  <c r="P182" i="3" a="1"/>
  <c r="P182" i="3" s="1"/>
  <c r="I182" i="3"/>
  <c r="AF182" i="3"/>
  <c r="AG182" i="3" s="1"/>
  <c r="H182" i="3"/>
  <c r="M181" i="3"/>
  <c r="W181" i="3"/>
  <c r="AJ181" i="3" s="1"/>
  <c r="L181" i="3"/>
  <c r="Q181" i="3" s="1"/>
  <c r="AR132" i="8"/>
  <c r="AN132" i="8"/>
  <c r="AW132" i="8" s="1"/>
  <c r="AP131" i="8"/>
  <c r="AV131" i="8" s="1"/>
  <c r="AO131" i="8"/>
  <c r="AU131" i="8" s="1"/>
  <c r="R133" i="8"/>
  <c r="S133" i="8"/>
  <c r="AH129" i="3"/>
  <c r="AI129" i="3" s="1"/>
  <c r="N134" i="8"/>
  <c r="T133" i="8"/>
  <c r="Z133" i="8" s="1"/>
  <c r="AH135" i="9"/>
  <c r="AI134" i="9"/>
  <c r="AH135" i="8"/>
  <c r="AI134" i="8"/>
  <c r="AT132" i="8" l="1"/>
  <c r="M182" i="3"/>
  <c r="L182" i="3"/>
  <c r="Q182" i="3" s="1"/>
  <c r="W182" i="3"/>
  <c r="AJ182" i="3" s="1"/>
  <c r="K183" i="3"/>
  <c r="P183" i="3" a="1"/>
  <c r="P183" i="3" s="1"/>
  <c r="O183" i="3"/>
  <c r="I183" i="3"/>
  <c r="AF183" i="3"/>
  <c r="AG183" i="3" s="1"/>
  <c r="H183" i="3"/>
  <c r="F185" i="3"/>
  <c r="G184" i="3"/>
  <c r="AR133" i="8"/>
  <c r="AN133" i="8"/>
  <c r="AW133" i="8" s="1"/>
  <c r="AO132" i="8"/>
  <c r="AU132" i="8" s="1"/>
  <c r="AP132" i="8"/>
  <c r="AV132" i="8" s="1"/>
  <c r="R134" i="8"/>
  <c r="S134" i="8"/>
  <c r="AH130" i="3"/>
  <c r="AI130" i="3" s="1"/>
  <c r="N135" i="8"/>
  <c r="T134" i="8"/>
  <c r="Z134" i="8" s="1"/>
  <c r="AH136" i="9"/>
  <c r="AI135" i="9"/>
  <c r="AI135" i="8"/>
  <c r="AH136" i="8"/>
  <c r="AT133" i="8" l="1"/>
  <c r="P184" i="3" a="1"/>
  <c r="P184" i="3" s="1"/>
  <c r="K184" i="3"/>
  <c r="O184" i="3"/>
  <c r="I184" i="3"/>
  <c r="H184" i="3"/>
  <c r="AF184" i="3"/>
  <c r="AG184" i="3" s="1"/>
  <c r="M183" i="3"/>
  <c r="L183" i="3"/>
  <c r="Q183" i="3" s="1"/>
  <c r="W183" i="3"/>
  <c r="AJ183" i="3" s="1"/>
  <c r="F186" i="3"/>
  <c r="G185" i="3"/>
  <c r="AR134" i="8"/>
  <c r="AN134" i="8"/>
  <c r="AW134" i="8" s="1"/>
  <c r="AO133" i="8"/>
  <c r="AU133" i="8" s="1"/>
  <c r="AP133" i="8"/>
  <c r="AV133" i="8" s="1"/>
  <c r="R135" i="8"/>
  <c r="S135" i="8"/>
  <c r="AH131" i="3"/>
  <c r="AI131" i="3" s="1"/>
  <c r="T135" i="8"/>
  <c r="Z135" i="8" s="1"/>
  <c r="N136" i="8"/>
  <c r="AI136" i="8"/>
  <c r="AH137" i="8"/>
  <c r="AH137" i="9"/>
  <c r="AI136" i="9"/>
  <c r="AT134" i="8" l="1"/>
  <c r="K185" i="3"/>
  <c r="P185" i="3" a="1"/>
  <c r="P185" i="3" s="1"/>
  <c r="O185" i="3"/>
  <c r="I185" i="3"/>
  <c r="AF185" i="3"/>
  <c r="AG185" i="3" s="1"/>
  <c r="H185" i="3"/>
  <c r="F187" i="3"/>
  <c r="G186" i="3"/>
  <c r="M184" i="3"/>
  <c r="W184" i="3"/>
  <c r="AJ184" i="3" s="1"/>
  <c r="L184" i="3"/>
  <c r="Q184" i="3" s="1"/>
  <c r="AP134" i="8"/>
  <c r="AV134" i="8" s="1"/>
  <c r="AO134" i="8"/>
  <c r="AU134" i="8" s="1"/>
  <c r="AR135" i="8"/>
  <c r="AN135" i="8"/>
  <c r="AW135" i="8" s="1"/>
  <c r="R136" i="8"/>
  <c r="S136" i="8"/>
  <c r="AH132" i="3"/>
  <c r="AI132" i="3" s="1"/>
  <c r="T136" i="8"/>
  <c r="Z136" i="8" s="1"/>
  <c r="N137" i="8"/>
  <c r="AI137" i="8"/>
  <c r="AH138" i="8"/>
  <c r="AI137" i="9"/>
  <c r="AH138" i="9"/>
  <c r="AT135" i="8" l="1"/>
  <c r="P186" i="3" a="1"/>
  <c r="P186" i="3" s="1"/>
  <c r="O186" i="3"/>
  <c r="K186" i="3"/>
  <c r="I186" i="3"/>
  <c r="H186" i="3"/>
  <c r="AF186" i="3"/>
  <c r="AG186" i="3" s="1"/>
  <c r="F188" i="3"/>
  <c r="G187" i="3"/>
  <c r="M185" i="3"/>
  <c r="L185" i="3"/>
  <c r="Q185" i="3" s="1"/>
  <c r="W185" i="3"/>
  <c r="AJ185" i="3" s="1"/>
  <c r="AO135" i="8"/>
  <c r="AU135" i="8" s="1"/>
  <c r="AP135" i="8"/>
  <c r="AV135" i="8" s="1"/>
  <c r="AR136" i="8"/>
  <c r="AN136" i="8"/>
  <c r="AW136" i="8" s="1"/>
  <c r="R137" i="8"/>
  <c r="S137" i="8"/>
  <c r="AH133" i="3"/>
  <c r="AI133" i="3" s="1"/>
  <c r="T137" i="8"/>
  <c r="Z137" i="8" s="1"/>
  <c r="N138" i="8"/>
  <c r="AI138" i="9"/>
  <c r="AH139" i="9"/>
  <c r="AH139" i="8"/>
  <c r="AI138" i="8"/>
  <c r="AT136" i="8" l="1"/>
  <c r="K187" i="3"/>
  <c r="P187" i="3" a="1"/>
  <c r="P187" i="3" s="1"/>
  <c r="O187" i="3"/>
  <c r="I187" i="3"/>
  <c r="AF187" i="3"/>
  <c r="AG187" i="3" s="1"/>
  <c r="H187" i="3"/>
  <c r="F189" i="3"/>
  <c r="G188" i="3"/>
  <c r="M186" i="3"/>
  <c r="L186" i="3"/>
  <c r="Q186" i="3" s="1"/>
  <c r="W186" i="3"/>
  <c r="AJ186" i="3" s="1"/>
  <c r="AP136" i="8"/>
  <c r="AV136" i="8" s="1"/>
  <c r="AO136" i="8"/>
  <c r="AU136" i="8" s="1"/>
  <c r="AR137" i="8"/>
  <c r="AN137" i="8"/>
  <c r="AW137" i="8" s="1"/>
  <c r="R138" i="8"/>
  <c r="S138" i="8"/>
  <c r="AH134" i="3"/>
  <c r="AI134" i="3" s="1"/>
  <c r="T138" i="8"/>
  <c r="Z138" i="8" s="1"/>
  <c r="N139" i="8"/>
  <c r="AH140" i="9"/>
  <c r="AI139" i="9"/>
  <c r="AH140" i="8"/>
  <c r="AI139" i="8"/>
  <c r="AT137" i="8" l="1"/>
  <c r="P188" i="3" a="1"/>
  <c r="P188" i="3" s="1"/>
  <c r="K188" i="3"/>
  <c r="O188" i="3"/>
  <c r="I188" i="3"/>
  <c r="AF188" i="3"/>
  <c r="AG188" i="3" s="1"/>
  <c r="H188" i="3"/>
  <c r="F190" i="3"/>
  <c r="G189" i="3"/>
  <c r="M187" i="3"/>
  <c r="W187" i="3"/>
  <c r="AJ187" i="3" s="1"/>
  <c r="L187" i="3"/>
  <c r="Q187" i="3" s="1"/>
  <c r="AO137" i="8"/>
  <c r="AU137" i="8" s="1"/>
  <c r="AP137" i="8"/>
  <c r="AV137" i="8" s="1"/>
  <c r="AR138" i="8"/>
  <c r="AN138" i="8"/>
  <c r="AW138" i="8" s="1"/>
  <c r="R139" i="8"/>
  <c r="S139" i="8"/>
  <c r="AH135" i="3"/>
  <c r="AI135" i="3" s="1"/>
  <c r="N140" i="8"/>
  <c r="T139" i="8"/>
  <c r="Z139" i="8" s="1"/>
  <c r="AI140" i="8"/>
  <c r="AH141" i="8"/>
  <c r="AH141" i="9"/>
  <c r="AI140" i="9"/>
  <c r="AT138" i="8" l="1"/>
  <c r="K189" i="3"/>
  <c r="P189" i="3" a="1"/>
  <c r="P189" i="3" s="1"/>
  <c r="O189" i="3"/>
  <c r="I189" i="3"/>
  <c r="AF189" i="3"/>
  <c r="AG189" i="3" s="1"/>
  <c r="H189" i="3"/>
  <c r="F191" i="3"/>
  <c r="G190" i="3"/>
  <c r="M188" i="3"/>
  <c r="W188" i="3"/>
  <c r="AJ188" i="3" s="1"/>
  <c r="L188" i="3"/>
  <c r="Q188" i="3" s="1"/>
  <c r="AO138" i="8"/>
  <c r="AU138" i="8" s="1"/>
  <c r="AP138" i="8"/>
  <c r="AV138" i="8" s="1"/>
  <c r="AR139" i="8"/>
  <c r="AN139" i="8"/>
  <c r="AW139" i="8" s="1"/>
  <c r="R140" i="8"/>
  <c r="S140" i="8"/>
  <c r="AH136" i="3"/>
  <c r="AI136" i="3" s="1"/>
  <c r="N141" i="8"/>
  <c r="T140" i="8"/>
  <c r="Z140" i="8" s="1"/>
  <c r="AH142" i="8"/>
  <c r="AI141" i="8"/>
  <c r="AH142" i="9"/>
  <c r="AI141" i="9"/>
  <c r="AT139" i="8" l="1"/>
  <c r="P190" i="3" a="1"/>
  <c r="P190" i="3" s="1"/>
  <c r="O190" i="3"/>
  <c r="K190" i="3"/>
  <c r="I190" i="3"/>
  <c r="AF190" i="3"/>
  <c r="AG190" i="3" s="1"/>
  <c r="H190" i="3"/>
  <c r="F192" i="3"/>
  <c r="G191" i="3"/>
  <c r="M189" i="3"/>
  <c r="L189" i="3"/>
  <c r="Q189" i="3" s="1"/>
  <c r="W189" i="3"/>
  <c r="AJ189" i="3" s="1"/>
  <c r="AR140" i="8"/>
  <c r="AN140" i="8"/>
  <c r="AW140" i="8" s="1"/>
  <c r="AO139" i="8"/>
  <c r="AU139" i="8" s="1"/>
  <c r="AP139" i="8"/>
  <c r="AV139" i="8" s="1"/>
  <c r="R141" i="8"/>
  <c r="S141" i="8"/>
  <c r="AH137" i="3"/>
  <c r="AI137" i="3" s="1"/>
  <c r="N142" i="8"/>
  <c r="T141" i="8"/>
  <c r="Z141" i="8" s="1"/>
  <c r="AH143" i="9"/>
  <c r="AI142" i="9"/>
  <c r="AI142" i="8"/>
  <c r="AH143" i="8"/>
  <c r="AT140" i="8" l="1"/>
  <c r="K191" i="3"/>
  <c r="P191" i="3" a="1"/>
  <c r="P191" i="3" s="1"/>
  <c r="O191" i="3"/>
  <c r="I191" i="3"/>
  <c r="AF191" i="3"/>
  <c r="AG191" i="3" s="1"/>
  <c r="H191" i="3"/>
  <c r="F193" i="3"/>
  <c r="G192" i="3"/>
  <c r="M190" i="3"/>
  <c r="W190" i="3"/>
  <c r="AJ190" i="3" s="1"/>
  <c r="L190" i="3"/>
  <c r="Q190" i="3" s="1"/>
  <c r="AR141" i="8"/>
  <c r="AN141" i="8"/>
  <c r="AW141" i="8" s="1"/>
  <c r="AO140" i="8"/>
  <c r="AU140" i="8" s="1"/>
  <c r="AP140" i="8"/>
  <c r="AV140" i="8" s="1"/>
  <c r="R142" i="8"/>
  <c r="S142" i="8"/>
  <c r="AH138" i="3"/>
  <c r="AI138" i="3" s="1"/>
  <c r="T142" i="8"/>
  <c r="Z142" i="8" s="1"/>
  <c r="N143" i="8"/>
  <c r="AI143" i="8"/>
  <c r="AH144" i="8"/>
  <c r="AH144" i="9"/>
  <c r="AI143" i="9"/>
  <c r="AT141" i="8" l="1"/>
  <c r="K192" i="3"/>
  <c r="O192" i="3"/>
  <c r="P192" i="3" a="1"/>
  <c r="P192" i="3" s="1"/>
  <c r="I192" i="3"/>
  <c r="AF192" i="3"/>
  <c r="AG192" i="3" s="1"/>
  <c r="H192" i="3"/>
  <c r="F194" i="3"/>
  <c r="G193" i="3"/>
  <c r="M191" i="3"/>
  <c r="L191" i="3"/>
  <c r="Q191" i="3" s="1"/>
  <c r="W191" i="3"/>
  <c r="AJ191" i="3" s="1"/>
  <c r="AR142" i="8"/>
  <c r="AN142" i="8"/>
  <c r="AW142" i="8" s="1"/>
  <c r="AP141" i="8"/>
  <c r="AV141" i="8" s="1"/>
  <c r="AO141" i="8"/>
  <c r="AU141" i="8" s="1"/>
  <c r="R143" i="8"/>
  <c r="S143" i="8"/>
  <c r="AH139" i="3"/>
  <c r="AI139" i="3" s="1"/>
  <c r="N144" i="8"/>
  <c r="T143" i="8"/>
  <c r="Z143" i="8" s="1"/>
  <c r="AI144" i="8"/>
  <c r="AH145" i="8"/>
  <c r="AI144" i="9"/>
  <c r="AH145" i="9"/>
  <c r="AT142" i="8" l="1"/>
  <c r="O193" i="3"/>
  <c r="K193" i="3"/>
  <c r="P193" i="3" a="1"/>
  <c r="P193" i="3" s="1"/>
  <c r="I193" i="3"/>
  <c r="AF193" i="3"/>
  <c r="AG193" i="3" s="1"/>
  <c r="H193" i="3"/>
  <c r="F195" i="3"/>
  <c r="G194" i="3"/>
  <c r="M192" i="3"/>
  <c r="L192" i="3"/>
  <c r="Q192" i="3" s="1"/>
  <c r="W192" i="3"/>
  <c r="AJ192" i="3" s="1"/>
  <c r="AR143" i="8"/>
  <c r="AN143" i="8"/>
  <c r="AW143" i="8" s="1"/>
  <c r="AO142" i="8"/>
  <c r="AU142" i="8" s="1"/>
  <c r="AP142" i="8"/>
  <c r="AV142" i="8" s="1"/>
  <c r="R144" i="8"/>
  <c r="S144" i="8"/>
  <c r="AH140" i="3"/>
  <c r="AI140" i="3" s="1"/>
  <c r="N145" i="8"/>
  <c r="T144" i="8"/>
  <c r="Z144" i="8" s="1"/>
  <c r="AH146" i="8"/>
  <c r="AI145" i="8"/>
  <c r="AI145" i="9"/>
  <c r="AH146" i="9"/>
  <c r="AT143" i="8" l="1"/>
  <c r="O194" i="3"/>
  <c r="K194" i="3"/>
  <c r="P194" i="3" a="1"/>
  <c r="P194" i="3" s="1"/>
  <c r="I194" i="3"/>
  <c r="AF194" i="3"/>
  <c r="AG194" i="3" s="1"/>
  <c r="H194" i="3"/>
  <c r="F196" i="3"/>
  <c r="G195" i="3"/>
  <c r="M193" i="3"/>
  <c r="L193" i="3"/>
  <c r="Q193" i="3" s="1"/>
  <c r="W193" i="3"/>
  <c r="AJ193" i="3" s="1"/>
  <c r="AR144" i="8"/>
  <c r="AN144" i="8"/>
  <c r="AW144" i="8" s="1"/>
  <c r="AO143" i="8"/>
  <c r="AU143" i="8" s="1"/>
  <c r="AP143" i="8"/>
  <c r="AV143" i="8" s="1"/>
  <c r="R145" i="8"/>
  <c r="S145" i="8"/>
  <c r="AH141" i="3"/>
  <c r="AI141" i="3" s="1"/>
  <c r="N146" i="8"/>
  <c r="T145" i="8"/>
  <c r="Z145" i="8" s="1"/>
  <c r="AI146" i="9"/>
  <c r="AH147" i="9"/>
  <c r="AH147" i="8"/>
  <c r="AI146" i="8"/>
  <c r="AT144" i="8" l="1"/>
  <c r="K195" i="3"/>
  <c r="P195" i="3" a="1"/>
  <c r="P195" i="3" s="1"/>
  <c r="O195" i="3"/>
  <c r="I195" i="3"/>
  <c r="AF195" i="3"/>
  <c r="AG195" i="3" s="1"/>
  <c r="H195" i="3"/>
  <c r="F197" i="3"/>
  <c r="G196" i="3"/>
  <c r="M194" i="3"/>
  <c r="L194" i="3"/>
  <c r="Q194" i="3" s="1"/>
  <c r="W194" i="3"/>
  <c r="AJ194" i="3" s="1"/>
  <c r="AR145" i="8"/>
  <c r="AN145" i="8"/>
  <c r="AW145" i="8" s="1"/>
  <c r="AO144" i="8"/>
  <c r="AU144" i="8" s="1"/>
  <c r="AP144" i="8"/>
  <c r="AV144" i="8" s="1"/>
  <c r="R146" i="8"/>
  <c r="S146" i="8"/>
  <c r="AH142" i="3"/>
  <c r="AI142" i="3" s="1"/>
  <c r="T146" i="8"/>
  <c r="Z146" i="8" s="1"/>
  <c r="N147" i="8"/>
  <c r="AI147" i="8"/>
  <c r="AH148" i="8"/>
  <c r="AH148" i="9"/>
  <c r="AI147" i="9"/>
  <c r="AT145" i="8" l="1"/>
  <c r="P196" i="3" a="1"/>
  <c r="P196" i="3" s="1"/>
  <c r="O196" i="3"/>
  <c r="K196" i="3"/>
  <c r="I196" i="3"/>
  <c r="AF196" i="3"/>
  <c r="AG196" i="3" s="1"/>
  <c r="H196" i="3"/>
  <c r="F198" i="3"/>
  <c r="G197" i="3"/>
  <c r="M195" i="3"/>
  <c r="L195" i="3"/>
  <c r="Q195" i="3" s="1"/>
  <c r="W195" i="3"/>
  <c r="AJ195" i="3" s="1"/>
  <c r="AR146" i="8"/>
  <c r="AN146" i="8"/>
  <c r="AW146" i="8" s="1"/>
  <c r="AO145" i="8"/>
  <c r="AU145" i="8" s="1"/>
  <c r="AP145" i="8"/>
  <c r="AV145" i="8" s="1"/>
  <c r="R147" i="8"/>
  <c r="S147" i="8"/>
  <c r="AH143" i="3"/>
  <c r="AI143" i="3" s="1"/>
  <c r="T147" i="8"/>
  <c r="Z147" i="8" s="1"/>
  <c r="N148" i="8"/>
  <c r="AI148" i="9"/>
  <c r="AH149" i="9"/>
  <c r="AH149" i="8"/>
  <c r="AI148" i="8"/>
  <c r="AT146" i="8" l="1"/>
  <c r="P197" i="3" a="1"/>
  <c r="P197" i="3" s="1"/>
  <c r="K197" i="3"/>
  <c r="O197" i="3"/>
  <c r="I197" i="3"/>
  <c r="H197" i="3"/>
  <c r="AF197" i="3"/>
  <c r="AG197" i="3" s="1"/>
  <c r="F199" i="3"/>
  <c r="G198" i="3"/>
  <c r="M196" i="3"/>
  <c r="W196" i="3"/>
  <c r="AJ196" i="3" s="1"/>
  <c r="L196" i="3"/>
  <c r="Q196" i="3" s="1"/>
  <c r="AO146" i="8"/>
  <c r="AU146" i="8" s="1"/>
  <c r="AP146" i="8"/>
  <c r="AV146" i="8" s="1"/>
  <c r="AR147" i="8"/>
  <c r="AN147" i="8"/>
  <c r="AW147" i="8" s="1"/>
  <c r="R148" i="8"/>
  <c r="S148" i="8"/>
  <c r="AH144" i="3"/>
  <c r="AI144" i="3" s="1"/>
  <c r="N149" i="8"/>
  <c r="T148" i="8"/>
  <c r="Z148" i="8" s="1"/>
  <c r="AH150" i="8"/>
  <c r="AI149" i="8"/>
  <c r="AI149" i="9"/>
  <c r="AH150" i="9"/>
  <c r="AT147" i="8" l="1"/>
  <c r="P198" i="3" a="1"/>
  <c r="P198" i="3" s="1"/>
  <c r="K198" i="3"/>
  <c r="O198" i="3"/>
  <c r="I198" i="3"/>
  <c r="AF198" i="3"/>
  <c r="AG198" i="3" s="1"/>
  <c r="H198" i="3"/>
  <c r="F200" i="3"/>
  <c r="G199" i="3"/>
  <c r="M197" i="3"/>
  <c r="L197" i="3"/>
  <c r="Q197" i="3" s="1"/>
  <c r="W197" i="3"/>
  <c r="AJ197" i="3" s="1"/>
  <c r="AR148" i="8"/>
  <c r="AN148" i="8"/>
  <c r="AW148" i="8" s="1"/>
  <c r="AO147" i="8"/>
  <c r="AU147" i="8" s="1"/>
  <c r="AP147" i="8"/>
  <c r="AV147" i="8" s="1"/>
  <c r="R149" i="8"/>
  <c r="S149" i="8"/>
  <c r="AH145" i="3"/>
  <c r="AI145" i="3" s="1"/>
  <c r="N150" i="8"/>
  <c r="T149" i="8"/>
  <c r="Z149" i="8" s="1"/>
  <c r="AH151" i="9"/>
  <c r="AI150" i="9"/>
  <c r="AI150" i="8"/>
  <c r="AH151" i="8"/>
  <c r="AT148" i="8" l="1"/>
  <c r="K199" i="3"/>
  <c r="P199" i="3" a="1"/>
  <c r="P199" i="3" s="1"/>
  <c r="O199" i="3"/>
  <c r="I199" i="3"/>
  <c r="AF199" i="3"/>
  <c r="AG199" i="3" s="1"/>
  <c r="H199" i="3"/>
  <c r="F201" i="3"/>
  <c r="G200" i="3"/>
  <c r="M198" i="3"/>
  <c r="W198" i="3"/>
  <c r="AJ198" i="3" s="1"/>
  <c r="L198" i="3"/>
  <c r="Q198" i="3" s="1"/>
  <c r="AO148" i="8"/>
  <c r="AU148" i="8" s="1"/>
  <c r="AP148" i="8"/>
  <c r="AV148" i="8" s="1"/>
  <c r="AR149" i="8"/>
  <c r="AN149" i="8"/>
  <c r="AW149" i="8" s="1"/>
  <c r="R150" i="8"/>
  <c r="S150" i="8"/>
  <c r="AH146" i="3"/>
  <c r="AI146" i="3" s="1"/>
  <c r="N151" i="8"/>
  <c r="T150" i="8"/>
  <c r="Z150" i="8" s="1"/>
  <c r="AI151" i="8"/>
  <c r="AH152" i="8"/>
  <c r="AI151" i="9"/>
  <c r="AH152" i="9"/>
  <c r="AT149" i="8" l="1"/>
  <c r="F202" i="3"/>
  <c r="G201" i="3"/>
  <c r="K200" i="3"/>
  <c r="P200" i="3" a="1"/>
  <c r="P200" i="3" s="1"/>
  <c r="O200" i="3"/>
  <c r="I200" i="3"/>
  <c r="H200" i="3"/>
  <c r="AF200" i="3"/>
  <c r="AG200" i="3" s="1"/>
  <c r="M199" i="3"/>
  <c r="W199" i="3"/>
  <c r="AJ199" i="3" s="1"/>
  <c r="L199" i="3"/>
  <c r="Q199" i="3" s="1"/>
  <c r="AP149" i="8"/>
  <c r="AV149" i="8" s="1"/>
  <c r="AO149" i="8"/>
  <c r="AU149" i="8" s="1"/>
  <c r="AR150" i="8"/>
  <c r="AN150" i="8"/>
  <c r="AW150" i="8" s="1"/>
  <c r="R151" i="8"/>
  <c r="S151" i="8"/>
  <c r="AH147" i="3"/>
  <c r="AI147" i="3" s="1"/>
  <c r="N152" i="8"/>
  <c r="T151" i="8"/>
  <c r="Z151" i="8" s="1"/>
  <c r="AH153" i="8"/>
  <c r="AI152" i="8"/>
  <c r="AI152" i="9"/>
  <c r="AH153" i="9"/>
  <c r="AT150" i="8" l="1"/>
  <c r="M200" i="3"/>
  <c r="L200" i="3"/>
  <c r="Q200" i="3" s="1"/>
  <c r="W200" i="3"/>
  <c r="AJ200" i="3" s="1"/>
  <c r="K201" i="3"/>
  <c r="O201" i="3"/>
  <c r="P201" i="3" a="1"/>
  <c r="P201" i="3" s="1"/>
  <c r="I201" i="3"/>
  <c r="H201" i="3"/>
  <c r="AF201" i="3"/>
  <c r="AG201" i="3" s="1"/>
  <c r="F203" i="3"/>
  <c r="G202" i="3"/>
  <c r="AO150" i="8"/>
  <c r="AU150" i="8" s="1"/>
  <c r="AP150" i="8"/>
  <c r="AV150" i="8" s="1"/>
  <c r="AR151" i="8"/>
  <c r="AN151" i="8"/>
  <c r="AW151" i="8" s="1"/>
  <c r="R152" i="8"/>
  <c r="S152" i="8"/>
  <c r="AH148" i="3"/>
  <c r="AI148" i="3" s="1"/>
  <c r="N153" i="8"/>
  <c r="T152" i="8"/>
  <c r="Z152" i="8" s="1"/>
  <c r="AH154" i="9"/>
  <c r="AI153" i="9"/>
  <c r="AI153" i="8"/>
  <c r="AH154" i="8"/>
  <c r="AT151" i="8" l="1"/>
  <c r="M201" i="3"/>
  <c r="L201" i="3"/>
  <c r="Q201" i="3" s="1"/>
  <c r="W201" i="3"/>
  <c r="AJ201" i="3" s="1"/>
  <c r="K202" i="3"/>
  <c r="O202" i="3"/>
  <c r="P202" i="3" a="1"/>
  <c r="P202" i="3" s="1"/>
  <c r="I202" i="3"/>
  <c r="AF202" i="3"/>
  <c r="AG202" i="3" s="1"/>
  <c r="H202" i="3"/>
  <c r="F204" i="3"/>
  <c r="G203" i="3"/>
  <c r="AO151" i="8"/>
  <c r="AU151" i="8" s="1"/>
  <c r="AP151" i="8"/>
  <c r="AV151" i="8" s="1"/>
  <c r="AR152" i="8"/>
  <c r="AN152" i="8"/>
  <c r="AW152" i="8" s="1"/>
  <c r="R153" i="8"/>
  <c r="S153" i="8"/>
  <c r="AH149" i="3"/>
  <c r="AI149" i="3" s="1"/>
  <c r="N154" i="8"/>
  <c r="T153" i="8"/>
  <c r="Z153" i="8" s="1"/>
  <c r="AI154" i="8"/>
  <c r="AH155" i="8"/>
  <c r="AH155" i="9"/>
  <c r="AI154" i="9"/>
  <c r="AT152" i="8" l="1"/>
  <c r="K203" i="3"/>
  <c r="P203" i="3" a="1"/>
  <c r="P203" i="3" s="1"/>
  <c r="O203" i="3"/>
  <c r="I203" i="3"/>
  <c r="AF203" i="3"/>
  <c r="AG203" i="3" s="1"/>
  <c r="H203" i="3"/>
  <c r="M202" i="3"/>
  <c r="W202" i="3"/>
  <c r="AJ202" i="3" s="1"/>
  <c r="L202" i="3"/>
  <c r="Q202" i="3" s="1"/>
  <c r="F205" i="3"/>
  <c r="G204" i="3"/>
  <c r="AO152" i="8"/>
  <c r="AU152" i="8" s="1"/>
  <c r="AP152" i="8"/>
  <c r="AV152" i="8" s="1"/>
  <c r="AR153" i="8"/>
  <c r="AN153" i="8"/>
  <c r="AW153" i="8" s="1"/>
  <c r="R154" i="8"/>
  <c r="S154" i="8"/>
  <c r="AH150" i="3"/>
  <c r="AI150" i="3" s="1"/>
  <c r="N155" i="8"/>
  <c r="T154" i="8"/>
  <c r="Z154" i="8" s="1"/>
  <c r="AH156" i="8"/>
  <c r="AI155" i="8"/>
  <c r="AH156" i="9"/>
  <c r="AI155" i="9"/>
  <c r="AT153" i="8" l="1"/>
  <c r="O204" i="3"/>
  <c r="K204" i="3"/>
  <c r="P204" i="3" a="1"/>
  <c r="P204" i="3" s="1"/>
  <c r="I204" i="3"/>
  <c r="AF204" i="3"/>
  <c r="AG204" i="3" s="1"/>
  <c r="H204" i="3"/>
  <c r="F206" i="3"/>
  <c r="G205" i="3"/>
  <c r="M203" i="3"/>
  <c r="W203" i="3"/>
  <c r="AJ203" i="3" s="1"/>
  <c r="L203" i="3"/>
  <c r="Q203" i="3" s="1"/>
  <c r="AR154" i="8"/>
  <c r="AN154" i="8"/>
  <c r="AW154" i="8" s="1"/>
  <c r="AO153" i="8"/>
  <c r="AU153" i="8" s="1"/>
  <c r="AP153" i="8"/>
  <c r="AV153" i="8" s="1"/>
  <c r="R155" i="8"/>
  <c r="S155" i="8"/>
  <c r="AH151" i="3"/>
  <c r="AI151" i="3" s="1"/>
  <c r="N156" i="8"/>
  <c r="T155" i="8"/>
  <c r="Z155" i="8" s="1"/>
  <c r="AH157" i="9"/>
  <c r="AI156" i="9"/>
  <c r="AH157" i="8"/>
  <c r="AI156" i="8"/>
  <c r="AT154" i="8" l="1"/>
  <c r="K205" i="3"/>
  <c r="O205" i="3"/>
  <c r="P205" i="3" a="1"/>
  <c r="P205" i="3" s="1"/>
  <c r="I205" i="3"/>
  <c r="H205" i="3"/>
  <c r="AF205" i="3"/>
  <c r="AG205" i="3" s="1"/>
  <c r="F207" i="3"/>
  <c r="G206" i="3"/>
  <c r="M204" i="3"/>
  <c r="L204" i="3"/>
  <c r="Q204" i="3" s="1"/>
  <c r="W204" i="3"/>
  <c r="AJ204" i="3" s="1"/>
  <c r="AR155" i="8"/>
  <c r="AN155" i="8"/>
  <c r="AW155" i="8" s="1"/>
  <c r="AO154" i="8"/>
  <c r="AU154" i="8" s="1"/>
  <c r="AP154" i="8"/>
  <c r="AV154" i="8" s="1"/>
  <c r="R156" i="8"/>
  <c r="S156" i="8"/>
  <c r="AH152" i="3"/>
  <c r="AI152" i="3" s="1"/>
  <c r="T156" i="8"/>
  <c r="Z156" i="8" s="1"/>
  <c r="N157" i="8"/>
  <c r="AI157" i="9"/>
  <c r="AH158" i="9"/>
  <c r="AH158" i="8"/>
  <c r="AI157" i="8"/>
  <c r="AT155" i="8" l="1"/>
  <c r="K206" i="3"/>
  <c r="P206" i="3" a="1"/>
  <c r="P206" i="3" s="1"/>
  <c r="O206" i="3"/>
  <c r="I206" i="3"/>
  <c r="AF206" i="3"/>
  <c r="AG206" i="3" s="1"/>
  <c r="H206" i="3"/>
  <c r="F208" i="3"/>
  <c r="G207" i="3"/>
  <c r="M205" i="3"/>
  <c r="W205" i="3"/>
  <c r="AJ205" i="3" s="1"/>
  <c r="L205" i="3"/>
  <c r="Q205" i="3" s="1"/>
  <c r="AR156" i="8"/>
  <c r="AN156" i="8"/>
  <c r="AW156" i="8" s="1"/>
  <c r="AO155" i="8"/>
  <c r="AU155" i="8" s="1"/>
  <c r="AP155" i="8"/>
  <c r="AV155" i="8" s="1"/>
  <c r="R157" i="8"/>
  <c r="S157" i="8"/>
  <c r="AH153" i="3"/>
  <c r="AI153" i="3" s="1"/>
  <c r="N158" i="8"/>
  <c r="T157" i="8"/>
  <c r="Z157" i="8" s="1"/>
  <c r="AH159" i="9"/>
  <c r="AI158" i="9"/>
  <c r="AI158" i="8"/>
  <c r="AH159" i="8"/>
  <c r="AT156" i="8" l="1"/>
  <c r="P207" i="3" a="1"/>
  <c r="P207" i="3" s="1"/>
  <c r="K207" i="3"/>
  <c r="O207" i="3"/>
  <c r="I207" i="3"/>
  <c r="AF207" i="3"/>
  <c r="AG207" i="3" s="1"/>
  <c r="H207" i="3"/>
  <c r="F209" i="3"/>
  <c r="G208" i="3"/>
  <c r="M206" i="3"/>
  <c r="L206" i="3"/>
  <c r="Q206" i="3" s="1"/>
  <c r="W206" i="3"/>
  <c r="AJ206" i="3" s="1"/>
  <c r="AR157" i="8"/>
  <c r="AN157" i="8"/>
  <c r="AW157" i="8" s="1"/>
  <c r="AO156" i="8"/>
  <c r="AU156" i="8" s="1"/>
  <c r="AP156" i="8"/>
  <c r="AV156" i="8" s="1"/>
  <c r="R158" i="8"/>
  <c r="S158" i="8"/>
  <c r="AH154" i="3"/>
  <c r="AI154" i="3" s="1"/>
  <c r="T158" i="8"/>
  <c r="Z158" i="8" s="1"/>
  <c r="N159" i="8"/>
  <c r="AI159" i="8"/>
  <c r="AH160" i="8"/>
  <c r="AI159" i="9"/>
  <c r="AH160" i="9"/>
  <c r="AT157" i="8" l="1"/>
  <c r="O208" i="3"/>
  <c r="K208" i="3"/>
  <c r="P208" i="3" a="1"/>
  <c r="P208" i="3" s="1"/>
  <c r="I208" i="3"/>
  <c r="AF208" i="3"/>
  <c r="AG208" i="3" s="1"/>
  <c r="H208" i="3"/>
  <c r="F210" i="3"/>
  <c r="G209" i="3"/>
  <c r="M207" i="3"/>
  <c r="L207" i="3"/>
  <c r="Q207" i="3" s="1"/>
  <c r="W207" i="3"/>
  <c r="AJ207" i="3" s="1"/>
  <c r="AO157" i="8"/>
  <c r="AU157" i="8" s="1"/>
  <c r="AP157" i="8"/>
  <c r="AV157" i="8" s="1"/>
  <c r="AR158" i="8"/>
  <c r="AN158" i="8"/>
  <c r="AW158" i="8" s="1"/>
  <c r="R159" i="8"/>
  <c r="S159" i="8"/>
  <c r="AH155" i="3"/>
  <c r="AI155" i="3" s="1"/>
  <c r="N160" i="8"/>
  <c r="T159" i="8"/>
  <c r="Z159" i="8" s="1"/>
  <c r="AI160" i="8"/>
  <c r="AH161" i="8"/>
  <c r="AI160" i="9"/>
  <c r="AH161" i="9"/>
  <c r="AT158" i="8" l="1"/>
  <c r="K209" i="3"/>
  <c r="P209" i="3" a="1"/>
  <c r="P209" i="3" s="1"/>
  <c r="O209" i="3"/>
  <c r="I209" i="3"/>
  <c r="AF209" i="3"/>
  <c r="AG209" i="3" s="1"/>
  <c r="H209" i="3"/>
  <c r="F211" i="3"/>
  <c r="G210" i="3"/>
  <c r="M208" i="3"/>
  <c r="W208" i="3"/>
  <c r="AJ208" i="3" s="1"/>
  <c r="L208" i="3"/>
  <c r="Q208" i="3" s="1"/>
  <c r="AR159" i="8"/>
  <c r="AN159" i="8"/>
  <c r="AW159" i="8" s="1"/>
  <c r="AO158" i="8"/>
  <c r="AU158" i="8" s="1"/>
  <c r="AP158" i="8"/>
  <c r="AV158" i="8" s="1"/>
  <c r="R160" i="8"/>
  <c r="S160" i="8"/>
  <c r="AH156" i="3"/>
  <c r="AI156" i="3" s="1"/>
  <c r="T160" i="8"/>
  <c r="Z160" i="8" s="1"/>
  <c r="N161" i="8"/>
  <c r="AI161" i="9"/>
  <c r="AH162" i="9"/>
  <c r="AI161" i="8"/>
  <c r="AH162" i="8"/>
  <c r="AT159" i="8" l="1"/>
  <c r="K210" i="3"/>
  <c r="P210" i="3" a="1"/>
  <c r="P210" i="3" s="1"/>
  <c r="O210" i="3"/>
  <c r="I210" i="3"/>
  <c r="AF210" i="3"/>
  <c r="AG210" i="3" s="1"/>
  <c r="H210" i="3"/>
  <c r="F212" i="3"/>
  <c r="G211" i="3"/>
  <c r="M209" i="3"/>
  <c r="W209" i="3"/>
  <c r="AJ209" i="3" s="1"/>
  <c r="L209" i="3"/>
  <c r="Q209" i="3" s="1"/>
  <c r="AR160" i="8"/>
  <c r="AN160" i="8"/>
  <c r="AW160" i="8" s="1"/>
  <c r="AO159" i="8"/>
  <c r="AU159" i="8" s="1"/>
  <c r="AP159" i="8"/>
  <c r="AV159" i="8" s="1"/>
  <c r="R161" i="8"/>
  <c r="S161" i="8"/>
  <c r="AH157" i="3"/>
  <c r="AI157" i="3" s="1"/>
  <c r="N162" i="8"/>
  <c r="T161" i="8"/>
  <c r="Z161" i="8" s="1"/>
  <c r="AI162" i="8"/>
  <c r="AH163" i="8"/>
  <c r="AI162" i="9"/>
  <c r="AH163" i="9"/>
  <c r="AT160" i="8" l="1"/>
  <c r="P211" i="3" a="1"/>
  <c r="P211" i="3" s="1"/>
  <c r="O211" i="3"/>
  <c r="K211" i="3"/>
  <c r="X211" i="3" s="1"/>
  <c r="Y211" i="3" s="1"/>
  <c r="I211" i="3"/>
  <c r="AF211" i="3"/>
  <c r="AG211" i="3" s="1"/>
  <c r="H211" i="3"/>
  <c r="F213" i="3"/>
  <c r="G212" i="3"/>
  <c r="M210" i="3"/>
  <c r="L210" i="3"/>
  <c r="Q210" i="3" s="1"/>
  <c r="W210" i="3"/>
  <c r="AJ210" i="3" s="1"/>
  <c r="AR161" i="8"/>
  <c r="AN161" i="8"/>
  <c r="AW161" i="8" s="1"/>
  <c r="AP160" i="8"/>
  <c r="AV160" i="8" s="1"/>
  <c r="AO160" i="8"/>
  <c r="AU160" i="8" s="1"/>
  <c r="R162" i="8"/>
  <c r="S162" i="8"/>
  <c r="AH158" i="3"/>
  <c r="AI158" i="3" s="1"/>
  <c r="T162" i="8"/>
  <c r="Z162" i="8" s="1"/>
  <c r="N163" i="8"/>
  <c r="AH164" i="9"/>
  <c r="AI163" i="9"/>
  <c r="AH164" i="8"/>
  <c r="AI163" i="8"/>
  <c r="AT161" i="8" l="1"/>
  <c r="O212" i="3"/>
  <c r="P212" i="3" a="1"/>
  <c r="P212" i="3" s="1"/>
  <c r="K212" i="3"/>
  <c r="I212" i="3"/>
  <c r="AF212" i="3"/>
  <c r="AG212" i="3" s="1"/>
  <c r="H212" i="3"/>
  <c r="F214" i="3"/>
  <c r="G213" i="3"/>
  <c r="M211" i="3"/>
  <c r="L211" i="3"/>
  <c r="Q211" i="3" s="1"/>
  <c r="W211" i="3"/>
  <c r="AJ211" i="3" s="1"/>
  <c r="AP161" i="8"/>
  <c r="AV161" i="8" s="1"/>
  <c r="AO161" i="8"/>
  <c r="AU161" i="8" s="1"/>
  <c r="AR162" i="8"/>
  <c r="AN162" i="8"/>
  <c r="AW162" i="8" s="1"/>
  <c r="R163" i="8"/>
  <c r="S163" i="8"/>
  <c r="AH159" i="3"/>
  <c r="AI159" i="3" s="1"/>
  <c r="N164" i="8"/>
  <c r="T163" i="8"/>
  <c r="Z163" i="8" s="1"/>
  <c r="AH165" i="8"/>
  <c r="AI164" i="8"/>
  <c r="AH165" i="9"/>
  <c r="AI164" i="9"/>
  <c r="AT162" i="8" l="1"/>
  <c r="K213" i="3"/>
  <c r="P213" i="3" a="1"/>
  <c r="P213" i="3" s="1"/>
  <c r="O213" i="3"/>
  <c r="I213" i="3"/>
  <c r="AF213" i="3"/>
  <c r="AG213" i="3" s="1"/>
  <c r="H213" i="3"/>
  <c r="F215" i="3"/>
  <c r="G214" i="3"/>
  <c r="M212" i="3"/>
  <c r="L212" i="3"/>
  <c r="Q212" i="3" s="1"/>
  <c r="W212" i="3"/>
  <c r="AJ212" i="3" s="1"/>
  <c r="X212" i="3"/>
  <c r="Y212" i="3" s="1"/>
  <c r="AO162" i="8"/>
  <c r="AU162" i="8" s="1"/>
  <c r="AP162" i="8"/>
  <c r="AV162" i="8" s="1"/>
  <c r="AR163" i="8"/>
  <c r="AN163" i="8"/>
  <c r="AW163" i="8" s="1"/>
  <c r="R164" i="8"/>
  <c r="S164" i="8"/>
  <c r="AH160" i="3"/>
  <c r="AI160" i="3" s="1"/>
  <c r="N165" i="8"/>
  <c r="T164" i="8"/>
  <c r="Z164" i="8" s="1"/>
  <c r="AH166" i="9"/>
  <c r="AI165" i="9"/>
  <c r="AI165" i="8"/>
  <c r="AH166" i="8"/>
  <c r="AT163" i="8" l="1"/>
  <c r="K214" i="3"/>
  <c r="P214" i="3" a="1"/>
  <c r="P214" i="3" s="1"/>
  <c r="O214" i="3"/>
  <c r="I214" i="3"/>
  <c r="AF214" i="3"/>
  <c r="AG214" i="3" s="1"/>
  <c r="H214" i="3"/>
  <c r="F216" i="3"/>
  <c r="G215" i="3"/>
  <c r="M213" i="3"/>
  <c r="X213" i="3"/>
  <c r="Y213" i="3" s="1"/>
  <c r="W213" i="3"/>
  <c r="AJ213" i="3" s="1"/>
  <c r="L213" i="3"/>
  <c r="Q213" i="3" s="1"/>
  <c r="AP163" i="8"/>
  <c r="AV163" i="8" s="1"/>
  <c r="AO163" i="8"/>
  <c r="AU163" i="8" s="1"/>
  <c r="AR164" i="8"/>
  <c r="AN164" i="8"/>
  <c r="AW164" i="8" s="1"/>
  <c r="R165" i="8"/>
  <c r="S165" i="8"/>
  <c r="AH161" i="3"/>
  <c r="AI161" i="3" s="1"/>
  <c r="N166" i="8"/>
  <c r="T165" i="8"/>
  <c r="Z165" i="8" s="1"/>
  <c r="AI166" i="8"/>
  <c r="AH167" i="8"/>
  <c r="AH167" i="9"/>
  <c r="AI166" i="9"/>
  <c r="AT164" i="8" l="1"/>
  <c r="P215" i="3" a="1"/>
  <c r="P215" i="3" s="1"/>
  <c r="K215" i="3"/>
  <c r="O215" i="3"/>
  <c r="I215" i="3"/>
  <c r="H215" i="3"/>
  <c r="AF215" i="3"/>
  <c r="AG215" i="3" s="1"/>
  <c r="F217" i="3"/>
  <c r="G216" i="3"/>
  <c r="M214" i="3"/>
  <c r="L214" i="3"/>
  <c r="Q214" i="3" s="1"/>
  <c r="W214" i="3"/>
  <c r="AJ214" i="3" s="1"/>
  <c r="X214" i="3"/>
  <c r="Y214" i="3" s="1"/>
  <c r="AP164" i="8"/>
  <c r="AV164" i="8" s="1"/>
  <c r="AO164" i="8"/>
  <c r="AU164" i="8" s="1"/>
  <c r="AR165" i="8"/>
  <c r="AN165" i="8"/>
  <c r="AW165" i="8" s="1"/>
  <c r="R166" i="8"/>
  <c r="S166" i="8"/>
  <c r="AH162" i="3"/>
  <c r="AI162" i="3" s="1"/>
  <c r="C73" i="7" s="1"/>
  <c r="N167" i="8"/>
  <c r="T166" i="8"/>
  <c r="Z166" i="8" s="1"/>
  <c r="AI167" i="8"/>
  <c r="AH168" i="8"/>
  <c r="AI167" i="9"/>
  <c r="AH168" i="9"/>
  <c r="AT165" i="8" l="1"/>
  <c r="P216" i="3" a="1"/>
  <c r="P216" i="3" s="1"/>
  <c r="K216" i="3"/>
  <c r="O216" i="3"/>
  <c r="I216" i="3"/>
  <c r="H216" i="3"/>
  <c r="AF216" i="3"/>
  <c r="AG216" i="3" s="1"/>
  <c r="F218" i="3"/>
  <c r="G217" i="3"/>
  <c r="M215" i="3"/>
  <c r="X215" i="3"/>
  <c r="Y215" i="3" s="1"/>
  <c r="W215" i="3"/>
  <c r="AJ215" i="3" s="1"/>
  <c r="L215" i="3"/>
  <c r="Q215" i="3" s="1"/>
  <c r="AO165" i="8"/>
  <c r="AU165" i="8" s="1"/>
  <c r="AP165" i="8"/>
  <c r="AV165" i="8" s="1"/>
  <c r="AR166" i="8"/>
  <c r="AN166" i="8"/>
  <c r="AW166" i="8" s="1"/>
  <c r="R167" i="8"/>
  <c r="S167" i="8"/>
  <c r="AH163" i="3"/>
  <c r="AI163" i="3" s="1"/>
  <c r="N168" i="8"/>
  <c r="T167" i="8"/>
  <c r="Z167" i="8" s="1"/>
  <c r="AI168" i="9"/>
  <c r="AH169" i="9"/>
  <c r="AI168" i="8"/>
  <c r="AH169" i="8"/>
  <c r="AT166" i="8" l="1"/>
  <c r="K217" i="3"/>
  <c r="P217" i="3" a="1"/>
  <c r="P217" i="3" s="1"/>
  <c r="O217" i="3"/>
  <c r="I217" i="3"/>
  <c r="AF217" i="3"/>
  <c r="AG217" i="3" s="1"/>
  <c r="H217" i="3"/>
  <c r="F219" i="3"/>
  <c r="G218" i="3"/>
  <c r="M216" i="3"/>
  <c r="W216" i="3"/>
  <c r="AJ216" i="3" s="1"/>
  <c r="X216" i="3"/>
  <c r="Y216" i="3" s="1"/>
  <c r="L216" i="3"/>
  <c r="Q216" i="3" s="1"/>
  <c r="AR167" i="8"/>
  <c r="AN167" i="8"/>
  <c r="AW167" i="8" s="1"/>
  <c r="AO166" i="8"/>
  <c r="AU166" i="8" s="1"/>
  <c r="AP166" i="8"/>
  <c r="AV166" i="8" s="1"/>
  <c r="R168" i="8"/>
  <c r="S168" i="8"/>
  <c r="AH164" i="3"/>
  <c r="AI164" i="3" s="1"/>
  <c r="T168" i="8"/>
  <c r="Z168" i="8" s="1"/>
  <c r="N169" i="8"/>
  <c r="AI169" i="8"/>
  <c r="AH170" i="8"/>
  <c r="AI169" i="9"/>
  <c r="AH170" i="9"/>
  <c r="AT167" i="8" l="1"/>
  <c r="P218" i="3" a="1"/>
  <c r="P218" i="3" s="1"/>
  <c r="K218" i="3"/>
  <c r="O218" i="3"/>
  <c r="I218" i="3"/>
  <c r="H218" i="3"/>
  <c r="AF218" i="3"/>
  <c r="AG218" i="3" s="1"/>
  <c r="F220" i="3"/>
  <c r="G219" i="3"/>
  <c r="M217" i="3"/>
  <c r="L217" i="3"/>
  <c r="Q217" i="3" s="1"/>
  <c r="W217" i="3"/>
  <c r="AJ217" i="3" s="1"/>
  <c r="X217" i="3"/>
  <c r="Y217" i="3" s="1"/>
  <c r="AR168" i="8"/>
  <c r="AN168" i="8"/>
  <c r="AW168" i="8" s="1"/>
  <c r="AO167" i="8"/>
  <c r="AU167" i="8" s="1"/>
  <c r="AP167" i="8"/>
  <c r="AV167" i="8" s="1"/>
  <c r="R169" i="8"/>
  <c r="S169" i="8"/>
  <c r="AH165" i="3"/>
  <c r="AI165" i="3" s="1"/>
  <c r="N170" i="8"/>
  <c r="T169" i="8"/>
  <c r="Z169" i="8" s="1"/>
  <c r="AH171" i="9"/>
  <c r="AI170" i="9"/>
  <c r="AI170" i="8"/>
  <c r="AH171" i="8"/>
  <c r="AT168" i="8" l="1"/>
  <c r="K219" i="3"/>
  <c r="O219" i="3"/>
  <c r="P219" i="3" a="1"/>
  <c r="P219" i="3" s="1"/>
  <c r="I219" i="3"/>
  <c r="AF219" i="3"/>
  <c r="AG219" i="3" s="1"/>
  <c r="H219" i="3"/>
  <c r="F221" i="3"/>
  <c r="G220" i="3"/>
  <c r="M218" i="3"/>
  <c r="L218" i="3"/>
  <c r="Q218" i="3" s="1"/>
  <c r="X218" i="3"/>
  <c r="Y218" i="3" s="1"/>
  <c r="W218" i="3"/>
  <c r="AJ218" i="3" s="1"/>
  <c r="AR169" i="8"/>
  <c r="AN169" i="8"/>
  <c r="AW169" i="8" s="1"/>
  <c r="AO168" i="8"/>
  <c r="AU168" i="8" s="1"/>
  <c r="AP168" i="8"/>
  <c r="AV168" i="8" s="1"/>
  <c r="R170" i="8"/>
  <c r="S170" i="8"/>
  <c r="AH166" i="3"/>
  <c r="AI166" i="3" s="1"/>
  <c r="N171" i="8"/>
  <c r="T170" i="8"/>
  <c r="Z170" i="8" s="1"/>
  <c r="AH172" i="8"/>
  <c r="AI171" i="8"/>
  <c r="AH172" i="9"/>
  <c r="AI171" i="9"/>
  <c r="AT169" i="8" l="1"/>
  <c r="P220" i="3" a="1"/>
  <c r="P220" i="3" s="1"/>
  <c r="K220" i="3"/>
  <c r="O220" i="3"/>
  <c r="I220" i="3"/>
  <c r="AF220" i="3"/>
  <c r="AG220" i="3" s="1"/>
  <c r="H220" i="3"/>
  <c r="F222" i="3"/>
  <c r="G221" i="3"/>
  <c r="M219" i="3"/>
  <c r="X219" i="3"/>
  <c r="Y219" i="3" s="1"/>
  <c r="W219" i="3"/>
  <c r="AJ219" i="3" s="1"/>
  <c r="L219" i="3"/>
  <c r="Q219" i="3" s="1"/>
  <c r="AR170" i="8"/>
  <c r="AN170" i="8"/>
  <c r="AW170" i="8" s="1"/>
  <c r="AP169" i="8"/>
  <c r="AV169" i="8" s="1"/>
  <c r="AO169" i="8"/>
  <c r="AU169" i="8" s="1"/>
  <c r="R171" i="8"/>
  <c r="S171" i="8"/>
  <c r="AH167" i="3"/>
  <c r="AI167" i="3" s="1"/>
  <c r="N172" i="8"/>
  <c r="T171" i="8"/>
  <c r="Z171" i="8" s="1"/>
  <c r="AH173" i="9"/>
  <c r="AI172" i="9"/>
  <c r="AI172" i="8"/>
  <c r="AH173" i="8"/>
  <c r="AT170" i="8" l="1"/>
  <c r="P221" i="3" a="1"/>
  <c r="P221" i="3" s="1"/>
  <c r="K221" i="3"/>
  <c r="O221" i="3"/>
  <c r="I221" i="3"/>
  <c r="H221" i="3"/>
  <c r="AF221" i="3"/>
  <c r="AG221" i="3" s="1"/>
  <c r="F223" i="3"/>
  <c r="G222" i="3"/>
  <c r="M220" i="3"/>
  <c r="L220" i="3"/>
  <c r="Q220" i="3" s="1"/>
  <c r="X220" i="3"/>
  <c r="Y220" i="3" s="1"/>
  <c r="W220" i="3"/>
  <c r="AJ220" i="3" s="1"/>
  <c r="AR171" i="8"/>
  <c r="AN171" i="8"/>
  <c r="AW171" i="8" s="1"/>
  <c r="AO170" i="8"/>
  <c r="AU170" i="8" s="1"/>
  <c r="AP170" i="8"/>
  <c r="AV170" i="8" s="1"/>
  <c r="R172" i="8"/>
  <c r="S172" i="8"/>
  <c r="AH168" i="3"/>
  <c r="AI168" i="3" s="1"/>
  <c r="T172" i="8"/>
  <c r="Z172" i="8" s="1"/>
  <c r="N173" i="8"/>
  <c r="AH174" i="9"/>
  <c r="AI173" i="9"/>
  <c r="AH174" i="8"/>
  <c r="AI173" i="8"/>
  <c r="AT171" i="8" l="1"/>
  <c r="P222" i="3" a="1"/>
  <c r="P222" i="3" s="1"/>
  <c r="O222" i="3"/>
  <c r="K222" i="3"/>
  <c r="I222" i="3"/>
  <c r="AF222" i="3"/>
  <c r="AG222" i="3" s="1"/>
  <c r="H222" i="3"/>
  <c r="F224" i="3"/>
  <c r="G223" i="3"/>
  <c r="M221" i="3"/>
  <c r="L221" i="3"/>
  <c r="Q221" i="3" s="1"/>
  <c r="W221" i="3"/>
  <c r="AJ221" i="3" s="1"/>
  <c r="X221" i="3"/>
  <c r="Y221" i="3" s="1"/>
  <c r="AR172" i="8"/>
  <c r="AN172" i="8"/>
  <c r="AW172" i="8" s="1"/>
  <c r="AO171" i="8"/>
  <c r="AU171" i="8" s="1"/>
  <c r="AP171" i="8"/>
  <c r="AV171" i="8" s="1"/>
  <c r="R173" i="8"/>
  <c r="S173" i="8"/>
  <c r="AH169" i="3"/>
  <c r="AI169" i="3" s="1"/>
  <c r="T173" i="8"/>
  <c r="Z173" i="8" s="1"/>
  <c r="N174" i="8"/>
  <c r="AH175" i="8"/>
  <c r="AI174" i="8"/>
  <c r="AI174" i="9"/>
  <c r="AH175" i="9"/>
  <c r="AT172" i="8" l="1"/>
  <c r="P223" i="3" a="1"/>
  <c r="P223" i="3" s="1"/>
  <c r="K223" i="3"/>
  <c r="O223" i="3"/>
  <c r="I223" i="3"/>
  <c r="AF223" i="3"/>
  <c r="AG223" i="3" s="1"/>
  <c r="H223" i="3"/>
  <c r="F225" i="3"/>
  <c r="G224" i="3"/>
  <c r="M222" i="3"/>
  <c r="L222" i="3"/>
  <c r="Q222" i="3" s="1"/>
  <c r="X222" i="3"/>
  <c r="Y222" i="3" s="1"/>
  <c r="W222" i="3"/>
  <c r="AJ222" i="3" s="1"/>
  <c r="AR173" i="8"/>
  <c r="AN173" i="8"/>
  <c r="AW173" i="8" s="1"/>
  <c r="AO172" i="8"/>
  <c r="AU172" i="8" s="1"/>
  <c r="AP172" i="8"/>
  <c r="AV172" i="8" s="1"/>
  <c r="R174" i="8"/>
  <c r="S174" i="8"/>
  <c r="AH170" i="3"/>
  <c r="AI170" i="3" s="1"/>
  <c r="T174" i="8"/>
  <c r="Z174" i="8" s="1"/>
  <c r="N175" i="8"/>
  <c r="AH176" i="9"/>
  <c r="AI175" i="9"/>
  <c r="AH176" i="8"/>
  <c r="AI175" i="8"/>
  <c r="AT173" i="8" l="1"/>
  <c r="P224" i="3" a="1"/>
  <c r="P224" i="3" s="1"/>
  <c r="K224" i="3"/>
  <c r="O224" i="3"/>
  <c r="I224" i="3"/>
  <c r="AF224" i="3"/>
  <c r="AG224" i="3" s="1"/>
  <c r="H224" i="3"/>
  <c r="F226" i="3"/>
  <c r="G225" i="3"/>
  <c r="M223" i="3"/>
  <c r="L223" i="3"/>
  <c r="Q223" i="3" s="1"/>
  <c r="X223" i="3"/>
  <c r="Y223" i="3" s="1"/>
  <c r="W223" i="3"/>
  <c r="AJ223" i="3" s="1"/>
  <c r="AR174" i="8"/>
  <c r="AN174" i="8"/>
  <c r="AW174" i="8" s="1"/>
  <c r="AO173" i="8"/>
  <c r="AU173" i="8" s="1"/>
  <c r="AP173" i="8"/>
  <c r="AV173" i="8" s="1"/>
  <c r="R175" i="8"/>
  <c r="S175" i="8"/>
  <c r="AH171" i="3"/>
  <c r="AI171" i="3" s="1"/>
  <c r="N176" i="8"/>
  <c r="T175" i="8"/>
  <c r="Z175" i="8" s="1"/>
  <c r="AH177" i="8"/>
  <c r="AI176" i="8"/>
  <c r="AI176" i="9"/>
  <c r="AH177" i="9"/>
  <c r="AT174" i="8" l="1"/>
  <c r="K225" i="3"/>
  <c r="O225" i="3"/>
  <c r="P225" i="3" a="1"/>
  <c r="P225" i="3" s="1"/>
  <c r="I225" i="3"/>
  <c r="AF225" i="3"/>
  <c r="AG225" i="3" s="1"/>
  <c r="H225" i="3"/>
  <c r="F227" i="3"/>
  <c r="G226" i="3"/>
  <c r="M224" i="3"/>
  <c r="X224" i="3"/>
  <c r="Y224" i="3" s="1"/>
  <c r="L224" i="3"/>
  <c r="Q224" i="3" s="1"/>
  <c r="W224" i="3"/>
  <c r="AJ224" i="3" s="1"/>
  <c r="AR175" i="8"/>
  <c r="AN175" i="8"/>
  <c r="AW175" i="8" s="1"/>
  <c r="AO174" i="8"/>
  <c r="AU174" i="8" s="1"/>
  <c r="AP174" i="8"/>
  <c r="AV174" i="8" s="1"/>
  <c r="R176" i="8"/>
  <c r="S176" i="8"/>
  <c r="AH172" i="3"/>
  <c r="AI172" i="3" s="1"/>
  <c r="N177" i="8"/>
  <c r="T176" i="8"/>
  <c r="Z176" i="8" s="1"/>
  <c r="AI177" i="9"/>
  <c r="AH178" i="9"/>
  <c r="AI177" i="8"/>
  <c r="AH178" i="8"/>
  <c r="AT175" i="8" l="1"/>
  <c r="P226" i="3" a="1"/>
  <c r="P226" i="3" s="1"/>
  <c r="K226" i="3"/>
  <c r="O226" i="3"/>
  <c r="I226" i="3"/>
  <c r="AF226" i="3"/>
  <c r="AG226" i="3" s="1"/>
  <c r="H226" i="3"/>
  <c r="F228" i="3"/>
  <c r="G227" i="3"/>
  <c r="M225" i="3"/>
  <c r="W225" i="3"/>
  <c r="AJ225" i="3" s="1"/>
  <c r="L225" i="3"/>
  <c r="Q225" i="3" s="1"/>
  <c r="X225" i="3"/>
  <c r="Y225" i="3" s="1"/>
  <c r="AR176" i="8"/>
  <c r="AN176" i="8"/>
  <c r="AW176" i="8" s="1"/>
  <c r="AO175" i="8"/>
  <c r="AU175" i="8" s="1"/>
  <c r="AP175" i="8"/>
  <c r="AV175" i="8" s="1"/>
  <c r="R177" i="8"/>
  <c r="S177" i="8"/>
  <c r="AH173" i="3"/>
  <c r="AI173" i="3" s="1"/>
  <c r="N178" i="8"/>
  <c r="T177" i="8"/>
  <c r="Z177" i="8" s="1"/>
  <c r="AH179" i="9"/>
  <c r="AI178" i="9"/>
  <c r="AH179" i="8"/>
  <c r="AI178" i="8"/>
  <c r="AT176" i="8" l="1"/>
  <c r="P227" i="3" a="1"/>
  <c r="P227" i="3" s="1"/>
  <c r="O227" i="3"/>
  <c r="K227" i="3"/>
  <c r="I227" i="3"/>
  <c r="H227" i="3"/>
  <c r="AF227" i="3"/>
  <c r="AG227" i="3" s="1"/>
  <c r="F229" i="3"/>
  <c r="G228" i="3"/>
  <c r="M226" i="3"/>
  <c r="L226" i="3"/>
  <c r="Q226" i="3" s="1"/>
  <c r="X226" i="3"/>
  <c r="Y226" i="3" s="1"/>
  <c r="W226" i="3"/>
  <c r="AJ226" i="3" s="1"/>
  <c r="AR177" i="8"/>
  <c r="AN177" i="8"/>
  <c r="AW177" i="8" s="1"/>
  <c r="AO176" i="8"/>
  <c r="AU176" i="8" s="1"/>
  <c r="AP176" i="8"/>
  <c r="AV176" i="8" s="1"/>
  <c r="R178" i="8"/>
  <c r="S178" i="8"/>
  <c r="AH174" i="3"/>
  <c r="AI174" i="3" s="1"/>
  <c r="T178" i="8"/>
  <c r="Z178" i="8" s="1"/>
  <c r="N179" i="8"/>
  <c r="AI179" i="8"/>
  <c r="AH180" i="8"/>
  <c r="AI179" i="9"/>
  <c r="AH180" i="9"/>
  <c r="AT177" i="8" l="1"/>
  <c r="P228" i="3" a="1"/>
  <c r="P228" i="3" s="1"/>
  <c r="O228" i="3"/>
  <c r="K228" i="3"/>
  <c r="I228" i="3"/>
  <c r="H228" i="3"/>
  <c r="AF228" i="3"/>
  <c r="AG228" i="3" s="1"/>
  <c r="F230" i="3"/>
  <c r="G229" i="3"/>
  <c r="M227" i="3"/>
  <c r="L227" i="3"/>
  <c r="Q227" i="3" s="1"/>
  <c r="W227" i="3"/>
  <c r="AJ227" i="3" s="1"/>
  <c r="X227" i="3"/>
  <c r="Y227" i="3" s="1"/>
  <c r="AO177" i="8"/>
  <c r="AU177" i="8" s="1"/>
  <c r="AP177" i="8"/>
  <c r="AV177" i="8" s="1"/>
  <c r="AR178" i="8"/>
  <c r="AN178" i="8"/>
  <c r="AW178" i="8" s="1"/>
  <c r="R179" i="8"/>
  <c r="S179" i="8"/>
  <c r="AH175" i="3"/>
  <c r="AI175" i="3" s="1"/>
  <c r="N180" i="8"/>
  <c r="T179" i="8"/>
  <c r="Z179" i="8" s="1"/>
  <c r="AH181" i="8"/>
  <c r="AI180" i="8"/>
  <c r="AI180" i="9"/>
  <c r="AH181" i="9"/>
  <c r="AT178" i="8" l="1"/>
  <c r="P229" i="3" a="1"/>
  <c r="P229" i="3" s="1"/>
  <c r="O229" i="3"/>
  <c r="K229" i="3"/>
  <c r="I229" i="3"/>
  <c r="AF229" i="3"/>
  <c r="AG229" i="3" s="1"/>
  <c r="H229" i="3"/>
  <c r="F231" i="3"/>
  <c r="G230" i="3"/>
  <c r="M228" i="3"/>
  <c r="W228" i="3"/>
  <c r="AJ228" i="3" s="1"/>
  <c r="X228" i="3"/>
  <c r="Y228" i="3" s="1"/>
  <c r="L228" i="3"/>
  <c r="Q228" i="3" s="1"/>
  <c r="AR179" i="8"/>
  <c r="AN179" i="8"/>
  <c r="AW179" i="8" s="1"/>
  <c r="AP178" i="8"/>
  <c r="AV178" i="8" s="1"/>
  <c r="AO178" i="8"/>
  <c r="AU178" i="8" s="1"/>
  <c r="R180" i="8"/>
  <c r="S180" i="8"/>
  <c r="AH176" i="3"/>
  <c r="AI176" i="3" s="1"/>
  <c r="T180" i="8"/>
  <c r="Z180" i="8" s="1"/>
  <c r="N181" i="8"/>
  <c r="AH182" i="9"/>
  <c r="AI181" i="9"/>
  <c r="AI181" i="8"/>
  <c r="AH182" i="8"/>
  <c r="AT179" i="8" l="1"/>
  <c r="P230" i="3" a="1"/>
  <c r="P230" i="3" s="1"/>
  <c r="K230" i="3"/>
  <c r="O230" i="3"/>
  <c r="I230" i="3"/>
  <c r="H230" i="3"/>
  <c r="AF230" i="3"/>
  <c r="AG230" i="3" s="1"/>
  <c r="F232" i="3"/>
  <c r="G231" i="3"/>
  <c r="M229" i="3"/>
  <c r="L229" i="3"/>
  <c r="Q229" i="3" s="1"/>
  <c r="W229" i="3"/>
  <c r="AJ229" i="3" s="1"/>
  <c r="X229" i="3"/>
  <c r="Y229" i="3" s="1"/>
  <c r="AR180" i="8"/>
  <c r="AN180" i="8"/>
  <c r="AW180" i="8" s="1"/>
  <c r="AO179" i="8"/>
  <c r="AU179" i="8" s="1"/>
  <c r="AP179" i="8"/>
  <c r="AV179" i="8" s="1"/>
  <c r="R181" i="8"/>
  <c r="S181" i="8"/>
  <c r="AH177" i="3"/>
  <c r="AI177" i="3" s="1"/>
  <c r="N182" i="8"/>
  <c r="T181" i="8"/>
  <c r="Z181" i="8" s="1"/>
  <c r="AI182" i="8"/>
  <c r="AH183" i="8"/>
  <c r="AI182" i="9"/>
  <c r="AH183" i="9"/>
  <c r="AT180" i="8" l="1"/>
  <c r="P231" i="3" a="1"/>
  <c r="P231" i="3" s="1"/>
  <c r="O231" i="3"/>
  <c r="K231" i="3"/>
  <c r="I231" i="3"/>
  <c r="H231" i="3"/>
  <c r="AF231" i="3"/>
  <c r="AG231" i="3" s="1"/>
  <c r="F233" i="3"/>
  <c r="G232" i="3"/>
  <c r="M230" i="3"/>
  <c r="X230" i="3"/>
  <c r="Y230" i="3" s="1"/>
  <c r="W230" i="3"/>
  <c r="AJ230" i="3" s="1"/>
  <c r="L230" i="3"/>
  <c r="Q230" i="3" s="1"/>
  <c r="AR181" i="8"/>
  <c r="AN181" i="8"/>
  <c r="AW181" i="8" s="1"/>
  <c r="AO180" i="8"/>
  <c r="AU180" i="8" s="1"/>
  <c r="AP180" i="8"/>
  <c r="AV180" i="8" s="1"/>
  <c r="R182" i="8"/>
  <c r="S182" i="8"/>
  <c r="AH178" i="3"/>
  <c r="AI178" i="3" s="1"/>
  <c r="N183" i="8"/>
  <c r="T182" i="8"/>
  <c r="Z182" i="8" s="1"/>
  <c r="AH184" i="9"/>
  <c r="AI183" i="9"/>
  <c r="AH184" i="8"/>
  <c r="AI183" i="8"/>
  <c r="AT181" i="8" l="1"/>
  <c r="P232" i="3" a="1"/>
  <c r="P232" i="3" s="1"/>
  <c r="K232" i="3"/>
  <c r="O232" i="3"/>
  <c r="I232" i="3"/>
  <c r="AF232" i="3"/>
  <c r="AG232" i="3" s="1"/>
  <c r="H232" i="3"/>
  <c r="F234" i="3"/>
  <c r="G233" i="3"/>
  <c r="M231" i="3"/>
  <c r="W231" i="3"/>
  <c r="AJ231" i="3" s="1"/>
  <c r="L231" i="3"/>
  <c r="Q231" i="3" s="1"/>
  <c r="X231" i="3"/>
  <c r="Y231" i="3" s="1"/>
  <c r="AR182" i="8"/>
  <c r="AN182" i="8"/>
  <c r="AW182" i="8" s="1"/>
  <c r="AO181" i="8"/>
  <c r="AU181" i="8" s="1"/>
  <c r="AP181" i="8"/>
  <c r="AV181" i="8" s="1"/>
  <c r="R183" i="8"/>
  <c r="S183" i="8"/>
  <c r="AH179" i="3"/>
  <c r="AI179" i="3" s="1"/>
  <c r="N184" i="8"/>
  <c r="T183" i="8"/>
  <c r="Z183" i="8" s="1"/>
  <c r="AI184" i="8"/>
  <c r="AH185" i="8"/>
  <c r="AI184" i="9"/>
  <c r="AH185" i="9"/>
  <c r="AT182" i="8" l="1"/>
  <c r="P233" i="3" a="1"/>
  <c r="P233" i="3" s="1"/>
  <c r="O233" i="3"/>
  <c r="K233" i="3"/>
  <c r="I233" i="3"/>
  <c r="H233" i="3"/>
  <c r="AF233" i="3"/>
  <c r="AG233" i="3" s="1"/>
  <c r="F235" i="3"/>
  <c r="G234" i="3"/>
  <c r="M232" i="3"/>
  <c r="L232" i="3"/>
  <c r="Q232" i="3" s="1"/>
  <c r="X232" i="3"/>
  <c r="Y232" i="3" s="1"/>
  <c r="W232" i="3"/>
  <c r="AJ232" i="3" s="1"/>
  <c r="AR183" i="8"/>
  <c r="AN183" i="8"/>
  <c r="AW183" i="8" s="1"/>
  <c r="AP182" i="8"/>
  <c r="AV182" i="8" s="1"/>
  <c r="AO182" i="8"/>
  <c r="AU182" i="8" s="1"/>
  <c r="R184" i="8"/>
  <c r="S184" i="8"/>
  <c r="AH180" i="3"/>
  <c r="AI180" i="3" s="1"/>
  <c r="N185" i="8"/>
  <c r="T184" i="8"/>
  <c r="Z184" i="8" s="1"/>
  <c r="AI185" i="9"/>
  <c r="AH186" i="9"/>
  <c r="AI185" i="8"/>
  <c r="AH186" i="8"/>
  <c r="AT183" i="8" l="1"/>
  <c r="K234" i="3"/>
  <c r="P234" i="3" a="1"/>
  <c r="P234" i="3" s="1"/>
  <c r="O234" i="3"/>
  <c r="I234" i="3"/>
  <c r="H234" i="3"/>
  <c r="AF234" i="3"/>
  <c r="AG234" i="3" s="1"/>
  <c r="M233" i="3"/>
  <c r="W233" i="3"/>
  <c r="AJ233" i="3" s="1"/>
  <c r="X233" i="3"/>
  <c r="Y233" i="3" s="1"/>
  <c r="L233" i="3"/>
  <c r="Q233" i="3" s="1"/>
  <c r="F236" i="3"/>
  <c r="G235" i="3"/>
  <c r="AR184" i="8"/>
  <c r="AN184" i="8"/>
  <c r="AW184" i="8" s="1"/>
  <c r="AO183" i="8"/>
  <c r="AU183" i="8" s="1"/>
  <c r="AP183" i="8"/>
  <c r="AV183" i="8" s="1"/>
  <c r="R185" i="8"/>
  <c r="S185" i="8"/>
  <c r="AH181" i="3"/>
  <c r="AI181" i="3" s="1"/>
  <c r="N186" i="8"/>
  <c r="T185" i="8"/>
  <c r="Z185" i="8" s="1"/>
  <c r="AH187" i="8"/>
  <c r="AI186" i="8"/>
  <c r="AH187" i="9"/>
  <c r="AI186" i="9"/>
  <c r="AT184" i="8" l="1"/>
  <c r="K235" i="3"/>
  <c r="P235" i="3" a="1"/>
  <c r="P235" i="3" s="1"/>
  <c r="O235" i="3"/>
  <c r="I235" i="3"/>
  <c r="AF235" i="3"/>
  <c r="AG235" i="3" s="1"/>
  <c r="H235" i="3"/>
  <c r="F237" i="3"/>
  <c r="G236" i="3"/>
  <c r="M234" i="3"/>
  <c r="L234" i="3"/>
  <c r="Q234" i="3" s="1"/>
  <c r="X234" i="3"/>
  <c r="Y234" i="3" s="1"/>
  <c r="W234" i="3"/>
  <c r="AJ234" i="3" s="1"/>
  <c r="AR185" i="8"/>
  <c r="AN185" i="8"/>
  <c r="AW185" i="8" s="1"/>
  <c r="AO184" i="8"/>
  <c r="AU184" i="8" s="1"/>
  <c r="AP184" i="8"/>
  <c r="AV184" i="8" s="1"/>
  <c r="R186" i="8"/>
  <c r="S186" i="8"/>
  <c r="AH182" i="3"/>
  <c r="AI182" i="3" s="1"/>
  <c r="N187" i="8"/>
  <c r="T186" i="8"/>
  <c r="Z186" i="8" s="1"/>
  <c r="AH188" i="9"/>
  <c r="AI187" i="9"/>
  <c r="AI187" i="8"/>
  <c r="AH188" i="8"/>
  <c r="AT185" i="8" l="1"/>
  <c r="K236" i="3"/>
  <c r="P236" i="3" a="1"/>
  <c r="P236" i="3" s="1"/>
  <c r="O236" i="3"/>
  <c r="I236" i="3"/>
  <c r="AF236" i="3"/>
  <c r="AG236" i="3" s="1"/>
  <c r="H236" i="3"/>
  <c r="F238" i="3"/>
  <c r="G237" i="3"/>
  <c r="M235" i="3"/>
  <c r="X235" i="3"/>
  <c r="Y235" i="3" s="1"/>
  <c r="W235" i="3"/>
  <c r="AJ235" i="3" s="1"/>
  <c r="L235" i="3"/>
  <c r="Q235" i="3" s="1"/>
  <c r="AR186" i="8"/>
  <c r="AN186" i="8"/>
  <c r="AW186" i="8" s="1"/>
  <c r="AO185" i="8"/>
  <c r="AU185" i="8" s="1"/>
  <c r="AP185" i="8"/>
  <c r="AV185" i="8" s="1"/>
  <c r="R187" i="8"/>
  <c r="S187" i="8"/>
  <c r="AH183" i="3"/>
  <c r="AI183" i="3" s="1"/>
  <c r="N188" i="8"/>
  <c r="T187" i="8"/>
  <c r="Z187" i="8" s="1"/>
  <c r="AI188" i="9"/>
  <c r="AH189" i="9"/>
  <c r="AH189" i="8"/>
  <c r="AI188" i="8"/>
  <c r="AT186" i="8" l="1"/>
  <c r="P237" i="3" a="1"/>
  <c r="P237" i="3" s="1"/>
  <c r="K237" i="3"/>
  <c r="O237" i="3"/>
  <c r="I237" i="3"/>
  <c r="AF237" i="3"/>
  <c r="AG237" i="3" s="1"/>
  <c r="H237" i="3"/>
  <c r="F239" i="3"/>
  <c r="G238" i="3"/>
  <c r="M236" i="3"/>
  <c r="W236" i="3"/>
  <c r="AJ236" i="3" s="1"/>
  <c r="L236" i="3"/>
  <c r="Q236" i="3" s="1"/>
  <c r="X236" i="3"/>
  <c r="Y236" i="3" s="1"/>
  <c r="AR187" i="8"/>
  <c r="AN187" i="8"/>
  <c r="AW187" i="8" s="1"/>
  <c r="AP186" i="8"/>
  <c r="AV186" i="8" s="1"/>
  <c r="AO186" i="8"/>
  <c r="AU186" i="8" s="1"/>
  <c r="R188" i="8"/>
  <c r="S188" i="8"/>
  <c r="AH184" i="3"/>
  <c r="AI184" i="3" s="1"/>
  <c r="N189" i="8"/>
  <c r="T188" i="8"/>
  <c r="Z188" i="8" s="1"/>
  <c r="AI189" i="8"/>
  <c r="AH190" i="8"/>
  <c r="AI189" i="9"/>
  <c r="AH190" i="9"/>
  <c r="AT187" i="8" l="1"/>
  <c r="K238" i="3"/>
  <c r="P238" i="3" a="1"/>
  <c r="P238" i="3" s="1"/>
  <c r="O238" i="3"/>
  <c r="I238" i="3"/>
  <c r="AF238" i="3"/>
  <c r="AG238" i="3" s="1"/>
  <c r="H238" i="3"/>
  <c r="F240" i="3"/>
  <c r="G239" i="3"/>
  <c r="M237" i="3"/>
  <c r="L237" i="3"/>
  <c r="Q237" i="3" s="1"/>
  <c r="W237" i="3"/>
  <c r="AJ237" i="3" s="1"/>
  <c r="X237" i="3"/>
  <c r="Y237" i="3" s="1"/>
  <c r="AR188" i="8"/>
  <c r="AN188" i="8"/>
  <c r="AW188" i="8" s="1"/>
  <c r="AP187" i="8"/>
  <c r="AV187" i="8" s="1"/>
  <c r="AO187" i="8"/>
  <c r="AU187" i="8" s="1"/>
  <c r="R189" i="8"/>
  <c r="S189" i="8"/>
  <c r="AH185" i="3"/>
  <c r="AI185" i="3" s="1"/>
  <c r="N190" i="8"/>
  <c r="T189" i="8"/>
  <c r="Z189" i="8" s="1"/>
  <c r="AH191" i="9"/>
  <c r="AI190" i="9"/>
  <c r="AH191" i="8"/>
  <c r="AI190" i="8"/>
  <c r="AT188" i="8" l="1"/>
  <c r="K239" i="3"/>
  <c r="P239" i="3" a="1"/>
  <c r="P239" i="3" s="1"/>
  <c r="O239" i="3"/>
  <c r="I239" i="3"/>
  <c r="H239" i="3"/>
  <c r="AF239" i="3"/>
  <c r="AG239" i="3" s="1"/>
  <c r="F241" i="3"/>
  <c r="G240" i="3"/>
  <c r="M238" i="3"/>
  <c r="W238" i="3"/>
  <c r="AJ238" i="3" s="1"/>
  <c r="L238" i="3"/>
  <c r="Q238" i="3" s="1"/>
  <c r="X238" i="3"/>
  <c r="Y238" i="3" s="1"/>
  <c r="AR189" i="8"/>
  <c r="AN189" i="8"/>
  <c r="AW189" i="8" s="1"/>
  <c r="AO188" i="8"/>
  <c r="AU188" i="8" s="1"/>
  <c r="AP188" i="8"/>
  <c r="AV188" i="8" s="1"/>
  <c r="R190" i="8"/>
  <c r="S190" i="8"/>
  <c r="AH186" i="3"/>
  <c r="AI186" i="3" s="1"/>
  <c r="N191" i="8"/>
  <c r="T190" i="8"/>
  <c r="Z190" i="8" s="1"/>
  <c r="AH192" i="8"/>
  <c r="AI191" i="8"/>
  <c r="AI191" i="9"/>
  <c r="AH192" i="9"/>
  <c r="AT189" i="8" l="1"/>
  <c r="P240" i="3" a="1"/>
  <c r="P240" i="3" s="1"/>
  <c r="O240" i="3"/>
  <c r="K240" i="3"/>
  <c r="I240" i="3"/>
  <c r="AF240" i="3"/>
  <c r="AG240" i="3" s="1"/>
  <c r="H240" i="3"/>
  <c r="F242" i="3"/>
  <c r="G241" i="3"/>
  <c r="M239" i="3"/>
  <c r="L239" i="3"/>
  <c r="Q239" i="3" s="1"/>
  <c r="W239" i="3"/>
  <c r="AJ239" i="3" s="1"/>
  <c r="X239" i="3"/>
  <c r="Y239" i="3" s="1"/>
  <c r="AR190" i="8"/>
  <c r="AN190" i="8"/>
  <c r="AW190" i="8" s="1"/>
  <c r="AO189" i="8"/>
  <c r="AU189" i="8" s="1"/>
  <c r="AP189" i="8"/>
  <c r="AV189" i="8" s="1"/>
  <c r="R191" i="8"/>
  <c r="S191" i="8"/>
  <c r="AH187" i="3"/>
  <c r="AI187" i="3" s="1"/>
  <c r="T191" i="8"/>
  <c r="Z191" i="8" s="1"/>
  <c r="N192" i="8"/>
  <c r="AI192" i="9"/>
  <c r="AH193" i="9"/>
  <c r="AI192" i="8"/>
  <c r="AH193" i="8"/>
  <c r="AT190" i="8" l="1"/>
  <c r="P241" i="3" a="1"/>
  <c r="P241" i="3" s="1"/>
  <c r="K241" i="3"/>
  <c r="O241" i="3"/>
  <c r="I241" i="3"/>
  <c r="H241" i="3"/>
  <c r="AF241" i="3"/>
  <c r="AG241" i="3" s="1"/>
  <c r="F243" i="3"/>
  <c r="G242" i="3"/>
  <c r="M240" i="3"/>
  <c r="L240" i="3"/>
  <c r="Q240" i="3" s="1"/>
  <c r="X240" i="3"/>
  <c r="Y240" i="3" s="1"/>
  <c r="W240" i="3"/>
  <c r="AJ240" i="3" s="1"/>
  <c r="AR191" i="8"/>
  <c r="AN191" i="8"/>
  <c r="AW191" i="8" s="1"/>
  <c r="AO190" i="8"/>
  <c r="AU190" i="8" s="1"/>
  <c r="AP190" i="8"/>
  <c r="AV190" i="8" s="1"/>
  <c r="R192" i="8"/>
  <c r="S192" i="8"/>
  <c r="AH188" i="3"/>
  <c r="AI188" i="3" s="1"/>
  <c r="N193" i="8"/>
  <c r="T192" i="8"/>
  <c r="Z192" i="8" s="1"/>
  <c r="AI193" i="9"/>
  <c r="AH194" i="9"/>
  <c r="AI193" i="8"/>
  <c r="AH194" i="8"/>
  <c r="AT191" i="8" l="1"/>
  <c r="P242" i="3" a="1"/>
  <c r="P242" i="3" s="1"/>
  <c r="O242" i="3"/>
  <c r="K242" i="3"/>
  <c r="I242" i="3"/>
  <c r="AF242" i="3"/>
  <c r="AG242" i="3" s="1"/>
  <c r="H242" i="3"/>
  <c r="F244" i="3"/>
  <c r="G243" i="3"/>
  <c r="M241" i="3"/>
  <c r="L241" i="3"/>
  <c r="Q241" i="3" s="1"/>
  <c r="W241" i="3"/>
  <c r="AJ241" i="3" s="1"/>
  <c r="X241" i="3"/>
  <c r="Y241" i="3" s="1"/>
  <c r="AR192" i="8"/>
  <c r="AN192" i="8"/>
  <c r="AW192" i="8" s="1"/>
  <c r="AO191" i="8"/>
  <c r="AU191" i="8" s="1"/>
  <c r="AP191" i="8"/>
  <c r="AV191" i="8" s="1"/>
  <c r="R193" i="8"/>
  <c r="S193" i="8"/>
  <c r="AH189" i="3"/>
  <c r="AI189" i="3" s="1"/>
  <c r="T193" i="8"/>
  <c r="Z193" i="8" s="1"/>
  <c r="N194" i="8"/>
  <c r="AH195" i="9"/>
  <c r="AI194" i="9"/>
  <c r="AI194" i="8"/>
  <c r="AH195" i="8"/>
  <c r="AT192" i="8" l="1"/>
  <c r="P243" i="3" a="1"/>
  <c r="P243" i="3" s="1"/>
  <c r="K243" i="3"/>
  <c r="O243" i="3"/>
  <c r="I243" i="3"/>
  <c r="AF243" i="3"/>
  <c r="AG243" i="3" s="1"/>
  <c r="H243" i="3"/>
  <c r="F245" i="3"/>
  <c r="G244" i="3"/>
  <c r="M242" i="3"/>
  <c r="L242" i="3"/>
  <c r="Q242" i="3" s="1"/>
  <c r="W242" i="3"/>
  <c r="AJ242" i="3" s="1"/>
  <c r="X242" i="3"/>
  <c r="Y242" i="3" s="1"/>
  <c r="AR193" i="8"/>
  <c r="AN193" i="8"/>
  <c r="AW193" i="8" s="1"/>
  <c r="AP192" i="8"/>
  <c r="AV192" i="8" s="1"/>
  <c r="AO192" i="8"/>
  <c r="AU192" i="8" s="1"/>
  <c r="R194" i="8"/>
  <c r="S194" i="8"/>
  <c r="AH190" i="3"/>
  <c r="AI190" i="3" s="1"/>
  <c r="N195" i="8"/>
  <c r="T194" i="8"/>
  <c r="Z194" i="8" s="1"/>
  <c r="AI195" i="8"/>
  <c r="AH196" i="8"/>
  <c r="AH196" i="9"/>
  <c r="AI195" i="9"/>
  <c r="AT193" i="8" l="1"/>
  <c r="P244" i="3" a="1"/>
  <c r="P244" i="3" s="1"/>
  <c r="O244" i="3"/>
  <c r="K244" i="3"/>
  <c r="I244" i="3"/>
  <c r="H244" i="3"/>
  <c r="AF244" i="3"/>
  <c r="AG244" i="3" s="1"/>
  <c r="F246" i="3"/>
  <c r="G245" i="3"/>
  <c r="M243" i="3"/>
  <c r="L243" i="3"/>
  <c r="Q243" i="3" s="1"/>
  <c r="W243" i="3"/>
  <c r="AJ243" i="3" s="1"/>
  <c r="X243" i="3"/>
  <c r="Y243" i="3" s="1"/>
  <c r="AR194" i="8"/>
  <c r="AN194" i="8"/>
  <c r="AW194" i="8" s="1"/>
  <c r="AO193" i="8"/>
  <c r="AU193" i="8" s="1"/>
  <c r="AP193" i="8"/>
  <c r="AV193" i="8" s="1"/>
  <c r="R195" i="8"/>
  <c r="S195" i="8"/>
  <c r="AH191" i="3"/>
  <c r="AI191" i="3" s="1"/>
  <c r="N196" i="8"/>
  <c r="T195" i="8"/>
  <c r="Z195" i="8" s="1"/>
  <c r="AI196" i="9"/>
  <c r="AH197" i="9"/>
  <c r="AH197" i="8"/>
  <c r="AI196" i="8"/>
  <c r="AT194" i="8" l="1"/>
  <c r="P245" i="3" a="1"/>
  <c r="P245" i="3" s="1"/>
  <c r="K245" i="3"/>
  <c r="O245" i="3"/>
  <c r="I245" i="3"/>
  <c r="AF245" i="3"/>
  <c r="AG245" i="3" s="1"/>
  <c r="H245" i="3"/>
  <c r="M244" i="3"/>
  <c r="W244" i="3"/>
  <c r="AJ244" i="3" s="1"/>
  <c r="L244" i="3"/>
  <c r="Q244" i="3" s="1"/>
  <c r="X244" i="3"/>
  <c r="Y244" i="3" s="1"/>
  <c r="F247" i="3"/>
  <c r="G246" i="3"/>
  <c r="AR195" i="8"/>
  <c r="AN195" i="8"/>
  <c r="AW195" i="8" s="1"/>
  <c r="AO194" i="8"/>
  <c r="AU194" i="8" s="1"/>
  <c r="AP194" i="8"/>
  <c r="AV194" i="8" s="1"/>
  <c r="R196" i="8"/>
  <c r="S196" i="8"/>
  <c r="AH192" i="3"/>
  <c r="AI192" i="3" s="1"/>
  <c r="N197" i="8"/>
  <c r="T196" i="8"/>
  <c r="Z196" i="8" s="1"/>
  <c r="AI197" i="9"/>
  <c r="AH198" i="9"/>
  <c r="AI197" i="8"/>
  <c r="AH198" i="8"/>
  <c r="AT195" i="8" l="1"/>
  <c r="F248" i="3"/>
  <c r="G247" i="3"/>
  <c r="P246" i="3" a="1"/>
  <c r="P246" i="3" s="1"/>
  <c r="K246" i="3"/>
  <c r="O246" i="3"/>
  <c r="I246" i="3"/>
  <c r="AF246" i="3"/>
  <c r="AG246" i="3" s="1"/>
  <c r="H246" i="3"/>
  <c r="M245" i="3"/>
  <c r="W245" i="3"/>
  <c r="AJ245" i="3" s="1"/>
  <c r="X245" i="3"/>
  <c r="Y245" i="3" s="1"/>
  <c r="L245" i="3"/>
  <c r="Q245" i="3" s="1"/>
  <c r="AR196" i="8"/>
  <c r="AN196" i="8"/>
  <c r="AW196" i="8" s="1"/>
  <c r="AO195" i="8"/>
  <c r="AU195" i="8" s="1"/>
  <c r="AP195" i="8"/>
  <c r="AV195" i="8" s="1"/>
  <c r="R197" i="8"/>
  <c r="S197" i="8"/>
  <c r="AH193" i="3"/>
  <c r="AI193" i="3" s="1"/>
  <c r="N198" i="8"/>
  <c r="T197" i="8"/>
  <c r="Z197" i="8" s="1"/>
  <c r="AH199" i="9"/>
  <c r="AI198" i="9"/>
  <c r="AH199" i="8"/>
  <c r="AI198" i="8"/>
  <c r="AT196" i="8" l="1"/>
  <c r="M246" i="3"/>
  <c r="W246" i="3"/>
  <c r="AJ246" i="3" s="1"/>
  <c r="L246" i="3"/>
  <c r="Q246" i="3" s="1"/>
  <c r="X246" i="3"/>
  <c r="Y246" i="3" s="1"/>
  <c r="P247" i="3" a="1"/>
  <c r="P247" i="3" s="1"/>
  <c r="O247" i="3"/>
  <c r="K247" i="3"/>
  <c r="I247" i="3"/>
  <c r="AF247" i="3"/>
  <c r="AG247" i="3" s="1"/>
  <c r="H247" i="3"/>
  <c r="F249" i="3"/>
  <c r="G248" i="3"/>
  <c r="AR197" i="8"/>
  <c r="AN197" i="8"/>
  <c r="AW197" i="8" s="1"/>
  <c r="AO196" i="8"/>
  <c r="AU196" i="8" s="1"/>
  <c r="AP196" i="8"/>
  <c r="AV196" i="8" s="1"/>
  <c r="R198" i="8"/>
  <c r="S198" i="8"/>
  <c r="AH194" i="3"/>
  <c r="AI194" i="3" s="1"/>
  <c r="N199" i="8"/>
  <c r="T198" i="8"/>
  <c r="Z198" i="8" s="1"/>
  <c r="AH200" i="8"/>
  <c r="AI199" i="8"/>
  <c r="AH200" i="9"/>
  <c r="AI199" i="9"/>
  <c r="AT197" i="8" l="1"/>
  <c r="K248" i="3"/>
  <c r="P248" i="3" a="1"/>
  <c r="P248" i="3" s="1"/>
  <c r="O248" i="3"/>
  <c r="I248" i="3"/>
  <c r="AF248" i="3"/>
  <c r="AG248" i="3" s="1"/>
  <c r="H248" i="3"/>
  <c r="M247" i="3"/>
  <c r="X247" i="3"/>
  <c r="Y247" i="3" s="1"/>
  <c r="W247" i="3"/>
  <c r="AJ247" i="3" s="1"/>
  <c r="L247" i="3"/>
  <c r="Q247" i="3" s="1"/>
  <c r="F250" i="3"/>
  <c r="G249" i="3"/>
  <c r="AR198" i="8"/>
  <c r="AN198" i="8"/>
  <c r="AW198" i="8" s="1"/>
  <c r="AO197" i="8"/>
  <c r="AU197" i="8" s="1"/>
  <c r="AP197" i="8"/>
  <c r="AV197" i="8" s="1"/>
  <c r="R199" i="8"/>
  <c r="S199" i="8"/>
  <c r="AH195" i="3"/>
  <c r="AI195" i="3" s="1"/>
  <c r="N200" i="8"/>
  <c r="T199" i="8"/>
  <c r="Z199" i="8" s="1"/>
  <c r="AI200" i="8"/>
  <c r="AH201" i="8"/>
  <c r="AI200" i="9"/>
  <c r="AH201" i="9"/>
  <c r="AT198" i="8" l="1"/>
  <c r="K249" i="3"/>
  <c r="P249" i="3" a="1"/>
  <c r="P249" i="3" s="1"/>
  <c r="O249" i="3"/>
  <c r="I249" i="3"/>
  <c r="AF249" i="3"/>
  <c r="AG249" i="3" s="1"/>
  <c r="H249" i="3"/>
  <c r="F251" i="3"/>
  <c r="G250" i="3"/>
  <c r="M248" i="3"/>
  <c r="L248" i="3"/>
  <c r="Q248" i="3" s="1"/>
  <c r="X248" i="3"/>
  <c r="Y248" i="3" s="1"/>
  <c r="W248" i="3"/>
  <c r="AJ248" i="3" s="1"/>
  <c r="AR199" i="8"/>
  <c r="AN199" i="8"/>
  <c r="AW199" i="8" s="1"/>
  <c r="AO198" i="8"/>
  <c r="AU198" i="8" s="1"/>
  <c r="AP198" i="8"/>
  <c r="AV198" i="8" s="1"/>
  <c r="R200" i="8"/>
  <c r="S200" i="8"/>
  <c r="AH196" i="3"/>
  <c r="AI196" i="3" s="1"/>
  <c r="N201" i="8"/>
  <c r="T200" i="8"/>
  <c r="Z200" i="8" s="1"/>
  <c r="AI201" i="8"/>
  <c r="AH202" i="8"/>
  <c r="AI201" i="9"/>
  <c r="AH202" i="9"/>
  <c r="AT199" i="8" l="1"/>
  <c r="F252" i="3"/>
  <c r="G251" i="3"/>
  <c r="M249" i="3"/>
  <c r="W249" i="3"/>
  <c r="AJ249" i="3" s="1"/>
  <c r="X249" i="3"/>
  <c r="Y249" i="3" s="1"/>
  <c r="L249" i="3"/>
  <c r="Q249" i="3" s="1"/>
  <c r="K250" i="3"/>
  <c r="P250" i="3" a="1"/>
  <c r="P250" i="3" s="1"/>
  <c r="O250" i="3"/>
  <c r="I250" i="3"/>
  <c r="H250" i="3"/>
  <c r="AF250" i="3"/>
  <c r="AG250" i="3" s="1"/>
  <c r="AR200" i="8"/>
  <c r="AN200" i="8"/>
  <c r="AW200" i="8" s="1"/>
  <c r="AO199" i="8"/>
  <c r="AU199" i="8" s="1"/>
  <c r="AP199" i="8"/>
  <c r="AV199" i="8" s="1"/>
  <c r="R201" i="8"/>
  <c r="S201" i="8"/>
  <c r="AH197" i="3"/>
  <c r="AI197" i="3" s="1"/>
  <c r="N202" i="8"/>
  <c r="T201" i="8"/>
  <c r="Z201" i="8" s="1"/>
  <c r="AH203" i="9"/>
  <c r="AI202" i="9"/>
  <c r="AI202" i="8"/>
  <c r="AH203" i="8"/>
  <c r="AT200" i="8" l="1"/>
  <c r="M250" i="3"/>
  <c r="L250" i="3"/>
  <c r="Q250" i="3" s="1"/>
  <c r="W250" i="3"/>
  <c r="AJ250" i="3" s="1"/>
  <c r="X250" i="3"/>
  <c r="Y250" i="3" s="1"/>
  <c r="K251" i="3"/>
  <c r="P251" i="3" a="1"/>
  <c r="P251" i="3" s="1"/>
  <c r="O251" i="3"/>
  <c r="I251" i="3"/>
  <c r="H251" i="3"/>
  <c r="AF251" i="3"/>
  <c r="AG251" i="3" s="1"/>
  <c r="F253" i="3"/>
  <c r="G252" i="3"/>
  <c r="AR201" i="8"/>
  <c r="AN201" i="8"/>
  <c r="AW201" i="8" s="1"/>
  <c r="AO200" i="8"/>
  <c r="AU200" i="8" s="1"/>
  <c r="AP200" i="8"/>
  <c r="AV200" i="8" s="1"/>
  <c r="R202" i="8"/>
  <c r="S202" i="8"/>
  <c r="AH198" i="3"/>
  <c r="AI198" i="3" s="1"/>
  <c r="N203" i="8"/>
  <c r="T202" i="8"/>
  <c r="Z202" i="8" s="1"/>
  <c r="AI203" i="8"/>
  <c r="AH204" i="8"/>
  <c r="AH204" i="9"/>
  <c r="AI203" i="9"/>
  <c r="AT201" i="8" l="1"/>
  <c r="P252" i="3" a="1"/>
  <c r="P252" i="3" s="1"/>
  <c r="K252" i="3"/>
  <c r="O252" i="3"/>
  <c r="I252" i="3"/>
  <c r="H252" i="3"/>
  <c r="AF252" i="3"/>
  <c r="AG252" i="3" s="1"/>
  <c r="F254" i="3"/>
  <c r="G253" i="3"/>
  <c r="M251" i="3"/>
  <c r="X251" i="3"/>
  <c r="Y251" i="3" s="1"/>
  <c r="W251" i="3"/>
  <c r="AJ251" i="3" s="1"/>
  <c r="L251" i="3"/>
  <c r="Q251" i="3" s="1"/>
  <c r="AR202" i="8"/>
  <c r="AN202" i="8"/>
  <c r="AW202" i="8" s="1"/>
  <c r="AP201" i="8"/>
  <c r="AV201" i="8" s="1"/>
  <c r="AO201" i="8"/>
  <c r="AU201" i="8" s="1"/>
  <c r="R203" i="8"/>
  <c r="S203" i="8"/>
  <c r="AH199" i="3"/>
  <c r="AI199" i="3" s="1"/>
  <c r="N204" i="8"/>
  <c r="T203" i="8"/>
  <c r="Z203" i="8" s="1"/>
  <c r="AI204" i="9"/>
  <c r="AH205" i="9"/>
  <c r="AH205" i="8"/>
  <c r="AI204" i="8"/>
  <c r="AT202" i="8" l="1"/>
  <c r="P253" i="3" a="1"/>
  <c r="P253" i="3" s="1"/>
  <c r="K253" i="3"/>
  <c r="O253" i="3"/>
  <c r="I253" i="3"/>
  <c r="H253" i="3"/>
  <c r="AF253" i="3"/>
  <c r="AG253" i="3" s="1"/>
  <c r="F255" i="3"/>
  <c r="G254" i="3"/>
  <c r="M252" i="3"/>
  <c r="L252" i="3"/>
  <c r="Q252" i="3" s="1"/>
  <c r="W252" i="3"/>
  <c r="AJ252" i="3" s="1"/>
  <c r="X252" i="3"/>
  <c r="Y252" i="3" s="1"/>
  <c r="AR203" i="8"/>
  <c r="AN203" i="8"/>
  <c r="AW203" i="8" s="1"/>
  <c r="AO202" i="8"/>
  <c r="AU202" i="8" s="1"/>
  <c r="AP202" i="8"/>
  <c r="AV202" i="8" s="1"/>
  <c r="R204" i="8"/>
  <c r="S204" i="8"/>
  <c r="AH200" i="3"/>
  <c r="AI200" i="3" s="1"/>
  <c r="N205" i="8"/>
  <c r="T204" i="8"/>
  <c r="Z204" i="8" s="1"/>
  <c r="AI205" i="8"/>
  <c r="AH206" i="8"/>
  <c r="AI205" i="9"/>
  <c r="AH206" i="9"/>
  <c r="AT203" i="8" l="1"/>
  <c r="P254" i="3" a="1"/>
  <c r="P254" i="3" s="1"/>
  <c r="O254" i="3"/>
  <c r="K254" i="3"/>
  <c r="I254" i="3"/>
  <c r="AF254" i="3"/>
  <c r="AG254" i="3" s="1"/>
  <c r="H254" i="3"/>
  <c r="F256" i="3"/>
  <c r="G255" i="3"/>
  <c r="M253" i="3"/>
  <c r="L253" i="3"/>
  <c r="Q253" i="3" s="1"/>
  <c r="X253" i="3"/>
  <c r="Y253" i="3" s="1"/>
  <c r="W253" i="3"/>
  <c r="AJ253" i="3" s="1"/>
  <c r="AR204" i="8"/>
  <c r="AN204" i="8"/>
  <c r="AW204" i="8" s="1"/>
  <c r="AO203" i="8"/>
  <c r="AU203" i="8" s="1"/>
  <c r="AP203" i="8"/>
  <c r="AV203" i="8" s="1"/>
  <c r="R205" i="8"/>
  <c r="S205" i="8"/>
  <c r="AH201" i="3"/>
  <c r="AI201" i="3" s="1"/>
  <c r="N206" i="8"/>
  <c r="T205" i="8"/>
  <c r="Z205" i="8" s="1"/>
  <c r="AI206" i="8"/>
  <c r="AH207" i="8"/>
  <c r="AI206" i="9"/>
  <c r="AH207" i="9"/>
  <c r="AT204" i="8" l="1"/>
  <c r="P255" i="3" a="1"/>
  <c r="P255" i="3" s="1"/>
  <c r="K255" i="3"/>
  <c r="O255" i="3"/>
  <c r="I255" i="3"/>
  <c r="H255" i="3"/>
  <c r="AF255" i="3"/>
  <c r="AG255" i="3" s="1"/>
  <c r="M254" i="3"/>
  <c r="L254" i="3"/>
  <c r="Q254" i="3" s="1"/>
  <c r="W254" i="3"/>
  <c r="AJ254" i="3" s="1"/>
  <c r="X254" i="3"/>
  <c r="Y254" i="3" s="1"/>
  <c r="F257" i="3"/>
  <c r="G256" i="3"/>
  <c r="AR205" i="8"/>
  <c r="AN205" i="8"/>
  <c r="AW205" i="8" s="1"/>
  <c r="AO204" i="8"/>
  <c r="AU204" i="8" s="1"/>
  <c r="AP204" i="8"/>
  <c r="AV204" i="8" s="1"/>
  <c r="R206" i="8"/>
  <c r="S206" i="8"/>
  <c r="AH202" i="3"/>
  <c r="AI202" i="3" s="1"/>
  <c r="N207" i="8"/>
  <c r="T206" i="8"/>
  <c r="Z206" i="8" s="1"/>
  <c r="AI207" i="9"/>
  <c r="AH208" i="9"/>
  <c r="AH208" i="8"/>
  <c r="AI207" i="8"/>
  <c r="AT205" i="8" l="1"/>
  <c r="P256" i="3" a="1"/>
  <c r="P256" i="3" s="1"/>
  <c r="K256" i="3"/>
  <c r="O256" i="3"/>
  <c r="I256" i="3"/>
  <c r="AF256" i="3"/>
  <c r="AG256" i="3" s="1"/>
  <c r="H256" i="3"/>
  <c r="F258" i="3"/>
  <c r="G257" i="3"/>
  <c r="M255" i="3"/>
  <c r="W255" i="3"/>
  <c r="AJ255" i="3" s="1"/>
  <c r="X255" i="3"/>
  <c r="Y255" i="3" s="1"/>
  <c r="L255" i="3"/>
  <c r="Q255" i="3" s="1"/>
  <c r="AR206" i="8"/>
  <c r="AN206" i="8"/>
  <c r="AW206" i="8" s="1"/>
  <c r="AO205" i="8"/>
  <c r="AU205" i="8" s="1"/>
  <c r="AP205" i="8"/>
  <c r="AV205" i="8" s="1"/>
  <c r="R207" i="8"/>
  <c r="S207" i="8"/>
  <c r="AH203" i="3"/>
  <c r="AI203" i="3" s="1"/>
  <c r="N208" i="8"/>
  <c r="T207" i="8"/>
  <c r="Z207" i="8" s="1"/>
  <c r="AI208" i="8"/>
  <c r="AH209" i="8"/>
  <c r="AH209" i="9"/>
  <c r="AI208" i="9"/>
  <c r="AT206" i="8" l="1"/>
  <c r="P257" i="3" a="1"/>
  <c r="P257" i="3" s="1"/>
  <c r="O257" i="3"/>
  <c r="K257" i="3"/>
  <c r="I257" i="3"/>
  <c r="AF257" i="3"/>
  <c r="AG257" i="3" s="1"/>
  <c r="H257" i="3"/>
  <c r="F259" i="3"/>
  <c r="G258" i="3"/>
  <c r="M256" i="3"/>
  <c r="X256" i="3"/>
  <c r="Y256" i="3" s="1"/>
  <c r="W256" i="3"/>
  <c r="AJ256" i="3" s="1"/>
  <c r="L256" i="3"/>
  <c r="Q256" i="3" s="1"/>
  <c r="AR207" i="8"/>
  <c r="AN207" i="8"/>
  <c r="AW207" i="8" s="1"/>
  <c r="AO206" i="8"/>
  <c r="AU206" i="8" s="1"/>
  <c r="AP206" i="8"/>
  <c r="AV206" i="8" s="1"/>
  <c r="R208" i="8"/>
  <c r="S208" i="8"/>
  <c r="AH204" i="3"/>
  <c r="AI204" i="3" s="1"/>
  <c r="N209" i="8"/>
  <c r="T208" i="8"/>
  <c r="Z208" i="8" s="1"/>
  <c r="AH210" i="9"/>
  <c r="AI209" i="9"/>
  <c r="AI209" i="8"/>
  <c r="AH210" i="8"/>
  <c r="AT207" i="8" l="1"/>
  <c r="P258" i="3" a="1"/>
  <c r="P258" i="3" s="1"/>
  <c r="O258" i="3"/>
  <c r="K258" i="3"/>
  <c r="I258" i="3"/>
  <c r="AF258" i="3"/>
  <c r="AG258" i="3" s="1"/>
  <c r="H258" i="3"/>
  <c r="F260" i="3"/>
  <c r="G259" i="3"/>
  <c r="M257" i="3"/>
  <c r="X257" i="3"/>
  <c r="Y257" i="3" s="1"/>
  <c r="W257" i="3"/>
  <c r="AJ257" i="3" s="1"/>
  <c r="L257" i="3"/>
  <c r="Q257" i="3" s="1"/>
  <c r="AR208" i="8"/>
  <c r="AN208" i="8"/>
  <c r="AW208" i="8" s="1"/>
  <c r="AO207" i="8"/>
  <c r="AU207" i="8" s="1"/>
  <c r="AP207" i="8"/>
  <c r="AV207" i="8" s="1"/>
  <c r="R209" i="8"/>
  <c r="S209" i="8"/>
  <c r="AH205" i="3"/>
  <c r="AI205" i="3" s="1"/>
  <c r="N210" i="8"/>
  <c r="T209" i="8"/>
  <c r="Z209" i="8" s="1"/>
  <c r="AI210" i="8"/>
  <c r="AH211" i="8"/>
  <c r="AI210" i="9"/>
  <c r="AH211" i="9"/>
  <c r="AT208" i="8" l="1"/>
  <c r="P259" i="3" a="1"/>
  <c r="P259" i="3" s="1"/>
  <c r="K259" i="3"/>
  <c r="O259" i="3"/>
  <c r="I259" i="3"/>
  <c r="AF259" i="3"/>
  <c r="AG259" i="3" s="1"/>
  <c r="H259" i="3"/>
  <c r="F261" i="3"/>
  <c r="G260" i="3"/>
  <c r="M258" i="3"/>
  <c r="L258" i="3"/>
  <c r="Q258" i="3" s="1"/>
  <c r="W258" i="3"/>
  <c r="AJ258" i="3" s="1"/>
  <c r="X258" i="3"/>
  <c r="Y258" i="3" s="1"/>
  <c r="AR209" i="8"/>
  <c r="AN209" i="8"/>
  <c r="AW209" i="8" s="1"/>
  <c r="AP208" i="8"/>
  <c r="AV208" i="8" s="1"/>
  <c r="AO208" i="8"/>
  <c r="AU208" i="8" s="1"/>
  <c r="R210" i="8"/>
  <c r="S210" i="8"/>
  <c r="AH206" i="3"/>
  <c r="AI206" i="3" s="1"/>
  <c r="T210" i="8"/>
  <c r="Z210" i="8" s="1"/>
  <c r="N211" i="8"/>
  <c r="AI211" i="8"/>
  <c r="AH212" i="8"/>
  <c r="AI211" i="9"/>
  <c r="AH212" i="9"/>
  <c r="AT209" i="8" l="1"/>
  <c r="M259" i="3"/>
  <c r="X259" i="3"/>
  <c r="Y259" i="3" s="1"/>
  <c r="L259" i="3"/>
  <c r="Q259" i="3" s="1"/>
  <c r="W259" i="3"/>
  <c r="AJ259" i="3" s="1"/>
  <c r="P260" i="3" a="1"/>
  <c r="P260" i="3" s="1"/>
  <c r="O260" i="3"/>
  <c r="K260" i="3"/>
  <c r="I260" i="3"/>
  <c r="H260" i="3"/>
  <c r="AF260" i="3"/>
  <c r="AG260" i="3" s="1"/>
  <c r="F262" i="3"/>
  <c r="G261" i="3"/>
  <c r="AO209" i="8"/>
  <c r="AU209" i="8" s="1"/>
  <c r="AP209" i="8"/>
  <c r="AV209" i="8" s="1"/>
  <c r="AR210" i="8"/>
  <c r="AN210" i="8"/>
  <c r="AW210" i="8" s="1"/>
  <c r="R211" i="8"/>
  <c r="S211" i="8"/>
  <c r="AH207" i="3"/>
  <c r="AI207" i="3" s="1"/>
  <c r="N212" i="8"/>
  <c r="T211" i="8"/>
  <c r="Z211" i="8" s="1"/>
  <c r="AI212" i="9"/>
  <c r="AH213" i="9"/>
  <c r="AH213" i="8"/>
  <c r="AI212" i="8"/>
  <c r="AT210" i="8" l="1"/>
  <c r="P261" i="3" a="1"/>
  <c r="P261" i="3" s="1"/>
  <c r="K261" i="3"/>
  <c r="O261" i="3"/>
  <c r="I261" i="3"/>
  <c r="AF261" i="3"/>
  <c r="AG261" i="3" s="1"/>
  <c r="H261" i="3"/>
  <c r="F263" i="3"/>
  <c r="G262" i="3"/>
  <c r="M260" i="3"/>
  <c r="L260" i="3"/>
  <c r="Q260" i="3" s="1"/>
  <c r="W260" i="3"/>
  <c r="AJ260" i="3" s="1"/>
  <c r="X260" i="3"/>
  <c r="Y260" i="3" s="1"/>
  <c r="AR211" i="8"/>
  <c r="AN211" i="8"/>
  <c r="AW211" i="8" s="1"/>
  <c r="AO210" i="8"/>
  <c r="AU210" i="8" s="1"/>
  <c r="AP210" i="8"/>
  <c r="AV210" i="8" s="1"/>
  <c r="R212" i="8"/>
  <c r="S212" i="8"/>
  <c r="AH208" i="3"/>
  <c r="AI208" i="3" s="1"/>
  <c r="N213" i="8"/>
  <c r="T212" i="8"/>
  <c r="Z212" i="8" s="1"/>
  <c r="AI213" i="8"/>
  <c r="AH214" i="8"/>
  <c r="AH214" i="9"/>
  <c r="AI213" i="9"/>
  <c r="AT211" i="8" l="1"/>
  <c r="M261" i="3"/>
  <c r="W261" i="3"/>
  <c r="AJ261" i="3" s="1"/>
  <c r="X261" i="3"/>
  <c r="Y261" i="3" s="1"/>
  <c r="L261" i="3"/>
  <c r="Q261" i="3" s="1"/>
  <c r="P262" i="3" a="1"/>
  <c r="P262" i="3" s="1"/>
  <c r="K262" i="3"/>
  <c r="O262" i="3"/>
  <c r="I262" i="3"/>
  <c r="H262" i="3"/>
  <c r="AF262" i="3"/>
  <c r="AG262" i="3" s="1"/>
  <c r="F264" i="3"/>
  <c r="G263" i="3"/>
  <c r="AR212" i="8"/>
  <c r="AN212" i="8"/>
  <c r="AW212" i="8" s="1"/>
  <c r="AO211" i="8"/>
  <c r="AU211" i="8" s="1"/>
  <c r="AP211" i="8"/>
  <c r="AV211" i="8" s="1"/>
  <c r="R213" i="8"/>
  <c r="S213" i="8"/>
  <c r="AH209" i="3"/>
  <c r="AI209" i="3" s="1"/>
  <c r="N214" i="8"/>
  <c r="T213" i="8"/>
  <c r="Z213" i="8" s="1"/>
  <c r="AI214" i="9"/>
  <c r="AH215" i="9"/>
  <c r="AI214" i="8"/>
  <c r="AH215" i="8"/>
  <c r="AT212" i="8" l="1"/>
  <c r="P263" i="3" a="1"/>
  <c r="P263" i="3" s="1"/>
  <c r="O263" i="3"/>
  <c r="K263" i="3"/>
  <c r="I263" i="3"/>
  <c r="H263" i="3"/>
  <c r="AF263" i="3"/>
  <c r="AG263" i="3" s="1"/>
  <c r="F265" i="3"/>
  <c r="G264" i="3"/>
  <c r="M262" i="3"/>
  <c r="W262" i="3"/>
  <c r="AJ262" i="3" s="1"/>
  <c r="X262" i="3"/>
  <c r="Y262" i="3" s="1"/>
  <c r="L262" i="3"/>
  <c r="Q262" i="3" s="1"/>
  <c r="AR213" i="8"/>
  <c r="AN213" i="8"/>
  <c r="AW213" i="8" s="1"/>
  <c r="AO212" i="8"/>
  <c r="AU212" i="8" s="1"/>
  <c r="AP212" i="8"/>
  <c r="AV212" i="8" s="1"/>
  <c r="R214" i="8"/>
  <c r="S214" i="8"/>
  <c r="AH210" i="3"/>
  <c r="AI210" i="3" s="1"/>
  <c r="N215" i="8"/>
  <c r="T214" i="8"/>
  <c r="Z214" i="8" s="1"/>
  <c r="AH216" i="8"/>
  <c r="AI215" i="8"/>
  <c r="AH216" i="9"/>
  <c r="AI215" i="9"/>
  <c r="AT213" i="8" l="1"/>
  <c r="P264" i="3" a="1"/>
  <c r="P264" i="3" s="1"/>
  <c r="K264" i="3"/>
  <c r="O264" i="3"/>
  <c r="I264" i="3"/>
  <c r="AF264" i="3"/>
  <c r="AG264" i="3" s="1"/>
  <c r="H264" i="3"/>
  <c r="F266" i="3"/>
  <c r="G265" i="3"/>
  <c r="M263" i="3"/>
  <c r="L263" i="3"/>
  <c r="Q263" i="3" s="1"/>
  <c r="W263" i="3"/>
  <c r="AJ263" i="3" s="1"/>
  <c r="X263" i="3"/>
  <c r="Y263" i="3" s="1"/>
  <c r="AR214" i="8"/>
  <c r="AN214" i="8"/>
  <c r="AW214" i="8" s="1"/>
  <c r="AO213" i="8"/>
  <c r="AU213" i="8" s="1"/>
  <c r="AP213" i="8"/>
  <c r="AV213" i="8" s="1"/>
  <c r="R215" i="8"/>
  <c r="S215" i="8"/>
  <c r="AH211" i="3"/>
  <c r="AI211" i="3" s="1"/>
  <c r="N216" i="8"/>
  <c r="T215" i="8"/>
  <c r="Z215" i="8" s="1"/>
  <c r="AH217" i="9"/>
  <c r="AI216" i="9"/>
  <c r="AI216" i="8"/>
  <c r="AH217" i="8"/>
  <c r="AT214" i="8" l="1"/>
  <c r="P265" i="3" a="1"/>
  <c r="P265" i="3" s="1"/>
  <c r="K265" i="3"/>
  <c r="O265" i="3"/>
  <c r="I265" i="3"/>
  <c r="H265" i="3"/>
  <c r="AF265" i="3"/>
  <c r="AG265" i="3" s="1"/>
  <c r="F267" i="3"/>
  <c r="G266" i="3"/>
  <c r="M264" i="3"/>
  <c r="X264" i="3"/>
  <c r="Y264" i="3" s="1"/>
  <c r="W264" i="3"/>
  <c r="AJ264" i="3" s="1"/>
  <c r="L264" i="3"/>
  <c r="Q264" i="3" s="1"/>
  <c r="AR215" i="8"/>
  <c r="AN215" i="8"/>
  <c r="AW215" i="8" s="1"/>
  <c r="AP214" i="8"/>
  <c r="AV214" i="8" s="1"/>
  <c r="AO214" i="8"/>
  <c r="AU214" i="8" s="1"/>
  <c r="R216" i="8"/>
  <c r="S216" i="8"/>
  <c r="AH212" i="3"/>
  <c r="AI212" i="3" s="1"/>
  <c r="N217" i="8"/>
  <c r="T216" i="8"/>
  <c r="Z216" i="8" s="1"/>
  <c r="AI217" i="8"/>
  <c r="AH218" i="8"/>
  <c r="AH218" i="9"/>
  <c r="AI217" i="9"/>
  <c r="AT215" i="8" l="1"/>
  <c r="P266" i="3" a="1"/>
  <c r="P266" i="3" s="1"/>
  <c r="K266" i="3"/>
  <c r="C84" i="7" s="1"/>
  <c r="U265" i="3" s="1"/>
  <c r="V265" i="3" s="1"/>
  <c r="AC265" i="3" s="1"/>
  <c r="O266" i="3"/>
  <c r="I266" i="3"/>
  <c r="C81" i="7" s="1"/>
  <c r="AF266" i="3"/>
  <c r="AG266" i="3" s="1"/>
  <c r="H266" i="3"/>
  <c r="F268" i="3"/>
  <c r="G267" i="3"/>
  <c r="M265" i="3"/>
  <c r="W265" i="3"/>
  <c r="AJ265" i="3" s="1"/>
  <c r="L265" i="3"/>
  <c r="Q265" i="3" s="1"/>
  <c r="X265" i="3"/>
  <c r="Y265" i="3" s="1"/>
  <c r="AR216" i="8"/>
  <c r="AN216" i="8"/>
  <c r="AW216" i="8" s="1"/>
  <c r="AP215" i="8"/>
  <c r="AV215" i="8" s="1"/>
  <c r="AO215" i="8"/>
  <c r="AU215" i="8" s="1"/>
  <c r="R217" i="8"/>
  <c r="S217" i="8"/>
  <c r="AH213" i="3"/>
  <c r="AI213" i="3" s="1"/>
  <c r="N218" i="8"/>
  <c r="T217" i="8"/>
  <c r="Z217" i="8" s="1"/>
  <c r="AH219" i="8"/>
  <c r="AI218" i="8"/>
  <c r="AH219" i="9"/>
  <c r="AI218" i="9"/>
  <c r="U257" i="3" l="1"/>
  <c r="U258" i="3"/>
  <c r="U52" i="3"/>
  <c r="U11" i="3"/>
  <c r="U54" i="3"/>
  <c r="U23" i="3"/>
  <c r="U20" i="3"/>
  <c r="U55" i="3"/>
  <c r="U44" i="3"/>
  <c r="U66" i="3"/>
  <c r="U74" i="3"/>
  <c r="U82" i="3"/>
  <c r="U90" i="3"/>
  <c r="U98" i="3"/>
  <c r="U106" i="3"/>
  <c r="U114" i="3"/>
  <c r="U122" i="3"/>
  <c r="U130" i="3"/>
  <c r="U138" i="3"/>
  <c r="U146" i="3"/>
  <c r="U154" i="3"/>
  <c r="U162" i="3"/>
  <c r="U170" i="3"/>
  <c r="U178" i="3"/>
  <c r="U186" i="3"/>
  <c r="U194" i="3"/>
  <c r="U202" i="3"/>
  <c r="U210" i="3"/>
  <c r="U218" i="3"/>
  <c r="U226" i="3"/>
  <c r="U234" i="3"/>
  <c r="U242" i="3"/>
  <c r="U250" i="3"/>
  <c r="U26" i="3"/>
  <c r="U38" i="3"/>
  <c r="U86" i="3"/>
  <c r="U118" i="3"/>
  <c r="U166" i="3"/>
  <c r="U198" i="3"/>
  <c r="U254" i="3"/>
  <c r="U43" i="3"/>
  <c r="U58" i="3"/>
  <c r="U4" i="3"/>
  <c r="U19" i="3"/>
  <c r="U49" i="3"/>
  <c r="U57" i="3"/>
  <c r="U35" i="3"/>
  <c r="U59" i="3"/>
  <c r="U67" i="3"/>
  <c r="U75" i="3"/>
  <c r="U83" i="3"/>
  <c r="U91" i="3"/>
  <c r="U99" i="3"/>
  <c r="U107" i="3"/>
  <c r="U115" i="3"/>
  <c r="U123" i="3"/>
  <c r="U131" i="3"/>
  <c r="U139" i="3"/>
  <c r="U147" i="3"/>
  <c r="U155" i="3"/>
  <c r="U163" i="3"/>
  <c r="U171" i="3"/>
  <c r="U179" i="3"/>
  <c r="U187" i="3"/>
  <c r="U195" i="3"/>
  <c r="U203" i="3"/>
  <c r="U211" i="3"/>
  <c r="U219" i="3"/>
  <c r="U227" i="3"/>
  <c r="U235" i="3"/>
  <c r="U243" i="3"/>
  <c r="U251" i="3"/>
  <c r="U7" i="3"/>
  <c r="U110" i="3"/>
  <c r="U174" i="3"/>
  <c r="U238" i="3"/>
  <c r="U36" i="3"/>
  <c r="U5" i="3"/>
  <c r="U13" i="3"/>
  <c r="U9" i="3"/>
  <c r="U24" i="3"/>
  <c r="U29" i="3"/>
  <c r="U28" i="3"/>
  <c r="U60" i="3"/>
  <c r="U68" i="3"/>
  <c r="U76" i="3"/>
  <c r="U84" i="3"/>
  <c r="U92" i="3"/>
  <c r="U100" i="3"/>
  <c r="U108" i="3"/>
  <c r="U116" i="3"/>
  <c r="U124" i="3"/>
  <c r="U132" i="3"/>
  <c r="U140" i="3"/>
  <c r="U148" i="3"/>
  <c r="U156" i="3"/>
  <c r="U164" i="3"/>
  <c r="U172" i="3"/>
  <c r="U180" i="3"/>
  <c r="U188" i="3"/>
  <c r="U196" i="3"/>
  <c r="U204" i="3"/>
  <c r="U212" i="3"/>
  <c r="U220" i="3"/>
  <c r="U228" i="3"/>
  <c r="U236" i="3"/>
  <c r="U244" i="3"/>
  <c r="U252" i="3"/>
  <c r="U46" i="3"/>
  <c r="U94" i="3"/>
  <c r="U158" i="3"/>
  <c r="U214" i="3"/>
  <c r="U45" i="3"/>
  <c r="U6" i="3"/>
  <c r="U14" i="3"/>
  <c r="U12" i="3"/>
  <c r="U33" i="3"/>
  <c r="U30" i="3"/>
  <c r="U37" i="3"/>
  <c r="U61" i="3"/>
  <c r="U69" i="3"/>
  <c r="U77" i="3"/>
  <c r="U85" i="3"/>
  <c r="U93" i="3"/>
  <c r="U101" i="3"/>
  <c r="U109" i="3"/>
  <c r="U117" i="3"/>
  <c r="U125" i="3"/>
  <c r="U133" i="3"/>
  <c r="U141" i="3"/>
  <c r="U149" i="3"/>
  <c r="U157" i="3"/>
  <c r="U165" i="3"/>
  <c r="U173" i="3"/>
  <c r="U181" i="3"/>
  <c r="U189" i="3"/>
  <c r="U197" i="3"/>
  <c r="U205" i="3"/>
  <c r="U213" i="3"/>
  <c r="U221" i="3"/>
  <c r="U229" i="3"/>
  <c r="U237" i="3"/>
  <c r="U245" i="3"/>
  <c r="U253" i="3"/>
  <c r="U142" i="3"/>
  <c r="U230" i="3"/>
  <c r="U47" i="3"/>
  <c r="U8" i="3"/>
  <c r="U16" i="3"/>
  <c r="U41" i="3"/>
  <c r="U25" i="3"/>
  <c r="U32" i="3"/>
  <c r="U39" i="3"/>
  <c r="U63" i="3"/>
  <c r="U71" i="3"/>
  <c r="U79" i="3"/>
  <c r="U87" i="3"/>
  <c r="U95" i="3"/>
  <c r="U103" i="3"/>
  <c r="U111" i="3"/>
  <c r="U119" i="3"/>
  <c r="U127" i="3"/>
  <c r="U135" i="3"/>
  <c r="U143" i="3"/>
  <c r="U151" i="3"/>
  <c r="U159" i="3"/>
  <c r="U167" i="3"/>
  <c r="U175" i="3"/>
  <c r="U183" i="3"/>
  <c r="U191" i="3"/>
  <c r="U199" i="3"/>
  <c r="U207" i="3"/>
  <c r="U215" i="3"/>
  <c r="U223" i="3"/>
  <c r="U231" i="3"/>
  <c r="U239" i="3"/>
  <c r="U247" i="3"/>
  <c r="U255" i="3"/>
  <c r="U31" i="3"/>
  <c r="U62" i="3"/>
  <c r="U102" i="3"/>
  <c r="U150" i="3"/>
  <c r="U206" i="3"/>
  <c r="U48" i="3"/>
  <c r="U10" i="3"/>
  <c r="U18" i="3"/>
  <c r="U22" i="3"/>
  <c r="U53" i="3"/>
  <c r="U34" i="3"/>
  <c r="U40" i="3"/>
  <c r="U64" i="3"/>
  <c r="U72" i="3"/>
  <c r="U80" i="3"/>
  <c r="U88" i="3"/>
  <c r="U96" i="3"/>
  <c r="U104" i="3"/>
  <c r="U112" i="3"/>
  <c r="U120" i="3"/>
  <c r="U128" i="3"/>
  <c r="U136" i="3"/>
  <c r="U144" i="3"/>
  <c r="U152" i="3"/>
  <c r="U160" i="3"/>
  <c r="U168" i="3"/>
  <c r="U176" i="3"/>
  <c r="U184" i="3"/>
  <c r="U192" i="3"/>
  <c r="U200" i="3"/>
  <c r="U208" i="3"/>
  <c r="U216" i="3"/>
  <c r="U224" i="3"/>
  <c r="U232" i="3"/>
  <c r="U240" i="3"/>
  <c r="U248" i="3"/>
  <c r="U256" i="3"/>
  <c r="U21" i="3"/>
  <c r="U78" i="3"/>
  <c r="U134" i="3"/>
  <c r="U190" i="3"/>
  <c r="U246" i="3"/>
  <c r="U50" i="3"/>
  <c r="U56" i="3"/>
  <c r="U3" i="3"/>
  <c r="U17" i="3"/>
  <c r="U27" i="3"/>
  <c r="U51" i="3"/>
  <c r="U42" i="3"/>
  <c r="U65" i="3"/>
  <c r="U73" i="3"/>
  <c r="U81" i="3"/>
  <c r="U89" i="3"/>
  <c r="U97" i="3"/>
  <c r="U105" i="3"/>
  <c r="U113" i="3"/>
  <c r="U121" i="3"/>
  <c r="U129" i="3"/>
  <c r="U137" i="3"/>
  <c r="U145" i="3"/>
  <c r="U153" i="3"/>
  <c r="U161" i="3"/>
  <c r="U169" i="3"/>
  <c r="U177" i="3"/>
  <c r="U185" i="3"/>
  <c r="U193" i="3"/>
  <c r="U201" i="3"/>
  <c r="U209" i="3"/>
  <c r="U217" i="3"/>
  <c r="U225" i="3"/>
  <c r="U233" i="3"/>
  <c r="U241" i="3"/>
  <c r="U249" i="3"/>
  <c r="U15" i="3"/>
  <c r="U70" i="3"/>
  <c r="U126" i="3"/>
  <c r="U182" i="3"/>
  <c r="U222" i="3"/>
  <c r="U259" i="3"/>
  <c r="U260" i="3"/>
  <c r="U261" i="3"/>
  <c r="U262" i="3"/>
  <c r="U263" i="3"/>
  <c r="U264" i="3"/>
  <c r="AT216" i="8"/>
  <c r="AB265" i="3"/>
  <c r="AD265" i="3" s="1"/>
  <c r="AE265" i="3" s="1"/>
  <c r="K267" i="3"/>
  <c r="P267" i="3" a="1"/>
  <c r="P267" i="3" s="1"/>
  <c r="O267" i="3"/>
  <c r="I267" i="3"/>
  <c r="H267" i="3"/>
  <c r="AF267" i="3"/>
  <c r="AG267" i="3" s="1"/>
  <c r="F269" i="3"/>
  <c r="G268" i="3"/>
  <c r="M266" i="3"/>
  <c r="C83" i="7" s="1"/>
  <c r="I67" i="7" s="1"/>
  <c r="X266" i="3"/>
  <c r="Y266" i="3" s="1"/>
  <c r="L266" i="3"/>
  <c r="Q266" i="3" s="1"/>
  <c r="W266" i="3"/>
  <c r="AJ266" i="3" s="1"/>
  <c r="U266" i="3"/>
  <c r="V266" i="3" s="1"/>
  <c r="AC266" i="3" s="1"/>
  <c r="AR217" i="8"/>
  <c r="AN217" i="8"/>
  <c r="AW217" i="8" s="1"/>
  <c r="AP216" i="8"/>
  <c r="AV216" i="8" s="1"/>
  <c r="AO216" i="8"/>
  <c r="AU216" i="8" s="1"/>
  <c r="R218" i="8"/>
  <c r="S218" i="8"/>
  <c r="AH214" i="3"/>
  <c r="AI214" i="3" s="1"/>
  <c r="T218" i="8"/>
  <c r="Z218" i="8" s="1"/>
  <c r="N219" i="8"/>
  <c r="AI219" i="9"/>
  <c r="AH220" i="9"/>
  <c r="AH220" i="8"/>
  <c r="AI219" i="8"/>
  <c r="V222" i="3" l="1"/>
  <c r="AC222" i="3" s="1"/>
  <c r="AB222" i="3"/>
  <c r="V225" i="3"/>
  <c r="AC225" i="3" s="1"/>
  <c r="AB225" i="3"/>
  <c r="V161" i="3"/>
  <c r="AC161" i="3" s="1"/>
  <c r="AB161" i="3"/>
  <c r="V97" i="3"/>
  <c r="AC97" i="3" s="1"/>
  <c r="AB97" i="3"/>
  <c r="V17" i="3"/>
  <c r="AC17" i="3" s="1"/>
  <c r="AB17" i="3"/>
  <c r="V21" i="3"/>
  <c r="AC21" i="3" s="1"/>
  <c r="AB21" i="3"/>
  <c r="V200" i="3"/>
  <c r="AC200" i="3" s="1"/>
  <c r="AB200" i="3"/>
  <c r="V136" i="3"/>
  <c r="AC136" i="3" s="1"/>
  <c r="AB136" i="3"/>
  <c r="V72" i="3"/>
  <c r="AC72" i="3" s="1"/>
  <c r="AB72" i="3"/>
  <c r="V48" i="3"/>
  <c r="AC48" i="3" s="1"/>
  <c r="AB48" i="3"/>
  <c r="V239" i="3"/>
  <c r="AC239" i="3" s="1"/>
  <c r="AB239" i="3"/>
  <c r="V175" i="3"/>
  <c r="AC175" i="3" s="1"/>
  <c r="AB175" i="3"/>
  <c r="V111" i="3"/>
  <c r="AC111" i="3" s="1"/>
  <c r="AB111" i="3"/>
  <c r="V32" i="3"/>
  <c r="AC32" i="3" s="1"/>
  <c r="AB32" i="3"/>
  <c r="V253" i="3"/>
  <c r="AC253" i="3" s="1"/>
  <c r="AB253" i="3"/>
  <c r="V189" i="3"/>
  <c r="AC189" i="3" s="1"/>
  <c r="AB189" i="3"/>
  <c r="V125" i="3"/>
  <c r="AC125" i="3" s="1"/>
  <c r="AB125" i="3"/>
  <c r="V61" i="3"/>
  <c r="AC61" i="3" s="1"/>
  <c r="AB61" i="3"/>
  <c r="V214" i="3"/>
  <c r="AC214" i="3" s="1"/>
  <c r="AB214" i="3"/>
  <c r="V220" i="3"/>
  <c r="AC220" i="3" s="1"/>
  <c r="AB220" i="3"/>
  <c r="V156" i="3"/>
  <c r="AC156" i="3" s="1"/>
  <c r="AB156" i="3"/>
  <c r="V92" i="3"/>
  <c r="AC92" i="3" s="1"/>
  <c r="AB92" i="3"/>
  <c r="V9" i="3"/>
  <c r="AC9" i="3" s="1"/>
  <c r="AB9" i="3"/>
  <c r="V251" i="3"/>
  <c r="AC251" i="3" s="1"/>
  <c r="AB251" i="3"/>
  <c r="V187" i="3"/>
  <c r="AC187" i="3" s="1"/>
  <c r="AB187" i="3"/>
  <c r="V123" i="3"/>
  <c r="AC123" i="3" s="1"/>
  <c r="AB123" i="3"/>
  <c r="V59" i="3"/>
  <c r="AC59" i="3" s="1"/>
  <c r="AB59" i="3"/>
  <c r="V254" i="3"/>
  <c r="AC254" i="3" s="1"/>
  <c r="AB254" i="3"/>
  <c r="V242" i="3"/>
  <c r="AC242" i="3" s="1"/>
  <c r="AB242" i="3"/>
  <c r="V178" i="3"/>
  <c r="AC178" i="3" s="1"/>
  <c r="AB178" i="3"/>
  <c r="V114" i="3"/>
  <c r="AC114" i="3" s="1"/>
  <c r="AB114" i="3"/>
  <c r="V55" i="3"/>
  <c r="AC55" i="3" s="1"/>
  <c r="AB55" i="3"/>
  <c r="V182" i="3"/>
  <c r="AC182" i="3" s="1"/>
  <c r="AB182" i="3"/>
  <c r="V217" i="3"/>
  <c r="AC217" i="3" s="1"/>
  <c r="AB217" i="3"/>
  <c r="V153" i="3"/>
  <c r="AC153" i="3" s="1"/>
  <c r="AB153" i="3"/>
  <c r="V89" i="3"/>
  <c r="AC89" i="3" s="1"/>
  <c r="AB89" i="3"/>
  <c r="V3" i="3"/>
  <c r="AC3" i="3" s="1"/>
  <c r="AB3" i="3"/>
  <c r="V256" i="3"/>
  <c r="AC256" i="3" s="1"/>
  <c r="AB256" i="3"/>
  <c r="V192" i="3"/>
  <c r="AC192" i="3" s="1"/>
  <c r="AB192" i="3"/>
  <c r="V128" i="3"/>
  <c r="AC128" i="3" s="1"/>
  <c r="AB128" i="3"/>
  <c r="V64" i="3"/>
  <c r="AC64" i="3" s="1"/>
  <c r="AB64" i="3"/>
  <c r="V206" i="3"/>
  <c r="AC206" i="3" s="1"/>
  <c r="AB206" i="3"/>
  <c r="V231" i="3"/>
  <c r="AC231" i="3" s="1"/>
  <c r="AB231" i="3"/>
  <c r="V167" i="3"/>
  <c r="AC167" i="3" s="1"/>
  <c r="AB167" i="3"/>
  <c r="V103" i="3"/>
  <c r="AC103" i="3" s="1"/>
  <c r="AB103" i="3"/>
  <c r="V25" i="3"/>
  <c r="AC25" i="3" s="1"/>
  <c r="AB25" i="3"/>
  <c r="V245" i="3"/>
  <c r="AC245" i="3" s="1"/>
  <c r="AB245" i="3"/>
  <c r="V181" i="3"/>
  <c r="AC181" i="3" s="1"/>
  <c r="AB181" i="3"/>
  <c r="V117" i="3"/>
  <c r="AC117" i="3" s="1"/>
  <c r="AB117" i="3"/>
  <c r="V37" i="3"/>
  <c r="AC37" i="3" s="1"/>
  <c r="AB37" i="3"/>
  <c r="V158" i="3"/>
  <c r="AC158" i="3" s="1"/>
  <c r="AB158" i="3"/>
  <c r="V212" i="3"/>
  <c r="AC212" i="3" s="1"/>
  <c r="AB212" i="3"/>
  <c r="V148" i="3"/>
  <c r="AC148" i="3" s="1"/>
  <c r="AB148" i="3"/>
  <c r="V84" i="3"/>
  <c r="AC84" i="3" s="1"/>
  <c r="AB84" i="3"/>
  <c r="V13" i="3"/>
  <c r="AC13" i="3" s="1"/>
  <c r="AB13" i="3"/>
  <c r="AB243" i="3"/>
  <c r="V243" i="3"/>
  <c r="AC243" i="3" s="1"/>
  <c r="AB179" i="3"/>
  <c r="V179" i="3"/>
  <c r="AC179" i="3" s="1"/>
  <c r="AB115" i="3"/>
  <c r="V115" i="3"/>
  <c r="AC115" i="3" s="1"/>
  <c r="AB35" i="3"/>
  <c r="V35" i="3"/>
  <c r="AC35" i="3" s="1"/>
  <c r="V198" i="3"/>
  <c r="AC198" i="3" s="1"/>
  <c r="AB198" i="3"/>
  <c r="V234" i="3"/>
  <c r="AC234" i="3" s="1"/>
  <c r="AB234" i="3"/>
  <c r="V170" i="3"/>
  <c r="AC170" i="3" s="1"/>
  <c r="AB170" i="3"/>
  <c r="V106" i="3"/>
  <c r="AC106" i="3" s="1"/>
  <c r="AB106" i="3"/>
  <c r="V20" i="3"/>
  <c r="AC20" i="3" s="1"/>
  <c r="AB20" i="3"/>
  <c r="V264" i="3"/>
  <c r="AC264" i="3" s="1"/>
  <c r="AB264" i="3"/>
  <c r="V126" i="3"/>
  <c r="AC126" i="3" s="1"/>
  <c r="AB126" i="3"/>
  <c r="AB209" i="3"/>
  <c r="V209" i="3"/>
  <c r="AC209" i="3" s="1"/>
  <c r="AB145" i="3"/>
  <c r="V145" i="3"/>
  <c r="AC145" i="3" s="1"/>
  <c r="AB81" i="3"/>
  <c r="V81" i="3"/>
  <c r="AC81" i="3" s="1"/>
  <c r="AB56" i="3"/>
  <c r="V56" i="3"/>
  <c r="AC56" i="3" s="1"/>
  <c r="V248" i="3"/>
  <c r="AC248" i="3" s="1"/>
  <c r="AB248" i="3"/>
  <c r="V184" i="3"/>
  <c r="AC184" i="3" s="1"/>
  <c r="AB184" i="3"/>
  <c r="V120" i="3"/>
  <c r="AC120" i="3" s="1"/>
  <c r="AB120" i="3"/>
  <c r="V40" i="3"/>
  <c r="AC40" i="3" s="1"/>
  <c r="AB40" i="3"/>
  <c r="V150" i="3"/>
  <c r="AC150" i="3" s="1"/>
  <c r="AB150" i="3"/>
  <c r="V223" i="3"/>
  <c r="AC223" i="3" s="1"/>
  <c r="AB223" i="3"/>
  <c r="V159" i="3"/>
  <c r="AC159" i="3" s="1"/>
  <c r="AB159" i="3"/>
  <c r="V95" i="3"/>
  <c r="AC95" i="3" s="1"/>
  <c r="AB95" i="3"/>
  <c r="V41" i="3"/>
  <c r="AC41" i="3" s="1"/>
  <c r="AB41" i="3"/>
  <c r="V237" i="3"/>
  <c r="AC237" i="3" s="1"/>
  <c r="AB237" i="3"/>
  <c r="V173" i="3"/>
  <c r="AC173" i="3" s="1"/>
  <c r="AB173" i="3"/>
  <c r="V109" i="3"/>
  <c r="AC109" i="3" s="1"/>
  <c r="AB109" i="3"/>
  <c r="V30" i="3"/>
  <c r="AC30" i="3" s="1"/>
  <c r="AB30" i="3"/>
  <c r="V94" i="3"/>
  <c r="AC94" i="3" s="1"/>
  <c r="AB94" i="3"/>
  <c r="V204" i="3"/>
  <c r="AC204" i="3" s="1"/>
  <c r="AB204" i="3"/>
  <c r="V140" i="3"/>
  <c r="AC140" i="3" s="1"/>
  <c r="AB140" i="3"/>
  <c r="V76" i="3"/>
  <c r="AC76" i="3" s="1"/>
  <c r="AB76" i="3"/>
  <c r="V5" i="3"/>
  <c r="AC5" i="3" s="1"/>
  <c r="AB5" i="3"/>
  <c r="V235" i="3"/>
  <c r="AC235" i="3" s="1"/>
  <c r="AB235" i="3"/>
  <c r="V171" i="3"/>
  <c r="AC171" i="3" s="1"/>
  <c r="AB171" i="3"/>
  <c r="V107" i="3"/>
  <c r="AC107" i="3" s="1"/>
  <c r="AB107" i="3"/>
  <c r="V57" i="3"/>
  <c r="AC57" i="3" s="1"/>
  <c r="AB57" i="3"/>
  <c r="V166" i="3"/>
  <c r="AC166" i="3" s="1"/>
  <c r="AB166" i="3"/>
  <c r="V226" i="3"/>
  <c r="AC226" i="3" s="1"/>
  <c r="AB226" i="3"/>
  <c r="V162" i="3"/>
  <c r="AC162" i="3" s="1"/>
  <c r="AB162" i="3"/>
  <c r="V98" i="3"/>
  <c r="AC98" i="3" s="1"/>
  <c r="AB98" i="3"/>
  <c r="V23" i="3"/>
  <c r="AC23" i="3" s="1"/>
  <c r="AB23" i="3"/>
  <c r="V263" i="3"/>
  <c r="AC263" i="3" s="1"/>
  <c r="AB263" i="3"/>
  <c r="V70" i="3"/>
  <c r="AC70" i="3" s="1"/>
  <c r="AB70" i="3"/>
  <c r="V201" i="3"/>
  <c r="AC201" i="3" s="1"/>
  <c r="AB201" i="3"/>
  <c r="V137" i="3"/>
  <c r="AC137" i="3" s="1"/>
  <c r="AB137" i="3"/>
  <c r="V73" i="3"/>
  <c r="AC73" i="3" s="1"/>
  <c r="AB73" i="3"/>
  <c r="V50" i="3"/>
  <c r="AC50" i="3" s="1"/>
  <c r="AB50" i="3"/>
  <c r="V240" i="3"/>
  <c r="AC240" i="3" s="1"/>
  <c r="AB240" i="3"/>
  <c r="V176" i="3"/>
  <c r="AC176" i="3" s="1"/>
  <c r="AB176" i="3"/>
  <c r="V112" i="3"/>
  <c r="AC112" i="3" s="1"/>
  <c r="AB112" i="3"/>
  <c r="V34" i="3"/>
  <c r="AC34" i="3" s="1"/>
  <c r="AB34" i="3"/>
  <c r="V102" i="3"/>
  <c r="AC102" i="3" s="1"/>
  <c r="AB102" i="3"/>
  <c r="V215" i="3"/>
  <c r="AC215" i="3" s="1"/>
  <c r="AB215" i="3"/>
  <c r="V151" i="3"/>
  <c r="AC151" i="3" s="1"/>
  <c r="AB151" i="3"/>
  <c r="V87" i="3"/>
  <c r="AC87" i="3" s="1"/>
  <c r="AB87" i="3"/>
  <c r="V16" i="3"/>
  <c r="AC16" i="3" s="1"/>
  <c r="AB16" i="3"/>
  <c r="V229" i="3"/>
  <c r="AC229" i="3" s="1"/>
  <c r="AB229" i="3"/>
  <c r="V165" i="3"/>
  <c r="AC165" i="3" s="1"/>
  <c r="AB165" i="3"/>
  <c r="V101" i="3"/>
  <c r="AC101" i="3" s="1"/>
  <c r="AB101" i="3"/>
  <c r="V33" i="3"/>
  <c r="AC33" i="3" s="1"/>
  <c r="AB33" i="3"/>
  <c r="V46" i="3"/>
  <c r="AC46" i="3" s="1"/>
  <c r="AB46" i="3"/>
  <c r="V196" i="3"/>
  <c r="AC196" i="3" s="1"/>
  <c r="AB196" i="3"/>
  <c r="V132" i="3"/>
  <c r="AC132" i="3" s="1"/>
  <c r="AB132" i="3"/>
  <c r="V68" i="3"/>
  <c r="AC68" i="3" s="1"/>
  <c r="AB68" i="3"/>
  <c r="V36" i="3"/>
  <c r="AC36" i="3" s="1"/>
  <c r="AB36" i="3"/>
  <c r="V227" i="3"/>
  <c r="AC227" i="3" s="1"/>
  <c r="AB227" i="3"/>
  <c r="V163" i="3"/>
  <c r="AC163" i="3" s="1"/>
  <c r="AB163" i="3"/>
  <c r="V99" i="3"/>
  <c r="AC99" i="3" s="1"/>
  <c r="AB99" i="3"/>
  <c r="V49" i="3"/>
  <c r="AC49" i="3" s="1"/>
  <c r="AB49" i="3"/>
  <c r="V118" i="3"/>
  <c r="AC118" i="3" s="1"/>
  <c r="AB118" i="3"/>
  <c r="V218" i="3"/>
  <c r="AC218" i="3" s="1"/>
  <c r="AB218" i="3"/>
  <c r="AB154" i="3"/>
  <c r="V154" i="3"/>
  <c r="AC154" i="3" s="1"/>
  <c r="V90" i="3"/>
  <c r="AC90" i="3" s="1"/>
  <c r="AB90" i="3"/>
  <c r="AB54" i="3"/>
  <c r="V54" i="3"/>
  <c r="AC54" i="3" s="1"/>
  <c r="V262" i="3"/>
  <c r="AC262" i="3" s="1"/>
  <c r="AB262" i="3"/>
  <c r="V15" i="3"/>
  <c r="AC15" i="3" s="1"/>
  <c r="AB15" i="3"/>
  <c r="V193" i="3"/>
  <c r="AC193" i="3" s="1"/>
  <c r="AB193" i="3"/>
  <c r="V129" i="3"/>
  <c r="AC129" i="3" s="1"/>
  <c r="AB129" i="3"/>
  <c r="V65" i="3"/>
  <c r="AC65" i="3" s="1"/>
  <c r="AB65" i="3"/>
  <c r="V246" i="3"/>
  <c r="AC246" i="3" s="1"/>
  <c r="AB246" i="3"/>
  <c r="V232" i="3"/>
  <c r="AC232" i="3" s="1"/>
  <c r="AB232" i="3"/>
  <c r="V168" i="3"/>
  <c r="AC168" i="3" s="1"/>
  <c r="AB168" i="3"/>
  <c r="V104" i="3"/>
  <c r="AC104" i="3" s="1"/>
  <c r="AB104" i="3"/>
  <c r="V53" i="3"/>
  <c r="AC53" i="3" s="1"/>
  <c r="AB53" i="3"/>
  <c r="V62" i="3"/>
  <c r="AC62" i="3" s="1"/>
  <c r="AB62" i="3"/>
  <c r="V207" i="3"/>
  <c r="AC207" i="3" s="1"/>
  <c r="AB207" i="3"/>
  <c r="V143" i="3"/>
  <c r="AC143" i="3" s="1"/>
  <c r="AB143" i="3"/>
  <c r="V79" i="3"/>
  <c r="AC79" i="3" s="1"/>
  <c r="AB79" i="3"/>
  <c r="V8" i="3"/>
  <c r="AC8" i="3" s="1"/>
  <c r="AB8" i="3"/>
  <c r="V221" i="3"/>
  <c r="AC221" i="3" s="1"/>
  <c r="AB221" i="3"/>
  <c r="V157" i="3"/>
  <c r="AC157" i="3" s="1"/>
  <c r="AB157" i="3"/>
  <c r="V93" i="3"/>
  <c r="AC93" i="3" s="1"/>
  <c r="AB93" i="3"/>
  <c r="V12" i="3"/>
  <c r="AC12" i="3" s="1"/>
  <c r="AB12" i="3"/>
  <c r="V252" i="3"/>
  <c r="AC252" i="3" s="1"/>
  <c r="AB252" i="3"/>
  <c r="V188" i="3"/>
  <c r="AC188" i="3" s="1"/>
  <c r="AB188" i="3"/>
  <c r="V124" i="3"/>
  <c r="AC124" i="3" s="1"/>
  <c r="AB124" i="3"/>
  <c r="AB60" i="3"/>
  <c r="V60" i="3"/>
  <c r="AC60" i="3" s="1"/>
  <c r="V238" i="3"/>
  <c r="AC238" i="3" s="1"/>
  <c r="AB238" i="3"/>
  <c r="V219" i="3"/>
  <c r="AC219" i="3" s="1"/>
  <c r="AB219" i="3"/>
  <c r="V155" i="3"/>
  <c r="AC155" i="3" s="1"/>
  <c r="AB155" i="3"/>
  <c r="V91" i="3"/>
  <c r="AC91" i="3" s="1"/>
  <c r="AB91" i="3"/>
  <c r="V19" i="3"/>
  <c r="AC19" i="3" s="1"/>
  <c r="AB19" i="3"/>
  <c r="V86" i="3"/>
  <c r="AC86" i="3" s="1"/>
  <c r="AB86" i="3"/>
  <c r="V210" i="3"/>
  <c r="AC210" i="3" s="1"/>
  <c r="AB210" i="3"/>
  <c r="V146" i="3"/>
  <c r="AC146" i="3" s="1"/>
  <c r="AB146" i="3"/>
  <c r="V82" i="3"/>
  <c r="AC82" i="3" s="1"/>
  <c r="AB82" i="3"/>
  <c r="V11" i="3"/>
  <c r="AC11" i="3" s="1"/>
  <c r="AB11" i="3"/>
  <c r="V261" i="3"/>
  <c r="AC261" i="3" s="1"/>
  <c r="AB261" i="3"/>
  <c r="V249" i="3"/>
  <c r="AC249" i="3" s="1"/>
  <c r="AB249" i="3"/>
  <c r="V185" i="3"/>
  <c r="AC185" i="3" s="1"/>
  <c r="AB185" i="3"/>
  <c r="V121" i="3"/>
  <c r="AC121" i="3" s="1"/>
  <c r="AB121" i="3"/>
  <c r="V42" i="3"/>
  <c r="AC42" i="3" s="1"/>
  <c r="AB42" i="3"/>
  <c r="V190" i="3"/>
  <c r="AC190" i="3" s="1"/>
  <c r="AB190" i="3"/>
  <c r="V224" i="3"/>
  <c r="AC224" i="3" s="1"/>
  <c r="AB224" i="3"/>
  <c r="V160" i="3"/>
  <c r="AC160" i="3" s="1"/>
  <c r="AB160" i="3"/>
  <c r="V96" i="3"/>
  <c r="AC96" i="3" s="1"/>
  <c r="AB96" i="3"/>
  <c r="V22" i="3"/>
  <c r="AC22" i="3" s="1"/>
  <c r="AB22" i="3"/>
  <c r="V31" i="3"/>
  <c r="AC31" i="3" s="1"/>
  <c r="AB31" i="3"/>
  <c r="V199" i="3"/>
  <c r="AC199" i="3" s="1"/>
  <c r="AB199" i="3"/>
  <c r="V135" i="3"/>
  <c r="AC135" i="3" s="1"/>
  <c r="AB135" i="3"/>
  <c r="V71" i="3"/>
  <c r="AC71" i="3" s="1"/>
  <c r="AB71" i="3"/>
  <c r="V47" i="3"/>
  <c r="AC47" i="3" s="1"/>
  <c r="AB47" i="3"/>
  <c r="V213" i="3"/>
  <c r="AC213" i="3" s="1"/>
  <c r="AB213" i="3"/>
  <c r="V149" i="3"/>
  <c r="AC149" i="3" s="1"/>
  <c r="AB149" i="3"/>
  <c r="V85" i="3"/>
  <c r="AC85" i="3" s="1"/>
  <c r="AB85" i="3"/>
  <c r="V14" i="3"/>
  <c r="AC14" i="3" s="1"/>
  <c r="AB14" i="3"/>
  <c r="V244" i="3"/>
  <c r="AC244" i="3" s="1"/>
  <c r="AB244" i="3"/>
  <c r="AB180" i="3"/>
  <c r="V180" i="3"/>
  <c r="AC180" i="3" s="1"/>
  <c r="V116" i="3"/>
  <c r="AC116" i="3" s="1"/>
  <c r="AB116" i="3"/>
  <c r="V28" i="3"/>
  <c r="AC28" i="3" s="1"/>
  <c r="AB28" i="3"/>
  <c r="V174" i="3"/>
  <c r="AC174" i="3" s="1"/>
  <c r="AB174" i="3"/>
  <c r="AB211" i="3"/>
  <c r="V211" i="3"/>
  <c r="AC211" i="3" s="1"/>
  <c r="AB147" i="3"/>
  <c r="V147" i="3"/>
  <c r="AC147" i="3" s="1"/>
  <c r="AB83" i="3"/>
  <c r="V83" i="3"/>
  <c r="AC83" i="3" s="1"/>
  <c r="AB4" i="3"/>
  <c r="V4" i="3"/>
  <c r="AC4" i="3" s="1"/>
  <c r="V38" i="3"/>
  <c r="AC38" i="3" s="1"/>
  <c r="AB38" i="3"/>
  <c r="V202" i="3"/>
  <c r="AC202" i="3" s="1"/>
  <c r="AB202" i="3"/>
  <c r="V138" i="3"/>
  <c r="AC138" i="3" s="1"/>
  <c r="AB138" i="3"/>
  <c r="V74" i="3"/>
  <c r="AC74" i="3" s="1"/>
  <c r="AB74" i="3"/>
  <c r="V52" i="3"/>
  <c r="AC52" i="3" s="1"/>
  <c r="AB52" i="3"/>
  <c r="V260" i="3"/>
  <c r="AC260" i="3" s="1"/>
  <c r="AB260" i="3"/>
  <c r="AB241" i="3"/>
  <c r="V241" i="3"/>
  <c r="AC241" i="3" s="1"/>
  <c r="AB177" i="3"/>
  <c r="V177" i="3"/>
  <c r="AC177" i="3" s="1"/>
  <c r="AB113" i="3"/>
  <c r="V113" i="3"/>
  <c r="AC113" i="3" s="1"/>
  <c r="AB51" i="3"/>
  <c r="V51" i="3"/>
  <c r="AC51" i="3" s="1"/>
  <c r="V134" i="3"/>
  <c r="AC134" i="3" s="1"/>
  <c r="AB134" i="3"/>
  <c r="V216" i="3"/>
  <c r="AC216" i="3" s="1"/>
  <c r="AB216" i="3"/>
  <c r="V152" i="3"/>
  <c r="AC152" i="3" s="1"/>
  <c r="AB152" i="3"/>
  <c r="V88" i="3"/>
  <c r="AC88" i="3" s="1"/>
  <c r="AB88" i="3"/>
  <c r="V18" i="3"/>
  <c r="AC18" i="3" s="1"/>
  <c r="AB18" i="3"/>
  <c r="V255" i="3"/>
  <c r="AC255" i="3" s="1"/>
  <c r="AB255" i="3"/>
  <c r="V191" i="3"/>
  <c r="AC191" i="3" s="1"/>
  <c r="AB191" i="3"/>
  <c r="V127" i="3"/>
  <c r="AC127" i="3" s="1"/>
  <c r="AB127" i="3"/>
  <c r="V63" i="3"/>
  <c r="AC63" i="3" s="1"/>
  <c r="AB63" i="3"/>
  <c r="V230" i="3"/>
  <c r="AC230" i="3" s="1"/>
  <c r="AB230" i="3"/>
  <c r="V205" i="3"/>
  <c r="AC205" i="3" s="1"/>
  <c r="AB205" i="3"/>
  <c r="V141" i="3"/>
  <c r="AC141" i="3" s="1"/>
  <c r="AB141" i="3"/>
  <c r="V77" i="3"/>
  <c r="AC77" i="3" s="1"/>
  <c r="AB77" i="3"/>
  <c r="V6" i="3"/>
  <c r="AC6" i="3" s="1"/>
  <c r="AB6" i="3"/>
  <c r="V236" i="3"/>
  <c r="AC236" i="3" s="1"/>
  <c r="AB236" i="3"/>
  <c r="V172" i="3"/>
  <c r="AC172" i="3" s="1"/>
  <c r="AB172" i="3"/>
  <c r="V108" i="3"/>
  <c r="AC108" i="3" s="1"/>
  <c r="AB108" i="3"/>
  <c r="V29" i="3"/>
  <c r="AC29" i="3" s="1"/>
  <c r="AB29" i="3"/>
  <c r="V110" i="3"/>
  <c r="AC110" i="3" s="1"/>
  <c r="AB110" i="3"/>
  <c r="V203" i="3"/>
  <c r="AC203" i="3" s="1"/>
  <c r="AB203" i="3"/>
  <c r="V139" i="3"/>
  <c r="AC139" i="3" s="1"/>
  <c r="AB139" i="3"/>
  <c r="V75" i="3"/>
  <c r="AC75" i="3" s="1"/>
  <c r="AB75" i="3"/>
  <c r="V58" i="3"/>
  <c r="AC58" i="3" s="1"/>
  <c r="AB58" i="3"/>
  <c r="V26" i="3"/>
  <c r="AC26" i="3" s="1"/>
  <c r="AB26" i="3"/>
  <c r="V194" i="3"/>
  <c r="AC194" i="3" s="1"/>
  <c r="AB194" i="3"/>
  <c r="V130" i="3"/>
  <c r="AC130" i="3" s="1"/>
  <c r="AB130" i="3"/>
  <c r="V66" i="3"/>
  <c r="AC66" i="3" s="1"/>
  <c r="AB66" i="3"/>
  <c r="V258" i="3"/>
  <c r="AC258" i="3" s="1"/>
  <c r="AB258" i="3"/>
  <c r="V259" i="3"/>
  <c r="AC259" i="3" s="1"/>
  <c r="AB259" i="3"/>
  <c r="V233" i="3"/>
  <c r="AC233" i="3" s="1"/>
  <c r="AB233" i="3"/>
  <c r="V169" i="3"/>
  <c r="AC169" i="3" s="1"/>
  <c r="AB169" i="3"/>
  <c r="V105" i="3"/>
  <c r="AC105" i="3" s="1"/>
  <c r="AB105" i="3"/>
  <c r="V27" i="3"/>
  <c r="AC27" i="3" s="1"/>
  <c r="AB27" i="3"/>
  <c r="V78" i="3"/>
  <c r="AC78" i="3" s="1"/>
  <c r="AB78" i="3"/>
  <c r="V208" i="3"/>
  <c r="AC208" i="3" s="1"/>
  <c r="AB208" i="3"/>
  <c r="V144" i="3"/>
  <c r="AC144" i="3" s="1"/>
  <c r="AB144" i="3"/>
  <c r="V80" i="3"/>
  <c r="AC80" i="3" s="1"/>
  <c r="AB80" i="3"/>
  <c r="V10" i="3"/>
  <c r="AC10" i="3" s="1"/>
  <c r="AB10" i="3"/>
  <c r="V247" i="3"/>
  <c r="AC247" i="3" s="1"/>
  <c r="AB247" i="3"/>
  <c r="V183" i="3"/>
  <c r="AC183" i="3" s="1"/>
  <c r="AB183" i="3"/>
  <c r="V119" i="3"/>
  <c r="AC119" i="3" s="1"/>
  <c r="AB119" i="3"/>
  <c r="V39" i="3"/>
  <c r="AC39" i="3" s="1"/>
  <c r="AB39" i="3"/>
  <c r="V142" i="3"/>
  <c r="AC142" i="3" s="1"/>
  <c r="AB142" i="3"/>
  <c r="V197" i="3"/>
  <c r="AC197" i="3" s="1"/>
  <c r="AB197" i="3"/>
  <c r="V133" i="3"/>
  <c r="AC133" i="3" s="1"/>
  <c r="AB133" i="3"/>
  <c r="V69" i="3"/>
  <c r="AC69" i="3" s="1"/>
  <c r="AB69" i="3"/>
  <c r="V45" i="3"/>
  <c r="AC45" i="3" s="1"/>
  <c r="AB45" i="3"/>
  <c r="V228" i="3"/>
  <c r="AC228" i="3" s="1"/>
  <c r="AB228" i="3"/>
  <c r="V164" i="3"/>
  <c r="AC164" i="3" s="1"/>
  <c r="AB164" i="3"/>
  <c r="V100" i="3"/>
  <c r="AC100" i="3" s="1"/>
  <c r="AB100" i="3"/>
  <c r="V24" i="3"/>
  <c r="AC24" i="3" s="1"/>
  <c r="AB24" i="3"/>
  <c r="V7" i="3"/>
  <c r="AC7" i="3" s="1"/>
  <c r="AB7" i="3"/>
  <c r="V195" i="3"/>
  <c r="AC195" i="3" s="1"/>
  <c r="AB195" i="3"/>
  <c r="V131" i="3"/>
  <c r="AC131" i="3" s="1"/>
  <c r="AB131" i="3"/>
  <c r="V67" i="3"/>
  <c r="AC67" i="3" s="1"/>
  <c r="AB67" i="3"/>
  <c r="V43" i="3"/>
  <c r="AC43" i="3" s="1"/>
  <c r="AB43" i="3"/>
  <c r="V250" i="3"/>
  <c r="AC250" i="3" s="1"/>
  <c r="AB250" i="3"/>
  <c r="V186" i="3"/>
  <c r="AC186" i="3" s="1"/>
  <c r="AB186" i="3"/>
  <c r="AB122" i="3"/>
  <c r="V122" i="3"/>
  <c r="AC122" i="3" s="1"/>
  <c r="V44" i="3"/>
  <c r="AC44" i="3" s="1"/>
  <c r="AB44" i="3"/>
  <c r="V257" i="3"/>
  <c r="AC257" i="3" s="1"/>
  <c r="AB257" i="3"/>
  <c r="AT217" i="8"/>
  <c r="AB266" i="3"/>
  <c r="AD266" i="3" s="1"/>
  <c r="AE266" i="3" s="1"/>
  <c r="P268" i="3" a="1"/>
  <c r="P268" i="3" s="1"/>
  <c r="K268" i="3"/>
  <c r="O268" i="3"/>
  <c r="I268" i="3"/>
  <c r="H268" i="3"/>
  <c r="AF268" i="3"/>
  <c r="AG268" i="3" s="1"/>
  <c r="F270" i="3"/>
  <c r="G269" i="3"/>
  <c r="M267" i="3"/>
  <c r="L267" i="3"/>
  <c r="Q267" i="3" s="1"/>
  <c r="W267" i="3"/>
  <c r="AJ267" i="3" s="1"/>
  <c r="X267" i="3"/>
  <c r="Y267" i="3" s="1"/>
  <c r="U267" i="3"/>
  <c r="V267" i="3" s="1"/>
  <c r="AC267" i="3" s="1"/>
  <c r="AR218" i="8"/>
  <c r="AN218" i="8"/>
  <c r="AW218" i="8" s="1"/>
  <c r="AO217" i="8"/>
  <c r="AU217" i="8" s="1"/>
  <c r="AP217" i="8"/>
  <c r="AV217" i="8" s="1"/>
  <c r="R219" i="8"/>
  <c r="S219" i="8"/>
  <c r="AH215" i="3"/>
  <c r="AI215" i="3" s="1"/>
  <c r="T219" i="8"/>
  <c r="Z219" i="8" s="1"/>
  <c r="N220" i="8"/>
  <c r="AI220" i="8"/>
  <c r="AH221" i="8"/>
  <c r="AI220" i="9"/>
  <c r="AH221" i="9"/>
  <c r="AD186" i="3" l="1"/>
  <c r="AE186" i="3" s="1"/>
  <c r="AD131" i="3"/>
  <c r="AE131" i="3" s="1"/>
  <c r="AD100" i="3"/>
  <c r="AE100" i="3" s="1"/>
  <c r="AD69" i="3"/>
  <c r="AE69" i="3" s="1"/>
  <c r="AD39" i="3"/>
  <c r="AE39" i="3" s="1"/>
  <c r="AD10" i="3"/>
  <c r="AE10" i="3" s="1"/>
  <c r="AD78" i="3"/>
  <c r="AE78" i="3" s="1"/>
  <c r="AD233" i="3"/>
  <c r="AE233" i="3" s="1"/>
  <c r="AD130" i="3"/>
  <c r="AE130" i="3" s="1"/>
  <c r="AD75" i="3"/>
  <c r="AE75" i="3" s="1"/>
  <c r="AD29" i="3"/>
  <c r="AE29" i="3" s="1"/>
  <c r="AD6" i="3"/>
  <c r="AE6" i="3" s="1"/>
  <c r="AD230" i="3"/>
  <c r="AE230" i="3" s="1"/>
  <c r="AD255" i="3"/>
  <c r="AE255" i="3" s="1"/>
  <c r="AD216" i="3"/>
  <c r="AE216" i="3" s="1"/>
  <c r="AD74" i="3"/>
  <c r="AE74" i="3" s="1"/>
  <c r="AD174" i="3"/>
  <c r="AE174" i="3" s="1"/>
  <c r="AD244" i="3"/>
  <c r="AE244" i="3" s="1"/>
  <c r="AD213" i="3"/>
  <c r="AE213" i="3" s="1"/>
  <c r="AD199" i="3"/>
  <c r="AE199" i="3" s="1"/>
  <c r="AD160" i="3"/>
  <c r="AE160" i="3" s="1"/>
  <c r="AD121" i="3"/>
  <c r="AE121" i="3" s="1"/>
  <c r="AD11" i="3"/>
  <c r="AE11" i="3" s="1"/>
  <c r="AD86" i="3"/>
  <c r="AE86" i="3" s="1"/>
  <c r="AD219" i="3"/>
  <c r="AE219" i="3" s="1"/>
  <c r="AD188" i="3"/>
  <c r="AE188" i="3" s="1"/>
  <c r="AD157" i="3"/>
  <c r="AE157" i="3" s="1"/>
  <c r="AD143" i="3"/>
  <c r="AE143" i="3" s="1"/>
  <c r="AD104" i="3"/>
  <c r="AE104" i="3" s="1"/>
  <c r="AD65" i="3"/>
  <c r="AE65" i="3" s="1"/>
  <c r="AD262" i="3"/>
  <c r="AE262" i="3" s="1"/>
  <c r="AD218" i="3"/>
  <c r="AE218" i="3" s="1"/>
  <c r="AD163" i="3"/>
  <c r="AE163" i="3" s="1"/>
  <c r="AD132" i="3"/>
  <c r="AE132" i="3" s="1"/>
  <c r="AD101" i="3"/>
  <c r="AE101" i="3" s="1"/>
  <c r="AD87" i="3"/>
  <c r="AE87" i="3" s="1"/>
  <c r="AD34" i="3"/>
  <c r="AE34" i="3" s="1"/>
  <c r="AD50" i="3"/>
  <c r="AE50" i="3" s="1"/>
  <c r="AD70" i="3"/>
  <c r="AE70" i="3" s="1"/>
  <c r="AD162" i="3"/>
  <c r="AE162" i="3" s="1"/>
  <c r="AD107" i="3"/>
  <c r="AE107" i="3" s="1"/>
  <c r="AD76" i="3"/>
  <c r="AE76" i="3" s="1"/>
  <c r="AD30" i="3"/>
  <c r="AE30" i="3" s="1"/>
  <c r="AD41" i="3"/>
  <c r="AE41" i="3" s="1"/>
  <c r="AD150" i="3"/>
  <c r="AE150" i="3" s="1"/>
  <c r="AD248" i="3"/>
  <c r="AE248" i="3" s="1"/>
  <c r="AD106" i="3"/>
  <c r="AE106" i="3" s="1"/>
  <c r="AD13" i="3"/>
  <c r="AE13" i="3" s="1"/>
  <c r="AD158" i="3"/>
  <c r="AE158" i="3" s="1"/>
  <c r="AD245" i="3"/>
  <c r="AE245" i="3" s="1"/>
  <c r="AD231" i="3"/>
  <c r="AE231" i="3" s="1"/>
  <c r="AD192" i="3"/>
  <c r="AE192" i="3" s="1"/>
  <c r="AD153" i="3"/>
  <c r="AE153" i="3" s="1"/>
  <c r="AD114" i="3"/>
  <c r="AE114" i="3" s="1"/>
  <c r="AD59" i="3"/>
  <c r="AE59" i="3" s="1"/>
  <c r="AD9" i="3"/>
  <c r="AE9" i="3" s="1"/>
  <c r="AD214" i="3"/>
  <c r="AE214" i="3" s="1"/>
  <c r="AD253" i="3"/>
  <c r="AE253" i="3" s="1"/>
  <c r="AD239" i="3"/>
  <c r="AE239" i="3" s="1"/>
  <c r="AD200" i="3"/>
  <c r="AE200" i="3" s="1"/>
  <c r="AD161" i="3"/>
  <c r="AE161" i="3" s="1"/>
  <c r="AD257" i="3"/>
  <c r="AE257" i="3" s="1"/>
  <c r="AD250" i="3"/>
  <c r="AE250" i="3" s="1"/>
  <c r="AD195" i="3"/>
  <c r="AE195" i="3" s="1"/>
  <c r="AD164" i="3"/>
  <c r="AE164" i="3" s="1"/>
  <c r="AD133" i="3"/>
  <c r="AE133" i="3" s="1"/>
  <c r="AD119" i="3"/>
  <c r="AE119" i="3" s="1"/>
  <c r="AD80" i="3"/>
  <c r="AE80" i="3" s="1"/>
  <c r="AD27" i="3"/>
  <c r="AE27" i="3" s="1"/>
  <c r="AD259" i="3"/>
  <c r="AE259" i="3" s="1"/>
  <c r="AD194" i="3"/>
  <c r="AE194" i="3" s="1"/>
  <c r="AD139" i="3"/>
  <c r="AE139" i="3" s="1"/>
  <c r="AD108" i="3"/>
  <c r="AE108" i="3" s="1"/>
  <c r="AD77" i="3"/>
  <c r="AE77" i="3" s="1"/>
  <c r="AD63" i="3"/>
  <c r="AE63" i="3" s="1"/>
  <c r="AD18" i="3"/>
  <c r="AE18" i="3" s="1"/>
  <c r="AD134" i="3"/>
  <c r="AE134" i="3" s="1"/>
  <c r="AD138" i="3"/>
  <c r="AE138" i="3" s="1"/>
  <c r="AD28" i="3"/>
  <c r="AE28" i="3" s="1"/>
  <c r="AD14" i="3"/>
  <c r="AE14" i="3" s="1"/>
  <c r="AD47" i="3"/>
  <c r="AE47" i="3" s="1"/>
  <c r="AD31" i="3"/>
  <c r="AE31" i="3" s="1"/>
  <c r="AD224" i="3"/>
  <c r="AE224" i="3" s="1"/>
  <c r="AD185" i="3"/>
  <c r="AE185" i="3" s="1"/>
  <c r="AD82" i="3"/>
  <c r="AE82" i="3" s="1"/>
  <c r="AD19" i="3"/>
  <c r="AE19" i="3" s="1"/>
  <c r="AD238" i="3"/>
  <c r="AE238" i="3" s="1"/>
  <c r="AD252" i="3"/>
  <c r="AE252" i="3" s="1"/>
  <c r="AD221" i="3"/>
  <c r="AE221" i="3" s="1"/>
  <c r="AD207" i="3"/>
  <c r="AE207" i="3" s="1"/>
  <c r="AD168" i="3"/>
  <c r="AE168" i="3" s="1"/>
  <c r="AD129" i="3"/>
  <c r="AE129" i="3" s="1"/>
  <c r="AD118" i="3"/>
  <c r="AE118" i="3" s="1"/>
  <c r="AD227" i="3"/>
  <c r="AE227" i="3" s="1"/>
  <c r="AD196" i="3"/>
  <c r="AE196" i="3" s="1"/>
  <c r="AD165" i="3"/>
  <c r="AE165" i="3" s="1"/>
  <c r="AD151" i="3"/>
  <c r="AE151" i="3" s="1"/>
  <c r="AD112" i="3"/>
  <c r="AE112" i="3" s="1"/>
  <c r="AD73" i="3"/>
  <c r="AE73" i="3" s="1"/>
  <c r="AD226" i="3"/>
  <c r="AE226" i="3" s="1"/>
  <c r="AD171" i="3"/>
  <c r="AE171" i="3" s="1"/>
  <c r="AD140" i="3"/>
  <c r="AE140" i="3" s="1"/>
  <c r="AD109" i="3"/>
  <c r="AE109" i="3" s="1"/>
  <c r="AD95" i="3"/>
  <c r="AE95" i="3" s="1"/>
  <c r="AD40" i="3"/>
  <c r="AE40" i="3" s="1"/>
  <c r="AD126" i="3"/>
  <c r="AE126" i="3" s="1"/>
  <c r="AD170" i="3"/>
  <c r="AE170" i="3" s="1"/>
  <c r="AD84" i="3"/>
  <c r="AE84" i="3" s="1"/>
  <c r="AD37" i="3"/>
  <c r="AE37" i="3" s="1"/>
  <c r="AD25" i="3"/>
  <c r="AE25" i="3" s="1"/>
  <c r="AD206" i="3"/>
  <c r="AE206" i="3" s="1"/>
  <c r="AD256" i="3"/>
  <c r="AE256" i="3" s="1"/>
  <c r="AD217" i="3"/>
  <c r="AE217" i="3" s="1"/>
  <c r="AD178" i="3"/>
  <c r="AE178" i="3" s="1"/>
  <c r="AD123" i="3"/>
  <c r="AE123" i="3" s="1"/>
  <c r="AD92" i="3"/>
  <c r="AE92" i="3" s="1"/>
  <c r="AD61" i="3"/>
  <c r="AE61" i="3" s="1"/>
  <c r="AD32" i="3"/>
  <c r="AE32" i="3" s="1"/>
  <c r="AD48" i="3"/>
  <c r="AE48" i="3" s="1"/>
  <c r="AD21" i="3"/>
  <c r="AE21" i="3" s="1"/>
  <c r="AD44" i="3"/>
  <c r="AE44" i="3" s="1"/>
  <c r="AD43" i="3"/>
  <c r="AE43" i="3" s="1"/>
  <c r="AD7" i="3"/>
  <c r="AE7" i="3" s="1"/>
  <c r="AD228" i="3"/>
  <c r="AE228" i="3" s="1"/>
  <c r="AD197" i="3"/>
  <c r="AE197" i="3" s="1"/>
  <c r="AD183" i="3"/>
  <c r="AE183" i="3" s="1"/>
  <c r="AD144" i="3"/>
  <c r="AE144" i="3" s="1"/>
  <c r="AD105" i="3"/>
  <c r="AE105" i="3" s="1"/>
  <c r="AD258" i="3"/>
  <c r="AE258" i="3" s="1"/>
  <c r="AD26" i="3"/>
  <c r="AE26" i="3" s="1"/>
  <c r="AD203" i="3"/>
  <c r="AE203" i="3" s="1"/>
  <c r="AD172" i="3"/>
  <c r="AE172" i="3" s="1"/>
  <c r="AD141" i="3"/>
  <c r="AE141" i="3" s="1"/>
  <c r="AD127" i="3"/>
  <c r="AE127" i="3" s="1"/>
  <c r="AD88" i="3"/>
  <c r="AE88" i="3" s="1"/>
  <c r="AD260" i="3"/>
  <c r="AE260" i="3" s="1"/>
  <c r="AD202" i="3"/>
  <c r="AE202" i="3" s="1"/>
  <c r="AD116" i="3"/>
  <c r="AE116" i="3" s="1"/>
  <c r="AD85" i="3"/>
  <c r="AE85" i="3" s="1"/>
  <c r="AD71" i="3"/>
  <c r="AE71" i="3" s="1"/>
  <c r="AD22" i="3"/>
  <c r="AE22" i="3" s="1"/>
  <c r="AD190" i="3"/>
  <c r="AE190" i="3" s="1"/>
  <c r="AD249" i="3"/>
  <c r="AE249" i="3" s="1"/>
  <c r="AD146" i="3"/>
  <c r="AE146" i="3" s="1"/>
  <c r="AD91" i="3"/>
  <c r="AE91" i="3" s="1"/>
  <c r="AD12" i="3"/>
  <c r="AE12" i="3" s="1"/>
  <c r="AD8" i="3"/>
  <c r="AE8" i="3" s="1"/>
  <c r="AD62" i="3"/>
  <c r="AE62" i="3" s="1"/>
  <c r="AD232" i="3"/>
  <c r="AE232" i="3" s="1"/>
  <c r="AD193" i="3"/>
  <c r="AE193" i="3" s="1"/>
  <c r="AD90" i="3"/>
  <c r="AE90" i="3" s="1"/>
  <c r="AD49" i="3"/>
  <c r="AE49" i="3" s="1"/>
  <c r="AD36" i="3"/>
  <c r="AE36" i="3" s="1"/>
  <c r="AD46" i="3"/>
  <c r="AE46" i="3" s="1"/>
  <c r="AD229" i="3"/>
  <c r="AE229" i="3" s="1"/>
  <c r="AD215" i="3"/>
  <c r="AE215" i="3" s="1"/>
  <c r="AD176" i="3"/>
  <c r="AE176" i="3" s="1"/>
  <c r="AD137" i="3"/>
  <c r="AE137" i="3" s="1"/>
  <c r="AD23" i="3"/>
  <c r="AE23" i="3" s="1"/>
  <c r="AD166" i="3"/>
  <c r="AE166" i="3" s="1"/>
  <c r="AD235" i="3"/>
  <c r="AE235" i="3" s="1"/>
  <c r="AD204" i="3"/>
  <c r="AE204" i="3" s="1"/>
  <c r="AD173" i="3"/>
  <c r="AE173" i="3" s="1"/>
  <c r="AD159" i="3"/>
  <c r="AE159" i="3" s="1"/>
  <c r="AD120" i="3"/>
  <c r="AE120" i="3" s="1"/>
  <c r="AD264" i="3"/>
  <c r="AE264" i="3" s="1"/>
  <c r="AD234" i="3"/>
  <c r="AE234" i="3" s="1"/>
  <c r="AD148" i="3"/>
  <c r="AE148" i="3" s="1"/>
  <c r="AD117" i="3"/>
  <c r="AE117" i="3" s="1"/>
  <c r="AD103" i="3"/>
  <c r="AE103" i="3" s="1"/>
  <c r="AD64" i="3"/>
  <c r="AE64" i="3" s="1"/>
  <c r="AD3" i="3"/>
  <c r="AE3" i="3" s="1"/>
  <c r="AD182" i="3"/>
  <c r="AE182" i="3" s="1"/>
  <c r="AD242" i="3"/>
  <c r="AE242" i="3" s="1"/>
  <c r="AD187" i="3"/>
  <c r="AE187" i="3" s="1"/>
  <c r="AD156" i="3"/>
  <c r="AE156" i="3" s="1"/>
  <c r="AD125" i="3"/>
  <c r="AE125" i="3" s="1"/>
  <c r="AD111" i="3"/>
  <c r="AE111" i="3" s="1"/>
  <c r="AD17" i="3"/>
  <c r="AE17" i="3" s="1"/>
  <c r="AD72" i="3"/>
  <c r="AE72" i="3" s="1"/>
  <c r="AD222" i="3"/>
  <c r="AE222" i="3" s="1"/>
  <c r="AD225" i="3"/>
  <c r="AE225" i="3" s="1"/>
  <c r="AD67" i="3"/>
  <c r="AE67" i="3" s="1"/>
  <c r="AD24" i="3"/>
  <c r="AE24" i="3" s="1"/>
  <c r="AD45" i="3"/>
  <c r="AE45" i="3" s="1"/>
  <c r="AD142" i="3"/>
  <c r="AE142" i="3" s="1"/>
  <c r="AD247" i="3"/>
  <c r="AE247" i="3" s="1"/>
  <c r="AD208" i="3"/>
  <c r="AE208" i="3" s="1"/>
  <c r="AD169" i="3"/>
  <c r="AE169" i="3" s="1"/>
  <c r="AD66" i="3"/>
  <c r="AE66" i="3" s="1"/>
  <c r="AD58" i="3"/>
  <c r="AE58" i="3" s="1"/>
  <c r="AD110" i="3"/>
  <c r="AE110" i="3" s="1"/>
  <c r="AD236" i="3"/>
  <c r="AE236" i="3" s="1"/>
  <c r="AD205" i="3"/>
  <c r="AE205" i="3" s="1"/>
  <c r="AD191" i="3"/>
  <c r="AE191" i="3" s="1"/>
  <c r="AD152" i="3"/>
  <c r="AE152" i="3" s="1"/>
  <c r="AD52" i="3"/>
  <c r="AE52" i="3" s="1"/>
  <c r="AD38" i="3"/>
  <c r="AE38" i="3" s="1"/>
  <c r="AD149" i="3"/>
  <c r="AE149" i="3" s="1"/>
  <c r="AD135" i="3"/>
  <c r="AE135" i="3" s="1"/>
  <c r="AD96" i="3"/>
  <c r="AE96" i="3" s="1"/>
  <c r="AD42" i="3"/>
  <c r="AE42" i="3" s="1"/>
  <c r="AD261" i="3"/>
  <c r="AE261" i="3" s="1"/>
  <c r="AD210" i="3"/>
  <c r="AE210" i="3" s="1"/>
  <c r="AD155" i="3"/>
  <c r="AE155" i="3" s="1"/>
  <c r="AD124" i="3"/>
  <c r="AE124" i="3" s="1"/>
  <c r="AD93" i="3"/>
  <c r="AE93" i="3" s="1"/>
  <c r="AD79" i="3"/>
  <c r="AE79" i="3" s="1"/>
  <c r="AD53" i="3"/>
  <c r="AE53" i="3" s="1"/>
  <c r="AD246" i="3"/>
  <c r="AE246" i="3" s="1"/>
  <c r="AD15" i="3"/>
  <c r="AE15" i="3" s="1"/>
  <c r="AD99" i="3"/>
  <c r="AE99" i="3" s="1"/>
  <c r="AD68" i="3"/>
  <c r="AE68" i="3" s="1"/>
  <c r="AD33" i="3"/>
  <c r="AE33" i="3" s="1"/>
  <c r="AD16" i="3"/>
  <c r="AE16" i="3" s="1"/>
  <c r="AD102" i="3"/>
  <c r="AE102" i="3" s="1"/>
  <c r="AD240" i="3"/>
  <c r="AE240" i="3" s="1"/>
  <c r="AD201" i="3"/>
  <c r="AE201" i="3" s="1"/>
  <c r="AD98" i="3"/>
  <c r="AE98" i="3" s="1"/>
  <c r="AD57" i="3"/>
  <c r="AE57" i="3" s="1"/>
  <c r="AD5" i="3"/>
  <c r="AE5" i="3" s="1"/>
  <c r="AD94" i="3"/>
  <c r="AE94" i="3" s="1"/>
  <c r="AD237" i="3"/>
  <c r="AE237" i="3" s="1"/>
  <c r="AD223" i="3"/>
  <c r="AE223" i="3" s="1"/>
  <c r="AD184" i="3"/>
  <c r="AE184" i="3" s="1"/>
  <c r="AD20" i="3"/>
  <c r="AE20" i="3" s="1"/>
  <c r="AD198" i="3"/>
  <c r="AE198" i="3" s="1"/>
  <c r="AD212" i="3"/>
  <c r="AE212" i="3" s="1"/>
  <c r="AD181" i="3"/>
  <c r="AE181" i="3" s="1"/>
  <c r="AD167" i="3"/>
  <c r="AE167" i="3" s="1"/>
  <c r="AD128" i="3"/>
  <c r="AE128" i="3" s="1"/>
  <c r="AD89" i="3"/>
  <c r="AE89" i="3" s="1"/>
  <c r="AD55" i="3"/>
  <c r="AE55" i="3" s="1"/>
  <c r="AD254" i="3"/>
  <c r="AE254" i="3" s="1"/>
  <c r="AD251" i="3"/>
  <c r="AE251" i="3" s="1"/>
  <c r="AD220" i="3"/>
  <c r="AE220" i="3" s="1"/>
  <c r="AD189" i="3"/>
  <c r="AE189" i="3" s="1"/>
  <c r="AD175" i="3"/>
  <c r="AE175" i="3" s="1"/>
  <c r="AD136" i="3"/>
  <c r="AE136" i="3" s="1"/>
  <c r="AD97" i="3"/>
  <c r="AE97" i="3" s="1"/>
  <c r="AD122" i="3"/>
  <c r="AE122" i="3" s="1"/>
  <c r="AD113" i="3"/>
  <c r="AE113" i="3" s="1"/>
  <c r="AD211" i="3"/>
  <c r="AE211" i="3" s="1"/>
  <c r="AD180" i="3"/>
  <c r="AE180" i="3" s="1"/>
  <c r="AD154" i="3"/>
  <c r="AE154" i="3" s="1"/>
  <c r="AD145" i="3"/>
  <c r="AE145" i="3" s="1"/>
  <c r="AD243" i="3"/>
  <c r="AE243" i="3" s="1"/>
  <c r="AD177" i="3"/>
  <c r="AE177" i="3" s="1"/>
  <c r="AD4" i="3"/>
  <c r="AE4" i="3" s="1"/>
  <c r="AD209" i="3"/>
  <c r="AE209" i="3" s="1"/>
  <c r="AD35" i="3"/>
  <c r="AE35" i="3" s="1"/>
  <c r="AD241" i="3"/>
  <c r="AE241" i="3" s="1"/>
  <c r="AD83" i="3"/>
  <c r="AE83" i="3" s="1"/>
  <c r="AD54" i="3"/>
  <c r="AE54" i="3" s="1"/>
  <c r="AD56" i="3"/>
  <c r="AE56" i="3" s="1"/>
  <c r="AD115" i="3"/>
  <c r="AE115" i="3" s="1"/>
  <c r="AD51" i="3"/>
  <c r="AE51" i="3" s="1"/>
  <c r="AD147" i="3"/>
  <c r="AE147" i="3" s="1"/>
  <c r="AD60" i="3"/>
  <c r="AE60" i="3" s="1"/>
  <c r="AD81" i="3"/>
  <c r="AE81" i="3" s="1"/>
  <c r="AD179" i="3"/>
  <c r="AE179" i="3" s="1"/>
  <c r="AT218" i="8"/>
  <c r="AB267" i="3"/>
  <c r="AD267" i="3" s="1"/>
  <c r="AE267" i="3" s="1"/>
  <c r="K269" i="3"/>
  <c r="P269" i="3" a="1"/>
  <c r="P269" i="3" s="1"/>
  <c r="O269" i="3"/>
  <c r="I269" i="3"/>
  <c r="H269" i="3"/>
  <c r="AF269" i="3"/>
  <c r="AG269" i="3" s="1"/>
  <c r="F271" i="3"/>
  <c r="G270" i="3"/>
  <c r="M268" i="3"/>
  <c r="W268" i="3"/>
  <c r="AJ268" i="3" s="1"/>
  <c r="X268" i="3"/>
  <c r="Y268" i="3" s="1"/>
  <c r="L268" i="3"/>
  <c r="Q268" i="3" s="1"/>
  <c r="U268" i="3"/>
  <c r="V268" i="3" s="1"/>
  <c r="AC268" i="3" s="1"/>
  <c r="AR219" i="8"/>
  <c r="AN219" i="8"/>
  <c r="AW219" i="8" s="1"/>
  <c r="AO218" i="8"/>
  <c r="AU218" i="8" s="1"/>
  <c r="AP218" i="8"/>
  <c r="AV218" i="8" s="1"/>
  <c r="R220" i="8"/>
  <c r="S220" i="8"/>
  <c r="AH216" i="3"/>
  <c r="AI216" i="3" s="1"/>
  <c r="N221" i="8"/>
  <c r="T220" i="8"/>
  <c r="Z220" i="8" s="1"/>
  <c r="AI221" i="9"/>
  <c r="AH222" i="9"/>
  <c r="AH222" i="8"/>
  <c r="AI221" i="8"/>
  <c r="AT219" i="8" l="1"/>
  <c r="AB268" i="3"/>
  <c r="AD268" i="3" s="1"/>
  <c r="AE268" i="3" s="1"/>
  <c r="K270" i="3"/>
  <c r="P270" i="3" a="1"/>
  <c r="P270" i="3" s="1"/>
  <c r="O270" i="3"/>
  <c r="I270" i="3"/>
  <c r="AF270" i="3"/>
  <c r="AG270" i="3" s="1"/>
  <c r="H270" i="3"/>
  <c r="F272" i="3"/>
  <c r="G271" i="3"/>
  <c r="M269" i="3"/>
  <c r="L269" i="3"/>
  <c r="Q269" i="3" s="1"/>
  <c r="W269" i="3"/>
  <c r="AJ269" i="3" s="1"/>
  <c r="X269" i="3"/>
  <c r="Y269" i="3" s="1"/>
  <c r="U269" i="3"/>
  <c r="V269" i="3" s="1"/>
  <c r="AC269" i="3" s="1"/>
  <c r="AR220" i="8"/>
  <c r="AN220" i="8"/>
  <c r="AW220" i="8" s="1"/>
  <c r="AP219" i="8"/>
  <c r="AV219" i="8" s="1"/>
  <c r="AO219" i="8"/>
  <c r="AU219" i="8" s="1"/>
  <c r="R221" i="8"/>
  <c r="S221" i="8"/>
  <c r="AH217" i="3"/>
  <c r="AI217" i="3" s="1"/>
  <c r="T221" i="8"/>
  <c r="Z221" i="8" s="1"/>
  <c r="N222" i="8"/>
  <c r="AI222" i="8"/>
  <c r="AH223" i="8"/>
  <c r="AH223" i="9"/>
  <c r="AI222" i="9"/>
  <c r="AT220" i="8" l="1"/>
  <c r="AB269" i="3"/>
  <c r="AD269" i="3" s="1"/>
  <c r="AE269" i="3" s="1"/>
  <c r="K271" i="3"/>
  <c r="P271" i="3" a="1"/>
  <c r="P271" i="3" s="1"/>
  <c r="O271" i="3"/>
  <c r="I271" i="3"/>
  <c r="AF271" i="3"/>
  <c r="AG271" i="3" s="1"/>
  <c r="H271" i="3"/>
  <c r="F273" i="3"/>
  <c r="G272" i="3"/>
  <c r="M270" i="3"/>
  <c r="W270" i="3"/>
  <c r="AJ270" i="3" s="1"/>
  <c r="X270" i="3"/>
  <c r="Y270" i="3" s="1"/>
  <c r="L270" i="3"/>
  <c r="Q270" i="3" s="1"/>
  <c r="U270" i="3"/>
  <c r="V270" i="3" s="1"/>
  <c r="AC270" i="3" s="1"/>
  <c r="AP220" i="8"/>
  <c r="AV220" i="8" s="1"/>
  <c r="AO220" i="8"/>
  <c r="AU220" i="8" s="1"/>
  <c r="AR221" i="8"/>
  <c r="AN221" i="8"/>
  <c r="AW221" i="8" s="1"/>
  <c r="R222" i="8"/>
  <c r="S222" i="8"/>
  <c r="AH218" i="3"/>
  <c r="AI218" i="3" s="1"/>
  <c r="T222" i="8"/>
  <c r="Z222" i="8" s="1"/>
  <c r="N223" i="8"/>
  <c r="AH224" i="9"/>
  <c r="AI223" i="9"/>
  <c r="AH224" i="8"/>
  <c r="AI223" i="8"/>
  <c r="AT221" i="8" l="1"/>
  <c r="AB270" i="3"/>
  <c r="AD270" i="3" s="1"/>
  <c r="AE270" i="3" s="1"/>
  <c r="P272" i="3" a="1"/>
  <c r="P272" i="3" s="1"/>
  <c r="K272" i="3"/>
  <c r="O272" i="3"/>
  <c r="I272" i="3"/>
  <c r="AF272" i="3"/>
  <c r="AG272" i="3" s="1"/>
  <c r="H272" i="3"/>
  <c r="F274" i="3"/>
  <c r="G273" i="3"/>
  <c r="M271" i="3"/>
  <c r="L271" i="3"/>
  <c r="Q271" i="3" s="1"/>
  <c r="X271" i="3"/>
  <c r="Y271" i="3" s="1"/>
  <c r="W271" i="3"/>
  <c r="AJ271" i="3" s="1"/>
  <c r="U271" i="3"/>
  <c r="V271" i="3" s="1"/>
  <c r="AC271" i="3" s="1"/>
  <c r="AO221" i="8"/>
  <c r="AU221" i="8" s="1"/>
  <c r="AP221" i="8"/>
  <c r="AV221" i="8" s="1"/>
  <c r="AR222" i="8"/>
  <c r="AN222" i="8"/>
  <c r="AW222" i="8" s="1"/>
  <c r="R223" i="8"/>
  <c r="S223" i="8"/>
  <c r="AH219" i="3"/>
  <c r="AI219" i="3" s="1"/>
  <c r="T223" i="8"/>
  <c r="Z223" i="8" s="1"/>
  <c r="N224" i="8"/>
  <c r="AI224" i="8"/>
  <c r="AH225" i="8"/>
  <c r="AH225" i="9"/>
  <c r="AI224" i="9"/>
  <c r="AT222" i="8" l="1"/>
  <c r="AB271" i="3"/>
  <c r="AD271" i="3" s="1"/>
  <c r="AE271" i="3" s="1"/>
  <c r="K273" i="3"/>
  <c r="O273" i="3"/>
  <c r="P273" i="3" a="1"/>
  <c r="P273" i="3" s="1"/>
  <c r="I273" i="3"/>
  <c r="AF273" i="3"/>
  <c r="AG273" i="3" s="1"/>
  <c r="H273" i="3"/>
  <c r="F275" i="3"/>
  <c r="G274" i="3"/>
  <c r="M272" i="3"/>
  <c r="W272" i="3"/>
  <c r="AJ272" i="3" s="1"/>
  <c r="X272" i="3"/>
  <c r="Y272" i="3" s="1"/>
  <c r="L272" i="3"/>
  <c r="Q272" i="3" s="1"/>
  <c r="U272" i="3"/>
  <c r="V272" i="3" s="1"/>
  <c r="AC272" i="3" s="1"/>
  <c r="AO222" i="8"/>
  <c r="AU222" i="8" s="1"/>
  <c r="AP222" i="8"/>
  <c r="AV222" i="8" s="1"/>
  <c r="AR223" i="8"/>
  <c r="AN223" i="8"/>
  <c r="AW223" i="8" s="1"/>
  <c r="R224" i="8"/>
  <c r="S224" i="8"/>
  <c r="AH220" i="3"/>
  <c r="AI220" i="3" s="1"/>
  <c r="N225" i="8"/>
  <c r="T224" i="8"/>
  <c r="Z224" i="8" s="1"/>
  <c r="AI225" i="8"/>
  <c r="AH226" i="8"/>
  <c r="AI225" i="9"/>
  <c r="AH226" i="9"/>
  <c r="AT223" i="8" l="1"/>
  <c r="AB272" i="3"/>
  <c r="AD272" i="3" s="1"/>
  <c r="AE272" i="3" s="1"/>
  <c r="K274" i="3"/>
  <c r="O274" i="3"/>
  <c r="P274" i="3" a="1"/>
  <c r="P274" i="3" s="1"/>
  <c r="I274" i="3"/>
  <c r="H274" i="3"/>
  <c r="AF274" i="3"/>
  <c r="AG274" i="3" s="1"/>
  <c r="F276" i="3"/>
  <c r="G275" i="3"/>
  <c r="M273" i="3"/>
  <c r="W273" i="3"/>
  <c r="AJ273" i="3" s="1"/>
  <c r="L273" i="3"/>
  <c r="Q273" i="3" s="1"/>
  <c r="X273" i="3"/>
  <c r="Y273" i="3" s="1"/>
  <c r="U273" i="3"/>
  <c r="V273" i="3" s="1"/>
  <c r="AC273" i="3" s="1"/>
  <c r="AR224" i="8"/>
  <c r="AN224" i="8"/>
  <c r="AW224" i="8" s="1"/>
  <c r="AP223" i="8"/>
  <c r="AV223" i="8" s="1"/>
  <c r="AO223" i="8"/>
  <c r="AU223" i="8" s="1"/>
  <c r="R225" i="8"/>
  <c r="S225" i="8"/>
  <c r="AH221" i="3"/>
  <c r="AI221" i="3" s="1"/>
  <c r="N226" i="8"/>
  <c r="T225" i="8"/>
  <c r="Z225" i="8" s="1"/>
  <c r="AH227" i="9"/>
  <c r="AI226" i="9"/>
  <c r="AH227" i="8"/>
  <c r="AI226" i="8"/>
  <c r="AT224" i="8" l="1"/>
  <c r="AB273" i="3"/>
  <c r="AD273" i="3" s="1"/>
  <c r="AE273" i="3" s="1"/>
  <c r="P275" i="3" a="1"/>
  <c r="P275" i="3" s="1"/>
  <c r="K275" i="3"/>
  <c r="O275" i="3"/>
  <c r="I275" i="3"/>
  <c r="AF275" i="3"/>
  <c r="AG275" i="3" s="1"/>
  <c r="H275" i="3"/>
  <c r="F277" i="3"/>
  <c r="G276" i="3"/>
  <c r="M274" i="3"/>
  <c r="W274" i="3"/>
  <c r="AJ274" i="3" s="1"/>
  <c r="X274" i="3"/>
  <c r="Y274" i="3" s="1"/>
  <c r="L274" i="3"/>
  <c r="Q274" i="3" s="1"/>
  <c r="U274" i="3"/>
  <c r="V274" i="3" s="1"/>
  <c r="AC274" i="3" s="1"/>
  <c r="AO224" i="8"/>
  <c r="AU224" i="8" s="1"/>
  <c r="AP224" i="8"/>
  <c r="AV224" i="8" s="1"/>
  <c r="AR225" i="8"/>
  <c r="AN225" i="8"/>
  <c r="AW225" i="8" s="1"/>
  <c r="R226" i="8"/>
  <c r="S226" i="8"/>
  <c r="AH222" i="3"/>
  <c r="AI222" i="3" s="1"/>
  <c r="T226" i="8"/>
  <c r="Z226" i="8" s="1"/>
  <c r="N227" i="8"/>
  <c r="AH228" i="8"/>
  <c r="AI227" i="8"/>
  <c r="AI227" i="9"/>
  <c r="AH228" i="9"/>
  <c r="AT225" i="8" l="1"/>
  <c r="AB274" i="3"/>
  <c r="AD274" i="3" s="1"/>
  <c r="AE274" i="3" s="1"/>
  <c r="P276" i="3" a="1"/>
  <c r="P276" i="3" s="1"/>
  <c r="K276" i="3"/>
  <c r="O276" i="3"/>
  <c r="I276" i="3"/>
  <c r="AF276" i="3"/>
  <c r="AG276" i="3" s="1"/>
  <c r="H276" i="3"/>
  <c r="F278" i="3"/>
  <c r="G277" i="3"/>
  <c r="M275" i="3"/>
  <c r="L275" i="3"/>
  <c r="Q275" i="3" s="1"/>
  <c r="X275" i="3"/>
  <c r="Y275" i="3" s="1"/>
  <c r="W275" i="3"/>
  <c r="AJ275" i="3" s="1"/>
  <c r="U275" i="3"/>
  <c r="V275" i="3" s="1"/>
  <c r="AC275" i="3" s="1"/>
  <c r="AR226" i="8"/>
  <c r="AN226" i="8"/>
  <c r="AW226" i="8" s="1"/>
  <c r="AP225" i="8"/>
  <c r="AV225" i="8" s="1"/>
  <c r="AO225" i="8"/>
  <c r="AU225" i="8" s="1"/>
  <c r="R227" i="8"/>
  <c r="S227" i="8"/>
  <c r="AH223" i="3"/>
  <c r="AI223" i="3" s="1"/>
  <c r="N228" i="8"/>
  <c r="T227" i="8"/>
  <c r="Z227" i="8" s="1"/>
  <c r="AH229" i="8"/>
  <c r="AI228" i="8"/>
  <c r="AI228" i="9"/>
  <c r="AH229" i="9"/>
  <c r="AT226" i="8" l="1"/>
  <c r="AB275" i="3"/>
  <c r="AD275" i="3" s="1"/>
  <c r="AE275" i="3" s="1"/>
  <c r="P277" i="3" a="1"/>
  <c r="P277" i="3" s="1"/>
  <c r="K277" i="3"/>
  <c r="O277" i="3"/>
  <c r="I277" i="3"/>
  <c r="AF277" i="3"/>
  <c r="AG277" i="3" s="1"/>
  <c r="H277" i="3"/>
  <c r="F279" i="3"/>
  <c r="G278" i="3"/>
  <c r="M276" i="3"/>
  <c r="L276" i="3"/>
  <c r="Q276" i="3" s="1"/>
  <c r="X276" i="3"/>
  <c r="Y276" i="3" s="1"/>
  <c r="W276" i="3"/>
  <c r="AJ276" i="3" s="1"/>
  <c r="U276" i="3"/>
  <c r="V276" i="3" s="1"/>
  <c r="AC276" i="3" s="1"/>
  <c r="AR227" i="8"/>
  <c r="AN227" i="8"/>
  <c r="AW227" i="8" s="1"/>
  <c r="AO226" i="8"/>
  <c r="AU226" i="8" s="1"/>
  <c r="AP226" i="8"/>
  <c r="AV226" i="8" s="1"/>
  <c r="R228" i="8"/>
  <c r="S228" i="8"/>
  <c r="AH224" i="3"/>
  <c r="AI224" i="3" s="1"/>
  <c r="N229" i="8"/>
  <c r="T228" i="8"/>
  <c r="Z228" i="8" s="1"/>
  <c r="AH230" i="9"/>
  <c r="AI229" i="9"/>
  <c r="AH230" i="8"/>
  <c r="AI229" i="8"/>
  <c r="AT227" i="8" l="1"/>
  <c r="AB276" i="3"/>
  <c r="AD276" i="3" s="1"/>
  <c r="AE276" i="3" s="1"/>
  <c r="P278" i="3" a="1"/>
  <c r="P278" i="3" s="1"/>
  <c r="K278" i="3"/>
  <c r="O278" i="3"/>
  <c r="I278" i="3"/>
  <c r="H278" i="3"/>
  <c r="AF278" i="3"/>
  <c r="AG278" i="3" s="1"/>
  <c r="F280" i="3"/>
  <c r="G279" i="3"/>
  <c r="M277" i="3"/>
  <c r="W277" i="3"/>
  <c r="AJ277" i="3" s="1"/>
  <c r="L277" i="3"/>
  <c r="Q277" i="3" s="1"/>
  <c r="X277" i="3"/>
  <c r="Y277" i="3" s="1"/>
  <c r="U277" i="3"/>
  <c r="V277" i="3" s="1"/>
  <c r="AC277" i="3" s="1"/>
  <c r="AR228" i="8"/>
  <c r="AN228" i="8"/>
  <c r="AW228" i="8" s="1"/>
  <c r="AO227" i="8"/>
  <c r="AU227" i="8" s="1"/>
  <c r="AP227" i="8"/>
  <c r="AV227" i="8" s="1"/>
  <c r="R229" i="8"/>
  <c r="S229" i="8"/>
  <c r="AH225" i="3"/>
  <c r="AI225" i="3" s="1"/>
  <c r="N230" i="8"/>
  <c r="T229" i="8"/>
  <c r="Z229" i="8" s="1"/>
  <c r="AI230" i="8"/>
  <c r="AH231" i="8"/>
  <c r="AI230" i="9"/>
  <c r="AH231" i="9"/>
  <c r="AB277" i="3" l="1"/>
  <c r="AD277" i="3" s="1"/>
  <c r="AE277" i="3" s="1"/>
  <c r="AT228" i="8"/>
  <c r="P279" i="3" a="1"/>
  <c r="P279" i="3" s="1"/>
  <c r="K279" i="3"/>
  <c r="O279" i="3"/>
  <c r="I279" i="3"/>
  <c r="H279" i="3"/>
  <c r="AF279" i="3"/>
  <c r="AG279" i="3" s="1"/>
  <c r="F281" i="3"/>
  <c r="G280" i="3"/>
  <c r="M278" i="3"/>
  <c r="L278" i="3"/>
  <c r="Q278" i="3" s="1"/>
  <c r="W278" i="3"/>
  <c r="AJ278" i="3" s="1"/>
  <c r="X278" i="3"/>
  <c r="Y278" i="3" s="1"/>
  <c r="U278" i="3"/>
  <c r="V278" i="3" s="1"/>
  <c r="AC278" i="3" s="1"/>
  <c r="AR229" i="8"/>
  <c r="AN229" i="8"/>
  <c r="AW229" i="8" s="1"/>
  <c r="AO228" i="8"/>
  <c r="AU228" i="8" s="1"/>
  <c r="AP228" i="8"/>
  <c r="AV228" i="8" s="1"/>
  <c r="R230" i="8"/>
  <c r="S230" i="8"/>
  <c r="AH226" i="3"/>
  <c r="AI226" i="3" s="1"/>
  <c r="N231" i="8"/>
  <c r="T230" i="8"/>
  <c r="Z230" i="8" s="1"/>
  <c r="AH232" i="9"/>
  <c r="AI231" i="9"/>
  <c r="AH232" i="8"/>
  <c r="AI231" i="8"/>
  <c r="AT229" i="8" l="1"/>
  <c r="AB278" i="3"/>
  <c r="AD278" i="3" s="1"/>
  <c r="AE278" i="3" s="1"/>
  <c r="P280" i="3" a="1"/>
  <c r="P280" i="3" s="1"/>
  <c r="K280" i="3"/>
  <c r="O280" i="3"/>
  <c r="I280" i="3"/>
  <c r="H280" i="3"/>
  <c r="AF280" i="3"/>
  <c r="AG280" i="3" s="1"/>
  <c r="F282" i="3"/>
  <c r="G281" i="3"/>
  <c r="M279" i="3"/>
  <c r="X279" i="3"/>
  <c r="Y279" i="3" s="1"/>
  <c r="L279" i="3"/>
  <c r="Q279" i="3" s="1"/>
  <c r="W279" i="3"/>
  <c r="AJ279" i="3" s="1"/>
  <c r="U279" i="3"/>
  <c r="V279" i="3" s="1"/>
  <c r="AC279" i="3" s="1"/>
  <c r="AR230" i="8"/>
  <c r="AN230" i="8"/>
  <c r="AW230" i="8" s="1"/>
  <c r="AO229" i="8"/>
  <c r="AU229" i="8" s="1"/>
  <c r="AP229" i="8"/>
  <c r="AV229" i="8" s="1"/>
  <c r="R231" i="8"/>
  <c r="S231" i="8"/>
  <c r="AH227" i="3"/>
  <c r="AI227" i="3" s="1"/>
  <c r="N232" i="8"/>
  <c r="T231" i="8"/>
  <c r="Z231" i="8" s="1"/>
  <c r="AI232" i="9"/>
  <c r="AH233" i="9"/>
  <c r="AH233" i="8"/>
  <c r="AI232" i="8"/>
  <c r="AT230" i="8" l="1"/>
  <c r="AB279" i="3"/>
  <c r="AD279" i="3" s="1"/>
  <c r="AE279" i="3" s="1"/>
  <c r="K281" i="3"/>
  <c r="P281" i="3" a="1"/>
  <c r="P281" i="3" s="1"/>
  <c r="O281" i="3"/>
  <c r="I281" i="3"/>
  <c r="AF281" i="3"/>
  <c r="AG281" i="3" s="1"/>
  <c r="H281" i="3"/>
  <c r="F283" i="3"/>
  <c r="G282" i="3"/>
  <c r="M280" i="3"/>
  <c r="L280" i="3"/>
  <c r="Q280" i="3" s="1"/>
  <c r="W280" i="3"/>
  <c r="AJ280" i="3" s="1"/>
  <c r="X280" i="3"/>
  <c r="Y280" i="3" s="1"/>
  <c r="U280" i="3"/>
  <c r="V280" i="3" s="1"/>
  <c r="AC280" i="3" s="1"/>
  <c r="AR231" i="8"/>
  <c r="AN231" i="8"/>
  <c r="AW231" i="8" s="1"/>
  <c r="AO230" i="8"/>
  <c r="AU230" i="8" s="1"/>
  <c r="AP230" i="8"/>
  <c r="AV230" i="8" s="1"/>
  <c r="R232" i="8"/>
  <c r="S232" i="8"/>
  <c r="AH228" i="3"/>
  <c r="AI228" i="3" s="1"/>
  <c r="T232" i="8"/>
  <c r="Z232" i="8" s="1"/>
  <c r="N233" i="8"/>
  <c r="AH234" i="8"/>
  <c r="AI233" i="8"/>
  <c r="AI233" i="9"/>
  <c r="AH234" i="9"/>
  <c r="AT231" i="8" l="1"/>
  <c r="AB280" i="3"/>
  <c r="AD280" i="3" s="1"/>
  <c r="AE280" i="3" s="1"/>
  <c r="P282" i="3" a="1"/>
  <c r="P282" i="3" s="1"/>
  <c r="O282" i="3"/>
  <c r="K282" i="3"/>
  <c r="I282" i="3"/>
  <c r="H282" i="3"/>
  <c r="AF282" i="3"/>
  <c r="AG282" i="3" s="1"/>
  <c r="F284" i="3"/>
  <c r="G283" i="3"/>
  <c r="M281" i="3"/>
  <c r="W281" i="3"/>
  <c r="AJ281" i="3" s="1"/>
  <c r="X281" i="3"/>
  <c r="Y281" i="3" s="1"/>
  <c r="L281" i="3"/>
  <c r="Q281" i="3" s="1"/>
  <c r="U281" i="3"/>
  <c r="V281" i="3" s="1"/>
  <c r="AC281" i="3" s="1"/>
  <c r="AR232" i="8"/>
  <c r="AN232" i="8"/>
  <c r="AW232" i="8" s="1"/>
  <c r="AO231" i="8"/>
  <c r="AU231" i="8" s="1"/>
  <c r="AP231" i="8"/>
  <c r="AV231" i="8" s="1"/>
  <c r="R233" i="8"/>
  <c r="S233" i="8"/>
  <c r="AH229" i="3"/>
  <c r="AI229" i="3" s="1"/>
  <c r="T233" i="8"/>
  <c r="Z233" i="8" s="1"/>
  <c r="N234" i="8"/>
  <c r="AI234" i="9"/>
  <c r="AH235" i="9"/>
  <c r="AH235" i="8"/>
  <c r="AI234" i="8"/>
  <c r="AT232" i="8" l="1"/>
  <c r="AB281" i="3"/>
  <c r="AD281" i="3" s="1"/>
  <c r="AE281" i="3" s="1"/>
  <c r="K283" i="3"/>
  <c r="O283" i="3"/>
  <c r="P283" i="3" a="1"/>
  <c r="P283" i="3" s="1"/>
  <c r="I283" i="3"/>
  <c r="AF283" i="3"/>
  <c r="AG283" i="3" s="1"/>
  <c r="H283" i="3"/>
  <c r="M282" i="3"/>
  <c r="L282" i="3"/>
  <c r="Q282" i="3" s="1"/>
  <c r="W282" i="3"/>
  <c r="AJ282" i="3" s="1"/>
  <c r="X282" i="3"/>
  <c r="Y282" i="3" s="1"/>
  <c r="U282" i="3"/>
  <c r="V282" i="3" s="1"/>
  <c r="AC282" i="3" s="1"/>
  <c r="F285" i="3"/>
  <c r="G284" i="3"/>
  <c r="AR233" i="8"/>
  <c r="AN233" i="8"/>
  <c r="AW233" i="8" s="1"/>
  <c r="AO232" i="8"/>
  <c r="AU232" i="8" s="1"/>
  <c r="AP232" i="8"/>
  <c r="AV232" i="8" s="1"/>
  <c r="R234" i="8"/>
  <c r="S234" i="8"/>
  <c r="AH230" i="3"/>
  <c r="AI230" i="3" s="1"/>
  <c r="T234" i="8"/>
  <c r="Z234" i="8" s="1"/>
  <c r="N235" i="8"/>
  <c r="AI235" i="8"/>
  <c r="AH236" i="8"/>
  <c r="AI235" i="9"/>
  <c r="AH236" i="9"/>
  <c r="AT233" i="8" l="1"/>
  <c r="AB282" i="3"/>
  <c r="AD282" i="3" s="1"/>
  <c r="AE282" i="3" s="1"/>
  <c r="F286" i="3"/>
  <c r="G285" i="3"/>
  <c r="P284" i="3" a="1"/>
  <c r="P284" i="3" s="1"/>
  <c r="K284" i="3"/>
  <c r="O284" i="3"/>
  <c r="I284" i="3"/>
  <c r="AF284" i="3"/>
  <c r="AG284" i="3" s="1"/>
  <c r="H284" i="3"/>
  <c r="M283" i="3"/>
  <c r="L283" i="3"/>
  <c r="Q283" i="3" s="1"/>
  <c r="W283" i="3"/>
  <c r="AJ283" i="3" s="1"/>
  <c r="X283" i="3"/>
  <c r="Y283" i="3" s="1"/>
  <c r="U283" i="3"/>
  <c r="V283" i="3" s="1"/>
  <c r="AC283" i="3" s="1"/>
  <c r="AR234" i="8"/>
  <c r="AN234" i="8"/>
  <c r="AW234" i="8" s="1"/>
  <c r="AO233" i="8"/>
  <c r="AU233" i="8" s="1"/>
  <c r="AP233" i="8"/>
  <c r="AV233" i="8" s="1"/>
  <c r="R235" i="8"/>
  <c r="S235" i="8"/>
  <c r="AH231" i="3"/>
  <c r="AI231" i="3" s="1"/>
  <c r="N236" i="8"/>
  <c r="T235" i="8"/>
  <c r="Z235" i="8" s="1"/>
  <c r="AI236" i="9"/>
  <c r="AH237" i="9"/>
  <c r="AH237" i="8"/>
  <c r="AI236" i="8"/>
  <c r="AT234" i="8" l="1"/>
  <c r="AB283" i="3"/>
  <c r="AD283" i="3" s="1"/>
  <c r="AE283" i="3" s="1"/>
  <c r="M284" i="3"/>
  <c r="X284" i="3"/>
  <c r="Y284" i="3" s="1"/>
  <c r="W284" i="3"/>
  <c r="AJ284" i="3" s="1"/>
  <c r="L284" i="3"/>
  <c r="Q284" i="3" s="1"/>
  <c r="U284" i="3"/>
  <c r="V284" i="3" s="1"/>
  <c r="AC284" i="3" s="1"/>
  <c r="K285" i="3"/>
  <c r="P285" i="3" a="1"/>
  <c r="P285" i="3" s="1"/>
  <c r="O285" i="3"/>
  <c r="I285" i="3"/>
  <c r="AF285" i="3"/>
  <c r="AG285" i="3" s="1"/>
  <c r="H285" i="3"/>
  <c r="F287" i="3"/>
  <c r="G286" i="3"/>
  <c r="AR235" i="8"/>
  <c r="AN235" i="8"/>
  <c r="AW235" i="8" s="1"/>
  <c r="AP234" i="8"/>
  <c r="AV234" i="8" s="1"/>
  <c r="AO234" i="8"/>
  <c r="AU234" i="8" s="1"/>
  <c r="R236" i="8"/>
  <c r="S236" i="8"/>
  <c r="AH232" i="3"/>
  <c r="AI232" i="3" s="1"/>
  <c r="T236" i="8"/>
  <c r="Z236" i="8" s="1"/>
  <c r="N237" i="8"/>
  <c r="AI237" i="8"/>
  <c r="AH238" i="8"/>
  <c r="AI237" i="9"/>
  <c r="AH238" i="9"/>
  <c r="AT235" i="8" l="1"/>
  <c r="AB284" i="3"/>
  <c r="AD284" i="3" s="1"/>
  <c r="AE284" i="3" s="1"/>
  <c r="M285" i="3"/>
  <c r="W285" i="3"/>
  <c r="AJ285" i="3" s="1"/>
  <c r="L285" i="3"/>
  <c r="Q285" i="3" s="1"/>
  <c r="X285" i="3"/>
  <c r="Y285" i="3" s="1"/>
  <c r="U285" i="3"/>
  <c r="V285" i="3" s="1"/>
  <c r="AC285" i="3" s="1"/>
  <c r="F288" i="3"/>
  <c r="G287" i="3"/>
  <c r="P286" i="3" a="1"/>
  <c r="P286" i="3" s="1"/>
  <c r="O286" i="3"/>
  <c r="K286" i="3"/>
  <c r="I286" i="3"/>
  <c r="H286" i="3"/>
  <c r="AF286" i="3"/>
  <c r="AG286" i="3" s="1"/>
  <c r="AR236" i="8"/>
  <c r="AN236" i="8"/>
  <c r="AW236" i="8" s="1"/>
  <c r="AP235" i="8"/>
  <c r="AV235" i="8" s="1"/>
  <c r="AO235" i="8"/>
  <c r="AU235" i="8" s="1"/>
  <c r="R237" i="8"/>
  <c r="S237" i="8"/>
  <c r="AH233" i="3"/>
  <c r="AI233" i="3" s="1"/>
  <c r="T237" i="8"/>
  <c r="Z237" i="8" s="1"/>
  <c r="N238" i="8"/>
  <c r="AH239" i="8"/>
  <c r="AI238" i="8"/>
  <c r="AI238" i="9"/>
  <c r="AH239" i="9"/>
  <c r="AT236" i="8" l="1"/>
  <c r="AB285" i="3"/>
  <c r="AD285" i="3" s="1"/>
  <c r="AE285" i="3" s="1"/>
  <c r="F289" i="3"/>
  <c r="G288" i="3"/>
  <c r="M286" i="3"/>
  <c r="W286" i="3"/>
  <c r="AJ286" i="3" s="1"/>
  <c r="X286" i="3"/>
  <c r="Y286" i="3" s="1"/>
  <c r="L286" i="3"/>
  <c r="Q286" i="3" s="1"/>
  <c r="U286" i="3"/>
  <c r="V286" i="3" s="1"/>
  <c r="AC286" i="3" s="1"/>
  <c r="P287" i="3" a="1"/>
  <c r="P287" i="3" s="1"/>
  <c r="K287" i="3"/>
  <c r="O287" i="3"/>
  <c r="I287" i="3"/>
  <c r="H287" i="3"/>
  <c r="AF287" i="3"/>
  <c r="AG287" i="3" s="1"/>
  <c r="AR237" i="8"/>
  <c r="AN237" i="8"/>
  <c r="AW237" i="8" s="1"/>
  <c r="AO236" i="8"/>
  <c r="AU236" i="8" s="1"/>
  <c r="AP236" i="8"/>
  <c r="AV236" i="8" s="1"/>
  <c r="R238" i="8"/>
  <c r="S238" i="8"/>
  <c r="AH234" i="3"/>
  <c r="AI234" i="3" s="1"/>
  <c r="N239" i="8"/>
  <c r="T238" i="8"/>
  <c r="Z238" i="8" s="1"/>
  <c r="AH240" i="9"/>
  <c r="AI239" i="9"/>
  <c r="AH240" i="8"/>
  <c r="AI239" i="8"/>
  <c r="AT237" i="8" l="1"/>
  <c r="AB286" i="3"/>
  <c r="AD286" i="3" s="1"/>
  <c r="AE286" i="3" s="1"/>
  <c r="M287" i="3"/>
  <c r="L287" i="3"/>
  <c r="Q287" i="3" s="1"/>
  <c r="W287" i="3"/>
  <c r="AJ287" i="3" s="1"/>
  <c r="X287" i="3"/>
  <c r="Y287" i="3" s="1"/>
  <c r="U287" i="3"/>
  <c r="V287" i="3" s="1"/>
  <c r="AC287" i="3" s="1"/>
  <c r="P288" i="3" a="1"/>
  <c r="P288" i="3" s="1"/>
  <c r="O288" i="3"/>
  <c r="K288" i="3"/>
  <c r="I288" i="3"/>
  <c r="H288" i="3"/>
  <c r="AF288" i="3"/>
  <c r="AG288" i="3" s="1"/>
  <c r="F290" i="3"/>
  <c r="G289" i="3"/>
  <c r="AR238" i="8"/>
  <c r="AN238" i="8"/>
  <c r="AW238" i="8" s="1"/>
  <c r="AP237" i="8"/>
  <c r="AV237" i="8" s="1"/>
  <c r="AO237" i="8"/>
  <c r="AU237" i="8" s="1"/>
  <c r="R239" i="8"/>
  <c r="S239" i="8"/>
  <c r="AH235" i="3"/>
  <c r="AI235" i="3" s="1"/>
  <c r="T239" i="8"/>
  <c r="Z239" i="8" s="1"/>
  <c r="N240" i="8"/>
  <c r="AH241" i="8"/>
  <c r="AI240" i="8"/>
  <c r="AH241" i="9"/>
  <c r="AI240" i="9"/>
  <c r="AT238" i="8" l="1"/>
  <c r="AB287" i="3"/>
  <c r="AD287" i="3" s="1"/>
  <c r="AE287" i="3" s="1"/>
  <c r="F291" i="3"/>
  <c r="G290" i="3"/>
  <c r="P289" i="3" a="1"/>
  <c r="P289" i="3" s="1"/>
  <c r="O289" i="3"/>
  <c r="K289" i="3"/>
  <c r="I289" i="3"/>
  <c r="AF289" i="3"/>
  <c r="AG289" i="3" s="1"/>
  <c r="H289" i="3"/>
  <c r="M288" i="3"/>
  <c r="W288" i="3"/>
  <c r="AJ288" i="3" s="1"/>
  <c r="X288" i="3"/>
  <c r="Y288" i="3" s="1"/>
  <c r="L288" i="3"/>
  <c r="Q288" i="3" s="1"/>
  <c r="U288" i="3"/>
  <c r="V288" i="3" s="1"/>
  <c r="AC288" i="3" s="1"/>
  <c r="AR239" i="8"/>
  <c r="AN239" i="8"/>
  <c r="AW239" i="8" s="1"/>
  <c r="AP238" i="8"/>
  <c r="AV238" i="8" s="1"/>
  <c r="AO238" i="8"/>
  <c r="AU238" i="8" s="1"/>
  <c r="R240" i="8"/>
  <c r="S240" i="8"/>
  <c r="AH236" i="3"/>
  <c r="AI236" i="3" s="1"/>
  <c r="N241" i="8"/>
  <c r="T240" i="8"/>
  <c r="Z240" i="8" s="1"/>
  <c r="AI241" i="9"/>
  <c r="AH242" i="9"/>
  <c r="AI241" i="8"/>
  <c r="AH242" i="8"/>
  <c r="AT239" i="8" l="1"/>
  <c r="AB288" i="3"/>
  <c r="AD288" i="3" s="1"/>
  <c r="AE288" i="3" s="1"/>
  <c r="M289" i="3"/>
  <c r="X289" i="3"/>
  <c r="Y289" i="3" s="1"/>
  <c r="W289" i="3"/>
  <c r="AJ289" i="3" s="1"/>
  <c r="L289" i="3"/>
  <c r="Q289" i="3" s="1"/>
  <c r="U289" i="3"/>
  <c r="V289" i="3" s="1"/>
  <c r="AC289" i="3" s="1"/>
  <c r="P290" i="3" a="1"/>
  <c r="P290" i="3" s="1"/>
  <c r="K290" i="3"/>
  <c r="O290" i="3"/>
  <c r="I290" i="3"/>
  <c r="H290" i="3"/>
  <c r="AF290" i="3"/>
  <c r="AG290" i="3" s="1"/>
  <c r="F292" i="3"/>
  <c r="G291" i="3"/>
  <c r="AR240" i="8"/>
  <c r="AN240" i="8"/>
  <c r="AW240" i="8" s="1"/>
  <c r="AO239" i="8"/>
  <c r="AU239" i="8" s="1"/>
  <c r="AP239" i="8"/>
  <c r="AV239" i="8" s="1"/>
  <c r="R241" i="8"/>
  <c r="S241" i="8"/>
  <c r="AH237" i="3"/>
  <c r="AI237" i="3" s="1"/>
  <c r="N242" i="8"/>
  <c r="T241" i="8"/>
  <c r="Z241" i="8" s="1"/>
  <c r="AH243" i="9"/>
  <c r="AI242" i="9"/>
  <c r="AH243" i="8"/>
  <c r="AI242" i="8"/>
  <c r="AT240" i="8" l="1"/>
  <c r="AB289" i="3"/>
  <c r="AD289" i="3" s="1"/>
  <c r="AE289" i="3" s="1"/>
  <c r="P291" i="3" a="1"/>
  <c r="P291" i="3" s="1"/>
  <c r="O291" i="3"/>
  <c r="K291" i="3"/>
  <c r="I291" i="3"/>
  <c r="AF291" i="3"/>
  <c r="AG291" i="3" s="1"/>
  <c r="H291" i="3"/>
  <c r="F293" i="3"/>
  <c r="G292" i="3"/>
  <c r="M290" i="3"/>
  <c r="W290" i="3"/>
  <c r="AJ290" i="3" s="1"/>
  <c r="L290" i="3"/>
  <c r="Q290" i="3" s="1"/>
  <c r="X290" i="3"/>
  <c r="Y290" i="3" s="1"/>
  <c r="U290" i="3"/>
  <c r="V290" i="3" s="1"/>
  <c r="AC290" i="3" s="1"/>
  <c r="AR241" i="8"/>
  <c r="AN241" i="8"/>
  <c r="AW241" i="8" s="1"/>
  <c r="AO240" i="8"/>
  <c r="AU240" i="8" s="1"/>
  <c r="AP240" i="8"/>
  <c r="AV240" i="8" s="1"/>
  <c r="R242" i="8"/>
  <c r="S242" i="8"/>
  <c r="AH238" i="3"/>
  <c r="AI238" i="3" s="1"/>
  <c r="N243" i="8"/>
  <c r="T242" i="8"/>
  <c r="Z242" i="8" s="1"/>
  <c r="AH244" i="8"/>
  <c r="AI243" i="8"/>
  <c r="AI243" i="9"/>
  <c r="AH244" i="9"/>
  <c r="AT241" i="8" l="1"/>
  <c r="AB290" i="3"/>
  <c r="AD290" i="3" s="1"/>
  <c r="AE290" i="3" s="1"/>
  <c r="P292" i="3" a="1"/>
  <c r="P292" i="3" s="1"/>
  <c r="K292" i="3"/>
  <c r="O292" i="3"/>
  <c r="I292" i="3"/>
  <c r="AF292" i="3"/>
  <c r="AG292" i="3" s="1"/>
  <c r="H292" i="3"/>
  <c r="F294" i="3"/>
  <c r="G293" i="3"/>
  <c r="M291" i="3"/>
  <c r="X291" i="3"/>
  <c r="Y291" i="3" s="1"/>
  <c r="L291" i="3"/>
  <c r="Q291" i="3" s="1"/>
  <c r="W291" i="3"/>
  <c r="AJ291" i="3" s="1"/>
  <c r="U291" i="3"/>
  <c r="V291" i="3" s="1"/>
  <c r="AC291" i="3" s="1"/>
  <c r="AR242" i="8"/>
  <c r="AN242" i="8"/>
  <c r="AW242" i="8" s="1"/>
  <c r="AO241" i="8"/>
  <c r="AU241" i="8" s="1"/>
  <c r="AP241" i="8"/>
  <c r="AV241" i="8" s="1"/>
  <c r="R243" i="8"/>
  <c r="S243" i="8"/>
  <c r="AH239" i="3"/>
  <c r="AI239" i="3" s="1"/>
  <c r="N244" i="8"/>
  <c r="T243" i="8"/>
  <c r="Z243" i="8" s="1"/>
  <c r="AI244" i="8"/>
  <c r="AH245" i="8"/>
  <c r="AH245" i="9"/>
  <c r="AI244" i="9"/>
  <c r="AB291" i="3" l="1"/>
  <c r="AD291" i="3" s="1"/>
  <c r="AE291" i="3" s="1"/>
  <c r="AT242" i="8"/>
  <c r="P293" i="3" a="1"/>
  <c r="P293" i="3" s="1"/>
  <c r="O293" i="3"/>
  <c r="K293" i="3"/>
  <c r="I293" i="3"/>
  <c r="AF293" i="3"/>
  <c r="AG293" i="3" s="1"/>
  <c r="H293" i="3"/>
  <c r="F295" i="3"/>
  <c r="G294" i="3"/>
  <c r="M292" i="3"/>
  <c r="L292" i="3"/>
  <c r="Q292" i="3" s="1"/>
  <c r="W292" i="3"/>
  <c r="AJ292" i="3" s="1"/>
  <c r="X292" i="3"/>
  <c r="Y292" i="3" s="1"/>
  <c r="U292" i="3"/>
  <c r="V292" i="3" s="1"/>
  <c r="AC292" i="3" s="1"/>
  <c r="AO242" i="8"/>
  <c r="AU242" i="8" s="1"/>
  <c r="AP242" i="8"/>
  <c r="AV242" i="8" s="1"/>
  <c r="AR243" i="8"/>
  <c r="AN243" i="8"/>
  <c r="AW243" i="8" s="1"/>
  <c r="R244" i="8"/>
  <c r="S244" i="8"/>
  <c r="AH240" i="3"/>
  <c r="AI240" i="3" s="1"/>
  <c r="N245" i="8"/>
  <c r="T244" i="8"/>
  <c r="Z244" i="8" s="1"/>
  <c r="AH246" i="8"/>
  <c r="AI245" i="8"/>
  <c r="AH246" i="9"/>
  <c r="AI245" i="9"/>
  <c r="AT243" i="8" l="1"/>
  <c r="AB292" i="3"/>
  <c r="AD292" i="3" s="1"/>
  <c r="AE292" i="3" s="1"/>
  <c r="P294" i="3" a="1"/>
  <c r="P294" i="3" s="1"/>
  <c r="O294" i="3"/>
  <c r="K294" i="3"/>
  <c r="I294" i="3"/>
  <c r="AF294" i="3"/>
  <c r="AG294" i="3" s="1"/>
  <c r="H294" i="3"/>
  <c r="F296" i="3"/>
  <c r="G295" i="3"/>
  <c r="M293" i="3"/>
  <c r="X293" i="3"/>
  <c r="Y293" i="3" s="1"/>
  <c r="L293" i="3"/>
  <c r="Q293" i="3" s="1"/>
  <c r="W293" i="3"/>
  <c r="AJ293" i="3" s="1"/>
  <c r="U293" i="3"/>
  <c r="V293" i="3" s="1"/>
  <c r="AC293" i="3" s="1"/>
  <c r="AO243" i="8"/>
  <c r="AU243" i="8" s="1"/>
  <c r="AP243" i="8"/>
  <c r="AV243" i="8" s="1"/>
  <c r="AR244" i="8"/>
  <c r="AN244" i="8"/>
  <c r="AW244" i="8" s="1"/>
  <c r="R245" i="8"/>
  <c r="S245" i="8"/>
  <c r="AH241" i="3"/>
  <c r="AI241" i="3" s="1"/>
  <c r="N246" i="8"/>
  <c r="T245" i="8"/>
  <c r="Z245" i="8" s="1"/>
  <c r="AH247" i="9"/>
  <c r="AI246" i="9"/>
  <c r="AH247" i="8"/>
  <c r="AI246" i="8"/>
  <c r="AT244" i="8" l="1"/>
  <c r="AB293" i="3"/>
  <c r="AD293" i="3" s="1"/>
  <c r="AE293" i="3" s="1"/>
  <c r="P295" i="3" a="1"/>
  <c r="P295" i="3" s="1"/>
  <c r="K295" i="3"/>
  <c r="O295" i="3"/>
  <c r="I295" i="3"/>
  <c r="AF295" i="3"/>
  <c r="AG295" i="3" s="1"/>
  <c r="H295" i="3"/>
  <c r="F297" i="3"/>
  <c r="G296" i="3"/>
  <c r="M294" i="3"/>
  <c r="L294" i="3"/>
  <c r="Q294" i="3" s="1"/>
  <c r="X294" i="3"/>
  <c r="Y294" i="3" s="1"/>
  <c r="W294" i="3"/>
  <c r="AJ294" i="3" s="1"/>
  <c r="U294" i="3"/>
  <c r="V294" i="3" s="1"/>
  <c r="AC294" i="3" s="1"/>
  <c r="AO244" i="8"/>
  <c r="AU244" i="8" s="1"/>
  <c r="AP244" i="8"/>
  <c r="AV244" i="8" s="1"/>
  <c r="AR245" i="8"/>
  <c r="AN245" i="8"/>
  <c r="AW245" i="8" s="1"/>
  <c r="R246" i="8"/>
  <c r="S246" i="8"/>
  <c r="AH242" i="3"/>
  <c r="AI242" i="3" s="1"/>
  <c r="T246" i="8"/>
  <c r="Z246" i="8" s="1"/>
  <c r="N247" i="8"/>
  <c r="AI247" i="9"/>
  <c r="AH248" i="9"/>
  <c r="AI247" i="8"/>
  <c r="AH248" i="8"/>
  <c r="AT245" i="8" l="1"/>
  <c r="AB294" i="3"/>
  <c r="AD294" i="3" s="1"/>
  <c r="AE294" i="3" s="1"/>
  <c r="P296" i="3" a="1"/>
  <c r="P296" i="3" s="1"/>
  <c r="K296" i="3"/>
  <c r="O296" i="3"/>
  <c r="I296" i="3"/>
  <c r="AF296" i="3"/>
  <c r="AG296" i="3" s="1"/>
  <c r="H296" i="3"/>
  <c r="F298" i="3"/>
  <c r="G297" i="3"/>
  <c r="M295" i="3"/>
  <c r="X295" i="3"/>
  <c r="Y295" i="3" s="1"/>
  <c r="W295" i="3"/>
  <c r="AJ295" i="3" s="1"/>
  <c r="L295" i="3"/>
  <c r="Q295" i="3" s="1"/>
  <c r="U295" i="3"/>
  <c r="V295" i="3" s="1"/>
  <c r="AC295" i="3" s="1"/>
  <c r="AR246" i="8"/>
  <c r="AN246" i="8"/>
  <c r="AW246" i="8" s="1"/>
  <c r="AP245" i="8"/>
  <c r="AV245" i="8" s="1"/>
  <c r="AO245" i="8"/>
  <c r="AU245" i="8" s="1"/>
  <c r="R247" i="8"/>
  <c r="S247" i="8"/>
  <c r="AH243" i="3"/>
  <c r="AI243" i="3" s="1"/>
  <c r="N248" i="8"/>
  <c r="T247" i="8"/>
  <c r="Z247" i="8" s="1"/>
  <c r="AI248" i="8"/>
  <c r="AH249" i="8"/>
  <c r="AH249" i="9"/>
  <c r="AI248" i="9"/>
  <c r="AT246" i="8" l="1"/>
  <c r="AB295" i="3"/>
  <c r="AD295" i="3" s="1"/>
  <c r="AE295" i="3" s="1"/>
  <c r="K297" i="3"/>
  <c r="P297" i="3" a="1"/>
  <c r="P297" i="3" s="1"/>
  <c r="O297" i="3"/>
  <c r="I297" i="3"/>
  <c r="H297" i="3"/>
  <c r="AF297" i="3"/>
  <c r="AG297" i="3" s="1"/>
  <c r="F299" i="3"/>
  <c r="G298" i="3"/>
  <c r="M296" i="3"/>
  <c r="L296" i="3"/>
  <c r="Q296" i="3" s="1"/>
  <c r="X296" i="3"/>
  <c r="Y296" i="3" s="1"/>
  <c r="W296" i="3"/>
  <c r="AJ296" i="3" s="1"/>
  <c r="U296" i="3"/>
  <c r="V296" i="3" s="1"/>
  <c r="AC296" i="3" s="1"/>
  <c r="AR247" i="8"/>
  <c r="AN247" i="8"/>
  <c r="AW247" i="8" s="1"/>
  <c r="AO246" i="8"/>
  <c r="AU246" i="8" s="1"/>
  <c r="AP246" i="8"/>
  <c r="AV246" i="8" s="1"/>
  <c r="R248" i="8"/>
  <c r="S248" i="8"/>
  <c r="AH244" i="3"/>
  <c r="AI244" i="3" s="1"/>
  <c r="N249" i="8"/>
  <c r="T248" i="8"/>
  <c r="Z248" i="8" s="1"/>
  <c r="AI249" i="9"/>
  <c r="AH250" i="9"/>
  <c r="AH250" i="8"/>
  <c r="AI249" i="8"/>
  <c r="AT247" i="8" l="1"/>
  <c r="AB296" i="3"/>
  <c r="AD296" i="3" s="1"/>
  <c r="AE296" i="3" s="1"/>
  <c r="P298" i="3" a="1"/>
  <c r="P298" i="3" s="1"/>
  <c r="K298" i="3"/>
  <c r="O298" i="3"/>
  <c r="I298" i="3"/>
  <c r="AF298" i="3"/>
  <c r="AG298" i="3" s="1"/>
  <c r="H298" i="3"/>
  <c r="F300" i="3"/>
  <c r="G299" i="3"/>
  <c r="M297" i="3"/>
  <c r="X297" i="3"/>
  <c r="Y297" i="3" s="1"/>
  <c r="W297" i="3"/>
  <c r="AJ297" i="3" s="1"/>
  <c r="L297" i="3"/>
  <c r="Q297" i="3" s="1"/>
  <c r="U297" i="3"/>
  <c r="V297" i="3" s="1"/>
  <c r="AC297" i="3" s="1"/>
  <c r="AR248" i="8"/>
  <c r="AN248" i="8"/>
  <c r="AW248" i="8" s="1"/>
  <c r="AO247" i="8"/>
  <c r="AU247" i="8" s="1"/>
  <c r="AP247" i="8"/>
  <c r="AV247" i="8" s="1"/>
  <c r="R249" i="8"/>
  <c r="S249" i="8"/>
  <c r="AH245" i="3"/>
  <c r="AI245" i="3" s="1"/>
  <c r="T249" i="8"/>
  <c r="Z249" i="8" s="1"/>
  <c r="N250" i="8"/>
  <c r="AI250" i="9"/>
  <c r="AH251" i="9"/>
  <c r="AH251" i="8"/>
  <c r="AI250" i="8"/>
  <c r="AT248" i="8" l="1"/>
  <c r="AB297" i="3"/>
  <c r="AD297" i="3" s="1"/>
  <c r="AE297" i="3" s="1"/>
  <c r="K299" i="3"/>
  <c r="P299" i="3" a="1"/>
  <c r="P299" i="3" s="1"/>
  <c r="O299" i="3"/>
  <c r="I299" i="3"/>
  <c r="AF299" i="3"/>
  <c r="AG299" i="3" s="1"/>
  <c r="H299" i="3"/>
  <c r="F301" i="3"/>
  <c r="G300" i="3"/>
  <c r="M298" i="3"/>
  <c r="L298" i="3"/>
  <c r="Q298" i="3" s="1"/>
  <c r="W298" i="3"/>
  <c r="AJ298" i="3" s="1"/>
  <c r="X298" i="3"/>
  <c r="Y298" i="3" s="1"/>
  <c r="U298" i="3"/>
  <c r="V298" i="3" s="1"/>
  <c r="AC298" i="3" s="1"/>
  <c r="AR249" i="8"/>
  <c r="AN249" i="8"/>
  <c r="AW249" i="8" s="1"/>
  <c r="AO248" i="8"/>
  <c r="AU248" i="8" s="1"/>
  <c r="AP248" i="8"/>
  <c r="AV248" i="8" s="1"/>
  <c r="R250" i="8"/>
  <c r="S250" i="8"/>
  <c r="AH246" i="3"/>
  <c r="AI246" i="3" s="1"/>
  <c r="N251" i="8"/>
  <c r="T250" i="8"/>
  <c r="Z250" i="8" s="1"/>
  <c r="AI251" i="8"/>
  <c r="AH252" i="8"/>
  <c r="AH252" i="9"/>
  <c r="AI251" i="9"/>
  <c r="AT249" i="8" l="1"/>
  <c r="AB298" i="3"/>
  <c r="AD298" i="3" s="1"/>
  <c r="AE298" i="3" s="1"/>
  <c r="P300" i="3" a="1"/>
  <c r="P300" i="3" s="1"/>
  <c r="K300" i="3"/>
  <c r="O300" i="3"/>
  <c r="I300" i="3"/>
  <c r="H300" i="3"/>
  <c r="AF300" i="3"/>
  <c r="AG300" i="3" s="1"/>
  <c r="F302" i="3"/>
  <c r="G301" i="3"/>
  <c r="M299" i="3"/>
  <c r="X299" i="3"/>
  <c r="Y299" i="3" s="1"/>
  <c r="W299" i="3"/>
  <c r="AJ299" i="3" s="1"/>
  <c r="L299" i="3"/>
  <c r="Q299" i="3" s="1"/>
  <c r="U299" i="3"/>
  <c r="V299" i="3" s="1"/>
  <c r="AC299" i="3" s="1"/>
  <c r="AR250" i="8"/>
  <c r="AN250" i="8"/>
  <c r="AW250" i="8" s="1"/>
  <c r="AP249" i="8"/>
  <c r="AV249" i="8" s="1"/>
  <c r="AO249" i="8"/>
  <c r="AU249" i="8" s="1"/>
  <c r="R251" i="8"/>
  <c r="S251" i="8"/>
  <c r="AH247" i="3"/>
  <c r="AI247" i="3" s="1"/>
  <c r="T251" i="8"/>
  <c r="Z251" i="8" s="1"/>
  <c r="N252" i="8"/>
  <c r="AH253" i="8"/>
  <c r="AI252" i="8"/>
  <c r="AH253" i="9"/>
  <c r="AI252" i="9"/>
  <c r="AT250" i="8" l="1"/>
  <c r="AB299" i="3"/>
  <c r="AD299" i="3" s="1"/>
  <c r="AE299" i="3" s="1"/>
  <c r="K301" i="3"/>
  <c r="P301" i="3" a="1"/>
  <c r="P301" i="3" s="1"/>
  <c r="O301" i="3"/>
  <c r="I301" i="3"/>
  <c r="AF301" i="3"/>
  <c r="AG301" i="3" s="1"/>
  <c r="H301" i="3"/>
  <c r="F303" i="3"/>
  <c r="G302" i="3"/>
  <c r="M300" i="3"/>
  <c r="W300" i="3"/>
  <c r="AJ300" i="3" s="1"/>
  <c r="L300" i="3"/>
  <c r="Q300" i="3" s="1"/>
  <c r="X300" i="3"/>
  <c r="Y300" i="3" s="1"/>
  <c r="U300" i="3"/>
  <c r="V300" i="3" s="1"/>
  <c r="AC300" i="3" s="1"/>
  <c r="AR251" i="8"/>
  <c r="AN251" i="8"/>
  <c r="AW251" i="8" s="1"/>
  <c r="AO250" i="8"/>
  <c r="AU250" i="8" s="1"/>
  <c r="AP250" i="8"/>
  <c r="AV250" i="8" s="1"/>
  <c r="R252" i="8"/>
  <c r="S252" i="8"/>
  <c r="AH248" i="3"/>
  <c r="AI248" i="3" s="1"/>
  <c r="N253" i="8"/>
  <c r="T252" i="8"/>
  <c r="Z252" i="8" s="1"/>
  <c r="AH254" i="9"/>
  <c r="AI253" i="9"/>
  <c r="AH254" i="8"/>
  <c r="AI253" i="8"/>
  <c r="AT251" i="8" l="1"/>
  <c r="AB300" i="3"/>
  <c r="AD300" i="3" s="1"/>
  <c r="AE300" i="3" s="1"/>
  <c r="P302" i="3" a="1"/>
  <c r="P302" i="3" s="1"/>
  <c r="K302" i="3"/>
  <c r="O302" i="3"/>
  <c r="I302" i="3"/>
  <c r="AF302" i="3"/>
  <c r="AG302" i="3" s="1"/>
  <c r="H302" i="3"/>
  <c r="F304" i="3"/>
  <c r="G303" i="3"/>
  <c r="M301" i="3"/>
  <c r="X301" i="3"/>
  <c r="Y301" i="3" s="1"/>
  <c r="W301" i="3"/>
  <c r="AJ301" i="3" s="1"/>
  <c r="L301" i="3"/>
  <c r="Q301" i="3" s="1"/>
  <c r="U301" i="3"/>
  <c r="V301" i="3" s="1"/>
  <c r="AC301" i="3" s="1"/>
  <c r="AR252" i="8"/>
  <c r="AN252" i="8"/>
  <c r="AW252" i="8" s="1"/>
  <c r="AO251" i="8"/>
  <c r="AU251" i="8" s="1"/>
  <c r="AP251" i="8"/>
  <c r="AV251" i="8" s="1"/>
  <c r="R253" i="8"/>
  <c r="S253" i="8"/>
  <c r="AH249" i="3"/>
  <c r="AI249" i="3" s="1"/>
  <c r="N254" i="8"/>
  <c r="T253" i="8"/>
  <c r="Z253" i="8" s="1"/>
  <c r="AI254" i="9"/>
  <c r="AH255" i="9"/>
  <c r="AH255" i="8"/>
  <c r="AI254" i="8"/>
  <c r="AT252" i="8" l="1"/>
  <c r="AB301" i="3"/>
  <c r="AD301" i="3" s="1"/>
  <c r="AE301" i="3" s="1"/>
  <c r="K303" i="3"/>
  <c r="P303" i="3" a="1"/>
  <c r="P303" i="3" s="1"/>
  <c r="O303" i="3"/>
  <c r="I303" i="3"/>
  <c r="H303" i="3"/>
  <c r="AF303" i="3"/>
  <c r="AG303" i="3" s="1"/>
  <c r="F305" i="3"/>
  <c r="G304" i="3"/>
  <c r="M302" i="3"/>
  <c r="L302" i="3"/>
  <c r="Q302" i="3" s="1"/>
  <c r="X302" i="3"/>
  <c r="Y302" i="3" s="1"/>
  <c r="W302" i="3"/>
  <c r="AJ302" i="3" s="1"/>
  <c r="U302" i="3"/>
  <c r="V302" i="3" s="1"/>
  <c r="AC302" i="3" s="1"/>
  <c r="AR253" i="8"/>
  <c r="AN253" i="8"/>
  <c r="AW253" i="8" s="1"/>
  <c r="AP252" i="8"/>
  <c r="AV252" i="8" s="1"/>
  <c r="AO252" i="8"/>
  <c r="AU252" i="8" s="1"/>
  <c r="R254" i="8"/>
  <c r="S254" i="8"/>
  <c r="AH250" i="3"/>
  <c r="AI250" i="3" s="1"/>
  <c r="N255" i="8"/>
  <c r="T254" i="8"/>
  <c r="Z254" i="8" s="1"/>
  <c r="AI255" i="8"/>
  <c r="AH256" i="8"/>
  <c r="AH256" i="9"/>
  <c r="AI255" i="9"/>
  <c r="AT253" i="8" l="1"/>
  <c r="AB302" i="3"/>
  <c r="AD302" i="3" s="1"/>
  <c r="AE302" i="3" s="1"/>
  <c r="P304" i="3" a="1"/>
  <c r="P304" i="3" s="1"/>
  <c r="O304" i="3"/>
  <c r="K304" i="3"/>
  <c r="I304" i="3"/>
  <c r="H304" i="3"/>
  <c r="AF304" i="3"/>
  <c r="AG304" i="3" s="1"/>
  <c r="F306" i="3"/>
  <c r="G305" i="3"/>
  <c r="M303" i="3"/>
  <c r="W303" i="3"/>
  <c r="AJ303" i="3" s="1"/>
  <c r="X303" i="3"/>
  <c r="Y303" i="3" s="1"/>
  <c r="L303" i="3"/>
  <c r="Q303" i="3" s="1"/>
  <c r="U303" i="3"/>
  <c r="V303" i="3" s="1"/>
  <c r="AC303" i="3" s="1"/>
  <c r="AR254" i="8"/>
  <c r="AN254" i="8"/>
  <c r="AW254" i="8" s="1"/>
  <c r="AO253" i="8"/>
  <c r="AU253" i="8" s="1"/>
  <c r="AP253" i="8"/>
  <c r="AV253" i="8" s="1"/>
  <c r="R255" i="8"/>
  <c r="S255" i="8"/>
  <c r="AH251" i="3"/>
  <c r="AI251" i="3" s="1"/>
  <c r="N256" i="8"/>
  <c r="T255" i="8"/>
  <c r="Z255" i="8" s="1"/>
  <c r="AI256" i="9"/>
  <c r="AH257" i="9"/>
  <c r="AI256" i="8"/>
  <c r="AH257" i="8"/>
  <c r="AT254" i="8" l="1"/>
  <c r="AB303" i="3"/>
  <c r="AD303" i="3" s="1"/>
  <c r="AE303" i="3" s="1"/>
  <c r="P305" i="3" a="1"/>
  <c r="P305" i="3" s="1"/>
  <c r="K305" i="3"/>
  <c r="O305" i="3"/>
  <c r="I305" i="3"/>
  <c r="H305" i="3"/>
  <c r="AF305" i="3"/>
  <c r="AG305" i="3" s="1"/>
  <c r="F307" i="3"/>
  <c r="G306" i="3"/>
  <c r="M304" i="3"/>
  <c r="L304" i="3"/>
  <c r="Q304" i="3" s="1"/>
  <c r="W304" i="3"/>
  <c r="AJ304" i="3" s="1"/>
  <c r="X304" i="3"/>
  <c r="Y304" i="3" s="1"/>
  <c r="U304" i="3"/>
  <c r="V304" i="3" s="1"/>
  <c r="AC304" i="3" s="1"/>
  <c r="AR255" i="8"/>
  <c r="AN255" i="8"/>
  <c r="AW255" i="8" s="1"/>
  <c r="AO254" i="8"/>
  <c r="AU254" i="8" s="1"/>
  <c r="AP254" i="8"/>
  <c r="AV254" i="8" s="1"/>
  <c r="R256" i="8"/>
  <c r="S256" i="8"/>
  <c r="AH252" i="3"/>
  <c r="AI252" i="3" s="1"/>
  <c r="N257" i="8"/>
  <c r="T256" i="8"/>
  <c r="Z256" i="8" s="1"/>
  <c r="AI257" i="9"/>
  <c r="AH258" i="9"/>
  <c r="AH258" i="8"/>
  <c r="AI257" i="8"/>
  <c r="AT255" i="8" l="1"/>
  <c r="AB304" i="3"/>
  <c r="AD304" i="3" s="1"/>
  <c r="AE304" i="3" s="1"/>
  <c r="K306" i="3"/>
  <c r="P306" i="3" a="1"/>
  <c r="P306" i="3" s="1"/>
  <c r="O306" i="3"/>
  <c r="I306" i="3"/>
  <c r="AF306" i="3"/>
  <c r="AG306" i="3" s="1"/>
  <c r="H306" i="3"/>
  <c r="F308" i="3"/>
  <c r="G307" i="3"/>
  <c r="M305" i="3"/>
  <c r="L305" i="3"/>
  <c r="Q305" i="3" s="1"/>
  <c r="W305" i="3"/>
  <c r="AJ305" i="3" s="1"/>
  <c r="X305" i="3"/>
  <c r="Y305" i="3" s="1"/>
  <c r="U305" i="3"/>
  <c r="V305" i="3" s="1"/>
  <c r="AC305" i="3" s="1"/>
  <c r="AR256" i="8"/>
  <c r="AN256" i="8"/>
  <c r="AW256" i="8" s="1"/>
  <c r="AO255" i="8"/>
  <c r="AU255" i="8" s="1"/>
  <c r="AP255" i="8"/>
  <c r="AV255" i="8" s="1"/>
  <c r="R257" i="8"/>
  <c r="S257" i="8"/>
  <c r="AH253" i="3"/>
  <c r="AI253" i="3" s="1"/>
  <c r="N258" i="8"/>
  <c r="T257" i="8"/>
  <c r="Z257" i="8" s="1"/>
  <c r="AI258" i="8"/>
  <c r="AH259" i="8"/>
  <c r="AH259" i="9"/>
  <c r="AI258" i="9"/>
  <c r="AT256" i="8" l="1"/>
  <c r="AB305" i="3"/>
  <c r="AD305" i="3" s="1"/>
  <c r="AE305" i="3" s="1"/>
  <c r="P307" i="3" a="1"/>
  <c r="P307" i="3" s="1"/>
  <c r="K307" i="3"/>
  <c r="O307" i="3"/>
  <c r="I307" i="3"/>
  <c r="AF307" i="3"/>
  <c r="AG307" i="3" s="1"/>
  <c r="H307" i="3"/>
  <c r="F309" i="3"/>
  <c r="G308" i="3"/>
  <c r="M306" i="3"/>
  <c r="L306" i="3"/>
  <c r="Q306" i="3" s="1"/>
  <c r="X306" i="3"/>
  <c r="Y306" i="3" s="1"/>
  <c r="W306" i="3"/>
  <c r="AJ306" i="3" s="1"/>
  <c r="U306" i="3"/>
  <c r="V306" i="3" s="1"/>
  <c r="AC306" i="3" s="1"/>
  <c r="AR257" i="8"/>
  <c r="AN257" i="8"/>
  <c r="AW257" i="8" s="1"/>
  <c r="AO256" i="8"/>
  <c r="AU256" i="8" s="1"/>
  <c r="AP256" i="8"/>
  <c r="AV256" i="8" s="1"/>
  <c r="R258" i="8"/>
  <c r="S258" i="8"/>
  <c r="AH254" i="3"/>
  <c r="AI254" i="3" s="1"/>
  <c r="T258" i="8"/>
  <c r="Z258" i="8" s="1"/>
  <c r="N259" i="8"/>
  <c r="AI259" i="8"/>
  <c r="AH260" i="8"/>
  <c r="AH260" i="9"/>
  <c r="AI259" i="9"/>
  <c r="AT257" i="8" l="1"/>
  <c r="AB306" i="3"/>
  <c r="AD306" i="3" s="1"/>
  <c r="AE306" i="3" s="1"/>
  <c r="P308" i="3" a="1"/>
  <c r="P308" i="3" s="1"/>
  <c r="K308" i="3"/>
  <c r="O308" i="3"/>
  <c r="I308" i="3"/>
  <c r="H308" i="3"/>
  <c r="AF308" i="3"/>
  <c r="AG308" i="3" s="1"/>
  <c r="F310" i="3"/>
  <c r="G309" i="3"/>
  <c r="M307" i="3"/>
  <c r="W307" i="3"/>
  <c r="AJ307" i="3" s="1"/>
  <c r="X307" i="3"/>
  <c r="Y307" i="3" s="1"/>
  <c r="L307" i="3"/>
  <c r="Q307" i="3" s="1"/>
  <c r="U307" i="3"/>
  <c r="V307" i="3" s="1"/>
  <c r="AC307" i="3" s="1"/>
  <c r="AR258" i="8"/>
  <c r="AN258" i="8"/>
  <c r="AW258" i="8" s="1"/>
  <c r="AO257" i="8"/>
  <c r="AU257" i="8" s="1"/>
  <c r="AP257" i="8"/>
  <c r="AV257" i="8" s="1"/>
  <c r="R259" i="8"/>
  <c r="S259" i="8"/>
  <c r="AH255" i="3"/>
  <c r="AI255" i="3" s="1"/>
  <c r="N260" i="8"/>
  <c r="T259" i="8"/>
  <c r="Z259" i="8" s="1"/>
  <c r="AH261" i="8"/>
  <c r="AI260" i="8"/>
  <c r="AH261" i="9"/>
  <c r="AI260" i="9"/>
  <c r="AT258" i="8" l="1"/>
  <c r="AB307" i="3"/>
  <c r="AD307" i="3" s="1"/>
  <c r="AE307" i="3" s="1"/>
  <c r="P309" i="3" a="1"/>
  <c r="P309" i="3" s="1"/>
  <c r="K309" i="3"/>
  <c r="O309" i="3"/>
  <c r="I309" i="3"/>
  <c r="H309" i="3"/>
  <c r="AF309" i="3"/>
  <c r="AG309" i="3" s="1"/>
  <c r="F311" i="3"/>
  <c r="G310" i="3"/>
  <c r="M308" i="3"/>
  <c r="L308" i="3"/>
  <c r="Q308" i="3" s="1"/>
  <c r="W308" i="3"/>
  <c r="AJ308" i="3" s="1"/>
  <c r="X308" i="3"/>
  <c r="Y308" i="3" s="1"/>
  <c r="U308" i="3"/>
  <c r="V308" i="3" s="1"/>
  <c r="AC308" i="3" s="1"/>
  <c r="AR259" i="8"/>
  <c r="AN259" i="8"/>
  <c r="AW259" i="8" s="1"/>
  <c r="AO258" i="8"/>
  <c r="AU258" i="8" s="1"/>
  <c r="AP258" i="8"/>
  <c r="AV258" i="8" s="1"/>
  <c r="R260" i="8"/>
  <c r="S260" i="8"/>
  <c r="AH256" i="3"/>
  <c r="AI256" i="3" s="1"/>
  <c r="N261" i="8"/>
  <c r="T260" i="8"/>
  <c r="Z260" i="8" s="1"/>
  <c r="AH262" i="9"/>
  <c r="AI261" i="9"/>
  <c r="AH262" i="8"/>
  <c r="AI261" i="8"/>
  <c r="AT259" i="8" l="1"/>
  <c r="AB308" i="3"/>
  <c r="AD308" i="3" s="1"/>
  <c r="AE308" i="3" s="1"/>
  <c r="P310" i="3" a="1"/>
  <c r="P310" i="3" s="1"/>
  <c r="K310" i="3"/>
  <c r="O310" i="3"/>
  <c r="I310" i="3"/>
  <c r="H310" i="3"/>
  <c r="AF310" i="3"/>
  <c r="AG310" i="3" s="1"/>
  <c r="F312" i="3"/>
  <c r="G311" i="3"/>
  <c r="M309" i="3"/>
  <c r="X309" i="3"/>
  <c r="Y309" i="3" s="1"/>
  <c r="L309" i="3"/>
  <c r="Q309" i="3" s="1"/>
  <c r="W309" i="3"/>
  <c r="AJ309" i="3" s="1"/>
  <c r="U309" i="3"/>
  <c r="V309" i="3" s="1"/>
  <c r="AC309" i="3" s="1"/>
  <c r="AR260" i="8"/>
  <c r="AN260" i="8"/>
  <c r="AW260" i="8" s="1"/>
  <c r="AO259" i="8"/>
  <c r="AU259" i="8" s="1"/>
  <c r="AP259" i="8"/>
  <c r="AV259" i="8" s="1"/>
  <c r="R261" i="8"/>
  <c r="S261" i="8"/>
  <c r="AH257" i="3"/>
  <c r="AI257" i="3" s="1"/>
  <c r="N262" i="8"/>
  <c r="T261" i="8"/>
  <c r="Z261" i="8" s="1"/>
  <c r="AI262" i="9"/>
  <c r="AH263" i="9"/>
  <c r="AH263" i="8"/>
  <c r="AI262" i="8"/>
  <c r="AT260" i="8" l="1"/>
  <c r="AB309" i="3"/>
  <c r="AD309" i="3" s="1"/>
  <c r="AE309" i="3" s="1"/>
  <c r="F313" i="3"/>
  <c r="G312" i="3"/>
  <c r="P311" i="3" a="1"/>
  <c r="P311" i="3" s="1"/>
  <c r="K311" i="3"/>
  <c r="O311" i="3"/>
  <c r="I311" i="3"/>
  <c r="H311" i="3"/>
  <c r="AF311" i="3"/>
  <c r="AG311" i="3" s="1"/>
  <c r="M310" i="3"/>
  <c r="W310" i="3"/>
  <c r="AJ310" i="3" s="1"/>
  <c r="L310" i="3"/>
  <c r="Q310" i="3" s="1"/>
  <c r="X310" i="3"/>
  <c r="Y310" i="3" s="1"/>
  <c r="U310" i="3"/>
  <c r="V310" i="3" s="1"/>
  <c r="AC310" i="3" s="1"/>
  <c r="AR261" i="8"/>
  <c r="AN261" i="8"/>
  <c r="AW261" i="8" s="1"/>
  <c r="AO260" i="8"/>
  <c r="AU260" i="8" s="1"/>
  <c r="AP260" i="8"/>
  <c r="AV260" i="8" s="1"/>
  <c r="R262" i="8"/>
  <c r="D85" i="7" s="1"/>
  <c r="I78" i="7" s="1"/>
  <c r="S262" i="8"/>
  <c r="D86" i="7" s="1"/>
  <c r="AH258" i="3"/>
  <c r="AI258" i="3" s="1"/>
  <c r="T262" i="8"/>
  <c r="Z262" i="8" s="1"/>
  <c r="N263" i="8"/>
  <c r="AI263" i="9"/>
  <c r="AH264" i="9"/>
  <c r="AI263" i="8"/>
  <c r="AH264" i="8"/>
  <c r="AT261" i="8" l="1"/>
  <c r="AB310" i="3"/>
  <c r="AD310" i="3" s="1"/>
  <c r="AE310" i="3" s="1"/>
  <c r="M311" i="3"/>
  <c r="W311" i="3"/>
  <c r="AJ311" i="3" s="1"/>
  <c r="X311" i="3"/>
  <c r="Y311" i="3" s="1"/>
  <c r="L311" i="3"/>
  <c r="Q311" i="3" s="1"/>
  <c r="U311" i="3"/>
  <c r="V311" i="3" s="1"/>
  <c r="AC311" i="3" s="1"/>
  <c r="P312" i="3" a="1"/>
  <c r="P312" i="3" s="1"/>
  <c r="K312" i="3"/>
  <c r="O312" i="3"/>
  <c r="I312" i="3"/>
  <c r="H312" i="3"/>
  <c r="AF312" i="3"/>
  <c r="AG312" i="3" s="1"/>
  <c r="F314" i="3"/>
  <c r="G313" i="3"/>
  <c r="AR262" i="8"/>
  <c r="AN262" i="8"/>
  <c r="AW262" i="8" s="1"/>
  <c r="AO261" i="8"/>
  <c r="AU261" i="8" s="1"/>
  <c r="AP261" i="8"/>
  <c r="AV261" i="8" s="1"/>
  <c r="R263" i="8"/>
  <c r="S263" i="8"/>
  <c r="AH259" i="3"/>
  <c r="AI259" i="3" s="1"/>
  <c r="T263" i="8"/>
  <c r="Z263" i="8" s="1"/>
  <c r="N264" i="8"/>
  <c r="AH265" i="9"/>
  <c r="AI264" i="9"/>
  <c r="AI264" i="8"/>
  <c r="AH265" i="8"/>
  <c r="AT262" i="8" l="1"/>
  <c r="P313" i="3" a="1"/>
  <c r="P313" i="3" s="1"/>
  <c r="K313" i="3"/>
  <c r="O313" i="3"/>
  <c r="I313" i="3"/>
  <c r="AF313" i="3"/>
  <c r="AG313" i="3" s="1"/>
  <c r="H313" i="3"/>
  <c r="AB311" i="3"/>
  <c r="AD311" i="3" s="1"/>
  <c r="AE311" i="3" s="1"/>
  <c r="F315" i="3"/>
  <c r="G314" i="3"/>
  <c r="M312" i="3"/>
  <c r="L312" i="3"/>
  <c r="Q312" i="3" s="1"/>
  <c r="W312" i="3"/>
  <c r="AJ312" i="3" s="1"/>
  <c r="X312" i="3"/>
  <c r="Y312" i="3" s="1"/>
  <c r="U312" i="3"/>
  <c r="V312" i="3" s="1"/>
  <c r="AC312" i="3" s="1"/>
  <c r="AR263" i="8"/>
  <c r="AN263" i="8"/>
  <c r="AW263" i="8" s="1"/>
  <c r="AO262" i="8"/>
  <c r="AU262" i="8" s="1"/>
  <c r="AP262" i="8"/>
  <c r="AV262" i="8" s="1"/>
  <c r="R264" i="8"/>
  <c r="S264" i="8"/>
  <c r="AH260" i="3"/>
  <c r="AI260" i="3" s="1"/>
  <c r="N265" i="8"/>
  <c r="T264" i="8"/>
  <c r="Z264" i="8" s="1"/>
  <c r="AI265" i="8"/>
  <c r="AH266" i="8"/>
  <c r="AH266" i="9"/>
  <c r="AI265" i="9"/>
  <c r="AT263" i="8" l="1"/>
  <c r="AB312" i="3"/>
  <c r="AD312" i="3" s="1"/>
  <c r="AE312" i="3" s="1"/>
  <c r="F316" i="3"/>
  <c r="G315" i="3"/>
  <c r="P314" i="3" a="1"/>
  <c r="P314" i="3" s="1"/>
  <c r="K314" i="3"/>
  <c r="O314" i="3"/>
  <c r="I314" i="3"/>
  <c r="H314" i="3"/>
  <c r="AF314" i="3"/>
  <c r="AG314" i="3" s="1"/>
  <c r="M313" i="3"/>
  <c r="L313" i="3"/>
  <c r="Q313" i="3" s="1"/>
  <c r="X313" i="3"/>
  <c r="Y313" i="3" s="1"/>
  <c r="W313" i="3"/>
  <c r="AJ313" i="3" s="1"/>
  <c r="U313" i="3"/>
  <c r="V313" i="3" s="1"/>
  <c r="AC313" i="3" s="1"/>
  <c r="AR264" i="8"/>
  <c r="AN264" i="8"/>
  <c r="AW264" i="8" s="1"/>
  <c r="AO263" i="8"/>
  <c r="AU263" i="8" s="1"/>
  <c r="AP263" i="8"/>
  <c r="AV263" i="8" s="1"/>
  <c r="R265" i="8"/>
  <c r="S265" i="8"/>
  <c r="AH261" i="3"/>
  <c r="AI261" i="3" s="1"/>
  <c r="N266" i="8"/>
  <c r="T265" i="8"/>
  <c r="Z265" i="8" s="1"/>
  <c r="AI266" i="8"/>
  <c r="AH267" i="8"/>
  <c r="AH267" i="9"/>
  <c r="AH268" i="9" s="1"/>
  <c r="AI266" i="9"/>
  <c r="AT264" i="8" l="1"/>
  <c r="AB313" i="3"/>
  <c r="AD313" i="3" s="1"/>
  <c r="AE313" i="3" s="1"/>
  <c r="M314" i="3"/>
  <c r="L314" i="3"/>
  <c r="Q314" i="3" s="1"/>
  <c r="W314" i="3"/>
  <c r="AJ314" i="3" s="1"/>
  <c r="X314" i="3"/>
  <c r="Y314" i="3" s="1"/>
  <c r="U314" i="3"/>
  <c r="V314" i="3" s="1"/>
  <c r="AC314" i="3" s="1"/>
  <c r="K315" i="3"/>
  <c r="P315" i="3" a="1"/>
  <c r="P315" i="3" s="1"/>
  <c r="O315" i="3"/>
  <c r="I315" i="3"/>
  <c r="H315" i="3"/>
  <c r="AF315" i="3"/>
  <c r="AG315" i="3" s="1"/>
  <c r="F317" i="3"/>
  <c r="G316" i="3"/>
  <c r="AR265" i="8"/>
  <c r="AN265" i="8"/>
  <c r="AW265" i="8" s="1"/>
  <c r="AO264" i="8"/>
  <c r="AU264" i="8" s="1"/>
  <c r="AP264" i="8"/>
  <c r="AV264" i="8" s="1"/>
  <c r="AI268" i="9"/>
  <c r="AH269" i="9"/>
  <c r="R266" i="8"/>
  <c r="S266" i="8"/>
  <c r="AH262" i="3"/>
  <c r="AI262" i="3" s="1"/>
  <c r="N267" i="8"/>
  <c r="T266" i="8"/>
  <c r="Z266" i="8" s="1"/>
  <c r="AI267" i="9"/>
  <c r="AH268" i="8"/>
  <c r="AI267" i="8"/>
  <c r="AB314" i="3" l="1"/>
  <c r="AD314" i="3" s="1"/>
  <c r="AE314" i="3" s="1"/>
  <c r="P316" i="3" a="1"/>
  <c r="P316" i="3" s="1"/>
  <c r="K316" i="3"/>
  <c r="O316" i="3"/>
  <c r="I316" i="3"/>
  <c r="H316" i="3"/>
  <c r="AF316" i="3"/>
  <c r="AG316" i="3" s="1"/>
  <c r="M315" i="3"/>
  <c r="L315" i="3"/>
  <c r="Q315" i="3" s="1"/>
  <c r="X315" i="3"/>
  <c r="Y315" i="3" s="1"/>
  <c r="W315" i="3"/>
  <c r="AJ315" i="3" s="1"/>
  <c r="U315" i="3"/>
  <c r="V315" i="3" s="1"/>
  <c r="AC315" i="3" s="1"/>
  <c r="F318" i="3"/>
  <c r="G317" i="3"/>
  <c r="AR266" i="8"/>
  <c r="AN266" i="8"/>
  <c r="AW266" i="8" s="1"/>
  <c r="AP265" i="8"/>
  <c r="AV265" i="8" s="1"/>
  <c r="AO265" i="8"/>
  <c r="AU265" i="8" s="1"/>
  <c r="AT265" i="8"/>
  <c r="AI269" i="9"/>
  <c r="AH270" i="9"/>
  <c r="AI270" i="9" s="1"/>
  <c r="R267" i="8"/>
  <c r="S267" i="8"/>
  <c r="AH263" i="3"/>
  <c r="AI263" i="3" s="1"/>
  <c r="T267" i="8"/>
  <c r="Z267" i="8" s="1"/>
  <c r="N268" i="8"/>
  <c r="AI268" i="8"/>
  <c r="AH269" i="8"/>
  <c r="AB315" i="3" l="1"/>
  <c r="AD315" i="3" s="1"/>
  <c r="AE315" i="3" s="1"/>
  <c r="AT266" i="8"/>
  <c r="F319" i="3"/>
  <c r="G318" i="3"/>
  <c r="K317" i="3"/>
  <c r="P317" i="3" a="1"/>
  <c r="P317" i="3" s="1"/>
  <c r="O317" i="3"/>
  <c r="I317" i="3"/>
  <c r="AF317" i="3"/>
  <c r="AG317" i="3" s="1"/>
  <c r="H317" i="3"/>
  <c r="M316" i="3"/>
  <c r="L316" i="3"/>
  <c r="Q316" i="3" s="1"/>
  <c r="X316" i="3"/>
  <c r="Y316" i="3" s="1"/>
  <c r="W316" i="3"/>
  <c r="AJ316" i="3" s="1"/>
  <c r="U316" i="3"/>
  <c r="V316" i="3" s="1"/>
  <c r="AC316" i="3" s="1"/>
  <c r="AR267" i="8"/>
  <c r="AN267" i="8"/>
  <c r="AW267" i="8" s="1"/>
  <c r="AP266" i="8"/>
  <c r="AV266" i="8" s="1"/>
  <c r="AO266" i="8"/>
  <c r="AU266" i="8" s="1"/>
  <c r="R268" i="8"/>
  <c r="S268" i="8"/>
  <c r="AH264" i="3"/>
  <c r="AI264" i="3" s="1"/>
  <c r="N269" i="8"/>
  <c r="T268" i="8"/>
  <c r="Z268" i="8" s="1"/>
  <c r="AI269" i="8"/>
  <c r="AH270" i="8"/>
  <c r="AT267" i="8" l="1"/>
  <c r="AB316" i="3"/>
  <c r="AD316" i="3" s="1"/>
  <c r="AE316" i="3" s="1"/>
  <c r="M317" i="3"/>
  <c r="W317" i="3"/>
  <c r="AJ317" i="3" s="1"/>
  <c r="X317" i="3"/>
  <c r="Y317" i="3" s="1"/>
  <c r="L317" i="3"/>
  <c r="Q317" i="3" s="1"/>
  <c r="U317" i="3"/>
  <c r="V317" i="3" s="1"/>
  <c r="AC317" i="3" s="1"/>
  <c r="P318" i="3" a="1"/>
  <c r="P318" i="3" s="1"/>
  <c r="K318" i="3"/>
  <c r="O318" i="3"/>
  <c r="I318" i="3"/>
  <c r="AF318" i="3"/>
  <c r="AG318" i="3" s="1"/>
  <c r="H318" i="3"/>
  <c r="F320" i="3"/>
  <c r="G319" i="3"/>
  <c r="AR268" i="8"/>
  <c r="AN268" i="8"/>
  <c r="AW268" i="8" s="1"/>
  <c r="AO267" i="8"/>
  <c r="AU267" i="8" s="1"/>
  <c r="AP267" i="8"/>
  <c r="AV267" i="8" s="1"/>
  <c r="R269" i="8"/>
  <c r="S269" i="8"/>
  <c r="AH265" i="3"/>
  <c r="AI265" i="3" s="1"/>
  <c r="N270" i="8"/>
  <c r="T269" i="8"/>
  <c r="Z269" i="8" s="1"/>
  <c r="AH271" i="9"/>
  <c r="AH271" i="8"/>
  <c r="AI270" i="8"/>
  <c r="AT268" i="8" l="1"/>
  <c r="AB317" i="3"/>
  <c r="AD317" i="3" s="1"/>
  <c r="AE317" i="3" s="1"/>
  <c r="F321" i="3"/>
  <c r="G320" i="3"/>
  <c r="P319" i="3" a="1"/>
  <c r="P319" i="3" s="1"/>
  <c r="K319" i="3"/>
  <c r="O319" i="3"/>
  <c r="I319" i="3"/>
  <c r="H319" i="3"/>
  <c r="AF319" i="3"/>
  <c r="AG319" i="3" s="1"/>
  <c r="M318" i="3"/>
  <c r="X318" i="3"/>
  <c r="Y318" i="3" s="1"/>
  <c r="W318" i="3"/>
  <c r="AJ318" i="3" s="1"/>
  <c r="L318" i="3"/>
  <c r="Q318" i="3" s="1"/>
  <c r="U318" i="3"/>
  <c r="V318" i="3" s="1"/>
  <c r="AC318" i="3" s="1"/>
  <c r="AR269" i="8"/>
  <c r="AN269" i="8"/>
  <c r="AW269" i="8" s="1"/>
  <c r="AP268" i="8"/>
  <c r="AV268" i="8" s="1"/>
  <c r="AO268" i="8"/>
  <c r="AU268" i="8" s="1"/>
  <c r="R270" i="8"/>
  <c r="S270" i="8"/>
  <c r="AH266" i="3"/>
  <c r="AI266" i="3" s="1"/>
  <c r="T270" i="8"/>
  <c r="Z270" i="8" s="1"/>
  <c r="N271" i="8"/>
  <c r="AI271" i="9"/>
  <c r="AH272" i="9"/>
  <c r="AI271" i="8"/>
  <c r="AH272" i="8"/>
  <c r="AT269" i="8" l="1"/>
  <c r="AB318" i="3"/>
  <c r="AD318" i="3" s="1"/>
  <c r="AE318" i="3" s="1"/>
  <c r="M319" i="3"/>
  <c r="L319" i="3"/>
  <c r="Q319" i="3" s="1"/>
  <c r="W319" i="3"/>
  <c r="AJ319" i="3" s="1"/>
  <c r="X319" i="3"/>
  <c r="Y319" i="3" s="1"/>
  <c r="U319" i="3"/>
  <c r="V319" i="3" s="1"/>
  <c r="AC319" i="3" s="1"/>
  <c r="P320" i="3" a="1"/>
  <c r="P320" i="3" s="1"/>
  <c r="K320" i="3"/>
  <c r="O320" i="3"/>
  <c r="I320" i="3"/>
  <c r="H320" i="3"/>
  <c r="AF320" i="3"/>
  <c r="AG320" i="3" s="1"/>
  <c r="F322" i="3"/>
  <c r="G321" i="3"/>
  <c r="AR270" i="8"/>
  <c r="AN270" i="8"/>
  <c r="AW270" i="8" s="1"/>
  <c r="AO269" i="8"/>
  <c r="AU269" i="8" s="1"/>
  <c r="AP269" i="8"/>
  <c r="AV269" i="8" s="1"/>
  <c r="R271" i="8"/>
  <c r="S271" i="8"/>
  <c r="AH267" i="3"/>
  <c r="AI267" i="3" s="1"/>
  <c r="N272" i="8"/>
  <c r="T271" i="8"/>
  <c r="Z271" i="8" s="1"/>
  <c r="AH273" i="9"/>
  <c r="AI272" i="9"/>
  <c r="AI272" i="8"/>
  <c r="AH273" i="8"/>
  <c r="AT270" i="8" l="1"/>
  <c r="AB319" i="3"/>
  <c r="AD319" i="3" s="1"/>
  <c r="AE319" i="3" s="1"/>
  <c r="P321" i="3" a="1"/>
  <c r="P321" i="3" s="1"/>
  <c r="K321" i="3"/>
  <c r="O321" i="3"/>
  <c r="I321" i="3"/>
  <c r="AF321" i="3"/>
  <c r="AG321" i="3" s="1"/>
  <c r="H321" i="3"/>
  <c r="F323" i="3"/>
  <c r="G322" i="3"/>
  <c r="M320" i="3"/>
  <c r="X320" i="3"/>
  <c r="Y320" i="3" s="1"/>
  <c r="W320" i="3"/>
  <c r="AJ320" i="3" s="1"/>
  <c r="L320" i="3"/>
  <c r="Q320" i="3" s="1"/>
  <c r="U320" i="3"/>
  <c r="V320" i="3" s="1"/>
  <c r="AC320" i="3" s="1"/>
  <c r="AP270" i="8"/>
  <c r="AV270" i="8" s="1"/>
  <c r="AO270" i="8"/>
  <c r="AU270" i="8" s="1"/>
  <c r="AR271" i="8"/>
  <c r="AN271" i="8"/>
  <c r="AW271" i="8" s="1"/>
  <c r="R272" i="8"/>
  <c r="S272" i="8"/>
  <c r="AH268" i="3"/>
  <c r="AI268" i="3" s="1"/>
  <c r="N273" i="8"/>
  <c r="T272" i="8"/>
  <c r="Z272" i="8" s="1"/>
  <c r="AH274" i="9"/>
  <c r="AI273" i="9"/>
  <c r="AI273" i="8"/>
  <c r="AH274" i="8"/>
  <c r="AT271" i="8" l="1"/>
  <c r="AB320" i="3"/>
  <c r="AD320" i="3" s="1"/>
  <c r="AE320" i="3" s="1"/>
  <c r="K322" i="3"/>
  <c r="P322" i="3" a="1"/>
  <c r="P322" i="3" s="1"/>
  <c r="O322" i="3"/>
  <c r="I322" i="3"/>
  <c r="AF322" i="3"/>
  <c r="AG322" i="3" s="1"/>
  <c r="H322" i="3"/>
  <c r="F324" i="3"/>
  <c r="G323" i="3"/>
  <c r="M321" i="3"/>
  <c r="L321" i="3"/>
  <c r="Q321" i="3" s="1"/>
  <c r="W321" i="3"/>
  <c r="AJ321" i="3" s="1"/>
  <c r="X321" i="3"/>
  <c r="Y321" i="3" s="1"/>
  <c r="U321" i="3"/>
  <c r="V321" i="3" s="1"/>
  <c r="AC321" i="3" s="1"/>
  <c r="AR272" i="8"/>
  <c r="AN272" i="8"/>
  <c r="AW272" i="8" s="1"/>
  <c r="AP271" i="8"/>
  <c r="AV271" i="8" s="1"/>
  <c r="AO271" i="8"/>
  <c r="AU271" i="8" s="1"/>
  <c r="R273" i="8"/>
  <c r="S273" i="8"/>
  <c r="AH269" i="3"/>
  <c r="AI269" i="3" s="1"/>
  <c r="N274" i="8"/>
  <c r="T273" i="8"/>
  <c r="Z273" i="8" s="1"/>
  <c r="AI274" i="8"/>
  <c r="AH275" i="8"/>
  <c r="AI274" i="9"/>
  <c r="AH275" i="9"/>
  <c r="AT272" i="8" l="1"/>
  <c r="AB321" i="3"/>
  <c r="AD321" i="3" s="1"/>
  <c r="AE321" i="3" s="1"/>
  <c r="P323" i="3" a="1"/>
  <c r="P323" i="3" s="1"/>
  <c r="O323" i="3"/>
  <c r="K323" i="3"/>
  <c r="I323" i="3"/>
  <c r="AF323" i="3"/>
  <c r="AG323" i="3" s="1"/>
  <c r="H323" i="3"/>
  <c r="F325" i="3"/>
  <c r="G324" i="3"/>
  <c r="M322" i="3"/>
  <c r="L322" i="3"/>
  <c r="Q322" i="3" s="1"/>
  <c r="W322" i="3"/>
  <c r="AJ322" i="3" s="1"/>
  <c r="X322" i="3"/>
  <c r="Y322" i="3" s="1"/>
  <c r="U322" i="3"/>
  <c r="V322" i="3" s="1"/>
  <c r="AC322" i="3" s="1"/>
  <c r="AR273" i="8"/>
  <c r="AN273" i="8"/>
  <c r="AW273" i="8" s="1"/>
  <c r="AO272" i="8"/>
  <c r="AU272" i="8" s="1"/>
  <c r="AP272" i="8"/>
  <c r="AV272" i="8" s="1"/>
  <c r="R274" i="8"/>
  <c r="S274" i="8"/>
  <c r="AH270" i="3"/>
  <c r="AI270" i="3" s="1"/>
  <c r="N275" i="8"/>
  <c r="T274" i="8"/>
  <c r="Z274" i="8" s="1"/>
  <c r="AH276" i="9"/>
  <c r="AI275" i="9"/>
  <c r="AI275" i="8"/>
  <c r="AH276" i="8"/>
  <c r="AT273" i="8" l="1"/>
  <c r="AB322" i="3"/>
  <c r="AD322" i="3" s="1"/>
  <c r="AE322" i="3" s="1"/>
  <c r="P324" i="3" a="1"/>
  <c r="P324" i="3" s="1"/>
  <c r="K324" i="3"/>
  <c r="O324" i="3"/>
  <c r="I324" i="3"/>
  <c r="AF324" i="3"/>
  <c r="AG324" i="3" s="1"/>
  <c r="H324" i="3"/>
  <c r="M323" i="3"/>
  <c r="L323" i="3"/>
  <c r="Q323" i="3" s="1"/>
  <c r="W323" i="3"/>
  <c r="AJ323" i="3" s="1"/>
  <c r="X323" i="3"/>
  <c r="Y323" i="3" s="1"/>
  <c r="U323" i="3"/>
  <c r="V323" i="3" s="1"/>
  <c r="AC323" i="3" s="1"/>
  <c r="F326" i="3"/>
  <c r="G325" i="3"/>
  <c r="AR274" i="8"/>
  <c r="AN274" i="8"/>
  <c r="AW274" i="8" s="1"/>
  <c r="AO273" i="8"/>
  <c r="AU273" i="8" s="1"/>
  <c r="AP273" i="8"/>
  <c r="AV273" i="8" s="1"/>
  <c r="R275" i="8"/>
  <c r="S275" i="8"/>
  <c r="AH271" i="3"/>
  <c r="AI271" i="3" s="1"/>
  <c r="N276" i="8"/>
  <c r="T275" i="8"/>
  <c r="Z275" i="8" s="1"/>
  <c r="AI276" i="8"/>
  <c r="AH277" i="8"/>
  <c r="AI276" i="9"/>
  <c r="AH277" i="9"/>
  <c r="AB323" i="3" l="1"/>
  <c r="AD323" i="3" s="1"/>
  <c r="AE323" i="3" s="1"/>
  <c r="AT274" i="8"/>
  <c r="F327" i="3"/>
  <c r="G326" i="3"/>
  <c r="P325" i="3" a="1"/>
  <c r="P325" i="3" s="1"/>
  <c r="K325" i="3"/>
  <c r="O325" i="3"/>
  <c r="I325" i="3"/>
  <c r="AF325" i="3"/>
  <c r="AG325" i="3" s="1"/>
  <c r="H325" i="3"/>
  <c r="M324" i="3"/>
  <c r="L324" i="3"/>
  <c r="Q324" i="3" s="1"/>
  <c r="X324" i="3"/>
  <c r="Y324" i="3" s="1"/>
  <c r="W324" i="3"/>
  <c r="AJ324" i="3" s="1"/>
  <c r="U324" i="3"/>
  <c r="V324" i="3" s="1"/>
  <c r="AC324" i="3" s="1"/>
  <c r="AO274" i="8"/>
  <c r="AU274" i="8" s="1"/>
  <c r="AP274" i="8"/>
  <c r="AV274" i="8" s="1"/>
  <c r="AR275" i="8"/>
  <c r="AN275" i="8"/>
  <c r="AW275" i="8" s="1"/>
  <c r="R276" i="8"/>
  <c r="S276" i="8"/>
  <c r="AH272" i="3"/>
  <c r="AI272" i="3" s="1"/>
  <c r="N277" i="8"/>
  <c r="T276" i="8"/>
  <c r="Z276" i="8" s="1"/>
  <c r="AH278" i="8"/>
  <c r="AI277" i="8"/>
  <c r="AH278" i="9"/>
  <c r="AI277" i="9"/>
  <c r="AT275" i="8" l="1"/>
  <c r="AB324" i="3"/>
  <c r="AD324" i="3" s="1"/>
  <c r="AE324" i="3" s="1"/>
  <c r="M325" i="3"/>
  <c r="W325" i="3"/>
  <c r="AJ325" i="3" s="1"/>
  <c r="L325" i="3"/>
  <c r="Q325" i="3" s="1"/>
  <c r="X325" i="3"/>
  <c r="Y325" i="3" s="1"/>
  <c r="U325" i="3"/>
  <c r="V325" i="3" s="1"/>
  <c r="AC325" i="3" s="1"/>
  <c r="K326" i="3"/>
  <c r="P326" i="3" a="1"/>
  <c r="P326" i="3" s="1"/>
  <c r="O326" i="3"/>
  <c r="I326" i="3"/>
  <c r="AF326" i="3"/>
  <c r="AG326" i="3" s="1"/>
  <c r="H326" i="3"/>
  <c r="F328" i="3"/>
  <c r="G327" i="3"/>
  <c r="AO275" i="8"/>
  <c r="AU275" i="8" s="1"/>
  <c r="AP275" i="8"/>
  <c r="AV275" i="8" s="1"/>
  <c r="AR276" i="8"/>
  <c r="AN276" i="8"/>
  <c r="AW276" i="8" s="1"/>
  <c r="R277" i="8"/>
  <c r="S277" i="8"/>
  <c r="AH273" i="3"/>
  <c r="AI273" i="3" s="1"/>
  <c r="T277" i="8"/>
  <c r="Z277" i="8" s="1"/>
  <c r="N278" i="8"/>
  <c r="AI278" i="9"/>
  <c r="AH279" i="9"/>
  <c r="AH279" i="8"/>
  <c r="AI278" i="8"/>
  <c r="AT276" i="8" l="1"/>
  <c r="AB325" i="3"/>
  <c r="AD325" i="3" s="1"/>
  <c r="AE325" i="3" s="1"/>
  <c r="M326" i="3"/>
  <c r="X326" i="3"/>
  <c r="Y326" i="3" s="1"/>
  <c r="W326" i="3"/>
  <c r="AJ326" i="3" s="1"/>
  <c r="L326" i="3"/>
  <c r="Q326" i="3" s="1"/>
  <c r="U326" i="3"/>
  <c r="V326" i="3" s="1"/>
  <c r="AC326" i="3" s="1"/>
  <c r="P327" i="3" a="1"/>
  <c r="P327" i="3" s="1"/>
  <c r="K327" i="3"/>
  <c r="O327" i="3"/>
  <c r="I327" i="3"/>
  <c r="AF327" i="3"/>
  <c r="AG327" i="3" s="1"/>
  <c r="H327" i="3"/>
  <c r="F329" i="3"/>
  <c r="G328" i="3"/>
  <c r="AP276" i="8"/>
  <c r="AV276" i="8" s="1"/>
  <c r="AO276" i="8"/>
  <c r="AU276" i="8" s="1"/>
  <c r="AR277" i="8"/>
  <c r="AN277" i="8"/>
  <c r="AW277" i="8" s="1"/>
  <c r="R278" i="8"/>
  <c r="S278" i="8"/>
  <c r="AH274" i="3"/>
  <c r="AI274" i="3" s="1"/>
  <c r="N279" i="8"/>
  <c r="T278" i="8"/>
  <c r="Z278" i="8" s="1"/>
  <c r="AH280" i="9"/>
  <c r="AI279" i="9"/>
  <c r="AH280" i="8"/>
  <c r="AI279" i="8"/>
  <c r="AT277" i="8" l="1"/>
  <c r="AB326" i="3"/>
  <c r="AD326" i="3" s="1"/>
  <c r="AE326" i="3" s="1"/>
  <c r="P328" i="3" a="1"/>
  <c r="P328" i="3" s="1"/>
  <c r="K328" i="3"/>
  <c r="O328" i="3"/>
  <c r="I328" i="3"/>
  <c r="H328" i="3"/>
  <c r="AF328" i="3"/>
  <c r="AG328" i="3" s="1"/>
  <c r="G329" i="3"/>
  <c r="F330" i="3"/>
  <c r="M327" i="3"/>
  <c r="L327" i="3"/>
  <c r="Q327" i="3" s="1"/>
  <c r="W327" i="3"/>
  <c r="AJ327" i="3" s="1"/>
  <c r="X327" i="3"/>
  <c r="Y327" i="3" s="1"/>
  <c r="U327" i="3"/>
  <c r="V327" i="3" s="1"/>
  <c r="AC327" i="3" s="1"/>
  <c r="AO277" i="8"/>
  <c r="AU277" i="8" s="1"/>
  <c r="AP277" i="8"/>
  <c r="AV277" i="8" s="1"/>
  <c r="AR278" i="8"/>
  <c r="AN278" i="8"/>
  <c r="AW278" i="8" s="1"/>
  <c r="R279" i="8"/>
  <c r="S279" i="8"/>
  <c r="AH275" i="3"/>
  <c r="AI275" i="3" s="1"/>
  <c r="T279" i="8"/>
  <c r="Z279" i="8" s="1"/>
  <c r="N280" i="8"/>
  <c r="AI280" i="9"/>
  <c r="AH281" i="9"/>
  <c r="AI280" i="8"/>
  <c r="AH281" i="8"/>
  <c r="AT278" i="8" l="1"/>
  <c r="AB327" i="3"/>
  <c r="AD327" i="3" s="1"/>
  <c r="AE327" i="3" s="1"/>
  <c r="G330" i="3"/>
  <c r="F331" i="3"/>
  <c r="P329" i="3" a="1"/>
  <c r="P329" i="3" s="1"/>
  <c r="K329" i="3"/>
  <c r="O329" i="3"/>
  <c r="I329" i="3"/>
  <c r="AF329" i="3"/>
  <c r="AG329" i="3" s="1"/>
  <c r="H329" i="3"/>
  <c r="M328" i="3"/>
  <c r="L328" i="3"/>
  <c r="Q328" i="3" s="1"/>
  <c r="W328" i="3"/>
  <c r="AJ328" i="3" s="1"/>
  <c r="U328" i="3"/>
  <c r="V328" i="3" s="1"/>
  <c r="AC328" i="3" s="1"/>
  <c r="AR279" i="8"/>
  <c r="AN279" i="8"/>
  <c r="AW279" i="8" s="1"/>
  <c r="AO278" i="8"/>
  <c r="AU278" i="8" s="1"/>
  <c r="AP278" i="8"/>
  <c r="AV278" i="8" s="1"/>
  <c r="R280" i="8"/>
  <c r="S280" i="8"/>
  <c r="AH276" i="3"/>
  <c r="AI276" i="3" s="1"/>
  <c r="T280" i="8"/>
  <c r="Z280" i="8" s="1"/>
  <c r="N281" i="8"/>
  <c r="AH282" i="9"/>
  <c r="AI281" i="9"/>
  <c r="AH282" i="8"/>
  <c r="AI281" i="8"/>
  <c r="AT279" i="8" l="1"/>
  <c r="AB328" i="3"/>
  <c r="AD328" i="3" s="1"/>
  <c r="AE328" i="3" s="1"/>
  <c r="M329" i="3"/>
  <c r="L329" i="3"/>
  <c r="Q329" i="3" s="1"/>
  <c r="W329" i="3"/>
  <c r="AJ329" i="3" s="1"/>
  <c r="U329" i="3"/>
  <c r="V329" i="3" s="1"/>
  <c r="AC329" i="3" s="1"/>
  <c r="F332" i="3"/>
  <c r="G331" i="3"/>
  <c r="K330" i="3"/>
  <c r="P330" i="3" a="1"/>
  <c r="P330" i="3" s="1"/>
  <c r="O330" i="3"/>
  <c r="I330" i="3"/>
  <c r="AF330" i="3"/>
  <c r="AG330" i="3" s="1"/>
  <c r="H330" i="3"/>
  <c r="AR280" i="8"/>
  <c r="AN280" i="8"/>
  <c r="AW280" i="8" s="1"/>
  <c r="AO279" i="8"/>
  <c r="AU279" i="8" s="1"/>
  <c r="AP279" i="8"/>
  <c r="AV279" i="8" s="1"/>
  <c r="R281" i="8"/>
  <c r="S281" i="8"/>
  <c r="AH277" i="3"/>
  <c r="AI277" i="3" s="1"/>
  <c r="T281" i="8"/>
  <c r="Z281" i="8" s="1"/>
  <c r="N282" i="8"/>
  <c r="AI282" i="8"/>
  <c r="AH283" i="8"/>
  <c r="AH283" i="9"/>
  <c r="AI282" i="9"/>
  <c r="AT280" i="8" l="1"/>
  <c r="AB329" i="3"/>
  <c r="AD329" i="3" s="1"/>
  <c r="AE329" i="3" s="1"/>
  <c r="P331" i="3" a="1"/>
  <c r="P331" i="3" s="1"/>
  <c r="K331" i="3"/>
  <c r="O331" i="3"/>
  <c r="I331" i="3"/>
  <c r="H331" i="3"/>
  <c r="AF331" i="3"/>
  <c r="AG331" i="3" s="1"/>
  <c r="F333" i="3"/>
  <c r="G332" i="3"/>
  <c r="M330" i="3"/>
  <c r="L330" i="3"/>
  <c r="Q330" i="3" s="1"/>
  <c r="W330" i="3"/>
  <c r="AJ330" i="3" s="1"/>
  <c r="U330" i="3"/>
  <c r="V330" i="3" s="1"/>
  <c r="AC330" i="3" s="1"/>
  <c r="AR281" i="8"/>
  <c r="AN281" i="8"/>
  <c r="AW281" i="8" s="1"/>
  <c r="AO280" i="8"/>
  <c r="AU280" i="8" s="1"/>
  <c r="AP280" i="8"/>
  <c r="AV280" i="8" s="1"/>
  <c r="R282" i="8"/>
  <c r="S282" i="8"/>
  <c r="AH278" i="3"/>
  <c r="AI278" i="3" s="1"/>
  <c r="N283" i="8"/>
  <c r="T282" i="8"/>
  <c r="Z282" i="8" s="1"/>
  <c r="AI283" i="9"/>
  <c r="AH284" i="9"/>
  <c r="AI283" i="8"/>
  <c r="AH284" i="8"/>
  <c r="AT281" i="8" l="1"/>
  <c r="AB330" i="3"/>
  <c r="AD330" i="3" s="1"/>
  <c r="AE330" i="3" s="1"/>
  <c r="O332" i="3"/>
  <c r="K332" i="3"/>
  <c r="P332" i="3" a="1"/>
  <c r="P332" i="3" s="1"/>
  <c r="I332" i="3"/>
  <c r="AF332" i="3"/>
  <c r="AG332" i="3" s="1"/>
  <c r="H332" i="3"/>
  <c r="F334" i="3"/>
  <c r="G333" i="3"/>
  <c r="M331" i="3"/>
  <c r="W331" i="3"/>
  <c r="AJ331" i="3" s="1"/>
  <c r="L331" i="3"/>
  <c r="Q331" i="3" s="1"/>
  <c r="U331" i="3"/>
  <c r="V331" i="3" s="1"/>
  <c r="AC331" i="3" s="1"/>
  <c r="AR282" i="8"/>
  <c r="AN282" i="8"/>
  <c r="AW282" i="8" s="1"/>
  <c r="AO281" i="8"/>
  <c r="AU281" i="8" s="1"/>
  <c r="AP281" i="8"/>
  <c r="AV281" i="8" s="1"/>
  <c r="R283" i="8"/>
  <c r="S283" i="8"/>
  <c r="AH279" i="3"/>
  <c r="AI279" i="3" s="1"/>
  <c r="N284" i="8"/>
  <c r="T283" i="8"/>
  <c r="Z283" i="8" s="1"/>
  <c r="AI284" i="9"/>
  <c r="AH285" i="9"/>
  <c r="AH285" i="8"/>
  <c r="AI284" i="8"/>
  <c r="AT282" i="8" l="1"/>
  <c r="AB331" i="3"/>
  <c r="AD331" i="3" s="1"/>
  <c r="AE331" i="3" s="1"/>
  <c r="K333" i="3"/>
  <c r="P333" i="3" a="1"/>
  <c r="P333" i="3" s="1"/>
  <c r="O333" i="3"/>
  <c r="I333" i="3"/>
  <c r="AF333" i="3"/>
  <c r="AG333" i="3" s="1"/>
  <c r="H333" i="3"/>
  <c r="G334" i="3"/>
  <c r="F335" i="3"/>
  <c r="M332" i="3"/>
  <c r="W332" i="3"/>
  <c r="AJ332" i="3" s="1"/>
  <c r="L332" i="3"/>
  <c r="Q332" i="3" s="1"/>
  <c r="U332" i="3"/>
  <c r="V332" i="3" s="1"/>
  <c r="AC332" i="3" s="1"/>
  <c r="AR283" i="8"/>
  <c r="AN283" i="8"/>
  <c r="AW283" i="8" s="1"/>
  <c r="AO282" i="8"/>
  <c r="AU282" i="8" s="1"/>
  <c r="AP282" i="8"/>
  <c r="AV282" i="8" s="1"/>
  <c r="R284" i="8"/>
  <c r="S284" i="8"/>
  <c r="AH280" i="3"/>
  <c r="AI280" i="3" s="1"/>
  <c r="N285" i="8"/>
  <c r="T284" i="8"/>
  <c r="Z284" i="8" s="1"/>
  <c r="AH286" i="8"/>
  <c r="AI285" i="8"/>
  <c r="AI285" i="9"/>
  <c r="AH286" i="9"/>
  <c r="AT283" i="8" l="1"/>
  <c r="AB332" i="3"/>
  <c r="AD332" i="3" s="1"/>
  <c r="AE332" i="3" s="1"/>
  <c r="F336" i="3"/>
  <c r="G335" i="3"/>
  <c r="K334" i="3"/>
  <c r="P334" i="3" a="1"/>
  <c r="P334" i="3" s="1"/>
  <c r="O334" i="3"/>
  <c r="I334" i="3"/>
  <c r="H334" i="3"/>
  <c r="AF334" i="3"/>
  <c r="AG334" i="3" s="1"/>
  <c r="M333" i="3"/>
  <c r="W333" i="3"/>
  <c r="AJ333" i="3" s="1"/>
  <c r="L333" i="3"/>
  <c r="Q333" i="3" s="1"/>
  <c r="U333" i="3"/>
  <c r="V333" i="3" s="1"/>
  <c r="AC333" i="3" s="1"/>
  <c r="AR284" i="8"/>
  <c r="AN284" i="8"/>
  <c r="AW284" i="8" s="1"/>
  <c r="AO283" i="8"/>
  <c r="AU283" i="8" s="1"/>
  <c r="AP283" i="8"/>
  <c r="AV283" i="8" s="1"/>
  <c r="R285" i="8"/>
  <c r="S285" i="8"/>
  <c r="AH281" i="3"/>
  <c r="AI281" i="3" s="1"/>
  <c r="N286" i="8"/>
  <c r="T285" i="8"/>
  <c r="Z285" i="8" s="1"/>
  <c r="AI286" i="9"/>
  <c r="AH287" i="9"/>
  <c r="AI286" i="8"/>
  <c r="AH287" i="8"/>
  <c r="AT284" i="8" l="1"/>
  <c r="AB333" i="3"/>
  <c r="AD333" i="3" s="1"/>
  <c r="AE333" i="3" s="1"/>
  <c r="M334" i="3"/>
  <c r="L334" i="3"/>
  <c r="Q334" i="3" s="1"/>
  <c r="W334" i="3"/>
  <c r="AJ334" i="3" s="1"/>
  <c r="U334" i="3"/>
  <c r="V334" i="3" s="1"/>
  <c r="AC334" i="3" s="1"/>
  <c r="K335" i="3"/>
  <c r="O335" i="3"/>
  <c r="P335" i="3" a="1"/>
  <c r="P335" i="3" s="1"/>
  <c r="I335" i="3"/>
  <c r="H335" i="3"/>
  <c r="AF335" i="3"/>
  <c r="AG335" i="3" s="1"/>
  <c r="G336" i="3"/>
  <c r="F337" i="3"/>
  <c r="AR285" i="8"/>
  <c r="AN285" i="8"/>
  <c r="AW285" i="8" s="1"/>
  <c r="AO284" i="8"/>
  <c r="AU284" i="8" s="1"/>
  <c r="AP284" i="8"/>
  <c r="AV284" i="8" s="1"/>
  <c r="R286" i="8"/>
  <c r="S286" i="8"/>
  <c r="AH282" i="3"/>
  <c r="AI282" i="3" s="1"/>
  <c r="N287" i="8"/>
  <c r="T286" i="8"/>
  <c r="Z286" i="8" s="1"/>
  <c r="AH288" i="8"/>
  <c r="AI287" i="8"/>
  <c r="AI287" i="9"/>
  <c r="AH288" i="9"/>
  <c r="AT285" i="8" l="1"/>
  <c r="AB334" i="3"/>
  <c r="AD334" i="3" s="1"/>
  <c r="AE334" i="3" s="1"/>
  <c r="M335" i="3"/>
  <c r="W335" i="3"/>
  <c r="AJ335" i="3" s="1"/>
  <c r="L335" i="3"/>
  <c r="Q335" i="3" s="1"/>
  <c r="U335" i="3"/>
  <c r="V335" i="3" s="1"/>
  <c r="AC335" i="3" s="1"/>
  <c r="O336" i="3"/>
  <c r="K336" i="3"/>
  <c r="P336" i="3" a="1"/>
  <c r="P336" i="3" s="1"/>
  <c r="I336" i="3"/>
  <c r="AF336" i="3"/>
  <c r="AG336" i="3" s="1"/>
  <c r="H336" i="3"/>
  <c r="F338" i="3"/>
  <c r="G337" i="3"/>
  <c r="AR286" i="8"/>
  <c r="AN286" i="8"/>
  <c r="AW286" i="8" s="1"/>
  <c r="AO285" i="8"/>
  <c r="AU285" i="8" s="1"/>
  <c r="AP285" i="8"/>
  <c r="AV285" i="8" s="1"/>
  <c r="R287" i="8"/>
  <c r="S287" i="8"/>
  <c r="AH283" i="3"/>
  <c r="AI283" i="3" s="1"/>
  <c r="N288" i="8"/>
  <c r="T287" i="8"/>
  <c r="Z287" i="8" s="1"/>
  <c r="AH289" i="9"/>
  <c r="AI288" i="9"/>
  <c r="AI288" i="8"/>
  <c r="AH289" i="8"/>
  <c r="AT286" i="8" l="1"/>
  <c r="AB335" i="3"/>
  <c r="AD335" i="3" s="1"/>
  <c r="AE335" i="3" s="1"/>
  <c r="M336" i="3"/>
  <c r="W336" i="3"/>
  <c r="AJ336" i="3" s="1"/>
  <c r="L336" i="3"/>
  <c r="Q336" i="3" s="1"/>
  <c r="U336" i="3"/>
  <c r="V336" i="3" s="1"/>
  <c r="AC336" i="3" s="1"/>
  <c r="P337" i="3" a="1"/>
  <c r="P337" i="3" s="1"/>
  <c r="K337" i="3"/>
  <c r="O337" i="3"/>
  <c r="I337" i="3"/>
  <c r="H337" i="3"/>
  <c r="AF337" i="3"/>
  <c r="AG337" i="3" s="1"/>
  <c r="G338" i="3"/>
  <c r="F339" i="3"/>
  <c r="AP286" i="8"/>
  <c r="AV286" i="8" s="1"/>
  <c r="AO286" i="8"/>
  <c r="AU286" i="8" s="1"/>
  <c r="AR287" i="8"/>
  <c r="AN287" i="8"/>
  <c r="AW287" i="8" s="1"/>
  <c r="R288" i="8"/>
  <c r="S288" i="8"/>
  <c r="AH284" i="3"/>
  <c r="AI284" i="3" s="1"/>
  <c r="N289" i="8"/>
  <c r="T288" i="8"/>
  <c r="Z288" i="8" s="1"/>
  <c r="AI289" i="8"/>
  <c r="AH290" i="8"/>
  <c r="AI289" i="9"/>
  <c r="AH290" i="9"/>
  <c r="AT287" i="8" l="1"/>
  <c r="AB336" i="3"/>
  <c r="AD336" i="3" s="1"/>
  <c r="AE336" i="3" s="1"/>
  <c r="M337" i="3"/>
  <c r="W337" i="3"/>
  <c r="AJ337" i="3" s="1"/>
  <c r="L337" i="3"/>
  <c r="Q337" i="3" s="1"/>
  <c r="U337" i="3"/>
  <c r="V337" i="3" s="1"/>
  <c r="AC337" i="3" s="1"/>
  <c r="G339" i="3"/>
  <c r="F340" i="3"/>
  <c r="K338" i="3"/>
  <c r="O338" i="3"/>
  <c r="P338" i="3" a="1"/>
  <c r="P338" i="3" s="1"/>
  <c r="I338" i="3"/>
  <c r="AF338" i="3"/>
  <c r="AG338" i="3" s="1"/>
  <c r="H338" i="3"/>
  <c r="AR288" i="8"/>
  <c r="AN288" i="8"/>
  <c r="AW288" i="8" s="1"/>
  <c r="AO287" i="8"/>
  <c r="AU287" i="8" s="1"/>
  <c r="AP287" i="8"/>
  <c r="AV287" i="8" s="1"/>
  <c r="R289" i="8"/>
  <c r="S289" i="8"/>
  <c r="AH285" i="3"/>
  <c r="AI285" i="3" s="1"/>
  <c r="N290" i="8"/>
  <c r="T289" i="8"/>
  <c r="Z289" i="8" s="1"/>
  <c r="AI290" i="8"/>
  <c r="AH291" i="8"/>
  <c r="AH291" i="9"/>
  <c r="AI290" i="9"/>
  <c r="AT288" i="8" l="1"/>
  <c r="AB337" i="3"/>
  <c r="AD337" i="3" s="1"/>
  <c r="AE337" i="3" s="1"/>
  <c r="F341" i="3"/>
  <c r="G340" i="3"/>
  <c r="K339" i="3"/>
  <c r="O339" i="3"/>
  <c r="P339" i="3" a="1"/>
  <c r="P339" i="3" s="1"/>
  <c r="I339" i="3"/>
  <c r="AF339" i="3"/>
  <c r="AG339" i="3" s="1"/>
  <c r="H339" i="3"/>
  <c r="AC338" i="3"/>
  <c r="M338" i="3"/>
  <c r="AB338" i="3"/>
  <c r="L338" i="3"/>
  <c r="Q338" i="3" s="1"/>
  <c r="W338" i="3"/>
  <c r="AJ338" i="3" s="1"/>
  <c r="AR289" i="8"/>
  <c r="AN289" i="8"/>
  <c r="AW289" i="8" s="1"/>
  <c r="AO288" i="8"/>
  <c r="AU288" i="8" s="1"/>
  <c r="AP288" i="8"/>
  <c r="AV288" i="8" s="1"/>
  <c r="R290" i="8"/>
  <c r="S290" i="8"/>
  <c r="AH286" i="3"/>
  <c r="AI286" i="3" s="1"/>
  <c r="T290" i="8"/>
  <c r="Z290" i="8" s="1"/>
  <c r="N291" i="8"/>
  <c r="AH292" i="9"/>
  <c r="AI291" i="9"/>
  <c r="AI291" i="8"/>
  <c r="AH292" i="8"/>
  <c r="AT289" i="8" l="1"/>
  <c r="AD338" i="3"/>
  <c r="AE338" i="3" s="1"/>
  <c r="AB339" i="3"/>
  <c r="AC339" i="3"/>
  <c r="M339" i="3"/>
  <c r="L339" i="3"/>
  <c r="Q339" i="3" s="1"/>
  <c r="W339" i="3"/>
  <c r="AJ339" i="3" s="1"/>
  <c r="O340" i="3"/>
  <c r="P340" i="3" a="1"/>
  <c r="P340" i="3" s="1"/>
  <c r="K340" i="3"/>
  <c r="I340" i="3"/>
  <c r="H340" i="3"/>
  <c r="AF340" i="3"/>
  <c r="AG340" i="3" s="1"/>
  <c r="F342" i="3"/>
  <c r="G341" i="3"/>
  <c r="AR290" i="8"/>
  <c r="AN290" i="8"/>
  <c r="AW290" i="8" s="1"/>
  <c r="AO289" i="8"/>
  <c r="AU289" i="8" s="1"/>
  <c r="AP289" i="8"/>
  <c r="AV289" i="8" s="1"/>
  <c r="R291" i="8"/>
  <c r="S291" i="8"/>
  <c r="AH287" i="3"/>
  <c r="AI287" i="3" s="1"/>
  <c r="N292" i="8"/>
  <c r="T291" i="8"/>
  <c r="Z291" i="8" s="1"/>
  <c r="AI292" i="8"/>
  <c r="AH293" i="8"/>
  <c r="AI292" i="9"/>
  <c r="AH293" i="9"/>
  <c r="AT290" i="8" l="1"/>
  <c r="AD339" i="3"/>
  <c r="AE339" i="3" s="1"/>
  <c r="G342" i="3"/>
  <c r="F343" i="3"/>
  <c r="K341" i="3"/>
  <c r="O341" i="3"/>
  <c r="P341" i="3" a="1"/>
  <c r="P341" i="3" s="1"/>
  <c r="I341" i="3"/>
  <c r="H341" i="3"/>
  <c r="AF341" i="3"/>
  <c r="AG341" i="3" s="1"/>
  <c r="M340" i="3"/>
  <c r="AC340" i="3"/>
  <c r="AB340" i="3"/>
  <c r="L340" i="3"/>
  <c r="Q340" i="3" s="1"/>
  <c r="W340" i="3"/>
  <c r="AJ340" i="3" s="1"/>
  <c r="AR291" i="8"/>
  <c r="AN291" i="8"/>
  <c r="AW291" i="8" s="1"/>
  <c r="AP290" i="8"/>
  <c r="AV290" i="8" s="1"/>
  <c r="AO290" i="8"/>
  <c r="AU290" i="8" s="1"/>
  <c r="R292" i="8"/>
  <c r="S292" i="8"/>
  <c r="AH288" i="3"/>
  <c r="AI288" i="3" s="1"/>
  <c r="N293" i="8"/>
  <c r="T292" i="8"/>
  <c r="Z292" i="8" s="1"/>
  <c r="AH294" i="8"/>
  <c r="AI293" i="8"/>
  <c r="AH294" i="9"/>
  <c r="AI293" i="9"/>
  <c r="AT291" i="8" l="1"/>
  <c r="AD340" i="3"/>
  <c r="AE340" i="3" s="1"/>
  <c r="AC341" i="3"/>
  <c r="M341" i="3"/>
  <c r="AB341" i="3"/>
  <c r="L341" i="3"/>
  <c r="Q341" i="3" s="1"/>
  <c r="W341" i="3"/>
  <c r="AJ341" i="3" s="1"/>
  <c r="G343" i="3"/>
  <c r="F344" i="3"/>
  <c r="K342" i="3"/>
  <c r="O342" i="3"/>
  <c r="P342" i="3" a="1"/>
  <c r="P342" i="3" s="1"/>
  <c r="I342" i="3"/>
  <c r="H342" i="3"/>
  <c r="AF342" i="3"/>
  <c r="AG342" i="3" s="1"/>
  <c r="AR292" i="8"/>
  <c r="AN292" i="8"/>
  <c r="AW292" i="8" s="1"/>
  <c r="AO291" i="8"/>
  <c r="AU291" i="8" s="1"/>
  <c r="AP291" i="8"/>
  <c r="AV291" i="8" s="1"/>
  <c r="R293" i="8"/>
  <c r="S293" i="8"/>
  <c r="AH289" i="3"/>
  <c r="AI289" i="3" s="1"/>
  <c r="N294" i="8"/>
  <c r="T293" i="8"/>
  <c r="Z293" i="8" s="1"/>
  <c r="AH295" i="8"/>
  <c r="AI294" i="8"/>
  <c r="AI294" i="9"/>
  <c r="AH295" i="9"/>
  <c r="AT292" i="8" l="1"/>
  <c r="AD341" i="3"/>
  <c r="AE341" i="3" s="1"/>
  <c r="F345" i="3"/>
  <c r="G344" i="3"/>
  <c r="P343" i="3" a="1"/>
  <c r="P343" i="3" s="1"/>
  <c r="K343" i="3"/>
  <c r="O343" i="3"/>
  <c r="I343" i="3"/>
  <c r="AF343" i="3"/>
  <c r="AG343" i="3" s="1"/>
  <c r="H343" i="3"/>
  <c r="AB342" i="3"/>
  <c r="M342" i="3"/>
  <c r="AC342" i="3"/>
  <c r="W342" i="3"/>
  <c r="AJ342" i="3" s="1"/>
  <c r="L342" i="3"/>
  <c r="Q342" i="3" s="1"/>
  <c r="AR293" i="8"/>
  <c r="AN293" i="8"/>
  <c r="AW293" i="8" s="1"/>
  <c r="AO292" i="8"/>
  <c r="AU292" i="8" s="1"/>
  <c r="AP292" i="8"/>
  <c r="AV292" i="8" s="1"/>
  <c r="R294" i="8"/>
  <c r="S294" i="8"/>
  <c r="AH290" i="3"/>
  <c r="AI290" i="3" s="1"/>
  <c r="N295" i="8"/>
  <c r="T294" i="8"/>
  <c r="Z294" i="8" s="1"/>
  <c r="AH296" i="9"/>
  <c r="AI295" i="9"/>
  <c r="AI295" i="8"/>
  <c r="AH296" i="8"/>
  <c r="AT293" i="8" l="1"/>
  <c r="AD342" i="3"/>
  <c r="AE342" i="3" s="1"/>
  <c r="AB343" i="3"/>
  <c r="M343" i="3"/>
  <c r="AC343" i="3"/>
  <c r="L343" i="3"/>
  <c r="Q343" i="3" s="1"/>
  <c r="W343" i="3"/>
  <c r="AJ343" i="3" s="1"/>
  <c r="P344" i="3" a="1"/>
  <c r="P344" i="3" s="1"/>
  <c r="K344" i="3"/>
  <c r="O344" i="3"/>
  <c r="I344" i="3"/>
  <c r="H344" i="3"/>
  <c r="AF344" i="3"/>
  <c r="AG344" i="3" s="1"/>
  <c r="G345" i="3"/>
  <c r="F346" i="3"/>
  <c r="AR294" i="8"/>
  <c r="AN294" i="8"/>
  <c r="AW294" i="8" s="1"/>
  <c r="AP293" i="8"/>
  <c r="AV293" i="8" s="1"/>
  <c r="AO293" i="8"/>
  <c r="AU293" i="8" s="1"/>
  <c r="R295" i="8"/>
  <c r="S295" i="8"/>
  <c r="AH291" i="3"/>
  <c r="AI291" i="3" s="1"/>
  <c r="N296" i="8"/>
  <c r="T295" i="8"/>
  <c r="Z295" i="8" s="1"/>
  <c r="AH297" i="9"/>
  <c r="AI296" i="9"/>
  <c r="AH297" i="8"/>
  <c r="AI296" i="8"/>
  <c r="AT294" i="8" l="1"/>
  <c r="AD343" i="3"/>
  <c r="AE343" i="3" s="1"/>
  <c r="M344" i="3"/>
  <c r="AC344" i="3"/>
  <c r="AB344" i="3"/>
  <c r="W344" i="3"/>
  <c r="AJ344" i="3" s="1"/>
  <c r="L344" i="3"/>
  <c r="Q344" i="3" s="1"/>
  <c r="G346" i="3"/>
  <c r="F347" i="3"/>
  <c r="K345" i="3"/>
  <c r="P345" i="3" a="1"/>
  <c r="P345" i="3" s="1"/>
  <c r="O345" i="3"/>
  <c r="I345" i="3"/>
  <c r="H345" i="3"/>
  <c r="AF345" i="3"/>
  <c r="AG345" i="3" s="1"/>
  <c r="AR295" i="8"/>
  <c r="AN295" i="8"/>
  <c r="AW295" i="8" s="1"/>
  <c r="AP294" i="8"/>
  <c r="AV294" i="8" s="1"/>
  <c r="AO294" i="8"/>
  <c r="AU294" i="8" s="1"/>
  <c r="R296" i="8"/>
  <c r="S296" i="8"/>
  <c r="AH292" i="3"/>
  <c r="AI292" i="3" s="1"/>
  <c r="N297" i="8"/>
  <c r="T296" i="8"/>
  <c r="Z296" i="8" s="1"/>
  <c r="AI297" i="9"/>
  <c r="AH298" i="9"/>
  <c r="AI297" i="8"/>
  <c r="AH298" i="8"/>
  <c r="AT295" i="8" l="1"/>
  <c r="AD344" i="3"/>
  <c r="AE344" i="3" s="1"/>
  <c r="F348" i="3"/>
  <c r="G347" i="3"/>
  <c r="O346" i="3"/>
  <c r="K346" i="3"/>
  <c r="P346" i="3" a="1"/>
  <c r="P346" i="3" s="1"/>
  <c r="I346" i="3"/>
  <c r="AF346" i="3"/>
  <c r="AG346" i="3" s="1"/>
  <c r="H346" i="3"/>
  <c r="M345" i="3"/>
  <c r="AC345" i="3"/>
  <c r="AB345" i="3"/>
  <c r="L345" i="3"/>
  <c r="Q345" i="3" s="1"/>
  <c r="W345" i="3"/>
  <c r="AJ345" i="3" s="1"/>
  <c r="AR296" i="8"/>
  <c r="AN296" i="8"/>
  <c r="AW296" i="8" s="1"/>
  <c r="AO295" i="8"/>
  <c r="AU295" i="8" s="1"/>
  <c r="AP295" i="8"/>
  <c r="AV295" i="8" s="1"/>
  <c r="R297" i="8"/>
  <c r="S297" i="8"/>
  <c r="AH293" i="3"/>
  <c r="AI293" i="3" s="1"/>
  <c r="T297" i="8"/>
  <c r="Z297" i="8" s="1"/>
  <c r="N298" i="8"/>
  <c r="AI298" i="8"/>
  <c r="AH299" i="8"/>
  <c r="AH299" i="9"/>
  <c r="AI298" i="9"/>
  <c r="AT296" i="8" l="1"/>
  <c r="AD345" i="3"/>
  <c r="AE345" i="3" s="1"/>
  <c r="AB346" i="3"/>
  <c r="M346" i="3"/>
  <c r="AC346" i="3"/>
  <c r="L346" i="3"/>
  <c r="Q346" i="3" s="1"/>
  <c r="W346" i="3"/>
  <c r="AJ346" i="3" s="1"/>
  <c r="K347" i="3"/>
  <c r="O347" i="3"/>
  <c r="P347" i="3" a="1"/>
  <c r="P347" i="3" s="1"/>
  <c r="I347" i="3"/>
  <c r="AF347" i="3"/>
  <c r="AG347" i="3" s="1"/>
  <c r="H347" i="3"/>
  <c r="G348" i="3"/>
  <c r="F349" i="3"/>
  <c r="AR297" i="8"/>
  <c r="AN297" i="8"/>
  <c r="AW297" i="8" s="1"/>
  <c r="AO296" i="8"/>
  <c r="AU296" i="8" s="1"/>
  <c r="AP296" i="8"/>
  <c r="AV296" i="8" s="1"/>
  <c r="R298" i="8"/>
  <c r="S298" i="8"/>
  <c r="AH294" i="3"/>
  <c r="AI294" i="3" s="1"/>
  <c r="N299" i="8"/>
  <c r="T298" i="8"/>
  <c r="Z298" i="8" s="1"/>
  <c r="AI299" i="9"/>
  <c r="AH300" i="9"/>
  <c r="AH300" i="8"/>
  <c r="AI299" i="8"/>
  <c r="AT297" i="8" l="1"/>
  <c r="AD346" i="3"/>
  <c r="AE346" i="3" s="1"/>
  <c r="F350" i="3"/>
  <c r="G349" i="3"/>
  <c r="AC347" i="3"/>
  <c r="AB347" i="3"/>
  <c r="M347" i="3"/>
  <c r="W347" i="3"/>
  <c r="AJ347" i="3" s="1"/>
  <c r="L347" i="3"/>
  <c r="Q347" i="3" s="1"/>
  <c r="P348" i="3" a="1"/>
  <c r="P348" i="3" s="1"/>
  <c r="O348" i="3"/>
  <c r="K348" i="3"/>
  <c r="I348" i="3"/>
  <c r="H348" i="3"/>
  <c r="AF348" i="3"/>
  <c r="AG348" i="3" s="1"/>
  <c r="AR298" i="8"/>
  <c r="AN298" i="8"/>
  <c r="AW298" i="8" s="1"/>
  <c r="AP297" i="8"/>
  <c r="AV297" i="8" s="1"/>
  <c r="AO297" i="8"/>
  <c r="AU297" i="8" s="1"/>
  <c r="R299" i="8"/>
  <c r="S299" i="8"/>
  <c r="AH295" i="3"/>
  <c r="AI295" i="3" s="1"/>
  <c r="T299" i="8"/>
  <c r="Z299" i="8" s="1"/>
  <c r="N300" i="8"/>
  <c r="AI300" i="9"/>
  <c r="AH301" i="9"/>
  <c r="AH301" i="8"/>
  <c r="AI300" i="8"/>
  <c r="AT298" i="8" l="1"/>
  <c r="AD347" i="3"/>
  <c r="AE347" i="3" s="1"/>
  <c r="M348" i="3"/>
  <c r="AC348" i="3"/>
  <c r="AB348" i="3"/>
  <c r="L348" i="3"/>
  <c r="Q348" i="3" s="1"/>
  <c r="W348" i="3"/>
  <c r="AJ348" i="3" s="1"/>
  <c r="P349" i="3" a="1"/>
  <c r="P349" i="3" s="1"/>
  <c r="K349" i="3"/>
  <c r="O349" i="3"/>
  <c r="I349" i="3"/>
  <c r="AF349" i="3"/>
  <c r="AG349" i="3" s="1"/>
  <c r="H349" i="3"/>
  <c r="G350" i="3"/>
  <c r="F351" i="3"/>
  <c r="AR299" i="8"/>
  <c r="AN299" i="8"/>
  <c r="AW299" i="8" s="1"/>
  <c r="AO298" i="8"/>
  <c r="AU298" i="8" s="1"/>
  <c r="AP298" i="8"/>
  <c r="AV298" i="8" s="1"/>
  <c r="R300" i="8"/>
  <c r="S300" i="8"/>
  <c r="AH296" i="3"/>
  <c r="AI296" i="3" s="1"/>
  <c r="N301" i="8"/>
  <c r="T300" i="8"/>
  <c r="Z300" i="8" s="1"/>
  <c r="AH302" i="8"/>
  <c r="AI301" i="8"/>
  <c r="AI301" i="9"/>
  <c r="AH302" i="9"/>
  <c r="AT299" i="8" l="1"/>
  <c r="AD348" i="3"/>
  <c r="AE348" i="3" s="1"/>
  <c r="M349" i="3"/>
  <c r="AB349" i="3"/>
  <c r="AC349" i="3"/>
  <c r="L349" i="3"/>
  <c r="Q349" i="3" s="1"/>
  <c r="W349" i="3"/>
  <c r="AJ349" i="3" s="1"/>
  <c r="G351" i="3"/>
  <c r="F352" i="3"/>
  <c r="P350" i="3" a="1"/>
  <c r="P350" i="3" s="1"/>
  <c r="O350" i="3"/>
  <c r="K350" i="3"/>
  <c r="I350" i="3"/>
  <c r="AF350" i="3"/>
  <c r="AG350" i="3" s="1"/>
  <c r="H350" i="3"/>
  <c r="AR300" i="8"/>
  <c r="AN300" i="8"/>
  <c r="AW300" i="8" s="1"/>
  <c r="AO299" i="8"/>
  <c r="AU299" i="8" s="1"/>
  <c r="AP299" i="8"/>
  <c r="AV299" i="8" s="1"/>
  <c r="R301" i="8"/>
  <c r="S301" i="8"/>
  <c r="AH297" i="3"/>
  <c r="AI297" i="3" s="1"/>
  <c r="N302" i="8"/>
  <c r="T301" i="8"/>
  <c r="Z301" i="8" s="1"/>
  <c r="AH303" i="9"/>
  <c r="AI302" i="9"/>
  <c r="AH303" i="8"/>
  <c r="AI302" i="8"/>
  <c r="AT300" i="8" l="1"/>
  <c r="AD349" i="3"/>
  <c r="AE349" i="3" s="1"/>
  <c r="F353" i="3"/>
  <c r="G352" i="3"/>
  <c r="M350" i="3"/>
  <c r="AC350" i="3"/>
  <c r="AB350" i="3"/>
  <c r="L350" i="3"/>
  <c r="Q350" i="3" s="1"/>
  <c r="W350" i="3"/>
  <c r="AJ350" i="3" s="1"/>
  <c r="P351" i="3" a="1"/>
  <c r="P351" i="3" s="1"/>
  <c r="O351" i="3"/>
  <c r="K351" i="3"/>
  <c r="I351" i="3"/>
  <c r="AF351" i="3"/>
  <c r="AG351" i="3" s="1"/>
  <c r="H351" i="3"/>
  <c r="AR301" i="8"/>
  <c r="AN301" i="8"/>
  <c r="AW301" i="8" s="1"/>
  <c r="AO300" i="8"/>
  <c r="AU300" i="8" s="1"/>
  <c r="AP300" i="8"/>
  <c r="AV300" i="8" s="1"/>
  <c r="R302" i="8"/>
  <c r="S302" i="8"/>
  <c r="AH298" i="3"/>
  <c r="AI298" i="3" s="1"/>
  <c r="T302" i="8"/>
  <c r="Z302" i="8" s="1"/>
  <c r="N303" i="8"/>
  <c r="AI303" i="8"/>
  <c r="AH304" i="8"/>
  <c r="AI303" i="9"/>
  <c r="AH304" i="9"/>
  <c r="AT301" i="8" l="1"/>
  <c r="AD350" i="3"/>
  <c r="AE350" i="3" s="1"/>
  <c r="AC351" i="3"/>
  <c r="M351" i="3"/>
  <c r="AB351" i="3"/>
  <c r="W351" i="3"/>
  <c r="AJ351" i="3" s="1"/>
  <c r="L351" i="3"/>
  <c r="Q351" i="3" s="1"/>
  <c r="P352" i="3" a="1"/>
  <c r="P352" i="3" s="1"/>
  <c r="O352" i="3"/>
  <c r="K352" i="3"/>
  <c r="I352" i="3"/>
  <c r="AF352" i="3"/>
  <c r="AG352" i="3" s="1"/>
  <c r="H352" i="3"/>
  <c r="F354" i="3"/>
  <c r="G353" i="3"/>
  <c r="AR302" i="8"/>
  <c r="AN302" i="8"/>
  <c r="AW302" i="8" s="1"/>
  <c r="AO301" i="8"/>
  <c r="AU301" i="8" s="1"/>
  <c r="AP301" i="8"/>
  <c r="AV301" i="8" s="1"/>
  <c r="R303" i="8"/>
  <c r="S303" i="8"/>
  <c r="AH299" i="3"/>
  <c r="AI299" i="3" s="1"/>
  <c r="N304" i="8"/>
  <c r="T303" i="8"/>
  <c r="Z303" i="8" s="1"/>
  <c r="AI304" i="9"/>
  <c r="AH305" i="9"/>
  <c r="AH305" i="8"/>
  <c r="AI304" i="8"/>
  <c r="AT302" i="8" l="1"/>
  <c r="AD351" i="3"/>
  <c r="AE351" i="3" s="1"/>
  <c r="K353" i="3"/>
  <c r="P353" i="3" a="1"/>
  <c r="P353" i="3" s="1"/>
  <c r="O353" i="3"/>
  <c r="I353" i="3"/>
  <c r="H353" i="3"/>
  <c r="AF353" i="3"/>
  <c r="AG353" i="3" s="1"/>
  <c r="F355" i="3"/>
  <c r="G354" i="3"/>
  <c r="M352" i="3"/>
  <c r="AC352" i="3"/>
  <c r="AB352" i="3"/>
  <c r="W352" i="3"/>
  <c r="AJ352" i="3" s="1"/>
  <c r="L352" i="3"/>
  <c r="Q352" i="3" s="1"/>
  <c r="AR303" i="8"/>
  <c r="AN303" i="8"/>
  <c r="AW303" i="8" s="1"/>
  <c r="AO302" i="8"/>
  <c r="AU302" i="8" s="1"/>
  <c r="AP302" i="8"/>
  <c r="AV302" i="8" s="1"/>
  <c r="R304" i="8"/>
  <c r="S304" i="8"/>
  <c r="AH300" i="3"/>
  <c r="AI300" i="3" s="1"/>
  <c r="N305" i="8"/>
  <c r="T304" i="8"/>
  <c r="Z304" i="8" s="1"/>
  <c r="AI305" i="9"/>
  <c r="AH306" i="9"/>
  <c r="AH306" i="8"/>
  <c r="AI305" i="8"/>
  <c r="AT303" i="8" l="1"/>
  <c r="AD352" i="3"/>
  <c r="AE352" i="3" s="1"/>
  <c r="K354" i="3"/>
  <c r="P354" i="3" a="1"/>
  <c r="P354" i="3" s="1"/>
  <c r="O354" i="3"/>
  <c r="I354" i="3"/>
  <c r="AF354" i="3"/>
  <c r="AG354" i="3" s="1"/>
  <c r="H354" i="3"/>
  <c r="F356" i="3"/>
  <c r="G355" i="3"/>
  <c r="AB353" i="3"/>
  <c r="M353" i="3"/>
  <c r="AC353" i="3"/>
  <c r="L353" i="3"/>
  <c r="Q353" i="3" s="1"/>
  <c r="W353" i="3"/>
  <c r="AJ353" i="3" s="1"/>
  <c r="AR304" i="8"/>
  <c r="AN304" i="8"/>
  <c r="AW304" i="8" s="1"/>
  <c r="AP303" i="8"/>
  <c r="AV303" i="8" s="1"/>
  <c r="AO303" i="8"/>
  <c r="AU303" i="8" s="1"/>
  <c r="R305" i="8"/>
  <c r="S305" i="8"/>
  <c r="AH301" i="3"/>
  <c r="AI301" i="3" s="1"/>
  <c r="N306" i="8"/>
  <c r="T305" i="8"/>
  <c r="Z305" i="8" s="1"/>
  <c r="AH307" i="8"/>
  <c r="AI306" i="8"/>
  <c r="AH307" i="9"/>
  <c r="AI306" i="9"/>
  <c r="AT304" i="8" l="1"/>
  <c r="AD353" i="3"/>
  <c r="AE353" i="3" s="1"/>
  <c r="P355" i="3" a="1"/>
  <c r="P355" i="3" s="1"/>
  <c r="O355" i="3"/>
  <c r="K355" i="3"/>
  <c r="I355" i="3"/>
  <c r="AF355" i="3"/>
  <c r="AG355" i="3" s="1"/>
  <c r="H355" i="3"/>
  <c r="F357" i="3"/>
  <c r="G356" i="3"/>
  <c r="AB354" i="3"/>
  <c r="AC354" i="3"/>
  <c r="M354" i="3"/>
  <c r="L354" i="3"/>
  <c r="Q354" i="3" s="1"/>
  <c r="W354" i="3"/>
  <c r="AJ354" i="3" s="1"/>
  <c r="AR305" i="8"/>
  <c r="AN305" i="8"/>
  <c r="AW305" i="8" s="1"/>
  <c r="AP304" i="8"/>
  <c r="AV304" i="8" s="1"/>
  <c r="AO304" i="8"/>
  <c r="AU304" i="8" s="1"/>
  <c r="R306" i="8"/>
  <c r="S306" i="8"/>
  <c r="AH302" i="3"/>
  <c r="AI302" i="3" s="1"/>
  <c r="N307" i="8"/>
  <c r="T306" i="8"/>
  <c r="Z306" i="8" s="1"/>
  <c r="AI307" i="9"/>
  <c r="AH308" i="9"/>
  <c r="AH308" i="8"/>
  <c r="AI307" i="8"/>
  <c r="AT305" i="8" l="1"/>
  <c r="AD354" i="3"/>
  <c r="AE354" i="3" s="1"/>
  <c r="O356" i="3"/>
  <c r="P356" i="3" a="1"/>
  <c r="P356" i="3" s="1"/>
  <c r="K356" i="3"/>
  <c r="I356" i="3"/>
  <c r="AF356" i="3"/>
  <c r="AG356" i="3" s="1"/>
  <c r="H356" i="3"/>
  <c r="G357" i="3"/>
  <c r="F358" i="3"/>
  <c r="AC355" i="3"/>
  <c r="AB355" i="3"/>
  <c r="M355" i="3"/>
  <c r="L355" i="3"/>
  <c r="Q355" i="3" s="1"/>
  <c r="W355" i="3"/>
  <c r="AJ355" i="3" s="1"/>
  <c r="AR306" i="8"/>
  <c r="AN306" i="8"/>
  <c r="AW306" i="8" s="1"/>
  <c r="AO305" i="8"/>
  <c r="AU305" i="8" s="1"/>
  <c r="AP305" i="8"/>
  <c r="AV305" i="8" s="1"/>
  <c r="R307" i="8"/>
  <c r="S307" i="8"/>
  <c r="AH303" i="3"/>
  <c r="AI303" i="3" s="1"/>
  <c r="N308" i="8"/>
  <c r="T307" i="8"/>
  <c r="Z307" i="8" s="1"/>
  <c r="AI308" i="8"/>
  <c r="AH309" i="8"/>
  <c r="AH309" i="9"/>
  <c r="AI308" i="9"/>
  <c r="AT306" i="8" l="1"/>
  <c r="AD355" i="3"/>
  <c r="AE355" i="3" s="1"/>
  <c r="G358" i="3"/>
  <c r="F359" i="3"/>
  <c r="AB356" i="3"/>
  <c r="M356" i="3"/>
  <c r="AC356" i="3"/>
  <c r="W356" i="3"/>
  <c r="AJ356" i="3" s="1"/>
  <c r="L356" i="3"/>
  <c r="Q356" i="3" s="1"/>
  <c r="O357" i="3"/>
  <c r="P357" i="3" a="1"/>
  <c r="P357" i="3" s="1"/>
  <c r="K357" i="3"/>
  <c r="I357" i="3"/>
  <c r="H357" i="3"/>
  <c r="AF357" i="3"/>
  <c r="AG357" i="3" s="1"/>
  <c r="AR307" i="8"/>
  <c r="AN307" i="8"/>
  <c r="AW307" i="8" s="1"/>
  <c r="AO306" i="8"/>
  <c r="AU306" i="8" s="1"/>
  <c r="AP306" i="8"/>
  <c r="AV306" i="8" s="1"/>
  <c r="R308" i="8"/>
  <c r="S308" i="8"/>
  <c r="AH304" i="3"/>
  <c r="AI304" i="3" s="1"/>
  <c r="N309" i="8"/>
  <c r="T308" i="8"/>
  <c r="Z308" i="8" s="1"/>
  <c r="AH310" i="9"/>
  <c r="AI309" i="9"/>
  <c r="AI309" i="8"/>
  <c r="AH310" i="8"/>
  <c r="AT307" i="8" l="1"/>
  <c r="AD356" i="3"/>
  <c r="AE356" i="3" s="1"/>
  <c r="M357" i="3"/>
  <c r="AC357" i="3"/>
  <c r="AB357" i="3"/>
  <c r="W357" i="3"/>
  <c r="AJ357" i="3" s="1"/>
  <c r="L357" i="3"/>
  <c r="Q357" i="3" s="1"/>
  <c r="G359" i="3"/>
  <c r="F360" i="3"/>
  <c r="K358" i="3"/>
  <c r="O358" i="3"/>
  <c r="P358" i="3" a="1"/>
  <c r="P358" i="3" s="1"/>
  <c r="I358" i="3"/>
  <c r="H358" i="3"/>
  <c r="AF358" i="3"/>
  <c r="AG358" i="3" s="1"/>
  <c r="AR308" i="8"/>
  <c r="AN308" i="8"/>
  <c r="AO307" i="8"/>
  <c r="AU307" i="8" s="1"/>
  <c r="AP307" i="8"/>
  <c r="AV307" i="8" s="1"/>
  <c r="R309" i="8"/>
  <c r="S309" i="8"/>
  <c r="AH305" i="3"/>
  <c r="AI305" i="3" s="1"/>
  <c r="N310" i="8"/>
  <c r="T309" i="8"/>
  <c r="Z309" i="8" s="1"/>
  <c r="AH311" i="8"/>
  <c r="AI310" i="8"/>
  <c r="AH311" i="9"/>
  <c r="AI310" i="9"/>
  <c r="AW308" i="8" l="1"/>
  <c r="AO308" i="8"/>
  <c r="AU308" i="8" s="1"/>
  <c r="AT308" i="8"/>
  <c r="AD357" i="3"/>
  <c r="AE357" i="3" s="1"/>
  <c r="G360" i="3"/>
  <c r="F361" i="3"/>
  <c r="P359" i="3" a="1"/>
  <c r="P359" i="3" s="1"/>
  <c r="O359" i="3"/>
  <c r="K359" i="3"/>
  <c r="I359" i="3"/>
  <c r="AF359" i="3"/>
  <c r="AG359" i="3" s="1"/>
  <c r="H359" i="3"/>
  <c r="AB358" i="3"/>
  <c r="M358" i="3"/>
  <c r="AC358" i="3"/>
  <c r="L358" i="3"/>
  <c r="Q358" i="3" s="1"/>
  <c r="W358" i="3"/>
  <c r="AJ358" i="3" s="1"/>
  <c r="AR309" i="8"/>
  <c r="AN309" i="8"/>
  <c r="AW309" i="8" s="1"/>
  <c r="AP308" i="8"/>
  <c r="AV308" i="8" s="1"/>
  <c r="R310" i="8"/>
  <c r="S310" i="8"/>
  <c r="AH306" i="3"/>
  <c r="AI306" i="3" s="1"/>
  <c r="N311" i="8"/>
  <c r="T310" i="8"/>
  <c r="Z310" i="8" s="1"/>
  <c r="AH312" i="9"/>
  <c r="AI311" i="9"/>
  <c r="AH312" i="8"/>
  <c r="AI311" i="8"/>
  <c r="AT309" i="8" l="1"/>
  <c r="AD358" i="3"/>
  <c r="AE358" i="3" s="1"/>
  <c r="AB359" i="3"/>
  <c r="AC359" i="3"/>
  <c r="M359" i="3"/>
  <c r="W359" i="3"/>
  <c r="AJ359" i="3" s="1"/>
  <c r="L359" i="3"/>
  <c r="Q359" i="3" s="1"/>
  <c r="G361" i="3"/>
  <c r="F362" i="3"/>
  <c r="K360" i="3"/>
  <c r="O360" i="3"/>
  <c r="P360" i="3" a="1"/>
  <c r="P360" i="3" s="1"/>
  <c r="I360" i="3"/>
  <c r="AF360" i="3"/>
  <c r="AG360" i="3" s="1"/>
  <c r="H360" i="3"/>
  <c r="AR310" i="8"/>
  <c r="AN310" i="8"/>
  <c r="AW310" i="8" s="1"/>
  <c r="AO309" i="8"/>
  <c r="AU309" i="8" s="1"/>
  <c r="AP309" i="8"/>
  <c r="AV309" i="8" s="1"/>
  <c r="R311" i="8"/>
  <c r="S311" i="8"/>
  <c r="AH307" i="3"/>
  <c r="AI307" i="3" s="1"/>
  <c r="N312" i="8"/>
  <c r="T311" i="8"/>
  <c r="Z311" i="8" s="1"/>
  <c r="AH313" i="8"/>
  <c r="AI312" i="8"/>
  <c r="AI312" i="9"/>
  <c r="AH313" i="9"/>
  <c r="AT310" i="8" l="1"/>
  <c r="AD359" i="3"/>
  <c r="AE359" i="3" s="1"/>
  <c r="G362" i="3"/>
  <c r="F363" i="3"/>
  <c r="K361" i="3"/>
  <c r="P361" i="3" a="1"/>
  <c r="P361" i="3" s="1"/>
  <c r="O361" i="3"/>
  <c r="I361" i="3"/>
  <c r="H361" i="3"/>
  <c r="AF361" i="3"/>
  <c r="AG361" i="3" s="1"/>
  <c r="M360" i="3"/>
  <c r="AB360" i="3"/>
  <c r="AC360" i="3"/>
  <c r="L360" i="3"/>
  <c r="Q360" i="3" s="1"/>
  <c r="W360" i="3"/>
  <c r="AJ360" i="3" s="1"/>
  <c r="AR311" i="8"/>
  <c r="AN311" i="8"/>
  <c r="AW311" i="8" s="1"/>
  <c r="AO310" i="8"/>
  <c r="AU310" i="8" s="1"/>
  <c r="AP310" i="8"/>
  <c r="AV310" i="8" s="1"/>
  <c r="R312" i="8"/>
  <c r="S312" i="8"/>
  <c r="AH308" i="3"/>
  <c r="AI308" i="3" s="1"/>
  <c r="N313" i="8"/>
  <c r="T312" i="8"/>
  <c r="Z312" i="8" s="1"/>
  <c r="AH314" i="9"/>
  <c r="AI313" i="9"/>
  <c r="AI313" i="8"/>
  <c r="AH314" i="8"/>
  <c r="AT311" i="8" l="1"/>
  <c r="AD360" i="3"/>
  <c r="AE360" i="3" s="1"/>
  <c r="AB361" i="3"/>
  <c r="AC361" i="3"/>
  <c r="M361" i="3"/>
  <c r="W361" i="3"/>
  <c r="AJ361" i="3" s="1"/>
  <c r="L361" i="3"/>
  <c r="Q361" i="3" s="1"/>
  <c r="G363" i="3"/>
  <c r="F364" i="3"/>
  <c r="P362" i="3" a="1"/>
  <c r="P362" i="3" s="1"/>
  <c r="K362" i="3"/>
  <c r="O362" i="3"/>
  <c r="I362" i="3"/>
  <c r="AF362" i="3"/>
  <c r="AG362" i="3" s="1"/>
  <c r="H362" i="3"/>
  <c r="AO311" i="8"/>
  <c r="AU311" i="8" s="1"/>
  <c r="AP311" i="8"/>
  <c r="AV311" i="8" s="1"/>
  <c r="AR312" i="8"/>
  <c r="AN312" i="8"/>
  <c r="AW312" i="8" s="1"/>
  <c r="R313" i="8"/>
  <c r="S313" i="8"/>
  <c r="AH309" i="3"/>
  <c r="AI309" i="3" s="1"/>
  <c r="N314" i="8"/>
  <c r="T313" i="8"/>
  <c r="Z313" i="8" s="1"/>
  <c r="AH315" i="8"/>
  <c r="AI314" i="8"/>
  <c r="AI314" i="9"/>
  <c r="AH315" i="9"/>
  <c r="AT312" i="8" l="1"/>
  <c r="AD361" i="3"/>
  <c r="AE361" i="3" s="1"/>
  <c r="F365" i="3"/>
  <c r="G364" i="3"/>
  <c r="O363" i="3"/>
  <c r="K363" i="3"/>
  <c r="P363" i="3" a="1"/>
  <c r="P363" i="3" s="1"/>
  <c r="I363" i="3"/>
  <c r="AF363" i="3"/>
  <c r="AG363" i="3" s="1"/>
  <c r="H363" i="3"/>
  <c r="AB362" i="3"/>
  <c r="M362" i="3"/>
  <c r="AC362" i="3"/>
  <c r="L362" i="3"/>
  <c r="Q362" i="3" s="1"/>
  <c r="W362" i="3"/>
  <c r="AJ362" i="3" s="1"/>
  <c r="AR313" i="8"/>
  <c r="AN313" i="8"/>
  <c r="AW313" i="8" s="1"/>
  <c r="AP312" i="8"/>
  <c r="AV312" i="8" s="1"/>
  <c r="AO312" i="8"/>
  <c r="AU312" i="8" s="1"/>
  <c r="R314" i="8"/>
  <c r="S314" i="8"/>
  <c r="AH310" i="3"/>
  <c r="AI310" i="3" s="1"/>
  <c r="N315" i="8"/>
  <c r="T314" i="8"/>
  <c r="Z314" i="8" s="1"/>
  <c r="AI315" i="9"/>
  <c r="AH316" i="9"/>
  <c r="AI315" i="8"/>
  <c r="AH316" i="8"/>
  <c r="AT313" i="8" l="1"/>
  <c r="AD362" i="3"/>
  <c r="AE362" i="3" s="1"/>
  <c r="M363" i="3"/>
  <c r="AC363" i="3"/>
  <c r="AB363" i="3"/>
  <c r="W363" i="3"/>
  <c r="AJ363" i="3" s="1"/>
  <c r="L363" i="3"/>
  <c r="Q363" i="3" s="1"/>
  <c r="K364" i="3"/>
  <c r="O364" i="3"/>
  <c r="P364" i="3" a="1"/>
  <c r="P364" i="3" s="1"/>
  <c r="I364" i="3"/>
  <c r="H364" i="3"/>
  <c r="AF364" i="3"/>
  <c r="AG364" i="3" s="1"/>
  <c r="F366" i="3"/>
  <c r="G365" i="3"/>
  <c r="AR314" i="8"/>
  <c r="AN314" i="8"/>
  <c r="AW314" i="8" s="1"/>
  <c r="AO313" i="8"/>
  <c r="AU313" i="8" s="1"/>
  <c r="AP313" i="8"/>
  <c r="AV313" i="8" s="1"/>
  <c r="R315" i="8"/>
  <c r="S315" i="8"/>
  <c r="AH311" i="3"/>
  <c r="AI311" i="3" s="1"/>
  <c r="N316" i="8"/>
  <c r="T315" i="8"/>
  <c r="Z315" i="8" s="1"/>
  <c r="AH317" i="9"/>
  <c r="AI316" i="9"/>
  <c r="AI316" i="8"/>
  <c r="AH317" i="8"/>
  <c r="AT314" i="8" l="1"/>
  <c r="AD363" i="3"/>
  <c r="AE363" i="3" s="1"/>
  <c r="AC364" i="3"/>
  <c r="AB364" i="3"/>
  <c r="M364" i="3"/>
  <c r="W364" i="3"/>
  <c r="AJ364" i="3" s="1"/>
  <c r="L364" i="3"/>
  <c r="Q364" i="3" s="1"/>
  <c r="G366" i="3"/>
  <c r="F367" i="3"/>
  <c r="G367" i="3" s="1"/>
  <c r="P365" i="3" a="1"/>
  <c r="P365" i="3" s="1"/>
  <c r="O365" i="3"/>
  <c r="K365" i="3"/>
  <c r="I365" i="3"/>
  <c r="AF365" i="3"/>
  <c r="AG365" i="3" s="1"/>
  <c r="H365" i="3"/>
  <c r="AR315" i="8"/>
  <c r="AN315" i="8"/>
  <c r="AW315" i="8" s="1"/>
  <c r="AO314" i="8"/>
  <c r="AU314" i="8" s="1"/>
  <c r="AP314" i="8"/>
  <c r="AV314" i="8" s="1"/>
  <c r="R316" i="8"/>
  <c r="S316" i="8"/>
  <c r="AH312" i="3"/>
  <c r="AI312" i="3" s="1"/>
  <c r="N317" i="8"/>
  <c r="T316" i="8"/>
  <c r="Z316" i="8" s="1"/>
  <c r="AI317" i="8"/>
  <c r="AH318" i="8"/>
  <c r="AH318" i="9"/>
  <c r="AI317" i="9"/>
  <c r="AT315" i="8" l="1"/>
  <c r="AD364" i="3"/>
  <c r="AE364" i="3" s="1"/>
  <c r="O367" i="3"/>
  <c r="P367" i="3" a="1"/>
  <c r="P367" i="3" s="1"/>
  <c r="K367" i="3"/>
  <c r="I367" i="3"/>
  <c r="AF367" i="3"/>
  <c r="AG367" i="3" s="1"/>
  <c r="H367" i="3"/>
  <c r="O366" i="3"/>
  <c r="K366" i="3"/>
  <c r="P366" i="3" a="1"/>
  <c r="P366" i="3" s="1"/>
  <c r="I366" i="3"/>
  <c r="H366" i="3"/>
  <c r="AF366" i="3"/>
  <c r="AG366" i="3" s="1"/>
  <c r="AB365" i="3"/>
  <c r="AC365" i="3"/>
  <c r="M365" i="3"/>
  <c r="L365" i="3"/>
  <c r="Q365" i="3" s="1"/>
  <c r="W365" i="3"/>
  <c r="AJ365" i="3" s="1"/>
  <c r="AO315" i="8"/>
  <c r="AU315" i="8" s="1"/>
  <c r="AP315" i="8"/>
  <c r="AV315" i="8" s="1"/>
  <c r="AR316" i="8"/>
  <c r="AN316" i="8"/>
  <c r="AW316" i="8" s="1"/>
  <c r="R317" i="8"/>
  <c r="S317" i="8"/>
  <c r="AH313" i="3"/>
  <c r="AI313" i="3" s="1"/>
  <c r="T317" i="8"/>
  <c r="Z317" i="8" s="1"/>
  <c r="N318" i="8"/>
  <c r="AH319" i="9"/>
  <c r="AI318" i="9"/>
  <c r="AH319" i="8"/>
  <c r="AI318" i="8"/>
  <c r="AT316" i="8" l="1"/>
  <c r="AD365" i="3"/>
  <c r="AE365" i="3" s="1"/>
  <c r="M366" i="3"/>
  <c r="AC366" i="3"/>
  <c r="AB366" i="3"/>
  <c r="L366" i="3"/>
  <c r="Q366" i="3" s="1"/>
  <c r="W366" i="3"/>
  <c r="AJ366" i="3" s="1"/>
  <c r="AB367" i="3"/>
  <c r="AC367" i="3"/>
  <c r="M367" i="3"/>
  <c r="L367" i="3"/>
  <c r="Q367" i="3" s="1"/>
  <c r="W367" i="3"/>
  <c r="AJ367" i="3" s="1"/>
  <c r="AR317" i="8"/>
  <c r="AN317" i="8"/>
  <c r="AW317" i="8" s="1"/>
  <c r="AO316" i="8"/>
  <c r="AU316" i="8" s="1"/>
  <c r="AP316" i="8"/>
  <c r="AV316" i="8" s="1"/>
  <c r="R318" i="8"/>
  <c r="S318" i="8"/>
  <c r="AH314" i="3"/>
  <c r="AI314" i="3" s="1"/>
  <c r="T318" i="8"/>
  <c r="Z318" i="8" s="1"/>
  <c r="N319" i="8"/>
  <c r="AI319" i="8"/>
  <c r="AH320" i="8"/>
  <c r="AH320" i="9"/>
  <c r="AI319" i="9"/>
  <c r="AT317" i="8" l="1"/>
  <c r="AD366" i="3"/>
  <c r="AE366" i="3" s="1"/>
  <c r="AD367" i="3"/>
  <c r="AE367" i="3" s="1"/>
  <c r="AR318" i="8"/>
  <c r="AN318" i="8"/>
  <c r="AW318" i="8" s="1"/>
  <c r="AO317" i="8"/>
  <c r="AU317" i="8" s="1"/>
  <c r="AP317" i="8"/>
  <c r="AV317" i="8" s="1"/>
  <c r="R319" i="8"/>
  <c r="S319" i="8"/>
  <c r="AH315" i="3"/>
  <c r="AI315" i="3" s="1"/>
  <c r="T319" i="8"/>
  <c r="Z319" i="8" s="1"/>
  <c r="N320" i="8"/>
  <c r="AI320" i="9"/>
  <c r="AH321" i="9"/>
  <c r="AI320" i="8"/>
  <c r="AH321" i="8"/>
  <c r="AT318" i="8" l="1"/>
  <c r="AR319" i="8"/>
  <c r="AN319" i="8"/>
  <c r="AW319" i="8" s="1"/>
  <c r="AO318" i="8"/>
  <c r="AU318" i="8" s="1"/>
  <c r="AP318" i="8"/>
  <c r="AV318" i="8" s="1"/>
  <c r="R320" i="8"/>
  <c r="S320" i="8"/>
  <c r="AH316" i="3"/>
  <c r="AI316" i="3" s="1"/>
  <c r="N321" i="8"/>
  <c r="T320" i="8"/>
  <c r="Z320" i="8" s="1"/>
  <c r="AI321" i="9"/>
  <c r="AH322" i="9"/>
  <c r="AH322" i="8"/>
  <c r="AI321" i="8"/>
  <c r="AT319" i="8" l="1"/>
  <c r="AR320" i="8"/>
  <c r="AN320" i="8"/>
  <c r="AW320" i="8" s="1"/>
  <c r="AO319" i="8"/>
  <c r="AU319" i="8" s="1"/>
  <c r="AP319" i="8"/>
  <c r="AV319" i="8" s="1"/>
  <c r="R321" i="8"/>
  <c r="S321" i="8"/>
  <c r="AH317" i="3"/>
  <c r="AI317" i="3" s="1"/>
  <c r="T321" i="8"/>
  <c r="Z321" i="8" s="1"/>
  <c r="N322" i="8"/>
  <c r="AH323" i="9"/>
  <c r="AI322" i="9"/>
  <c r="AH323" i="8"/>
  <c r="AI322" i="8"/>
  <c r="AT320" i="8" l="1"/>
  <c r="AR321" i="8"/>
  <c r="AN321" i="8"/>
  <c r="AW321" i="8" s="1"/>
  <c r="AO320" i="8"/>
  <c r="AU320" i="8" s="1"/>
  <c r="AP320" i="8"/>
  <c r="AV320" i="8" s="1"/>
  <c r="R322" i="8"/>
  <c r="S322" i="8"/>
  <c r="AH318" i="3"/>
  <c r="AI318" i="3" s="1"/>
  <c r="N323" i="8"/>
  <c r="T322" i="8"/>
  <c r="Z322" i="8" s="1"/>
  <c r="AI323" i="9"/>
  <c r="AH324" i="9"/>
  <c r="AI323" i="8"/>
  <c r="AH324" i="8"/>
  <c r="AT321" i="8" l="1"/>
  <c r="AR322" i="8"/>
  <c r="AN322" i="8"/>
  <c r="AW322" i="8" s="1"/>
  <c r="AO321" i="8"/>
  <c r="AU321" i="8" s="1"/>
  <c r="AP321" i="8"/>
  <c r="AV321" i="8" s="1"/>
  <c r="R323" i="8"/>
  <c r="S323" i="8"/>
  <c r="AH319" i="3"/>
  <c r="AI319" i="3" s="1"/>
  <c r="N324" i="8"/>
  <c r="T323" i="8"/>
  <c r="Z323" i="8" s="1"/>
  <c r="AH325" i="8"/>
  <c r="AI324" i="8"/>
  <c r="AI324" i="9"/>
  <c r="AH325" i="9"/>
  <c r="AT322" i="8" l="1"/>
  <c r="AR323" i="8"/>
  <c r="AN323" i="8"/>
  <c r="AW323" i="8" s="1"/>
  <c r="AP322" i="8"/>
  <c r="AV322" i="8" s="1"/>
  <c r="AO322" i="8"/>
  <c r="AU322" i="8" s="1"/>
  <c r="R324" i="8"/>
  <c r="S324" i="8"/>
  <c r="AH320" i="3"/>
  <c r="AI320" i="3" s="1"/>
  <c r="N325" i="8"/>
  <c r="T324" i="8"/>
  <c r="Z324" i="8" s="1"/>
  <c r="AH326" i="9"/>
  <c r="AI325" i="9"/>
  <c r="AI325" i="8"/>
  <c r="AH326" i="8"/>
  <c r="AT323" i="8" l="1"/>
  <c r="AR324" i="8"/>
  <c r="AN324" i="8"/>
  <c r="AW324" i="8" s="1"/>
  <c r="AO323" i="8"/>
  <c r="AU323" i="8" s="1"/>
  <c r="AP323" i="8"/>
  <c r="AV323" i="8" s="1"/>
  <c r="R325" i="8"/>
  <c r="S325" i="8"/>
  <c r="AH321" i="3"/>
  <c r="AI321" i="3" s="1"/>
  <c r="N326" i="8"/>
  <c r="T325" i="8"/>
  <c r="Z325" i="8" s="1"/>
  <c r="AI326" i="8"/>
  <c r="AH327" i="8"/>
  <c r="AH327" i="9"/>
  <c r="AI326" i="9"/>
  <c r="AT324" i="8" l="1"/>
  <c r="AR325" i="8"/>
  <c r="AN325" i="8"/>
  <c r="AW325" i="8" s="1"/>
  <c r="AO324" i="8"/>
  <c r="AU324" i="8" s="1"/>
  <c r="AP324" i="8"/>
  <c r="AV324" i="8" s="1"/>
  <c r="R326" i="8"/>
  <c r="S326" i="8"/>
  <c r="AH322" i="3"/>
  <c r="AI322" i="3" s="1"/>
  <c r="N327" i="8"/>
  <c r="T326" i="8"/>
  <c r="Z326" i="8" s="1"/>
  <c r="AI327" i="8"/>
  <c r="AH328" i="8"/>
  <c r="AH328" i="9"/>
  <c r="AI327" i="9"/>
  <c r="AT325" i="8" l="1"/>
  <c r="AR326" i="8"/>
  <c r="AN326" i="8"/>
  <c r="AW326" i="8" s="1"/>
  <c r="AP325" i="8"/>
  <c r="AV325" i="8" s="1"/>
  <c r="AO325" i="8"/>
  <c r="AU325" i="8" s="1"/>
  <c r="R327" i="8"/>
  <c r="S327" i="8"/>
  <c r="AH323" i="3"/>
  <c r="AI323" i="3" s="1"/>
  <c r="N328" i="8"/>
  <c r="T327" i="8"/>
  <c r="Z327" i="8" s="1"/>
  <c r="AH329" i="8"/>
  <c r="AI328" i="8"/>
  <c r="AH329" i="9"/>
  <c r="AI328" i="9"/>
  <c r="AT326" i="8" l="1"/>
  <c r="AR327" i="8"/>
  <c r="AN327" i="8"/>
  <c r="AW327" i="8" s="1"/>
  <c r="AO326" i="8"/>
  <c r="AU326" i="8" s="1"/>
  <c r="AP326" i="8"/>
  <c r="AV326" i="8" s="1"/>
  <c r="R328" i="8"/>
  <c r="S328" i="8"/>
  <c r="AH324" i="3"/>
  <c r="AI324" i="3" s="1"/>
  <c r="N329" i="8"/>
  <c r="T328" i="8"/>
  <c r="Z328" i="8" s="1"/>
  <c r="AI329" i="8"/>
  <c r="AH330" i="8"/>
  <c r="AI329" i="9"/>
  <c r="AH330" i="9"/>
  <c r="AT327" i="8" l="1"/>
  <c r="AP327" i="8"/>
  <c r="AV327" i="8" s="1"/>
  <c r="AO327" i="8"/>
  <c r="AU327" i="8" s="1"/>
  <c r="AR328" i="8"/>
  <c r="AN328" i="8"/>
  <c r="AW328" i="8" s="1"/>
  <c r="R329" i="8"/>
  <c r="S329" i="8"/>
  <c r="AH325" i="3"/>
  <c r="AI325" i="3" s="1"/>
  <c r="N330" i="8"/>
  <c r="T329" i="8"/>
  <c r="Z329" i="8" s="1"/>
  <c r="AI330" i="9"/>
  <c r="AH331" i="9"/>
  <c r="AI330" i="8"/>
  <c r="AH331" i="8"/>
  <c r="AT328" i="8" l="1"/>
  <c r="AR329" i="8"/>
  <c r="AN329" i="8"/>
  <c r="AW329" i="8" s="1"/>
  <c r="AO328" i="8"/>
  <c r="AU328" i="8" s="1"/>
  <c r="AP328" i="8"/>
  <c r="AV328" i="8" s="1"/>
  <c r="R330" i="8"/>
  <c r="S330" i="8"/>
  <c r="AH326" i="3"/>
  <c r="AI326" i="3" s="1"/>
  <c r="N331" i="8"/>
  <c r="T330" i="8"/>
  <c r="Z330" i="8" s="1"/>
  <c r="AI331" i="8"/>
  <c r="AH332" i="8"/>
  <c r="AI331" i="9"/>
  <c r="AH332" i="9"/>
  <c r="AT329" i="8" l="1"/>
  <c r="AR330" i="8"/>
  <c r="AN330" i="8"/>
  <c r="AW330" i="8" s="1"/>
  <c r="AO329" i="8"/>
  <c r="AU329" i="8" s="1"/>
  <c r="AP329" i="8"/>
  <c r="AV329" i="8" s="1"/>
  <c r="R331" i="8"/>
  <c r="S331" i="8"/>
  <c r="AH327" i="3"/>
  <c r="AI327" i="3" s="1"/>
  <c r="T331" i="8"/>
  <c r="Z331" i="8" s="1"/>
  <c r="N332" i="8"/>
  <c r="AI332" i="9"/>
  <c r="AH333" i="9"/>
  <c r="AH333" i="8"/>
  <c r="AI332" i="8"/>
  <c r="AT330" i="8" l="1"/>
  <c r="AO330" i="8"/>
  <c r="AU330" i="8" s="1"/>
  <c r="AP330" i="8"/>
  <c r="AV330" i="8" s="1"/>
  <c r="AR331" i="8"/>
  <c r="AN331" i="8"/>
  <c r="AW331" i="8" s="1"/>
  <c r="R332" i="8"/>
  <c r="S332" i="8"/>
  <c r="AH328" i="3"/>
  <c r="AI328" i="3" s="1"/>
  <c r="N333" i="8"/>
  <c r="T332" i="8"/>
  <c r="Z332" i="8" s="1"/>
  <c r="AH334" i="9"/>
  <c r="AI333" i="9"/>
  <c r="AI333" i="8"/>
  <c r="AH334" i="8"/>
  <c r="AT331" i="8" l="1"/>
  <c r="AO331" i="8"/>
  <c r="AU331" i="8" s="1"/>
  <c r="AP331" i="8"/>
  <c r="AV331" i="8" s="1"/>
  <c r="AR332" i="8"/>
  <c r="AN332" i="8"/>
  <c r="AW332" i="8" s="1"/>
  <c r="R333" i="8"/>
  <c r="S333" i="8"/>
  <c r="AH329" i="3"/>
  <c r="AI329" i="3" s="1"/>
  <c r="N334" i="8"/>
  <c r="T333" i="8"/>
  <c r="Z333" i="8" s="1"/>
  <c r="AI334" i="8"/>
  <c r="AH335" i="8"/>
  <c r="AH335" i="9"/>
  <c r="AI334" i="9"/>
  <c r="AT332" i="8" l="1"/>
  <c r="AO332" i="8"/>
  <c r="AU332" i="8" s="1"/>
  <c r="AP332" i="8"/>
  <c r="AV332" i="8" s="1"/>
  <c r="AR333" i="8"/>
  <c r="AN333" i="8"/>
  <c r="AW333" i="8" s="1"/>
  <c r="R334" i="8"/>
  <c r="S334" i="8"/>
  <c r="AH330" i="3"/>
  <c r="AI330" i="3" s="1"/>
  <c r="N335" i="8"/>
  <c r="T334" i="8"/>
  <c r="Z334" i="8" s="1"/>
  <c r="AH336" i="9"/>
  <c r="AI335" i="9"/>
  <c r="AI335" i="8"/>
  <c r="AH336" i="8"/>
  <c r="AT333" i="8" l="1"/>
  <c r="AO333" i="8"/>
  <c r="AU333" i="8" s="1"/>
  <c r="AP333" i="8"/>
  <c r="AV333" i="8" s="1"/>
  <c r="AR334" i="8"/>
  <c r="AN334" i="8"/>
  <c r="AW334" i="8" s="1"/>
  <c r="R335" i="8"/>
  <c r="S335" i="8"/>
  <c r="AH331" i="3"/>
  <c r="AI331" i="3" s="1"/>
  <c r="N336" i="8"/>
  <c r="T335" i="8"/>
  <c r="Z335" i="8" s="1"/>
  <c r="AI336" i="8"/>
  <c r="AH337" i="8"/>
  <c r="AH337" i="9"/>
  <c r="AI336" i="9"/>
  <c r="AT334" i="8" l="1"/>
  <c r="AO334" i="8"/>
  <c r="AU334" i="8" s="1"/>
  <c r="AP334" i="8"/>
  <c r="AV334" i="8" s="1"/>
  <c r="AR335" i="8"/>
  <c r="AN335" i="8"/>
  <c r="AW335" i="8" s="1"/>
  <c r="R336" i="8"/>
  <c r="S336" i="8"/>
  <c r="AH332" i="3"/>
  <c r="AI332" i="3" s="1"/>
  <c r="N337" i="8"/>
  <c r="T336" i="8"/>
  <c r="Z336" i="8" s="1"/>
  <c r="AI337" i="9"/>
  <c r="AH338" i="9"/>
  <c r="AI337" i="8"/>
  <c r="AH338" i="8"/>
  <c r="AT335" i="8" l="1"/>
  <c r="AR336" i="8"/>
  <c r="AN336" i="8"/>
  <c r="AW336" i="8" s="1"/>
  <c r="AO335" i="8"/>
  <c r="AU335" i="8" s="1"/>
  <c r="AP335" i="8"/>
  <c r="AV335" i="8" s="1"/>
  <c r="R337" i="8"/>
  <c r="S337" i="8"/>
  <c r="AH333" i="3"/>
  <c r="AI333" i="3" s="1"/>
  <c r="N338" i="8"/>
  <c r="T337" i="8"/>
  <c r="Z337" i="8" s="1"/>
  <c r="AI338" i="8"/>
  <c r="AH339" i="8"/>
  <c r="AI338" i="9"/>
  <c r="AH339" i="9"/>
  <c r="AT336" i="8" l="1"/>
  <c r="AO336" i="8"/>
  <c r="AU336" i="8" s="1"/>
  <c r="AP336" i="8"/>
  <c r="AV336" i="8" s="1"/>
  <c r="AR337" i="8"/>
  <c r="AN337" i="8"/>
  <c r="AW337" i="8" s="1"/>
  <c r="R338" i="8"/>
  <c r="S338" i="8"/>
  <c r="AH334" i="3"/>
  <c r="AI334" i="3" s="1"/>
  <c r="T338" i="8"/>
  <c r="Z338" i="8" s="1"/>
  <c r="N339" i="8"/>
  <c r="AH340" i="9"/>
  <c r="AI339" i="9"/>
  <c r="AI339" i="8"/>
  <c r="AH340" i="8"/>
  <c r="K271" i="7" l="1"/>
  <c r="B271" i="7"/>
  <c r="K6" i="11"/>
  <c r="AT337" i="8"/>
  <c r="AR338" i="8"/>
  <c r="AN338" i="8"/>
  <c r="AW338" i="8" s="1"/>
  <c r="AO337" i="8"/>
  <c r="AP337" i="8"/>
  <c r="R339" i="8"/>
  <c r="S339" i="8"/>
  <c r="AH335" i="3"/>
  <c r="AI335" i="3" s="1"/>
  <c r="N340" i="8"/>
  <c r="T339" i="8"/>
  <c r="Z339" i="8" s="1"/>
  <c r="AH341" i="8"/>
  <c r="AI340" i="8"/>
  <c r="AH341" i="9"/>
  <c r="AI340" i="9"/>
  <c r="K282" i="7" l="1"/>
  <c r="B282" i="7"/>
  <c r="K292" i="7"/>
  <c r="B292" i="7"/>
  <c r="AT338" i="8"/>
  <c r="K7" i="11"/>
  <c r="K8" i="11"/>
  <c r="AV337" i="8"/>
  <c r="AP338" i="8"/>
  <c r="AV338" i="8" s="1"/>
  <c r="AO338" i="8"/>
  <c r="AU338" i="8" s="1"/>
  <c r="AR339" i="8"/>
  <c r="AN339" i="8"/>
  <c r="AW339" i="8" s="1"/>
  <c r="AU337" i="8"/>
  <c r="R340" i="8"/>
  <c r="S340" i="8"/>
  <c r="AH336" i="3"/>
  <c r="AI336" i="3" s="1"/>
  <c r="N341" i="8"/>
  <c r="T340" i="8"/>
  <c r="Z340" i="8" s="1"/>
  <c r="AH342" i="9"/>
  <c r="AI341" i="9"/>
  <c r="AH342" i="8"/>
  <c r="AI341" i="8"/>
  <c r="AR340" i="8" l="1"/>
  <c r="AN340" i="8"/>
  <c r="AW340" i="8" s="1"/>
  <c r="AO339" i="8"/>
  <c r="AU339" i="8" s="1"/>
  <c r="AP339" i="8"/>
  <c r="AV339" i="8" s="1"/>
  <c r="AT339" i="8"/>
  <c r="R341" i="8"/>
  <c r="S341" i="8"/>
  <c r="AH337" i="3"/>
  <c r="AI337" i="3" s="1"/>
  <c r="N342" i="8"/>
  <c r="T341" i="8"/>
  <c r="Z341" i="8" s="1"/>
  <c r="AI342" i="8"/>
  <c r="AH343" i="8"/>
  <c r="AI342" i="9"/>
  <c r="AH343" i="9"/>
  <c r="AT340" i="8" l="1"/>
  <c r="AR341" i="8"/>
  <c r="AN341" i="8"/>
  <c r="AW341" i="8" s="1"/>
  <c r="AO340" i="8"/>
  <c r="AU340" i="8" s="1"/>
  <c r="AP340" i="8"/>
  <c r="AV340" i="8" s="1"/>
  <c r="R342" i="8"/>
  <c r="S342" i="8"/>
  <c r="AH338" i="3"/>
  <c r="AI338" i="3" s="1"/>
  <c r="N343" i="8"/>
  <c r="T342" i="8"/>
  <c r="Z342" i="8" s="1"/>
  <c r="AI343" i="9"/>
  <c r="AH344" i="9"/>
  <c r="AH344" i="8"/>
  <c r="AI343" i="8"/>
  <c r="AT341" i="8" l="1"/>
  <c r="AR342" i="8"/>
  <c r="AN342" i="8"/>
  <c r="AW342" i="8" s="1"/>
  <c r="AO341" i="8"/>
  <c r="AU341" i="8" s="1"/>
  <c r="AP341" i="8"/>
  <c r="AV341" i="8" s="1"/>
  <c r="R343" i="8"/>
  <c r="S343" i="8"/>
  <c r="AH339" i="3"/>
  <c r="AI339" i="3" s="1"/>
  <c r="N344" i="8"/>
  <c r="T343" i="8"/>
  <c r="Z343" i="8" s="1"/>
  <c r="AI344" i="9"/>
  <c r="AH345" i="9"/>
  <c r="AI344" i="8"/>
  <c r="AH345" i="8"/>
  <c r="AT342" i="8" l="1"/>
  <c r="AR343" i="8"/>
  <c r="AN343" i="8"/>
  <c r="AW343" i="8" s="1"/>
  <c r="AO342" i="8"/>
  <c r="AU342" i="8" s="1"/>
  <c r="AP342" i="8"/>
  <c r="AV342" i="8" s="1"/>
  <c r="R344" i="8"/>
  <c r="S344" i="8"/>
  <c r="AH340" i="3"/>
  <c r="AI340" i="3" s="1"/>
  <c r="T344" i="8"/>
  <c r="Z344" i="8" s="1"/>
  <c r="N345" i="8"/>
  <c r="AI345" i="8"/>
  <c r="AH346" i="8"/>
  <c r="AI345" i="9"/>
  <c r="AH346" i="9"/>
  <c r="AT343" i="8" l="1"/>
  <c r="AR344" i="8"/>
  <c r="AN344" i="8"/>
  <c r="AW344" i="8" s="1"/>
  <c r="AO343" i="8"/>
  <c r="AU343" i="8" s="1"/>
  <c r="AP343" i="8"/>
  <c r="AV343" i="8" s="1"/>
  <c r="R345" i="8"/>
  <c r="S345" i="8"/>
  <c r="AH341" i="3"/>
  <c r="AI341" i="3" s="1"/>
  <c r="N346" i="8"/>
  <c r="T345" i="8"/>
  <c r="Z345" i="8" s="1"/>
  <c r="AI346" i="9"/>
  <c r="AH347" i="9"/>
  <c r="AH347" i="8"/>
  <c r="AI346" i="8"/>
  <c r="AT344" i="8" l="1"/>
  <c r="AR345" i="8"/>
  <c r="AN345" i="8"/>
  <c r="AW345" i="8" s="1"/>
  <c r="AO344" i="8"/>
  <c r="AU344" i="8" s="1"/>
  <c r="AP344" i="8"/>
  <c r="AV344" i="8" s="1"/>
  <c r="R346" i="8"/>
  <c r="S346" i="8"/>
  <c r="AH342" i="3"/>
  <c r="AI342" i="3" s="1"/>
  <c r="N347" i="8"/>
  <c r="T346" i="8"/>
  <c r="Z346" i="8" s="1"/>
  <c r="AH348" i="9"/>
  <c r="AI347" i="9"/>
  <c r="AI347" i="8"/>
  <c r="AH348" i="8"/>
  <c r="AT345" i="8" l="1"/>
  <c r="AR346" i="8"/>
  <c r="AN346" i="8"/>
  <c r="AW346" i="8" s="1"/>
  <c r="AP345" i="8"/>
  <c r="AV345" i="8" s="1"/>
  <c r="AO345" i="8"/>
  <c r="AU345" i="8" s="1"/>
  <c r="R347" i="8"/>
  <c r="S347" i="8"/>
  <c r="AH343" i="3"/>
  <c r="AI343" i="3" s="1"/>
  <c r="T347" i="8"/>
  <c r="Z347" i="8" s="1"/>
  <c r="N348" i="8"/>
  <c r="AH349" i="8"/>
  <c r="AI348" i="8"/>
  <c r="AI348" i="9"/>
  <c r="AH349" i="9"/>
  <c r="AT346" i="8" l="1"/>
  <c r="AR347" i="8"/>
  <c r="AN347" i="8"/>
  <c r="AW347" i="8" s="1"/>
  <c r="AP346" i="8"/>
  <c r="AV346" i="8" s="1"/>
  <c r="AO346" i="8"/>
  <c r="AU346" i="8" s="1"/>
  <c r="R348" i="8"/>
  <c r="S348" i="8"/>
  <c r="AH344" i="3"/>
  <c r="AI344" i="3" s="1"/>
  <c r="N349" i="8"/>
  <c r="T348" i="8"/>
  <c r="Z348" i="8" s="1"/>
  <c r="AH350" i="9"/>
  <c r="AI349" i="9"/>
  <c r="AH350" i="8"/>
  <c r="AI349" i="8"/>
  <c r="AT347" i="8" l="1"/>
  <c r="AR348" i="8"/>
  <c r="AN348" i="8"/>
  <c r="AW348" i="8" s="1"/>
  <c r="AO347" i="8"/>
  <c r="AU347" i="8" s="1"/>
  <c r="AP347" i="8"/>
  <c r="AV347" i="8" s="1"/>
  <c r="R349" i="8"/>
  <c r="S349" i="8"/>
  <c r="AH345" i="3"/>
  <c r="AI345" i="3" s="1"/>
  <c r="T349" i="8"/>
  <c r="Z349" i="8" s="1"/>
  <c r="N350" i="8"/>
  <c r="AH351" i="8"/>
  <c r="AI350" i="8"/>
  <c r="AI350" i="9"/>
  <c r="AH351" i="9"/>
  <c r="AT348" i="8" l="1"/>
  <c r="AR349" i="8"/>
  <c r="AN349" i="8"/>
  <c r="AW349" i="8" s="1"/>
  <c r="AO348" i="8"/>
  <c r="AU348" i="8" s="1"/>
  <c r="AP348" i="8"/>
  <c r="AV348" i="8" s="1"/>
  <c r="R350" i="8"/>
  <c r="S350" i="8"/>
  <c r="AH346" i="3"/>
  <c r="AI346" i="3" s="1"/>
  <c r="T350" i="8"/>
  <c r="Z350" i="8" s="1"/>
  <c r="N351" i="8"/>
  <c r="AH352" i="8"/>
  <c r="AI351" i="8"/>
  <c r="AH352" i="9"/>
  <c r="AI351" i="9"/>
  <c r="AT349" i="8" l="1"/>
  <c r="AP349" i="8"/>
  <c r="AV349" i="8" s="1"/>
  <c r="AO349" i="8"/>
  <c r="AU349" i="8" s="1"/>
  <c r="AR350" i="8"/>
  <c r="AN350" i="8"/>
  <c r="AW350" i="8" s="1"/>
  <c r="R351" i="8"/>
  <c r="S351" i="8"/>
  <c r="AH347" i="3"/>
  <c r="AI347" i="3" s="1"/>
  <c r="N352" i="8"/>
  <c r="T351" i="8"/>
  <c r="Z351" i="8" s="1"/>
  <c r="AI352" i="9"/>
  <c r="AH353" i="9"/>
  <c r="AI352" i="8"/>
  <c r="AH353" i="8"/>
  <c r="AT350" i="8" l="1"/>
  <c r="AR351" i="8"/>
  <c r="AN351" i="8"/>
  <c r="AW351" i="8" s="1"/>
  <c r="AO350" i="8"/>
  <c r="AU350" i="8" s="1"/>
  <c r="AP350" i="8"/>
  <c r="AV350" i="8" s="1"/>
  <c r="R352" i="8"/>
  <c r="S352" i="8"/>
  <c r="AH348" i="3"/>
  <c r="AI348" i="3" s="1"/>
  <c r="T352" i="8"/>
  <c r="Z352" i="8" s="1"/>
  <c r="N353" i="8"/>
  <c r="AI353" i="9"/>
  <c r="AH354" i="9"/>
  <c r="AH354" i="8"/>
  <c r="AI353" i="8"/>
  <c r="AT351" i="8" l="1"/>
  <c r="AR352" i="8"/>
  <c r="AN352" i="8"/>
  <c r="AW352" i="8" s="1"/>
  <c r="AO351" i="8"/>
  <c r="AU351" i="8" s="1"/>
  <c r="AP351" i="8"/>
  <c r="AV351" i="8" s="1"/>
  <c r="R353" i="8"/>
  <c r="S353" i="8"/>
  <c r="AH349" i="3"/>
  <c r="AI349" i="3" s="1"/>
  <c r="N354" i="8"/>
  <c r="T353" i="8"/>
  <c r="Z353" i="8" s="1"/>
  <c r="AH355" i="8"/>
  <c r="AI354" i="8"/>
  <c r="AH355" i="9"/>
  <c r="AI354" i="9"/>
  <c r="AT352" i="8" l="1"/>
  <c r="AR353" i="8"/>
  <c r="AN353" i="8"/>
  <c r="AW353" i="8" s="1"/>
  <c r="AO352" i="8"/>
  <c r="AU352" i="8" s="1"/>
  <c r="AP352" i="8"/>
  <c r="AV352" i="8" s="1"/>
  <c r="R354" i="8"/>
  <c r="S354" i="8"/>
  <c r="AH350" i="3"/>
  <c r="AI350" i="3" s="1"/>
  <c r="N355" i="8"/>
  <c r="T354" i="8"/>
  <c r="Z354" i="8" s="1"/>
  <c r="AI355" i="9"/>
  <c r="AH356" i="9"/>
  <c r="AI355" i="8"/>
  <c r="AH356" i="8"/>
  <c r="AT353" i="8" l="1"/>
  <c r="AR354" i="8"/>
  <c r="AN354" i="8"/>
  <c r="AW354" i="8" s="1"/>
  <c r="AO353" i="8"/>
  <c r="AU353" i="8" s="1"/>
  <c r="AP353" i="8"/>
  <c r="AV353" i="8" s="1"/>
  <c r="R355" i="8"/>
  <c r="S355" i="8"/>
  <c r="AH351" i="3"/>
  <c r="AI351" i="3" s="1"/>
  <c r="N356" i="8"/>
  <c r="T355" i="8"/>
  <c r="Z355" i="8" s="1"/>
  <c r="AH357" i="8"/>
  <c r="AI356" i="8"/>
  <c r="AH357" i="9"/>
  <c r="AI356" i="9"/>
  <c r="AT354" i="8" l="1"/>
  <c r="AR355" i="8"/>
  <c r="AN355" i="8"/>
  <c r="AW355" i="8" s="1"/>
  <c r="AO354" i="8"/>
  <c r="AU354" i="8" s="1"/>
  <c r="AP354" i="8"/>
  <c r="AV354" i="8" s="1"/>
  <c r="R356" i="8"/>
  <c r="S356" i="8"/>
  <c r="AH352" i="3"/>
  <c r="AI352" i="3" s="1"/>
  <c r="N357" i="8"/>
  <c r="T356" i="8"/>
  <c r="Z356" i="8" s="1"/>
  <c r="AH358" i="9"/>
  <c r="AI357" i="9"/>
  <c r="AH358" i="8"/>
  <c r="AI357" i="8"/>
  <c r="AT355" i="8" l="1"/>
  <c r="AR356" i="8"/>
  <c r="AN356" i="8"/>
  <c r="AW356" i="8" s="1"/>
  <c r="AO355" i="8"/>
  <c r="AU355" i="8" s="1"/>
  <c r="AP355" i="8"/>
  <c r="AV355" i="8" s="1"/>
  <c r="R357" i="8"/>
  <c r="S357" i="8"/>
  <c r="AH353" i="3"/>
  <c r="AI353" i="3" s="1"/>
  <c r="T357" i="8"/>
  <c r="Z357" i="8" s="1"/>
  <c r="N358" i="8"/>
  <c r="AI358" i="8"/>
  <c r="AH359" i="8"/>
  <c r="AI358" i="9"/>
  <c r="AH359" i="9"/>
  <c r="AT356" i="8" l="1"/>
  <c r="AO356" i="8"/>
  <c r="AU356" i="8" s="1"/>
  <c r="AP356" i="8"/>
  <c r="AV356" i="8" s="1"/>
  <c r="AR357" i="8"/>
  <c r="AN357" i="8"/>
  <c r="AW357" i="8" s="1"/>
  <c r="R358" i="8"/>
  <c r="S358" i="8"/>
  <c r="AH354" i="3"/>
  <c r="AI354" i="3" s="1"/>
  <c r="N359" i="8"/>
  <c r="T358" i="8"/>
  <c r="Z358" i="8" s="1"/>
  <c r="AI359" i="9"/>
  <c r="AH360" i="9"/>
  <c r="AI359" i="8"/>
  <c r="AH360" i="8"/>
  <c r="AT357" i="8" l="1"/>
  <c r="AR358" i="8"/>
  <c r="AN358" i="8"/>
  <c r="AW358" i="8" s="1"/>
  <c r="AO357" i="8"/>
  <c r="AU357" i="8" s="1"/>
  <c r="AP357" i="8"/>
  <c r="AV357" i="8" s="1"/>
  <c r="R359" i="8"/>
  <c r="S359" i="8"/>
  <c r="AH355" i="3"/>
  <c r="AI355" i="3" s="1"/>
  <c r="N360" i="8"/>
  <c r="T359" i="8"/>
  <c r="Z359" i="8" s="1"/>
  <c r="AI360" i="8"/>
  <c r="AH361" i="8"/>
  <c r="AI360" i="9"/>
  <c r="AH361" i="9"/>
  <c r="AT358" i="8" l="1"/>
  <c r="AR359" i="8"/>
  <c r="AN359" i="8"/>
  <c r="AW359" i="8" s="1"/>
  <c r="AO358" i="8"/>
  <c r="AU358" i="8" s="1"/>
  <c r="AP358" i="8"/>
  <c r="AV358" i="8" s="1"/>
  <c r="R360" i="8"/>
  <c r="S360" i="8"/>
  <c r="AH356" i="3"/>
  <c r="AI356" i="3" s="1"/>
  <c r="N361" i="8"/>
  <c r="T360" i="8"/>
  <c r="Z360" i="8" s="1"/>
  <c r="AI361" i="8"/>
  <c r="AH362" i="8"/>
  <c r="AH362" i="9"/>
  <c r="AI361" i="9"/>
  <c r="AT359" i="8" l="1"/>
  <c r="AP359" i="8"/>
  <c r="AV359" i="8" s="1"/>
  <c r="AO359" i="8"/>
  <c r="AU359" i="8" s="1"/>
  <c r="AR360" i="8"/>
  <c r="AN360" i="8"/>
  <c r="AW360" i="8" s="1"/>
  <c r="R361" i="8"/>
  <c r="S361" i="8"/>
  <c r="AH357" i="3"/>
  <c r="AI357" i="3" s="1"/>
  <c r="N362" i="8"/>
  <c r="T361" i="8"/>
  <c r="Z361" i="8" s="1"/>
  <c r="AH363" i="9"/>
  <c r="AI362" i="9"/>
  <c r="AH363" i="8"/>
  <c r="AI362" i="8"/>
  <c r="AT360" i="8" l="1"/>
  <c r="AR361" i="8"/>
  <c r="AN361" i="8"/>
  <c r="AW361" i="8" s="1"/>
  <c r="AP360" i="8"/>
  <c r="AV360" i="8" s="1"/>
  <c r="AO360" i="8"/>
  <c r="AU360" i="8" s="1"/>
  <c r="R362" i="8"/>
  <c r="S362" i="8"/>
  <c r="AH358" i="3"/>
  <c r="AI358" i="3" s="1"/>
  <c r="N363" i="8"/>
  <c r="T362" i="8"/>
  <c r="Z362" i="8" s="1"/>
  <c r="AI363" i="8"/>
  <c r="AH364" i="8"/>
  <c r="AH364" i="9"/>
  <c r="AI363" i="9"/>
  <c r="AT361" i="8" l="1"/>
  <c r="AR362" i="8"/>
  <c r="AN362" i="8"/>
  <c r="AW362" i="8" s="1"/>
  <c r="AO361" i="8"/>
  <c r="AU361" i="8" s="1"/>
  <c r="AP361" i="8"/>
  <c r="AV361" i="8" s="1"/>
  <c r="R363" i="8"/>
  <c r="S363" i="8"/>
  <c r="AH359" i="3"/>
  <c r="AI359" i="3" s="1"/>
  <c r="T363" i="8"/>
  <c r="Z363" i="8" s="1"/>
  <c r="N364" i="8"/>
  <c r="AH365" i="9"/>
  <c r="AI364" i="9"/>
  <c r="AI364" i="8"/>
  <c r="AH365" i="8"/>
  <c r="AT362" i="8" l="1"/>
  <c r="AO362" i="8"/>
  <c r="AP362" i="8"/>
  <c r="AV362" i="8" s="1"/>
  <c r="AR363" i="8"/>
  <c r="AN363" i="8"/>
  <c r="AW363" i="8" s="1"/>
  <c r="AU362" i="8"/>
  <c r="R364" i="8"/>
  <c r="S364" i="8"/>
  <c r="AH360" i="3"/>
  <c r="AI360" i="3" s="1"/>
  <c r="N365" i="8"/>
  <c r="T364" i="8"/>
  <c r="Z364" i="8" s="1"/>
  <c r="AH366" i="9"/>
  <c r="AI365" i="9"/>
  <c r="AI365" i="8"/>
  <c r="AH366" i="8"/>
  <c r="AT363" i="8" l="1"/>
  <c r="AR364" i="8"/>
  <c r="AN364" i="8"/>
  <c r="AW364" i="8" s="1"/>
  <c r="AP363" i="8"/>
  <c r="AV363" i="8" s="1"/>
  <c r="AO363" i="8"/>
  <c r="AU363" i="8" s="1"/>
  <c r="R365" i="8"/>
  <c r="S365" i="8"/>
  <c r="AH361" i="3"/>
  <c r="AI361" i="3" s="1"/>
  <c r="N366" i="8"/>
  <c r="T365" i="8"/>
  <c r="Z365" i="8" s="1"/>
  <c r="AI366" i="8"/>
  <c r="AH367" i="8"/>
  <c r="AI367" i="8" s="1"/>
  <c r="AI366" i="9"/>
  <c r="AH367" i="9"/>
  <c r="AT364" i="8" l="1"/>
  <c r="AR365" i="8"/>
  <c r="AN365" i="8"/>
  <c r="AW365" i="8" s="1"/>
  <c r="AP364" i="8"/>
  <c r="AV364" i="8" s="1"/>
  <c r="AO364" i="8"/>
  <c r="AU364" i="8" s="1"/>
  <c r="AI367" i="9"/>
  <c r="AH368" i="9"/>
  <c r="AI368" i="9" s="1"/>
  <c r="R366" i="8"/>
  <c r="S366" i="8"/>
  <c r="AH362" i="3"/>
  <c r="AI362" i="3" s="1"/>
  <c r="T366" i="8"/>
  <c r="Z366" i="8" s="1"/>
  <c r="N367" i="8"/>
  <c r="AT365" i="8" l="1"/>
  <c r="AR366" i="8"/>
  <c r="AN366" i="8"/>
  <c r="AW366" i="8" s="1"/>
  <c r="AP365" i="8"/>
  <c r="AV365" i="8" s="1"/>
  <c r="AO365" i="8"/>
  <c r="AU365" i="8" s="1"/>
  <c r="R367" i="8"/>
  <c r="S367" i="8"/>
  <c r="AH363" i="3"/>
  <c r="AI363" i="3" s="1"/>
  <c r="T367" i="8"/>
  <c r="Z367" i="8" s="1"/>
  <c r="AT366" i="8" l="1"/>
  <c r="AR367" i="8"/>
  <c r="AN367" i="8"/>
  <c r="AW367" i="8" s="1"/>
  <c r="AO366" i="8"/>
  <c r="AU366" i="8" s="1"/>
  <c r="AP366" i="8"/>
  <c r="AV366" i="8" s="1"/>
  <c r="AH364" i="3"/>
  <c r="AI364" i="3" s="1"/>
  <c r="AT367" i="8" l="1"/>
  <c r="AO367" i="8"/>
  <c r="AU367" i="8" s="1"/>
  <c r="AP367" i="8"/>
  <c r="AV367" i="8" s="1"/>
  <c r="AH365" i="3"/>
  <c r="AI365" i="3" s="1"/>
  <c r="AH366" i="3" l="1"/>
  <c r="AI366" i="3" s="1"/>
  <c r="AH367" i="3" l="1"/>
  <c r="AI367" i="3" s="1"/>
  <c r="N3" i="9" l="1"/>
  <c r="S3" i="9" l="1"/>
  <c r="R3" i="9"/>
  <c r="T3" i="9"/>
  <c r="Z3" i="9" s="1"/>
  <c r="AR3" i="9" s="1"/>
  <c r="N4" i="9"/>
  <c r="R4" i="9" l="1"/>
  <c r="S4" i="9"/>
  <c r="N5" i="9"/>
  <c r="T4" i="9"/>
  <c r="Z4" i="9" s="1"/>
  <c r="AR4" i="9" s="1"/>
  <c r="R5" i="9" l="1"/>
  <c r="S5" i="9"/>
  <c r="N6" i="9"/>
  <c r="T5" i="9"/>
  <c r="Z5" i="9" s="1"/>
  <c r="AR5" i="9" s="1"/>
  <c r="R6" i="9" l="1"/>
  <c r="S6" i="9"/>
  <c r="N7" i="9"/>
  <c r="T6" i="9"/>
  <c r="Z6" i="9" s="1"/>
  <c r="AR6" i="9" s="1"/>
  <c r="R7" i="9" l="1"/>
  <c r="S7" i="9"/>
  <c r="N8" i="9"/>
  <c r="T7" i="9"/>
  <c r="Z7" i="9" s="1"/>
  <c r="AR7" i="9" s="1"/>
  <c r="R8" i="9" l="1"/>
  <c r="S8" i="9"/>
  <c r="N9" i="9"/>
  <c r="T8" i="9"/>
  <c r="Z8" i="9" s="1"/>
  <c r="AR8" i="9" s="1"/>
  <c r="R9" i="9" l="1"/>
  <c r="S9" i="9"/>
  <c r="N10" i="9"/>
  <c r="T9" i="9"/>
  <c r="Z9" i="9" s="1"/>
  <c r="AR9" i="9" s="1"/>
  <c r="R10" i="9" l="1"/>
  <c r="S10" i="9"/>
  <c r="N11" i="9"/>
  <c r="T10" i="9"/>
  <c r="Z10" i="9" s="1"/>
  <c r="AR10" i="9" s="1"/>
  <c r="R11" i="9" l="1"/>
  <c r="S11" i="9"/>
  <c r="N12" i="9"/>
  <c r="T11" i="9"/>
  <c r="Z11" i="9" s="1"/>
  <c r="AR11" i="9" s="1"/>
  <c r="R12" i="9" l="1"/>
  <c r="S12" i="9"/>
  <c r="N13" i="9"/>
  <c r="T12" i="9"/>
  <c r="Z12" i="9" s="1"/>
  <c r="AR12" i="9" s="1"/>
  <c r="R13" i="9" l="1"/>
  <c r="S13" i="9"/>
  <c r="N14" i="9"/>
  <c r="T13" i="9"/>
  <c r="Z13" i="9" s="1"/>
  <c r="AR13" i="9" s="1"/>
  <c r="R14" i="9" l="1"/>
  <c r="S14" i="9"/>
  <c r="N15" i="9"/>
  <c r="T14" i="9"/>
  <c r="Z14" i="9" s="1"/>
  <c r="AR14" i="9" s="1"/>
  <c r="R15" i="9" l="1"/>
  <c r="S15" i="9"/>
  <c r="N16" i="9"/>
  <c r="T15" i="9"/>
  <c r="Z15" i="9" s="1"/>
  <c r="AR15" i="9" s="1"/>
  <c r="R16" i="9" l="1"/>
  <c r="S16" i="9"/>
  <c r="N17" i="9"/>
  <c r="T16" i="9"/>
  <c r="Z16" i="9" s="1"/>
  <c r="AR16" i="9" s="1"/>
  <c r="R17" i="9" l="1"/>
  <c r="S17" i="9"/>
  <c r="N18" i="9"/>
  <c r="T17" i="9"/>
  <c r="Z17" i="9" s="1"/>
  <c r="AR17" i="9" s="1"/>
  <c r="R18" i="9" l="1"/>
  <c r="S18" i="9"/>
  <c r="N19" i="9"/>
  <c r="T18" i="9"/>
  <c r="Z18" i="9" s="1"/>
  <c r="AR18" i="9" s="1"/>
  <c r="R19" i="9" l="1"/>
  <c r="S19" i="9"/>
  <c r="N20" i="9"/>
  <c r="T19" i="9"/>
  <c r="Z19" i="9" s="1"/>
  <c r="AR19" i="9" s="1"/>
  <c r="R20" i="9" l="1"/>
  <c r="S20" i="9"/>
  <c r="N21" i="9"/>
  <c r="T20" i="9"/>
  <c r="Z20" i="9" s="1"/>
  <c r="AR20" i="9" s="1"/>
  <c r="R21" i="9" l="1"/>
  <c r="S21" i="9"/>
  <c r="N22" i="9"/>
  <c r="T21" i="9"/>
  <c r="Z21" i="9" s="1"/>
  <c r="AR21" i="9" s="1"/>
  <c r="R22" i="9" l="1"/>
  <c r="S22" i="9"/>
  <c r="N23" i="9"/>
  <c r="T22" i="9"/>
  <c r="Z22" i="9" s="1"/>
  <c r="AR22" i="9" s="1"/>
  <c r="R23" i="9" l="1"/>
  <c r="S23" i="9"/>
  <c r="N24" i="9"/>
  <c r="T23" i="9"/>
  <c r="Z23" i="9" s="1"/>
  <c r="AR23" i="9" s="1"/>
  <c r="R24" i="9" l="1"/>
  <c r="S24" i="9"/>
  <c r="N25" i="9"/>
  <c r="T24" i="9"/>
  <c r="Z24" i="9" s="1"/>
  <c r="AR24" i="9" s="1"/>
  <c r="R25" i="9" l="1"/>
  <c r="S25" i="9"/>
  <c r="N26" i="9"/>
  <c r="T25" i="9"/>
  <c r="Z25" i="9" s="1"/>
  <c r="AR25" i="9" s="1"/>
  <c r="R26" i="9" l="1"/>
  <c r="S26" i="9"/>
  <c r="N27" i="9"/>
  <c r="T26" i="9"/>
  <c r="Z26" i="9" s="1"/>
  <c r="AR26" i="9" s="1"/>
  <c r="R27" i="9" l="1"/>
  <c r="S27" i="9"/>
  <c r="N28" i="9"/>
  <c r="T27" i="9"/>
  <c r="Z27" i="9" s="1"/>
  <c r="AR27" i="9" s="1"/>
  <c r="R28" i="9" l="1"/>
  <c r="S28" i="9"/>
  <c r="N29" i="9"/>
  <c r="T28" i="9"/>
  <c r="Z28" i="9" s="1"/>
  <c r="AR28" i="9" s="1"/>
  <c r="R29" i="9" l="1"/>
  <c r="S29" i="9"/>
  <c r="N30" i="9"/>
  <c r="T29" i="9"/>
  <c r="Z29" i="9" s="1"/>
  <c r="AR29" i="9" s="1"/>
  <c r="R30" i="9" l="1"/>
  <c r="S30" i="9"/>
  <c r="N31" i="9"/>
  <c r="T30" i="9"/>
  <c r="Z30" i="9" s="1"/>
  <c r="AR30" i="9" s="1"/>
  <c r="R31" i="9" l="1"/>
  <c r="S31" i="9"/>
  <c r="N32" i="9"/>
  <c r="T31" i="9"/>
  <c r="Z31" i="9" s="1"/>
  <c r="AR31" i="9" s="1"/>
  <c r="R32" i="9" l="1"/>
  <c r="S32" i="9"/>
  <c r="N33" i="9"/>
  <c r="T32" i="9"/>
  <c r="Z32" i="9" s="1"/>
  <c r="AR32" i="9" s="1"/>
  <c r="R33" i="9" l="1"/>
  <c r="S33" i="9"/>
  <c r="N34" i="9"/>
  <c r="T33" i="9"/>
  <c r="Z33" i="9" s="1"/>
  <c r="AR33" i="9" s="1"/>
  <c r="R34" i="9" l="1"/>
  <c r="S34" i="9"/>
  <c r="N35" i="9"/>
  <c r="T34" i="9"/>
  <c r="Z34" i="9" s="1"/>
  <c r="AR34" i="9" s="1"/>
  <c r="R35" i="9" l="1"/>
  <c r="S35" i="9"/>
  <c r="N36" i="9"/>
  <c r="T35" i="9"/>
  <c r="Z35" i="9" s="1"/>
  <c r="AR35" i="9" s="1"/>
  <c r="R36" i="9" l="1"/>
  <c r="S36" i="9"/>
  <c r="N37" i="9"/>
  <c r="T36" i="9"/>
  <c r="Z36" i="9" s="1"/>
  <c r="AR36" i="9" s="1"/>
  <c r="R37" i="9" l="1"/>
  <c r="S37" i="9"/>
  <c r="N38" i="9"/>
  <c r="T37" i="9"/>
  <c r="Z37" i="9" s="1"/>
  <c r="AR37" i="9" s="1"/>
  <c r="R38" i="9" l="1"/>
  <c r="S38" i="9"/>
  <c r="N39" i="9"/>
  <c r="T38" i="9"/>
  <c r="Z38" i="9" s="1"/>
  <c r="AR38" i="9" s="1"/>
  <c r="R39" i="9" l="1"/>
  <c r="S39" i="9"/>
  <c r="N40" i="9"/>
  <c r="T39" i="9"/>
  <c r="Z39" i="9" s="1"/>
  <c r="AR39" i="9" s="1"/>
  <c r="R40" i="9" l="1"/>
  <c r="S40" i="9"/>
  <c r="N41" i="9"/>
  <c r="T40" i="9"/>
  <c r="Z40" i="9" s="1"/>
  <c r="AR40" i="9" s="1"/>
  <c r="R41" i="9" l="1"/>
  <c r="S41" i="9"/>
  <c r="N42" i="9"/>
  <c r="T41" i="9"/>
  <c r="Z41" i="9" s="1"/>
  <c r="AR41" i="9" s="1"/>
  <c r="R42" i="9" l="1"/>
  <c r="S42" i="9"/>
  <c r="N43" i="9"/>
  <c r="T42" i="9"/>
  <c r="Z42" i="9" s="1"/>
  <c r="AR42" i="9" s="1"/>
  <c r="R43" i="9" l="1"/>
  <c r="S43" i="9"/>
  <c r="N44" i="9"/>
  <c r="T43" i="9"/>
  <c r="Z43" i="9" s="1"/>
  <c r="AR43" i="9" s="1"/>
  <c r="R44" i="9" l="1"/>
  <c r="S44" i="9"/>
  <c r="N45" i="9"/>
  <c r="T44" i="9"/>
  <c r="Z44" i="9" s="1"/>
  <c r="AR44" i="9" s="1"/>
  <c r="R45" i="9" l="1"/>
  <c r="S45" i="9"/>
  <c r="N46" i="9"/>
  <c r="T45" i="9"/>
  <c r="Z45" i="9" s="1"/>
  <c r="AR45" i="9" s="1"/>
  <c r="R46" i="9" l="1"/>
  <c r="S46" i="9"/>
  <c r="N47" i="9"/>
  <c r="T46" i="9"/>
  <c r="Z46" i="9" s="1"/>
  <c r="AR46" i="9" s="1"/>
  <c r="R47" i="9" l="1"/>
  <c r="S47" i="9"/>
  <c r="N48" i="9"/>
  <c r="T47" i="9"/>
  <c r="Z47" i="9" s="1"/>
  <c r="AR47" i="9" s="1"/>
  <c r="R48" i="9" l="1"/>
  <c r="S48" i="9"/>
  <c r="N49" i="9"/>
  <c r="T48" i="9"/>
  <c r="Z48" i="9" s="1"/>
  <c r="AR48" i="9" s="1"/>
  <c r="R49" i="9" l="1"/>
  <c r="S49" i="9"/>
  <c r="N50" i="9"/>
  <c r="T49" i="9"/>
  <c r="Z49" i="9" s="1"/>
  <c r="AR49" i="9" s="1"/>
  <c r="R50" i="9" l="1"/>
  <c r="S50" i="9"/>
  <c r="N51" i="9"/>
  <c r="T50" i="9"/>
  <c r="Z50" i="9" s="1"/>
  <c r="AR50" i="9" s="1"/>
  <c r="R51" i="9" l="1"/>
  <c r="S51" i="9"/>
  <c r="N52" i="9"/>
  <c r="T51" i="9"/>
  <c r="Z51" i="9" s="1"/>
  <c r="AR51" i="9" s="1"/>
  <c r="R52" i="9" l="1"/>
  <c r="S52" i="9"/>
  <c r="N53" i="9"/>
  <c r="T52" i="9"/>
  <c r="Z52" i="9" s="1"/>
  <c r="AR52" i="9" s="1"/>
  <c r="R53" i="9" l="1"/>
  <c r="S53" i="9"/>
  <c r="N54" i="9"/>
  <c r="T53" i="9"/>
  <c r="Z53" i="9" s="1"/>
  <c r="AR53" i="9" s="1"/>
  <c r="R54" i="9" l="1"/>
  <c r="S54" i="9"/>
  <c r="N55" i="9"/>
  <c r="T54" i="9"/>
  <c r="Z54" i="9" s="1"/>
  <c r="AR54" i="9" s="1"/>
  <c r="R55" i="9" l="1"/>
  <c r="S55" i="9"/>
  <c r="N56" i="9"/>
  <c r="T55" i="9"/>
  <c r="Z55" i="9" s="1"/>
  <c r="AR55" i="9" s="1"/>
  <c r="R56" i="9" l="1"/>
  <c r="S56" i="9"/>
  <c r="N57" i="9"/>
  <c r="T56" i="9"/>
  <c r="Z56" i="9" s="1"/>
  <c r="AR56" i="9" s="1"/>
  <c r="R57" i="9" l="1"/>
  <c r="S57" i="9"/>
  <c r="N58" i="9"/>
  <c r="T57" i="9"/>
  <c r="Z57" i="9" s="1"/>
  <c r="AR57" i="9" s="1"/>
  <c r="R58" i="9" l="1"/>
  <c r="S58" i="9"/>
  <c r="N59" i="9"/>
  <c r="T58" i="9"/>
  <c r="Z58" i="9" s="1"/>
  <c r="AR58" i="9" s="1"/>
  <c r="R59" i="9" l="1"/>
  <c r="S59" i="9"/>
  <c r="N60" i="9"/>
  <c r="T59" i="9"/>
  <c r="Z59" i="9" s="1"/>
  <c r="AR59" i="9" s="1"/>
  <c r="R60" i="9" l="1"/>
  <c r="S60" i="9"/>
  <c r="N61" i="9"/>
  <c r="T60" i="9"/>
  <c r="Z60" i="9" s="1"/>
  <c r="AR60" i="9" s="1"/>
  <c r="R61" i="9" l="1"/>
  <c r="S61" i="9"/>
  <c r="N62" i="9"/>
  <c r="T61" i="9"/>
  <c r="Z61" i="9" s="1"/>
  <c r="AR61" i="9" s="1"/>
  <c r="R62" i="9" l="1"/>
  <c r="S62" i="9"/>
  <c r="N63" i="9"/>
  <c r="T62" i="9"/>
  <c r="Z62" i="9" s="1"/>
  <c r="AR62" i="9" s="1"/>
  <c r="R63" i="9" l="1"/>
  <c r="S63" i="9"/>
  <c r="N64" i="9"/>
  <c r="T63" i="9"/>
  <c r="Z63" i="9" s="1"/>
  <c r="AR63" i="9" s="1"/>
  <c r="R64" i="9" l="1"/>
  <c r="S64" i="9"/>
  <c r="N65" i="9"/>
  <c r="T64" i="9"/>
  <c r="Z64" i="9" s="1"/>
  <c r="AR64" i="9" s="1"/>
  <c r="R65" i="9" l="1"/>
  <c r="S65" i="9"/>
  <c r="N66" i="9"/>
  <c r="T65" i="9"/>
  <c r="Z65" i="9" s="1"/>
  <c r="AR65" i="9" s="1"/>
  <c r="R66" i="9" l="1"/>
  <c r="S66" i="9"/>
  <c r="N67" i="9"/>
  <c r="T66" i="9"/>
  <c r="Z66" i="9" s="1"/>
  <c r="AR66" i="9" s="1"/>
  <c r="R67" i="9" l="1"/>
  <c r="S67" i="9"/>
  <c r="N68" i="9"/>
  <c r="T67" i="9"/>
  <c r="Z67" i="9" s="1"/>
  <c r="AR67" i="9" s="1"/>
  <c r="R68" i="9" l="1"/>
  <c r="S68" i="9"/>
  <c r="N69" i="9"/>
  <c r="T68" i="9"/>
  <c r="Z68" i="9" s="1"/>
  <c r="AR68" i="9" s="1"/>
  <c r="R69" i="9" l="1"/>
  <c r="S69" i="9"/>
  <c r="N70" i="9"/>
  <c r="T69" i="9"/>
  <c r="Z69" i="9" s="1"/>
  <c r="AR69" i="9" s="1"/>
  <c r="R70" i="9" l="1"/>
  <c r="S70" i="9"/>
  <c r="N71" i="9"/>
  <c r="T70" i="9"/>
  <c r="Z70" i="9" s="1"/>
  <c r="AR70" i="9" s="1"/>
  <c r="R71" i="9" l="1"/>
  <c r="S71" i="9"/>
  <c r="N72" i="9"/>
  <c r="T71" i="9"/>
  <c r="Z71" i="9" s="1"/>
  <c r="AR71" i="9" s="1"/>
  <c r="R72" i="9" l="1"/>
  <c r="S72" i="9"/>
  <c r="N73" i="9"/>
  <c r="T72" i="9"/>
  <c r="Z72" i="9" s="1"/>
  <c r="AR72" i="9" s="1"/>
  <c r="R73" i="9" l="1"/>
  <c r="S73" i="9"/>
  <c r="N74" i="9"/>
  <c r="T73" i="9"/>
  <c r="Z73" i="9" s="1"/>
  <c r="AR73" i="9" s="1"/>
  <c r="R74" i="9" l="1"/>
  <c r="S74" i="9"/>
  <c r="N75" i="9"/>
  <c r="T74" i="9"/>
  <c r="Z74" i="9" s="1"/>
  <c r="AR74" i="9" s="1"/>
  <c r="R75" i="9" l="1"/>
  <c r="S75" i="9"/>
  <c r="N76" i="9"/>
  <c r="T75" i="9"/>
  <c r="Z75" i="9" s="1"/>
  <c r="AR75" i="9" s="1"/>
  <c r="R76" i="9" l="1"/>
  <c r="S76" i="9"/>
  <c r="N77" i="9"/>
  <c r="T76" i="9"/>
  <c r="Z76" i="9" s="1"/>
  <c r="AR76" i="9" s="1"/>
  <c r="R77" i="9" l="1"/>
  <c r="S77" i="9"/>
  <c r="N78" i="9"/>
  <c r="T77" i="9"/>
  <c r="Z77" i="9" s="1"/>
  <c r="AR77" i="9" s="1"/>
  <c r="R78" i="9" l="1"/>
  <c r="S78" i="9"/>
  <c r="N79" i="9"/>
  <c r="T78" i="9"/>
  <c r="Z78" i="9" s="1"/>
  <c r="AR78" i="9" s="1"/>
  <c r="R79" i="9" l="1"/>
  <c r="S79" i="9"/>
  <c r="N80" i="9"/>
  <c r="T79" i="9"/>
  <c r="Z79" i="9" s="1"/>
  <c r="AR79" i="9" s="1"/>
  <c r="R80" i="9" l="1"/>
  <c r="S80" i="9"/>
  <c r="N81" i="9"/>
  <c r="T80" i="9"/>
  <c r="Z80" i="9" s="1"/>
  <c r="AR80" i="9" s="1"/>
  <c r="R81" i="9" l="1"/>
  <c r="S81" i="9"/>
  <c r="N82" i="9"/>
  <c r="T81" i="9"/>
  <c r="Z81" i="9" s="1"/>
  <c r="AR81" i="9" s="1"/>
  <c r="R82" i="9" l="1"/>
  <c r="S82" i="9"/>
  <c r="N83" i="9"/>
  <c r="T82" i="9"/>
  <c r="Z82" i="9" s="1"/>
  <c r="AR82" i="9" s="1"/>
  <c r="R83" i="9" l="1"/>
  <c r="S83" i="9"/>
  <c r="N84" i="9"/>
  <c r="T83" i="9"/>
  <c r="Z83" i="9" s="1"/>
  <c r="AR83" i="9" s="1"/>
  <c r="R84" i="9" l="1"/>
  <c r="S84" i="9"/>
  <c r="N85" i="9"/>
  <c r="T84" i="9"/>
  <c r="Z84" i="9" s="1"/>
  <c r="AR84" i="9" s="1"/>
  <c r="R85" i="9" l="1"/>
  <c r="S85" i="9"/>
  <c r="N86" i="9"/>
  <c r="T85" i="9"/>
  <c r="Z85" i="9" s="1"/>
  <c r="AR85" i="9" s="1"/>
  <c r="R86" i="9" l="1"/>
  <c r="S86" i="9"/>
  <c r="N87" i="9"/>
  <c r="T86" i="9"/>
  <c r="Z86" i="9" s="1"/>
  <c r="AR86" i="9" s="1"/>
  <c r="R87" i="9" l="1"/>
  <c r="S87" i="9"/>
  <c r="N88" i="9"/>
  <c r="T87" i="9"/>
  <c r="Z87" i="9" s="1"/>
  <c r="AR87" i="9" s="1"/>
  <c r="R88" i="9" l="1"/>
  <c r="S88" i="9"/>
  <c r="N89" i="9"/>
  <c r="T88" i="9"/>
  <c r="Z88" i="9" s="1"/>
  <c r="AR88" i="9" s="1"/>
  <c r="R89" i="9" l="1"/>
  <c r="S89" i="9"/>
  <c r="N90" i="9"/>
  <c r="T89" i="9"/>
  <c r="Z89" i="9" s="1"/>
  <c r="AR89" i="9" s="1"/>
  <c r="R90" i="9" l="1"/>
  <c r="S90" i="9"/>
  <c r="N91" i="9"/>
  <c r="T90" i="9"/>
  <c r="Z90" i="9" s="1"/>
  <c r="AR90" i="9" s="1"/>
  <c r="R91" i="9" l="1"/>
  <c r="S91" i="9"/>
  <c r="N92" i="9"/>
  <c r="T91" i="9"/>
  <c r="Z91" i="9" s="1"/>
  <c r="AR91" i="9" s="1"/>
  <c r="R92" i="9" l="1"/>
  <c r="S92" i="9"/>
  <c r="N93" i="9"/>
  <c r="T92" i="9"/>
  <c r="Z92" i="9" s="1"/>
  <c r="AR92" i="9" s="1"/>
  <c r="R93" i="9" l="1"/>
  <c r="S93" i="9"/>
  <c r="N94" i="9"/>
  <c r="T93" i="9"/>
  <c r="Z93" i="9" s="1"/>
  <c r="AR93" i="9" s="1"/>
  <c r="R94" i="9" l="1"/>
  <c r="S94" i="9"/>
  <c r="N95" i="9"/>
  <c r="T94" i="9"/>
  <c r="Z94" i="9" s="1"/>
  <c r="AR94" i="9" s="1"/>
  <c r="R95" i="9" l="1"/>
  <c r="S95" i="9"/>
  <c r="N96" i="9"/>
  <c r="T95" i="9"/>
  <c r="Z95" i="9" s="1"/>
  <c r="AR95" i="9" s="1"/>
  <c r="R96" i="9" l="1"/>
  <c r="S96" i="9"/>
  <c r="N97" i="9"/>
  <c r="T96" i="9"/>
  <c r="Z96" i="9" s="1"/>
  <c r="AR96" i="9" s="1"/>
  <c r="R97" i="9" l="1"/>
  <c r="S97" i="9"/>
  <c r="N98" i="9"/>
  <c r="T97" i="9"/>
  <c r="Z97" i="9" s="1"/>
  <c r="AR97" i="9" s="1"/>
  <c r="R98" i="9" l="1"/>
  <c r="S98" i="9"/>
  <c r="N99" i="9"/>
  <c r="T98" i="9"/>
  <c r="Z98" i="9" s="1"/>
  <c r="AR98" i="9" s="1"/>
  <c r="R99" i="9" l="1"/>
  <c r="S99" i="9"/>
  <c r="N100" i="9"/>
  <c r="T99" i="9"/>
  <c r="Z99" i="9" s="1"/>
  <c r="AR99" i="9" s="1"/>
  <c r="R100" i="9" l="1"/>
  <c r="S100" i="9"/>
  <c r="N101" i="9"/>
  <c r="T100" i="9"/>
  <c r="Z100" i="9" s="1"/>
  <c r="AR100" i="9" s="1"/>
  <c r="R101" i="9" l="1"/>
  <c r="S101" i="9"/>
  <c r="N102" i="9"/>
  <c r="T101" i="9"/>
  <c r="Z101" i="9" s="1"/>
  <c r="AR101" i="9" s="1"/>
  <c r="R102" i="9" l="1"/>
  <c r="S102" i="9"/>
  <c r="N103" i="9"/>
  <c r="T102" i="9"/>
  <c r="Z102" i="9" s="1"/>
  <c r="AR102" i="9" s="1"/>
  <c r="R103" i="9" l="1"/>
  <c r="S103" i="9"/>
  <c r="N104" i="9"/>
  <c r="T103" i="9"/>
  <c r="Z103" i="9" s="1"/>
  <c r="AR103" i="9" s="1"/>
  <c r="R104" i="9" l="1"/>
  <c r="S104" i="9"/>
  <c r="N105" i="9"/>
  <c r="T104" i="9"/>
  <c r="Z104" i="9" s="1"/>
  <c r="AR104" i="9" s="1"/>
  <c r="R105" i="9" l="1"/>
  <c r="S105" i="9"/>
  <c r="N106" i="9"/>
  <c r="T105" i="9"/>
  <c r="Z105" i="9" s="1"/>
  <c r="AR105" i="9" l="1"/>
  <c r="R106" i="9"/>
  <c r="S106" i="9"/>
  <c r="N107" i="9"/>
  <c r="T106" i="9"/>
  <c r="Z106" i="9" s="1"/>
  <c r="AR106" i="9" l="1"/>
  <c r="R107" i="9"/>
  <c r="S107" i="9"/>
  <c r="N108" i="9"/>
  <c r="T107" i="9"/>
  <c r="Z107" i="9" s="1"/>
  <c r="AR107" i="9" l="1"/>
  <c r="R108" i="9"/>
  <c r="S108" i="9"/>
  <c r="N109" i="9"/>
  <c r="T108" i="9"/>
  <c r="Z108" i="9" s="1"/>
  <c r="AR108" i="9" l="1"/>
  <c r="R109" i="9"/>
  <c r="S109" i="9"/>
  <c r="N110" i="9"/>
  <c r="T109" i="9"/>
  <c r="Z109" i="9" s="1"/>
  <c r="AR109" i="9" l="1"/>
  <c r="R110" i="9"/>
  <c r="S110" i="9"/>
  <c r="N111" i="9"/>
  <c r="T110" i="9"/>
  <c r="Z110" i="9" s="1"/>
  <c r="AR110" i="9" l="1"/>
  <c r="R111" i="9"/>
  <c r="S111" i="9"/>
  <c r="N112" i="9"/>
  <c r="T111" i="9"/>
  <c r="Z111" i="9" s="1"/>
  <c r="AR111" i="9" l="1"/>
  <c r="R112" i="9"/>
  <c r="S112" i="9"/>
  <c r="N113" i="9"/>
  <c r="T112" i="9"/>
  <c r="Z112" i="9" s="1"/>
  <c r="AR112" i="9" l="1"/>
  <c r="R113" i="9"/>
  <c r="S113" i="9"/>
  <c r="N114" i="9"/>
  <c r="T113" i="9"/>
  <c r="Z113" i="9" s="1"/>
  <c r="AR113" i="9" l="1"/>
  <c r="R114" i="9"/>
  <c r="S114" i="9"/>
  <c r="N115" i="9"/>
  <c r="T114" i="9"/>
  <c r="Z114" i="9" s="1"/>
  <c r="AR114" i="9" l="1"/>
  <c r="R115" i="9"/>
  <c r="S115" i="9"/>
  <c r="N116" i="9"/>
  <c r="T115" i="9"/>
  <c r="Z115" i="9" s="1"/>
  <c r="AR115" i="9" l="1"/>
  <c r="R116" i="9"/>
  <c r="S116" i="9"/>
  <c r="N117" i="9"/>
  <c r="T116" i="9"/>
  <c r="Z116" i="9" s="1"/>
  <c r="AR116" i="9" l="1"/>
  <c r="R117" i="9"/>
  <c r="S117" i="9"/>
  <c r="N118" i="9"/>
  <c r="T117" i="9"/>
  <c r="Z117" i="9" s="1"/>
  <c r="AR117" i="9" l="1"/>
  <c r="R118" i="9"/>
  <c r="S118" i="9"/>
  <c r="N119" i="9"/>
  <c r="T118" i="9"/>
  <c r="Z118" i="9" s="1"/>
  <c r="AR118" i="9" l="1"/>
  <c r="R119" i="9"/>
  <c r="S119" i="9"/>
  <c r="N120" i="9"/>
  <c r="T119" i="9"/>
  <c r="Z119" i="9" s="1"/>
  <c r="AR119" i="9" l="1"/>
  <c r="R120" i="9"/>
  <c r="S120" i="9"/>
  <c r="N121" i="9"/>
  <c r="T120" i="9"/>
  <c r="Z120" i="9" s="1"/>
  <c r="AR120" i="9" l="1"/>
  <c r="R121" i="9"/>
  <c r="S121" i="9"/>
  <c r="N122" i="9"/>
  <c r="T121" i="9"/>
  <c r="Z121" i="9" s="1"/>
  <c r="AR121" i="9" l="1"/>
  <c r="R122" i="9"/>
  <c r="S122" i="9"/>
  <c r="N123" i="9"/>
  <c r="T122" i="9"/>
  <c r="Z122" i="9" s="1"/>
  <c r="AR122" i="9" l="1"/>
  <c r="R123" i="9"/>
  <c r="S123" i="9"/>
  <c r="N124" i="9"/>
  <c r="T123" i="9"/>
  <c r="Z123" i="9" s="1"/>
  <c r="AR123" i="9" l="1"/>
  <c r="R124" i="9"/>
  <c r="S124" i="9"/>
  <c r="N125" i="9"/>
  <c r="T124" i="9"/>
  <c r="Z124" i="9" s="1"/>
  <c r="AR124" i="9" l="1"/>
  <c r="R125" i="9"/>
  <c r="S125" i="9"/>
  <c r="N126" i="9"/>
  <c r="T125" i="9"/>
  <c r="Z125" i="9" s="1"/>
  <c r="AR125" i="9" l="1"/>
  <c r="R126" i="9"/>
  <c r="S126" i="9"/>
  <c r="N127" i="9"/>
  <c r="T126" i="9"/>
  <c r="Z126" i="9" s="1"/>
  <c r="AR126" i="9" l="1"/>
  <c r="R127" i="9"/>
  <c r="S127" i="9"/>
  <c r="N128" i="9"/>
  <c r="T127" i="9"/>
  <c r="Z127" i="9" s="1"/>
  <c r="AR127" i="9" l="1"/>
  <c r="R128" i="9"/>
  <c r="S128" i="9"/>
  <c r="N129" i="9"/>
  <c r="T128" i="9"/>
  <c r="Z128" i="9" s="1"/>
  <c r="AR128" i="9" l="1"/>
  <c r="R129" i="9"/>
  <c r="S129" i="9"/>
  <c r="N130" i="9"/>
  <c r="T129" i="9"/>
  <c r="Z129" i="9" s="1"/>
  <c r="AR129" i="9" l="1"/>
  <c r="R130" i="9"/>
  <c r="S130" i="9"/>
  <c r="N131" i="9"/>
  <c r="T130" i="9"/>
  <c r="Z130" i="9" s="1"/>
  <c r="AR130" i="9" l="1"/>
  <c r="R131" i="9"/>
  <c r="S131" i="9"/>
  <c r="N132" i="9"/>
  <c r="T131" i="9"/>
  <c r="Z131" i="9" s="1"/>
  <c r="AR131" i="9" l="1"/>
  <c r="R132" i="9"/>
  <c r="S132" i="9"/>
  <c r="N133" i="9"/>
  <c r="T132" i="9"/>
  <c r="Z132" i="9" s="1"/>
  <c r="AR132" i="9" l="1"/>
  <c r="R133" i="9"/>
  <c r="S133" i="9"/>
  <c r="N134" i="9"/>
  <c r="T133" i="9"/>
  <c r="Z133" i="9" s="1"/>
  <c r="AR133" i="9" l="1"/>
  <c r="E75" i="7" s="1"/>
  <c r="AN133" i="9" s="1"/>
  <c r="AW133" i="9" s="1"/>
  <c r="R134" i="9"/>
  <c r="S134" i="9"/>
  <c r="N135" i="9"/>
  <c r="T134" i="9"/>
  <c r="Z134" i="9" s="1"/>
  <c r="AN3" i="9" l="1"/>
  <c r="AW3" i="9" s="1"/>
  <c r="AN60" i="9"/>
  <c r="AW60" i="9" s="1"/>
  <c r="AN5" i="9"/>
  <c r="AW5" i="9" s="1"/>
  <c r="AN69" i="9"/>
  <c r="AW69" i="9" s="1"/>
  <c r="AN14" i="9"/>
  <c r="AW14" i="9" s="1"/>
  <c r="AN78" i="9"/>
  <c r="AW78" i="9" s="1"/>
  <c r="AN23" i="9"/>
  <c r="AW23" i="9" s="1"/>
  <c r="AN87" i="9"/>
  <c r="AW87" i="9" s="1"/>
  <c r="AN40" i="9"/>
  <c r="AW40" i="9" s="1"/>
  <c r="AN9" i="9"/>
  <c r="AW9" i="9" s="1"/>
  <c r="AN58" i="9"/>
  <c r="AW58" i="9" s="1"/>
  <c r="AN19" i="9"/>
  <c r="AW19" i="9" s="1"/>
  <c r="AN83" i="9"/>
  <c r="AW83" i="9" s="1"/>
  <c r="AN99" i="9"/>
  <c r="AW99" i="9" s="1"/>
  <c r="AN43" i="9"/>
  <c r="AW43" i="9" s="1"/>
  <c r="AN51" i="9"/>
  <c r="AW51" i="9" s="1"/>
  <c r="AN98" i="9"/>
  <c r="AW98" i="9" s="1"/>
  <c r="AN4" i="9"/>
  <c r="AW4" i="9" s="1"/>
  <c r="AN68" i="9"/>
  <c r="AW68" i="9" s="1"/>
  <c r="AN13" i="9"/>
  <c r="AW13" i="9" s="1"/>
  <c r="AN77" i="9"/>
  <c r="AW77" i="9" s="1"/>
  <c r="AN22" i="9"/>
  <c r="AW22" i="9" s="1"/>
  <c r="AN86" i="9"/>
  <c r="AW86" i="9" s="1"/>
  <c r="AN31" i="9"/>
  <c r="AW31" i="9" s="1"/>
  <c r="AN95" i="9"/>
  <c r="AW95" i="9" s="1"/>
  <c r="AN48" i="9"/>
  <c r="AW48" i="9" s="1"/>
  <c r="AN81" i="9"/>
  <c r="AW81" i="9" s="1"/>
  <c r="AN66" i="9"/>
  <c r="AW66" i="9" s="1"/>
  <c r="AN27" i="9"/>
  <c r="AW27" i="9" s="1"/>
  <c r="AN91" i="9"/>
  <c r="AW91" i="9" s="1"/>
  <c r="AN35" i="9"/>
  <c r="AW35" i="9" s="1"/>
  <c r="AN49" i="9"/>
  <c r="AW49" i="9" s="1"/>
  <c r="AN90" i="9"/>
  <c r="AW90" i="9" s="1"/>
  <c r="AN59" i="9"/>
  <c r="AW59" i="9" s="1"/>
  <c r="AN12" i="9"/>
  <c r="AW12" i="9" s="1"/>
  <c r="AN76" i="9"/>
  <c r="AW76" i="9" s="1"/>
  <c r="AN21" i="9"/>
  <c r="AW21" i="9" s="1"/>
  <c r="AN85" i="9"/>
  <c r="AW85" i="9" s="1"/>
  <c r="AN30" i="9"/>
  <c r="AW30" i="9" s="1"/>
  <c r="AN94" i="9"/>
  <c r="AW94" i="9" s="1"/>
  <c r="AN39" i="9"/>
  <c r="AW39" i="9" s="1"/>
  <c r="AN103" i="9"/>
  <c r="AW103" i="9" s="1"/>
  <c r="AN56" i="9"/>
  <c r="AW56" i="9" s="1"/>
  <c r="AN10" i="9"/>
  <c r="AW10" i="9" s="1"/>
  <c r="AN74" i="9"/>
  <c r="AW74" i="9" s="1"/>
  <c r="AN67" i="9"/>
  <c r="AW67" i="9" s="1"/>
  <c r="AN20" i="9"/>
  <c r="AW20" i="9" s="1"/>
  <c r="AN84" i="9"/>
  <c r="AW84" i="9" s="1"/>
  <c r="AN29" i="9"/>
  <c r="AW29" i="9" s="1"/>
  <c r="AN93" i="9"/>
  <c r="AW93" i="9" s="1"/>
  <c r="AN38" i="9"/>
  <c r="AW38" i="9" s="1"/>
  <c r="AN102" i="9"/>
  <c r="AW102" i="9" s="1"/>
  <c r="AN47" i="9"/>
  <c r="AW47" i="9" s="1"/>
  <c r="AN17" i="9"/>
  <c r="AW17" i="9" s="1"/>
  <c r="AN64" i="9"/>
  <c r="AW64" i="9" s="1"/>
  <c r="AN18" i="9"/>
  <c r="AW18" i="9" s="1"/>
  <c r="AN82" i="9"/>
  <c r="AW82" i="9" s="1"/>
  <c r="AN65" i="9"/>
  <c r="AW65" i="9" s="1"/>
  <c r="AN42" i="9"/>
  <c r="AW42" i="9" s="1"/>
  <c r="AN28" i="9"/>
  <c r="AW28" i="9" s="1"/>
  <c r="AN92" i="9"/>
  <c r="AW92" i="9" s="1"/>
  <c r="AN37" i="9"/>
  <c r="AW37" i="9" s="1"/>
  <c r="AN101" i="9"/>
  <c r="AW101" i="9" s="1"/>
  <c r="AN46" i="9"/>
  <c r="AW46" i="9" s="1"/>
  <c r="AN41" i="9"/>
  <c r="AW41" i="9" s="1"/>
  <c r="AN55" i="9"/>
  <c r="AW55" i="9" s="1"/>
  <c r="AN8" i="9"/>
  <c r="AW8" i="9" s="1"/>
  <c r="AN72" i="9"/>
  <c r="AW72" i="9" s="1"/>
  <c r="AN26" i="9"/>
  <c r="AW26" i="9" s="1"/>
  <c r="AN57" i="9"/>
  <c r="AW57" i="9" s="1"/>
  <c r="AN36" i="9"/>
  <c r="AW36" i="9" s="1"/>
  <c r="AN100" i="9"/>
  <c r="AW100" i="9" s="1"/>
  <c r="AN45" i="9"/>
  <c r="AW45" i="9" s="1"/>
  <c r="AN33" i="9"/>
  <c r="AW33" i="9" s="1"/>
  <c r="AN54" i="9"/>
  <c r="AW54" i="9" s="1"/>
  <c r="AN73" i="9"/>
  <c r="AW73" i="9" s="1"/>
  <c r="AN63" i="9"/>
  <c r="AW63" i="9" s="1"/>
  <c r="AN16" i="9"/>
  <c r="AW16" i="9" s="1"/>
  <c r="AN80" i="9"/>
  <c r="AW80" i="9" s="1"/>
  <c r="AN34" i="9"/>
  <c r="AW34" i="9" s="1"/>
  <c r="AN44" i="9"/>
  <c r="AW44" i="9" s="1"/>
  <c r="AN25" i="9"/>
  <c r="AW25" i="9" s="1"/>
  <c r="AN53" i="9"/>
  <c r="AW53" i="9" s="1"/>
  <c r="AN97" i="9"/>
  <c r="AW97" i="9" s="1"/>
  <c r="AN62" i="9"/>
  <c r="AW62" i="9" s="1"/>
  <c r="AN7" i="9"/>
  <c r="AW7" i="9" s="1"/>
  <c r="AN71" i="9"/>
  <c r="AW71" i="9" s="1"/>
  <c r="AN24" i="9"/>
  <c r="AW24" i="9" s="1"/>
  <c r="AN88" i="9"/>
  <c r="AW88" i="9" s="1"/>
  <c r="AN52" i="9"/>
  <c r="AW52" i="9" s="1"/>
  <c r="AN89" i="9"/>
  <c r="AW89" i="9" s="1"/>
  <c r="AN61" i="9"/>
  <c r="AW61" i="9" s="1"/>
  <c r="AN6" i="9"/>
  <c r="AW6" i="9" s="1"/>
  <c r="AN70" i="9"/>
  <c r="AW70" i="9" s="1"/>
  <c r="AN15" i="9"/>
  <c r="AW15" i="9" s="1"/>
  <c r="AN79" i="9"/>
  <c r="AW79" i="9" s="1"/>
  <c r="AN32" i="9"/>
  <c r="AW32" i="9" s="1"/>
  <c r="AN96" i="9"/>
  <c r="AW96" i="9" s="1"/>
  <c r="AN50" i="9"/>
  <c r="AW50" i="9" s="1"/>
  <c r="AN11" i="9"/>
  <c r="AW11" i="9" s="1"/>
  <c r="AN75" i="9"/>
  <c r="AW75" i="9" s="1"/>
  <c r="AN104" i="9"/>
  <c r="AW104" i="9" s="1"/>
  <c r="AN105" i="9"/>
  <c r="AW105" i="9" s="1"/>
  <c r="AN106" i="9"/>
  <c r="AW106" i="9" s="1"/>
  <c r="AN107" i="9"/>
  <c r="AW107" i="9" s="1"/>
  <c r="AN108" i="9"/>
  <c r="AW108" i="9" s="1"/>
  <c r="AN109" i="9"/>
  <c r="AW109" i="9" s="1"/>
  <c r="AN110" i="9"/>
  <c r="AW110" i="9" s="1"/>
  <c r="AN111" i="9"/>
  <c r="AW111" i="9" s="1"/>
  <c r="AN112" i="9"/>
  <c r="AW112" i="9" s="1"/>
  <c r="AN113" i="9"/>
  <c r="AW113" i="9" s="1"/>
  <c r="AN114" i="9"/>
  <c r="AW114" i="9" s="1"/>
  <c r="AN115" i="9"/>
  <c r="AW115" i="9" s="1"/>
  <c r="AN116" i="9"/>
  <c r="AW116" i="9" s="1"/>
  <c r="AN117" i="9"/>
  <c r="AW117" i="9" s="1"/>
  <c r="AN118" i="9"/>
  <c r="AW118" i="9" s="1"/>
  <c r="AN119" i="9"/>
  <c r="AW119" i="9" s="1"/>
  <c r="AN120" i="9"/>
  <c r="AW120" i="9" s="1"/>
  <c r="AN121" i="9"/>
  <c r="AW121" i="9" s="1"/>
  <c r="AN122" i="9"/>
  <c r="AW122" i="9" s="1"/>
  <c r="AN123" i="9"/>
  <c r="AW123" i="9" s="1"/>
  <c r="AN124" i="9"/>
  <c r="AW124" i="9" s="1"/>
  <c r="AN125" i="9"/>
  <c r="AW125" i="9" s="1"/>
  <c r="AN126" i="9"/>
  <c r="AW126" i="9" s="1"/>
  <c r="AN127" i="9"/>
  <c r="AW127" i="9" s="1"/>
  <c r="AN128" i="9"/>
  <c r="AW128" i="9" s="1"/>
  <c r="AN129" i="9"/>
  <c r="AW129" i="9" s="1"/>
  <c r="AN130" i="9"/>
  <c r="AW130" i="9" s="1"/>
  <c r="AN131" i="9"/>
  <c r="AW131" i="9" s="1"/>
  <c r="AN132" i="9"/>
  <c r="AW132" i="9" s="1"/>
  <c r="AO133" i="9"/>
  <c r="AP133" i="9"/>
  <c r="AR134" i="9"/>
  <c r="AN134" i="9"/>
  <c r="AW134" i="9" s="1"/>
  <c r="R135" i="9"/>
  <c r="S135" i="9"/>
  <c r="N136" i="9"/>
  <c r="T135" i="9"/>
  <c r="Z135" i="9" s="1"/>
  <c r="AT134" i="9" l="1"/>
  <c r="AT121" i="9"/>
  <c r="AO121" i="9"/>
  <c r="AP121" i="9"/>
  <c r="AT113" i="9"/>
  <c r="AP113" i="9"/>
  <c r="AO113" i="9"/>
  <c r="AT105" i="9"/>
  <c r="AO105" i="9"/>
  <c r="AP105" i="9"/>
  <c r="AT15" i="9"/>
  <c r="AO15" i="9"/>
  <c r="AP15" i="9"/>
  <c r="AO71" i="9"/>
  <c r="AP71" i="9"/>
  <c r="AT71" i="9"/>
  <c r="AO80" i="9"/>
  <c r="AP80" i="9"/>
  <c r="AT80" i="9"/>
  <c r="AO36" i="9"/>
  <c r="AP36" i="9"/>
  <c r="AT36" i="9"/>
  <c r="AT101" i="9"/>
  <c r="AO101" i="9"/>
  <c r="AP101" i="9"/>
  <c r="AT64" i="9"/>
  <c r="AO64" i="9"/>
  <c r="AP64" i="9"/>
  <c r="AT20" i="9"/>
  <c r="AO20" i="9"/>
  <c r="AP20" i="9"/>
  <c r="AT30" i="9"/>
  <c r="AO30" i="9"/>
  <c r="AP30" i="9"/>
  <c r="AT35" i="9"/>
  <c r="AO35" i="9"/>
  <c r="AP35" i="9"/>
  <c r="AT86" i="9"/>
  <c r="AO86" i="9"/>
  <c r="AP86" i="9"/>
  <c r="AT43" i="9"/>
  <c r="AO43" i="9"/>
  <c r="AP43" i="9"/>
  <c r="AT23" i="9"/>
  <c r="AO23" i="9"/>
  <c r="AP23" i="9"/>
  <c r="AT128" i="9"/>
  <c r="AO128" i="9"/>
  <c r="AP128" i="9"/>
  <c r="AO104" i="9"/>
  <c r="AP104" i="9"/>
  <c r="AT104" i="9"/>
  <c r="AO70" i="9"/>
  <c r="AP70" i="9"/>
  <c r="AT70" i="9"/>
  <c r="AT7" i="9"/>
  <c r="AO7" i="9"/>
  <c r="AP7" i="9"/>
  <c r="AT16" i="9"/>
  <c r="AO16" i="9"/>
  <c r="AU16" i="9" s="1"/>
  <c r="AP16" i="9"/>
  <c r="AO57" i="9"/>
  <c r="AP57" i="9"/>
  <c r="AT57" i="9"/>
  <c r="AT37" i="9"/>
  <c r="AO37" i="9"/>
  <c r="AP37" i="9"/>
  <c r="AO17" i="9"/>
  <c r="AU17" i="9" s="1"/>
  <c r="AP17" i="9"/>
  <c r="AT17" i="9"/>
  <c r="AO67" i="9"/>
  <c r="AP67" i="9"/>
  <c r="AT67" i="9"/>
  <c r="AT85" i="9"/>
  <c r="AO85" i="9"/>
  <c r="AP85" i="9"/>
  <c r="AT91" i="9"/>
  <c r="AO91" i="9"/>
  <c r="AP91" i="9"/>
  <c r="AO22" i="9"/>
  <c r="AP22" i="9"/>
  <c r="AT22" i="9"/>
  <c r="AO99" i="9"/>
  <c r="AP99" i="9"/>
  <c r="AT99" i="9"/>
  <c r="AT78" i="9"/>
  <c r="AO78" i="9"/>
  <c r="AP78" i="9"/>
  <c r="AT111" i="9"/>
  <c r="AP111" i="9"/>
  <c r="AO111" i="9"/>
  <c r="AO75" i="9"/>
  <c r="AP75" i="9"/>
  <c r="AT75" i="9"/>
  <c r="AT6" i="9"/>
  <c r="AO6" i="9"/>
  <c r="AP6" i="9"/>
  <c r="AP62" i="9"/>
  <c r="AT62" i="9"/>
  <c r="AO62" i="9"/>
  <c r="AO63" i="9"/>
  <c r="AT63" i="9"/>
  <c r="AP63" i="9"/>
  <c r="AO26" i="9"/>
  <c r="AP26" i="9"/>
  <c r="AT26" i="9"/>
  <c r="AT92" i="9"/>
  <c r="AO92" i="9"/>
  <c r="AP92" i="9"/>
  <c r="AT47" i="9"/>
  <c r="AO47" i="9"/>
  <c r="AP47" i="9"/>
  <c r="AT74" i="9"/>
  <c r="AO74" i="9"/>
  <c r="AP74" i="9"/>
  <c r="AT21" i="9"/>
  <c r="AO21" i="9"/>
  <c r="AP21" i="9"/>
  <c r="AO27" i="9"/>
  <c r="AP27" i="9"/>
  <c r="AT27" i="9"/>
  <c r="AO77" i="9"/>
  <c r="AP77" i="9"/>
  <c r="AT77" i="9"/>
  <c r="AO83" i="9"/>
  <c r="AT83" i="9"/>
  <c r="AP83" i="9"/>
  <c r="AO14" i="9"/>
  <c r="AP14" i="9"/>
  <c r="AT14" i="9"/>
  <c r="AT110" i="9"/>
  <c r="AO110" i="9"/>
  <c r="AP110" i="9"/>
  <c r="AT11" i="9"/>
  <c r="AO11" i="9"/>
  <c r="AP11" i="9"/>
  <c r="AT61" i="9"/>
  <c r="AO61" i="9"/>
  <c r="AP61" i="9"/>
  <c r="AO97" i="9"/>
  <c r="AT97" i="9"/>
  <c r="AP97" i="9"/>
  <c r="AT73" i="9"/>
  <c r="AO73" i="9"/>
  <c r="AP73" i="9"/>
  <c r="AT72" i="9"/>
  <c r="AO72" i="9"/>
  <c r="AP72" i="9"/>
  <c r="AO28" i="9"/>
  <c r="AT28" i="9"/>
  <c r="AP28" i="9"/>
  <c r="AT102" i="9"/>
  <c r="AO102" i="9"/>
  <c r="AP102" i="9"/>
  <c r="AO10" i="9"/>
  <c r="AP10" i="9"/>
  <c r="AT10" i="9"/>
  <c r="AT76" i="9"/>
  <c r="AO76" i="9"/>
  <c r="AP76" i="9"/>
  <c r="AT66" i="9"/>
  <c r="AO66" i="9"/>
  <c r="AP66" i="9"/>
  <c r="AT13" i="9"/>
  <c r="AO13" i="9"/>
  <c r="AP13" i="9"/>
  <c r="AT19" i="9"/>
  <c r="AO19" i="9"/>
  <c r="AP19" i="9"/>
  <c r="AO69" i="9"/>
  <c r="AT69" i="9"/>
  <c r="AP69" i="9"/>
  <c r="AT119" i="9"/>
  <c r="AO119" i="9"/>
  <c r="AP119" i="9"/>
  <c r="AT125" i="9"/>
  <c r="AO125" i="9"/>
  <c r="AP125" i="9"/>
  <c r="AT50" i="9"/>
  <c r="AO50" i="9"/>
  <c r="AP50" i="9"/>
  <c r="AO89" i="9"/>
  <c r="AP89" i="9"/>
  <c r="AT89" i="9"/>
  <c r="AT53" i="9"/>
  <c r="AO53" i="9"/>
  <c r="AP53" i="9"/>
  <c r="AO54" i="9"/>
  <c r="AP54" i="9"/>
  <c r="AT54" i="9"/>
  <c r="AO8" i="9"/>
  <c r="AP8" i="9"/>
  <c r="AV8" i="9" s="1"/>
  <c r="AT8" i="9"/>
  <c r="AO42" i="9"/>
  <c r="AT42" i="9"/>
  <c r="AP42" i="9"/>
  <c r="AO38" i="9"/>
  <c r="AT38" i="9"/>
  <c r="AP38" i="9"/>
  <c r="AO56" i="9"/>
  <c r="AP56" i="9"/>
  <c r="AT56" i="9"/>
  <c r="AO12" i="9"/>
  <c r="AP12" i="9"/>
  <c r="AT12" i="9"/>
  <c r="AO81" i="9"/>
  <c r="AT81" i="9"/>
  <c r="AP81" i="9"/>
  <c r="AV81" i="9" s="1"/>
  <c r="AO68" i="9"/>
  <c r="AP68" i="9"/>
  <c r="AT68" i="9"/>
  <c r="AO58" i="9"/>
  <c r="AT58" i="9"/>
  <c r="AP58" i="9"/>
  <c r="AO5" i="9"/>
  <c r="AP5" i="9"/>
  <c r="AT5" i="9"/>
  <c r="AT112" i="9"/>
  <c r="AO112" i="9"/>
  <c r="AU112" i="9" s="1"/>
  <c r="AP112" i="9"/>
  <c r="AT126" i="9"/>
  <c r="AO126" i="9"/>
  <c r="AP126" i="9"/>
  <c r="AT132" i="9"/>
  <c r="AO132" i="9"/>
  <c r="AP132" i="9"/>
  <c r="AT52" i="9"/>
  <c r="AO52" i="9"/>
  <c r="AP52" i="9"/>
  <c r="AP25" i="9"/>
  <c r="AT25" i="9"/>
  <c r="AO25" i="9"/>
  <c r="AT33" i="9"/>
  <c r="AO33" i="9"/>
  <c r="AP33" i="9"/>
  <c r="AT55" i="9"/>
  <c r="AO55" i="9"/>
  <c r="AP55" i="9"/>
  <c r="AO65" i="9"/>
  <c r="AU65" i="9" s="1"/>
  <c r="AT65" i="9"/>
  <c r="AP65" i="9"/>
  <c r="AO93" i="9"/>
  <c r="AP93" i="9"/>
  <c r="AT93" i="9"/>
  <c r="AT103" i="9"/>
  <c r="AO103" i="9"/>
  <c r="AP103" i="9"/>
  <c r="AP59" i="9"/>
  <c r="AT59" i="9"/>
  <c r="AO59" i="9"/>
  <c r="AO48" i="9"/>
  <c r="AP48" i="9"/>
  <c r="AT48" i="9"/>
  <c r="AT4" i="9"/>
  <c r="AO4" i="9"/>
  <c r="AP4" i="9"/>
  <c r="AP9" i="9"/>
  <c r="AT9" i="9"/>
  <c r="AO9" i="9"/>
  <c r="AO60" i="9"/>
  <c r="AT60" i="9"/>
  <c r="AP60" i="9"/>
  <c r="AT120" i="9"/>
  <c r="AP120" i="9"/>
  <c r="AO120" i="9"/>
  <c r="AT109" i="9"/>
  <c r="AO109" i="9"/>
  <c r="AP109" i="9"/>
  <c r="AT116" i="9"/>
  <c r="AO116" i="9"/>
  <c r="AP116" i="9"/>
  <c r="AO96" i="9"/>
  <c r="AP96" i="9"/>
  <c r="AT96" i="9"/>
  <c r="AT131" i="9"/>
  <c r="AO131" i="9"/>
  <c r="AP131" i="9"/>
  <c r="AT123" i="9"/>
  <c r="AO123" i="9"/>
  <c r="AP123" i="9"/>
  <c r="AT115" i="9"/>
  <c r="AP115" i="9"/>
  <c r="AO115" i="9"/>
  <c r="AT107" i="9"/>
  <c r="AP107" i="9"/>
  <c r="AO107" i="9"/>
  <c r="AT32" i="9"/>
  <c r="AO32" i="9"/>
  <c r="AP32" i="9"/>
  <c r="AO88" i="9"/>
  <c r="AP88" i="9"/>
  <c r="AT88" i="9"/>
  <c r="AO44" i="9"/>
  <c r="AT44" i="9"/>
  <c r="AP44" i="9"/>
  <c r="AV44" i="9" s="1"/>
  <c r="AO45" i="9"/>
  <c r="AT45" i="9"/>
  <c r="AP45" i="9"/>
  <c r="AO41" i="9"/>
  <c r="AP41" i="9"/>
  <c r="AT41" i="9"/>
  <c r="AO82" i="9"/>
  <c r="AU82" i="9" s="1"/>
  <c r="AP82" i="9"/>
  <c r="AT82" i="9"/>
  <c r="AO29" i="9"/>
  <c r="AP29" i="9"/>
  <c r="AT29" i="9"/>
  <c r="AO39" i="9"/>
  <c r="AP39" i="9"/>
  <c r="AT39" i="9"/>
  <c r="AT90" i="9"/>
  <c r="AO90" i="9"/>
  <c r="AP90" i="9"/>
  <c r="AO95" i="9"/>
  <c r="AP95" i="9"/>
  <c r="AT95" i="9"/>
  <c r="AT98" i="9"/>
  <c r="AO98" i="9"/>
  <c r="AP98" i="9"/>
  <c r="AO40" i="9"/>
  <c r="AP40" i="9"/>
  <c r="AT40" i="9"/>
  <c r="AO3" i="9"/>
  <c r="AP3" i="9"/>
  <c r="AT129" i="9"/>
  <c r="AP129" i="9"/>
  <c r="AO129" i="9"/>
  <c r="AT127" i="9"/>
  <c r="AP127" i="9"/>
  <c r="AO127" i="9"/>
  <c r="AT118" i="9"/>
  <c r="AO118" i="9"/>
  <c r="AP118" i="9"/>
  <c r="AT117" i="9"/>
  <c r="AO117" i="9"/>
  <c r="AP117" i="9"/>
  <c r="AT124" i="9"/>
  <c r="AP124" i="9"/>
  <c r="AO124" i="9"/>
  <c r="AT108" i="9"/>
  <c r="AO108" i="9"/>
  <c r="AP108" i="9"/>
  <c r="AT130" i="9"/>
  <c r="AP130" i="9"/>
  <c r="AO130" i="9"/>
  <c r="AT122" i="9"/>
  <c r="AO122" i="9"/>
  <c r="AU122" i="9" s="1"/>
  <c r="AP122" i="9"/>
  <c r="AV122" i="9" s="1"/>
  <c r="AT114" i="9"/>
  <c r="AO114" i="9"/>
  <c r="AP114" i="9"/>
  <c r="AT106" i="9"/>
  <c r="AO106" i="9"/>
  <c r="AU106" i="9" s="1"/>
  <c r="AP106" i="9"/>
  <c r="AV106" i="9" s="1"/>
  <c r="AT79" i="9"/>
  <c r="AO79" i="9"/>
  <c r="AP79" i="9"/>
  <c r="AT24" i="9"/>
  <c r="AO24" i="9"/>
  <c r="AP24" i="9"/>
  <c r="AT34" i="9"/>
  <c r="AO34" i="9"/>
  <c r="AU34" i="9" s="1"/>
  <c r="AP34" i="9"/>
  <c r="AV34" i="9" s="1"/>
  <c r="AO100" i="9"/>
  <c r="AP100" i="9"/>
  <c r="AT100" i="9"/>
  <c r="AO46" i="9"/>
  <c r="AP46" i="9"/>
  <c r="AT46" i="9"/>
  <c r="AT18" i="9"/>
  <c r="AO18" i="9"/>
  <c r="AP18" i="9"/>
  <c r="AT84" i="9"/>
  <c r="AO84" i="9"/>
  <c r="AP84" i="9"/>
  <c r="AV84" i="9" s="1"/>
  <c r="AT94" i="9"/>
  <c r="AO94" i="9"/>
  <c r="AP94" i="9"/>
  <c r="AT49" i="9"/>
  <c r="AO49" i="9"/>
  <c r="AP49" i="9"/>
  <c r="AO31" i="9"/>
  <c r="AT31" i="9"/>
  <c r="AP31" i="9"/>
  <c r="AV31" i="9" s="1"/>
  <c r="AO51" i="9"/>
  <c r="AP51" i="9"/>
  <c r="AT51" i="9"/>
  <c r="AO87" i="9"/>
  <c r="AP87" i="9"/>
  <c r="AT87" i="9"/>
  <c r="AT133" i="9"/>
  <c r="AR135" i="9"/>
  <c r="AN135" i="9"/>
  <c r="AW135" i="9" s="1"/>
  <c r="AO134" i="9"/>
  <c r="AU134" i="9" s="1"/>
  <c r="AP134" i="9"/>
  <c r="AV134" i="9" s="1"/>
  <c r="R136" i="9"/>
  <c r="S136" i="9"/>
  <c r="N137" i="9"/>
  <c r="T136" i="9"/>
  <c r="Z136" i="9" s="1"/>
  <c r="AV100" i="9" l="1"/>
  <c r="AU98" i="9"/>
  <c r="AU18" i="9"/>
  <c r="AU84" i="9"/>
  <c r="AU100" i="9"/>
  <c r="AV16" i="9"/>
  <c r="AV38" i="9"/>
  <c r="AU44" i="9"/>
  <c r="AU38" i="9"/>
  <c r="AV103" i="9"/>
  <c r="AV17" i="9"/>
  <c r="AV112" i="9"/>
  <c r="AU93" i="9"/>
  <c r="AV65" i="9"/>
  <c r="AU102" i="9"/>
  <c r="AV126" i="9"/>
  <c r="AV18" i="9"/>
  <c r="AU39" i="9"/>
  <c r="AV93" i="9"/>
  <c r="AU29" i="9"/>
  <c r="AU51" i="9"/>
  <c r="AV51" i="9"/>
  <c r="AU24" i="9"/>
  <c r="AU76" i="9"/>
  <c r="AV63" i="9"/>
  <c r="AV49" i="9"/>
  <c r="AU55" i="9"/>
  <c r="AT135" i="9"/>
  <c r="AV76" i="9"/>
  <c r="AU37" i="9"/>
  <c r="AV55" i="9"/>
  <c r="AV90" i="9"/>
  <c r="AU120" i="9"/>
  <c r="AU68" i="9"/>
  <c r="AV24" i="9"/>
  <c r="AU90" i="9"/>
  <c r="AV59" i="9"/>
  <c r="AV108" i="9"/>
  <c r="AV117" i="9"/>
  <c r="AV120" i="9"/>
  <c r="AU114" i="9"/>
  <c r="AV58" i="9"/>
  <c r="AV21" i="9"/>
  <c r="AV72" i="9"/>
  <c r="AU48" i="9"/>
  <c r="AU87" i="9"/>
  <c r="AU79" i="9"/>
  <c r="AV114" i="9"/>
  <c r="AU117" i="9"/>
  <c r="AV98" i="9"/>
  <c r="AU21" i="9"/>
  <c r="AU108" i="9"/>
  <c r="AU58" i="9"/>
  <c r="AU72" i="9"/>
  <c r="AU94" i="9"/>
  <c r="AV46" i="9"/>
  <c r="AU60" i="9"/>
  <c r="AV130" i="9"/>
  <c r="AU45" i="9"/>
  <c r="AU63" i="9"/>
  <c r="AV37" i="9"/>
  <c r="AU127" i="9"/>
  <c r="AU73" i="9"/>
  <c r="AU11" i="9"/>
  <c r="AU49" i="9"/>
  <c r="AV94" i="9"/>
  <c r="AU78" i="9"/>
  <c r="AV82" i="9"/>
  <c r="AU129" i="9"/>
  <c r="AV116" i="9"/>
  <c r="AV79" i="9"/>
  <c r="AV39" i="9"/>
  <c r="AU46" i="9"/>
  <c r="AV87" i="9"/>
  <c r="AV48" i="9"/>
  <c r="AV68" i="9"/>
  <c r="AV11" i="9"/>
  <c r="AU40" i="9"/>
  <c r="AU96" i="9"/>
  <c r="AU54" i="9"/>
  <c r="AV28" i="9"/>
  <c r="AV12" i="9"/>
  <c r="AU92" i="9"/>
  <c r="AV29" i="9"/>
  <c r="AU123" i="9"/>
  <c r="AU27" i="9"/>
  <c r="AV78" i="9"/>
  <c r="AU4" i="9"/>
  <c r="AU86" i="9"/>
  <c r="AU116" i="9"/>
  <c r="AV54" i="9"/>
  <c r="AV69" i="9"/>
  <c r="AV27" i="9"/>
  <c r="AU8" i="9"/>
  <c r="AU31" i="9"/>
  <c r="AV129" i="9"/>
  <c r="AU103" i="9"/>
  <c r="AU126" i="9"/>
  <c r="AU81" i="9"/>
  <c r="AV92" i="9"/>
  <c r="AV41" i="9"/>
  <c r="AU62" i="9"/>
  <c r="AV102" i="9"/>
  <c r="AU67" i="9"/>
  <c r="AU107" i="9"/>
  <c r="AV23" i="9"/>
  <c r="AV75" i="9"/>
  <c r="AU131" i="9"/>
  <c r="AU75" i="9"/>
  <c r="AU32" i="9"/>
  <c r="AV123" i="9"/>
  <c r="AV4" i="9"/>
  <c r="AU25" i="9"/>
  <c r="AV5" i="9"/>
  <c r="AU56" i="9"/>
  <c r="AU19" i="9"/>
  <c r="AU14" i="9"/>
  <c r="AV47" i="9"/>
  <c r="AU26" i="9"/>
  <c r="AU6" i="9"/>
  <c r="AU22" i="9"/>
  <c r="AV67" i="9"/>
  <c r="AU128" i="9"/>
  <c r="AV86" i="9"/>
  <c r="AU101" i="9"/>
  <c r="AU5" i="9"/>
  <c r="AV89" i="9"/>
  <c r="AV119" i="9"/>
  <c r="AV83" i="9"/>
  <c r="AU47" i="9"/>
  <c r="AV91" i="9"/>
  <c r="AV57" i="9"/>
  <c r="AV20" i="9"/>
  <c r="AV71" i="9"/>
  <c r="AU113" i="9"/>
  <c r="AV60" i="9"/>
  <c r="AV25" i="9"/>
  <c r="AU89" i="9"/>
  <c r="AU119" i="9"/>
  <c r="AV13" i="9"/>
  <c r="AV97" i="9"/>
  <c r="AU91" i="9"/>
  <c r="AU57" i="9"/>
  <c r="AV70" i="9"/>
  <c r="AU20" i="9"/>
  <c r="AU71" i="9"/>
  <c r="AV113" i="9"/>
  <c r="AV118" i="9"/>
  <c r="AV107" i="9"/>
  <c r="AV131" i="9"/>
  <c r="AV52" i="9"/>
  <c r="AV50" i="9"/>
  <c r="AU13" i="9"/>
  <c r="AU28" i="9"/>
  <c r="AV110" i="9"/>
  <c r="AU83" i="9"/>
  <c r="AU70" i="9"/>
  <c r="AU23" i="9"/>
  <c r="AV35" i="9"/>
  <c r="AV36" i="9"/>
  <c r="AV15" i="9"/>
  <c r="AU118" i="9"/>
  <c r="AV109" i="9"/>
  <c r="AU52" i="9"/>
  <c r="AV42" i="9"/>
  <c r="AU50" i="9"/>
  <c r="AV10" i="9"/>
  <c r="AU97" i="9"/>
  <c r="AU110" i="9"/>
  <c r="AV99" i="9"/>
  <c r="AV85" i="9"/>
  <c r="AU35" i="9"/>
  <c r="AV64" i="9"/>
  <c r="AU36" i="9"/>
  <c r="AU15" i="9"/>
  <c r="AV121" i="9"/>
  <c r="AU124" i="9"/>
  <c r="AV95" i="9"/>
  <c r="AU41" i="9"/>
  <c r="AV88" i="9"/>
  <c r="AU115" i="9"/>
  <c r="AU109" i="9"/>
  <c r="AU9" i="9"/>
  <c r="AV33" i="9"/>
  <c r="AU12" i="9"/>
  <c r="AV53" i="9"/>
  <c r="AV66" i="9"/>
  <c r="AU10" i="9"/>
  <c r="AV61" i="9"/>
  <c r="AV77" i="9"/>
  <c r="AV74" i="9"/>
  <c r="AU111" i="9"/>
  <c r="AU99" i="9"/>
  <c r="AU85" i="9"/>
  <c r="AV104" i="9"/>
  <c r="AV43" i="9"/>
  <c r="AU64" i="9"/>
  <c r="AU121" i="9"/>
  <c r="AV124" i="9"/>
  <c r="AU95" i="9"/>
  <c r="AV45" i="9"/>
  <c r="AU88" i="9"/>
  <c r="AV115" i="9"/>
  <c r="AU59" i="9"/>
  <c r="AU33" i="9"/>
  <c r="AV132" i="9"/>
  <c r="AU42" i="9"/>
  <c r="AU53" i="9"/>
  <c r="AV125" i="9"/>
  <c r="AU69" i="9"/>
  <c r="AU66" i="9"/>
  <c r="AU61" i="9"/>
  <c r="AU77" i="9"/>
  <c r="AU74" i="9"/>
  <c r="AV62" i="9"/>
  <c r="AV111" i="9"/>
  <c r="AV7" i="9"/>
  <c r="AU104" i="9"/>
  <c r="AU43" i="9"/>
  <c r="AV30" i="9"/>
  <c r="AV80" i="9"/>
  <c r="AV105" i="9"/>
  <c r="AU130" i="9"/>
  <c r="AV127" i="9"/>
  <c r="AV40" i="9"/>
  <c r="AV32" i="9"/>
  <c r="AV96" i="9"/>
  <c r="AV9" i="9"/>
  <c r="AU132" i="9"/>
  <c r="AU133" i="9"/>
  <c r="AV56" i="9"/>
  <c r="AU125" i="9"/>
  <c r="AV19" i="9"/>
  <c r="AV73" i="9"/>
  <c r="AV14" i="9"/>
  <c r="AV26" i="9"/>
  <c r="AV6" i="9"/>
  <c r="AV22" i="9"/>
  <c r="AU7" i="9"/>
  <c r="AV128" i="9"/>
  <c r="AU30" i="9"/>
  <c r="AV101" i="9"/>
  <c r="AU80" i="9"/>
  <c r="AU105" i="9"/>
  <c r="AV133" i="9"/>
  <c r="AR136" i="9"/>
  <c r="AN136" i="9"/>
  <c r="AW136" i="9" s="1"/>
  <c r="AO135" i="9"/>
  <c r="AU135" i="9" s="1"/>
  <c r="AP135" i="9"/>
  <c r="AV135" i="9" s="1"/>
  <c r="R137" i="9"/>
  <c r="S137" i="9"/>
  <c r="N138" i="9"/>
  <c r="T137" i="9"/>
  <c r="Z137" i="9" s="1"/>
  <c r="AT136" i="9" l="1"/>
  <c r="AR137" i="9"/>
  <c r="AN137" i="9"/>
  <c r="AW137" i="9" s="1"/>
  <c r="AO136" i="9"/>
  <c r="AP136" i="9"/>
  <c r="AV136" i="9" s="1"/>
  <c r="R138" i="9"/>
  <c r="S138" i="9"/>
  <c r="N139" i="9"/>
  <c r="T138" i="9"/>
  <c r="Z138" i="9" s="1"/>
  <c r="AU136" i="9" l="1"/>
  <c r="AT137" i="9"/>
  <c r="AR138" i="9"/>
  <c r="AN138" i="9"/>
  <c r="AW138" i="9" s="1"/>
  <c r="AO137" i="9"/>
  <c r="AP137" i="9"/>
  <c r="AV137" i="9" s="1"/>
  <c r="R139" i="9"/>
  <c r="S139" i="9"/>
  <c r="N140" i="9"/>
  <c r="T139" i="9"/>
  <c r="Z139" i="9" s="1"/>
  <c r="AU137" i="9" l="1"/>
  <c r="AT138" i="9"/>
  <c r="AR139" i="9"/>
  <c r="AN139" i="9"/>
  <c r="AW139" i="9" s="1"/>
  <c r="AO138" i="9"/>
  <c r="AP138" i="9"/>
  <c r="R140" i="9"/>
  <c r="S140" i="9"/>
  <c r="N141" i="9"/>
  <c r="T140" i="9"/>
  <c r="Z140" i="9" s="1"/>
  <c r="AU138" i="9" l="1"/>
  <c r="AV138" i="9"/>
  <c r="AT139" i="9"/>
  <c r="AR140" i="9"/>
  <c r="AN140" i="9"/>
  <c r="AW140" i="9" s="1"/>
  <c r="AO139" i="9"/>
  <c r="AU139" i="9" s="1"/>
  <c r="AP139" i="9"/>
  <c r="R141" i="9"/>
  <c r="S141" i="9"/>
  <c r="N142" i="9"/>
  <c r="T141" i="9"/>
  <c r="Z141" i="9" s="1"/>
  <c r="AV139" i="9" l="1"/>
  <c r="AT140" i="9"/>
  <c r="AR141" i="9"/>
  <c r="AN141" i="9"/>
  <c r="AW141" i="9" s="1"/>
  <c r="AO140" i="9"/>
  <c r="AP140" i="9"/>
  <c r="R142" i="9"/>
  <c r="S142" i="9"/>
  <c r="N143" i="9"/>
  <c r="T142" i="9"/>
  <c r="Z142" i="9" s="1"/>
  <c r="AV140" i="9" l="1"/>
  <c r="AU140" i="9"/>
  <c r="AT141" i="9"/>
  <c r="AR142" i="9"/>
  <c r="AN142" i="9"/>
  <c r="AW142" i="9" s="1"/>
  <c r="AO141" i="9"/>
  <c r="AU141" i="9" s="1"/>
  <c r="AP141" i="9"/>
  <c r="AV141" i="9" s="1"/>
  <c r="R143" i="9"/>
  <c r="S143" i="9"/>
  <c r="N144" i="9"/>
  <c r="T143" i="9"/>
  <c r="Z143" i="9" s="1"/>
  <c r="AT142" i="9" l="1"/>
  <c r="AR143" i="9"/>
  <c r="AN143" i="9"/>
  <c r="AW143" i="9" s="1"/>
  <c r="AP142" i="9"/>
  <c r="AV142" i="9" s="1"/>
  <c r="AO142" i="9"/>
  <c r="R144" i="9"/>
  <c r="S144" i="9"/>
  <c r="N145" i="9"/>
  <c r="T144" i="9"/>
  <c r="Z144" i="9" s="1"/>
  <c r="AU142" i="9" l="1"/>
  <c r="AT143" i="9"/>
  <c r="AR144" i="9"/>
  <c r="AN144" i="9"/>
  <c r="AW144" i="9" s="1"/>
  <c r="AP143" i="9"/>
  <c r="AV143" i="9" s="1"/>
  <c r="AO143" i="9"/>
  <c r="AU143" i="9" s="1"/>
  <c r="R145" i="9"/>
  <c r="S145" i="9"/>
  <c r="N146" i="9"/>
  <c r="T145" i="9"/>
  <c r="Z145" i="9" s="1"/>
  <c r="AT144" i="9" l="1"/>
  <c r="AR145" i="9"/>
  <c r="AN145" i="9"/>
  <c r="AW145" i="9" s="1"/>
  <c r="AO144" i="9"/>
  <c r="AU144" i="9" s="1"/>
  <c r="AP144" i="9"/>
  <c r="AV144" i="9" s="1"/>
  <c r="R146" i="9"/>
  <c r="S146" i="9"/>
  <c r="N147" i="9"/>
  <c r="T146" i="9"/>
  <c r="Z146" i="9" s="1"/>
  <c r="AT145" i="9" l="1"/>
  <c r="AR146" i="9"/>
  <c r="AN146" i="9"/>
  <c r="AW146" i="9" s="1"/>
  <c r="AO145" i="9"/>
  <c r="AU145" i="9" s="1"/>
  <c r="AP145" i="9"/>
  <c r="AV145" i="9" s="1"/>
  <c r="R147" i="9"/>
  <c r="S147" i="9"/>
  <c r="N148" i="9"/>
  <c r="T147" i="9"/>
  <c r="Z147" i="9" s="1"/>
  <c r="AT146" i="9" l="1"/>
  <c r="AR147" i="9"/>
  <c r="AN147" i="9"/>
  <c r="AW147" i="9" s="1"/>
  <c r="AO146" i="9"/>
  <c r="AU146" i="9" s="1"/>
  <c r="AP146" i="9"/>
  <c r="AV146" i="9" s="1"/>
  <c r="R148" i="9"/>
  <c r="S148" i="9"/>
  <c r="N149" i="9"/>
  <c r="T148" i="9"/>
  <c r="Z148" i="9" s="1"/>
  <c r="AT147" i="9" l="1"/>
  <c r="AR148" i="9"/>
  <c r="AN148" i="9"/>
  <c r="AW148" i="9" s="1"/>
  <c r="AO147" i="9"/>
  <c r="AU147" i="9" s="1"/>
  <c r="AP147" i="9"/>
  <c r="AV147" i="9" s="1"/>
  <c r="R149" i="9"/>
  <c r="S149" i="9"/>
  <c r="N150" i="9"/>
  <c r="T149" i="9"/>
  <c r="Z149" i="9" s="1"/>
  <c r="AT148" i="9" l="1"/>
  <c r="AR149" i="9"/>
  <c r="AN149" i="9"/>
  <c r="AW149" i="9" s="1"/>
  <c r="AP148" i="9"/>
  <c r="AV148" i="9" s="1"/>
  <c r="AO148" i="9"/>
  <c r="AU148" i="9" s="1"/>
  <c r="R150" i="9"/>
  <c r="S150" i="9"/>
  <c r="N151" i="9"/>
  <c r="T150" i="9"/>
  <c r="Z150" i="9" s="1"/>
  <c r="AT149" i="9" l="1"/>
  <c r="AR150" i="9"/>
  <c r="AN150" i="9"/>
  <c r="AW150" i="9" s="1"/>
  <c r="AP149" i="9"/>
  <c r="AV149" i="9" s="1"/>
  <c r="AO149" i="9"/>
  <c r="AU149" i="9" s="1"/>
  <c r="R151" i="9"/>
  <c r="S151" i="9"/>
  <c r="N152" i="9"/>
  <c r="T151" i="9"/>
  <c r="Z151" i="9" s="1"/>
  <c r="AT150" i="9" l="1"/>
  <c r="AR151" i="9"/>
  <c r="AN151" i="9"/>
  <c r="AW151" i="9" s="1"/>
  <c r="AO150" i="9"/>
  <c r="AU150" i="9" s="1"/>
  <c r="AP150" i="9"/>
  <c r="AV150" i="9" s="1"/>
  <c r="R152" i="9"/>
  <c r="S152" i="9"/>
  <c r="N153" i="9"/>
  <c r="T152" i="9"/>
  <c r="Z152" i="9" s="1"/>
  <c r="AT151" i="9" l="1"/>
  <c r="AR152" i="9"/>
  <c r="AN152" i="9"/>
  <c r="AW152" i="9" s="1"/>
  <c r="AP151" i="9"/>
  <c r="AV151" i="9" s="1"/>
  <c r="AO151" i="9"/>
  <c r="AU151" i="9" s="1"/>
  <c r="R153" i="9"/>
  <c r="S153" i="9"/>
  <c r="N154" i="9"/>
  <c r="T153" i="9"/>
  <c r="Z153" i="9" s="1"/>
  <c r="AT152" i="9" l="1"/>
  <c r="AR153" i="9"/>
  <c r="AN153" i="9"/>
  <c r="AW153" i="9" s="1"/>
  <c r="AO152" i="9"/>
  <c r="AU152" i="9" s="1"/>
  <c r="AP152" i="9"/>
  <c r="AV152" i="9" s="1"/>
  <c r="R154" i="9"/>
  <c r="S154" i="9"/>
  <c r="N155" i="9"/>
  <c r="T154" i="9"/>
  <c r="Z154" i="9" s="1"/>
  <c r="AT153" i="9" l="1"/>
  <c r="AR154" i="9"/>
  <c r="AN154" i="9"/>
  <c r="AW154" i="9" s="1"/>
  <c r="AO153" i="9"/>
  <c r="AU153" i="9" s="1"/>
  <c r="AP153" i="9"/>
  <c r="AV153" i="9" s="1"/>
  <c r="R155" i="9"/>
  <c r="S155" i="9"/>
  <c r="N156" i="9"/>
  <c r="T155" i="9"/>
  <c r="Z155" i="9" s="1"/>
  <c r="AT154" i="9" l="1"/>
  <c r="AR155" i="9"/>
  <c r="AN155" i="9"/>
  <c r="AW155" i="9" s="1"/>
  <c r="AO154" i="9"/>
  <c r="AU154" i="9" s="1"/>
  <c r="AP154" i="9"/>
  <c r="AV154" i="9" s="1"/>
  <c r="R156" i="9"/>
  <c r="S156" i="9"/>
  <c r="N157" i="9"/>
  <c r="T156" i="9"/>
  <c r="Z156" i="9" s="1"/>
  <c r="AT155" i="9" l="1"/>
  <c r="AR156" i="9"/>
  <c r="AN156" i="9"/>
  <c r="AW156" i="9" s="1"/>
  <c r="AO155" i="9"/>
  <c r="AU155" i="9" s="1"/>
  <c r="AP155" i="9"/>
  <c r="AV155" i="9" s="1"/>
  <c r="R157" i="9"/>
  <c r="S157" i="9"/>
  <c r="N158" i="9"/>
  <c r="T157" i="9"/>
  <c r="Z157" i="9" s="1"/>
  <c r="AT156" i="9" l="1"/>
  <c r="AR157" i="9"/>
  <c r="AN157" i="9"/>
  <c r="AW157" i="9" s="1"/>
  <c r="AO156" i="9"/>
  <c r="AU156" i="9" s="1"/>
  <c r="AP156" i="9"/>
  <c r="AV156" i="9" s="1"/>
  <c r="R158" i="9"/>
  <c r="S158" i="9"/>
  <c r="N159" i="9"/>
  <c r="T158" i="9"/>
  <c r="Z158" i="9" s="1"/>
  <c r="AT157" i="9" l="1"/>
  <c r="AR158" i="9"/>
  <c r="AN158" i="9"/>
  <c r="AW158" i="9" s="1"/>
  <c r="AP157" i="9"/>
  <c r="AV157" i="9" s="1"/>
  <c r="AO157" i="9"/>
  <c r="AU157" i="9" s="1"/>
  <c r="R159" i="9"/>
  <c r="S159" i="9"/>
  <c r="N160" i="9"/>
  <c r="T159" i="9"/>
  <c r="Z159" i="9" s="1"/>
  <c r="AT158" i="9" l="1"/>
  <c r="AR159" i="9"/>
  <c r="AN159" i="9"/>
  <c r="AW159" i="9" s="1"/>
  <c r="AO158" i="9"/>
  <c r="AU158" i="9" s="1"/>
  <c r="AP158" i="9"/>
  <c r="AV158" i="9" s="1"/>
  <c r="R160" i="9"/>
  <c r="S160" i="9"/>
  <c r="N161" i="9"/>
  <c r="T160" i="9"/>
  <c r="Z160" i="9" s="1"/>
  <c r="AT159" i="9" l="1"/>
  <c r="AR160" i="9"/>
  <c r="AN160" i="9"/>
  <c r="AW160" i="9" s="1"/>
  <c r="AP159" i="9"/>
  <c r="AV159" i="9" s="1"/>
  <c r="AO159" i="9"/>
  <c r="AU159" i="9" s="1"/>
  <c r="R161" i="9"/>
  <c r="S161" i="9"/>
  <c r="N162" i="9"/>
  <c r="T161" i="9"/>
  <c r="Z161" i="9" s="1"/>
  <c r="AT160" i="9" l="1"/>
  <c r="AR161" i="9"/>
  <c r="AN161" i="9"/>
  <c r="AW161" i="9" s="1"/>
  <c r="AO160" i="9"/>
  <c r="AU160" i="9" s="1"/>
  <c r="AP160" i="9"/>
  <c r="AV160" i="9" s="1"/>
  <c r="R162" i="9"/>
  <c r="S162" i="9"/>
  <c r="N163" i="9"/>
  <c r="T162" i="9"/>
  <c r="Z162" i="9" s="1"/>
  <c r="AT161" i="9" l="1"/>
  <c r="AR162" i="9"/>
  <c r="AN162" i="9"/>
  <c r="AW162" i="9" s="1"/>
  <c r="AO161" i="9"/>
  <c r="AU161" i="9" s="1"/>
  <c r="AP161" i="9"/>
  <c r="AV161" i="9" s="1"/>
  <c r="R163" i="9"/>
  <c r="S163" i="9"/>
  <c r="N164" i="9"/>
  <c r="T163" i="9"/>
  <c r="Z163" i="9" s="1"/>
  <c r="AT162" i="9" l="1"/>
  <c r="AR163" i="9"/>
  <c r="AN163" i="9"/>
  <c r="AW163" i="9" s="1"/>
  <c r="AO162" i="9"/>
  <c r="AU162" i="9" s="1"/>
  <c r="AP162" i="9"/>
  <c r="AV162" i="9" s="1"/>
  <c r="R164" i="9"/>
  <c r="S164" i="9"/>
  <c r="N165" i="9"/>
  <c r="T164" i="9"/>
  <c r="Z164" i="9" s="1"/>
  <c r="AT163" i="9" l="1"/>
  <c r="AR164" i="9"/>
  <c r="AN164" i="9"/>
  <c r="AW164" i="9" s="1"/>
  <c r="AO163" i="9"/>
  <c r="AU163" i="9" s="1"/>
  <c r="AP163" i="9"/>
  <c r="AV163" i="9" s="1"/>
  <c r="R165" i="9"/>
  <c r="S165" i="9"/>
  <c r="N166" i="9"/>
  <c r="T165" i="9"/>
  <c r="Z165" i="9" s="1"/>
  <c r="AT164" i="9" l="1"/>
  <c r="AR165" i="9"/>
  <c r="AN165" i="9"/>
  <c r="AW165" i="9" s="1"/>
  <c r="AP164" i="9"/>
  <c r="AV164" i="9" s="1"/>
  <c r="AO164" i="9"/>
  <c r="AU164" i="9" s="1"/>
  <c r="R166" i="9"/>
  <c r="S166" i="9"/>
  <c r="N167" i="9"/>
  <c r="T166" i="9"/>
  <c r="Z166" i="9" s="1"/>
  <c r="AT165" i="9" l="1"/>
  <c r="AR166" i="9"/>
  <c r="AN166" i="9"/>
  <c r="AW166" i="9" s="1"/>
  <c r="AO165" i="9"/>
  <c r="AU165" i="9" s="1"/>
  <c r="AP165" i="9"/>
  <c r="AV165" i="9" s="1"/>
  <c r="R167" i="9"/>
  <c r="S167" i="9"/>
  <c r="N168" i="9"/>
  <c r="T167" i="9"/>
  <c r="Z167" i="9" s="1"/>
  <c r="AT166" i="9" l="1"/>
  <c r="AR167" i="9"/>
  <c r="AN167" i="9"/>
  <c r="AW167" i="9" s="1"/>
  <c r="AP166" i="9"/>
  <c r="AV166" i="9" s="1"/>
  <c r="AO166" i="9"/>
  <c r="AU166" i="9" s="1"/>
  <c r="R168" i="9"/>
  <c r="S168" i="9"/>
  <c r="N169" i="9"/>
  <c r="T168" i="9"/>
  <c r="Z168" i="9" s="1"/>
  <c r="AT167" i="9" l="1"/>
  <c r="AR168" i="9"/>
  <c r="AN168" i="9"/>
  <c r="AW168" i="9" s="1"/>
  <c r="AO167" i="9"/>
  <c r="AU167" i="9" s="1"/>
  <c r="AP167" i="9"/>
  <c r="AV167" i="9" s="1"/>
  <c r="R169" i="9"/>
  <c r="S169" i="9"/>
  <c r="N170" i="9"/>
  <c r="T169" i="9"/>
  <c r="Z169" i="9" s="1"/>
  <c r="AT168" i="9" l="1"/>
  <c r="AR169" i="9"/>
  <c r="AN169" i="9"/>
  <c r="AW169" i="9" s="1"/>
  <c r="AO168" i="9"/>
  <c r="AU168" i="9" s="1"/>
  <c r="AP168" i="9"/>
  <c r="AV168" i="9" s="1"/>
  <c r="R170" i="9"/>
  <c r="S170" i="9"/>
  <c r="N171" i="9"/>
  <c r="T170" i="9"/>
  <c r="Z170" i="9" s="1"/>
  <c r="AT169" i="9" l="1"/>
  <c r="AR170" i="9"/>
  <c r="AN170" i="9"/>
  <c r="AW170" i="9" s="1"/>
  <c r="AO169" i="9"/>
  <c r="AU169" i="9" s="1"/>
  <c r="AP169" i="9"/>
  <c r="AV169" i="9" s="1"/>
  <c r="R171" i="9"/>
  <c r="S171" i="9"/>
  <c r="N172" i="9"/>
  <c r="T171" i="9"/>
  <c r="Z171" i="9" s="1"/>
  <c r="AT170" i="9" l="1"/>
  <c r="AR171" i="9"/>
  <c r="AN171" i="9"/>
  <c r="AW171" i="9" s="1"/>
  <c r="AP170" i="9"/>
  <c r="AV170" i="9" s="1"/>
  <c r="AO170" i="9"/>
  <c r="AU170" i="9" s="1"/>
  <c r="R172" i="9"/>
  <c r="S172" i="9"/>
  <c r="N173" i="9"/>
  <c r="T172" i="9"/>
  <c r="Z172" i="9" s="1"/>
  <c r="AT171" i="9" l="1"/>
  <c r="AR172" i="9"/>
  <c r="AN172" i="9"/>
  <c r="AW172" i="9" s="1"/>
  <c r="AO171" i="9"/>
  <c r="AU171" i="9" s="1"/>
  <c r="AP171" i="9"/>
  <c r="AV171" i="9" s="1"/>
  <c r="R173" i="9"/>
  <c r="S173" i="9"/>
  <c r="N174" i="9"/>
  <c r="T173" i="9"/>
  <c r="Z173" i="9" s="1"/>
  <c r="AT172" i="9" l="1"/>
  <c r="AR173" i="9"/>
  <c r="AN173" i="9"/>
  <c r="AW173" i="9" s="1"/>
  <c r="AO172" i="9"/>
  <c r="AU172" i="9" s="1"/>
  <c r="AP172" i="9"/>
  <c r="AV172" i="9" s="1"/>
  <c r="R174" i="9"/>
  <c r="S174" i="9"/>
  <c r="N175" i="9"/>
  <c r="T174" i="9"/>
  <c r="Z174" i="9" s="1"/>
  <c r="AT173" i="9" l="1"/>
  <c r="AR174" i="9"/>
  <c r="AN174" i="9"/>
  <c r="AW174" i="9" s="1"/>
  <c r="AO173" i="9"/>
  <c r="AU173" i="9" s="1"/>
  <c r="AP173" i="9"/>
  <c r="AV173" i="9" s="1"/>
  <c r="R175" i="9"/>
  <c r="S175" i="9"/>
  <c r="N176" i="9"/>
  <c r="T175" i="9"/>
  <c r="Z175" i="9" s="1"/>
  <c r="AT174" i="9" l="1"/>
  <c r="AR175" i="9"/>
  <c r="AN175" i="9"/>
  <c r="AW175" i="9" s="1"/>
  <c r="AP174" i="9"/>
  <c r="AV174" i="9" s="1"/>
  <c r="AO174" i="9"/>
  <c r="AU174" i="9" s="1"/>
  <c r="R176" i="9"/>
  <c r="S176" i="9"/>
  <c r="N177" i="9"/>
  <c r="T176" i="9"/>
  <c r="Z176" i="9" s="1"/>
  <c r="AT175" i="9" l="1"/>
  <c r="AR176" i="9"/>
  <c r="AN176" i="9"/>
  <c r="AW176" i="9" s="1"/>
  <c r="AO175" i="9"/>
  <c r="AU175" i="9" s="1"/>
  <c r="AP175" i="9"/>
  <c r="AV175" i="9" s="1"/>
  <c r="R177" i="9"/>
  <c r="S177" i="9"/>
  <c r="N178" i="9"/>
  <c r="T177" i="9"/>
  <c r="Z177" i="9" s="1"/>
  <c r="AT176" i="9" l="1"/>
  <c r="AR177" i="9"/>
  <c r="AN177" i="9"/>
  <c r="AW177" i="9" s="1"/>
  <c r="AO176" i="9"/>
  <c r="AU176" i="9" s="1"/>
  <c r="AP176" i="9"/>
  <c r="AV176" i="9" s="1"/>
  <c r="R178" i="9"/>
  <c r="S178" i="9"/>
  <c r="N179" i="9"/>
  <c r="T178" i="9"/>
  <c r="Z178" i="9" s="1"/>
  <c r="AT177" i="9" l="1"/>
  <c r="AO177" i="9"/>
  <c r="AU177" i="9" s="1"/>
  <c r="AP177" i="9"/>
  <c r="AV177" i="9" s="1"/>
  <c r="AR178" i="9"/>
  <c r="AN178" i="9"/>
  <c r="AW178" i="9" s="1"/>
  <c r="R179" i="9"/>
  <c r="S179" i="9"/>
  <c r="N180" i="9"/>
  <c r="T179" i="9"/>
  <c r="Z179" i="9" s="1"/>
  <c r="AT178" i="9" l="1"/>
  <c r="AR179" i="9"/>
  <c r="AN179" i="9"/>
  <c r="AW179" i="9" s="1"/>
  <c r="AO178" i="9"/>
  <c r="AU178" i="9" s="1"/>
  <c r="AP178" i="9"/>
  <c r="AV178" i="9" s="1"/>
  <c r="R180" i="9"/>
  <c r="S180" i="9"/>
  <c r="N181" i="9"/>
  <c r="T180" i="9"/>
  <c r="Z180" i="9" s="1"/>
  <c r="AT179" i="9" l="1"/>
  <c r="AR180" i="9"/>
  <c r="AN180" i="9"/>
  <c r="AW180" i="9" s="1"/>
  <c r="AO179" i="9"/>
  <c r="AU179" i="9" s="1"/>
  <c r="AP179" i="9"/>
  <c r="AV179" i="9" s="1"/>
  <c r="R181" i="9"/>
  <c r="S181" i="9"/>
  <c r="N182" i="9"/>
  <c r="T181" i="9"/>
  <c r="Z181" i="9" s="1"/>
  <c r="AT180" i="9" l="1"/>
  <c r="AR181" i="9"/>
  <c r="AN181" i="9"/>
  <c r="AW181" i="9" s="1"/>
  <c r="AO180" i="9"/>
  <c r="AU180" i="9" s="1"/>
  <c r="AP180" i="9"/>
  <c r="AV180" i="9" s="1"/>
  <c r="R182" i="9"/>
  <c r="S182" i="9"/>
  <c r="N183" i="9"/>
  <c r="T182" i="9"/>
  <c r="Z182" i="9" s="1"/>
  <c r="AT181" i="9" l="1"/>
  <c r="AP181" i="9"/>
  <c r="AV181" i="9" s="1"/>
  <c r="AO181" i="9"/>
  <c r="AU181" i="9" s="1"/>
  <c r="AR182" i="9"/>
  <c r="AN182" i="9"/>
  <c r="AW182" i="9" s="1"/>
  <c r="R183" i="9"/>
  <c r="S183" i="9"/>
  <c r="N184" i="9"/>
  <c r="T183" i="9"/>
  <c r="Z183" i="9" s="1"/>
  <c r="AT182" i="9" l="1"/>
  <c r="AO182" i="9"/>
  <c r="AU182" i="9" s="1"/>
  <c r="AP182" i="9"/>
  <c r="AV182" i="9" s="1"/>
  <c r="AR183" i="9"/>
  <c r="AN183" i="9"/>
  <c r="AW183" i="9" s="1"/>
  <c r="R184" i="9"/>
  <c r="S184" i="9"/>
  <c r="N185" i="9"/>
  <c r="T184" i="9"/>
  <c r="Z184" i="9" s="1"/>
  <c r="AT183" i="9" l="1"/>
  <c r="AR184" i="9"/>
  <c r="AN184" i="9"/>
  <c r="AW184" i="9" s="1"/>
  <c r="AP183" i="9"/>
  <c r="AV183" i="9" s="1"/>
  <c r="AO183" i="9"/>
  <c r="AU183" i="9" s="1"/>
  <c r="R185" i="9"/>
  <c r="S185" i="9"/>
  <c r="N186" i="9"/>
  <c r="T185" i="9"/>
  <c r="Z185" i="9" s="1"/>
  <c r="AT184" i="9" l="1"/>
  <c r="AR185" i="9"/>
  <c r="AN185" i="9"/>
  <c r="AW185" i="9" s="1"/>
  <c r="AO184" i="9"/>
  <c r="AU184" i="9" s="1"/>
  <c r="AP184" i="9"/>
  <c r="AV184" i="9" s="1"/>
  <c r="R186" i="9"/>
  <c r="S186" i="9"/>
  <c r="N187" i="9"/>
  <c r="T186" i="9"/>
  <c r="Z186" i="9" s="1"/>
  <c r="AT185" i="9" l="1"/>
  <c r="AR186" i="9"/>
  <c r="AN186" i="9"/>
  <c r="AW186" i="9" s="1"/>
  <c r="AP185" i="9"/>
  <c r="AV185" i="9" s="1"/>
  <c r="AO185" i="9"/>
  <c r="AU185" i="9" s="1"/>
  <c r="R187" i="9"/>
  <c r="S187" i="9"/>
  <c r="N188" i="9"/>
  <c r="T187" i="9"/>
  <c r="Z187" i="9" s="1"/>
  <c r="AT186" i="9" l="1"/>
  <c r="AR187" i="9"/>
  <c r="AN187" i="9"/>
  <c r="AW187" i="9" s="1"/>
  <c r="AO186" i="9"/>
  <c r="AU186" i="9" s="1"/>
  <c r="AP186" i="9"/>
  <c r="AV186" i="9" s="1"/>
  <c r="R188" i="9"/>
  <c r="S188" i="9"/>
  <c r="N189" i="9"/>
  <c r="T188" i="9"/>
  <c r="Z188" i="9" s="1"/>
  <c r="AT187" i="9" l="1"/>
  <c r="AR188" i="9"/>
  <c r="AN188" i="9"/>
  <c r="AW188" i="9" s="1"/>
  <c r="AP187" i="9"/>
  <c r="AV187" i="9" s="1"/>
  <c r="AO187" i="9"/>
  <c r="AU187" i="9" s="1"/>
  <c r="R189" i="9"/>
  <c r="S189" i="9"/>
  <c r="N190" i="9"/>
  <c r="T189" i="9"/>
  <c r="Z189" i="9" s="1"/>
  <c r="AT188" i="9" l="1"/>
  <c r="AR189" i="9"/>
  <c r="AN189" i="9"/>
  <c r="AW189" i="9" s="1"/>
  <c r="AO188" i="9"/>
  <c r="AU188" i="9" s="1"/>
  <c r="AP188" i="9"/>
  <c r="AV188" i="9" s="1"/>
  <c r="R190" i="9"/>
  <c r="S190" i="9"/>
  <c r="N191" i="9"/>
  <c r="T190" i="9"/>
  <c r="Z190" i="9" s="1"/>
  <c r="AT189" i="9" l="1"/>
  <c r="AR190" i="9"/>
  <c r="AN190" i="9"/>
  <c r="AW190" i="9" s="1"/>
  <c r="AO189" i="9"/>
  <c r="AU189" i="9" s="1"/>
  <c r="AP189" i="9"/>
  <c r="AV189" i="9" s="1"/>
  <c r="R191" i="9"/>
  <c r="S191" i="9"/>
  <c r="N192" i="9"/>
  <c r="T191" i="9"/>
  <c r="Z191" i="9" s="1"/>
  <c r="AT190" i="9" l="1"/>
  <c r="AR191" i="9"/>
  <c r="AN191" i="9"/>
  <c r="AW191" i="9" s="1"/>
  <c r="AO190" i="9"/>
  <c r="AU190" i="9" s="1"/>
  <c r="AP190" i="9"/>
  <c r="AV190" i="9" s="1"/>
  <c r="R192" i="9"/>
  <c r="S192" i="9"/>
  <c r="N193" i="9"/>
  <c r="T192" i="9"/>
  <c r="Z192" i="9" s="1"/>
  <c r="AT191" i="9" l="1"/>
  <c r="AR192" i="9"/>
  <c r="AN192" i="9"/>
  <c r="AW192" i="9" s="1"/>
  <c r="AO191" i="9"/>
  <c r="AU191" i="9" s="1"/>
  <c r="AP191" i="9"/>
  <c r="AV191" i="9" s="1"/>
  <c r="R193" i="9"/>
  <c r="S193" i="9"/>
  <c r="N194" i="9"/>
  <c r="T193" i="9"/>
  <c r="Z193" i="9" s="1"/>
  <c r="AT192" i="9" l="1"/>
  <c r="AR193" i="9"/>
  <c r="AN193" i="9"/>
  <c r="AW193" i="9" s="1"/>
  <c r="AO192" i="9"/>
  <c r="AU192" i="9" s="1"/>
  <c r="AP192" i="9"/>
  <c r="AV192" i="9" s="1"/>
  <c r="R194" i="9"/>
  <c r="S194" i="9"/>
  <c r="N195" i="9"/>
  <c r="T194" i="9"/>
  <c r="Z194" i="9" s="1"/>
  <c r="AT193" i="9" l="1"/>
  <c r="AR194" i="9"/>
  <c r="AN194" i="9"/>
  <c r="AW194" i="9" s="1"/>
  <c r="AP193" i="9"/>
  <c r="AV193" i="9" s="1"/>
  <c r="AO193" i="9"/>
  <c r="AU193" i="9" s="1"/>
  <c r="R195" i="9"/>
  <c r="S195" i="9"/>
  <c r="N196" i="9"/>
  <c r="T195" i="9"/>
  <c r="Z195" i="9" s="1"/>
  <c r="AT194" i="9" l="1"/>
  <c r="AR195" i="9"/>
  <c r="AN195" i="9"/>
  <c r="AW195" i="9" s="1"/>
  <c r="AP194" i="9"/>
  <c r="AV194" i="9" s="1"/>
  <c r="AO194" i="9"/>
  <c r="AU194" i="9" s="1"/>
  <c r="R196" i="9"/>
  <c r="S196" i="9"/>
  <c r="N197" i="9"/>
  <c r="T196" i="9"/>
  <c r="Z196" i="9" s="1"/>
  <c r="AT195" i="9" l="1"/>
  <c r="AR196" i="9"/>
  <c r="AN196" i="9"/>
  <c r="AW196" i="9" s="1"/>
  <c r="AP195" i="9"/>
  <c r="AV195" i="9" s="1"/>
  <c r="AO195" i="9"/>
  <c r="AU195" i="9" s="1"/>
  <c r="R197" i="9"/>
  <c r="S197" i="9"/>
  <c r="N198" i="9"/>
  <c r="T197" i="9"/>
  <c r="Z197" i="9" s="1"/>
  <c r="AT196" i="9" l="1"/>
  <c r="AR197" i="9"/>
  <c r="AN197" i="9"/>
  <c r="AW197" i="9" s="1"/>
  <c r="AP196" i="9"/>
  <c r="AV196" i="9" s="1"/>
  <c r="AO196" i="9"/>
  <c r="AU196" i="9" s="1"/>
  <c r="R198" i="9"/>
  <c r="S198" i="9"/>
  <c r="N199" i="9"/>
  <c r="T198" i="9"/>
  <c r="Z198" i="9" s="1"/>
  <c r="AT197" i="9" l="1"/>
  <c r="AR198" i="9"/>
  <c r="AN198" i="9"/>
  <c r="AW198" i="9" s="1"/>
  <c r="AO197" i="9"/>
  <c r="AU197" i="9" s="1"/>
  <c r="AP197" i="9"/>
  <c r="AV197" i="9" s="1"/>
  <c r="R199" i="9"/>
  <c r="S199" i="9"/>
  <c r="N200" i="9"/>
  <c r="T199" i="9"/>
  <c r="Z199" i="9" s="1"/>
  <c r="AT198" i="9" l="1"/>
  <c r="AR199" i="9"/>
  <c r="AN199" i="9"/>
  <c r="AW199" i="9" s="1"/>
  <c r="AO198" i="9"/>
  <c r="AU198" i="9" s="1"/>
  <c r="AP198" i="9"/>
  <c r="AV198" i="9" s="1"/>
  <c r="R200" i="9"/>
  <c r="S200" i="9"/>
  <c r="N201" i="9"/>
  <c r="T200" i="9"/>
  <c r="Z200" i="9" s="1"/>
  <c r="AT199" i="9" l="1"/>
  <c r="AR200" i="9"/>
  <c r="AN200" i="9"/>
  <c r="AW200" i="9" s="1"/>
  <c r="AO199" i="9"/>
  <c r="AU199" i="9" s="1"/>
  <c r="AP199" i="9"/>
  <c r="AV199" i="9" s="1"/>
  <c r="R201" i="9"/>
  <c r="S201" i="9"/>
  <c r="N202" i="9"/>
  <c r="T201" i="9"/>
  <c r="Z201" i="9" s="1"/>
  <c r="AT200" i="9" l="1"/>
  <c r="AR201" i="9"/>
  <c r="AN201" i="9"/>
  <c r="AW201" i="9" s="1"/>
  <c r="AO200" i="9"/>
  <c r="AU200" i="9" s="1"/>
  <c r="AP200" i="9"/>
  <c r="AV200" i="9" s="1"/>
  <c r="R202" i="9"/>
  <c r="S202" i="9"/>
  <c r="N203" i="9"/>
  <c r="T202" i="9"/>
  <c r="Z202" i="9" s="1"/>
  <c r="AT201" i="9" l="1"/>
  <c r="AR202" i="9"/>
  <c r="AN202" i="9"/>
  <c r="AW202" i="9" s="1"/>
  <c r="AO201" i="9"/>
  <c r="AU201" i="9" s="1"/>
  <c r="AP201" i="9"/>
  <c r="AV201" i="9" s="1"/>
  <c r="R203" i="9"/>
  <c r="S203" i="9"/>
  <c r="N204" i="9"/>
  <c r="T203" i="9"/>
  <c r="Z203" i="9" s="1"/>
  <c r="AT202" i="9" l="1"/>
  <c r="AR203" i="9"/>
  <c r="AN203" i="9"/>
  <c r="AW203" i="9" s="1"/>
  <c r="AO202" i="9"/>
  <c r="AU202" i="9" s="1"/>
  <c r="AP202" i="9"/>
  <c r="AV202" i="9" s="1"/>
  <c r="R204" i="9"/>
  <c r="S204" i="9"/>
  <c r="N205" i="9"/>
  <c r="T204" i="9"/>
  <c r="Z204" i="9" s="1"/>
  <c r="AT203" i="9" l="1"/>
  <c r="AR204" i="9"/>
  <c r="AN204" i="9"/>
  <c r="AW204" i="9" s="1"/>
  <c r="AO203" i="9"/>
  <c r="AU203" i="9" s="1"/>
  <c r="AP203" i="9"/>
  <c r="AV203" i="9" s="1"/>
  <c r="R205" i="9"/>
  <c r="S205" i="9"/>
  <c r="N206" i="9"/>
  <c r="T205" i="9"/>
  <c r="Z205" i="9" s="1"/>
  <c r="AT204" i="9" l="1"/>
  <c r="AR205" i="9"/>
  <c r="AN205" i="9"/>
  <c r="AW205" i="9" s="1"/>
  <c r="AO204" i="9"/>
  <c r="AU204" i="9" s="1"/>
  <c r="AP204" i="9"/>
  <c r="AV204" i="9" s="1"/>
  <c r="R206" i="9"/>
  <c r="S206" i="9"/>
  <c r="N207" i="9"/>
  <c r="T206" i="9"/>
  <c r="Z206" i="9" s="1"/>
  <c r="AT205" i="9" l="1"/>
  <c r="AR206" i="9"/>
  <c r="AN206" i="9"/>
  <c r="AW206" i="9" s="1"/>
  <c r="AP205" i="9"/>
  <c r="AV205" i="9" s="1"/>
  <c r="AO205" i="9"/>
  <c r="AU205" i="9" s="1"/>
  <c r="R207" i="9"/>
  <c r="S207" i="9"/>
  <c r="N208" i="9"/>
  <c r="T207" i="9"/>
  <c r="Z207" i="9" s="1"/>
  <c r="AT206" i="9" l="1"/>
  <c r="AR207" i="9"/>
  <c r="AN207" i="9"/>
  <c r="AW207" i="9" s="1"/>
  <c r="AO206" i="9"/>
  <c r="AU206" i="9" s="1"/>
  <c r="AP206" i="9"/>
  <c r="AV206" i="9" s="1"/>
  <c r="R208" i="9"/>
  <c r="S208" i="9"/>
  <c r="N209" i="9"/>
  <c r="T208" i="9"/>
  <c r="Z208" i="9" s="1"/>
  <c r="AT207" i="9" l="1"/>
  <c r="AR208" i="9"/>
  <c r="AN208" i="9"/>
  <c r="AW208" i="9" s="1"/>
  <c r="AO207" i="9"/>
  <c r="AU207" i="9" s="1"/>
  <c r="AP207" i="9"/>
  <c r="AV207" i="9" s="1"/>
  <c r="R209" i="9"/>
  <c r="S209" i="9"/>
  <c r="N210" i="9"/>
  <c r="T209" i="9"/>
  <c r="Z209" i="9" s="1"/>
  <c r="AT208" i="9" l="1"/>
  <c r="AR209" i="9"/>
  <c r="AN209" i="9"/>
  <c r="AW209" i="9" s="1"/>
  <c r="AP208" i="9"/>
  <c r="AV208" i="9" s="1"/>
  <c r="AO208" i="9"/>
  <c r="AU208" i="9" s="1"/>
  <c r="R210" i="9"/>
  <c r="S210" i="9"/>
  <c r="N211" i="9"/>
  <c r="T210" i="9"/>
  <c r="Z210" i="9" s="1"/>
  <c r="AT209" i="9" l="1"/>
  <c r="AR210" i="9"/>
  <c r="AN210" i="9"/>
  <c r="AW210" i="9" s="1"/>
  <c r="AP209" i="9"/>
  <c r="AV209" i="9" s="1"/>
  <c r="AO209" i="9"/>
  <c r="AU209" i="9" s="1"/>
  <c r="R211" i="9"/>
  <c r="S211" i="9"/>
  <c r="N212" i="9"/>
  <c r="T211" i="9"/>
  <c r="Z211" i="9" s="1"/>
  <c r="AT210" i="9" l="1"/>
  <c r="AR211" i="9"/>
  <c r="AN211" i="9"/>
  <c r="AW211" i="9" s="1"/>
  <c r="AO210" i="9"/>
  <c r="AU210" i="9" s="1"/>
  <c r="AP210" i="9"/>
  <c r="AV210" i="9" s="1"/>
  <c r="R212" i="9"/>
  <c r="S212" i="9"/>
  <c r="N213" i="9"/>
  <c r="T212" i="9"/>
  <c r="Z212" i="9" s="1"/>
  <c r="AT211" i="9" l="1"/>
  <c r="AR212" i="9"/>
  <c r="AN212" i="9"/>
  <c r="AW212" i="9" s="1"/>
  <c r="AO211" i="9"/>
  <c r="AU211" i="9" s="1"/>
  <c r="AP211" i="9"/>
  <c r="AV211" i="9" s="1"/>
  <c r="R213" i="9"/>
  <c r="S213" i="9"/>
  <c r="N214" i="9"/>
  <c r="T213" i="9"/>
  <c r="Z213" i="9" s="1"/>
  <c r="AT212" i="9" l="1"/>
  <c r="AR213" i="9"/>
  <c r="AN213" i="9"/>
  <c r="AW213" i="9" s="1"/>
  <c r="AO212" i="9"/>
  <c r="AU212" i="9" s="1"/>
  <c r="AP212" i="9"/>
  <c r="AV212" i="9" s="1"/>
  <c r="R214" i="9"/>
  <c r="S214" i="9"/>
  <c r="N215" i="9"/>
  <c r="T214" i="9"/>
  <c r="Z214" i="9" s="1"/>
  <c r="AT213" i="9" l="1"/>
  <c r="AR214" i="9"/>
  <c r="AN214" i="9"/>
  <c r="AW214" i="9" s="1"/>
  <c r="AO213" i="9"/>
  <c r="AU213" i="9" s="1"/>
  <c r="AP213" i="9"/>
  <c r="AV213" i="9" s="1"/>
  <c r="R215" i="9"/>
  <c r="S215" i="9"/>
  <c r="N216" i="9"/>
  <c r="T215" i="9"/>
  <c r="Z215" i="9" s="1"/>
  <c r="AT214" i="9" l="1"/>
  <c r="AR215" i="9"/>
  <c r="AN215" i="9"/>
  <c r="AW215" i="9" s="1"/>
  <c r="AO214" i="9"/>
  <c r="AU214" i="9" s="1"/>
  <c r="AP214" i="9"/>
  <c r="AV214" i="9" s="1"/>
  <c r="R216" i="9"/>
  <c r="S216" i="9"/>
  <c r="N217" i="9"/>
  <c r="T216" i="9"/>
  <c r="Z216" i="9" s="1"/>
  <c r="AT215" i="9" l="1"/>
  <c r="AR216" i="9"/>
  <c r="AN216" i="9"/>
  <c r="AW216" i="9" s="1"/>
  <c r="AP215" i="9"/>
  <c r="AV215" i="9" s="1"/>
  <c r="AO215" i="9"/>
  <c r="AU215" i="9" s="1"/>
  <c r="R217" i="9"/>
  <c r="S217" i="9"/>
  <c r="N218" i="9"/>
  <c r="T217" i="9"/>
  <c r="Z217" i="9" s="1"/>
  <c r="AT216" i="9" l="1"/>
  <c r="AO216" i="9"/>
  <c r="AU216" i="9" s="1"/>
  <c r="AP216" i="9"/>
  <c r="AV216" i="9" s="1"/>
  <c r="AR217" i="9"/>
  <c r="AN217" i="9"/>
  <c r="AW217" i="9" s="1"/>
  <c r="R218" i="9"/>
  <c r="S218" i="9"/>
  <c r="N219" i="9"/>
  <c r="T218" i="9"/>
  <c r="Z218" i="9" s="1"/>
  <c r="AT217" i="9" l="1"/>
  <c r="AR218" i="9"/>
  <c r="AN218" i="9"/>
  <c r="AW218" i="9" s="1"/>
  <c r="AO217" i="9"/>
  <c r="AU217" i="9" s="1"/>
  <c r="AP217" i="9"/>
  <c r="AV217" i="9" s="1"/>
  <c r="R219" i="9"/>
  <c r="S219" i="9"/>
  <c r="N220" i="9"/>
  <c r="T219" i="9"/>
  <c r="Z219" i="9" s="1"/>
  <c r="AT218" i="9" l="1"/>
  <c r="AR219" i="9"/>
  <c r="AN219" i="9"/>
  <c r="AW219" i="9" s="1"/>
  <c r="AO218" i="9"/>
  <c r="AU218" i="9" s="1"/>
  <c r="AP218" i="9"/>
  <c r="AV218" i="9" s="1"/>
  <c r="R220" i="9"/>
  <c r="S220" i="9"/>
  <c r="N221" i="9"/>
  <c r="T220" i="9"/>
  <c r="Z220" i="9" s="1"/>
  <c r="AT219" i="9" l="1"/>
  <c r="AR220" i="9"/>
  <c r="AN220" i="9"/>
  <c r="AW220" i="9" s="1"/>
  <c r="AP219" i="9"/>
  <c r="AV219" i="9" s="1"/>
  <c r="AO219" i="9"/>
  <c r="AU219" i="9" s="1"/>
  <c r="R221" i="9"/>
  <c r="S221" i="9"/>
  <c r="N222" i="9"/>
  <c r="T221" i="9"/>
  <c r="Z221" i="9" s="1"/>
  <c r="AT220" i="9" l="1"/>
  <c r="AP220" i="9"/>
  <c r="AV220" i="9" s="1"/>
  <c r="AO220" i="9"/>
  <c r="AU220" i="9" s="1"/>
  <c r="AR221" i="9"/>
  <c r="AN221" i="9"/>
  <c r="AW221" i="9" s="1"/>
  <c r="R222" i="9"/>
  <c r="S222" i="9"/>
  <c r="N223" i="9"/>
  <c r="T222" i="9"/>
  <c r="Z222" i="9" s="1"/>
  <c r="AT221" i="9" l="1"/>
  <c r="AO221" i="9"/>
  <c r="AU221" i="9" s="1"/>
  <c r="AP221" i="9"/>
  <c r="AV221" i="9" s="1"/>
  <c r="AR222" i="9"/>
  <c r="AN222" i="9"/>
  <c r="AW222" i="9" s="1"/>
  <c r="R223" i="9"/>
  <c r="S223" i="9"/>
  <c r="N224" i="9"/>
  <c r="T223" i="9"/>
  <c r="Z223" i="9" s="1"/>
  <c r="AT222" i="9" l="1"/>
  <c r="AO222" i="9"/>
  <c r="AU222" i="9" s="1"/>
  <c r="AP222" i="9"/>
  <c r="AV222" i="9" s="1"/>
  <c r="AR223" i="9"/>
  <c r="AN223" i="9"/>
  <c r="AW223" i="9" s="1"/>
  <c r="R224" i="9"/>
  <c r="S224" i="9"/>
  <c r="N225" i="9"/>
  <c r="T224" i="9"/>
  <c r="Z224" i="9" s="1"/>
  <c r="AT223" i="9" l="1"/>
  <c r="AO223" i="9"/>
  <c r="AU223" i="9" s="1"/>
  <c r="AP223" i="9"/>
  <c r="AV223" i="9" s="1"/>
  <c r="AR224" i="9"/>
  <c r="AN224" i="9"/>
  <c r="AW224" i="9" s="1"/>
  <c r="R225" i="9"/>
  <c r="S225" i="9"/>
  <c r="N226" i="9"/>
  <c r="T225" i="9"/>
  <c r="Z225" i="9" s="1"/>
  <c r="AT224" i="9" l="1"/>
  <c r="AR225" i="9"/>
  <c r="AN225" i="9"/>
  <c r="AW225" i="9" s="1"/>
  <c r="AO224" i="9"/>
  <c r="AU224" i="9" s="1"/>
  <c r="AP224" i="9"/>
  <c r="AV224" i="9" s="1"/>
  <c r="R226" i="9"/>
  <c r="S226" i="9"/>
  <c r="N227" i="9"/>
  <c r="T226" i="9"/>
  <c r="Z226" i="9" s="1"/>
  <c r="AT225" i="9" l="1"/>
  <c r="AR226" i="9"/>
  <c r="AN226" i="9"/>
  <c r="AW226" i="9" s="1"/>
  <c r="AO225" i="9"/>
  <c r="AU225" i="9" s="1"/>
  <c r="AP225" i="9"/>
  <c r="AV225" i="9" s="1"/>
  <c r="R227" i="9"/>
  <c r="S227" i="9"/>
  <c r="N228" i="9"/>
  <c r="T227" i="9"/>
  <c r="Z227" i="9" s="1"/>
  <c r="AT226" i="9" l="1"/>
  <c r="AR227" i="9"/>
  <c r="AN227" i="9"/>
  <c r="AW227" i="9" s="1"/>
  <c r="AO226" i="9"/>
  <c r="AU226" i="9" s="1"/>
  <c r="AP226" i="9"/>
  <c r="AV226" i="9" s="1"/>
  <c r="R228" i="9"/>
  <c r="S228" i="9"/>
  <c r="N229" i="9"/>
  <c r="T228" i="9"/>
  <c r="Z228" i="9" s="1"/>
  <c r="AT227" i="9" l="1"/>
  <c r="AR228" i="9"/>
  <c r="AN228" i="9"/>
  <c r="AW228" i="9" s="1"/>
  <c r="AO227" i="9"/>
  <c r="AU227" i="9" s="1"/>
  <c r="AP227" i="9"/>
  <c r="AV227" i="9" s="1"/>
  <c r="R229" i="9"/>
  <c r="S229" i="9"/>
  <c r="N230" i="9"/>
  <c r="T229" i="9"/>
  <c r="Z229" i="9" s="1"/>
  <c r="AT228" i="9" l="1"/>
  <c r="AR229" i="9"/>
  <c r="AN229" i="9"/>
  <c r="AW229" i="9" s="1"/>
  <c r="AO228" i="9"/>
  <c r="AU228" i="9" s="1"/>
  <c r="AP228" i="9"/>
  <c r="AV228" i="9" s="1"/>
  <c r="R230" i="9"/>
  <c r="S230" i="9"/>
  <c r="N231" i="9"/>
  <c r="T230" i="9"/>
  <c r="Z230" i="9" s="1"/>
  <c r="AT229" i="9" l="1"/>
  <c r="AR230" i="9"/>
  <c r="AN230" i="9"/>
  <c r="AW230" i="9" s="1"/>
  <c r="AP229" i="9"/>
  <c r="AV229" i="9" s="1"/>
  <c r="AO229" i="9"/>
  <c r="AU229" i="9" s="1"/>
  <c r="R231" i="9"/>
  <c r="S231" i="9"/>
  <c r="N232" i="9"/>
  <c r="T231" i="9"/>
  <c r="Z231" i="9" s="1"/>
  <c r="AT230" i="9" l="1"/>
  <c r="AR231" i="9"/>
  <c r="AN231" i="9"/>
  <c r="AW231" i="9" s="1"/>
  <c r="AO230" i="9"/>
  <c r="AU230" i="9" s="1"/>
  <c r="AP230" i="9"/>
  <c r="AV230" i="9" s="1"/>
  <c r="R232" i="9"/>
  <c r="S232" i="9"/>
  <c r="N233" i="9"/>
  <c r="T232" i="9"/>
  <c r="Z232" i="9" s="1"/>
  <c r="AT231" i="9" l="1"/>
  <c r="AR232" i="9"/>
  <c r="AN232" i="9"/>
  <c r="AW232" i="9" s="1"/>
  <c r="AP231" i="9"/>
  <c r="AV231" i="9" s="1"/>
  <c r="AO231" i="9"/>
  <c r="AU231" i="9" s="1"/>
  <c r="R233" i="9"/>
  <c r="S233" i="9"/>
  <c r="N234" i="9"/>
  <c r="T233" i="9"/>
  <c r="Z233" i="9" s="1"/>
  <c r="AT232" i="9" l="1"/>
  <c r="AR233" i="9"/>
  <c r="AN233" i="9"/>
  <c r="AW233" i="9" s="1"/>
  <c r="AO232" i="9"/>
  <c r="AU232" i="9" s="1"/>
  <c r="AP232" i="9"/>
  <c r="AV232" i="9" s="1"/>
  <c r="R234" i="9"/>
  <c r="S234" i="9"/>
  <c r="N235" i="9"/>
  <c r="T234" i="9"/>
  <c r="Z234" i="9" s="1"/>
  <c r="AT233" i="9" l="1"/>
  <c r="AR234" i="9"/>
  <c r="AN234" i="9"/>
  <c r="AW234" i="9" s="1"/>
  <c r="AO233" i="9"/>
  <c r="AU233" i="9" s="1"/>
  <c r="AP233" i="9"/>
  <c r="AV233" i="9" s="1"/>
  <c r="R235" i="9"/>
  <c r="S235" i="9"/>
  <c r="N236" i="9"/>
  <c r="T235" i="9"/>
  <c r="Z235" i="9" s="1"/>
  <c r="AT234" i="9" l="1"/>
  <c r="AR235" i="9"/>
  <c r="AN235" i="9"/>
  <c r="AW235" i="9" s="1"/>
  <c r="AO234" i="9"/>
  <c r="AU234" i="9" s="1"/>
  <c r="AP234" i="9"/>
  <c r="AV234" i="9" s="1"/>
  <c r="R236" i="9"/>
  <c r="S236" i="9"/>
  <c r="N237" i="9"/>
  <c r="T236" i="9"/>
  <c r="Z236" i="9" s="1"/>
  <c r="AT235" i="9" l="1"/>
  <c r="AR236" i="9"/>
  <c r="AN236" i="9"/>
  <c r="AW236" i="9" s="1"/>
  <c r="AO235" i="9"/>
  <c r="AU235" i="9" s="1"/>
  <c r="AP235" i="9"/>
  <c r="AV235" i="9" s="1"/>
  <c r="R237" i="9"/>
  <c r="S237" i="9"/>
  <c r="N238" i="9"/>
  <c r="T237" i="9"/>
  <c r="Z237" i="9" s="1"/>
  <c r="AT236" i="9" l="1"/>
  <c r="AR237" i="9"/>
  <c r="AN237" i="9"/>
  <c r="AW237" i="9" s="1"/>
  <c r="AO236" i="9"/>
  <c r="AU236" i="9" s="1"/>
  <c r="AP236" i="9"/>
  <c r="AV236" i="9" s="1"/>
  <c r="R238" i="9"/>
  <c r="S238" i="9"/>
  <c r="N239" i="9"/>
  <c r="T238" i="9"/>
  <c r="Z238" i="9" s="1"/>
  <c r="AT237" i="9" l="1"/>
  <c r="AR238" i="9"/>
  <c r="AN238" i="9"/>
  <c r="AW238" i="9" s="1"/>
  <c r="AO237" i="9"/>
  <c r="AU237" i="9" s="1"/>
  <c r="AP237" i="9"/>
  <c r="AV237" i="9" s="1"/>
  <c r="R239" i="9"/>
  <c r="S239" i="9"/>
  <c r="N240" i="9"/>
  <c r="T239" i="9"/>
  <c r="Z239" i="9" s="1"/>
  <c r="AT238" i="9" l="1"/>
  <c r="AR239" i="9"/>
  <c r="AN239" i="9"/>
  <c r="AW239" i="9" s="1"/>
  <c r="AO238" i="9"/>
  <c r="AU238" i="9" s="1"/>
  <c r="AP238" i="9"/>
  <c r="AV238" i="9" s="1"/>
  <c r="R240" i="9"/>
  <c r="S240" i="9"/>
  <c r="N241" i="9"/>
  <c r="T240" i="9"/>
  <c r="Z240" i="9" s="1"/>
  <c r="AT239" i="9" l="1"/>
  <c r="AR240" i="9"/>
  <c r="AN240" i="9"/>
  <c r="AW240" i="9" s="1"/>
  <c r="AO239" i="9"/>
  <c r="AU239" i="9" s="1"/>
  <c r="AP239" i="9"/>
  <c r="AV239" i="9" s="1"/>
  <c r="R241" i="9"/>
  <c r="S241" i="9"/>
  <c r="N242" i="9"/>
  <c r="T241" i="9"/>
  <c r="Z241" i="9" s="1"/>
  <c r="AT240" i="9" l="1"/>
  <c r="AR241" i="9"/>
  <c r="AN241" i="9"/>
  <c r="AW241" i="9" s="1"/>
  <c r="AP240" i="9"/>
  <c r="AV240" i="9" s="1"/>
  <c r="AO240" i="9"/>
  <c r="AU240" i="9" s="1"/>
  <c r="R242" i="9"/>
  <c r="S242" i="9"/>
  <c r="N243" i="9"/>
  <c r="T242" i="9"/>
  <c r="Z242" i="9" s="1"/>
  <c r="AT241" i="9" l="1"/>
  <c r="AR242" i="9"/>
  <c r="AN242" i="9"/>
  <c r="AW242" i="9" s="1"/>
  <c r="AO241" i="9"/>
  <c r="AU241" i="9" s="1"/>
  <c r="AP241" i="9"/>
  <c r="AV241" i="9" s="1"/>
  <c r="R243" i="9"/>
  <c r="S243" i="9"/>
  <c r="N244" i="9"/>
  <c r="T243" i="9"/>
  <c r="Z243" i="9" s="1"/>
  <c r="AT242" i="9" l="1"/>
  <c r="AR243" i="9"/>
  <c r="AN243" i="9"/>
  <c r="AW243" i="9" s="1"/>
  <c r="AP242" i="9"/>
  <c r="AV242" i="9" s="1"/>
  <c r="AO242" i="9"/>
  <c r="AU242" i="9" s="1"/>
  <c r="R244" i="9"/>
  <c r="S244" i="9"/>
  <c r="N245" i="9"/>
  <c r="T244" i="9"/>
  <c r="Z244" i="9" s="1"/>
  <c r="AT243" i="9" l="1"/>
  <c r="AR244" i="9"/>
  <c r="AN244" i="9"/>
  <c r="AW244" i="9" s="1"/>
  <c r="AP243" i="9"/>
  <c r="AV243" i="9" s="1"/>
  <c r="AO243" i="9"/>
  <c r="AU243" i="9" s="1"/>
  <c r="R245" i="9"/>
  <c r="S245" i="9"/>
  <c r="N246" i="9"/>
  <c r="T245" i="9"/>
  <c r="Z245" i="9" s="1"/>
  <c r="AT244" i="9" l="1"/>
  <c r="AR245" i="9"/>
  <c r="AN245" i="9"/>
  <c r="AW245" i="9" s="1"/>
  <c r="AP244" i="9"/>
  <c r="AV244" i="9" s="1"/>
  <c r="AO244" i="9"/>
  <c r="AU244" i="9" s="1"/>
  <c r="R246" i="9"/>
  <c r="S246" i="9"/>
  <c r="N247" i="9"/>
  <c r="T246" i="9"/>
  <c r="Z246" i="9" s="1"/>
  <c r="AT245" i="9" l="1"/>
  <c r="AR246" i="9"/>
  <c r="AN246" i="9"/>
  <c r="AW246" i="9" s="1"/>
  <c r="AO245" i="9"/>
  <c r="AU245" i="9" s="1"/>
  <c r="AP245" i="9"/>
  <c r="AV245" i="9" s="1"/>
  <c r="R247" i="9"/>
  <c r="S247" i="9"/>
  <c r="N248" i="9"/>
  <c r="T247" i="9"/>
  <c r="Z247" i="9" s="1"/>
  <c r="AT246" i="9" l="1"/>
  <c r="AR247" i="9"/>
  <c r="AN247" i="9"/>
  <c r="AW247" i="9" s="1"/>
  <c r="AP246" i="9"/>
  <c r="AV246" i="9" s="1"/>
  <c r="AO246" i="9"/>
  <c r="AU246" i="9" s="1"/>
  <c r="R248" i="9"/>
  <c r="S248" i="9"/>
  <c r="N249" i="9"/>
  <c r="T248" i="9"/>
  <c r="Z248" i="9" s="1"/>
  <c r="AT247" i="9" l="1"/>
  <c r="AR248" i="9"/>
  <c r="AN248" i="9"/>
  <c r="AW248" i="9" s="1"/>
  <c r="AO247" i="9"/>
  <c r="AU247" i="9" s="1"/>
  <c r="AP247" i="9"/>
  <c r="AV247" i="9" s="1"/>
  <c r="R249" i="9"/>
  <c r="S249" i="9"/>
  <c r="N250" i="9"/>
  <c r="T249" i="9"/>
  <c r="Z249" i="9" s="1"/>
  <c r="AT248" i="9" l="1"/>
  <c r="AR249" i="9"/>
  <c r="AN249" i="9"/>
  <c r="AW249" i="9" s="1"/>
  <c r="AO248" i="9"/>
  <c r="AU248" i="9" s="1"/>
  <c r="AP248" i="9"/>
  <c r="AV248" i="9" s="1"/>
  <c r="R250" i="9"/>
  <c r="S250" i="9"/>
  <c r="N251" i="9"/>
  <c r="T250" i="9"/>
  <c r="Z250" i="9" s="1"/>
  <c r="AT249" i="9" l="1"/>
  <c r="AR250" i="9"/>
  <c r="AN250" i="9"/>
  <c r="AW250" i="9" s="1"/>
  <c r="AO249" i="9"/>
  <c r="AU249" i="9" s="1"/>
  <c r="AP249" i="9"/>
  <c r="AV249" i="9" s="1"/>
  <c r="R251" i="9"/>
  <c r="S251" i="9"/>
  <c r="N252" i="9"/>
  <c r="T251" i="9"/>
  <c r="Z251" i="9" s="1"/>
  <c r="AT250" i="9" l="1"/>
  <c r="AR251" i="9"/>
  <c r="AN251" i="9"/>
  <c r="AW251" i="9" s="1"/>
  <c r="AO250" i="9"/>
  <c r="AU250" i="9" s="1"/>
  <c r="AP250" i="9"/>
  <c r="AV250" i="9" s="1"/>
  <c r="R252" i="9"/>
  <c r="S252" i="9"/>
  <c r="N253" i="9"/>
  <c r="T252" i="9"/>
  <c r="Z252" i="9" s="1"/>
  <c r="AT251" i="9" l="1"/>
  <c r="AR252" i="9"/>
  <c r="AN252" i="9"/>
  <c r="AW252" i="9" s="1"/>
  <c r="AO251" i="9"/>
  <c r="AU251" i="9" s="1"/>
  <c r="AP251" i="9"/>
  <c r="AV251" i="9" s="1"/>
  <c r="R253" i="9"/>
  <c r="S253" i="9"/>
  <c r="N254" i="9"/>
  <c r="T253" i="9"/>
  <c r="Z253" i="9" s="1"/>
  <c r="AT252" i="9" l="1"/>
  <c r="AR253" i="9"/>
  <c r="AN253" i="9"/>
  <c r="AW253" i="9" s="1"/>
  <c r="AO252" i="9"/>
  <c r="AU252" i="9" s="1"/>
  <c r="AP252" i="9"/>
  <c r="AV252" i="9" s="1"/>
  <c r="R254" i="9"/>
  <c r="S254" i="9"/>
  <c r="N255" i="9"/>
  <c r="T254" i="9"/>
  <c r="Z254" i="9" s="1"/>
  <c r="AT253" i="9" l="1"/>
  <c r="AR254" i="9"/>
  <c r="AN254" i="9"/>
  <c r="AW254" i="9" s="1"/>
  <c r="AP253" i="9"/>
  <c r="AV253" i="9" s="1"/>
  <c r="AO253" i="9"/>
  <c r="AU253" i="9" s="1"/>
  <c r="R255" i="9"/>
  <c r="S255" i="9"/>
  <c r="N256" i="9"/>
  <c r="T255" i="9"/>
  <c r="Z255" i="9" s="1"/>
  <c r="AT254" i="9" l="1"/>
  <c r="AR255" i="9"/>
  <c r="AN255" i="9"/>
  <c r="AW255" i="9" s="1"/>
  <c r="AP254" i="9"/>
  <c r="AV254" i="9" s="1"/>
  <c r="AO254" i="9"/>
  <c r="AU254" i="9" s="1"/>
  <c r="R256" i="9"/>
  <c r="S256" i="9"/>
  <c r="N257" i="9"/>
  <c r="T256" i="9"/>
  <c r="Z256" i="9" s="1"/>
  <c r="AT255" i="9" l="1"/>
  <c r="AR256" i="9"/>
  <c r="AN256" i="9"/>
  <c r="AW256" i="9" s="1"/>
  <c r="AP255" i="9"/>
  <c r="AV255" i="9" s="1"/>
  <c r="AO255" i="9"/>
  <c r="AU255" i="9" s="1"/>
  <c r="R257" i="9"/>
  <c r="S257" i="9"/>
  <c r="N258" i="9"/>
  <c r="T257" i="9"/>
  <c r="Z257" i="9" s="1"/>
  <c r="AT256" i="9" l="1"/>
  <c r="AR257" i="9"/>
  <c r="AN257" i="9"/>
  <c r="AW257" i="9" s="1"/>
  <c r="AP256" i="9"/>
  <c r="AV256" i="9" s="1"/>
  <c r="AO256" i="9"/>
  <c r="AU256" i="9" s="1"/>
  <c r="R258" i="9"/>
  <c r="S258" i="9"/>
  <c r="N259" i="9"/>
  <c r="T258" i="9"/>
  <c r="Z258" i="9" s="1"/>
  <c r="AT257" i="9" l="1"/>
  <c r="AR258" i="9"/>
  <c r="AN258" i="9"/>
  <c r="AW258" i="9" s="1"/>
  <c r="AO257" i="9"/>
  <c r="AU257" i="9" s="1"/>
  <c r="AP257" i="9"/>
  <c r="AV257" i="9" s="1"/>
  <c r="R259" i="9"/>
  <c r="S259" i="9"/>
  <c r="N260" i="9"/>
  <c r="T259" i="9"/>
  <c r="Z259" i="9" s="1"/>
  <c r="AT258" i="9" l="1"/>
  <c r="AR259" i="9"/>
  <c r="AN259" i="9"/>
  <c r="AW259" i="9" s="1"/>
  <c r="AO258" i="9"/>
  <c r="AU258" i="9" s="1"/>
  <c r="AP258" i="9"/>
  <c r="AV258" i="9" s="1"/>
  <c r="R260" i="9"/>
  <c r="S260" i="9"/>
  <c r="N261" i="9"/>
  <c r="T260" i="9"/>
  <c r="Z260" i="9" s="1"/>
  <c r="AT259" i="9" l="1"/>
  <c r="AR260" i="9"/>
  <c r="AN260" i="9"/>
  <c r="AW260" i="9" s="1"/>
  <c r="AO259" i="9"/>
  <c r="AU259" i="9" s="1"/>
  <c r="AP259" i="9"/>
  <c r="AV259" i="9" s="1"/>
  <c r="R261" i="9"/>
  <c r="S261" i="9"/>
  <c r="N262" i="9"/>
  <c r="T261" i="9"/>
  <c r="Z261" i="9" s="1"/>
  <c r="AT260" i="9" l="1"/>
  <c r="AR261" i="9"/>
  <c r="AN261" i="9"/>
  <c r="AW261" i="9" s="1"/>
  <c r="AO260" i="9"/>
  <c r="AU260" i="9" s="1"/>
  <c r="AP260" i="9"/>
  <c r="AV260" i="9" s="1"/>
  <c r="R262" i="9"/>
  <c r="S262" i="9"/>
  <c r="N263" i="9"/>
  <c r="T262" i="9"/>
  <c r="Z262" i="9" s="1"/>
  <c r="AT261" i="9" l="1"/>
  <c r="AR262" i="9"/>
  <c r="AN262" i="9"/>
  <c r="AW262" i="9" s="1"/>
  <c r="AO261" i="9"/>
  <c r="AU261" i="9" s="1"/>
  <c r="AP261" i="9"/>
  <c r="AV261" i="9" s="1"/>
  <c r="R263" i="9"/>
  <c r="S263" i="9"/>
  <c r="N264" i="9"/>
  <c r="T263" i="9"/>
  <c r="Z263" i="9" s="1"/>
  <c r="AT262" i="9" l="1"/>
  <c r="AR263" i="9"/>
  <c r="AN263" i="9"/>
  <c r="AW263" i="9" s="1"/>
  <c r="AO262" i="9"/>
  <c r="AU262" i="9" s="1"/>
  <c r="AP262" i="9"/>
  <c r="AV262" i="9" s="1"/>
  <c r="R264" i="9"/>
  <c r="S264" i="9"/>
  <c r="N265" i="9"/>
  <c r="T264" i="9"/>
  <c r="Z264" i="9" s="1"/>
  <c r="AT263" i="9" l="1"/>
  <c r="AR264" i="9"/>
  <c r="AN264" i="9"/>
  <c r="AW264" i="9" s="1"/>
  <c r="AP263" i="9"/>
  <c r="AV263" i="9" s="1"/>
  <c r="AO263" i="9"/>
  <c r="AU263" i="9" s="1"/>
  <c r="R265" i="9"/>
  <c r="S265" i="9"/>
  <c r="N266" i="9"/>
  <c r="T265" i="9"/>
  <c r="Z265" i="9" s="1"/>
  <c r="AT264" i="9" l="1"/>
  <c r="AR265" i="9"/>
  <c r="AN265" i="9"/>
  <c r="AW265" i="9" s="1"/>
  <c r="AO264" i="9"/>
  <c r="AU264" i="9" s="1"/>
  <c r="AP264" i="9"/>
  <c r="AV264" i="9" s="1"/>
  <c r="R266" i="9"/>
  <c r="S266" i="9"/>
  <c r="N267" i="9"/>
  <c r="N268" i="9" s="1"/>
  <c r="T266" i="9"/>
  <c r="Z266" i="9" s="1"/>
  <c r="AT265" i="9" l="1"/>
  <c r="AR266" i="9"/>
  <c r="AN266" i="9"/>
  <c r="AW266" i="9" s="1"/>
  <c r="AO265" i="9"/>
  <c r="AU265" i="9" s="1"/>
  <c r="AP265" i="9"/>
  <c r="AV265" i="9" s="1"/>
  <c r="S268" i="9"/>
  <c r="N269" i="9"/>
  <c r="R268" i="9"/>
  <c r="T268" i="9"/>
  <c r="R267" i="9"/>
  <c r="S267" i="9"/>
  <c r="T267" i="9"/>
  <c r="Z267" i="9" s="1"/>
  <c r="AR267" i="9" l="1"/>
  <c r="AN267" i="9"/>
  <c r="AW267" i="9" s="1"/>
  <c r="AP266" i="9"/>
  <c r="AV266" i="9" s="1"/>
  <c r="AO266" i="9"/>
  <c r="AU266" i="9" s="1"/>
  <c r="AT266" i="9"/>
  <c r="Z268" i="9"/>
  <c r="AN268" i="9" s="1"/>
  <c r="AW268" i="9" s="1"/>
  <c r="T269" i="9"/>
  <c r="N270" i="9"/>
  <c r="R269" i="9"/>
  <c r="S269" i="9"/>
  <c r="Z269" i="9" l="1"/>
  <c r="AN269" i="9" s="1"/>
  <c r="AW269" i="9" s="1"/>
  <c r="AR268" i="9"/>
  <c r="AP267" i="9"/>
  <c r="AO267" i="9"/>
  <c r="AO268" i="9"/>
  <c r="AP268" i="9"/>
  <c r="R270" i="9"/>
  <c r="T270" i="9"/>
  <c r="Z270" i="9" s="1"/>
  <c r="AN270" i="9" s="1"/>
  <c r="AW270" i="9" s="1"/>
  <c r="S270" i="9"/>
  <c r="AT267" i="9"/>
  <c r="AT268" i="9"/>
  <c r="AR269" i="9" l="1"/>
  <c r="AO269" i="9"/>
  <c r="AU269" i="9" s="1"/>
  <c r="AP269" i="9"/>
  <c r="AV269" i="9" s="1"/>
  <c r="AO270" i="9"/>
  <c r="AP270" i="9"/>
  <c r="AT269" i="9"/>
  <c r="AR270" i="9"/>
  <c r="AV267" i="9"/>
  <c r="AV268" i="9"/>
  <c r="AU267" i="9"/>
  <c r="AU268" i="9"/>
  <c r="N271" i="9"/>
  <c r="AT270" i="9" l="1"/>
  <c r="AU270" i="9"/>
  <c r="AV270" i="9"/>
  <c r="R271" i="9"/>
  <c r="S271" i="9"/>
  <c r="N272" i="9"/>
  <c r="T271" i="9"/>
  <c r="Z271" i="9" s="1"/>
  <c r="AR271" i="9" l="1"/>
  <c r="AN271" i="9"/>
  <c r="AW271" i="9" s="1"/>
  <c r="R272" i="9"/>
  <c r="S272" i="9"/>
  <c r="N273" i="9"/>
  <c r="T272" i="9"/>
  <c r="Z272" i="9" s="1"/>
  <c r="AT271" i="9" l="1"/>
  <c r="AR272" i="9"/>
  <c r="AN272" i="9"/>
  <c r="AW272" i="9" s="1"/>
  <c r="AO271" i="9"/>
  <c r="AU271" i="9" s="1"/>
  <c r="AP271" i="9"/>
  <c r="AV271" i="9" s="1"/>
  <c r="R273" i="9"/>
  <c r="S273" i="9"/>
  <c r="N274" i="9"/>
  <c r="T273" i="9"/>
  <c r="Z273" i="9" s="1"/>
  <c r="AT272" i="9" l="1"/>
  <c r="AR273" i="9"/>
  <c r="AN273" i="9"/>
  <c r="AW273" i="9" s="1"/>
  <c r="AO272" i="9"/>
  <c r="AU272" i="9" s="1"/>
  <c r="AP272" i="9"/>
  <c r="AV272" i="9" s="1"/>
  <c r="R274" i="9"/>
  <c r="S274" i="9"/>
  <c r="N275" i="9"/>
  <c r="T274" i="9"/>
  <c r="Z274" i="9" s="1"/>
  <c r="AT273" i="9" l="1"/>
  <c r="AR274" i="9"/>
  <c r="AN274" i="9"/>
  <c r="AW274" i="9" s="1"/>
  <c r="AO273" i="9"/>
  <c r="AU273" i="9" s="1"/>
  <c r="AP273" i="9"/>
  <c r="AV273" i="9" s="1"/>
  <c r="R275" i="9"/>
  <c r="S275" i="9"/>
  <c r="N276" i="9"/>
  <c r="T275" i="9"/>
  <c r="Z275" i="9" s="1"/>
  <c r="AT274" i="9" l="1"/>
  <c r="AR275" i="9"/>
  <c r="AN275" i="9"/>
  <c r="AW275" i="9" s="1"/>
  <c r="AO274" i="9"/>
  <c r="AU274" i="9" s="1"/>
  <c r="AP274" i="9"/>
  <c r="AV274" i="9" s="1"/>
  <c r="R276" i="9"/>
  <c r="S276" i="9"/>
  <c r="N277" i="9"/>
  <c r="T276" i="9"/>
  <c r="Z276" i="9" s="1"/>
  <c r="AT275" i="9" l="1"/>
  <c r="AR276" i="9"/>
  <c r="AN276" i="9"/>
  <c r="AW276" i="9" s="1"/>
  <c r="AP275" i="9"/>
  <c r="AV275" i="9" s="1"/>
  <c r="AO275" i="9"/>
  <c r="AU275" i="9" s="1"/>
  <c r="R277" i="9"/>
  <c r="S277" i="9"/>
  <c r="N278" i="9"/>
  <c r="T277" i="9"/>
  <c r="Z277" i="9" s="1"/>
  <c r="AT276" i="9" l="1"/>
  <c r="AR277" i="9"/>
  <c r="AN277" i="9"/>
  <c r="AW277" i="9" s="1"/>
  <c r="AO276" i="9"/>
  <c r="AU276" i="9" s="1"/>
  <c r="AP276" i="9"/>
  <c r="AV276" i="9" s="1"/>
  <c r="R278" i="9"/>
  <c r="E85" i="7" s="1"/>
  <c r="I80" i="7" s="1"/>
  <c r="S278" i="9"/>
  <c r="E86" i="7" s="1"/>
  <c r="N279" i="9"/>
  <c r="T278" i="9"/>
  <c r="Z278" i="9" s="1"/>
  <c r="AT277" i="9" l="1"/>
  <c r="AR278" i="9"/>
  <c r="AN278" i="9"/>
  <c r="AW278" i="9" s="1"/>
  <c r="AO277" i="9"/>
  <c r="AU277" i="9" s="1"/>
  <c r="AP277" i="9"/>
  <c r="AV277" i="9" s="1"/>
  <c r="R279" i="9"/>
  <c r="S279" i="9"/>
  <c r="N280" i="9"/>
  <c r="T279" i="9"/>
  <c r="Z279" i="9" s="1"/>
  <c r="AT278" i="9" l="1"/>
  <c r="AP278" i="9"/>
  <c r="AV278" i="9" s="1"/>
  <c r="AO278" i="9"/>
  <c r="AU278" i="9" s="1"/>
  <c r="AR279" i="9"/>
  <c r="AN279" i="9"/>
  <c r="AW279" i="9" s="1"/>
  <c r="R280" i="9"/>
  <c r="S280" i="9"/>
  <c r="N281" i="9"/>
  <c r="T280" i="9"/>
  <c r="Z280" i="9" s="1"/>
  <c r="AT279" i="9" l="1"/>
  <c r="AR280" i="9"/>
  <c r="AN280" i="9"/>
  <c r="AW280" i="9" s="1"/>
  <c r="AO279" i="9"/>
  <c r="AU279" i="9" s="1"/>
  <c r="AP279" i="9"/>
  <c r="AV279" i="9" s="1"/>
  <c r="R281" i="9"/>
  <c r="S281" i="9"/>
  <c r="N282" i="9"/>
  <c r="T281" i="9"/>
  <c r="Z281" i="9" s="1"/>
  <c r="AT280" i="9" l="1"/>
  <c r="AR281" i="9"/>
  <c r="AN281" i="9"/>
  <c r="AW281" i="9" s="1"/>
  <c r="AP280" i="9"/>
  <c r="AV280" i="9" s="1"/>
  <c r="AO280" i="9"/>
  <c r="AU280" i="9" s="1"/>
  <c r="R282" i="9"/>
  <c r="S282" i="9"/>
  <c r="N283" i="9"/>
  <c r="T282" i="9"/>
  <c r="Z282" i="9" s="1"/>
  <c r="AT281" i="9" l="1"/>
  <c r="AR282" i="9"/>
  <c r="AN282" i="9"/>
  <c r="AW282" i="9" s="1"/>
  <c r="AO281" i="9"/>
  <c r="AU281" i="9" s="1"/>
  <c r="AP281" i="9"/>
  <c r="AV281" i="9" s="1"/>
  <c r="R283" i="9"/>
  <c r="S283" i="9"/>
  <c r="N284" i="9"/>
  <c r="T283" i="9"/>
  <c r="Z283" i="9" s="1"/>
  <c r="AT282" i="9" l="1"/>
  <c r="AR283" i="9"/>
  <c r="AN283" i="9"/>
  <c r="AW283" i="9" s="1"/>
  <c r="AO282" i="9"/>
  <c r="AU282" i="9" s="1"/>
  <c r="AP282" i="9"/>
  <c r="AV282" i="9" s="1"/>
  <c r="R284" i="9"/>
  <c r="S284" i="9"/>
  <c r="N285" i="9"/>
  <c r="T284" i="9"/>
  <c r="Z284" i="9" s="1"/>
  <c r="AT283" i="9" l="1"/>
  <c r="AR284" i="9"/>
  <c r="AN284" i="9"/>
  <c r="AW284" i="9" s="1"/>
  <c r="AO283" i="9"/>
  <c r="AU283" i="9" s="1"/>
  <c r="AP283" i="9"/>
  <c r="AV283" i="9" s="1"/>
  <c r="R285" i="9"/>
  <c r="S285" i="9"/>
  <c r="N286" i="9"/>
  <c r="T285" i="9"/>
  <c r="Z285" i="9" s="1"/>
  <c r="AT284" i="9" l="1"/>
  <c r="AR285" i="9"/>
  <c r="AN285" i="9"/>
  <c r="AW285" i="9" s="1"/>
  <c r="AO284" i="9"/>
  <c r="AU284" i="9" s="1"/>
  <c r="AP284" i="9"/>
  <c r="AV284" i="9" s="1"/>
  <c r="R286" i="9"/>
  <c r="S286" i="9"/>
  <c r="N287" i="9"/>
  <c r="T286" i="9"/>
  <c r="Z286" i="9" s="1"/>
  <c r="AT285" i="9" l="1"/>
  <c r="AR286" i="9"/>
  <c r="AN286" i="9"/>
  <c r="AW286" i="9" s="1"/>
  <c r="AO285" i="9"/>
  <c r="AU285" i="9" s="1"/>
  <c r="AP285" i="9"/>
  <c r="AV285" i="9" s="1"/>
  <c r="R287" i="9"/>
  <c r="S287" i="9"/>
  <c r="N288" i="9"/>
  <c r="T287" i="9"/>
  <c r="Z287" i="9" s="1"/>
  <c r="AT286" i="9" l="1"/>
  <c r="AR287" i="9"/>
  <c r="AN287" i="9"/>
  <c r="AW287" i="9" s="1"/>
  <c r="AO286" i="9"/>
  <c r="AU286" i="9" s="1"/>
  <c r="AP286" i="9"/>
  <c r="AV286" i="9" s="1"/>
  <c r="R288" i="9"/>
  <c r="S288" i="9"/>
  <c r="N289" i="9"/>
  <c r="T288" i="9"/>
  <c r="Z288" i="9" s="1"/>
  <c r="AT287" i="9" l="1"/>
  <c r="AR288" i="9"/>
  <c r="AN288" i="9"/>
  <c r="AW288" i="9" s="1"/>
  <c r="AO287" i="9"/>
  <c r="AU287" i="9" s="1"/>
  <c r="AP287" i="9"/>
  <c r="AV287" i="9" s="1"/>
  <c r="R289" i="9"/>
  <c r="S289" i="9"/>
  <c r="N290" i="9"/>
  <c r="T289" i="9"/>
  <c r="Z289" i="9" s="1"/>
  <c r="AT288" i="9" l="1"/>
  <c r="AR289" i="9"/>
  <c r="AN289" i="9"/>
  <c r="AW289" i="9" s="1"/>
  <c r="AO288" i="9"/>
  <c r="AU288" i="9" s="1"/>
  <c r="AP288" i="9"/>
  <c r="AV288" i="9" s="1"/>
  <c r="R290" i="9"/>
  <c r="S290" i="9"/>
  <c r="N291" i="9"/>
  <c r="T290" i="9"/>
  <c r="Z290" i="9" s="1"/>
  <c r="AT289" i="9" l="1"/>
  <c r="AR290" i="9"/>
  <c r="AN290" i="9"/>
  <c r="AW290" i="9" s="1"/>
  <c r="AP289" i="9"/>
  <c r="AV289" i="9" s="1"/>
  <c r="AO289" i="9"/>
  <c r="AU289" i="9" s="1"/>
  <c r="R291" i="9"/>
  <c r="S291" i="9"/>
  <c r="N292" i="9"/>
  <c r="T291" i="9"/>
  <c r="Z291" i="9" s="1"/>
  <c r="AT290" i="9" l="1"/>
  <c r="AR291" i="9"/>
  <c r="AN291" i="9"/>
  <c r="AW291" i="9" s="1"/>
  <c r="AO290" i="9"/>
  <c r="AU290" i="9" s="1"/>
  <c r="AP290" i="9"/>
  <c r="AV290" i="9" s="1"/>
  <c r="R292" i="9"/>
  <c r="S292" i="9"/>
  <c r="N293" i="9"/>
  <c r="T292" i="9"/>
  <c r="Z292" i="9" s="1"/>
  <c r="AT291" i="9" l="1"/>
  <c r="AR292" i="9"/>
  <c r="AN292" i="9"/>
  <c r="AW292" i="9" s="1"/>
  <c r="AP291" i="9"/>
  <c r="AV291" i="9" s="1"/>
  <c r="AO291" i="9"/>
  <c r="AU291" i="9" s="1"/>
  <c r="R293" i="9"/>
  <c r="S293" i="9"/>
  <c r="N294" i="9"/>
  <c r="T293" i="9"/>
  <c r="Z293" i="9" s="1"/>
  <c r="AT292" i="9" l="1"/>
  <c r="AR293" i="9"/>
  <c r="AN293" i="9"/>
  <c r="AW293" i="9" s="1"/>
  <c r="AO292" i="9"/>
  <c r="AU292" i="9" s="1"/>
  <c r="AP292" i="9"/>
  <c r="AV292" i="9" s="1"/>
  <c r="R294" i="9"/>
  <c r="S294" i="9"/>
  <c r="N295" i="9"/>
  <c r="T294" i="9"/>
  <c r="Z294" i="9" s="1"/>
  <c r="AT293" i="9" l="1"/>
  <c r="AR294" i="9"/>
  <c r="AN294" i="9"/>
  <c r="AW294" i="9" s="1"/>
  <c r="AO293" i="9"/>
  <c r="AU293" i="9" s="1"/>
  <c r="AP293" i="9"/>
  <c r="AV293" i="9" s="1"/>
  <c r="R295" i="9"/>
  <c r="S295" i="9"/>
  <c r="N296" i="9"/>
  <c r="T295" i="9"/>
  <c r="Z295" i="9" s="1"/>
  <c r="AT294" i="9" l="1"/>
  <c r="AR295" i="9"/>
  <c r="AN295" i="9"/>
  <c r="AW295" i="9" s="1"/>
  <c r="AO294" i="9"/>
  <c r="AU294" i="9" s="1"/>
  <c r="AP294" i="9"/>
  <c r="AV294" i="9" s="1"/>
  <c r="R296" i="9"/>
  <c r="S296" i="9"/>
  <c r="N297" i="9"/>
  <c r="T296" i="9"/>
  <c r="Z296" i="9" s="1"/>
  <c r="AT295" i="9" l="1"/>
  <c r="AO295" i="9"/>
  <c r="AU295" i="9" s="1"/>
  <c r="AP295" i="9"/>
  <c r="AV295" i="9" s="1"/>
  <c r="AR296" i="9"/>
  <c r="AN296" i="9"/>
  <c r="AW296" i="9" s="1"/>
  <c r="R297" i="9"/>
  <c r="S297" i="9"/>
  <c r="N298" i="9"/>
  <c r="T297" i="9"/>
  <c r="Z297" i="9" s="1"/>
  <c r="AT296" i="9" l="1"/>
  <c r="AR297" i="9"/>
  <c r="AN297" i="9"/>
  <c r="AW297" i="9" s="1"/>
  <c r="AO296" i="9"/>
  <c r="AU296" i="9" s="1"/>
  <c r="AP296" i="9"/>
  <c r="AV296" i="9" s="1"/>
  <c r="R298" i="9"/>
  <c r="S298" i="9"/>
  <c r="N299" i="9"/>
  <c r="T298" i="9"/>
  <c r="Z298" i="9" s="1"/>
  <c r="AT297" i="9" l="1"/>
  <c r="AR298" i="9"/>
  <c r="AN298" i="9"/>
  <c r="AW298" i="9" s="1"/>
  <c r="AO297" i="9"/>
  <c r="AU297" i="9" s="1"/>
  <c r="AP297" i="9"/>
  <c r="AV297" i="9" s="1"/>
  <c r="R299" i="9"/>
  <c r="S299" i="9"/>
  <c r="N300" i="9"/>
  <c r="T299" i="9"/>
  <c r="Z299" i="9" s="1"/>
  <c r="AT298" i="9" l="1"/>
  <c r="AR299" i="9"/>
  <c r="AN299" i="9"/>
  <c r="AW299" i="9" s="1"/>
  <c r="AO298" i="9"/>
  <c r="AU298" i="9" s="1"/>
  <c r="AP298" i="9"/>
  <c r="AV298" i="9" s="1"/>
  <c r="R300" i="9"/>
  <c r="S300" i="9"/>
  <c r="N301" i="9"/>
  <c r="T300" i="9"/>
  <c r="Z300" i="9" s="1"/>
  <c r="AT299" i="9" l="1"/>
  <c r="AR300" i="9"/>
  <c r="AN300" i="9"/>
  <c r="AW300" i="9" s="1"/>
  <c r="AO299" i="9"/>
  <c r="AU299" i="9" s="1"/>
  <c r="AP299" i="9"/>
  <c r="AV299" i="9" s="1"/>
  <c r="R301" i="9"/>
  <c r="S301" i="9"/>
  <c r="N302" i="9"/>
  <c r="T301" i="9"/>
  <c r="Z301" i="9" s="1"/>
  <c r="AT300" i="9" l="1"/>
  <c r="AR301" i="9"/>
  <c r="AN301" i="9"/>
  <c r="AW301" i="9" s="1"/>
  <c r="AO300" i="9"/>
  <c r="AU300" i="9" s="1"/>
  <c r="AP300" i="9"/>
  <c r="AV300" i="9" s="1"/>
  <c r="R302" i="9"/>
  <c r="S302" i="9"/>
  <c r="N303" i="9"/>
  <c r="T302" i="9"/>
  <c r="Z302" i="9" s="1"/>
  <c r="AT301" i="9" l="1"/>
  <c r="AR302" i="9"/>
  <c r="AN302" i="9"/>
  <c r="AW302" i="9" s="1"/>
  <c r="AP301" i="9"/>
  <c r="AV301" i="9" s="1"/>
  <c r="AO301" i="9"/>
  <c r="AU301" i="9" s="1"/>
  <c r="R303" i="9"/>
  <c r="S303" i="9"/>
  <c r="N304" i="9"/>
  <c r="T303" i="9"/>
  <c r="Z303" i="9" s="1"/>
  <c r="AT302" i="9" l="1"/>
  <c r="AR303" i="9"/>
  <c r="AN303" i="9"/>
  <c r="AW303" i="9" s="1"/>
  <c r="AO302" i="9"/>
  <c r="AU302" i="9" s="1"/>
  <c r="AP302" i="9"/>
  <c r="AV302" i="9" s="1"/>
  <c r="R304" i="9"/>
  <c r="S304" i="9"/>
  <c r="N305" i="9"/>
  <c r="T304" i="9"/>
  <c r="Z304" i="9" s="1"/>
  <c r="AT303" i="9" l="1"/>
  <c r="AO303" i="9"/>
  <c r="AU303" i="9" s="1"/>
  <c r="AP303" i="9"/>
  <c r="AV303" i="9" s="1"/>
  <c r="AR304" i="9"/>
  <c r="AN304" i="9"/>
  <c r="AW304" i="9" s="1"/>
  <c r="R305" i="9"/>
  <c r="S305" i="9"/>
  <c r="N306" i="9"/>
  <c r="T305" i="9"/>
  <c r="Z305" i="9" s="1"/>
  <c r="AT304" i="9" l="1"/>
  <c r="AR305" i="9"/>
  <c r="AN305" i="9"/>
  <c r="AW305" i="9" s="1"/>
  <c r="AO304" i="9"/>
  <c r="AU304" i="9" s="1"/>
  <c r="AP304" i="9"/>
  <c r="AV304" i="9" s="1"/>
  <c r="R306" i="9"/>
  <c r="S306" i="9"/>
  <c r="N307" i="9"/>
  <c r="T306" i="9"/>
  <c r="Z306" i="9" s="1"/>
  <c r="AT305" i="9" l="1"/>
  <c r="AR306" i="9"/>
  <c r="AN306" i="9"/>
  <c r="AW306" i="9" s="1"/>
  <c r="AP305" i="9"/>
  <c r="AV305" i="9" s="1"/>
  <c r="AO305" i="9"/>
  <c r="AU305" i="9" s="1"/>
  <c r="R307" i="9"/>
  <c r="S307" i="9"/>
  <c r="N308" i="9"/>
  <c r="T307" i="9"/>
  <c r="Z307" i="9" s="1"/>
  <c r="AT306" i="9" l="1"/>
  <c r="AR307" i="9"/>
  <c r="AN307" i="9"/>
  <c r="AW307" i="9" s="1"/>
  <c r="AO306" i="9"/>
  <c r="AU306" i="9" s="1"/>
  <c r="AP306" i="9"/>
  <c r="AV306" i="9" s="1"/>
  <c r="R308" i="9"/>
  <c r="S308" i="9"/>
  <c r="N309" i="9"/>
  <c r="T308" i="9"/>
  <c r="Z308" i="9" s="1"/>
  <c r="AT307" i="9" l="1"/>
  <c r="AR308" i="9"/>
  <c r="AN308" i="9"/>
  <c r="AW308" i="9" s="1"/>
  <c r="AO307" i="9"/>
  <c r="AU307" i="9" s="1"/>
  <c r="AP307" i="9"/>
  <c r="AV307" i="9" s="1"/>
  <c r="R309" i="9"/>
  <c r="S309" i="9"/>
  <c r="N310" i="9"/>
  <c r="T309" i="9"/>
  <c r="Z309" i="9" s="1"/>
  <c r="AT308" i="9" l="1"/>
  <c r="AR309" i="9"/>
  <c r="AN309" i="9"/>
  <c r="AW309" i="9" s="1"/>
  <c r="AO308" i="9"/>
  <c r="AU308" i="9" s="1"/>
  <c r="AP308" i="9"/>
  <c r="AV308" i="9" s="1"/>
  <c r="R310" i="9"/>
  <c r="S310" i="9"/>
  <c r="N311" i="9"/>
  <c r="T310" i="9"/>
  <c r="Z310" i="9" s="1"/>
  <c r="AT309" i="9" l="1"/>
  <c r="AR310" i="9"/>
  <c r="AN310" i="9"/>
  <c r="AW310" i="9" s="1"/>
  <c r="AO309" i="9"/>
  <c r="AU309" i="9" s="1"/>
  <c r="AP309" i="9"/>
  <c r="AV309" i="9" s="1"/>
  <c r="R311" i="9"/>
  <c r="S311" i="9"/>
  <c r="N312" i="9"/>
  <c r="T311" i="9"/>
  <c r="Z311" i="9" s="1"/>
  <c r="AT310" i="9" l="1"/>
  <c r="AR311" i="9"/>
  <c r="AN311" i="9"/>
  <c r="AW311" i="9" s="1"/>
  <c r="AO310" i="9"/>
  <c r="AU310" i="9" s="1"/>
  <c r="AP310" i="9"/>
  <c r="AV310" i="9" s="1"/>
  <c r="R312" i="9"/>
  <c r="S312" i="9"/>
  <c r="N313" i="9"/>
  <c r="T312" i="9"/>
  <c r="Z312" i="9" s="1"/>
  <c r="AT311" i="9" l="1"/>
  <c r="AR312" i="9"/>
  <c r="AN312" i="9"/>
  <c r="AW312" i="9" s="1"/>
  <c r="AO311" i="9"/>
  <c r="AU311" i="9" s="1"/>
  <c r="AP311" i="9"/>
  <c r="AV311" i="9" s="1"/>
  <c r="R313" i="9"/>
  <c r="S313" i="9"/>
  <c r="N314" i="9"/>
  <c r="T313" i="9"/>
  <c r="Z313" i="9" s="1"/>
  <c r="AT312" i="9" l="1"/>
  <c r="AR313" i="9"/>
  <c r="AN313" i="9"/>
  <c r="AW313" i="9" s="1"/>
  <c r="AP312" i="9"/>
  <c r="AV312" i="9" s="1"/>
  <c r="AO312" i="9"/>
  <c r="AU312" i="9" s="1"/>
  <c r="R314" i="9"/>
  <c r="S314" i="9"/>
  <c r="N315" i="9"/>
  <c r="T314" i="9"/>
  <c r="Z314" i="9" s="1"/>
  <c r="AT313" i="9" l="1"/>
  <c r="AR314" i="9"/>
  <c r="AN314" i="9"/>
  <c r="AW314" i="9" s="1"/>
  <c r="AO313" i="9"/>
  <c r="AU313" i="9" s="1"/>
  <c r="AP313" i="9"/>
  <c r="AV313" i="9" s="1"/>
  <c r="R315" i="9"/>
  <c r="S315" i="9"/>
  <c r="N316" i="9"/>
  <c r="T315" i="9"/>
  <c r="Z315" i="9" s="1"/>
  <c r="AT314" i="9" l="1"/>
  <c r="AR315" i="9"/>
  <c r="AN315" i="9"/>
  <c r="AW315" i="9" s="1"/>
  <c r="AO314" i="9"/>
  <c r="AU314" i="9" s="1"/>
  <c r="AP314" i="9"/>
  <c r="AV314" i="9" s="1"/>
  <c r="R316" i="9"/>
  <c r="S316" i="9"/>
  <c r="N317" i="9"/>
  <c r="T316" i="9"/>
  <c r="Z316" i="9" s="1"/>
  <c r="AT315" i="9" l="1"/>
  <c r="AR316" i="9"/>
  <c r="AN316" i="9"/>
  <c r="AW316" i="9" s="1"/>
  <c r="AO315" i="9"/>
  <c r="AU315" i="9" s="1"/>
  <c r="AP315" i="9"/>
  <c r="AV315" i="9" s="1"/>
  <c r="R317" i="9"/>
  <c r="S317" i="9"/>
  <c r="N318" i="9"/>
  <c r="T317" i="9"/>
  <c r="Z317" i="9" s="1"/>
  <c r="AT316" i="9" l="1"/>
  <c r="AR317" i="9"/>
  <c r="AN317" i="9"/>
  <c r="AW317" i="9" s="1"/>
  <c r="AO316" i="9"/>
  <c r="AU316" i="9" s="1"/>
  <c r="AP316" i="9"/>
  <c r="AV316" i="9" s="1"/>
  <c r="R318" i="9"/>
  <c r="S318" i="9"/>
  <c r="N319" i="9"/>
  <c r="T318" i="9"/>
  <c r="Z318" i="9" s="1"/>
  <c r="AT317" i="9" l="1"/>
  <c r="AR318" i="9"/>
  <c r="AN318" i="9"/>
  <c r="AW318" i="9" s="1"/>
  <c r="AO317" i="9"/>
  <c r="AU317" i="9" s="1"/>
  <c r="AP317" i="9"/>
  <c r="AV317" i="9" s="1"/>
  <c r="R319" i="9"/>
  <c r="S319" i="9"/>
  <c r="N320" i="9"/>
  <c r="T319" i="9"/>
  <c r="Z319" i="9" s="1"/>
  <c r="AT318" i="9" l="1"/>
  <c r="AR319" i="9"/>
  <c r="AN319" i="9"/>
  <c r="AW319" i="9" s="1"/>
  <c r="AO318" i="9"/>
  <c r="AU318" i="9" s="1"/>
  <c r="AP318" i="9"/>
  <c r="AV318" i="9" s="1"/>
  <c r="R320" i="9"/>
  <c r="S320" i="9"/>
  <c r="N321" i="9"/>
  <c r="T320" i="9"/>
  <c r="Z320" i="9" s="1"/>
  <c r="AT319" i="9" l="1"/>
  <c r="AR320" i="9"/>
  <c r="AN320" i="9"/>
  <c r="AW320" i="9" s="1"/>
  <c r="AO319" i="9"/>
  <c r="AU319" i="9" s="1"/>
  <c r="AP319" i="9"/>
  <c r="AV319" i="9" s="1"/>
  <c r="R321" i="9"/>
  <c r="S321" i="9"/>
  <c r="N322" i="9"/>
  <c r="T321" i="9"/>
  <c r="Z321" i="9" s="1"/>
  <c r="AT320" i="9" l="1"/>
  <c r="AR321" i="9"/>
  <c r="AN321" i="9"/>
  <c r="AW321" i="9" s="1"/>
  <c r="AO320" i="9"/>
  <c r="AU320" i="9" s="1"/>
  <c r="AP320" i="9"/>
  <c r="AV320" i="9" s="1"/>
  <c r="R322" i="9"/>
  <c r="S322" i="9"/>
  <c r="N323" i="9"/>
  <c r="T322" i="9"/>
  <c r="Z322" i="9" s="1"/>
  <c r="AT321" i="9" l="1"/>
  <c r="AR322" i="9"/>
  <c r="AN322" i="9"/>
  <c r="AW322" i="9" s="1"/>
  <c r="AO321" i="9"/>
  <c r="AU321" i="9" s="1"/>
  <c r="AP321" i="9"/>
  <c r="AV321" i="9" s="1"/>
  <c r="R323" i="9"/>
  <c r="S323" i="9"/>
  <c r="N324" i="9"/>
  <c r="T323" i="9"/>
  <c r="Z323" i="9" s="1"/>
  <c r="AT322" i="9" l="1"/>
  <c r="AR323" i="9"/>
  <c r="AN323" i="9"/>
  <c r="AW323" i="9" s="1"/>
  <c r="AO322" i="9"/>
  <c r="AU322" i="9" s="1"/>
  <c r="AP322" i="9"/>
  <c r="AV322" i="9" s="1"/>
  <c r="R324" i="9"/>
  <c r="S324" i="9"/>
  <c r="N325" i="9"/>
  <c r="T324" i="9"/>
  <c r="Z324" i="9" s="1"/>
  <c r="AT323" i="9" l="1"/>
  <c r="AR324" i="9"/>
  <c r="AN324" i="9"/>
  <c r="AW324" i="9" s="1"/>
  <c r="AO323" i="9"/>
  <c r="AU323" i="9" s="1"/>
  <c r="AP323" i="9"/>
  <c r="AV323" i="9" s="1"/>
  <c r="R325" i="9"/>
  <c r="S325" i="9"/>
  <c r="N326" i="9"/>
  <c r="T325" i="9"/>
  <c r="Z325" i="9" s="1"/>
  <c r="AT324" i="9" l="1"/>
  <c r="AR325" i="9"/>
  <c r="AN325" i="9"/>
  <c r="AW325" i="9" s="1"/>
  <c r="AO324" i="9"/>
  <c r="AU324" i="9" s="1"/>
  <c r="AP324" i="9"/>
  <c r="AV324" i="9" s="1"/>
  <c r="R326" i="9"/>
  <c r="S326" i="9"/>
  <c r="N327" i="9"/>
  <c r="T326" i="9"/>
  <c r="Z326" i="9" s="1"/>
  <c r="AT325" i="9" l="1"/>
  <c r="AR326" i="9"/>
  <c r="AN326" i="9"/>
  <c r="AW326" i="9" s="1"/>
  <c r="AP325" i="9"/>
  <c r="AV325" i="9" s="1"/>
  <c r="AO325" i="9"/>
  <c r="AU325" i="9" s="1"/>
  <c r="R327" i="9"/>
  <c r="S327" i="9"/>
  <c r="N328" i="9"/>
  <c r="T327" i="9"/>
  <c r="Z327" i="9" s="1"/>
  <c r="AT326" i="9" l="1"/>
  <c r="AR327" i="9"/>
  <c r="AN327" i="9"/>
  <c r="AW327" i="9" s="1"/>
  <c r="AP326" i="9"/>
  <c r="AV326" i="9" s="1"/>
  <c r="AO326" i="9"/>
  <c r="AU326" i="9" s="1"/>
  <c r="R328" i="9"/>
  <c r="S328" i="9"/>
  <c r="N329" i="9"/>
  <c r="T328" i="9"/>
  <c r="Z328" i="9" s="1"/>
  <c r="AT327" i="9" l="1"/>
  <c r="AR328" i="9"/>
  <c r="AN328" i="9"/>
  <c r="AW328" i="9" s="1"/>
  <c r="AP327" i="9"/>
  <c r="AV327" i="9" s="1"/>
  <c r="AO327" i="9"/>
  <c r="AU327" i="9" s="1"/>
  <c r="R329" i="9"/>
  <c r="S329" i="9"/>
  <c r="N330" i="9"/>
  <c r="T329" i="9"/>
  <c r="Z329" i="9" s="1"/>
  <c r="AT328" i="9" l="1"/>
  <c r="AR329" i="9"/>
  <c r="AN329" i="9"/>
  <c r="AW329" i="9" s="1"/>
  <c r="AP328" i="9"/>
  <c r="AV328" i="9" s="1"/>
  <c r="AO328" i="9"/>
  <c r="AU328" i="9" s="1"/>
  <c r="R330" i="9"/>
  <c r="S330" i="9"/>
  <c r="N331" i="9"/>
  <c r="T330" i="9"/>
  <c r="Z330" i="9" s="1"/>
  <c r="AT329" i="9" l="1"/>
  <c r="AR330" i="9"/>
  <c r="AN330" i="9"/>
  <c r="AW330" i="9" s="1"/>
  <c r="AO329" i="9"/>
  <c r="AU329" i="9" s="1"/>
  <c r="AP329" i="9"/>
  <c r="AV329" i="9" s="1"/>
  <c r="R331" i="9"/>
  <c r="S331" i="9"/>
  <c r="N332" i="9"/>
  <c r="T331" i="9"/>
  <c r="Z331" i="9" s="1"/>
  <c r="AT330" i="9" l="1"/>
  <c r="AR331" i="9"/>
  <c r="AN331" i="9"/>
  <c r="AW331" i="9" s="1"/>
  <c r="AO330" i="9"/>
  <c r="AU330" i="9" s="1"/>
  <c r="AP330" i="9"/>
  <c r="AV330" i="9" s="1"/>
  <c r="R332" i="9"/>
  <c r="S332" i="9"/>
  <c r="N333" i="9"/>
  <c r="T332" i="9"/>
  <c r="Z332" i="9" s="1"/>
  <c r="AT331" i="9" l="1"/>
  <c r="AR332" i="9"/>
  <c r="AN332" i="9"/>
  <c r="AW332" i="9" s="1"/>
  <c r="AO331" i="9"/>
  <c r="AU331" i="9" s="1"/>
  <c r="AP331" i="9"/>
  <c r="AV331" i="9" s="1"/>
  <c r="R333" i="9"/>
  <c r="S333" i="9"/>
  <c r="N334" i="9"/>
  <c r="T333" i="9"/>
  <c r="Z333" i="9" s="1"/>
  <c r="AT332" i="9" l="1"/>
  <c r="AR333" i="9"/>
  <c r="AN333" i="9"/>
  <c r="AW333" i="9" s="1"/>
  <c r="AP332" i="9"/>
  <c r="AV332" i="9" s="1"/>
  <c r="AO332" i="9"/>
  <c r="AU332" i="9" s="1"/>
  <c r="R334" i="9"/>
  <c r="S334" i="9"/>
  <c r="N335" i="9"/>
  <c r="T334" i="9"/>
  <c r="Z334" i="9" s="1"/>
  <c r="AT333" i="9" l="1"/>
  <c r="AR334" i="9"/>
  <c r="AN334" i="9"/>
  <c r="AW334" i="9" s="1"/>
  <c r="AO333" i="9"/>
  <c r="AU333" i="9" s="1"/>
  <c r="AP333" i="9"/>
  <c r="AV333" i="9" s="1"/>
  <c r="R335" i="9"/>
  <c r="S335" i="9"/>
  <c r="N336" i="9"/>
  <c r="T335" i="9"/>
  <c r="Z335" i="9" s="1"/>
  <c r="AT334" i="9" l="1"/>
  <c r="AR335" i="9"/>
  <c r="AN335" i="9"/>
  <c r="AW335" i="9" s="1"/>
  <c r="AO334" i="9"/>
  <c r="AU334" i="9" s="1"/>
  <c r="AP334" i="9"/>
  <c r="AV334" i="9" s="1"/>
  <c r="R336" i="9"/>
  <c r="S336" i="9"/>
  <c r="N337" i="9"/>
  <c r="T336" i="9"/>
  <c r="Z336" i="9" s="1"/>
  <c r="AT335" i="9" l="1"/>
  <c r="AR336" i="9"/>
  <c r="AN336" i="9"/>
  <c r="AW336" i="9" s="1"/>
  <c r="AP335" i="9"/>
  <c r="AV335" i="9" s="1"/>
  <c r="AO335" i="9"/>
  <c r="AU335" i="9" s="1"/>
  <c r="R337" i="9"/>
  <c r="S337" i="9"/>
  <c r="N338" i="9"/>
  <c r="T337" i="9"/>
  <c r="Z337" i="9" s="1"/>
  <c r="AT336" i="9" l="1"/>
  <c r="AR337" i="9"/>
  <c r="AN337" i="9"/>
  <c r="AW337" i="9" s="1"/>
  <c r="AO336" i="9"/>
  <c r="AU336" i="9" s="1"/>
  <c r="AP336" i="9"/>
  <c r="AV336" i="9" s="1"/>
  <c r="R338" i="9"/>
  <c r="S338" i="9"/>
  <c r="N339" i="9"/>
  <c r="T338" i="9"/>
  <c r="Z338" i="9" s="1"/>
  <c r="K304" i="7" l="1"/>
  <c r="B304" i="7"/>
  <c r="AT337" i="9"/>
  <c r="L6" i="11"/>
  <c r="AO337" i="9"/>
  <c r="AP337" i="9"/>
  <c r="AR338" i="9"/>
  <c r="AN338" i="9"/>
  <c r="AW338" i="9" s="1"/>
  <c r="R339" i="9"/>
  <c r="S339" i="9"/>
  <c r="N340" i="9"/>
  <c r="T339" i="9"/>
  <c r="Z339" i="9" s="1"/>
  <c r="AV337" i="9" l="1"/>
  <c r="K325" i="7"/>
  <c r="B325" i="7"/>
  <c r="K315" i="7"/>
  <c r="B315" i="7"/>
  <c r="L8" i="11"/>
  <c r="L7" i="11"/>
  <c r="AO338" i="9"/>
  <c r="AU338" i="9" s="1"/>
  <c r="AP338" i="9"/>
  <c r="AV338" i="9" s="1"/>
  <c r="AR339" i="9"/>
  <c r="AN339" i="9"/>
  <c r="AW339" i="9" s="1"/>
  <c r="AT338" i="9"/>
  <c r="AU337" i="9"/>
  <c r="R340" i="9"/>
  <c r="S340" i="9"/>
  <c r="N341" i="9"/>
  <c r="T340" i="9"/>
  <c r="Z340" i="9" s="1"/>
  <c r="AR340" i="9" l="1"/>
  <c r="AN340" i="9"/>
  <c r="AW340" i="9" s="1"/>
  <c r="AO339" i="9"/>
  <c r="AU339" i="9" s="1"/>
  <c r="AP339" i="9"/>
  <c r="AV339" i="9" s="1"/>
  <c r="AT339" i="9"/>
  <c r="R341" i="9"/>
  <c r="S341" i="9"/>
  <c r="N342" i="9"/>
  <c r="T341" i="9"/>
  <c r="Z341" i="9" s="1"/>
  <c r="AT340" i="9" l="1"/>
  <c r="AR341" i="9"/>
  <c r="AN341" i="9"/>
  <c r="AW341" i="9" s="1"/>
  <c r="AO340" i="9"/>
  <c r="AU340" i="9" s="1"/>
  <c r="AP340" i="9"/>
  <c r="AV340" i="9" s="1"/>
  <c r="R342" i="9"/>
  <c r="S342" i="9"/>
  <c r="N343" i="9"/>
  <c r="T342" i="9"/>
  <c r="Z342" i="9" s="1"/>
  <c r="AT341" i="9" l="1"/>
  <c r="AP341" i="9"/>
  <c r="AV341" i="9" s="1"/>
  <c r="AO341" i="9"/>
  <c r="AU341" i="9" s="1"/>
  <c r="AR342" i="9"/>
  <c r="AN342" i="9"/>
  <c r="AW342" i="9" s="1"/>
  <c r="R343" i="9"/>
  <c r="S343" i="9"/>
  <c r="N344" i="9"/>
  <c r="T343" i="9"/>
  <c r="Z343" i="9" s="1"/>
  <c r="AT342" i="9" l="1"/>
  <c r="AR343" i="9"/>
  <c r="AN343" i="9"/>
  <c r="AW343" i="9" s="1"/>
  <c r="AO342" i="9"/>
  <c r="AU342" i="9" s="1"/>
  <c r="AP342" i="9"/>
  <c r="AV342" i="9" s="1"/>
  <c r="R344" i="9"/>
  <c r="S344" i="9"/>
  <c r="N345" i="9"/>
  <c r="T344" i="9"/>
  <c r="Z344" i="9" s="1"/>
  <c r="AT343" i="9" l="1"/>
  <c r="AR344" i="9"/>
  <c r="AN344" i="9"/>
  <c r="AW344" i="9" s="1"/>
  <c r="AO343" i="9"/>
  <c r="AU343" i="9" s="1"/>
  <c r="AP343" i="9"/>
  <c r="AV343" i="9" s="1"/>
  <c r="R345" i="9"/>
  <c r="S345" i="9"/>
  <c r="N346" i="9"/>
  <c r="T345" i="9"/>
  <c r="Z345" i="9" s="1"/>
  <c r="AT344" i="9" l="1"/>
  <c r="AR345" i="9"/>
  <c r="AN345" i="9"/>
  <c r="AW345" i="9" s="1"/>
  <c r="AO344" i="9"/>
  <c r="AU344" i="9" s="1"/>
  <c r="AP344" i="9"/>
  <c r="AV344" i="9" s="1"/>
  <c r="R346" i="9"/>
  <c r="S346" i="9"/>
  <c r="N347" i="9"/>
  <c r="T346" i="9"/>
  <c r="Z346" i="9" s="1"/>
  <c r="AT345" i="9" l="1"/>
  <c r="AR346" i="9"/>
  <c r="AN346" i="9"/>
  <c r="AW346" i="9" s="1"/>
  <c r="AP345" i="9"/>
  <c r="AV345" i="9" s="1"/>
  <c r="AO345" i="9"/>
  <c r="AU345" i="9" s="1"/>
  <c r="R347" i="9"/>
  <c r="S347" i="9"/>
  <c r="N348" i="9"/>
  <c r="T347" i="9"/>
  <c r="Z347" i="9" s="1"/>
  <c r="AT346" i="9" l="1"/>
  <c r="AR347" i="9"/>
  <c r="AN347" i="9"/>
  <c r="AW347" i="9" s="1"/>
  <c r="AO346" i="9"/>
  <c r="AU346" i="9" s="1"/>
  <c r="AP346" i="9"/>
  <c r="AV346" i="9" s="1"/>
  <c r="R348" i="9"/>
  <c r="S348" i="9"/>
  <c r="N349" i="9"/>
  <c r="T348" i="9"/>
  <c r="Z348" i="9" s="1"/>
  <c r="AT347" i="9" l="1"/>
  <c r="AR348" i="9"/>
  <c r="AN348" i="9"/>
  <c r="AW348" i="9" s="1"/>
  <c r="AO347" i="9"/>
  <c r="AU347" i="9" s="1"/>
  <c r="AP347" i="9"/>
  <c r="AV347" i="9" s="1"/>
  <c r="R349" i="9"/>
  <c r="S349" i="9"/>
  <c r="N350" i="9"/>
  <c r="T349" i="9"/>
  <c r="Z349" i="9" s="1"/>
  <c r="AT348" i="9" l="1"/>
  <c r="AO348" i="9"/>
  <c r="AU348" i="9" s="1"/>
  <c r="AP348" i="9"/>
  <c r="AV348" i="9" s="1"/>
  <c r="AR349" i="9"/>
  <c r="AN349" i="9"/>
  <c r="AW349" i="9" s="1"/>
  <c r="R350" i="9"/>
  <c r="S350" i="9"/>
  <c r="N351" i="9"/>
  <c r="T350" i="9"/>
  <c r="Z350" i="9" s="1"/>
  <c r="AO349" i="9" l="1"/>
  <c r="AU349" i="9" s="1"/>
  <c r="AP349" i="9"/>
  <c r="AV349" i="9" s="1"/>
  <c r="AR350" i="9"/>
  <c r="AN350" i="9"/>
  <c r="AW350" i="9" s="1"/>
  <c r="AT349" i="9"/>
  <c r="R351" i="9"/>
  <c r="S351" i="9"/>
  <c r="N352" i="9"/>
  <c r="T351" i="9"/>
  <c r="Z351" i="9" s="1"/>
  <c r="AT350" i="9" l="1"/>
  <c r="AP350" i="9"/>
  <c r="AV350" i="9" s="1"/>
  <c r="AO350" i="9"/>
  <c r="AU350" i="9" s="1"/>
  <c r="AR351" i="9"/>
  <c r="AN351" i="9"/>
  <c r="AW351" i="9" s="1"/>
  <c r="R352" i="9"/>
  <c r="S352" i="9"/>
  <c r="N353" i="9"/>
  <c r="T352" i="9"/>
  <c r="Z352" i="9" s="1"/>
  <c r="AT351" i="9" l="1"/>
  <c r="AR352" i="9"/>
  <c r="AN352" i="9"/>
  <c r="AW352" i="9" s="1"/>
  <c r="AO351" i="9"/>
  <c r="AU351" i="9" s="1"/>
  <c r="AP351" i="9"/>
  <c r="AV351" i="9" s="1"/>
  <c r="R353" i="9"/>
  <c r="S353" i="9"/>
  <c r="N354" i="9"/>
  <c r="T353" i="9"/>
  <c r="Z353" i="9" s="1"/>
  <c r="AT352" i="9" l="1"/>
  <c r="AR353" i="9"/>
  <c r="AN353" i="9"/>
  <c r="AW353" i="9" s="1"/>
  <c r="AP352" i="9"/>
  <c r="AV352" i="9" s="1"/>
  <c r="AO352" i="9"/>
  <c r="AU352" i="9" s="1"/>
  <c r="R354" i="9"/>
  <c r="S354" i="9"/>
  <c r="N355" i="9"/>
  <c r="T354" i="9"/>
  <c r="Z354" i="9" s="1"/>
  <c r="AT353" i="9" l="1"/>
  <c r="AR354" i="9"/>
  <c r="AN354" i="9"/>
  <c r="AW354" i="9" s="1"/>
  <c r="AO353" i="9"/>
  <c r="AU353" i="9" s="1"/>
  <c r="AP353" i="9"/>
  <c r="AV353" i="9" s="1"/>
  <c r="R355" i="9"/>
  <c r="S355" i="9"/>
  <c r="N356" i="9"/>
  <c r="T355" i="9"/>
  <c r="Z355" i="9" s="1"/>
  <c r="AT354" i="9" l="1"/>
  <c r="AP354" i="9"/>
  <c r="AV354" i="9" s="1"/>
  <c r="AO354" i="9"/>
  <c r="AU354" i="9" s="1"/>
  <c r="AR355" i="9"/>
  <c r="AN355" i="9"/>
  <c r="AW355" i="9" s="1"/>
  <c r="R356" i="9"/>
  <c r="S356" i="9"/>
  <c r="N357" i="9"/>
  <c r="T356" i="9"/>
  <c r="Z356" i="9" s="1"/>
  <c r="AO355" i="9" l="1"/>
  <c r="AU355" i="9" s="1"/>
  <c r="AP355" i="9"/>
  <c r="AV355" i="9" s="1"/>
  <c r="AR356" i="9"/>
  <c r="AN356" i="9"/>
  <c r="AW356" i="9" s="1"/>
  <c r="AT355" i="9"/>
  <c r="R357" i="9"/>
  <c r="S357" i="9"/>
  <c r="N358" i="9"/>
  <c r="T357" i="9"/>
  <c r="Z357" i="9" s="1"/>
  <c r="AT356" i="9" l="1"/>
  <c r="AO356" i="9"/>
  <c r="AU356" i="9" s="1"/>
  <c r="AP356" i="9"/>
  <c r="AV356" i="9" s="1"/>
  <c r="AR357" i="9"/>
  <c r="AN357" i="9"/>
  <c r="AW357" i="9" s="1"/>
  <c r="R358" i="9"/>
  <c r="S358" i="9"/>
  <c r="N359" i="9"/>
  <c r="T358" i="9"/>
  <c r="Z358" i="9" s="1"/>
  <c r="AT357" i="9" l="1"/>
  <c r="AO357" i="9"/>
  <c r="AU357" i="9" s="1"/>
  <c r="AP357" i="9"/>
  <c r="AV357" i="9" s="1"/>
  <c r="AR358" i="9"/>
  <c r="AN358" i="9"/>
  <c r="AW358" i="9" s="1"/>
  <c r="R359" i="9"/>
  <c r="S359" i="9"/>
  <c r="N360" i="9"/>
  <c r="T359" i="9"/>
  <c r="Z359" i="9" s="1"/>
  <c r="AT358" i="9" l="1"/>
  <c r="AO358" i="9"/>
  <c r="AU358" i="9" s="1"/>
  <c r="AP358" i="9"/>
  <c r="AV358" i="9" s="1"/>
  <c r="AR359" i="9"/>
  <c r="AN359" i="9"/>
  <c r="AW359" i="9" s="1"/>
  <c r="R360" i="9"/>
  <c r="S360" i="9"/>
  <c r="N361" i="9"/>
  <c r="T360" i="9"/>
  <c r="Z360" i="9" s="1"/>
  <c r="AT359" i="9" l="1"/>
  <c r="AR360" i="9"/>
  <c r="AN360" i="9"/>
  <c r="AW360" i="9" s="1"/>
  <c r="AO359" i="9"/>
  <c r="AU359" i="9" s="1"/>
  <c r="AP359" i="9"/>
  <c r="AV359" i="9" s="1"/>
  <c r="R361" i="9"/>
  <c r="S361" i="9"/>
  <c r="N362" i="9"/>
  <c r="T361" i="9"/>
  <c r="Z361" i="9" s="1"/>
  <c r="AT360" i="9" l="1"/>
  <c r="AR361" i="9"/>
  <c r="AN361" i="9"/>
  <c r="AW361" i="9" s="1"/>
  <c r="AP360" i="9"/>
  <c r="AV360" i="9" s="1"/>
  <c r="AO360" i="9"/>
  <c r="AU360" i="9" s="1"/>
  <c r="R362" i="9"/>
  <c r="S362" i="9"/>
  <c r="N363" i="9"/>
  <c r="T362" i="9"/>
  <c r="Z362" i="9" s="1"/>
  <c r="AT361" i="9" l="1"/>
  <c r="AR362" i="9"/>
  <c r="AN362" i="9"/>
  <c r="AW362" i="9" s="1"/>
  <c r="AP361" i="9"/>
  <c r="AV361" i="9" s="1"/>
  <c r="AO361" i="9"/>
  <c r="AU361" i="9" s="1"/>
  <c r="R363" i="9"/>
  <c r="S363" i="9"/>
  <c r="N364" i="9"/>
  <c r="T363" i="9"/>
  <c r="Z363" i="9" s="1"/>
  <c r="AT362" i="9" l="1"/>
  <c r="AR363" i="9"/>
  <c r="AN363" i="9"/>
  <c r="AW363" i="9" s="1"/>
  <c r="AO362" i="9"/>
  <c r="AU362" i="9" s="1"/>
  <c r="AP362" i="9"/>
  <c r="AV362" i="9" s="1"/>
  <c r="R364" i="9"/>
  <c r="S364" i="9"/>
  <c r="N365" i="9"/>
  <c r="T364" i="9"/>
  <c r="Z364" i="9" s="1"/>
  <c r="AT363" i="9" l="1"/>
  <c r="AO363" i="9"/>
  <c r="AU363" i="9" s="1"/>
  <c r="AP363" i="9"/>
  <c r="AV363" i="9" s="1"/>
  <c r="AR364" i="9"/>
  <c r="AN364" i="9"/>
  <c r="AW364" i="9" s="1"/>
  <c r="R365" i="9"/>
  <c r="S365" i="9"/>
  <c r="N366" i="9"/>
  <c r="T365" i="9"/>
  <c r="Z365" i="9" s="1"/>
  <c r="AT364" i="9" l="1"/>
  <c r="AO364" i="9"/>
  <c r="AU364" i="9" s="1"/>
  <c r="AP364" i="9"/>
  <c r="AV364" i="9" s="1"/>
  <c r="AR365" i="9"/>
  <c r="AN365" i="9"/>
  <c r="AW365" i="9" s="1"/>
  <c r="R366" i="9"/>
  <c r="S366" i="9"/>
  <c r="N367" i="9"/>
  <c r="N368" i="9" s="1"/>
  <c r="T366" i="9"/>
  <c r="Z366" i="9" s="1"/>
  <c r="AR366" i="9" l="1"/>
  <c r="AN366" i="9"/>
  <c r="AW366" i="9" s="1"/>
  <c r="AO365" i="9"/>
  <c r="AU365" i="9" s="1"/>
  <c r="AP365" i="9"/>
  <c r="AV365" i="9" s="1"/>
  <c r="AT365" i="9"/>
  <c r="T368" i="9"/>
  <c r="S368" i="9"/>
  <c r="R368" i="9"/>
  <c r="R367" i="9"/>
  <c r="S367" i="9"/>
  <c r="T367" i="9"/>
  <c r="Z367" i="9" s="1"/>
  <c r="AT366" i="9" l="1"/>
  <c r="AR367" i="9"/>
  <c r="AN367" i="9"/>
  <c r="AW367" i="9" s="1"/>
  <c r="AP366" i="9"/>
  <c r="AV366" i="9" s="1"/>
  <c r="AO366" i="9"/>
  <c r="AU366" i="9" s="1"/>
  <c r="Z368" i="9"/>
  <c r="AT367" i="9" l="1"/>
  <c r="AR368" i="9"/>
  <c r="AN368" i="9"/>
  <c r="AW368" i="9" s="1"/>
  <c r="AP367" i="9"/>
  <c r="AV367" i="9" s="1"/>
  <c r="AO367" i="9"/>
  <c r="AU367" i="9" s="1"/>
  <c r="Q8" i="3"/>
  <c r="N7" i="3"/>
  <c r="S7" i="3" s="1"/>
  <c r="Q7" i="3"/>
  <c r="AT368" i="9" l="1"/>
  <c r="AO368" i="9"/>
  <c r="AU368" i="9" s="1"/>
  <c r="AP368" i="9"/>
  <c r="AV368" i="9" s="1"/>
  <c r="N8" i="3"/>
  <c r="T7" i="3"/>
  <c r="Z7" i="3" s="1"/>
  <c r="R7" i="3"/>
  <c r="AR7" i="3" l="1"/>
  <c r="N9" i="3"/>
  <c r="T8" i="3"/>
  <c r="Z8" i="3" s="1"/>
  <c r="S8" i="3"/>
  <c r="R8" i="3"/>
  <c r="AR8" i="3" l="1"/>
  <c r="T9" i="3"/>
  <c r="Z9" i="3" s="1"/>
  <c r="N10" i="3"/>
  <c r="S9" i="3"/>
  <c r="R9" i="3"/>
  <c r="AR9" i="3" l="1"/>
  <c r="N11" i="3"/>
  <c r="T10" i="3"/>
  <c r="Z10" i="3" s="1"/>
  <c r="S10" i="3"/>
  <c r="R10" i="3"/>
  <c r="AR10" i="3" l="1"/>
  <c r="N12" i="3"/>
  <c r="R11" i="3"/>
  <c r="T11" i="3"/>
  <c r="Z11" i="3" s="1"/>
  <c r="S11" i="3"/>
  <c r="AR11" i="3" l="1"/>
  <c r="T12" i="3"/>
  <c r="Z12" i="3" s="1"/>
  <c r="S12" i="3"/>
  <c r="R12" i="3"/>
  <c r="N13" i="3"/>
  <c r="AR12" i="3" l="1"/>
  <c r="R13" i="3"/>
  <c r="N14" i="3"/>
  <c r="T13" i="3"/>
  <c r="Z13" i="3" s="1"/>
  <c r="S13" i="3"/>
  <c r="AR13" i="3" l="1"/>
  <c r="S14" i="3"/>
  <c r="R14" i="3"/>
  <c r="N15" i="3"/>
  <c r="T14" i="3"/>
  <c r="Z14" i="3" s="1"/>
  <c r="AR14" i="3" l="1"/>
  <c r="T15" i="3"/>
  <c r="Z15" i="3" s="1"/>
  <c r="S15" i="3"/>
  <c r="R15" i="3"/>
  <c r="N16" i="3"/>
  <c r="AR15" i="3" l="1"/>
  <c r="N17" i="3"/>
  <c r="S16" i="3"/>
  <c r="T16" i="3"/>
  <c r="Z16" i="3" s="1"/>
  <c r="R16" i="3"/>
  <c r="AR16" i="3" l="1"/>
  <c r="N18" i="3"/>
  <c r="T17" i="3"/>
  <c r="Z17" i="3" s="1"/>
  <c r="S17" i="3"/>
  <c r="R17" i="3"/>
  <c r="AR17" i="3" l="1"/>
  <c r="R18" i="3"/>
  <c r="T18" i="3"/>
  <c r="Z18" i="3" s="1"/>
  <c r="N19" i="3"/>
  <c r="S18" i="3"/>
  <c r="AR18" i="3" l="1"/>
  <c r="T19" i="3"/>
  <c r="Z19" i="3" s="1"/>
  <c r="S19" i="3"/>
  <c r="R19" i="3"/>
  <c r="N20" i="3"/>
  <c r="AR19" i="3" l="1"/>
  <c r="T20" i="3"/>
  <c r="Z20" i="3" s="1"/>
  <c r="S20" i="3"/>
  <c r="R20" i="3"/>
  <c r="N21" i="3"/>
  <c r="AR20" i="3" l="1"/>
  <c r="R21" i="3"/>
  <c r="N22" i="3"/>
  <c r="T21" i="3"/>
  <c r="Z21" i="3" s="1"/>
  <c r="S21" i="3"/>
  <c r="AR21" i="3" l="1"/>
  <c r="S22" i="3"/>
  <c r="R22" i="3"/>
  <c r="N23" i="3"/>
  <c r="T22" i="3"/>
  <c r="Z22" i="3" s="1"/>
  <c r="AR22" i="3" l="1"/>
  <c r="R23" i="3"/>
  <c r="T23" i="3"/>
  <c r="Z23" i="3" s="1"/>
  <c r="S23" i="3"/>
  <c r="N24" i="3"/>
  <c r="AR23" i="3" l="1"/>
  <c r="N25" i="3"/>
  <c r="S24" i="3"/>
  <c r="T24" i="3"/>
  <c r="Z24" i="3" s="1"/>
  <c r="R24" i="3"/>
  <c r="AR24" i="3" l="1"/>
  <c r="N26" i="3"/>
  <c r="T25" i="3"/>
  <c r="Z25" i="3" s="1"/>
  <c r="S25" i="3"/>
  <c r="R25" i="3"/>
  <c r="AR25" i="3" l="1"/>
  <c r="N27" i="3"/>
  <c r="T26" i="3"/>
  <c r="Z26" i="3" s="1"/>
  <c r="S26" i="3"/>
  <c r="R26" i="3"/>
  <c r="AR26" i="3" l="1"/>
  <c r="N28" i="3"/>
  <c r="T27" i="3"/>
  <c r="Z27" i="3" s="1"/>
  <c r="S27" i="3"/>
  <c r="R27" i="3"/>
  <c r="AR27" i="3" l="1"/>
  <c r="T28" i="3"/>
  <c r="Z28" i="3" s="1"/>
  <c r="S28" i="3"/>
  <c r="R28" i="3"/>
  <c r="N29" i="3"/>
  <c r="AR28" i="3" l="1"/>
  <c r="R29" i="3"/>
  <c r="N30" i="3"/>
  <c r="T29" i="3"/>
  <c r="Z29" i="3" s="1"/>
  <c r="S29" i="3"/>
  <c r="AR29" i="3" l="1"/>
  <c r="S30" i="3"/>
  <c r="R30" i="3"/>
  <c r="N31" i="3"/>
  <c r="T30" i="3"/>
  <c r="Z30" i="3" s="1"/>
  <c r="AR30" i="3" l="1"/>
  <c r="T31" i="3"/>
  <c r="Z31" i="3" s="1"/>
  <c r="S31" i="3"/>
  <c r="R31" i="3"/>
  <c r="N32" i="3"/>
  <c r="AR31" i="3" l="1"/>
  <c r="N33" i="3"/>
  <c r="T32" i="3"/>
  <c r="Z32" i="3" s="1"/>
  <c r="S32" i="3"/>
  <c r="R32" i="3"/>
  <c r="AR32" i="3" l="1"/>
  <c r="S33" i="3"/>
  <c r="N34" i="3"/>
  <c r="T33" i="3"/>
  <c r="Z33" i="3" s="1"/>
  <c r="R33" i="3"/>
  <c r="AR33" i="3" l="1"/>
  <c r="N35" i="3"/>
  <c r="T34" i="3"/>
  <c r="Z34" i="3" s="1"/>
  <c r="S34" i="3"/>
  <c r="R34" i="3"/>
  <c r="AR34" i="3" l="1"/>
  <c r="T35" i="3"/>
  <c r="Z35" i="3" s="1"/>
  <c r="S35" i="3"/>
  <c r="R35" i="3"/>
  <c r="N36" i="3"/>
  <c r="AR35" i="3" l="1"/>
  <c r="T36" i="3"/>
  <c r="Z36" i="3" s="1"/>
  <c r="S36" i="3"/>
  <c r="R36" i="3"/>
  <c r="N37" i="3"/>
  <c r="AR36" i="3" l="1"/>
  <c r="R37" i="3"/>
  <c r="N38" i="3"/>
  <c r="T37" i="3"/>
  <c r="Z37" i="3" s="1"/>
  <c r="S37" i="3"/>
  <c r="AR37" i="3" l="1"/>
  <c r="S38" i="3"/>
  <c r="R38" i="3"/>
  <c r="N39" i="3"/>
  <c r="T38" i="3"/>
  <c r="Z38" i="3" s="1"/>
  <c r="AR38" i="3" l="1"/>
  <c r="T39" i="3"/>
  <c r="Z39" i="3" s="1"/>
  <c r="R39" i="3"/>
  <c r="S39" i="3"/>
  <c r="N40" i="3"/>
  <c r="AR39" i="3" l="1"/>
  <c r="N41" i="3"/>
  <c r="S40" i="3"/>
  <c r="T40" i="3"/>
  <c r="Z40" i="3" s="1"/>
  <c r="R40" i="3"/>
  <c r="AR40" i="3" l="1"/>
  <c r="S41" i="3"/>
  <c r="N42" i="3"/>
  <c r="R41" i="3"/>
  <c r="T41" i="3"/>
  <c r="Z41" i="3" s="1"/>
  <c r="AR41" i="3" l="1"/>
  <c r="N43" i="3"/>
  <c r="T42" i="3"/>
  <c r="Z42" i="3" s="1"/>
  <c r="S42" i="3"/>
  <c r="R42" i="3"/>
  <c r="AR42" i="3" l="1"/>
  <c r="T43" i="3"/>
  <c r="Z43" i="3" s="1"/>
  <c r="S43" i="3"/>
  <c r="R43" i="3"/>
  <c r="N44" i="3"/>
  <c r="AR43" i="3" l="1"/>
  <c r="T44" i="3"/>
  <c r="Z44" i="3" s="1"/>
  <c r="S44" i="3"/>
  <c r="R44" i="3"/>
  <c r="N45" i="3"/>
  <c r="AR44" i="3" l="1"/>
  <c r="T45" i="3"/>
  <c r="Z45" i="3" s="1"/>
  <c r="S45" i="3"/>
  <c r="R45" i="3"/>
  <c r="N46" i="3"/>
  <c r="AR45" i="3" l="1"/>
  <c r="T46" i="3"/>
  <c r="Z46" i="3" s="1"/>
  <c r="S46" i="3"/>
  <c r="R46" i="3"/>
  <c r="N47" i="3"/>
  <c r="AR46" i="3" l="1"/>
  <c r="T47" i="3"/>
  <c r="Z47" i="3" s="1"/>
  <c r="S47" i="3"/>
  <c r="R47" i="3"/>
  <c r="N48" i="3"/>
  <c r="AR47" i="3" l="1"/>
  <c r="N49" i="3"/>
  <c r="T48" i="3"/>
  <c r="Z48" i="3" s="1"/>
  <c r="S48" i="3"/>
  <c r="R48" i="3"/>
  <c r="AR48" i="3" l="1"/>
  <c r="N50" i="3"/>
  <c r="T49" i="3"/>
  <c r="Z49" i="3" s="1"/>
  <c r="S49" i="3"/>
  <c r="R49" i="3"/>
  <c r="AR49" i="3" l="1"/>
  <c r="N51" i="3"/>
  <c r="T50" i="3"/>
  <c r="Z50" i="3" s="1"/>
  <c r="S50" i="3"/>
  <c r="R50" i="3"/>
  <c r="AR50" i="3" l="1"/>
  <c r="N52" i="3"/>
  <c r="T51" i="3"/>
  <c r="Z51" i="3" s="1"/>
  <c r="S51" i="3"/>
  <c r="R51" i="3"/>
  <c r="AR51" i="3" l="1"/>
  <c r="T52" i="3"/>
  <c r="Z52" i="3" s="1"/>
  <c r="S52" i="3"/>
  <c r="R52" i="3"/>
  <c r="N53" i="3"/>
  <c r="AR52" i="3" l="1"/>
  <c r="S53" i="3"/>
  <c r="T53" i="3"/>
  <c r="Z53" i="3" s="1"/>
  <c r="R53" i="3"/>
  <c r="N54" i="3"/>
  <c r="AR53" i="3" l="1"/>
  <c r="S54" i="3"/>
  <c r="R54" i="3"/>
  <c r="N55" i="3"/>
  <c r="T54" i="3"/>
  <c r="Z54" i="3" s="1"/>
  <c r="AR54" i="3" l="1"/>
  <c r="T55" i="3"/>
  <c r="Z55" i="3" s="1"/>
  <c r="S55" i="3"/>
  <c r="R55" i="3"/>
  <c r="N56" i="3"/>
  <c r="AR55" i="3" l="1"/>
  <c r="N57" i="3"/>
  <c r="T56" i="3"/>
  <c r="Z56" i="3" s="1"/>
  <c r="S56" i="3"/>
  <c r="R56" i="3"/>
  <c r="AR56" i="3" l="1"/>
  <c r="N58" i="3"/>
  <c r="S57" i="3"/>
  <c r="T57" i="3"/>
  <c r="Z57" i="3" s="1"/>
  <c r="R57" i="3"/>
  <c r="AR57" i="3" l="1"/>
  <c r="N59" i="3"/>
  <c r="T58" i="3"/>
  <c r="Z58" i="3" s="1"/>
  <c r="S58" i="3"/>
  <c r="R58" i="3"/>
  <c r="AR58" i="3" l="1"/>
  <c r="N60" i="3"/>
  <c r="S59" i="3"/>
  <c r="T59" i="3"/>
  <c r="Z59" i="3" s="1"/>
  <c r="R59" i="3"/>
  <c r="AR59" i="3" l="1"/>
  <c r="T60" i="3"/>
  <c r="Z60" i="3" s="1"/>
  <c r="S60" i="3"/>
  <c r="R60" i="3"/>
  <c r="N61" i="3"/>
  <c r="AR60" i="3" l="1"/>
  <c r="R61" i="3"/>
  <c r="N62" i="3"/>
  <c r="S61" i="3"/>
  <c r="T61" i="3"/>
  <c r="Z61" i="3" s="1"/>
  <c r="AR61" i="3" l="1"/>
  <c r="R62" i="3"/>
  <c r="S62" i="3"/>
  <c r="N63" i="3"/>
  <c r="T62" i="3"/>
  <c r="Z62" i="3" s="1"/>
  <c r="AR62" i="3" l="1"/>
  <c r="T63" i="3"/>
  <c r="Z63" i="3" s="1"/>
  <c r="S63" i="3"/>
  <c r="R63" i="3"/>
  <c r="N64" i="3"/>
  <c r="AR63" i="3" l="1"/>
  <c r="N65" i="3"/>
  <c r="T64" i="3"/>
  <c r="Z64" i="3" s="1"/>
  <c r="R64" i="3"/>
  <c r="S64" i="3"/>
  <c r="AR64" i="3" l="1"/>
  <c r="N66" i="3"/>
  <c r="S65" i="3"/>
  <c r="T65" i="3"/>
  <c r="Z65" i="3" s="1"/>
  <c r="R65" i="3"/>
  <c r="AR65" i="3" l="1"/>
  <c r="N67" i="3"/>
  <c r="S66" i="3"/>
  <c r="T66" i="3"/>
  <c r="Z66" i="3" s="1"/>
  <c r="R66" i="3"/>
  <c r="AR66" i="3" l="1"/>
  <c r="N68" i="3"/>
  <c r="S67" i="3"/>
  <c r="T67" i="3"/>
  <c r="Z67" i="3" s="1"/>
  <c r="R67" i="3"/>
  <c r="AR67" i="3" l="1"/>
  <c r="S68" i="3"/>
  <c r="R68" i="3"/>
  <c r="T68" i="3"/>
  <c r="Z68" i="3" s="1"/>
  <c r="N69" i="3"/>
  <c r="AR68" i="3" l="1"/>
  <c r="T69" i="3"/>
  <c r="Z69" i="3" s="1"/>
  <c r="S69" i="3"/>
  <c r="R69" i="3"/>
  <c r="N70" i="3"/>
  <c r="AR69" i="3" l="1"/>
  <c r="S70" i="3"/>
  <c r="R70" i="3"/>
  <c r="T70" i="3"/>
  <c r="Z70" i="3" s="1"/>
  <c r="N71" i="3"/>
  <c r="AR70" i="3" l="1"/>
  <c r="T71" i="3"/>
  <c r="Z71" i="3" s="1"/>
  <c r="S71" i="3"/>
  <c r="R71" i="3"/>
  <c r="N72" i="3"/>
  <c r="AR71" i="3" l="1"/>
  <c r="N73" i="3"/>
  <c r="T72" i="3"/>
  <c r="Z72" i="3" s="1"/>
  <c r="S72" i="3"/>
  <c r="R72" i="3"/>
  <c r="AR72" i="3" l="1"/>
  <c r="N74" i="3"/>
  <c r="T73" i="3"/>
  <c r="Z73" i="3" s="1"/>
  <c r="S73" i="3"/>
  <c r="R73" i="3"/>
  <c r="AR73" i="3" l="1"/>
  <c r="N75" i="3"/>
  <c r="T74" i="3"/>
  <c r="Z74" i="3" s="1"/>
  <c r="S74" i="3"/>
  <c r="R74" i="3"/>
  <c r="AR74" i="3" l="1"/>
  <c r="N76" i="3"/>
  <c r="S75" i="3"/>
  <c r="T75" i="3"/>
  <c r="Z75" i="3" s="1"/>
  <c r="R75" i="3"/>
  <c r="AR75" i="3" l="1"/>
  <c r="T76" i="3"/>
  <c r="Z76" i="3" s="1"/>
  <c r="S76" i="3"/>
  <c r="R76" i="3"/>
  <c r="N77" i="3"/>
  <c r="AR76" i="3" l="1"/>
  <c r="R77" i="3"/>
  <c r="N78" i="3"/>
  <c r="T77" i="3"/>
  <c r="Z77" i="3" s="1"/>
  <c r="S77" i="3"/>
  <c r="AR77" i="3" l="1"/>
  <c r="T78" i="3"/>
  <c r="Z78" i="3" s="1"/>
  <c r="R78" i="3"/>
  <c r="S78" i="3"/>
  <c r="N79" i="3"/>
  <c r="AR78" i="3" l="1"/>
  <c r="T79" i="3"/>
  <c r="Z79" i="3" s="1"/>
  <c r="S79" i="3"/>
  <c r="R79" i="3"/>
  <c r="N80" i="3"/>
  <c r="AR79" i="3" l="1"/>
  <c r="N81" i="3"/>
  <c r="T80" i="3"/>
  <c r="Z80" i="3" s="1"/>
  <c r="S80" i="3"/>
  <c r="R80" i="3"/>
  <c r="AR80" i="3" l="1"/>
  <c r="N82" i="3"/>
  <c r="T81" i="3"/>
  <c r="Z81" i="3" s="1"/>
  <c r="S81" i="3"/>
  <c r="R81" i="3"/>
  <c r="AR81" i="3" l="1"/>
  <c r="R82" i="3"/>
  <c r="S82" i="3"/>
  <c r="N83" i="3"/>
  <c r="T82" i="3"/>
  <c r="Z82" i="3" s="1"/>
  <c r="AR82" i="3" l="1"/>
  <c r="T83" i="3"/>
  <c r="Z83" i="3" s="1"/>
  <c r="S83" i="3"/>
  <c r="R83" i="3"/>
  <c r="N84" i="3"/>
  <c r="AR83" i="3" l="1"/>
  <c r="S84" i="3"/>
  <c r="T84" i="3"/>
  <c r="Z84" i="3" s="1"/>
  <c r="R84" i="3"/>
  <c r="N85" i="3"/>
  <c r="AR84" i="3" l="1"/>
  <c r="R85" i="3"/>
  <c r="T85" i="3"/>
  <c r="Z85" i="3" s="1"/>
  <c r="S85" i="3"/>
  <c r="N86" i="3"/>
  <c r="AR85" i="3" l="1"/>
  <c r="T86" i="3"/>
  <c r="Z86" i="3" s="1"/>
  <c r="S86" i="3"/>
  <c r="R86" i="3"/>
  <c r="N87" i="3"/>
  <c r="AR86" i="3" l="1"/>
  <c r="T87" i="3"/>
  <c r="Z87" i="3" s="1"/>
  <c r="S87" i="3"/>
  <c r="R87" i="3"/>
  <c r="N88" i="3"/>
  <c r="AR87" i="3" l="1"/>
  <c r="N89" i="3"/>
  <c r="T88" i="3"/>
  <c r="Z88" i="3" s="1"/>
  <c r="R88" i="3"/>
  <c r="S88" i="3"/>
  <c r="AR88" i="3" l="1"/>
  <c r="N90" i="3"/>
  <c r="T89" i="3"/>
  <c r="Z89" i="3" s="1"/>
  <c r="S89" i="3"/>
  <c r="R89" i="3"/>
  <c r="AR89" i="3" l="1"/>
  <c r="N91" i="3"/>
  <c r="S90" i="3"/>
  <c r="T90" i="3"/>
  <c r="Z90" i="3" s="1"/>
  <c r="R90" i="3"/>
  <c r="AR90" i="3" l="1"/>
  <c r="S91" i="3"/>
  <c r="T91" i="3"/>
  <c r="Z91" i="3" s="1"/>
  <c r="N92" i="3"/>
  <c r="R91" i="3"/>
  <c r="AR91" i="3" l="1"/>
  <c r="S92" i="3"/>
  <c r="R92" i="3"/>
  <c r="T92" i="3"/>
  <c r="Z92" i="3" s="1"/>
  <c r="N93" i="3"/>
  <c r="AR92" i="3" l="1"/>
  <c r="S93" i="3"/>
  <c r="R93" i="3"/>
  <c r="T93" i="3"/>
  <c r="Z93" i="3" s="1"/>
  <c r="N94" i="3"/>
  <c r="AR93" i="3" l="1"/>
  <c r="S94" i="3"/>
  <c r="T94" i="3"/>
  <c r="Z94" i="3" s="1"/>
  <c r="R94" i="3"/>
  <c r="N95" i="3"/>
  <c r="AR94" i="3" l="1"/>
  <c r="S95" i="3"/>
  <c r="T95" i="3"/>
  <c r="Z95" i="3" s="1"/>
  <c r="R95" i="3"/>
  <c r="N96" i="3"/>
  <c r="AR95" i="3" l="1"/>
  <c r="S96" i="3"/>
  <c r="T96" i="3"/>
  <c r="Z96" i="3" s="1"/>
  <c r="R96" i="3"/>
  <c r="N97" i="3"/>
  <c r="AR96" i="3" l="1"/>
  <c r="S97" i="3"/>
  <c r="T97" i="3"/>
  <c r="Z97" i="3" s="1"/>
  <c r="R97" i="3"/>
  <c r="N98" i="3"/>
  <c r="AR97" i="3" l="1"/>
  <c r="T98" i="3"/>
  <c r="Z98" i="3" s="1"/>
  <c r="S98" i="3"/>
  <c r="R98" i="3"/>
  <c r="N99" i="3"/>
  <c r="AR98" i="3" l="1"/>
  <c r="R99" i="3"/>
  <c r="S99" i="3"/>
  <c r="T99" i="3"/>
  <c r="Z99" i="3" s="1"/>
  <c r="N100" i="3"/>
  <c r="AR99" i="3" l="1"/>
  <c r="S100" i="3"/>
  <c r="R100" i="3"/>
  <c r="T100" i="3"/>
  <c r="Z100" i="3" s="1"/>
  <c r="N101" i="3"/>
  <c r="AR100" i="3" l="1"/>
  <c r="S101" i="3"/>
  <c r="T101" i="3"/>
  <c r="Z101" i="3" s="1"/>
  <c r="R101" i="3"/>
  <c r="N102" i="3"/>
  <c r="AR101" i="3" l="1"/>
  <c r="T102" i="3"/>
  <c r="Z102" i="3" s="1"/>
  <c r="S102" i="3"/>
  <c r="R102" i="3"/>
  <c r="N103" i="3"/>
  <c r="AR102" i="3" l="1"/>
  <c r="S103" i="3"/>
  <c r="T103" i="3"/>
  <c r="Z103" i="3" s="1"/>
  <c r="R103" i="3"/>
  <c r="N104" i="3"/>
  <c r="AR103" i="3" l="1"/>
  <c r="T104" i="3"/>
  <c r="Z104" i="3" s="1"/>
  <c r="S104" i="3"/>
  <c r="R104" i="3"/>
  <c r="N105" i="3"/>
  <c r="AD263" i="3" l="1"/>
  <c r="AE263" i="3" s="1"/>
  <c r="AR104" i="3"/>
  <c r="S105" i="3"/>
  <c r="T105" i="3"/>
  <c r="Z105" i="3" s="1"/>
  <c r="R105" i="3"/>
  <c r="N106" i="3"/>
  <c r="AR105" i="3" l="1"/>
  <c r="S106" i="3"/>
  <c r="T106" i="3"/>
  <c r="Z106" i="3" s="1"/>
  <c r="R106" i="3"/>
  <c r="N107" i="3"/>
  <c r="AR106" i="3" l="1"/>
  <c r="R107" i="3"/>
  <c r="S107" i="3"/>
  <c r="T107" i="3"/>
  <c r="Z107" i="3" s="1"/>
  <c r="N108" i="3"/>
  <c r="AR107" i="3" l="1"/>
  <c r="T108" i="3"/>
  <c r="Z108" i="3" s="1"/>
  <c r="R108" i="3"/>
  <c r="S108" i="3"/>
  <c r="N109" i="3"/>
  <c r="AR108" i="3" l="1"/>
  <c r="T109" i="3"/>
  <c r="Z109" i="3" s="1"/>
  <c r="S109" i="3"/>
  <c r="R109" i="3"/>
  <c r="N110" i="3"/>
  <c r="AR109" i="3" l="1"/>
  <c r="T110" i="3"/>
  <c r="Z110" i="3" s="1"/>
  <c r="S110" i="3"/>
  <c r="R110" i="3"/>
  <c r="N111" i="3"/>
  <c r="AR110" i="3" l="1"/>
  <c r="R111" i="3"/>
  <c r="T111" i="3"/>
  <c r="Z111" i="3" s="1"/>
  <c r="S111" i="3"/>
  <c r="N112" i="3"/>
  <c r="AR111" i="3" l="1"/>
  <c r="T112" i="3"/>
  <c r="Z112" i="3" s="1"/>
  <c r="S112" i="3"/>
  <c r="R112" i="3"/>
  <c r="N113" i="3"/>
  <c r="AR112" i="3" l="1"/>
  <c r="T113" i="3"/>
  <c r="Z113" i="3" s="1"/>
  <c r="R113" i="3"/>
  <c r="S113" i="3"/>
  <c r="N114" i="3"/>
  <c r="AR113" i="3" l="1"/>
  <c r="R114" i="3"/>
  <c r="T114" i="3"/>
  <c r="Z114" i="3" s="1"/>
  <c r="S114" i="3"/>
  <c r="N115" i="3"/>
  <c r="AR114" i="3" l="1"/>
  <c r="R115" i="3"/>
  <c r="S115" i="3"/>
  <c r="T115" i="3"/>
  <c r="Z115" i="3" s="1"/>
  <c r="N116" i="3"/>
  <c r="AR115" i="3" l="1"/>
  <c r="S116" i="3"/>
  <c r="R116" i="3"/>
  <c r="T116" i="3"/>
  <c r="Z116" i="3" s="1"/>
  <c r="N117" i="3"/>
  <c r="AR116" i="3" l="1"/>
  <c r="T117" i="3"/>
  <c r="Z117" i="3" s="1"/>
  <c r="S117" i="3"/>
  <c r="R117" i="3"/>
  <c r="N118" i="3"/>
  <c r="AR117" i="3" l="1"/>
  <c r="S118" i="3"/>
  <c r="T118" i="3"/>
  <c r="Z118" i="3" s="1"/>
  <c r="R118" i="3"/>
  <c r="N119" i="3"/>
  <c r="AR118" i="3" l="1"/>
  <c r="T119" i="3"/>
  <c r="Z119" i="3" s="1"/>
  <c r="S119" i="3"/>
  <c r="R119" i="3"/>
  <c r="N120" i="3"/>
  <c r="AR119" i="3" l="1"/>
  <c r="T120" i="3"/>
  <c r="Z120" i="3" s="1"/>
  <c r="S120" i="3"/>
  <c r="R120" i="3"/>
  <c r="N121" i="3"/>
  <c r="AR120" i="3" l="1"/>
  <c r="S121" i="3"/>
  <c r="T121" i="3"/>
  <c r="Z121" i="3" s="1"/>
  <c r="R121" i="3"/>
  <c r="N122" i="3"/>
  <c r="AR121" i="3" l="1"/>
  <c r="T122" i="3"/>
  <c r="Z122" i="3" s="1"/>
  <c r="S122" i="3"/>
  <c r="R122" i="3"/>
  <c r="N123" i="3"/>
  <c r="AR122" i="3" l="1"/>
  <c r="R123" i="3"/>
  <c r="T123" i="3"/>
  <c r="Z123" i="3" s="1"/>
  <c r="S123" i="3"/>
  <c r="N124" i="3"/>
  <c r="AR123" i="3" l="1"/>
  <c r="S124" i="3"/>
  <c r="R124" i="3"/>
  <c r="T124" i="3"/>
  <c r="Z124" i="3" s="1"/>
  <c r="N125" i="3"/>
  <c r="AR124" i="3" l="1"/>
  <c r="S125" i="3"/>
  <c r="T125" i="3"/>
  <c r="Z125" i="3" s="1"/>
  <c r="R125" i="3"/>
  <c r="N126" i="3"/>
  <c r="AR125" i="3" l="1"/>
  <c r="T126" i="3"/>
  <c r="Z126" i="3" s="1"/>
  <c r="S126" i="3"/>
  <c r="R126" i="3"/>
  <c r="N127" i="3"/>
  <c r="AR126" i="3" l="1"/>
  <c r="T127" i="3"/>
  <c r="Z127" i="3" s="1"/>
  <c r="S127" i="3"/>
  <c r="R127" i="3"/>
  <c r="N128" i="3"/>
  <c r="AR127" i="3" l="1"/>
  <c r="T128" i="3"/>
  <c r="Z128" i="3" s="1"/>
  <c r="S128" i="3"/>
  <c r="R128" i="3"/>
  <c r="N129" i="3"/>
  <c r="AR128" i="3" l="1"/>
  <c r="T129" i="3"/>
  <c r="Z129" i="3" s="1"/>
  <c r="S129" i="3"/>
  <c r="R129" i="3"/>
  <c r="N130" i="3"/>
  <c r="AR129" i="3" l="1"/>
  <c r="T130" i="3"/>
  <c r="Z130" i="3" s="1"/>
  <c r="S130" i="3"/>
  <c r="R130" i="3"/>
  <c r="N131" i="3"/>
  <c r="AR130" i="3" l="1"/>
  <c r="R131" i="3"/>
  <c r="T131" i="3"/>
  <c r="Z131" i="3" s="1"/>
  <c r="S131" i="3"/>
  <c r="N132" i="3"/>
  <c r="AR131" i="3" l="1"/>
  <c r="T132" i="3"/>
  <c r="Z132" i="3" s="1"/>
  <c r="R132" i="3"/>
  <c r="S132" i="3"/>
  <c r="N133" i="3"/>
  <c r="AR132" i="3" l="1"/>
  <c r="T133" i="3"/>
  <c r="Z133" i="3" s="1"/>
  <c r="S133" i="3"/>
  <c r="R133" i="3"/>
  <c r="N134" i="3"/>
  <c r="AR133" i="3" l="1"/>
  <c r="S134" i="3"/>
  <c r="T134" i="3"/>
  <c r="Z134" i="3" s="1"/>
  <c r="R134" i="3"/>
  <c r="N135" i="3"/>
  <c r="AR134" i="3" l="1"/>
  <c r="R135" i="3"/>
  <c r="T135" i="3"/>
  <c r="Z135" i="3" s="1"/>
  <c r="S135" i="3"/>
  <c r="N136" i="3"/>
  <c r="AR135" i="3" l="1"/>
  <c r="S136" i="3"/>
  <c r="R136" i="3"/>
  <c r="T136" i="3"/>
  <c r="Z136" i="3" s="1"/>
  <c r="N137" i="3"/>
  <c r="AR136" i="3" l="1"/>
  <c r="S137" i="3"/>
  <c r="T137" i="3"/>
  <c r="Z137" i="3" s="1"/>
  <c r="R137" i="3"/>
  <c r="N138" i="3"/>
  <c r="AR137" i="3" l="1"/>
  <c r="S138" i="3"/>
  <c r="R138" i="3"/>
  <c r="T138" i="3"/>
  <c r="Z138" i="3" s="1"/>
  <c r="N139" i="3"/>
  <c r="AR138" i="3" l="1"/>
  <c r="R139" i="3"/>
  <c r="S139" i="3"/>
  <c r="T139" i="3"/>
  <c r="Z139" i="3" s="1"/>
  <c r="N140" i="3"/>
  <c r="AR139" i="3" l="1"/>
  <c r="T140" i="3"/>
  <c r="Z140" i="3" s="1"/>
  <c r="S140" i="3"/>
  <c r="R140" i="3"/>
  <c r="N141" i="3"/>
  <c r="AR140" i="3" l="1"/>
  <c r="S141" i="3"/>
  <c r="R141" i="3"/>
  <c r="T141" i="3"/>
  <c r="Z141" i="3" s="1"/>
  <c r="N142" i="3"/>
  <c r="AR141" i="3" l="1"/>
  <c r="T142" i="3"/>
  <c r="Z142" i="3" s="1"/>
  <c r="S142" i="3"/>
  <c r="R142" i="3"/>
  <c r="N143" i="3"/>
  <c r="AR142" i="3" l="1"/>
  <c r="R143" i="3"/>
  <c r="S143" i="3"/>
  <c r="T143" i="3"/>
  <c r="Z143" i="3" s="1"/>
  <c r="N144" i="3"/>
  <c r="AR143" i="3" l="1"/>
  <c r="R144" i="3"/>
  <c r="T144" i="3"/>
  <c r="Z144" i="3" s="1"/>
  <c r="S144" i="3"/>
  <c r="N145" i="3"/>
  <c r="AR144" i="3" l="1"/>
  <c r="S145" i="3"/>
  <c r="T145" i="3"/>
  <c r="Z145" i="3" s="1"/>
  <c r="R145" i="3"/>
  <c r="N146" i="3"/>
  <c r="AR145" i="3" l="1"/>
  <c r="T146" i="3"/>
  <c r="Z146" i="3" s="1"/>
  <c r="S146" i="3"/>
  <c r="R146" i="3"/>
  <c r="N147" i="3"/>
  <c r="AR146" i="3" l="1"/>
  <c r="S147" i="3"/>
  <c r="T147" i="3"/>
  <c r="Z147" i="3" s="1"/>
  <c r="R147" i="3"/>
  <c r="N148" i="3"/>
  <c r="AR147" i="3" l="1"/>
  <c r="S148" i="3"/>
  <c r="T148" i="3"/>
  <c r="Z148" i="3" s="1"/>
  <c r="R148" i="3"/>
  <c r="N149" i="3"/>
  <c r="AR148" i="3" l="1"/>
  <c r="T149" i="3"/>
  <c r="Z149" i="3" s="1"/>
  <c r="S149" i="3"/>
  <c r="R149" i="3"/>
  <c r="N150" i="3"/>
  <c r="AR149" i="3" l="1"/>
  <c r="T150" i="3"/>
  <c r="Z150" i="3" s="1"/>
  <c r="S150" i="3"/>
  <c r="R150" i="3"/>
  <c r="N151" i="3"/>
  <c r="AR150" i="3" l="1"/>
  <c r="T151" i="3"/>
  <c r="Z151" i="3" s="1"/>
  <c r="S151" i="3"/>
  <c r="R151" i="3"/>
  <c r="N152" i="3"/>
  <c r="AR151" i="3" l="1"/>
  <c r="T152" i="3"/>
  <c r="Z152" i="3" s="1"/>
  <c r="S152" i="3"/>
  <c r="R152" i="3"/>
  <c r="N153" i="3"/>
  <c r="AR152" i="3" l="1"/>
  <c r="T153" i="3"/>
  <c r="Z153" i="3" s="1"/>
  <c r="S153" i="3"/>
  <c r="R153" i="3"/>
  <c r="N154" i="3"/>
  <c r="AR153" i="3" l="1"/>
  <c r="T154" i="3"/>
  <c r="Z154" i="3" s="1"/>
  <c r="S154" i="3"/>
  <c r="R154" i="3"/>
  <c r="N155" i="3"/>
  <c r="AR154" i="3" l="1"/>
  <c r="R155" i="3"/>
  <c r="T155" i="3"/>
  <c r="Z155" i="3" s="1"/>
  <c r="S155" i="3"/>
  <c r="N156" i="3"/>
  <c r="AR155" i="3" l="1"/>
  <c r="S156" i="3"/>
  <c r="T156" i="3"/>
  <c r="Z156" i="3" s="1"/>
  <c r="R156" i="3"/>
  <c r="N157" i="3"/>
  <c r="AR156" i="3" l="1"/>
  <c r="T157" i="3"/>
  <c r="Z157" i="3" s="1"/>
  <c r="S157" i="3"/>
  <c r="R157" i="3"/>
  <c r="N158" i="3"/>
  <c r="AR157" i="3" l="1"/>
  <c r="T158" i="3"/>
  <c r="Z158" i="3" s="1"/>
  <c r="S158" i="3"/>
  <c r="R158" i="3"/>
  <c r="N159" i="3"/>
  <c r="AR158" i="3" l="1"/>
  <c r="T159" i="3"/>
  <c r="Z159" i="3" s="1"/>
  <c r="S159" i="3"/>
  <c r="R159" i="3"/>
  <c r="N160" i="3"/>
  <c r="AR159" i="3" l="1"/>
  <c r="T160" i="3"/>
  <c r="Z160" i="3" s="1"/>
  <c r="S160" i="3"/>
  <c r="R160" i="3"/>
  <c r="N161" i="3"/>
  <c r="AR160" i="3" l="1"/>
  <c r="T161" i="3"/>
  <c r="Z161" i="3" s="1"/>
  <c r="S161" i="3"/>
  <c r="R161" i="3"/>
  <c r="N162" i="3"/>
  <c r="AR161" i="3" l="1"/>
  <c r="R162" i="3"/>
  <c r="T162" i="3"/>
  <c r="Z162" i="3" s="1"/>
  <c r="S162" i="3"/>
  <c r="N163" i="3"/>
  <c r="AR162" i="3" l="1"/>
  <c r="C75" i="7" s="1"/>
  <c r="S163" i="3"/>
  <c r="T163" i="3"/>
  <c r="Z163" i="3" s="1"/>
  <c r="R163" i="3"/>
  <c r="N164" i="3"/>
  <c r="AN4" i="3" l="1"/>
  <c r="AW4" i="3" s="1"/>
  <c r="AN68" i="3"/>
  <c r="AW68" i="3" s="1"/>
  <c r="AN29" i="3"/>
  <c r="AW29" i="3" s="1"/>
  <c r="AN93" i="3"/>
  <c r="AW93" i="3" s="1"/>
  <c r="AN54" i="3"/>
  <c r="AW54" i="3" s="1"/>
  <c r="AN15" i="3"/>
  <c r="AW15" i="3" s="1"/>
  <c r="AN79" i="3"/>
  <c r="AW79" i="3" s="1"/>
  <c r="AN8" i="3"/>
  <c r="AW8" i="3" s="1"/>
  <c r="AN72" i="3"/>
  <c r="AW72" i="3" s="1"/>
  <c r="AN91" i="3"/>
  <c r="AW91" i="3" s="1"/>
  <c r="AN65" i="3"/>
  <c r="AW65" i="3" s="1"/>
  <c r="AN26" i="3"/>
  <c r="AW26" i="3" s="1"/>
  <c r="AN90" i="3"/>
  <c r="AW90" i="3" s="1"/>
  <c r="AN98" i="3"/>
  <c r="AW98" i="3" s="1"/>
  <c r="AN97" i="3"/>
  <c r="AW97" i="3" s="1"/>
  <c r="AN10" i="3"/>
  <c r="AW10" i="3" s="1"/>
  <c r="AN12" i="3"/>
  <c r="AW12" i="3" s="1"/>
  <c r="AN76" i="3"/>
  <c r="AW76" i="3" s="1"/>
  <c r="AN37" i="3"/>
  <c r="AW37" i="3" s="1"/>
  <c r="AN101" i="3"/>
  <c r="AW101" i="3" s="1"/>
  <c r="AN62" i="3"/>
  <c r="AW62" i="3" s="1"/>
  <c r="AN23" i="3"/>
  <c r="AW23" i="3" s="1"/>
  <c r="AN87" i="3"/>
  <c r="AW87" i="3" s="1"/>
  <c r="AN16" i="3"/>
  <c r="AW16" i="3" s="1"/>
  <c r="AN80" i="3"/>
  <c r="AW80" i="3" s="1"/>
  <c r="AN9" i="3"/>
  <c r="AW9" i="3" s="1"/>
  <c r="AN73" i="3"/>
  <c r="AW73" i="3" s="1"/>
  <c r="AN34" i="3"/>
  <c r="AW34" i="3" s="1"/>
  <c r="AN59" i="3"/>
  <c r="AW59" i="3" s="1"/>
  <c r="AN83" i="3"/>
  <c r="AW83" i="3" s="1"/>
  <c r="AN74" i="3"/>
  <c r="AW74" i="3" s="1"/>
  <c r="AN20" i="3"/>
  <c r="AW20" i="3" s="1"/>
  <c r="AN84" i="3"/>
  <c r="AW84" i="3" s="1"/>
  <c r="AN45" i="3"/>
  <c r="AW45" i="3" s="1"/>
  <c r="AN6" i="3"/>
  <c r="AW6" i="3" s="1"/>
  <c r="AN70" i="3"/>
  <c r="AW70" i="3" s="1"/>
  <c r="AN31" i="3"/>
  <c r="AW31" i="3" s="1"/>
  <c r="AN95" i="3"/>
  <c r="AW95" i="3" s="1"/>
  <c r="AN24" i="3"/>
  <c r="AW24" i="3" s="1"/>
  <c r="AN88" i="3"/>
  <c r="AW88" i="3" s="1"/>
  <c r="AN17" i="3"/>
  <c r="AW17" i="3" s="1"/>
  <c r="AN81" i="3"/>
  <c r="AW81" i="3" s="1"/>
  <c r="AN42" i="3"/>
  <c r="AW42" i="3" s="1"/>
  <c r="AN11" i="3"/>
  <c r="AW11" i="3" s="1"/>
  <c r="AN3" i="3"/>
  <c r="AW3" i="3" s="1"/>
  <c r="AN28" i="3"/>
  <c r="AW28" i="3" s="1"/>
  <c r="AN92" i="3"/>
  <c r="AW92" i="3" s="1"/>
  <c r="AN53" i="3"/>
  <c r="AW53" i="3" s="1"/>
  <c r="AN14" i="3"/>
  <c r="AW14" i="3" s="1"/>
  <c r="AN78" i="3"/>
  <c r="AW78" i="3" s="1"/>
  <c r="AN39" i="3"/>
  <c r="AW39" i="3" s="1"/>
  <c r="AN103" i="3"/>
  <c r="AW103" i="3" s="1"/>
  <c r="AN32" i="3"/>
  <c r="AW32" i="3" s="1"/>
  <c r="AN96" i="3"/>
  <c r="AW96" i="3" s="1"/>
  <c r="AN25" i="3"/>
  <c r="AW25" i="3" s="1"/>
  <c r="AN89" i="3"/>
  <c r="AW89" i="3" s="1"/>
  <c r="AN50" i="3"/>
  <c r="AW50" i="3" s="1"/>
  <c r="AN66" i="3"/>
  <c r="AW66" i="3" s="1"/>
  <c r="AN36" i="3"/>
  <c r="AW36" i="3" s="1"/>
  <c r="AN100" i="3"/>
  <c r="AW100" i="3" s="1"/>
  <c r="AN61" i="3"/>
  <c r="AW61" i="3" s="1"/>
  <c r="AN22" i="3"/>
  <c r="AW22" i="3" s="1"/>
  <c r="AN86" i="3"/>
  <c r="AW86" i="3" s="1"/>
  <c r="AN47" i="3"/>
  <c r="AW47" i="3" s="1"/>
  <c r="AN35" i="3"/>
  <c r="AW35" i="3" s="1"/>
  <c r="AN40" i="3"/>
  <c r="AW40" i="3" s="1"/>
  <c r="AN104" i="3"/>
  <c r="AW104" i="3" s="1"/>
  <c r="AN33" i="3"/>
  <c r="AW33" i="3" s="1"/>
  <c r="AN58" i="3"/>
  <c r="AW58" i="3" s="1"/>
  <c r="AN82" i="3"/>
  <c r="AW82" i="3" s="1"/>
  <c r="AN44" i="3"/>
  <c r="AW44" i="3" s="1"/>
  <c r="AN5" i="3"/>
  <c r="AW5" i="3" s="1"/>
  <c r="AN69" i="3"/>
  <c r="AW69" i="3" s="1"/>
  <c r="AN30" i="3"/>
  <c r="AW30" i="3" s="1"/>
  <c r="AN94" i="3"/>
  <c r="AW94" i="3" s="1"/>
  <c r="AN55" i="3"/>
  <c r="AW55" i="3" s="1"/>
  <c r="AN51" i="3"/>
  <c r="AW51" i="3" s="1"/>
  <c r="AN48" i="3"/>
  <c r="AW48" i="3" s="1"/>
  <c r="AN27" i="3"/>
  <c r="AW27" i="3" s="1"/>
  <c r="AN41" i="3"/>
  <c r="AW41" i="3" s="1"/>
  <c r="AN19" i="3"/>
  <c r="AW19" i="3" s="1"/>
  <c r="AN52" i="3"/>
  <c r="AW52" i="3" s="1"/>
  <c r="AN13" i="3"/>
  <c r="AW13" i="3" s="1"/>
  <c r="AN77" i="3"/>
  <c r="AW77" i="3" s="1"/>
  <c r="AN38" i="3"/>
  <c r="AW38" i="3" s="1"/>
  <c r="AN102" i="3"/>
  <c r="AW102" i="3" s="1"/>
  <c r="AN63" i="3"/>
  <c r="AW63" i="3" s="1"/>
  <c r="AN75" i="3"/>
  <c r="AW75" i="3" s="1"/>
  <c r="AN56" i="3"/>
  <c r="AW56" i="3" s="1"/>
  <c r="AN43" i="3"/>
  <c r="AW43" i="3" s="1"/>
  <c r="AN49" i="3"/>
  <c r="AW49" i="3" s="1"/>
  <c r="AN60" i="3"/>
  <c r="AW60" i="3" s="1"/>
  <c r="AN21" i="3"/>
  <c r="AW21" i="3" s="1"/>
  <c r="AN85" i="3"/>
  <c r="AW85" i="3" s="1"/>
  <c r="AN46" i="3"/>
  <c r="AW46" i="3" s="1"/>
  <c r="AN7" i="3"/>
  <c r="AW7" i="3" s="1"/>
  <c r="AN71" i="3"/>
  <c r="AW71" i="3" s="1"/>
  <c r="AN99" i="3"/>
  <c r="AW99" i="3" s="1"/>
  <c r="AN64" i="3"/>
  <c r="AW64" i="3" s="1"/>
  <c r="AN67" i="3"/>
  <c r="AW67" i="3" s="1"/>
  <c r="AN57" i="3"/>
  <c r="AW57" i="3" s="1"/>
  <c r="AN18" i="3"/>
  <c r="AW18" i="3" s="1"/>
  <c r="AN105" i="3"/>
  <c r="AW105" i="3" s="1"/>
  <c r="AN106" i="3"/>
  <c r="AW106" i="3" s="1"/>
  <c r="AN107" i="3"/>
  <c r="AW107" i="3" s="1"/>
  <c r="AN108" i="3"/>
  <c r="AW108" i="3" s="1"/>
  <c r="AN109" i="3"/>
  <c r="AW109" i="3" s="1"/>
  <c r="AN110" i="3"/>
  <c r="AW110" i="3" s="1"/>
  <c r="AN111" i="3"/>
  <c r="AW111" i="3" s="1"/>
  <c r="AN112" i="3"/>
  <c r="AW112" i="3" s="1"/>
  <c r="AN113" i="3"/>
  <c r="AW113" i="3" s="1"/>
  <c r="AN114" i="3"/>
  <c r="AW114" i="3" s="1"/>
  <c r="AN115" i="3"/>
  <c r="AW115" i="3" s="1"/>
  <c r="AN116" i="3"/>
  <c r="AW116" i="3" s="1"/>
  <c r="AN117" i="3"/>
  <c r="AW117" i="3" s="1"/>
  <c r="AN118" i="3"/>
  <c r="AW118" i="3" s="1"/>
  <c r="AN119" i="3"/>
  <c r="AW119" i="3" s="1"/>
  <c r="AN120" i="3"/>
  <c r="AW120" i="3" s="1"/>
  <c r="AN121" i="3"/>
  <c r="AW121" i="3" s="1"/>
  <c r="AN122" i="3"/>
  <c r="AW122" i="3" s="1"/>
  <c r="AN123" i="3"/>
  <c r="AW123" i="3" s="1"/>
  <c r="AN124" i="3"/>
  <c r="AW124" i="3" s="1"/>
  <c r="AN125" i="3"/>
  <c r="AW125" i="3" s="1"/>
  <c r="AN126" i="3"/>
  <c r="AW126" i="3" s="1"/>
  <c r="AN127" i="3"/>
  <c r="AW127" i="3" s="1"/>
  <c r="AN128" i="3"/>
  <c r="AW128" i="3" s="1"/>
  <c r="AN129" i="3"/>
  <c r="AW129" i="3" s="1"/>
  <c r="AN130" i="3"/>
  <c r="AW130" i="3" s="1"/>
  <c r="AN131" i="3"/>
  <c r="AW131" i="3" s="1"/>
  <c r="AN132" i="3"/>
  <c r="AW132" i="3" s="1"/>
  <c r="AN133" i="3"/>
  <c r="AW133" i="3" s="1"/>
  <c r="AN134" i="3"/>
  <c r="AW134" i="3" s="1"/>
  <c r="AN135" i="3"/>
  <c r="AW135" i="3" s="1"/>
  <c r="AN136" i="3"/>
  <c r="AW136" i="3" s="1"/>
  <c r="AN137" i="3"/>
  <c r="AW137" i="3" s="1"/>
  <c r="AN138" i="3"/>
  <c r="AW138" i="3" s="1"/>
  <c r="AN139" i="3"/>
  <c r="AW139" i="3" s="1"/>
  <c r="AN140" i="3"/>
  <c r="AW140" i="3" s="1"/>
  <c r="AN141" i="3"/>
  <c r="AW141" i="3" s="1"/>
  <c r="AN142" i="3"/>
  <c r="AW142" i="3" s="1"/>
  <c r="AN143" i="3"/>
  <c r="AW143" i="3" s="1"/>
  <c r="AN144" i="3"/>
  <c r="AW144" i="3" s="1"/>
  <c r="AN145" i="3"/>
  <c r="AW145" i="3" s="1"/>
  <c r="AN146" i="3"/>
  <c r="AW146" i="3" s="1"/>
  <c r="AN147" i="3"/>
  <c r="AW147" i="3" s="1"/>
  <c r="AN148" i="3"/>
  <c r="AW148" i="3" s="1"/>
  <c r="AN149" i="3"/>
  <c r="AW149" i="3" s="1"/>
  <c r="AN150" i="3"/>
  <c r="AW150" i="3" s="1"/>
  <c r="AN151" i="3"/>
  <c r="AW151" i="3" s="1"/>
  <c r="AN152" i="3"/>
  <c r="AW152" i="3" s="1"/>
  <c r="AN153" i="3"/>
  <c r="AW153" i="3" s="1"/>
  <c r="AN154" i="3"/>
  <c r="AW154" i="3" s="1"/>
  <c r="AN155" i="3"/>
  <c r="AW155" i="3" s="1"/>
  <c r="AN156" i="3"/>
  <c r="AW156" i="3" s="1"/>
  <c r="AN157" i="3"/>
  <c r="AW157" i="3" s="1"/>
  <c r="AN158" i="3"/>
  <c r="AW158" i="3" s="1"/>
  <c r="AN159" i="3"/>
  <c r="AW159" i="3" s="1"/>
  <c r="AN160" i="3"/>
  <c r="AW160" i="3" s="1"/>
  <c r="AN161" i="3"/>
  <c r="AW161" i="3" s="1"/>
  <c r="AN163" i="3"/>
  <c r="AW163" i="3" s="1"/>
  <c r="AN162" i="3"/>
  <c r="AW162" i="3" s="1"/>
  <c r="AR163" i="3"/>
  <c r="T164" i="3"/>
  <c r="Z164" i="3" s="1"/>
  <c r="AN164" i="3" s="1"/>
  <c r="AW164" i="3" s="1"/>
  <c r="S164" i="3"/>
  <c r="R164" i="3"/>
  <c r="N165" i="3"/>
  <c r="AO163" i="3" l="1"/>
  <c r="AP154" i="3"/>
  <c r="AO154" i="3"/>
  <c r="AT154" i="3"/>
  <c r="AO146" i="3"/>
  <c r="AP146" i="3"/>
  <c r="AT146" i="3"/>
  <c r="AP138" i="3"/>
  <c r="AO138" i="3"/>
  <c r="AT138" i="3"/>
  <c r="AO130" i="3"/>
  <c r="AP130" i="3"/>
  <c r="AT130" i="3"/>
  <c r="AO122" i="3"/>
  <c r="AP122" i="3"/>
  <c r="AT122" i="3"/>
  <c r="AO114" i="3"/>
  <c r="AP114" i="3"/>
  <c r="AT114" i="3"/>
  <c r="AP106" i="3"/>
  <c r="AO106" i="3"/>
  <c r="AT106" i="3"/>
  <c r="AT7" i="3"/>
  <c r="AO7" i="3"/>
  <c r="AP7" i="3"/>
  <c r="AO75" i="3"/>
  <c r="AP75" i="3"/>
  <c r="AT75" i="3"/>
  <c r="AO41" i="3"/>
  <c r="AT41" i="3"/>
  <c r="AP41" i="3"/>
  <c r="AT5" i="3"/>
  <c r="AO5" i="3"/>
  <c r="AP5" i="3"/>
  <c r="AT47" i="3"/>
  <c r="AO47" i="3"/>
  <c r="AP47" i="3"/>
  <c r="AT89" i="3"/>
  <c r="AO89" i="3"/>
  <c r="AP89" i="3"/>
  <c r="AT53" i="3"/>
  <c r="AO53" i="3"/>
  <c r="AP53" i="3"/>
  <c r="AT88" i="3"/>
  <c r="AO88" i="3"/>
  <c r="AP88" i="3"/>
  <c r="AT20" i="3"/>
  <c r="AO20" i="3"/>
  <c r="AP20" i="3"/>
  <c r="AO16" i="3"/>
  <c r="AT16" i="3"/>
  <c r="AP16" i="3"/>
  <c r="AO10" i="3"/>
  <c r="AP10" i="3"/>
  <c r="AT10" i="3"/>
  <c r="AT8" i="3"/>
  <c r="AO8" i="3"/>
  <c r="AP8" i="3"/>
  <c r="AO145" i="3"/>
  <c r="AP145" i="3"/>
  <c r="AT145" i="3"/>
  <c r="AO137" i="3"/>
  <c r="AP137" i="3"/>
  <c r="AT137" i="3"/>
  <c r="AO129" i="3"/>
  <c r="AP129" i="3"/>
  <c r="AT129" i="3"/>
  <c r="AO121" i="3"/>
  <c r="AP121" i="3"/>
  <c r="AT121" i="3"/>
  <c r="AO113" i="3"/>
  <c r="AP113" i="3"/>
  <c r="AT113" i="3"/>
  <c r="AO105" i="3"/>
  <c r="AP105" i="3"/>
  <c r="AT105" i="3"/>
  <c r="AT46" i="3"/>
  <c r="AO46" i="3"/>
  <c r="AP46" i="3"/>
  <c r="AT63" i="3"/>
  <c r="AO63" i="3"/>
  <c r="AP63" i="3"/>
  <c r="AO27" i="3"/>
  <c r="AP27" i="3"/>
  <c r="AT27" i="3"/>
  <c r="AO44" i="3"/>
  <c r="AT44" i="3"/>
  <c r="AP44" i="3"/>
  <c r="AO86" i="3"/>
  <c r="AP86" i="3"/>
  <c r="AT86" i="3"/>
  <c r="AO25" i="3"/>
  <c r="AP25" i="3"/>
  <c r="AT25" i="3"/>
  <c r="AO92" i="3"/>
  <c r="AP92" i="3"/>
  <c r="AT92" i="3"/>
  <c r="AT24" i="3"/>
  <c r="AO24" i="3"/>
  <c r="AP24" i="3"/>
  <c r="AO74" i="3"/>
  <c r="AP74" i="3"/>
  <c r="AT74" i="3"/>
  <c r="AT87" i="3"/>
  <c r="AO87" i="3"/>
  <c r="AU87" i="3" s="1"/>
  <c r="AP87" i="3"/>
  <c r="AT97" i="3"/>
  <c r="AO97" i="3"/>
  <c r="AP97" i="3"/>
  <c r="AO79" i="3"/>
  <c r="AT79" i="3"/>
  <c r="AP79" i="3"/>
  <c r="AO160" i="3"/>
  <c r="AP160" i="3"/>
  <c r="AT160" i="3"/>
  <c r="AO152" i="3"/>
  <c r="AP152" i="3"/>
  <c r="AT152" i="3"/>
  <c r="AP144" i="3"/>
  <c r="AO144" i="3"/>
  <c r="AT144" i="3"/>
  <c r="AO136" i="3"/>
  <c r="AP136" i="3"/>
  <c r="AT136" i="3"/>
  <c r="AO128" i="3"/>
  <c r="AP128" i="3"/>
  <c r="AT128" i="3"/>
  <c r="AO120" i="3"/>
  <c r="AP120" i="3"/>
  <c r="AT120" i="3"/>
  <c r="AO112" i="3"/>
  <c r="AP112" i="3"/>
  <c r="AT112" i="3"/>
  <c r="AO18" i="3"/>
  <c r="AP18" i="3"/>
  <c r="AT18" i="3"/>
  <c r="AT85" i="3"/>
  <c r="AO85" i="3"/>
  <c r="AP85" i="3"/>
  <c r="AO102" i="3"/>
  <c r="AP102" i="3"/>
  <c r="AT102" i="3"/>
  <c r="AT48" i="3"/>
  <c r="AO48" i="3"/>
  <c r="AP48" i="3"/>
  <c r="AO82" i="3"/>
  <c r="AP82" i="3"/>
  <c r="AT82" i="3"/>
  <c r="AT22" i="3"/>
  <c r="AO22" i="3"/>
  <c r="AP22" i="3"/>
  <c r="AO96" i="3"/>
  <c r="AP96" i="3"/>
  <c r="AT96" i="3"/>
  <c r="AO28" i="3"/>
  <c r="AU28" i="3" s="1"/>
  <c r="AP28" i="3"/>
  <c r="AT28" i="3"/>
  <c r="AT95" i="3"/>
  <c r="AO95" i="3"/>
  <c r="AP95" i="3"/>
  <c r="AO83" i="3"/>
  <c r="AP83" i="3"/>
  <c r="AT83" i="3"/>
  <c r="AT23" i="3"/>
  <c r="AO23" i="3"/>
  <c r="AP23" i="3"/>
  <c r="AT98" i="3"/>
  <c r="AO98" i="3"/>
  <c r="AP98" i="3"/>
  <c r="AO15" i="3"/>
  <c r="AT15" i="3"/>
  <c r="AP15" i="3"/>
  <c r="AO151" i="3"/>
  <c r="AP151" i="3"/>
  <c r="AT151" i="3"/>
  <c r="AP143" i="3"/>
  <c r="AO143" i="3"/>
  <c r="AT143" i="3"/>
  <c r="AO135" i="3"/>
  <c r="AP135" i="3"/>
  <c r="AT135" i="3"/>
  <c r="AO127" i="3"/>
  <c r="AP127" i="3"/>
  <c r="AT127" i="3"/>
  <c r="AP119" i="3"/>
  <c r="AO119" i="3"/>
  <c r="AT119" i="3"/>
  <c r="AP111" i="3"/>
  <c r="AO111" i="3"/>
  <c r="AT111" i="3"/>
  <c r="AO57" i="3"/>
  <c r="AT57" i="3"/>
  <c r="AP57" i="3"/>
  <c r="AO21" i="3"/>
  <c r="AT21" i="3"/>
  <c r="AP21" i="3"/>
  <c r="AT38" i="3"/>
  <c r="AO38" i="3"/>
  <c r="AP38" i="3"/>
  <c r="AT51" i="3"/>
  <c r="AO51" i="3"/>
  <c r="AP51" i="3"/>
  <c r="AT58" i="3"/>
  <c r="AO58" i="3"/>
  <c r="AP58" i="3"/>
  <c r="AT61" i="3"/>
  <c r="AO61" i="3"/>
  <c r="AP61" i="3"/>
  <c r="AT32" i="3"/>
  <c r="AO32" i="3"/>
  <c r="AP32" i="3"/>
  <c r="AP3" i="3"/>
  <c r="AO3" i="3"/>
  <c r="AO31" i="3"/>
  <c r="AT31" i="3"/>
  <c r="AP31" i="3"/>
  <c r="AT59" i="3"/>
  <c r="AO59" i="3"/>
  <c r="AP59" i="3"/>
  <c r="AO62" i="3"/>
  <c r="AP62" i="3"/>
  <c r="AT62" i="3"/>
  <c r="AO90" i="3"/>
  <c r="AU90" i="3" s="1"/>
  <c r="AP90" i="3"/>
  <c r="AT90" i="3"/>
  <c r="AT54" i="3"/>
  <c r="AO54" i="3"/>
  <c r="AP54" i="3"/>
  <c r="AO161" i="3"/>
  <c r="AP161" i="3"/>
  <c r="AT161" i="3"/>
  <c r="AP150" i="3"/>
  <c r="AO150" i="3"/>
  <c r="AT150" i="3"/>
  <c r="AO142" i="3"/>
  <c r="AP142" i="3"/>
  <c r="AT142" i="3"/>
  <c r="AO134" i="3"/>
  <c r="AP134" i="3"/>
  <c r="AT134" i="3"/>
  <c r="AP126" i="3"/>
  <c r="AO126" i="3"/>
  <c r="AT126" i="3"/>
  <c r="AO118" i="3"/>
  <c r="AP118" i="3"/>
  <c r="AT118" i="3"/>
  <c r="AO110" i="3"/>
  <c r="AP110" i="3"/>
  <c r="AT110" i="3"/>
  <c r="AO67" i="3"/>
  <c r="AP67" i="3"/>
  <c r="AT67" i="3"/>
  <c r="AO60" i="3"/>
  <c r="AP60" i="3"/>
  <c r="AT60" i="3"/>
  <c r="AO77" i="3"/>
  <c r="AP77" i="3"/>
  <c r="AT77" i="3"/>
  <c r="AO55" i="3"/>
  <c r="AT55" i="3"/>
  <c r="AP55" i="3"/>
  <c r="AT33" i="3"/>
  <c r="AO33" i="3"/>
  <c r="AP33" i="3"/>
  <c r="AT100" i="3"/>
  <c r="AO100" i="3"/>
  <c r="AP100" i="3"/>
  <c r="AT103" i="3"/>
  <c r="AO103" i="3"/>
  <c r="AP103" i="3"/>
  <c r="AO11" i="3"/>
  <c r="AP11" i="3"/>
  <c r="AT11" i="3"/>
  <c r="AO70" i="3"/>
  <c r="AP70" i="3"/>
  <c r="AT70" i="3"/>
  <c r="AT34" i="3"/>
  <c r="AO34" i="3"/>
  <c r="AP34" i="3"/>
  <c r="AO101" i="3"/>
  <c r="AT101" i="3"/>
  <c r="AP101" i="3"/>
  <c r="AT26" i="3"/>
  <c r="AO26" i="3"/>
  <c r="AU26" i="3" s="1"/>
  <c r="AP26" i="3"/>
  <c r="AO93" i="3"/>
  <c r="AP93" i="3"/>
  <c r="AT93" i="3"/>
  <c r="AT162" i="3"/>
  <c r="AP163" i="3"/>
  <c r="AO157" i="3"/>
  <c r="AP157" i="3"/>
  <c r="AT157" i="3"/>
  <c r="AO149" i="3"/>
  <c r="AP149" i="3"/>
  <c r="AT149" i="3"/>
  <c r="AO141" i="3"/>
  <c r="AP141" i="3"/>
  <c r="AT141" i="3"/>
  <c r="AO133" i="3"/>
  <c r="AP133" i="3"/>
  <c r="AT133" i="3"/>
  <c r="AO125" i="3"/>
  <c r="AP125" i="3"/>
  <c r="AT125" i="3"/>
  <c r="AP117" i="3"/>
  <c r="AO117" i="3"/>
  <c r="AT117" i="3"/>
  <c r="AP109" i="3"/>
  <c r="AO109" i="3"/>
  <c r="AT109" i="3"/>
  <c r="AT64" i="3"/>
  <c r="AO64" i="3"/>
  <c r="AU64" i="3" s="1"/>
  <c r="AP64" i="3"/>
  <c r="AT49" i="3"/>
  <c r="AO49" i="3"/>
  <c r="AP49" i="3"/>
  <c r="AO13" i="3"/>
  <c r="AP13" i="3"/>
  <c r="AT13" i="3"/>
  <c r="AO94" i="3"/>
  <c r="AP94" i="3"/>
  <c r="AT94" i="3"/>
  <c r="AO104" i="3"/>
  <c r="AP104" i="3"/>
  <c r="AT104" i="3"/>
  <c r="AT36" i="3"/>
  <c r="AO36" i="3"/>
  <c r="AP36" i="3"/>
  <c r="AO39" i="3"/>
  <c r="AP39" i="3"/>
  <c r="AT39" i="3"/>
  <c r="AT42" i="3"/>
  <c r="AO42" i="3"/>
  <c r="AP42" i="3"/>
  <c r="AT6" i="3"/>
  <c r="AO6" i="3"/>
  <c r="AU6" i="3" s="1"/>
  <c r="AP6" i="3"/>
  <c r="AO73" i="3"/>
  <c r="AP73" i="3"/>
  <c r="AT73" i="3"/>
  <c r="AT37" i="3"/>
  <c r="AO37" i="3"/>
  <c r="AP37" i="3"/>
  <c r="AT65" i="3"/>
  <c r="AO65" i="3"/>
  <c r="AP65" i="3"/>
  <c r="AO29" i="3"/>
  <c r="AP29" i="3"/>
  <c r="AT29" i="3"/>
  <c r="AO153" i="3"/>
  <c r="AP153" i="3"/>
  <c r="AT153" i="3"/>
  <c r="AP158" i="3"/>
  <c r="AO158" i="3"/>
  <c r="AU158" i="3" s="1"/>
  <c r="AT158" i="3"/>
  <c r="AP156" i="3"/>
  <c r="AO156" i="3"/>
  <c r="AT156" i="3"/>
  <c r="AP148" i="3"/>
  <c r="AO148" i="3"/>
  <c r="AT148" i="3"/>
  <c r="AP140" i="3"/>
  <c r="AO140" i="3"/>
  <c r="AT140" i="3"/>
  <c r="AO132" i="3"/>
  <c r="AP132" i="3"/>
  <c r="AT132" i="3"/>
  <c r="AO124" i="3"/>
  <c r="AP124" i="3"/>
  <c r="AT124" i="3"/>
  <c r="AP116" i="3"/>
  <c r="AO116" i="3"/>
  <c r="AT116" i="3"/>
  <c r="AP108" i="3"/>
  <c r="AO108" i="3"/>
  <c r="AT108" i="3"/>
  <c r="AO99" i="3"/>
  <c r="AP99" i="3"/>
  <c r="AT99" i="3"/>
  <c r="AO43" i="3"/>
  <c r="AP43" i="3"/>
  <c r="AT43" i="3"/>
  <c r="AO52" i="3"/>
  <c r="AP52" i="3"/>
  <c r="AT52" i="3"/>
  <c r="AT30" i="3"/>
  <c r="AO30" i="3"/>
  <c r="AU30" i="3" s="1"/>
  <c r="AP30" i="3"/>
  <c r="AT40" i="3"/>
  <c r="AO40" i="3"/>
  <c r="AP40" i="3"/>
  <c r="AO66" i="3"/>
  <c r="AP66" i="3"/>
  <c r="AT66" i="3"/>
  <c r="AT78" i="3"/>
  <c r="AO78" i="3"/>
  <c r="AP78" i="3"/>
  <c r="AT81" i="3"/>
  <c r="AO81" i="3"/>
  <c r="AP81" i="3"/>
  <c r="AO45" i="3"/>
  <c r="AP45" i="3"/>
  <c r="AT45" i="3"/>
  <c r="AO9" i="3"/>
  <c r="AP9" i="3"/>
  <c r="AT9" i="3"/>
  <c r="AO76" i="3"/>
  <c r="AU76" i="3" s="1"/>
  <c r="AP76" i="3"/>
  <c r="AT76" i="3"/>
  <c r="AO91" i="3"/>
  <c r="AP91" i="3"/>
  <c r="AT91" i="3"/>
  <c r="AO68" i="3"/>
  <c r="AP68" i="3"/>
  <c r="AT68" i="3"/>
  <c r="AP159" i="3"/>
  <c r="AO159" i="3"/>
  <c r="AT159" i="3"/>
  <c r="AP162" i="3"/>
  <c r="AO162" i="3"/>
  <c r="AU162" i="3" s="1"/>
  <c r="AP155" i="3"/>
  <c r="AO155" i="3"/>
  <c r="AT155" i="3"/>
  <c r="AP147" i="3"/>
  <c r="AO147" i="3"/>
  <c r="AT147" i="3"/>
  <c r="AO139" i="3"/>
  <c r="AP139" i="3"/>
  <c r="AT139" i="3"/>
  <c r="AP131" i="3"/>
  <c r="AO131" i="3"/>
  <c r="AU131" i="3" s="1"/>
  <c r="AT131" i="3"/>
  <c r="AP123" i="3"/>
  <c r="AO123" i="3"/>
  <c r="AT123" i="3"/>
  <c r="AO115" i="3"/>
  <c r="AP115" i="3"/>
  <c r="AT115" i="3"/>
  <c r="AP107" i="3"/>
  <c r="AO107" i="3"/>
  <c r="AT107" i="3"/>
  <c r="AT71" i="3"/>
  <c r="AO71" i="3"/>
  <c r="AP71" i="3"/>
  <c r="AT56" i="3"/>
  <c r="AO56" i="3"/>
  <c r="AP56" i="3"/>
  <c r="AO19" i="3"/>
  <c r="AT19" i="3"/>
  <c r="AP19" i="3"/>
  <c r="AO69" i="3"/>
  <c r="AP69" i="3"/>
  <c r="AT69" i="3"/>
  <c r="AT35" i="3"/>
  <c r="AO35" i="3"/>
  <c r="AP35" i="3"/>
  <c r="AO50" i="3"/>
  <c r="AT50" i="3"/>
  <c r="AP50" i="3"/>
  <c r="AO14" i="3"/>
  <c r="AP14" i="3"/>
  <c r="AT14" i="3"/>
  <c r="AO17" i="3"/>
  <c r="AU17" i="3" s="1"/>
  <c r="AT17" i="3"/>
  <c r="AP17" i="3"/>
  <c r="AT84" i="3"/>
  <c r="AO84" i="3"/>
  <c r="AP84" i="3"/>
  <c r="AO80" i="3"/>
  <c r="AU80" i="3" s="1"/>
  <c r="AP80" i="3"/>
  <c r="AT80" i="3"/>
  <c r="AT12" i="3"/>
  <c r="AO12" i="3"/>
  <c r="AP12" i="3"/>
  <c r="AO72" i="3"/>
  <c r="AU72" i="3" s="1"/>
  <c r="AP72" i="3"/>
  <c r="AT72" i="3"/>
  <c r="AT4" i="3"/>
  <c r="AO4" i="3"/>
  <c r="AP4" i="3"/>
  <c r="AO164" i="3"/>
  <c r="AP164" i="3"/>
  <c r="AT163" i="3"/>
  <c r="AR164" i="3"/>
  <c r="T165" i="3"/>
  <c r="Z165" i="3" s="1"/>
  <c r="AN165" i="3" s="1"/>
  <c r="AW165" i="3" s="1"/>
  <c r="S165" i="3"/>
  <c r="R165" i="3"/>
  <c r="N166" i="3"/>
  <c r="AU153" i="3" l="1"/>
  <c r="AU103" i="3"/>
  <c r="AU155" i="3"/>
  <c r="AU29" i="3"/>
  <c r="AU68" i="3"/>
  <c r="AU71" i="3"/>
  <c r="AU54" i="3"/>
  <c r="AU8" i="3"/>
  <c r="AU42" i="3"/>
  <c r="AU147" i="3"/>
  <c r="AU107" i="3"/>
  <c r="AU104" i="3"/>
  <c r="AU4" i="3"/>
  <c r="AU48" i="3"/>
  <c r="AU11" i="3"/>
  <c r="AU66" i="3"/>
  <c r="AU14" i="3"/>
  <c r="AU123" i="3"/>
  <c r="AU45" i="3"/>
  <c r="AU94" i="3"/>
  <c r="AU19" i="3"/>
  <c r="AU35" i="3"/>
  <c r="AU89" i="3"/>
  <c r="AU99" i="3"/>
  <c r="AU39" i="3"/>
  <c r="AU83" i="3"/>
  <c r="AU101" i="3"/>
  <c r="AU40" i="3"/>
  <c r="AU33" i="3"/>
  <c r="AU93" i="3"/>
  <c r="AU91" i="3"/>
  <c r="AU12" i="3"/>
  <c r="AU78" i="3"/>
  <c r="AU60" i="3"/>
  <c r="AU49" i="3"/>
  <c r="AU21" i="3"/>
  <c r="AU159" i="3"/>
  <c r="AU43" i="3"/>
  <c r="AU148" i="3"/>
  <c r="AU86" i="3"/>
  <c r="AU120" i="3"/>
  <c r="AU52" i="3"/>
  <c r="AU9" i="3"/>
  <c r="AU161" i="3"/>
  <c r="AU115" i="3"/>
  <c r="AU84" i="3"/>
  <c r="AU139" i="3"/>
  <c r="AU69" i="3"/>
  <c r="AU23" i="3"/>
  <c r="AU163" i="3"/>
  <c r="AU50" i="3"/>
  <c r="AU124" i="3"/>
  <c r="AU143" i="3"/>
  <c r="AU25" i="3"/>
  <c r="AU127" i="3"/>
  <c r="AU141" i="3"/>
  <c r="AU34" i="3"/>
  <c r="AU150" i="3"/>
  <c r="AU81" i="3"/>
  <c r="AU96" i="3"/>
  <c r="AU22" i="3"/>
  <c r="AU51" i="3"/>
  <c r="AU160" i="3"/>
  <c r="AU63" i="3"/>
  <c r="AU129" i="3"/>
  <c r="AU5" i="3"/>
  <c r="AU114" i="3"/>
  <c r="AU138" i="3"/>
  <c r="AU108" i="3"/>
  <c r="AU36" i="3"/>
  <c r="AU77" i="3"/>
  <c r="AU144" i="3"/>
  <c r="AU20" i="3"/>
  <c r="AU7" i="3"/>
  <c r="AU37" i="3"/>
  <c r="AU125" i="3"/>
  <c r="AU110" i="3"/>
  <c r="AU61" i="3"/>
  <c r="AU57" i="3"/>
  <c r="AU95" i="3"/>
  <c r="AU92" i="3"/>
  <c r="AU113" i="3"/>
  <c r="AU132" i="3"/>
  <c r="AU156" i="3"/>
  <c r="AU13" i="3"/>
  <c r="AU109" i="3"/>
  <c r="AU149" i="3"/>
  <c r="AU134" i="3"/>
  <c r="AU31" i="3"/>
  <c r="AU38" i="3"/>
  <c r="AU18" i="3"/>
  <c r="AU79" i="3"/>
  <c r="AU44" i="3"/>
  <c r="AU46" i="3"/>
  <c r="AU137" i="3"/>
  <c r="AU122" i="3"/>
  <c r="AU116" i="3"/>
  <c r="AU111" i="3"/>
  <c r="AU151" i="3"/>
  <c r="AU128" i="3"/>
  <c r="AU74" i="3"/>
  <c r="AU10" i="3"/>
  <c r="AU88" i="3"/>
  <c r="AU41" i="3"/>
  <c r="AU106" i="3"/>
  <c r="AU146" i="3"/>
  <c r="AU140" i="3"/>
  <c r="AU133" i="3"/>
  <c r="AU118" i="3"/>
  <c r="AU62" i="3"/>
  <c r="AU59" i="3"/>
  <c r="AU58" i="3"/>
  <c r="AU102" i="3"/>
  <c r="AU152" i="3"/>
  <c r="AU98" i="3"/>
  <c r="AU97" i="3"/>
  <c r="AU121" i="3"/>
  <c r="AU47" i="3"/>
  <c r="AU73" i="3"/>
  <c r="AU117" i="3"/>
  <c r="AU157" i="3"/>
  <c r="AU56" i="3"/>
  <c r="AU55" i="3"/>
  <c r="AU142" i="3"/>
  <c r="AU135" i="3"/>
  <c r="AU112" i="3"/>
  <c r="AU24" i="3"/>
  <c r="AU27" i="3"/>
  <c r="AU145" i="3"/>
  <c r="AU130" i="3"/>
  <c r="AU154" i="3"/>
  <c r="AU65" i="3"/>
  <c r="AU70" i="3"/>
  <c r="AU100" i="3"/>
  <c r="AU67" i="3"/>
  <c r="AU126" i="3"/>
  <c r="AU32" i="3"/>
  <c r="AU119" i="3"/>
  <c r="AU15" i="3"/>
  <c r="AU82" i="3"/>
  <c r="AU85" i="3"/>
  <c r="AU136" i="3"/>
  <c r="AU105" i="3"/>
  <c r="AU16" i="3"/>
  <c r="AU53" i="3"/>
  <c r="AU75" i="3"/>
  <c r="AO165" i="3"/>
  <c r="AP165" i="3"/>
  <c r="AU164" i="3"/>
  <c r="AT164" i="3"/>
  <c r="AR165" i="3"/>
  <c r="T166" i="3"/>
  <c r="Z166" i="3" s="1"/>
  <c r="AN166" i="3" s="1"/>
  <c r="AW166" i="3" s="1"/>
  <c r="S166" i="3"/>
  <c r="R166" i="3"/>
  <c r="N167" i="3"/>
  <c r="AP166" i="3" l="1"/>
  <c r="AO166" i="3"/>
  <c r="AU165" i="3"/>
  <c r="AT165" i="3"/>
  <c r="AR166" i="3"/>
  <c r="S167" i="3"/>
  <c r="T167" i="3"/>
  <c r="Z167" i="3" s="1"/>
  <c r="AN167" i="3" s="1"/>
  <c r="AW167" i="3" s="1"/>
  <c r="R167" i="3"/>
  <c r="N168" i="3"/>
  <c r="AO167" i="3" l="1"/>
  <c r="AP167" i="3"/>
  <c r="AU166" i="3"/>
  <c r="AT166" i="3"/>
  <c r="AR167" i="3"/>
  <c r="T168" i="3"/>
  <c r="Z168" i="3" s="1"/>
  <c r="AN168" i="3" s="1"/>
  <c r="AW168" i="3" s="1"/>
  <c r="S168" i="3"/>
  <c r="R168" i="3"/>
  <c r="N169" i="3"/>
  <c r="AO168" i="3" l="1"/>
  <c r="AP168" i="3"/>
  <c r="AU167" i="3"/>
  <c r="AT167" i="3"/>
  <c r="AR168" i="3"/>
  <c r="T169" i="3"/>
  <c r="Z169" i="3" s="1"/>
  <c r="AN169" i="3" s="1"/>
  <c r="AW169" i="3" s="1"/>
  <c r="S169" i="3"/>
  <c r="R169" i="3"/>
  <c r="N170" i="3"/>
  <c r="AO169" i="3" l="1"/>
  <c r="AP169" i="3"/>
  <c r="AU168" i="3"/>
  <c r="AT168" i="3"/>
  <c r="AR169" i="3"/>
  <c r="T170" i="3"/>
  <c r="Z170" i="3" s="1"/>
  <c r="AN170" i="3" s="1"/>
  <c r="AW170" i="3" s="1"/>
  <c r="R170" i="3"/>
  <c r="S170" i="3"/>
  <c r="N171" i="3"/>
  <c r="AO170" i="3" l="1"/>
  <c r="AP170" i="3"/>
  <c r="AU169" i="3"/>
  <c r="AT169" i="3"/>
  <c r="AR170" i="3"/>
  <c r="R171" i="3"/>
  <c r="T171" i="3"/>
  <c r="Z171" i="3" s="1"/>
  <c r="AN171" i="3" s="1"/>
  <c r="AW171" i="3" s="1"/>
  <c r="S171" i="3"/>
  <c r="N172" i="3"/>
  <c r="AO171" i="3" l="1"/>
  <c r="AP171" i="3"/>
  <c r="AU170" i="3"/>
  <c r="AT170" i="3"/>
  <c r="AR171" i="3"/>
  <c r="T172" i="3"/>
  <c r="Z172" i="3" s="1"/>
  <c r="AN172" i="3" s="1"/>
  <c r="AW172" i="3" s="1"/>
  <c r="S172" i="3"/>
  <c r="R172" i="3"/>
  <c r="N173" i="3"/>
  <c r="AO172" i="3" l="1"/>
  <c r="AP172" i="3"/>
  <c r="AU171" i="3"/>
  <c r="AT171" i="3"/>
  <c r="AR172" i="3"/>
  <c r="T173" i="3"/>
  <c r="Z173" i="3" s="1"/>
  <c r="AN173" i="3" s="1"/>
  <c r="AW173" i="3" s="1"/>
  <c r="S173" i="3"/>
  <c r="R173" i="3"/>
  <c r="N174" i="3"/>
  <c r="AP173" i="3" l="1"/>
  <c r="AO173" i="3"/>
  <c r="AU172" i="3"/>
  <c r="AT172" i="3"/>
  <c r="AR173" i="3"/>
  <c r="T174" i="3"/>
  <c r="Z174" i="3" s="1"/>
  <c r="AN174" i="3" s="1"/>
  <c r="AW174" i="3" s="1"/>
  <c r="S174" i="3"/>
  <c r="R174" i="3"/>
  <c r="N175" i="3"/>
  <c r="AO174" i="3" l="1"/>
  <c r="AP174" i="3"/>
  <c r="AU173" i="3"/>
  <c r="AT173" i="3"/>
  <c r="AR174" i="3"/>
  <c r="T175" i="3"/>
  <c r="Z175" i="3" s="1"/>
  <c r="AN175" i="3" s="1"/>
  <c r="AW175" i="3" s="1"/>
  <c r="S175" i="3"/>
  <c r="R175" i="3"/>
  <c r="N176" i="3"/>
  <c r="AO175" i="3" l="1"/>
  <c r="AP175" i="3"/>
  <c r="AU174" i="3"/>
  <c r="AT174" i="3"/>
  <c r="AR175" i="3"/>
  <c r="T176" i="3"/>
  <c r="Z176" i="3" s="1"/>
  <c r="AN176" i="3" s="1"/>
  <c r="AW176" i="3" s="1"/>
  <c r="R176" i="3"/>
  <c r="S176" i="3"/>
  <c r="N177" i="3"/>
  <c r="AO176" i="3" l="1"/>
  <c r="AP176" i="3"/>
  <c r="AU175" i="3"/>
  <c r="AT175" i="3"/>
  <c r="AR176" i="3"/>
  <c r="T177" i="3"/>
  <c r="Z177" i="3" s="1"/>
  <c r="AN177" i="3" s="1"/>
  <c r="AW177" i="3" s="1"/>
  <c r="S177" i="3"/>
  <c r="R177" i="3"/>
  <c r="N178" i="3"/>
  <c r="AP177" i="3" l="1"/>
  <c r="AO177" i="3"/>
  <c r="AU176" i="3"/>
  <c r="AT176" i="3"/>
  <c r="AR177" i="3"/>
  <c r="T178" i="3"/>
  <c r="Z178" i="3" s="1"/>
  <c r="AN178" i="3" s="1"/>
  <c r="AW178" i="3" s="1"/>
  <c r="S178" i="3"/>
  <c r="R178" i="3"/>
  <c r="N179" i="3"/>
  <c r="AO178" i="3" l="1"/>
  <c r="AP178" i="3"/>
  <c r="AU177" i="3"/>
  <c r="AT177" i="3"/>
  <c r="AR178" i="3"/>
  <c r="S179" i="3"/>
  <c r="T179" i="3"/>
  <c r="Z179" i="3" s="1"/>
  <c r="AN179" i="3" s="1"/>
  <c r="AW179" i="3" s="1"/>
  <c r="R179" i="3"/>
  <c r="N180" i="3"/>
  <c r="AO179" i="3" l="1"/>
  <c r="AP179" i="3"/>
  <c r="AU178" i="3"/>
  <c r="AT178" i="3"/>
  <c r="AR179" i="3"/>
  <c r="S180" i="3"/>
  <c r="T180" i="3"/>
  <c r="Z180" i="3" s="1"/>
  <c r="AN180" i="3" s="1"/>
  <c r="AW180" i="3" s="1"/>
  <c r="R180" i="3"/>
  <c r="N181" i="3"/>
  <c r="AP180" i="3" l="1"/>
  <c r="AO180" i="3"/>
  <c r="AU179" i="3"/>
  <c r="AT179" i="3"/>
  <c r="AR180" i="3"/>
  <c r="T181" i="3"/>
  <c r="Z181" i="3" s="1"/>
  <c r="AN181" i="3" s="1"/>
  <c r="AW181" i="3" s="1"/>
  <c r="S181" i="3"/>
  <c r="R181" i="3"/>
  <c r="N182" i="3"/>
  <c r="AO181" i="3" l="1"/>
  <c r="AP181" i="3"/>
  <c r="AU180" i="3"/>
  <c r="AT180" i="3"/>
  <c r="AR181" i="3"/>
  <c r="S182" i="3"/>
  <c r="T182" i="3"/>
  <c r="Z182" i="3" s="1"/>
  <c r="AN182" i="3" s="1"/>
  <c r="AW182" i="3" s="1"/>
  <c r="R182" i="3"/>
  <c r="N183" i="3"/>
  <c r="AP182" i="3" l="1"/>
  <c r="AO182" i="3"/>
  <c r="AU181" i="3"/>
  <c r="AT181" i="3"/>
  <c r="AR182" i="3"/>
  <c r="T183" i="3"/>
  <c r="Z183" i="3" s="1"/>
  <c r="AN183" i="3" s="1"/>
  <c r="AW183" i="3" s="1"/>
  <c r="S183" i="3"/>
  <c r="R183" i="3"/>
  <c r="N184" i="3"/>
  <c r="AP183" i="3" l="1"/>
  <c r="AO183" i="3"/>
  <c r="AU182" i="3"/>
  <c r="AT182" i="3"/>
  <c r="AR183" i="3"/>
  <c r="T184" i="3"/>
  <c r="Z184" i="3" s="1"/>
  <c r="AN184" i="3" s="1"/>
  <c r="AW184" i="3" s="1"/>
  <c r="S184" i="3"/>
  <c r="R184" i="3"/>
  <c r="N185" i="3"/>
  <c r="AO184" i="3" l="1"/>
  <c r="AP184" i="3"/>
  <c r="AU183" i="3"/>
  <c r="AT183" i="3"/>
  <c r="AR184" i="3"/>
  <c r="T185" i="3"/>
  <c r="Z185" i="3" s="1"/>
  <c r="AN185" i="3" s="1"/>
  <c r="AW185" i="3" s="1"/>
  <c r="S185" i="3"/>
  <c r="R185" i="3"/>
  <c r="N186" i="3"/>
  <c r="AO185" i="3" l="1"/>
  <c r="AP185" i="3"/>
  <c r="AU184" i="3"/>
  <c r="AT184" i="3"/>
  <c r="AR185" i="3"/>
  <c r="T186" i="3"/>
  <c r="Z186" i="3" s="1"/>
  <c r="AN186" i="3" s="1"/>
  <c r="AW186" i="3" s="1"/>
  <c r="S186" i="3"/>
  <c r="R186" i="3"/>
  <c r="N187" i="3"/>
  <c r="AO186" i="3" l="1"/>
  <c r="AP186" i="3"/>
  <c r="AU185" i="3"/>
  <c r="AT185" i="3"/>
  <c r="AR186" i="3"/>
  <c r="R187" i="3"/>
  <c r="T187" i="3"/>
  <c r="Z187" i="3" s="1"/>
  <c r="AN187" i="3" s="1"/>
  <c r="AW187" i="3" s="1"/>
  <c r="S187" i="3"/>
  <c r="N188" i="3"/>
  <c r="AO187" i="3" l="1"/>
  <c r="AP187" i="3"/>
  <c r="AU186" i="3"/>
  <c r="AT186" i="3"/>
  <c r="AR187" i="3"/>
  <c r="S188" i="3"/>
  <c r="R188" i="3"/>
  <c r="T188" i="3"/>
  <c r="Z188" i="3" s="1"/>
  <c r="AN188" i="3" s="1"/>
  <c r="AW188" i="3" s="1"/>
  <c r="N189" i="3"/>
  <c r="AO188" i="3" l="1"/>
  <c r="AP188" i="3"/>
  <c r="AU187" i="3"/>
  <c r="AT187" i="3"/>
  <c r="AR188" i="3"/>
  <c r="S189" i="3"/>
  <c r="T189" i="3"/>
  <c r="Z189" i="3" s="1"/>
  <c r="AN189" i="3" s="1"/>
  <c r="AW189" i="3" s="1"/>
  <c r="R189" i="3"/>
  <c r="N190" i="3"/>
  <c r="AO189" i="3" l="1"/>
  <c r="AP189" i="3"/>
  <c r="AU188" i="3"/>
  <c r="AT188" i="3"/>
  <c r="AR189" i="3"/>
  <c r="T190" i="3"/>
  <c r="Z190" i="3" s="1"/>
  <c r="AN190" i="3" s="1"/>
  <c r="AW190" i="3" s="1"/>
  <c r="S190" i="3"/>
  <c r="R190" i="3"/>
  <c r="N191" i="3"/>
  <c r="AO190" i="3" l="1"/>
  <c r="AP190" i="3"/>
  <c r="AU189" i="3"/>
  <c r="AT189" i="3"/>
  <c r="AR190" i="3"/>
  <c r="T191" i="3"/>
  <c r="Z191" i="3" s="1"/>
  <c r="AN191" i="3" s="1"/>
  <c r="AW191" i="3" s="1"/>
  <c r="S191" i="3"/>
  <c r="R191" i="3"/>
  <c r="N192" i="3"/>
  <c r="AO191" i="3" l="1"/>
  <c r="AP191" i="3"/>
  <c r="AU190" i="3"/>
  <c r="AT190" i="3"/>
  <c r="AR191" i="3"/>
  <c r="T192" i="3"/>
  <c r="Z192" i="3" s="1"/>
  <c r="AN192" i="3" s="1"/>
  <c r="AW192" i="3" s="1"/>
  <c r="S192" i="3"/>
  <c r="R192" i="3"/>
  <c r="N193" i="3"/>
  <c r="AO192" i="3" l="1"/>
  <c r="AP192" i="3"/>
  <c r="AU191" i="3"/>
  <c r="AT191" i="3"/>
  <c r="AR192" i="3"/>
  <c r="T193" i="3"/>
  <c r="Z193" i="3" s="1"/>
  <c r="AN193" i="3" s="1"/>
  <c r="AW193" i="3" s="1"/>
  <c r="S193" i="3"/>
  <c r="R193" i="3"/>
  <c r="N194" i="3"/>
  <c r="AO193" i="3" l="1"/>
  <c r="AP193" i="3"/>
  <c r="AU192" i="3"/>
  <c r="AT192" i="3"/>
  <c r="AR193" i="3"/>
  <c r="T194" i="3"/>
  <c r="Z194" i="3" s="1"/>
  <c r="AN194" i="3" s="1"/>
  <c r="AW194" i="3" s="1"/>
  <c r="S194" i="3"/>
  <c r="R194" i="3"/>
  <c r="N195" i="3"/>
  <c r="AO194" i="3" l="1"/>
  <c r="AP194" i="3"/>
  <c r="AU193" i="3"/>
  <c r="AT193" i="3"/>
  <c r="AR194" i="3"/>
  <c r="R195" i="3"/>
  <c r="T195" i="3"/>
  <c r="Z195" i="3" s="1"/>
  <c r="AN195" i="3" s="1"/>
  <c r="AW195" i="3" s="1"/>
  <c r="S195" i="3"/>
  <c r="N196" i="3"/>
  <c r="AO195" i="3" l="1"/>
  <c r="AP195" i="3"/>
  <c r="AU194" i="3"/>
  <c r="AT194" i="3"/>
  <c r="AR195" i="3"/>
  <c r="T196" i="3"/>
  <c r="Z196" i="3" s="1"/>
  <c r="AN196" i="3" s="1"/>
  <c r="AW196" i="3" s="1"/>
  <c r="R196" i="3"/>
  <c r="S196" i="3"/>
  <c r="N197" i="3"/>
  <c r="AO196" i="3" l="1"/>
  <c r="AP196" i="3"/>
  <c r="AU195" i="3"/>
  <c r="AT195" i="3"/>
  <c r="AR196" i="3"/>
  <c r="S197" i="3"/>
  <c r="T197" i="3"/>
  <c r="Z197" i="3" s="1"/>
  <c r="AN197" i="3" s="1"/>
  <c r="AW197" i="3" s="1"/>
  <c r="R197" i="3"/>
  <c r="N198" i="3"/>
  <c r="AO197" i="3" l="1"/>
  <c r="AP197" i="3"/>
  <c r="AU196" i="3"/>
  <c r="AT196" i="3"/>
  <c r="AR197" i="3"/>
  <c r="T198" i="3"/>
  <c r="Z198" i="3" s="1"/>
  <c r="AN198" i="3" s="1"/>
  <c r="AW198" i="3" s="1"/>
  <c r="S198" i="3"/>
  <c r="R198" i="3"/>
  <c r="N199" i="3"/>
  <c r="AO198" i="3" l="1"/>
  <c r="AP198" i="3"/>
  <c r="AU197" i="3"/>
  <c r="AT197" i="3"/>
  <c r="AR198" i="3"/>
  <c r="T199" i="3"/>
  <c r="Z199" i="3" s="1"/>
  <c r="AN199" i="3" s="1"/>
  <c r="AW199" i="3" s="1"/>
  <c r="S199" i="3"/>
  <c r="R199" i="3"/>
  <c r="N200" i="3"/>
  <c r="AP199" i="3" l="1"/>
  <c r="AO199" i="3"/>
  <c r="AU198" i="3"/>
  <c r="AT198" i="3"/>
  <c r="AR199" i="3"/>
  <c r="S200" i="3"/>
  <c r="R200" i="3"/>
  <c r="T200" i="3"/>
  <c r="Z200" i="3" s="1"/>
  <c r="AN200" i="3" s="1"/>
  <c r="AW200" i="3" s="1"/>
  <c r="N201" i="3"/>
  <c r="AP200" i="3" l="1"/>
  <c r="AO200" i="3"/>
  <c r="AU199" i="3"/>
  <c r="AT199" i="3"/>
  <c r="AR200" i="3"/>
  <c r="T201" i="3"/>
  <c r="Z201" i="3" s="1"/>
  <c r="AN201" i="3" s="1"/>
  <c r="AW201" i="3" s="1"/>
  <c r="S201" i="3"/>
  <c r="R201" i="3"/>
  <c r="N202" i="3"/>
  <c r="AP201" i="3" l="1"/>
  <c r="AO201" i="3"/>
  <c r="AU200" i="3"/>
  <c r="AT200" i="3"/>
  <c r="AR201" i="3"/>
  <c r="T202" i="3"/>
  <c r="Z202" i="3" s="1"/>
  <c r="AN202" i="3" s="1"/>
  <c r="AW202" i="3" s="1"/>
  <c r="S202" i="3"/>
  <c r="R202" i="3"/>
  <c r="N203" i="3"/>
  <c r="AO202" i="3" l="1"/>
  <c r="AP202" i="3"/>
  <c r="AU201" i="3"/>
  <c r="AT201" i="3"/>
  <c r="AR202" i="3"/>
  <c r="R203" i="3"/>
  <c r="T203" i="3"/>
  <c r="Z203" i="3" s="1"/>
  <c r="AN203" i="3" s="1"/>
  <c r="AW203" i="3" s="1"/>
  <c r="S203" i="3"/>
  <c r="N204" i="3"/>
  <c r="AP203" i="3" l="1"/>
  <c r="AO203" i="3"/>
  <c r="AU202" i="3"/>
  <c r="AT202" i="3"/>
  <c r="AR203" i="3"/>
  <c r="S204" i="3"/>
  <c r="R204" i="3"/>
  <c r="T204" i="3"/>
  <c r="Z204" i="3" s="1"/>
  <c r="AN204" i="3" s="1"/>
  <c r="AW204" i="3" s="1"/>
  <c r="N205" i="3"/>
  <c r="AO204" i="3" l="1"/>
  <c r="AP204" i="3"/>
  <c r="AU203" i="3"/>
  <c r="AT203" i="3"/>
  <c r="AR204" i="3"/>
  <c r="T205" i="3"/>
  <c r="Z205" i="3" s="1"/>
  <c r="AN205" i="3" s="1"/>
  <c r="AW205" i="3" s="1"/>
  <c r="S205" i="3"/>
  <c r="R205" i="3"/>
  <c r="N206" i="3"/>
  <c r="AO205" i="3" l="1"/>
  <c r="AP205" i="3"/>
  <c r="AU204" i="3"/>
  <c r="AT204" i="3"/>
  <c r="AR205" i="3"/>
  <c r="T206" i="3"/>
  <c r="Z206" i="3" s="1"/>
  <c r="AN206" i="3" s="1"/>
  <c r="AW206" i="3" s="1"/>
  <c r="S206" i="3"/>
  <c r="R206" i="3"/>
  <c r="N207" i="3"/>
  <c r="AP206" i="3" l="1"/>
  <c r="AO206" i="3"/>
  <c r="AU205" i="3"/>
  <c r="AT205" i="3"/>
  <c r="AR206" i="3"/>
  <c r="T207" i="3"/>
  <c r="Z207" i="3" s="1"/>
  <c r="AN207" i="3" s="1"/>
  <c r="AW207" i="3" s="1"/>
  <c r="S207" i="3"/>
  <c r="R207" i="3"/>
  <c r="N208" i="3"/>
  <c r="AO207" i="3" l="1"/>
  <c r="AP207" i="3"/>
  <c r="AU206" i="3"/>
  <c r="AT206" i="3"/>
  <c r="AR207" i="3"/>
  <c r="T208" i="3"/>
  <c r="Z208" i="3" s="1"/>
  <c r="AN208" i="3" s="1"/>
  <c r="AW208" i="3" s="1"/>
  <c r="S208" i="3"/>
  <c r="R208" i="3"/>
  <c r="N209" i="3"/>
  <c r="AO208" i="3" l="1"/>
  <c r="AP208" i="3"/>
  <c r="AU207" i="3"/>
  <c r="AT207" i="3"/>
  <c r="AR208" i="3"/>
  <c r="S209" i="3"/>
  <c r="T209" i="3"/>
  <c r="Z209" i="3" s="1"/>
  <c r="AN209" i="3" s="1"/>
  <c r="AW209" i="3" s="1"/>
  <c r="R209" i="3"/>
  <c r="N210" i="3"/>
  <c r="AO209" i="3" l="1"/>
  <c r="AP209" i="3"/>
  <c r="AU208" i="3"/>
  <c r="AT208" i="3"/>
  <c r="AR209" i="3"/>
  <c r="S210" i="3"/>
  <c r="T210" i="3"/>
  <c r="Z210" i="3" s="1"/>
  <c r="AN210" i="3" s="1"/>
  <c r="AW210" i="3" s="1"/>
  <c r="R210" i="3"/>
  <c r="N211" i="3"/>
  <c r="AO210" i="3" l="1"/>
  <c r="AP210" i="3"/>
  <c r="AU209" i="3"/>
  <c r="AT209" i="3"/>
  <c r="AR210" i="3"/>
  <c r="R211" i="3"/>
  <c r="T211" i="3"/>
  <c r="Z211" i="3" s="1"/>
  <c r="AN211" i="3" s="1"/>
  <c r="AW211" i="3" s="1"/>
  <c r="S211" i="3"/>
  <c r="N212" i="3"/>
  <c r="AO211" i="3" l="1"/>
  <c r="AP211" i="3"/>
  <c r="AU210" i="3"/>
  <c r="AT210" i="3"/>
  <c r="AR211" i="3"/>
  <c r="S212" i="3"/>
  <c r="R212" i="3"/>
  <c r="T212" i="3"/>
  <c r="Z212" i="3" s="1"/>
  <c r="AN212" i="3" s="1"/>
  <c r="AW212" i="3" s="1"/>
  <c r="N213" i="3"/>
  <c r="AO212" i="3" l="1"/>
  <c r="AP212" i="3"/>
  <c r="AU211" i="3"/>
  <c r="AT211" i="3"/>
  <c r="AR212" i="3"/>
  <c r="S213" i="3"/>
  <c r="T213" i="3"/>
  <c r="Z213" i="3" s="1"/>
  <c r="AN213" i="3" s="1"/>
  <c r="AW213" i="3" s="1"/>
  <c r="R213" i="3"/>
  <c r="N214" i="3"/>
  <c r="AO213" i="3" l="1"/>
  <c r="AP213" i="3"/>
  <c r="AU212" i="3"/>
  <c r="AT212" i="3"/>
  <c r="AR213" i="3"/>
  <c r="T214" i="3"/>
  <c r="Z214" i="3" s="1"/>
  <c r="AN214" i="3" s="1"/>
  <c r="AW214" i="3" s="1"/>
  <c r="S214" i="3"/>
  <c r="R214" i="3"/>
  <c r="N215" i="3"/>
  <c r="AO214" i="3" l="1"/>
  <c r="AP214" i="3"/>
  <c r="AU213" i="3"/>
  <c r="AT213" i="3"/>
  <c r="AR214" i="3"/>
  <c r="T215" i="3"/>
  <c r="Z215" i="3" s="1"/>
  <c r="AN215" i="3" s="1"/>
  <c r="AW215" i="3" s="1"/>
  <c r="S215" i="3"/>
  <c r="R215" i="3"/>
  <c r="N216" i="3"/>
  <c r="AP215" i="3" l="1"/>
  <c r="AO215" i="3"/>
  <c r="AU214" i="3"/>
  <c r="AT214" i="3"/>
  <c r="AR215" i="3"/>
  <c r="S216" i="3"/>
  <c r="R216" i="3"/>
  <c r="T216" i="3"/>
  <c r="Z216" i="3" s="1"/>
  <c r="AN216" i="3" s="1"/>
  <c r="AW216" i="3" s="1"/>
  <c r="N217" i="3"/>
  <c r="AO216" i="3" l="1"/>
  <c r="AP216" i="3"/>
  <c r="AU215" i="3"/>
  <c r="AT215" i="3"/>
  <c r="AR216" i="3"/>
  <c r="S217" i="3"/>
  <c r="T217" i="3"/>
  <c r="Z217" i="3" s="1"/>
  <c r="AN217" i="3" s="1"/>
  <c r="AW217" i="3" s="1"/>
  <c r="R217" i="3"/>
  <c r="N218" i="3"/>
  <c r="AO217" i="3" l="1"/>
  <c r="AP217" i="3"/>
  <c r="AU216" i="3"/>
  <c r="AT216" i="3"/>
  <c r="AR217" i="3"/>
  <c r="T218" i="3"/>
  <c r="Z218" i="3" s="1"/>
  <c r="AN218" i="3" s="1"/>
  <c r="AW218" i="3" s="1"/>
  <c r="S218" i="3"/>
  <c r="R218" i="3"/>
  <c r="N219" i="3"/>
  <c r="AO218" i="3" l="1"/>
  <c r="AP218" i="3"/>
  <c r="AU217" i="3"/>
  <c r="AT217" i="3"/>
  <c r="AR218" i="3"/>
  <c r="R219" i="3"/>
  <c r="T219" i="3"/>
  <c r="Z219" i="3" s="1"/>
  <c r="AN219" i="3" s="1"/>
  <c r="AW219" i="3" s="1"/>
  <c r="S219" i="3"/>
  <c r="N220" i="3"/>
  <c r="AO219" i="3" l="1"/>
  <c r="AP219" i="3"/>
  <c r="AU218" i="3"/>
  <c r="AT218" i="3"/>
  <c r="AR219" i="3"/>
  <c r="R220" i="3"/>
  <c r="T220" i="3"/>
  <c r="Z220" i="3" s="1"/>
  <c r="AN220" i="3" s="1"/>
  <c r="AW220" i="3" s="1"/>
  <c r="S220" i="3"/>
  <c r="N221" i="3"/>
  <c r="AO220" i="3" l="1"/>
  <c r="AP220" i="3"/>
  <c r="AU219" i="3"/>
  <c r="AT219" i="3"/>
  <c r="AR220" i="3"/>
  <c r="T221" i="3"/>
  <c r="Z221" i="3" s="1"/>
  <c r="AN221" i="3" s="1"/>
  <c r="AW221" i="3" s="1"/>
  <c r="S221" i="3"/>
  <c r="R221" i="3"/>
  <c r="N222" i="3"/>
  <c r="AO221" i="3" l="1"/>
  <c r="AP221" i="3"/>
  <c r="AU220" i="3"/>
  <c r="AT220" i="3"/>
  <c r="AR221" i="3"/>
  <c r="T222" i="3"/>
  <c r="Z222" i="3" s="1"/>
  <c r="AN222" i="3" s="1"/>
  <c r="AW222" i="3" s="1"/>
  <c r="S222" i="3"/>
  <c r="R222" i="3"/>
  <c r="N223" i="3"/>
  <c r="AO222" i="3" l="1"/>
  <c r="AP222" i="3"/>
  <c r="AU221" i="3"/>
  <c r="AT221" i="3"/>
  <c r="AR222" i="3"/>
  <c r="T223" i="3"/>
  <c r="Z223" i="3" s="1"/>
  <c r="AN223" i="3" s="1"/>
  <c r="AW223" i="3" s="1"/>
  <c r="S223" i="3"/>
  <c r="R223" i="3"/>
  <c r="N224" i="3"/>
  <c r="AO223" i="3" l="1"/>
  <c r="AP223" i="3"/>
  <c r="AU222" i="3"/>
  <c r="AT222" i="3"/>
  <c r="AR223" i="3"/>
  <c r="T224" i="3"/>
  <c r="Z224" i="3" s="1"/>
  <c r="AN224" i="3" s="1"/>
  <c r="AW224" i="3" s="1"/>
  <c r="R224" i="3"/>
  <c r="S224" i="3"/>
  <c r="N225" i="3"/>
  <c r="AP224" i="3" l="1"/>
  <c r="AO224" i="3"/>
  <c r="AU223" i="3"/>
  <c r="AT223" i="3"/>
  <c r="AR224" i="3"/>
  <c r="S225" i="3"/>
  <c r="T225" i="3"/>
  <c r="Z225" i="3" s="1"/>
  <c r="AN225" i="3" s="1"/>
  <c r="AW225" i="3" s="1"/>
  <c r="R225" i="3"/>
  <c r="N226" i="3"/>
  <c r="AO225" i="3" l="1"/>
  <c r="AP225" i="3"/>
  <c r="AU224" i="3"/>
  <c r="AT224" i="3"/>
  <c r="AR225" i="3"/>
  <c r="S226" i="3"/>
  <c r="T226" i="3"/>
  <c r="Z226" i="3" s="1"/>
  <c r="AN226" i="3" s="1"/>
  <c r="AW226" i="3" s="1"/>
  <c r="R226" i="3"/>
  <c r="N227" i="3"/>
  <c r="AP226" i="3" l="1"/>
  <c r="AO226" i="3"/>
  <c r="AU225" i="3"/>
  <c r="AT225" i="3"/>
  <c r="AR226" i="3"/>
  <c r="R227" i="3"/>
  <c r="T227" i="3"/>
  <c r="Z227" i="3" s="1"/>
  <c r="AN227" i="3" s="1"/>
  <c r="AW227" i="3" s="1"/>
  <c r="S227" i="3"/>
  <c r="N228" i="3"/>
  <c r="AO227" i="3" l="1"/>
  <c r="AP227" i="3"/>
  <c r="AU226" i="3"/>
  <c r="AT226" i="3"/>
  <c r="AR227" i="3"/>
  <c r="S228" i="3"/>
  <c r="R228" i="3"/>
  <c r="T228" i="3"/>
  <c r="Z228" i="3" s="1"/>
  <c r="AN228" i="3" s="1"/>
  <c r="AW228" i="3" s="1"/>
  <c r="N229" i="3"/>
  <c r="AO228" i="3" l="1"/>
  <c r="AP228" i="3"/>
  <c r="AU227" i="3"/>
  <c r="AT227" i="3"/>
  <c r="AR228" i="3"/>
  <c r="T229" i="3"/>
  <c r="Z229" i="3" s="1"/>
  <c r="AN229" i="3" s="1"/>
  <c r="AW229" i="3" s="1"/>
  <c r="S229" i="3"/>
  <c r="R229" i="3"/>
  <c r="N230" i="3"/>
  <c r="AO229" i="3" l="1"/>
  <c r="AP229" i="3"/>
  <c r="AU228" i="3"/>
  <c r="AT228" i="3"/>
  <c r="AR229" i="3"/>
  <c r="T230" i="3"/>
  <c r="Z230" i="3" s="1"/>
  <c r="AN230" i="3" s="1"/>
  <c r="AW230" i="3" s="1"/>
  <c r="S230" i="3"/>
  <c r="R230" i="3"/>
  <c r="N231" i="3"/>
  <c r="AO230" i="3" l="1"/>
  <c r="AP230" i="3"/>
  <c r="AU229" i="3"/>
  <c r="AT229" i="3"/>
  <c r="AR230" i="3"/>
  <c r="T231" i="3"/>
  <c r="Z231" i="3" s="1"/>
  <c r="AN231" i="3" s="1"/>
  <c r="AW231" i="3" s="1"/>
  <c r="S231" i="3"/>
  <c r="R231" i="3"/>
  <c r="N232" i="3"/>
  <c r="AO231" i="3" l="1"/>
  <c r="AP231" i="3"/>
  <c r="AU230" i="3"/>
  <c r="AT230" i="3"/>
  <c r="AR231" i="3"/>
  <c r="S232" i="3"/>
  <c r="T232" i="3"/>
  <c r="Z232" i="3" s="1"/>
  <c r="AN232" i="3" s="1"/>
  <c r="AW232" i="3" s="1"/>
  <c r="R232" i="3"/>
  <c r="N233" i="3"/>
  <c r="AO232" i="3" l="1"/>
  <c r="AP232" i="3"/>
  <c r="AU231" i="3"/>
  <c r="AT231" i="3"/>
  <c r="AR232" i="3"/>
  <c r="S233" i="3"/>
  <c r="T233" i="3"/>
  <c r="Z233" i="3" s="1"/>
  <c r="AN233" i="3" s="1"/>
  <c r="AW233" i="3" s="1"/>
  <c r="R233" i="3"/>
  <c r="N234" i="3"/>
  <c r="AO233" i="3" l="1"/>
  <c r="AP233" i="3"/>
  <c r="AU232" i="3"/>
  <c r="AT232" i="3"/>
  <c r="AR233" i="3"/>
  <c r="S234" i="3"/>
  <c r="T234" i="3"/>
  <c r="Z234" i="3" s="1"/>
  <c r="AN234" i="3" s="1"/>
  <c r="AW234" i="3" s="1"/>
  <c r="R234" i="3"/>
  <c r="N235" i="3"/>
  <c r="AO234" i="3" l="1"/>
  <c r="AP234" i="3"/>
  <c r="AU233" i="3"/>
  <c r="AT233" i="3"/>
  <c r="AR234" i="3"/>
  <c r="R235" i="3"/>
  <c r="S235" i="3"/>
  <c r="T235" i="3"/>
  <c r="Z235" i="3" s="1"/>
  <c r="AN235" i="3" s="1"/>
  <c r="AW235" i="3" s="1"/>
  <c r="N236" i="3"/>
  <c r="AP235" i="3" l="1"/>
  <c r="AO235" i="3"/>
  <c r="AU234" i="3"/>
  <c r="AT234" i="3"/>
  <c r="AR235" i="3"/>
  <c r="S236" i="3"/>
  <c r="R236" i="3"/>
  <c r="T236" i="3"/>
  <c r="Z236" i="3" s="1"/>
  <c r="AN236" i="3" s="1"/>
  <c r="AW236" i="3" s="1"/>
  <c r="N237" i="3"/>
  <c r="AP236" i="3" l="1"/>
  <c r="AO236" i="3"/>
  <c r="AU235" i="3"/>
  <c r="AT235" i="3"/>
  <c r="AR236" i="3"/>
  <c r="T237" i="3"/>
  <c r="Z237" i="3" s="1"/>
  <c r="AN237" i="3" s="1"/>
  <c r="AW237" i="3" s="1"/>
  <c r="S237" i="3"/>
  <c r="R237" i="3"/>
  <c r="N238" i="3"/>
  <c r="AO237" i="3" l="1"/>
  <c r="AP237" i="3"/>
  <c r="AU236" i="3"/>
  <c r="AT236" i="3"/>
  <c r="AR237" i="3"/>
  <c r="S238" i="3"/>
  <c r="R238" i="3"/>
  <c r="T238" i="3"/>
  <c r="Z238" i="3" s="1"/>
  <c r="AN238" i="3" s="1"/>
  <c r="AW238" i="3" s="1"/>
  <c r="N239" i="3"/>
  <c r="AO238" i="3" l="1"/>
  <c r="AP238" i="3"/>
  <c r="AU237" i="3"/>
  <c r="AT237" i="3"/>
  <c r="AR238" i="3"/>
  <c r="T239" i="3"/>
  <c r="Z239" i="3" s="1"/>
  <c r="AN239" i="3" s="1"/>
  <c r="AW239" i="3" s="1"/>
  <c r="S239" i="3"/>
  <c r="R239" i="3"/>
  <c r="N240" i="3"/>
  <c r="AO239" i="3" l="1"/>
  <c r="AP239" i="3"/>
  <c r="AU238" i="3"/>
  <c r="AT238" i="3"/>
  <c r="AR239" i="3"/>
  <c r="S240" i="3"/>
  <c r="T240" i="3"/>
  <c r="Z240" i="3" s="1"/>
  <c r="AN240" i="3" s="1"/>
  <c r="AW240" i="3" s="1"/>
  <c r="R240" i="3"/>
  <c r="N241" i="3"/>
  <c r="AP240" i="3" l="1"/>
  <c r="AO240" i="3"/>
  <c r="AU239" i="3"/>
  <c r="AT239" i="3"/>
  <c r="AR240" i="3"/>
  <c r="T241" i="3"/>
  <c r="Z241" i="3" s="1"/>
  <c r="AN241" i="3" s="1"/>
  <c r="AW241" i="3" s="1"/>
  <c r="S241" i="3"/>
  <c r="R241" i="3"/>
  <c r="N242" i="3"/>
  <c r="AO241" i="3" l="1"/>
  <c r="AP241" i="3"/>
  <c r="AU240" i="3"/>
  <c r="AT240" i="3"/>
  <c r="AR241" i="3"/>
  <c r="T242" i="3"/>
  <c r="Z242" i="3" s="1"/>
  <c r="AN242" i="3" s="1"/>
  <c r="AW242" i="3" s="1"/>
  <c r="S242" i="3"/>
  <c r="R242" i="3"/>
  <c r="N243" i="3"/>
  <c r="R243" i="3" s="1"/>
  <c r="AP242" i="3" l="1"/>
  <c r="AO242" i="3"/>
  <c r="AU241" i="3"/>
  <c r="AT241" i="3"/>
  <c r="AR242" i="3"/>
  <c r="T243" i="3"/>
  <c r="Z243" i="3" s="1"/>
  <c r="AN243" i="3" s="1"/>
  <c r="AW243" i="3" s="1"/>
  <c r="S243" i="3"/>
  <c r="N244" i="3"/>
  <c r="AO243" i="3" l="1"/>
  <c r="AP243" i="3"/>
  <c r="AU242" i="3"/>
  <c r="AT242" i="3"/>
  <c r="AR243" i="3"/>
  <c r="T244" i="3"/>
  <c r="Z244" i="3" s="1"/>
  <c r="AN244" i="3" s="1"/>
  <c r="AW244" i="3" s="1"/>
  <c r="R244" i="3"/>
  <c r="S244" i="3"/>
  <c r="N245" i="3"/>
  <c r="AO244" i="3" l="1"/>
  <c r="AP244" i="3"/>
  <c r="AU243" i="3"/>
  <c r="AT243" i="3"/>
  <c r="AR244" i="3"/>
  <c r="T245" i="3"/>
  <c r="Z245" i="3" s="1"/>
  <c r="AN245" i="3" s="1"/>
  <c r="AW245" i="3" s="1"/>
  <c r="S245" i="3"/>
  <c r="R245" i="3"/>
  <c r="N246" i="3"/>
  <c r="AO245" i="3" l="1"/>
  <c r="AP245" i="3"/>
  <c r="AU244" i="3"/>
  <c r="AT244" i="3"/>
  <c r="AR245" i="3"/>
  <c r="T246" i="3"/>
  <c r="Z246" i="3" s="1"/>
  <c r="AN246" i="3" s="1"/>
  <c r="AW246" i="3" s="1"/>
  <c r="S246" i="3"/>
  <c r="R246" i="3"/>
  <c r="N247" i="3"/>
  <c r="AO246" i="3" l="1"/>
  <c r="AP246" i="3"/>
  <c r="AU245" i="3"/>
  <c r="AT245" i="3"/>
  <c r="AR246" i="3"/>
  <c r="S247" i="3"/>
  <c r="T247" i="3"/>
  <c r="Z247" i="3" s="1"/>
  <c r="AN247" i="3" s="1"/>
  <c r="AW247" i="3" s="1"/>
  <c r="R247" i="3"/>
  <c r="N248" i="3"/>
  <c r="AO247" i="3" l="1"/>
  <c r="AP247" i="3"/>
  <c r="AU246" i="3"/>
  <c r="AT246" i="3"/>
  <c r="AR247" i="3"/>
  <c r="T248" i="3"/>
  <c r="Z248" i="3" s="1"/>
  <c r="AN248" i="3" s="1"/>
  <c r="AW248" i="3" s="1"/>
  <c r="S248" i="3"/>
  <c r="R248" i="3"/>
  <c r="N249" i="3"/>
  <c r="AO248" i="3" l="1"/>
  <c r="AP248" i="3"/>
  <c r="AU247" i="3"/>
  <c r="AT247" i="3"/>
  <c r="AR248" i="3"/>
  <c r="T249" i="3"/>
  <c r="Z249" i="3" s="1"/>
  <c r="AN249" i="3" s="1"/>
  <c r="AW249" i="3" s="1"/>
  <c r="S249" i="3"/>
  <c r="R249" i="3"/>
  <c r="N250" i="3"/>
  <c r="AO249" i="3" l="1"/>
  <c r="AP249" i="3"/>
  <c r="AU248" i="3"/>
  <c r="AT248" i="3"/>
  <c r="AR249" i="3"/>
  <c r="T250" i="3"/>
  <c r="Z250" i="3" s="1"/>
  <c r="AN250" i="3" s="1"/>
  <c r="AW250" i="3" s="1"/>
  <c r="S250" i="3"/>
  <c r="R250" i="3"/>
  <c r="N251" i="3"/>
  <c r="AO250" i="3" l="1"/>
  <c r="AP250" i="3"/>
  <c r="AU249" i="3"/>
  <c r="AT249" i="3"/>
  <c r="AR250" i="3"/>
  <c r="T251" i="3"/>
  <c r="Z251" i="3" s="1"/>
  <c r="AN251" i="3" s="1"/>
  <c r="AW251" i="3" s="1"/>
  <c r="R251" i="3"/>
  <c r="S251" i="3"/>
  <c r="N252" i="3"/>
  <c r="AO251" i="3" l="1"/>
  <c r="AP251" i="3"/>
  <c r="AU250" i="3"/>
  <c r="AT250" i="3"/>
  <c r="AR251" i="3"/>
  <c r="S252" i="3"/>
  <c r="R252" i="3"/>
  <c r="T252" i="3"/>
  <c r="Z252" i="3" s="1"/>
  <c r="AN252" i="3" s="1"/>
  <c r="AW252" i="3" s="1"/>
  <c r="N253" i="3"/>
  <c r="AO252" i="3" l="1"/>
  <c r="AP252" i="3"/>
  <c r="AU251" i="3"/>
  <c r="AT251" i="3"/>
  <c r="AR252" i="3"/>
  <c r="S253" i="3"/>
  <c r="T253" i="3"/>
  <c r="Z253" i="3" s="1"/>
  <c r="AN253" i="3" s="1"/>
  <c r="AW253" i="3" s="1"/>
  <c r="R253" i="3"/>
  <c r="N254" i="3"/>
  <c r="AO253" i="3" l="1"/>
  <c r="AP253" i="3"/>
  <c r="AU252" i="3"/>
  <c r="AT252" i="3"/>
  <c r="AR253" i="3"/>
  <c r="S254" i="3"/>
  <c r="T254" i="3"/>
  <c r="Z254" i="3" s="1"/>
  <c r="AN254" i="3" s="1"/>
  <c r="AW254" i="3" s="1"/>
  <c r="R254" i="3"/>
  <c r="N255" i="3"/>
  <c r="AO254" i="3" l="1"/>
  <c r="AP254" i="3"/>
  <c r="AU253" i="3"/>
  <c r="AT253" i="3"/>
  <c r="AR254" i="3"/>
  <c r="S255" i="3"/>
  <c r="T255" i="3"/>
  <c r="Z255" i="3" s="1"/>
  <c r="AN255" i="3" s="1"/>
  <c r="AW255" i="3" s="1"/>
  <c r="R255" i="3"/>
  <c r="N256" i="3"/>
  <c r="AO255" i="3" l="1"/>
  <c r="AP255" i="3"/>
  <c r="AU254" i="3"/>
  <c r="AT254" i="3"/>
  <c r="AR255" i="3"/>
  <c r="T256" i="3"/>
  <c r="Z256" i="3" s="1"/>
  <c r="AN256" i="3" s="1"/>
  <c r="AW256" i="3" s="1"/>
  <c r="S256" i="3"/>
  <c r="R256" i="3"/>
  <c r="N257" i="3"/>
  <c r="AP256" i="3" l="1"/>
  <c r="AO256" i="3"/>
  <c r="AU255" i="3"/>
  <c r="AT255" i="3"/>
  <c r="AR256" i="3"/>
  <c r="T257" i="3"/>
  <c r="Z257" i="3" s="1"/>
  <c r="AN257" i="3" s="1"/>
  <c r="AW257" i="3" s="1"/>
  <c r="S257" i="3"/>
  <c r="R257" i="3"/>
  <c r="N258" i="3"/>
  <c r="R258" i="3" s="1"/>
  <c r="AP257" i="3" l="1"/>
  <c r="AO257" i="3"/>
  <c r="AU256" i="3"/>
  <c r="AT256" i="3"/>
  <c r="AR257" i="3"/>
  <c r="S258" i="3"/>
  <c r="T258" i="3"/>
  <c r="Z258" i="3" s="1"/>
  <c r="AN258" i="3" s="1"/>
  <c r="AW258" i="3" s="1"/>
  <c r="N259" i="3"/>
  <c r="AP258" i="3" l="1"/>
  <c r="AO258" i="3"/>
  <c r="AU257" i="3"/>
  <c r="AT257" i="3"/>
  <c r="AR258" i="3"/>
  <c r="R259" i="3"/>
  <c r="S259" i="3"/>
  <c r="T259" i="3"/>
  <c r="Z259" i="3" s="1"/>
  <c r="AN259" i="3" s="1"/>
  <c r="AW259" i="3" s="1"/>
  <c r="N260" i="3"/>
  <c r="AO259" i="3" l="1"/>
  <c r="AP259" i="3"/>
  <c r="AU258" i="3"/>
  <c r="AT258" i="3"/>
  <c r="AR259" i="3"/>
  <c r="S260" i="3"/>
  <c r="R260" i="3"/>
  <c r="T260" i="3"/>
  <c r="Z260" i="3" s="1"/>
  <c r="AN260" i="3" s="1"/>
  <c r="AW260" i="3" s="1"/>
  <c r="N261" i="3"/>
  <c r="AO260" i="3" l="1"/>
  <c r="AP260" i="3"/>
  <c r="AU259" i="3"/>
  <c r="AT259" i="3"/>
  <c r="AR260" i="3"/>
  <c r="T261" i="3"/>
  <c r="Z261" i="3" s="1"/>
  <c r="AN261" i="3" s="1"/>
  <c r="AW261" i="3" s="1"/>
  <c r="S261" i="3"/>
  <c r="R261" i="3"/>
  <c r="N262" i="3"/>
  <c r="AP261" i="3" l="1"/>
  <c r="AO261" i="3"/>
  <c r="AU260" i="3"/>
  <c r="AT260" i="3"/>
  <c r="AR261" i="3"/>
  <c r="T262" i="3"/>
  <c r="Z262" i="3" s="1"/>
  <c r="AN262" i="3" s="1"/>
  <c r="AW262" i="3" s="1"/>
  <c r="S262" i="3"/>
  <c r="R262" i="3"/>
  <c r="N263" i="3"/>
  <c r="AP262" i="3" l="1"/>
  <c r="AO262" i="3"/>
  <c r="AU261" i="3"/>
  <c r="AT261" i="3"/>
  <c r="AR262" i="3"/>
  <c r="S263" i="3"/>
  <c r="T263" i="3"/>
  <c r="Z263" i="3" s="1"/>
  <c r="AN263" i="3" s="1"/>
  <c r="AW263" i="3" s="1"/>
  <c r="R263" i="3"/>
  <c r="N264" i="3"/>
  <c r="AO263" i="3" l="1"/>
  <c r="AP263" i="3"/>
  <c r="AU262" i="3"/>
  <c r="AT262" i="3"/>
  <c r="AR263" i="3"/>
  <c r="T264" i="3"/>
  <c r="Z264" i="3" s="1"/>
  <c r="AN264" i="3" s="1"/>
  <c r="AW264" i="3" s="1"/>
  <c r="S264" i="3"/>
  <c r="R264" i="3"/>
  <c r="N265" i="3"/>
  <c r="AO264" i="3" l="1"/>
  <c r="AP264" i="3"/>
  <c r="AU263" i="3"/>
  <c r="AT263" i="3"/>
  <c r="AR264" i="3"/>
  <c r="S265" i="3"/>
  <c r="T265" i="3"/>
  <c r="Z265" i="3" s="1"/>
  <c r="AN265" i="3" s="1"/>
  <c r="AW265" i="3" s="1"/>
  <c r="R265" i="3"/>
  <c r="N266" i="3"/>
  <c r="AO265" i="3" l="1"/>
  <c r="AP265" i="3"/>
  <c r="AU264" i="3"/>
  <c r="AT264" i="3"/>
  <c r="AR265" i="3"/>
  <c r="S266" i="3"/>
  <c r="C86" i="7" s="1"/>
  <c r="T266" i="3"/>
  <c r="Z266" i="3" s="1"/>
  <c r="AN266" i="3" s="1"/>
  <c r="AW266" i="3" s="1"/>
  <c r="R266" i="3"/>
  <c r="C85" i="7" s="1"/>
  <c r="I76" i="7" s="1"/>
  <c r="N267" i="3"/>
  <c r="AO266" i="3" l="1"/>
  <c r="AP266" i="3"/>
  <c r="AU265" i="3"/>
  <c r="AT265" i="3"/>
  <c r="AR266" i="3"/>
  <c r="S267" i="3"/>
  <c r="T267" i="3"/>
  <c r="Z267" i="3" s="1"/>
  <c r="AN267" i="3" s="1"/>
  <c r="AW267" i="3" s="1"/>
  <c r="R267" i="3"/>
  <c r="N268" i="3"/>
  <c r="AO267" i="3" l="1"/>
  <c r="AP267" i="3"/>
  <c r="AU266" i="3"/>
  <c r="AT266" i="3"/>
  <c r="AR267" i="3"/>
  <c r="S268" i="3"/>
  <c r="R268" i="3"/>
  <c r="T268" i="3"/>
  <c r="Z268" i="3" s="1"/>
  <c r="AN268" i="3" s="1"/>
  <c r="AW268" i="3" s="1"/>
  <c r="N269" i="3"/>
  <c r="AO268" i="3" l="1"/>
  <c r="AP268" i="3"/>
  <c r="AU267" i="3"/>
  <c r="AT267" i="3"/>
  <c r="AR268" i="3"/>
  <c r="T269" i="3"/>
  <c r="Z269" i="3" s="1"/>
  <c r="AN269" i="3" s="1"/>
  <c r="AW269" i="3" s="1"/>
  <c r="S269" i="3"/>
  <c r="R269" i="3"/>
  <c r="N270" i="3"/>
  <c r="AO269" i="3" l="1"/>
  <c r="AP269" i="3"/>
  <c r="AU268" i="3"/>
  <c r="AT268" i="3"/>
  <c r="AR269" i="3"/>
  <c r="S270" i="3"/>
  <c r="T270" i="3"/>
  <c r="Z270" i="3" s="1"/>
  <c r="AN270" i="3" s="1"/>
  <c r="AW270" i="3" s="1"/>
  <c r="R270" i="3"/>
  <c r="N271" i="3"/>
  <c r="AO270" i="3" l="1"/>
  <c r="AP270" i="3"/>
  <c r="AU269" i="3"/>
  <c r="AT269" i="3"/>
  <c r="AR270" i="3"/>
  <c r="T271" i="3"/>
  <c r="Z271" i="3" s="1"/>
  <c r="AN271" i="3" s="1"/>
  <c r="AW271" i="3" s="1"/>
  <c r="S271" i="3"/>
  <c r="R271" i="3"/>
  <c r="N272" i="3"/>
  <c r="AO271" i="3" l="1"/>
  <c r="AP271" i="3"/>
  <c r="AU270" i="3"/>
  <c r="AT270" i="3"/>
  <c r="AR271" i="3"/>
  <c r="S272" i="3"/>
  <c r="T272" i="3"/>
  <c r="Z272" i="3" s="1"/>
  <c r="AN272" i="3" s="1"/>
  <c r="AW272" i="3" s="1"/>
  <c r="R272" i="3"/>
  <c r="N273" i="3"/>
  <c r="AO272" i="3" l="1"/>
  <c r="AP272" i="3"/>
  <c r="AU271" i="3"/>
  <c r="AT271" i="3"/>
  <c r="AR272" i="3"/>
  <c r="S273" i="3"/>
  <c r="T273" i="3"/>
  <c r="Z273" i="3" s="1"/>
  <c r="AN273" i="3" s="1"/>
  <c r="AW273" i="3" s="1"/>
  <c r="R273" i="3"/>
  <c r="N274" i="3"/>
  <c r="AO273" i="3" l="1"/>
  <c r="AP273" i="3"/>
  <c r="AU272" i="3"/>
  <c r="AT272" i="3"/>
  <c r="AR273" i="3"/>
  <c r="T274" i="3"/>
  <c r="Z274" i="3" s="1"/>
  <c r="AN274" i="3" s="1"/>
  <c r="AW274" i="3" s="1"/>
  <c r="S274" i="3"/>
  <c r="R274" i="3"/>
  <c r="N275" i="3"/>
  <c r="AO274" i="3" l="1"/>
  <c r="AP274" i="3"/>
  <c r="AU273" i="3"/>
  <c r="AT273" i="3"/>
  <c r="AR274" i="3"/>
  <c r="R275" i="3"/>
  <c r="T275" i="3"/>
  <c r="Z275" i="3" s="1"/>
  <c r="AN275" i="3" s="1"/>
  <c r="AW275" i="3" s="1"/>
  <c r="S275" i="3"/>
  <c r="N276" i="3"/>
  <c r="AP275" i="3" l="1"/>
  <c r="AO275" i="3"/>
  <c r="AU274" i="3"/>
  <c r="AT274" i="3"/>
  <c r="AR275" i="3"/>
  <c r="S276" i="3"/>
  <c r="R276" i="3"/>
  <c r="T276" i="3"/>
  <c r="Z276" i="3" s="1"/>
  <c r="AN276" i="3" s="1"/>
  <c r="AW276" i="3" s="1"/>
  <c r="N277" i="3"/>
  <c r="AP276" i="3" l="1"/>
  <c r="AO276" i="3"/>
  <c r="AU275" i="3"/>
  <c r="AT275" i="3"/>
  <c r="AR276" i="3"/>
  <c r="T277" i="3"/>
  <c r="Z277" i="3" s="1"/>
  <c r="AN277" i="3" s="1"/>
  <c r="AW277" i="3" s="1"/>
  <c r="N278" i="3"/>
  <c r="S277" i="3"/>
  <c r="R277" i="3"/>
  <c r="AP277" i="3" l="1"/>
  <c r="AO277" i="3"/>
  <c r="AU276" i="3"/>
  <c r="AT276" i="3"/>
  <c r="AR277" i="3"/>
  <c r="T278" i="3"/>
  <c r="Z278" i="3" s="1"/>
  <c r="AN278" i="3" s="1"/>
  <c r="AW278" i="3" s="1"/>
  <c r="S278" i="3"/>
  <c r="N279" i="3"/>
  <c r="R278" i="3"/>
  <c r="AO278" i="3" l="1"/>
  <c r="AP278" i="3"/>
  <c r="AU277" i="3"/>
  <c r="AT277" i="3"/>
  <c r="AR278" i="3"/>
  <c r="T279" i="3"/>
  <c r="Z279" i="3" s="1"/>
  <c r="AN279" i="3" s="1"/>
  <c r="AW279" i="3" s="1"/>
  <c r="S279" i="3"/>
  <c r="N280" i="3"/>
  <c r="R279" i="3"/>
  <c r="AO279" i="3" l="1"/>
  <c r="AP279" i="3"/>
  <c r="AU278" i="3"/>
  <c r="AT278" i="3"/>
  <c r="AR279" i="3"/>
  <c r="N281" i="3"/>
  <c r="T280" i="3"/>
  <c r="Z280" i="3" s="1"/>
  <c r="AN280" i="3" s="1"/>
  <c r="AW280" i="3" s="1"/>
  <c r="S280" i="3"/>
  <c r="R280" i="3"/>
  <c r="AO280" i="3" l="1"/>
  <c r="AP280" i="3"/>
  <c r="AU279" i="3"/>
  <c r="AT279" i="3"/>
  <c r="AR280" i="3"/>
  <c r="N282" i="3"/>
  <c r="S281" i="3"/>
  <c r="T281" i="3"/>
  <c r="Z281" i="3" s="1"/>
  <c r="AN281" i="3" s="1"/>
  <c r="AW281" i="3" s="1"/>
  <c r="R281" i="3"/>
  <c r="AP281" i="3" l="1"/>
  <c r="AO281" i="3"/>
  <c r="AU280" i="3"/>
  <c r="AT280" i="3"/>
  <c r="AR281" i="3"/>
  <c r="AT281" i="3"/>
  <c r="S282" i="3"/>
  <c r="N283" i="3"/>
  <c r="R282" i="3"/>
  <c r="T282" i="3"/>
  <c r="Z282" i="3" s="1"/>
  <c r="AN282" i="3" s="1"/>
  <c r="AW282" i="3" s="1"/>
  <c r="AP282" i="3" l="1"/>
  <c r="AO282" i="3"/>
  <c r="AU281" i="3"/>
  <c r="AR282" i="3"/>
  <c r="N284" i="3"/>
  <c r="T283" i="3"/>
  <c r="Z283" i="3" s="1"/>
  <c r="AN283" i="3" s="1"/>
  <c r="AW283" i="3" s="1"/>
  <c r="S283" i="3"/>
  <c r="R283" i="3"/>
  <c r="AO283" i="3" l="1"/>
  <c r="AP283" i="3"/>
  <c r="AU282" i="3"/>
  <c r="AT282" i="3"/>
  <c r="AR283" i="3"/>
  <c r="T284" i="3"/>
  <c r="Z284" i="3" s="1"/>
  <c r="AN284" i="3" s="1"/>
  <c r="AW284" i="3" s="1"/>
  <c r="S284" i="3"/>
  <c r="N285" i="3"/>
  <c r="R284" i="3"/>
  <c r="AO284" i="3" l="1"/>
  <c r="AP284" i="3"/>
  <c r="AU283" i="3"/>
  <c r="AT283" i="3"/>
  <c r="AR284" i="3"/>
  <c r="S285" i="3"/>
  <c r="T285" i="3"/>
  <c r="Z285" i="3" s="1"/>
  <c r="AN285" i="3" s="1"/>
  <c r="AW285" i="3" s="1"/>
  <c r="N286" i="3"/>
  <c r="R285" i="3"/>
  <c r="AO285" i="3" l="1"/>
  <c r="AP285" i="3"/>
  <c r="AU284" i="3"/>
  <c r="AT284" i="3"/>
  <c r="AR285" i="3"/>
  <c r="T286" i="3"/>
  <c r="Z286" i="3" s="1"/>
  <c r="AN286" i="3" s="1"/>
  <c r="AW286" i="3" s="1"/>
  <c r="R286" i="3"/>
  <c r="N287" i="3"/>
  <c r="S286" i="3"/>
  <c r="AP286" i="3" l="1"/>
  <c r="AO286" i="3"/>
  <c r="AU285" i="3"/>
  <c r="AT285" i="3"/>
  <c r="AR286" i="3"/>
  <c r="T287" i="3"/>
  <c r="Z287" i="3" s="1"/>
  <c r="AN287" i="3" s="1"/>
  <c r="AW287" i="3" s="1"/>
  <c r="S287" i="3"/>
  <c r="N288" i="3"/>
  <c r="R287" i="3"/>
  <c r="AO287" i="3" l="1"/>
  <c r="AP287" i="3"/>
  <c r="AU286" i="3"/>
  <c r="AT286" i="3"/>
  <c r="AR287" i="3"/>
  <c r="T288" i="3"/>
  <c r="Z288" i="3" s="1"/>
  <c r="AN288" i="3" s="1"/>
  <c r="AW288" i="3" s="1"/>
  <c r="S288" i="3"/>
  <c r="N289" i="3"/>
  <c r="R288" i="3"/>
  <c r="AO288" i="3" l="1"/>
  <c r="AP288" i="3"/>
  <c r="AU287" i="3"/>
  <c r="AT287" i="3"/>
  <c r="AR288" i="3"/>
  <c r="T289" i="3"/>
  <c r="Z289" i="3" s="1"/>
  <c r="AN289" i="3" s="1"/>
  <c r="AW289" i="3" s="1"/>
  <c r="S289" i="3"/>
  <c r="R289" i="3"/>
  <c r="N290" i="3"/>
  <c r="AO289" i="3" l="1"/>
  <c r="AP289" i="3"/>
  <c r="AU288" i="3"/>
  <c r="AT288" i="3"/>
  <c r="AR289" i="3"/>
  <c r="N291" i="3"/>
  <c r="S290" i="3"/>
  <c r="T290" i="3"/>
  <c r="Z290" i="3" s="1"/>
  <c r="AN290" i="3" s="1"/>
  <c r="AW290" i="3" s="1"/>
  <c r="R290" i="3"/>
  <c r="AO290" i="3" l="1"/>
  <c r="AP290" i="3"/>
  <c r="AU289" i="3"/>
  <c r="AT289" i="3"/>
  <c r="AR290" i="3"/>
  <c r="R291" i="3"/>
  <c r="N292" i="3"/>
  <c r="S291" i="3"/>
  <c r="T291" i="3"/>
  <c r="Z291" i="3" s="1"/>
  <c r="AN291" i="3" s="1"/>
  <c r="AW291" i="3" s="1"/>
  <c r="AO291" i="3" l="1"/>
  <c r="AP291" i="3"/>
  <c r="AU290" i="3"/>
  <c r="AT290" i="3"/>
  <c r="AR291" i="3"/>
  <c r="T292" i="3"/>
  <c r="Z292" i="3" s="1"/>
  <c r="AN292" i="3" s="1"/>
  <c r="AW292" i="3" s="1"/>
  <c r="S292" i="3"/>
  <c r="N293" i="3"/>
  <c r="R292" i="3"/>
  <c r="AP292" i="3" l="1"/>
  <c r="AO292" i="3"/>
  <c r="AU291" i="3"/>
  <c r="AT291" i="3"/>
  <c r="AR292" i="3"/>
  <c r="T293" i="3"/>
  <c r="Z293" i="3" s="1"/>
  <c r="AN293" i="3" s="1"/>
  <c r="AW293" i="3" s="1"/>
  <c r="S293" i="3"/>
  <c r="N294" i="3"/>
  <c r="R293" i="3"/>
  <c r="AP293" i="3" l="1"/>
  <c r="AO293" i="3"/>
  <c r="AU292" i="3"/>
  <c r="AT292" i="3"/>
  <c r="AR293" i="3"/>
  <c r="T294" i="3"/>
  <c r="Z294" i="3" s="1"/>
  <c r="AN294" i="3" s="1"/>
  <c r="AW294" i="3" s="1"/>
  <c r="S294" i="3"/>
  <c r="N295" i="3"/>
  <c r="R294" i="3"/>
  <c r="AO294" i="3" l="1"/>
  <c r="AP294" i="3"/>
  <c r="AU293" i="3"/>
  <c r="AT293" i="3"/>
  <c r="AR294" i="3"/>
  <c r="T295" i="3"/>
  <c r="Z295" i="3" s="1"/>
  <c r="AN295" i="3" s="1"/>
  <c r="AW295" i="3" s="1"/>
  <c r="R295" i="3"/>
  <c r="N296" i="3"/>
  <c r="S295" i="3"/>
  <c r="AO295" i="3" l="1"/>
  <c r="AP295" i="3"/>
  <c r="AU294" i="3"/>
  <c r="AT294" i="3"/>
  <c r="AR295" i="3"/>
  <c r="R296" i="3"/>
  <c r="T296" i="3"/>
  <c r="Z296" i="3" s="1"/>
  <c r="AN296" i="3" s="1"/>
  <c r="AW296" i="3" s="1"/>
  <c r="N297" i="3"/>
  <c r="S296" i="3"/>
  <c r="AO296" i="3" l="1"/>
  <c r="AP296" i="3"/>
  <c r="AU295" i="3"/>
  <c r="AT295" i="3"/>
  <c r="AR296" i="3"/>
  <c r="T297" i="3"/>
  <c r="Z297" i="3" s="1"/>
  <c r="AN297" i="3" s="1"/>
  <c r="AW297" i="3" s="1"/>
  <c r="S297" i="3"/>
  <c r="N298" i="3"/>
  <c r="R297" i="3"/>
  <c r="AP297" i="3" l="1"/>
  <c r="AO297" i="3"/>
  <c r="AU296" i="3"/>
  <c r="AT296" i="3"/>
  <c r="AR297" i="3"/>
  <c r="S298" i="3"/>
  <c r="T298" i="3"/>
  <c r="Z298" i="3" s="1"/>
  <c r="AN298" i="3" s="1"/>
  <c r="AW298" i="3" s="1"/>
  <c r="N299" i="3"/>
  <c r="R298" i="3"/>
  <c r="AO298" i="3" l="1"/>
  <c r="AP298" i="3"/>
  <c r="AU297" i="3"/>
  <c r="AT297" i="3"/>
  <c r="AR298" i="3"/>
  <c r="S299" i="3"/>
  <c r="T299" i="3"/>
  <c r="Z299" i="3" s="1"/>
  <c r="AN299" i="3" s="1"/>
  <c r="AW299" i="3" s="1"/>
  <c r="N300" i="3"/>
  <c r="R299" i="3"/>
  <c r="AP299" i="3" l="1"/>
  <c r="AO299" i="3"/>
  <c r="AU298" i="3"/>
  <c r="AT298" i="3"/>
  <c r="AR299" i="3"/>
  <c r="S300" i="3"/>
  <c r="T300" i="3"/>
  <c r="Z300" i="3" s="1"/>
  <c r="AN300" i="3" s="1"/>
  <c r="AW300" i="3" s="1"/>
  <c r="N301" i="3"/>
  <c r="R300" i="3"/>
  <c r="AO300" i="3" l="1"/>
  <c r="AP300" i="3"/>
  <c r="AU299" i="3"/>
  <c r="AT299" i="3"/>
  <c r="AR300" i="3"/>
  <c r="S301" i="3"/>
  <c r="T301" i="3"/>
  <c r="Z301" i="3" s="1"/>
  <c r="AN301" i="3" s="1"/>
  <c r="AW301" i="3" s="1"/>
  <c r="N302" i="3"/>
  <c r="R301" i="3"/>
  <c r="AO301" i="3" l="1"/>
  <c r="AP301" i="3"/>
  <c r="AU300" i="3"/>
  <c r="AT300" i="3"/>
  <c r="AR301" i="3"/>
  <c r="N303" i="3"/>
  <c r="T302" i="3"/>
  <c r="Z302" i="3" s="1"/>
  <c r="AN302" i="3" s="1"/>
  <c r="AW302" i="3" s="1"/>
  <c r="S302" i="3"/>
  <c r="R302" i="3"/>
  <c r="AP302" i="3" l="1"/>
  <c r="AO302" i="3"/>
  <c r="AU301" i="3"/>
  <c r="AT301" i="3"/>
  <c r="AR302" i="3"/>
  <c r="S303" i="3"/>
  <c r="N304" i="3"/>
  <c r="T303" i="3"/>
  <c r="Z303" i="3" s="1"/>
  <c r="AN303" i="3" s="1"/>
  <c r="AW303" i="3" s="1"/>
  <c r="R303" i="3"/>
  <c r="AP303" i="3" l="1"/>
  <c r="AO303" i="3"/>
  <c r="AU302" i="3"/>
  <c r="AT302" i="3"/>
  <c r="AR303" i="3"/>
  <c r="N305" i="3"/>
  <c r="T304" i="3"/>
  <c r="Z304" i="3" s="1"/>
  <c r="AN304" i="3" s="1"/>
  <c r="AW304" i="3" s="1"/>
  <c r="S304" i="3"/>
  <c r="R304" i="3"/>
  <c r="AO304" i="3" l="1"/>
  <c r="AP304" i="3"/>
  <c r="AU303" i="3"/>
  <c r="AT303" i="3"/>
  <c r="AR304" i="3"/>
  <c r="T305" i="3"/>
  <c r="Z305" i="3" s="1"/>
  <c r="AN305" i="3" s="1"/>
  <c r="AW305" i="3" s="1"/>
  <c r="N306" i="3"/>
  <c r="S305" i="3"/>
  <c r="R305" i="3"/>
  <c r="AO305" i="3" l="1"/>
  <c r="AP305" i="3"/>
  <c r="AU304" i="3"/>
  <c r="AT304" i="3"/>
  <c r="AR305" i="3"/>
  <c r="S306" i="3"/>
  <c r="T306" i="3"/>
  <c r="Z306" i="3" s="1"/>
  <c r="AN306" i="3" s="1"/>
  <c r="AW306" i="3" s="1"/>
  <c r="N307" i="3"/>
  <c r="R306" i="3"/>
  <c r="AO306" i="3" l="1"/>
  <c r="AP306" i="3"/>
  <c r="AU305" i="3"/>
  <c r="AT305" i="3"/>
  <c r="AR306" i="3"/>
  <c r="T307" i="3"/>
  <c r="Z307" i="3" s="1"/>
  <c r="AN307" i="3" s="1"/>
  <c r="AW307" i="3" s="1"/>
  <c r="S307" i="3"/>
  <c r="N308" i="3"/>
  <c r="R307" i="3"/>
  <c r="AO307" i="3" l="1"/>
  <c r="AP307" i="3"/>
  <c r="AU306" i="3"/>
  <c r="AT306" i="3"/>
  <c r="AR307" i="3"/>
  <c r="S308" i="3"/>
  <c r="T308" i="3"/>
  <c r="Z308" i="3" s="1"/>
  <c r="AN308" i="3" s="1"/>
  <c r="AW308" i="3" s="1"/>
  <c r="N309" i="3"/>
  <c r="R308" i="3"/>
  <c r="AO308" i="3" l="1"/>
  <c r="AP308" i="3"/>
  <c r="AU307" i="3"/>
  <c r="AT307" i="3"/>
  <c r="AR308" i="3"/>
  <c r="T309" i="3"/>
  <c r="Z309" i="3" s="1"/>
  <c r="AN309" i="3" s="1"/>
  <c r="AW309" i="3" s="1"/>
  <c r="S309" i="3"/>
  <c r="N310" i="3"/>
  <c r="R309" i="3"/>
  <c r="AO309" i="3" l="1"/>
  <c r="AP309" i="3"/>
  <c r="AU308" i="3"/>
  <c r="AT308" i="3"/>
  <c r="AR309" i="3"/>
  <c r="N311" i="3"/>
  <c r="T310" i="3"/>
  <c r="Z310" i="3" s="1"/>
  <c r="AN310" i="3" s="1"/>
  <c r="AW310" i="3" s="1"/>
  <c r="S310" i="3"/>
  <c r="R310" i="3"/>
  <c r="AO310" i="3" l="1"/>
  <c r="AP310" i="3"/>
  <c r="AU309" i="3"/>
  <c r="AT309" i="3"/>
  <c r="AR310" i="3"/>
  <c r="R311" i="3"/>
  <c r="N312" i="3"/>
  <c r="T311" i="3"/>
  <c r="Z311" i="3" s="1"/>
  <c r="AN311" i="3" s="1"/>
  <c r="AW311" i="3" s="1"/>
  <c r="S311" i="3"/>
  <c r="AO311" i="3" l="1"/>
  <c r="AP311" i="3"/>
  <c r="AU310" i="3"/>
  <c r="AT310" i="3"/>
  <c r="AR311" i="3"/>
  <c r="S312" i="3"/>
  <c r="T312" i="3"/>
  <c r="Z312" i="3" s="1"/>
  <c r="AN312" i="3" s="1"/>
  <c r="AW312" i="3" s="1"/>
  <c r="N313" i="3"/>
  <c r="R312" i="3"/>
  <c r="AO312" i="3" l="1"/>
  <c r="AP312" i="3"/>
  <c r="AU311" i="3"/>
  <c r="AT311" i="3"/>
  <c r="AR312" i="3"/>
  <c r="N314" i="3"/>
  <c r="T313" i="3"/>
  <c r="Z313" i="3" s="1"/>
  <c r="AN313" i="3" s="1"/>
  <c r="AW313" i="3" s="1"/>
  <c r="S313" i="3"/>
  <c r="R313" i="3"/>
  <c r="AP313" i="3" l="1"/>
  <c r="AO313" i="3"/>
  <c r="AU312" i="3"/>
  <c r="AT312" i="3"/>
  <c r="AR313" i="3"/>
  <c r="N315" i="3"/>
  <c r="R314" i="3"/>
  <c r="T314" i="3"/>
  <c r="Z314" i="3" s="1"/>
  <c r="AN314" i="3" s="1"/>
  <c r="AW314" i="3" s="1"/>
  <c r="S314" i="3"/>
  <c r="AO314" i="3" l="1"/>
  <c r="AP314" i="3"/>
  <c r="AU313" i="3"/>
  <c r="AT313" i="3"/>
  <c r="AR314" i="3"/>
  <c r="R315" i="3"/>
  <c r="N316" i="3"/>
  <c r="S315" i="3"/>
  <c r="T315" i="3"/>
  <c r="Z315" i="3" s="1"/>
  <c r="AN315" i="3" s="1"/>
  <c r="AW315" i="3" s="1"/>
  <c r="AO315" i="3" l="1"/>
  <c r="AP315" i="3"/>
  <c r="AU314" i="3"/>
  <c r="AT314" i="3"/>
  <c r="AR315" i="3"/>
  <c r="N317" i="3"/>
  <c r="T316" i="3"/>
  <c r="Z316" i="3" s="1"/>
  <c r="AN316" i="3" s="1"/>
  <c r="AW316" i="3" s="1"/>
  <c r="S316" i="3"/>
  <c r="R316" i="3"/>
  <c r="AO316" i="3" l="1"/>
  <c r="AP316" i="3"/>
  <c r="AU315" i="3"/>
  <c r="AT315" i="3"/>
  <c r="AR316" i="3"/>
  <c r="T317" i="3"/>
  <c r="Z317" i="3" s="1"/>
  <c r="AN317" i="3" s="1"/>
  <c r="AW317" i="3" s="1"/>
  <c r="N318" i="3"/>
  <c r="R317" i="3"/>
  <c r="S317" i="3"/>
  <c r="AP317" i="3" l="1"/>
  <c r="AO317" i="3"/>
  <c r="AU316" i="3"/>
  <c r="AT316" i="3"/>
  <c r="AR317" i="3"/>
  <c r="T318" i="3"/>
  <c r="Z318" i="3" s="1"/>
  <c r="AN318" i="3" s="1"/>
  <c r="AW318" i="3" s="1"/>
  <c r="S318" i="3"/>
  <c r="N319" i="3"/>
  <c r="R318" i="3"/>
  <c r="AP318" i="3" l="1"/>
  <c r="AO318" i="3"/>
  <c r="AU317" i="3"/>
  <c r="AT317" i="3"/>
  <c r="AR318" i="3"/>
  <c r="S319" i="3"/>
  <c r="T319" i="3"/>
  <c r="Z319" i="3" s="1"/>
  <c r="AN319" i="3" s="1"/>
  <c r="AW319" i="3" s="1"/>
  <c r="N320" i="3"/>
  <c r="R319" i="3"/>
  <c r="AP319" i="3" l="1"/>
  <c r="AO319" i="3"/>
  <c r="AU318" i="3"/>
  <c r="AT318" i="3"/>
  <c r="AR319" i="3"/>
  <c r="S320" i="3"/>
  <c r="T320" i="3"/>
  <c r="Z320" i="3" s="1"/>
  <c r="AN320" i="3" s="1"/>
  <c r="AW320" i="3" s="1"/>
  <c r="N321" i="3"/>
  <c r="R320" i="3"/>
  <c r="AO320" i="3" l="1"/>
  <c r="AP320" i="3"/>
  <c r="AU319" i="3"/>
  <c r="AT319" i="3"/>
  <c r="AR320" i="3"/>
  <c r="S321" i="3"/>
  <c r="T321" i="3"/>
  <c r="Z321" i="3" s="1"/>
  <c r="AN321" i="3" s="1"/>
  <c r="AW321" i="3" s="1"/>
  <c r="N322" i="3"/>
  <c r="R321" i="3"/>
  <c r="AO321" i="3" l="1"/>
  <c r="AP321" i="3"/>
  <c r="AU320" i="3"/>
  <c r="AT320" i="3"/>
  <c r="AR321" i="3"/>
  <c r="T322" i="3"/>
  <c r="Z322" i="3" s="1"/>
  <c r="AN322" i="3" s="1"/>
  <c r="AW322" i="3" s="1"/>
  <c r="S322" i="3"/>
  <c r="N323" i="3"/>
  <c r="R322" i="3"/>
  <c r="AO322" i="3" l="1"/>
  <c r="AP322" i="3"/>
  <c r="AU321" i="3"/>
  <c r="AT321" i="3"/>
  <c r="AR322" i="3"/>
  <c r="T323" i="3"/>
  <c r="Z323" i="3" s="1"/>
  <c r="AN323" i="3" s="1"/>
  <c r="AW323" i="3" s="1"/>
  <c r="S323" i="3"/>
  <c r="N324" i="3"/>
  <c r="R323" i="3"/>
  <c r="AO323" i="3" l="1"/>
  <c r="AP323" i="3"/>
  <c r="AU322" i="3"/>
  <c r="AT322" i="3"/>
  <c r="AR323" i="3"/>
  <c r="T324" i="3"/>
  <c r="Z324" i="3" s="1"/>
  <c r="AN324" i="3" s="1"/>
  <c r="AW324" i="3" s="1"/>
  <c r="S324" i="3"/>
  <c r="N325" i="3"/>
  <c r="R324" i="3"/>
  <c r="AO324" i="3" l="1"/>
  <c r="AP324" i="3"/>
  <c r="AU323" i="3"/>
  <c r="AT323" i="3"/>
  <c r="AR324" i="3"/>
  <c r="T325" i="3"/>
  <c r="Z325" i="3" s="1"/>
  <c r="AN325" i="3" s="1"/>
  <c r="AW325" i="3" s="1"/>
  <c r="S325" i="3"/>
  <c r="N326" i="3"/>
  <c r="R325" i="3"/>
  <c r="AO325" i="3" l="1"/>
  <c r="AP325" i="3"/>
  <c r="AU324" i="3"/>
  <c r="AT324" i="3"/>
  <c r="AR325" i="3"/>
  <c r="T326" i="3"/>
  <c r="Z326" i="3" s="1"/>
  <c r="AN326" i="3" s="1"/>
  <c r="AW326" i="3" s="1"/>
  <c r="S326" i="3"/>
  <c r="N327" i="3"/>
  <c r="R326" i="3"/>
  <c r="AO326" i="3" l="1"/>
  <c r="AP326" i="3"/>
  <c r="AU325" i="3"/>
  <c r="AT325" i="3"/>
  <c r="AR326" i="3"/>
  <c r="T327" i="3"/>
  <c r="Z327" i="3" s="1"/>
  <c r="AN327" i="3" s="1"/>
  <c r="AW327" i="3" s="1"/>
  <c r="S327" i="3"/>
  <c r="N328" i="3"/>
  <c r="R327" i="3"/>
  <c r="AO327" i="3" l="1"/>
  <c r="AP327" i="3"/>
  <c r="AU326" i="3"/>
  <c r="AT326" i="3"/>
  <c r="AR327" i="3"/>
  <c r="T328" i="3"/>
  <c r="Z328" i="3" s="1"/>
  <c r="AN328" i="3" s="1"/>
  <c r="AW328" i="3" s="1"/>
  <c r="S328" i="3"/>
  <c r="N329" i="3"/>
  <c r="R328" i="3"/>
  <c r="AO328" i="3" l="1"/>
  <c r="AP328" i="3"/>
  <c r="AU327" i="3"/>
  <c r="AT327" i="3"/>
  <c r="AR328" i="3"/>
  <c r="T329" i="3"/>
  <c r="Z329" i="3" s="1"/>
  <c r="AN329" i="3" s="1"/>
  <c r="AW329" i="3" s="1"/>
  <c r="R329" i="3"/>
  <c r="N330" i="3"/>
  <c r="S329" i="3"/>
  <c r="AO329" i="3" l="1"/>
  <c r="AP329" i="3"/>
  <c r="AU328" i="3"/>
  <c r="AT328" i="3"/>
  <c r="AR329" i="3"/>
  <c r="S330" i="3"/>
  <c r="T330" i="3"/>
  <c r="Z330" i="3" s="1"/>
  <c r="AN330" i="3" s="1"/>
  <c r="AW330" i="3" s="1"/>
  <c r="N331" i="3"/>
  <c r="R330" i="3"/>
  <c r="AO330" i="3" l="1"/>
  <c r="AP330" i="3"/>
  <c r="AU329" i="3"/>
  <c r="AT329" i="3"/>
  <c r="AR330" i="3"/>
  <c r="T331" i="3"/>
  <c r="Z331" i="3" s="1"/>
  <c r="AN331" i="3" s="1"/>
  <c r="AW331" i="3" s="1"/>
  <c r="S331" i="3"/>
  <c r="N332" i="3"/>
  <c r="R331" i="3"/>
  <c r="AO331" i="3" l="1"/>
  <c r="AP331" i="3"/>
  <c r="AU330" i="3"/>
  <c r="AT330" i="3"/>
  <c r="AR331" i="3"/>
  <c r="N333" i="3"/>
  <c r="T332" i="3"/>
  <c r="Z332" i="3" s="1"/>
  <c r="AN332" i="3" s="1"/>
  <c r="AW332" i="3" s="1"/>
  <c r="S332" i="3"/>
  <c r="R332" i="3"/>
  <c r="AO332" i="3" l="1"/>
  <c r="AP332" i="3"/>
  <c r="AU331" i="3"/>
  <c r="AT331" i="3"/>
  <c r="AR332" i="3"/>
  <c r="N334" i="3"/>
  <c r="T333" i="3"/>
  <c r="Z333" i="3" s="1"/>
  <c r="AN333" i="3" s="1"/>
  <c r="AW333" i="3" s="1"/>
  <c r="R333" i="3"/>
  <c r="S333" i="3"/>
  <c r="AO333" i="3" l="1"/>
  <c r="AP333" i="3"/>
  <c r="AU332" i="3"/>
  <c r="AT332" i="3"/>
  <c r="AR333" i="3"/>
  <c r="N335" i="3"/>
  <c r="R334" i="3"/>
  <c r="T334" i="3"/>
  <c r="Z334" i="3" s="1"/>
  <c r="AN334" i="3" s="1"/>
  <c r="AW334" i="3" s="1"/>
  <c r="S334" i="3"/>
  <c r="AO334" i="3" l="1"/>
  <c r="AP334" i="3"/>
  <c r="AU333" i="3"/>
  <c r="AT333" i="3"/>
  <c r="AR334" i="3"/>
  <c r="N336" i="3"/>
  <c r="T335" i="3"/>
  <c r="Z335" i="3" s="1"/>
  <c r="AN335" i="3" s="1"/>
  <c r="AW335" i="3" s="1"/>
  <c r="S335" i="3"/>
  <c r="R335" i="3"/>
  <c r="AP335" i="3" l="1"/>
  <c r="AO335" i="3"/>
  <c r="AU334" i="3"/>
  <c r="AT334" i="3"/>
  <c r="AR335" i="3"/>
  <c r="N337" i="3"/>
  <c r="T336" i="3"/>
  <c r="Z336" i="3" s="1"/>
  <c r="AN336" i="3" s="1"/>
  <c r="AW336" i="3" s="1"/>
  <c r="S336" i="3"/>
  <c r="R336" i="3"/>
  <c r="AO336" i="3" l="1"/>
  <c r="AP336" i="3"/>
  <c r="AU335" i="3"/>
  <c r="AT335" i="3"/>
  <c r="AR336" i="3"/>
  <c r="N338" i="3"/>
  <c r="R337" i="3"/>
  <c r="T337" i="3"/>
  <c r="Z337" i="3" s="1"/>
  <c r="AN337" i="3" s="1"/>
  <c r="AW337" i="3" s="1"/>
  <c r="S337" i="3"/>
  <c r="K237" i="7" l="1"/>
  <c r="B237" i="7"/>
  <c r="J6" i="11"/>
  <c r="AO337" i="3"/>
  <c r="AP337" i="3"/>
  <c r="AU336" i="3"/>
  <c r="AT336" i="3"/>
  <c r="AR337" i="3"/>
  <c r="N339" i="3"/>
  <c r="R338" i="3"/>
  <c r="S338" i="3"/>
  <c r="T338" i="3"/>
  <c r="Z338" i="3" s="1"/>
  <c r="AN338" i="3" s="1"/>
  <c r="AW338" i="3" s="1"/>
  <c r="K258" i="7" l="1"/>
  <c r="B258" i="7"/>
  <c r="K248" i="7"/>
  <c r="B248" i="7"/>
  <c r="J8" i="11"/>
  <c r="J7" i="11"/>
  <c r="AP338" i="3"/>
  <c r="AO338" i="3"/>
  <c r="AT337" i="3"/>
  <c r="AR338" i="3"/>
  <c r="R339" i="3"/>
  <c r="N340" i="3"/>
  <c r="T339" i="3"/>
  <c r="Z339" i="3" s="1"/>
  <c r="AN339" i="3" s="1"/>
  <c r="AW339" i="3" s="1"/>
  <c r="S339" i="3"/>
  <c r="AP339" i="3" l="1"/>
  <c r="AO339" i="3"/>
  <c r="AU337" i="3"/>
  <c r="AU338" i="3"/>
  <c r="AT338" i="3"/>
  <c r="AR339" i="3"/>
  <c r="T340" i="3"/>
  <c r="Z340" i="3" s="1"/>
  <c r="AN340" i="3" s="1"/>
  <c r="AW340" i="3" s="1"/>
  <c r="S340" i="3"/>
  <c r="N341" i="3"/>
  <c r="R340" i="3"/>
  <c r="AO340" i="3" l="1"/>
  <c r="AP340" i="3"/>
  <c r="AU339" i="3"/>
  <c r="AT339" i="3"/>
  <c r="AR340" i="3"/>
  <c r="T341" i="3"/>
  <c r="Z341" i="3" s="1"/>
  <c r="AN341" i="3" s="1"/>
  <c r="AW341" i="3" s="1"/>
  <c r="S341" i="3"/>
  <c r="N342" i="3"/>
  <c r="R341" i="3"/>
  <c r="AO341" i="3" l="1"/>
  <c r="AP341" i="3"/>
  <c r="AU340" i="3"/>
  <c r="AT340" i="3"/>
  <c r="AR341" i="3"/>
  <c r="T342" i="3"/>
  <c r="Z342" i="3" s="1"/>
  <c r="AN342" i="3" s="1"/>
  <c r="AW342" i="3" s="1"/>
  <c r="S342" i="3"/>
  <c r="N343" i="3"/>
  <c r="R342" i="3"/>
  <c r="AO342" i="3" l="1"/>
  <c r="AP342" i="3"/>
  <c r="AU341" i="3"/>
  <c r="AT341" i="3"/>
  <c r="AR342" i="3"/>
  <c r="T343" i="3"/>
  <c r="Z343" i="3" s="1"/>
  <c r="AN343" i="3" s="1"/>
  <c r="AW343" i="3" s="1"/>
  <c r="R343" i="3"/>
  <c r="N344" i="3"/>
  <c r="S343" i="3"/>
  <c r="AO343" i="3" l="1"/>
  <c r="AP343" i="3"/>
  <c r="AU342" i="3"/>
  <c r="AT342" i="3"/>
  <c r="AR343" i="3"/>
  <c r="N345" i="3"/>
  <c r="T344" i="3"/>
  <c r="Z344" i="3" s="1"/>
  <c r="AN344" i="3" s="1"/>
  <c r="AW344" i="3" s="1"/>
  <c r="S344" i="3"/>
  <c r="R344" i="3"/>
  <c r="AP344" i="3" l="1"/>
  <c r="AO344" i="3"/>
  <c r="AU343" i="3"/>
  <c r="AT343" i="3"/>
  <c r="AR344" i="3"/>
  <c r="S345" i="3"/>
  <c r="N346" i="3"/>
  <c r="T345" i="3"/>
  <c r="Z345" i="3" s="1"/>
  <c r="AN345" i="3" s="1"/>
  <c r="AW345" i="3" s="1"/>
  <c r="R345" i="3"/>
  <c r="AO345" i="3" l="1"/>
  <c r="AP345" i="3"/>
  <c r="AU344" i="3"/>
  <c r="AT344" i="3"/>
  <c r="AR345" i="3"/>
  <c r="N347" i="3"/>
  <c r="S346" i="3"/>
  <c r="T346" i="3"/>
  <c r="Z346" i="3" s="1"/>
  <c r="AN346" i="3" s="1"/>
  <c r="AW346" i="3" s="1"/>
  <c r="R346" i="3"/>
  <c r="AO346" i="3" l="1"/>
  <c r="AP346" i="3"/>
  <c r="AU345" i="3"/>
  <c r="AT345" i="3"/>
  <c r="AR346" i="3"/>
  <c r="T347" i="3"/>
  <c r="Z347" i="3" s="1"/>
  <c r="AN347" i="3" s="1"/>
  <c r="AW347" i="3" s="1"/>
  <c r="N348" i="3"/>
  <c r="S347" i="3"/>
  <c r="R347" i="3"/>
  <c r="AO347" i="3" l="1"/>
  <c r="AP347" i="3"/>
  <c r="AU346" i="3"/>
  <c r="AT346" i="3"/>
  <c r="AR347" i="3"/>
  <c r="S348" i="3"/>
  <c r="T348" i="3"/>
  <c r="Z348" i="3" s="1"/>
  <c r="AN348" i="3" s="1"/>
  <c r="AW348" i="3" s="1"/>
  <c r="N349" i="3"/>
  <c r="R348" i="3"/>
  <c r="AO348" i="3" l="1"/>
  <c r="AP348" i="3"/>
  <c r="AU347" i="3"/>
  <c r="AT347" i="3"/>
  <c r="AR348" i="3"/>
  <c r="S349" i="3"/>
  <c r="T349" i="3"/>
  <c r="Z349" i="3" s="1"/>
  <c r="AN349" i="3" s="1"/>
  <c r="AW349" i="3" s="1"/>
  <c r="N350" i="3"/>
  <c r="R349" i="3"/>
  <c r="AO349" i="3" l="1"/>
  <c r="AP349" i="3"/>
  <c r="AU348" i="3"/>
  <c r="AT348" i="3"/>
  <c r="AR349" i="3"/>
  <c r="S350" i="3"/>
  <c r="T350" i="3"/>
  <c r="Z350" i="3" s="1"/>
  <c r="AN350" i="3" s="1"/>
  <c r="AW350" i="3" s="1"/>
  <c r="N351" i="3"/>
  <c r="R350" i="3"/>
  <c r="AO350" i="3" l="1"/>
  <c r="AP350" i="3"/>
  <c r="AU349" i="3"/>
  <c r="AT349" i="3"/>
  <c r="AR350" i="3"/>
  <c r="T351" i="3"/>
  <c r="Z351" i="3" s="1"/>
  <c r="AN351" i="3" s="1"/>
  <c r="AW351" i="3" s="1"/>
  <c r="S351" i="3"/>
  <c r="N352" i="3"/>
  <c r="R351" i="3"/>
  <c r="AO351" i="3" l="1"/>
  <c r="AP351" i="3"/>
  <c r="AU350" i="3"/>
  <c r="AT350" i="3"/>
  <c r="AR351" i="3"/>
  <c r="T352" i="3"/>
  <c r="Z352" i="3" s="1"/>
  <c r="AN352" i="3" s="1"/>
  <c r="AW352" i="3" s="1"/>
  <c r="S352" i="3"/>
  <c r="N353" i="3"/>
  <c r="R352" i="3"/>
  <c r="AO352" i="3" l="1"/>
  <c r="AP352" i="3"/>
  <c r="AU351" i="3"/>
  <c r="AT351" i="3"/>
  <c r="AR352" i="3"/>
  <c r="T353" i="3"/>
  <c r="Z353" i="3" s="1"/>
  <c r="AN353" i="3" s="1"/>
  <c r="AW353" i="3" s="1"/>
  <c r="S353" i="3"/>
  <c r="N354" i="3"/>
  <c r="R353" i="3"/>
  <c r="AO353" i="3" l="1"/>
  <c r="AP353" i="3"/>
  <c r="AU352" i="3"/>
  <c r="AT352" i="3"/>
  <c r="AR353" i="3"/>
  <c r="S354" i="3"/>
  <c r="T354" i="3"/>
  <c r="Z354" i="3" s="1"/>
  <c r="AN354" i="3" s="1"/>
  <c r="AW354" i="3" s="1"/>
  <c r="N355" i="3"/>
  <c r="R354" i="3"/>
  <c r="AO354" i="3" l="1"/>
  <c r="AP354" i="3"/>
  <c r="AU353" i="3"/>
  <c r="AT353" i="3"/>
  <c r="AR354" i="3"/>
  <c r="T355" i="3"/>
  <c r="Z355" i="3" s="1"/>
  <c r="AN355" i="3" s="1"/>
  <c r="AW355" i="3" s="1"/>
  <c r="S355" i="3"/>
  <c r="N356" i="3"/>
  <c r="R355" i="3"/>
  <c r="AP355" i="3" l="1"/>
  <c r="AO355" i="3"/>
  <c r="AU354" i="3"/>
  <c r="AT354" i="3"/>
  <c r="AR355" i="3"/>
  <c r="T356" i="3"/>
  <c r="Z356" i="3" s="1"/>
  <c r="AN356" i="3" s="1"/>
  <c r="AW356" i="3" s="1"/>
  <c r="S356" i="3"/>
  <c r="N357" i="3"/>
  <c r="R356" i="3"/>
  <c r="AO356" i="3" l="1"/>
  <c r="AP356" i="3"/>
  <c r="AU355" i="3"/>
  <c r="AT355" i="3"/>
  <c r="AR356" i="3"/>
  <c r="S357" i="3"/>
  <c r="T357" i="3"/>
  <c r="Z357" i="3" s="1"/>
  <c r="AN357" i="3" s="1"/>
  <c r="AW357" i="3" s="1"/>
  <c r="N358" i="3"/>
  <c r="R357" i="3"/>
  <c r="AO357" i="3" l="1"/>
  <c r="AP357" i="3"/>
  <c r="AU356" i="3"/>
  <c r="AT356" i="3"/>
  <c r="AR357" i="3"/>
  <c r="T358" i="3"/>
  <c r="Z358" i="3" s="1"/>
  <c r="AN358" i="3" s="1"/>
  <c r="AW358" i="3" s="1"/>
  <c r="S358" i="3"/>
  <c r="N359" i="3"/>
  <c r="R358" i="3"/>
  <c r="AO358" i="3" l="1"/>
  <c r="AP358" i="3"/>
  <c r="AU357" i="3"/>
  <c r="AT357" i="3"/>
  <c r="AR358" i="3"/>
  <c r="T359" i="3"/>
  <c r="Z359" i="3" s="1"/>
  <c r="AN359" i="3" s="1"/>
  <c r="AW359" i="3" s="1"/>
  <c r="S359" i="3"/>
  <c r="N360" i="3"/>
  <c r="R359" i="3"/>
  <c r="AP359" i="3" l="1"/>
  <c r="AO359" i="3"/>
  <c r="AU358" i="3"/>
  <c r="AT358" i="3"/>
  <c r="AR359" i="3"/>
  <c r="T360" i="3"/>
  <c r="Z360" i="3" s="1"/>
  <c r="AN360" i="3" s="1"/>
  <c r="AW360" i="3" s="1"/>
  <c r="S360" i="3"/>
  <c r="N361" i="3"/>
  <c r="R360" i="3"/>
  <c r="AP360" i="3" l="1"/>
  <c r="AO360" i="3"/>
  <c r="AU359" i="3"/>
  <c r="AT359" i="3"/>
  <c r="AR360" i="3"/>
  <c r="T361" i="3"/>
  <c r="Z361" i="3" s="1"/>
  <c r="AN361" i="3" s="1"/>
  <c r="AW361" i="3" s="1"/>
  <c r="S361" i="3"/>
  <c r="N362" i="3"/>
  <c r="R361" i="3"/>
  <c r="AO361" i="3" l="1"/>
  <c r="AP361" i="3"/>
  <c r="AU360" i="3"/>
  <c r="AT360" i="3"/>
  <c r="AR361" i="3"/>
  <c r="T362" i="3"/>
  <c r="Z362" i="3" s="1"/>
  <c r="AN362" i="3" s="1"/>
  <c r="AW362" i="3" s="1"/>
  <c r="S362" i="3"/>
  <c r="N363" i="3"/>
  <c r="R362" i="3"/>
  <c r="AP362" i="3" l="1"/>
  <c r="AO362" i="3"/>
  <c r="AU361" i="3"/>
  <c r="AT361" i="3"/>
  <c r="AR362" i="3"/>
  <c r="T363" i="3"/>
  <c r="Z363" i="3" s="1"/>
  <c r="AN363" i="3" s="1"/>
  <c r="AW363" i="3" s="1"/>
  <c r="S363" i="3"/>
  <c r="N364" i="3"/>
  <c r="R363" i="3"/>
  <c r="AP363" i="3" l="1"/>
  <c r="AO363" i="3"/>
  <c r="AU362" i="3"/>
  <c r="AT362" i="3"/>
  <c r="AR363" i="3"/>
  <c r="T364" i="3"/>
  <c r="Z364" i="3" s="1"/>
  <c r="AN364" i="3" s="1"/>
  <c r="AW364" i="3" s="1"/>
  <c r="S364" i="3"/>
  <c r="N365" i="3"/>
  <c r="R364" i="3"/>
  <c r="AO364" i="3" l="1"/>
  <c r="AP364" i="3"/>
  <c r="AU363" i="3"/>
  <c r="AT363" i="3"/>
  <c r="AR364" i="3"/>
  <c r="T365" i="3"/>
  <c r="Z365" i="3" s="1"/>
  <c r="AN365" i="3" s="1"/>
  <c r="AW365" i="3" s="1"/>
  <c r="S365" i="3"/>
  <c r="N366" i="3"/>
  <c r="R365" i="3"/>
  <c r="AO365" i="3" l="1"/>
  <c r="AP365" i="3"/>
  <c r="AU364" i="3"/>
  <c r="AT364" i="3"/>
  <c r="AR365" i="3"/>
  <c r="T366" i="3"/>
  <c r="Z366" i="3" s="1"/>
  <c r="AN366" i="3" s="1"/>
  <c r="AW366" i="3" s="1"/>
  <c r="S366" i="3"/>
  <c r="N367" i="3"/>
  <c r="R366" i="3"/>
  <c r="AO366" i="3" l="1"/>
  <c r="AP366" i="3"/>
  <c r="AU365" i="3"/>
  <c r="AT365" i="3"/>
  <c r="AR366" i="3"/>
  <c r="T367" i="3"/>
  <c r="Z367" i="3" s="1"/>
  <c r="AN367" i="3" s="1"/>
  <c r="AW367" i="3" s="1"/>
  <c r="S367" i="3"/>
  <c r="R367" i="3"/>
  <c r="AO367" i="3" l="1"/>
  <c r="AP367" i="3"/>
  <c r="AU366" i="3"/>
  <c r="AT366" i="3"/>
  <c r="AR367" i="3"/>
  <c r="AV4" i="3"/>
  <c r="AV110" i="3"/>
  <c r="AV366" i="3"/>
  <c r="AV256" i="3"/>
  <c r="AV222" i="3"/>
  <c r="AV174" i="3"/>
  <c r="AV71" i="3"/>
  <c r="AV223" i="3"/>
  <c r="AV103" i="3"/>
  <c r="AV25" i="3"/>
  <c r="AV30" i="3"/>
  <c r="AV304" i="3"/>
  <c r="AV294" i="3"/>
  <c r="AV362" i="3"/>
  <c r="AV163" i="3"/>
  <c r="AV87" i="3"/>
  <c r="AV343" i="3"/>
  <c r="AV352" i="3"/>
  <c r="AV10" i="3"/>
  <c r="AV286" i="3"/>
  <c r="AV180" i="3"/>
  <c r="AV94" i="3"/>
  <c r="AV346" i="3"/>
  <c r="AV159" i="3"/>
  <c r="AV253" i="3"/>
  <c r="AV8" i="3"/>
  <c r="AV238" i="3"/>
  <c r="AV244" i="3"/>
  <c r="AV199" i="3"/>
  <c r="AV129" i="3"/>
  <c r="AV147" i="3"/>
  <c r="AV137" i="3"/>
  <c r="AV316" i="3"/>
  <c r="AV359" i="3"/>
  <c r="AV225" i="3"/>
  <c r="AV264" i="3"/>
  <c r="AV119" i="3"/>
  <c r="AV144" i="3"/>
  <c r="AV328" i="3"/>
  <c r="AV20" i="3"/>
  <c r="AV73" i="3"/>
  <c r="AV67" i="3"/>
  <c r="AV17" i="3"/>
  <c r="AV64" i="3"/>
  <c r="AV126" i="3"/>
  <c r="AV61" i="3" l="1"/>
  <c r="AV116" i="3"/>
  <c r="AV205" i="3"/>
  <c r="AV132" i="3"/>
  <c r="AV140" i="3"/>
  <c r="AV324" i="3"/>
  <c r="AV281" i="3"/>
  <c r="AV90" i="3"/>
  <c r="AV76" i="3"/>
  <c r="AV334" i="3"/>
  <c r="AV313" i="3"/>
  <c r="AV354" i="3"/>
  <c r="AV279" i="3"/>
  <c r="AV48" i="3"/>
  <c r="AV341" i="3"/>
  <c r="AV302" i="3"/>
  <c r="AV113" i="3"/>
  <c r="AV367" i="3"/>
  <c r="AV100" i="3"/>
  <c r="AV154" i="3"/>
  <c r="AV92" i="3"/>
  <c r="AV83" i="3"/>
  <c r="AV267" i="3"/>
  <c r="AV350" i="3"/>
  <c r="AV56" i="3"/>
  <c r="AV357" i="3"/>
  <c r="AV344" i="3"/>
  <c r="AV337" i="3"/>
  <c r="AV95" i="3"/>
  <c r="AV81" i="3"/>
  <c r="AV300" i="3"/>
  <c r="AV236" i="3"/>
  <c r="AV269" i="3"/>
  <c r="AV41" i="3"/>
  <c r="AV276" i="3"/>
  <c r="AV319" i="3"/>
  <c r="AV261" i="3"/>
  <c r="AV172" i="3"/>
  <c r="AV230" i="3"/>
  <c r="AV31" i="3"/>
  <c r="AV331" i="3"/>
  <c r="AV248" i="3"/>
  <c r="AV333" i="3"/>
  <c r="AV136" i="3"/>
  <c r="AV22" i="3"/>
  <c r="AV166" i="3"/>
  <c r="AV15" i="3"/>
  <c r="AV232" i="3"/>
  <c r="AV271" i="3"/>
  <c r="AV79" i="3"/>
  <c r="AV108" i="3"/>
  <c r="AV70" i="3"/>
  <c r="AV194" i="3"/>
  <c r="AV258" i="3"/>
  <c r="AV143" i="3"/>
  <c r="AV135" i="3"/>
  <c r="AV28" i="3"/>
  <c r="AV23" i="3"/>
  <c r="AV151" i="3"/>
  <c r="AV167" i="3"/>
  <c r="AV363" i="3"/>
  <c r="AV88" i="3"/>
  <c r="AV317" i="3"/>
  <c r="AV273" i="3"/>
  <c r="AV183" i="3"/>
  <c r="AV36" i="3"/>
  <c r="AV213" i="3"/>
  <c r="AV156" i="3"/>
  <c r="AV234" i="3"/>
  <c r="AV170" i="3"/>
  <c r="AV252" i="3"/>
  <c r="AV54" i="3"/>
  <c r="AV44" i="3"/>
  <c r="AV52" i="3"/>
  <c r="AV34" i="3"/>
  <c r="AV186" i="3"/>
  <c r="AV51" i="3"/>
  <c r="AV114" i="3"/>
  <c r="AV306" i="3"/>
  <c r="AV250" i="3"/>
  <c r="AV58" i="3"/>
  <c r="AV43" i="3"/>
  <c r="AV106" i="3"/>
  <c r="AV290" i="3"/>
  <c r="AV242" i="3"/>
  <c r="AV5" i="3"/>
  <c r="AV13" i="3"/>
  <c r="AV179" i="3"/>
  <c r="AV142" i="3"/>
  <c r="AV134" i="3"/>
  <c r="AV364" i="3"/>
  <c r="AV104" i="3"/>
  <c r="AV189" i="3"/>
  <c r="AV191" i="3"/>
  <c r="AV361" i="3"/>
  <c r="AV216" i="3"/>
  <c r="AV50" i="3"/>
  <c r="AV249" i="3"/>
  <c r="AV289" i="3"/>
  <c r="AV241" i="3"/>
  <c r="AV117" i="3"/>
  <c r="AV257" i="3"/>
  <c r="AV196" i="3"/>
  <c r="AV278" i="3"/>
  <c r="AV121" i="3"/>
  <c r="AV297" i="3"/>
  <c r="AV102" i="3"/>
  <c r="AV206" i="3"/>
  <c r="AV321" i="3"/>
  <c r="AV38" i="3"/>
  <c r="AV228" i="3"/>
  <c r="AV212" i="3"/>
  <c r="AV124" i="3"/>
  <c r="AV176" i="3"/>
  <c r="AV284" i="3"/>
  <c r="AV298" i="3"/>
  <c r="AV198" i="3"/>
  <c r="AV323" i="3"/>
  <c r="AV162" i="3"/>
  <c r="AV218" i="3"/>
  <c r="AV155" i="3"/>
  <c r="AV348" i="3"/>
  <c r="AV204" i="3"/>
  <c r="AV291" i="3"/>
  <c r="AV320" i="3"/>
  <c r="AV65" i="3"/>
  <c r="AV243" i="3"/>
  <c r="AV309" i="3"/>
  <c r="AV96" i="3"/>
  <c r="AV339" i="3"/>
  <c r="AV307" i="3"/>
  <c r="AV45" i="3"/>
  <c r="AV207" i="3"/>
  <c r="AV245" i="3"/>
  <c r="AV210" i="3"/>
  <c r="AV118" i="3"/>
  <c r="AV125" i="3"/>
  <c r="AV146" i="3"/>
  <c r="AV338" i="3"/>
  <c r="AV97" i="3"/>
  <c r="AV239" i="3"/>
  <c r="AV42" i="3"/>
  <c r="AV57" i="3"/>
  <c r="AV237" i="3"/>
  <c r="AV105" i="3"/>
  <c r="AV164" i="3"/>
  <c r="AV192" i="3"/>
  <c r="AV197" i="3"/>
  <c r="AV12" i="3"/>
  <c r="AV305" i="3"/>
  <c r="AV68" i="3"/>
  <c r="AV233" i="3"/>
  <c r="AV340" i="3"/>
  <c r="AV178" i="3"/>
  <c r="AV141" i="3"/>
  <c r="AV133" i="3"/>
  <c r="AV185" i="3"/>
  <c r="AV188" i="3"/>
  <c r="AV169" i="3"/>
  <c r="AV33" i="3"/>
  <c r="AV355" i="3"/>
  <c r="AV18" i="3"/>
  <c r="AV292" i="3"/>
  <c r="AV208" i="3"/>
  <c r="AV274" i="3"/>
  <c r="AV148" i="3"/>
  <c r="AV227" i="3"/>
  <c r="AV184" i="3"/>
  <c r="AV160" i="3"/>
  <c r="AV120" i="3"/>
  <c r="AV37" i="3"/>
  <c r="AV84" i="3"/>
  <c r="AV259" i="3"/>
  <c r="AV49" i="3"/>
  <c r="AV74" i="3"/>
  <c r="AV85" i="3"/>
  <c r="AV277" i="3"/>
  <c r="AV211" i="3"/>
  <c r="AV220" i="3"/>
  <c r="AV195" i="3"/>
  <c r="AV202" i="3"/>
  <c r="AV288" i="3"/>
  <c r="AV161" i="3"/>
  <c r="AV296" i="3"/>
  <c r="AV123" i="3"/>
  <c r="AV240" i="3"/>
  <c r="AV101" i="3"/>
  <c r="AV149" i="3"/>
  <c r="AV127" i="3"/>
  <c r="AV80" i="3"/>
  <c r="AV215" i="3"/>
  <c r="AV251" i="3"/>
  <c r="AV14" i="3"/>
  <c r="AV311" i="3"/>
  <c r="AV78" i="3"/>
  <c r="AV287" i="3"/>
  <c r="AV295" i="3"/>
  <c r="AV107" i="3"/>
  <c r="AV330" i="3"/>
  <c r="AV21" i="3"/>
  <c r="AV201" i="3"/>
  <c r="AV69" i="3"/>
  <c r="AV193" i="3"/>
  <c r="AV229" i="3"/>
  <c r="AV247" i="3"/>
  <c r="AV165" i="3"/>
  <c r="AV303" i="3"/>
  <c r="AV270" i="3"/>
  <c r="AV231" i="3"/>
  <c r="AV332" i="3"/>
  <c r="AV175" i="3"/>
  <c r="AV177" i="3"/>
  <c r="AV209" i="3"/>
  <c r="AV46" i="3"/>
  <c r="AV82" i="3"/>
  <c r="AV190" i="3"/>
  <c r="AV325" i="3"/>
  <c r="AV266" i="3"/>
  <c r="AV360" i="3"/>
  <c r="AV66" i="3"/>
  <c r="AV55" i="3"/>
  <c r="AV130" i="3"/>
  <c r="AV111" i="3"/>
  <c r="AV322" i="3"/>
  <c r="AV39" i="3"/>
  <c r="AV349" i="3"/>
  <c r="AV262" i="3"/>
  <c r="AV336" i="3"/>
  <c r="AV353" i="3"/>
  <c r="AV312" i="3"/>
  <c r="AV345" i="3"/>
  <c r="AV358" i="3"/>
  <c r="AV217" i="3"/>
  <c r="AV47" i="3"/>
  <c r="AV356" i="3"/>
  <c r="AV342" i="3"/>
  <c r="AV29" i="3"/>
  <c r="AV310" i="3"/>
  <c r="AV16" i="3"/>
  <c r="AV314" i="3"/>
  <c r="AV77" i="3"/>
  <c r="AV329" i="3"/>
  <c r="AV138" i="3"/>
  <c r="AV122" i="3"/>
  <c r="AV265" i="3"/>
  <c r="AV326" i="3"/>
  <c r="AV6" i="3"/>
  <c r="AV150" i="3"/>
  <c r="AV27" i="3"/>
  <c r="AV347" i="3"/>
  <c r="AV351" i="3"/>
  <c r="AV263" i="3"/>
  <c r="AV293" i="3"/>
  <c r="AV255" i="3"/>
  <c r="AV285" i="3"/>
  <c r="AV224" i="3"/>
  <c r="AV158" i="3"/>
  <c r="AV221" i="3"/>
  <c r="AV86" i="3"/>
  <c r="AU367" i="3"/>
  <c r="AT367" i="3"/>
  <c r="AV53" i="3"/>
  <c r="AV157" i="3"/>
  <c r="AV246" i="3"/>
  <c r="AV89" i="3"/>
  <c r="AV301" i="3"/>
  <c r="AV145" i="3"/>
  <c r="AV9" i="3"/>
  <c r="AV63" i="3"/>
  <c r="AV219" i="3"/>
  <c r="AV152" i="3"/>
  <c r="AV280" i="3"/>
  <c r="AV187" i="3"/>
  <c r="AV112" i="3"/>
  <c r="AV91" i="3"/>
  <c r="AV327" i="3"/>
  <c r="AV283" i="3"/>
  <c r="AV7" i="3"/>
  <c r="AV153" i="3"/>
  <c r="AV99" i="3"/>
  <c r="AV24" i="3"/>
  <c r="AV203" i="3"/>
  <c r="AV128" i="3"/>
  <c r="AV75" i="3"/>
  <c r="AV365" i="3"/>
  <c r="AV226" i="3"/>
  <c r="AV282" i="3"/>
  <c r="AV173" i="3"/>
  <c r="AV200" i="3"/>
  <c r="AV72" i="3"/>
  <c r="AV93" i="3"/>
  <c r="AV181" i="3"/>
  <c r="AV109" i="3"/>
  <c r="AV308" i="3"/>
  <c r="AV214" i="3"/>
  <c r="AV98" i="3"/>
  <c r="AV19" i="3"/>
  <c r="AV335" i="3"/>
  <c r="AV11" i="3"/>
  <c r="AV35" i="3"/>
  <c r="AV272" i="3"/>
  <c r="AV59" i="3"/>
  <c r="AV62" i="3"/>
  <c r="AV182" i="3"/>
  <c r="AV235" i="3"/>
  <c r="AV168" i="3"/>
  <c r="AV315" i="3"/>
  <c r="AV268" i="3"/>
  <c r="AV26" i="3"/>
  <c r="AV275" i="3"/>
  <c r="AV318" i="3"/>
  <c r="AV254" i="3"/>
  <c r="AV131" i="3"/>
  <c r="AV40" i="3"/>
  <c r="AV115" i="3"/>
  <c r="AV32" i="3"/>
  <c r="AV171" i="3"/>
  <c r="AV299" i="3"/>
  <c r="AV260" i="3"/>
  <c r="AV139" i="3"/>
  <c r="AV6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<sst xmlns="http://schemas.openxmlformats.org/spreadsheetml/2006/main" count="511" uniqueCount="242">
  <si>
    <t>Slagtevægt</t>
  </si>
  <si>
    <t>Slagtepræmie</t>
  </si>
  <si>
    <t>Boksareal, m2/kalv</t>
  </si>
  <si>
    <t>&lt;60</t>
  </si>
  <si>
    <t>Form</t>
  </si>
  <si>
    <t>Salgspris</t>
  </si>
  <si>
    <t>Reel plads</t>
  </si>
  <si>
    <t>Sl.præmie</t>
  </si>
  <si>
    <t>Dummy 0/1</t>
  </si>
  <si>
    <t>Dummy for betingelser</t>
  </si>
  <si>
    <t>Pct godkendt</t>
  </si>
  <si>
    <t>Levende vægt, model tal</t>
  </si>
  <si>
    <t>Daglig tilvækst, model</t>
  </si>
  <si>
    <t>kg</t>
  </si>
  <si>
    <t xml:space="preserve">Salgspris </t>
  </si>
  <si>
    <t>Foderdage</t>
  </si>
  <si>
    <t>Alder på kalve ved indsættelse</t>
  </si>
  <si>
    <t>Dansk kalv forudsætninger</t>
  </si>
  <si>
    <t>Stigning i godkendelsesprocent til dansk kalv</t>
  </si>
  <si>
    <t>Dansk kalv, pladskrav</t>
  </si>
  <si>
    <t>Resultat</t>
  </si>
  <si>
    <t>Dyrets alder</t>
  </si>
  <si>
    <t>Kalibreret vægt</t>
  </si>
  <si>
    <t>Halm, strøelse</t>
  </si>
  <si>
    <t>FE/dag</t>
  </si>
  <si>
    <t>Dansk Kalv</t>
  </si>
  <si>
    <t>Koncept Dansk Kalv</t>
  </si>
  <si>
    <t>Foderomk. Kr./kalv</t>
  </si>
  <si>
    <t>Indkøb, kr./kalv</t>
  </si>
  <si>
    <t>Program teknisk placering</t>
  </si>
  <si>
    <t>Ikke godkendt</t>
  </si>
  <si>
    <t>Godkendt</t>
  </si>
  <si>
    <t>Halm, kr. pr. kg</t>
  </si>
  <si>
    <t>kr. pr. FE</t>
  </si>
  <si>
    <t>Kr. pr. kg</t>
  </si>
  <si>
    <t>kr. pr kalv</t>
  </si>
  <si>
    <t>Fix punkt, mdr</t>
  </si>
  <si>
    <t>fix punkt, dage</t>
  </si>
  <si>
    <t>Plads krav DC, øvre grænse</t>
  </si>
  <si>
    <t xml:space="preserve">Plads krav, DC </t>
  </si>
  <si>
    <t>Mælkepulver</t>
  </si>
  <si>
    <t>kr pr. kg</t>
  </si>
  <si>
    <t>FEN/MJ</t>
  </si>
  <si>
    <t>FEN mælkepulver</t>
  </si>
  <si>
    <t>Fragt</t>
  </si>
  <si>
    <t>kr pr kalv</t>
  </si>
  <si>
    <t>dage</t>
  </si>
  <si>
    <t>Fen i alt</t>
  </si>
  <si>
    <t>Starterfoder, tildeling</t>
  </si>
  <si>
    <t>Skift mellem mælk og starter, FEN i alt</t>
  </si>
  <si>
    <t>Skift mellem starter og slut, FEN i alt</t>
  </si>
  <si>
    <t>MJ pr kg</t>
  </si>
  <si>
    <t>Mælkepulver kr pr FEN</t>
  </si>
  <si>
    <t>Foderdage på bedrift</t>
  </si>
  <si>
    <t>Baseret på antagelse: 2/3 af arbejdet ligger de føste 3 måneder</t>
  </si>
  <si>
    <t>Foder omregning</t>
  </si>
  <si>
    <t>kr. pr spædkalv</t>
  </si>
  <si>
    <t>Forudsætninger, fælles for alle dyregrupper</t>
  </si>
  <si>
    <t>-Gns antal foderdage i relation til arbejdsomkostninger</t>
  </si>
  <si>
    <t xml:space="preserve">Tillæg for køb af spædkalv </t>
  </si>
  <si>
    <t>Tilvækst justering</t>
  </si>
  <si>
    <t>Gns. Tilvækst pr dag, brutto, beregnet</t>
  </si>
  <si>
    <t>Gns. Tilvækst pr dag, netto, beregnet</t>
  </si>
  <si>
    <t>Slagtevægt, beregnet</t>
  </si>
  <si>
    <t xml:space="preserve">Nu </t>
  </si>
  <si>
    <t>Tjek af modelforudsætninger. Viser udvikling over foderdage</t>
  </si>
  <si>
    <t>foderdage</t>
  </si>
  <si>
    <t>Evt dag for skift til sengestald (999, hvis der kun er dybstrøelse)</t>
  </si>
  <si>
    <t>Forbrug af halm pr. kalv, ved sengestald</t>
  </si>
  <si>
    <t>gram pr. kalv pr. dag</t>
  </si>
  <si>
    <t>FE/kg nettotilvækst, beregnet</t>
  </si>
  <si>
    <t>Indkøbspris kalv, beregnet</t>
  </si>
  <si>
    <t>hol_tyr_vægt</t>
  </si>
  <si>
    <t>kryds_tyr_vægt</t>
  </si>
  <si>
    <t>kryds_kvie_vægt</t>
  </si>
  <si>
    <t>hol_tyr_slagteform</t>
  </si>
  <si>
    <t>kryds_tyr_slagteform</t>
  </si>
  <si>
    <t>kryds_kvie_slagteform</t>
  </si>
  <si>
    <t>Gns. Slagteprocent</t>
  </si>
  <si>
    <t>hol_tyr_fe</t>
  </si>
  <si>
    <t>kryds_tyr_fe</t>
  </si>
  <si>
    <t>kryds_kvie_fe</t>
  </si>
  <si>
    <t>Justering af slagteprodcent (std 2% 2%,4%)</t>
  </si>
  <si>
    <t>kg effekt form</t>
  </si>
  <si>
    <t>godkendt</t>
  </si>
  <si>
    <t>Dødlighed, procent</t>
  </si>
  <si>
    <t>Vægt ved død</t>
  </si>
  <si>
    <t>Omk til døde kalve pr. prod kalv.</t>
  </si>
  <si>
    <t>Slagtealder</t>
  </si>
  <si>
    <t>Ikke godkendt kalv, reduktion i form</t>
  </si>
  <si>
    <t>Gns. foderdage ved død</t>
  </si>
  <si>
    <t>Pris slutfoder, kr. pr FE</t>
  </si>
  <si>
    <t>Dyrlæge og diverse omk.</t>
  </si>
  <si>
    <t>Justering af tilvækstkurve (std -5%,-13%,-7%)</t>
  </si>
  <si>
    <t>Fe/kg bruttotilvækst, beregnet</t>
  </si>
  <si>
    <t>Slagteform justering ved slagning i udgangspunkt</t>
  </si>
  <si>
    <t>Marginal kurver, Udvikling i resulat pr. dag</t>
  </si>
  <si>
    <t>Kalibreret tilvækst</t>
  </si>
  <si>
    <t>Slagteprocent</t>
  </si>
  <si>
    <t>Nettotilvækst</t>
  </si>
  <si>
    <t>Nettotilvækst, gns.</t>
  </si>
  <si>
    <t>Samlet foderforbrug, FE</t>
  </si>
  <si>
    <t>Marginalt foderforbrug</t>
  </si>
  <si>
    <t xml:space="preserve">Marginalt FE-forbrug </t>
  </si>
  <si>
    <t>Gns. FE forbrug pr. kg nettotilvækst</t>
  </si>
  <si>
    <t>Gns. FE forbrug pr. kg Bruttotilvækst</t>
  </si>
  <si>
    <t xml:space="preserve">Marginalt foderpris </t>
  </si>
  <si>
    <t xml:space="preserve">Form </t>
  </si>
  <si>
    <t>Pris pr. kg</t>
  </si>
  <si>
    <t>Pladskrav</t>
  </si>
  <si>
    <t>Sum m^2</t>
  </si>
  <si>
    <t>Gns m^2/dag</t>
  </si>
  <si>
    <t>Dyrlæge og div.</t>
  </si>
  <si>
    <t>Arb.omk. Pr. dag</t>
  </si>
  <si>
    <t>Sum arb. Pr. kalv</t>
  </si>
  <si>
    <t>Res pr. kalv</t>
  </si>
  <si>
    <t>Res pr. foderdag</t>
  </si>
  <si>
    <t>Res pr. m^2</t>
  </si>
  <si>
    <t>Omk. pr kalv</t>
  </si>
  <si>
    <t>Markinalt resultat</t>
  </si>
  <si>
    <t>Mdr.</t>
  </si>
  <si>
    <t>Bruttotilvækst</t>
  </si>
  <si>
    <t>g/dag siden indsættelse</t>
  </si>
  <si>
    <t>g/dag, brutto</t>
  </si>
  <si>
    <t>Aktuelt</t>
  </si>
  <si>
    <t>Siden fødsel</t>
  </si>
  <si>
    <t>Kr./dag</t>
  </si>
  <si>
    <t>FE/kg  nettotilvækst</t>
  </si>
  <si>
    <t>kr./dag, Foder +strøelse</t>
  </si>
  <si>
    <t>Incl. andre stk. omk.</t>
  </si>
  <si>
    <t>Gns. Kr./kalv</t>
  </si>
  <si>
    <t>Kr./kg</t>
  </si>
  <si>
    <t>M^2 pr. kalv</t>
  </si>
  <si>
    <t>Total m^2 pr. kalv</t>
  </si>
  <si>
    <t>Gns. siden indsættelse</t>
  </si>
  <si>
    <t>kr.</t>
  </si>
  <si>
    <t>Total resultat</t>
  </si>
  <si>
    <t>Total res./foderdag</t>
  </si>
  <si>
    <t>Total res. Pr. m3</t>
  </si>
  <si>
    <t>Vægt ind</t>
  </si>
  <si>
    <t>Kalibreret slutvægt</t>
  </si>
  <si>
    <t>kalibreing indkøb</t>
  </si>
  <si>
    <t>Slagtealder, mdr (1 decimal)</t>
  </si>
  <si>
    <t>maks per dyr</t>
  </si>
  <si>
    <t>Maks pr foderdag</t>
  </si>
  <si>
    <t>maks pr m2</t>
  </si>
  <si>
    <t>Pris slutfoder</t>
  </si>
  <si>
    <t xml:space="preserve">Prisændring </t>
  </si>
  <si>
    <t>Notering</t>
  </si>
  <si>
    <t>Følsomheder på optimal slagtetidspunkt</t>
  </si>
  <si>
    <t>Optimal slagtealder:</t>
  </si>
  <si>
    <t>Holstein tyr</t>
  </si>
  <si>
    <t>Krydsningstyr</t>
  </si>
  <si>
    <t>Krydsningskvie</t>
  </si>
  <si>
    <t>Maks, kr. pr. produceretkalv</t>
  </si>
  <si>
    <t>Maks, kr. pr. foderdag</t>
  </si>
  <si>
    <t>Maks, kr. pr. m2 staldareal</t>
  </si>
  <si>
    <t>Krydsningtyr</t>
  </si>
  <si>
    <t>c11</t>
  </si>
  <si>
    <t>c23</t>
  </si>
  <si>
    <t>Maks DB (ikke med arbejdsomk) pr kalv</t>
  </si>
  <si>
    <t>Maks DB (ikke med arbejdsomk) pr foderdag</t>
  </si>
  <si>
    <t>Maks DB (ikke med arbejdsomk) pr m2</t>
  </si>
  <si>
    <t>pr kalv</t>
  </si>
  <si>
    <t>Til figur</t>
  </si>
  <si>
    <t>tilhørende slagtealder</t>
  </si>
  <si>
    <t>DB excl arb pr kalv pr år</t>
  </si>
  <si>
    <t>Netto tilvækst</t>
  </si>
  <si>
    <t>Find 1 0 g holstain</t>
  </si>
  <si>
    <t>Find 20 g k tyre</t>
  </si>
  <si>
    <t>Find 10 g k kvier</t>
  </si>
  <si>
    <t>Foderforbru</t>
  </si>
  <si>
    <t>Find 0,1 FE kg</t>
  </si>
  <si>
    <t>beregninger til ændring af nettotilvækst</t>
  </si>
  <si>
    <t>Priseffekt af formændring</t>
  </si>
  <si>
    <t>Fix godkendelse procent og Max</t>
  </si>
  <si>
    <t>m2 pr. prod. Kalv der er død</t>
  </si>
  <si>
    <t>Justering af Fe pr. kg tilvækst (std -6%, -13%,-3%)</t>
  </si>
  <si>
    <t>Splines</t>
  </si>
  <si>
    <t>3 grad, alle data</t>
  </si>
  <si>
    <t>3 grad, minus vægt dag 0</t>
  </si>
  <si>
    <t>3 grad, minus vægt dag 0 og 30</t>
  </si>
  <si>
    <t>Indtastningsfelter</t>
  </si>
  <si>
    <t xml:space="preserve">Restultatfelter, der ikke må ændres i </t>
  </si>
  <si>
    <t>Indkøbspris, 50 kg hol. tyr</t>
  </si>
  <si>
    <t>Mælkepulver tildelt pr. kalv</t>
  </si>
  <si>
    <t>Pris starterfoder, kr. pr FE</t>
  </si>
  <si>
    <t>Arbejdsomkostninger pr. produceret kalv</t>
  </si>
  <si>
    <t>-Arbejde, kr. pr. dag, første 3 mdr</t>
  </si>
  <si>
    <t>-Arbejde, kr. pr. dag, efter 3 mdr</t>
  </si>
  <si>
    <t>Baseret på antagelse: 1/3 af arbejdet ligger de føste 3 måneder</t>
  </si>
  <si>
    <t>kr. pr. kg</t>
  </si>
  <si>
    <t xml:space="preserve">Juster alle andre priser </t>
  </si>
  <si>
    <t>juster alle "Dansk Kalv" priser med:</t>
  </si>
  <si>
    <t>Ligningsmæssige tillæg pr. kg</t>
  </si>
  <si>
    <t>Hol-Tyr. Baseret på notering uge 01-2023</t>
  </si>
  <si>
    <t>Kryds-Tyr. Baseret på notering uge 01-2023</t>
  </si>
  <si>
    <t>Kryds-kvie. Baseret på notering uge 01-2023</t>
  </si>
  <si>
    <t>Forudsætninger for de forskellige dyregrupper</t>
  </si>
  <si>
    <t>a^0</t>
  </si>
  <si>
    <t>a^1</t>
  </si>
  <si>
    <t>a^2</t>
  </si>
  <si>
    <t>a^3</t>
  </si>
  <si>
    <t>a^4</t>
  </si>
  <si>
    <t>f(x)</t>
  </si>
  <si>
    <t>parametre, hol</t>
  </si>
  <si>
    <t>parameter_kryds_tyr</t>
  </si>
  <si>
    <t>prametere_kryds_kvie</t>
  </si>
  <si>
    <t xml:space="preserve">Forudsætninger </t>
  </si>
  <si>
    <t>Her kan der ses resultater af beregnignerne.</t>
  </si>
  <si>
    <t>Vækstfunktion, hol</t>
  </si>
  <si>
    <t>Model tilvækst, slageform, fe</t>
  </si>
  <si>
    <t>Vækstfunktion, kry tyr</t>
  </si>
  <si>
    <t>Vækstfunktion, kry kvie</t>
  </si>
  <si>
    <t>Beregnerark af tilvækst og økonomi for hver dag op til 1 år for holsteintyre</t>
  </si>
  <si>
    <t>Beregnerark af tilvækst og økonomi for hver dag op til 1 år for krydsningstyre</t>
  </si>
  <si>
    <t>Beregnerark af tilvækst og økonomi for hver dag op til 1 år for krydsningskvier</t>
  </si>
  <si>
    <t>Standardforudsætninger for tilvækst, slagteform og foderforbrug</t>
  </si>
  <si>
    <t>Her opsætttes alle relevante parametere. Felter der kan skrives i er markeret med blå baggrundsfarve. Følsomhedsberegninger er også i dette ark</t>
  </si>
  <si>
    <t>Udgiver:</t>
  </si>
  <si>
    <t>SEGES Innovation P/S</t>
  </si>
  <si>
    <t>Programmets anvendelse:</t>
  </si>
  <si>
    <t>Udgivelsesdato:</t>
  </si>
  <si>
    <t>Forfatter:</t>
  </si>
  <si>
    <t>Morten Nyland Christensen</t>
  </si>
  <si>
    <t>Version:</t>
  </si>
  <si>
    <t>1.00</t>
  </si>
  <si>
    <t>Datagrundlag og opdateringsfrekvens:</t>
  </si>
  <si>
    <t>Dokument:</t>
  </si>
  <si>
    <t>Se vilkår</t>
  </si>
  <si>
    <t>SEGES påtager sig intet ansvar for tab, herunder driftstab, avancetab eller anden form for direkte eller indirekte tab ved anvendelse af LandbrugsInfo eller tilknyttede informationer og applikationer.</t>
  </si>
  <si>
    <t>Vejledning i brug af program</t>
  </si>
  <si>
    <t xml:space="preserve">Formålet med regnearket er beregning af et optimalt slagtetidspunkt på holstein tyrekalve, krydningstyrekalve og krydsningskvier </t>
  </si>
  <si>
    <t>Dette værktøj beregner en optimal slagtetidspunkt på holstein tyrekalve, krydningstyrekalve og krydsningskvier.</t>
  </si>
  <si>
    <t xml:space="preserve">Ud fra tilvækstkurver bestemmes til hver levedag en marginal effekt ved at holde dyret én dag mere, hvilket anvendes til optimering. </t>
  </si>
  <si>
    <t>I forudsætningerne kan der sættes relevante parametere op for beregning af økonomi og tilvækstkurver for kalvene.</t>
  </si>
  <si>
    <r>
      <t>Der kan optimeres på 3 måder. Maksimering af økonomi pr. kalv, pr. dag eller pr. 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stald areal.</t>
    </r>
  </si>
  <si>
    <t xml:space="preserve">Bedrifterne kan have forskellige begrænsninger som er relevante for, hvilken af de 3 opgørelsesmetoder der skal optimeres efter. </t>
  </si>
  <si>
    <t>Arkfane:</t>
  </si>
  <si>
    <t>Indhold og funktion:</t>
  </si>
  <si>
    <t>Vilkår og ansvar:</t>
  </si>
  <si>
    <t>Egne forudsætninger og oplysninger fra farmtal.dk og produktionsanalyser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</si>
</sst>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.0%"/>
    <numFmt numFmtId="166" formatCode="0.000"/>
    <numFmt numFmtId="167" formatCode="#,##0.0"/>
    <numFmt numFmtId="168" formatCode="0.0000"/>
    <numFmt numFmtId="169" formatCode="\+0;\-0;0"/>
    <numFmt numFmtId="170" formatCode="#,##0.000"/>
    <numFmt numFmtId="171" formatCode="#,##0.0000"/>
    <numFmt numFmtId="172" formatCode="0.000000000"/>
    <numFmt numFmtId="173" formatCode="0.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10" fillId="0" borderId="0" applyNumberFormat="0" applyFill="0" applyBorder="0" applyAlignment="0" applyProtection="0"/>
  </cellStyleXfs>
  <cellXfs count="212">
    <xf numFmtId="0" fontId="0" fillId="0" borderId="0" xfId="0"/>
    <xf numFmtId="164" fontId="0" fillId="0" borderId="0" xfId="0" applyNumberFormat="1"/>
    <xf numFmtId="4" fontId="0" fillId="0" borderId="0" xfId="0" applyNumberFormat="1"/>
    <xf numFmtId="3" fontId="0" fillId="0" borderId="0" xfId="0" applyNumberFormat="1"/>
    <xf numFmtId="3" fontId="0" fillId="3" borderId="0" xfId="0" applyNumberFormat="1" applyFill="1"/>
    <xf numFmtId="2" fontId="0" fillId="0" borderId="0" xfId="0" applyNumberFormat="1"/>
    <xf numFmtId="0" fontId="0" fillId="0" borderId="0" xfId="0" quotePrefix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4" fontId="0" fillId="3" borderId="0" xfId="0" applyNumberFormat="1" applyFill="1"/>
    <xf numFmtId="2" fontId="0" fillId="5" borderId="0" xfId="0" applyNumberFormat="1" applyFill="1"/>
    <xf numFmtId="3" fontId="0" fillId="5" borderId="0" xfId="0" applyNumberFormat="1" applyFill="1"/>
    <xf numFmtId="3" fontId="0" fillId="6" borderId="0" xfId="0" applyNumberFormat="1" applyFill="1"/>
    <xf numFmtId="4" fontId="0" fillId="7" borderId="0" xfId="0" applyNumberFormat="1" applyFill="1"/>
    <xf numFmtId="1" fontId="0" fillId="0" borderId="0" xfId="0" applyNumberFormat="1"/>
    <xf numFmtId="167" fontId="0" fillId="0" borderId="0" xfId="0" applyNumberFormat="1"/>
    <xf numFmtId="3" fontId="0" fillId="8" borderId="0" xfId="0" applyNumberFormat="1" applyFill="1"/>
    <xf numFmtId="4" fontId="0" fillId="9" borderId="0" xfId="0" applyNumberFormat="1" applyFill="1"/>
    <xf numFmtId="3" fontId="0" fillId="9" borderId="0" xfId="0" applyNumberFormat="1" applyFill="1"/>
    <xf numFmtId="164" fontId="0" fillId="2" borderId="0" xfId="0" applyNumberFormat="1" applyFill="1"/>
    <xf numFmtId="9" fontId="0" fillId="0" borderId="0" xfId="0" applyNumberFormat="1"/>
    <xf numFmtId="0" fontId="0" fillId="8" borderId="0" xfId="0" applyFill="1"/>
    <xf numFmtId="9" fontId="0" fillId="0" borderId="0" xfId="1" applyFont="1" applyFill="1" applyBorder="1"/>
    <xf numFmtId="10" fontId="0" fillId="0" borderId="0" xfId="0" applyNumberFormat="1"/>
    <xf numFmtId="0" fontId="0" fillId="0" borderId="13" xfId="0" applyBorder="1"/>
    <xf numFmtId="0" fontId="0" fillId="0" borderId="12" xfId="0" applyBorder="1"/>
    <xf numFmtId="3" fontId="0" fillId="2" borderId="0" xfId="0" applyNumberFormat="1" applyFill="1"/>
    <xf numFmtId="167" fontId="0" fillId="2" borderId="0" xfId="0" applyNumberFormat="1" applyFill="1"/>
    <xf numFmtId="4" fontId="0" fillId="2" borderId="0" xfId="0" applyNumberFormat="1" applyFill="1"/>
    <xf numFmtId="9" fontId="0" fillId="2" borderId="0" xfId="0" applyNumberFormat="1" applyFill="1"/>
    <xf numFmtId="1" fontId="0" fillId="2" borderId="0" xfId="0" applyNumberFormat="1" applyFill="1"/>
    <xf numFmtId="2" fontId="0" fillId="2" borderId="0" xfId="0" applyNumberFormat="1" applyFill="1"/>
    <xf numFmtId="0" fontId="0" fillId="0" borderId="10" xfId="0" applyBorder="1"/>
    <xf numFmtId="0" fontId="0" fillId="0" borderId="14" xfId="0" applyBorder="1"/>
    <xf numFmtId="0" fontId="0" fillId="0" borderId="15" xfId="0" applyBorder="1"/>
    <xf numFmtId="0" fontId="0" fillId="0" borderId="9" xfId="0" applyBorder="1"/>
    <xf numFmtId="0" fontId="0" fillId="0" borderId="11" xfId="0" applyBorder="1"/>
    <xf numFmtId="0" fontId="0" fillId="0" borderId="17" xfId="0" applyBorder="1"/>
    <xf numFmtId="0" fontId="3" fillId="0" borderId="10" xfId="0" applyFont="1" applyBorder="1"/>
    <xf numFmtId="9" fontId="0" fillId="0" borderId="10" xfId="1" applyFont="1" applyFill="1" applyBorder="1"/>
    <xf numFmtId="3" fontId="0" fillId="0" borderId="10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5" xfId="0" applyNumberFormat="1" applyBorder="1"/>
    <xf numFmtId="4" fontId="0" fillId="0" borderId="15" xfId="0" applyNumberFormat="1" applyBorder="1"/>
    <xf numFmtId="0" fontId="3" fillId="0" borderId="9" xfId="0" applyFont="1" applyBorder="1"/>
    <xf numFmtId="0" fontId="3" fillId="0" borderId="0" xfId="0" applyFont="1"/>
    <xf numFmtId="0" fontId="3" fillId="0" borderId="13" xfId="0" applyFont="1" applyBorder="1"/>
    <xf numFmtId="4" fontId="0" fillId="8" borderId="0" xfId="0" applyNumberFormat="1" applyFill="1"/>
    <xf numFmtId="3" fontId="3" fillId="0" borderId="0" xfId="0" applyNumberFormat="1" applyFont="1"/>
    <xf numFmtId="167" fontId="0" fillId="8" borderId="0" xfId="0" applyNumberFormat="1" applyFill="1"/>
    <xf numFmtId="164" fontId="0" fillId="0" borderId="12" xfId="0" applyNumberFormat="1" applyBorder="1"/>
    <xf numFmtId="2" fontId="0" fillId="0" borderId="12" xfId="0" applyNumberFormat="1" applyBorder="1"/>
    <xf numFmtId="170" fontId="0" fillId="2" borderId="0" xfId="0" applyNumberFormat="1" applyFill="1"/>
    <xf numFmtId="170" fontId="0" fillId="3" borderId="0" xfId="0" applyNumberFormat="1" applyFill="1"/>
    <xf numFmtId="170" fontId="0" fillId="9" borderId="0" xfId="0" applyNumberFormat="1" applyFill="1"/>
    <xf numFmtId="170" fontId="0" fillId="0" borderId="0" xfId="0" applyNumberFormat="1"/>
    <xf numFmtId="171" fontId="0" fillId="8" borderId="0" xfId="0" applyNumberFormat="1" applyFill="1"/>
    <xf numFmtId="171" fontId="0" fillId="5" borderId="0" xfId="0" applyNumberFormat="1" applyFill="1"/>
    <xf numFmtId="171" fontId="0" fillId="0" borderId="0" xfId="0" applyNumberFormat="1"/>
    <xf numFmtId="0" fontId="6" fillId="4" borderId="9" xfId="0" applyFont="1" applyFill="1" applyBorder="1"/>
    <xf numFmtId="0" fontId="6" fillId="10" borderId="14" xfId="0" applyFont="1" applyFill="1" applyBorder="1"/>
    <xf numFmtId="0" fontId="7" fillId="0" borderId="0" xfId="0" applyFont="1"/>
    <xf numFmtId="3" fontId="7" fillId="0" borderId="0" xfId="0" applyNumberFormat="1" applyFont="1"/>
    <xf numFmtId="4" fontId="7" fillId="0" borderId="0" xfId="0" applyNumberFormat="1" applyFont="1"/>
    <xf numFmtId="0" fontId="7" fillId="4" borderId="11" xfId="0" applyFont="1" applyFill="1" applyBorder="1"/>
    <xf numFmtId="2" fontId="7" fillId="10" borderId="17" xfId="0" applyNumberFormat="1" applyFont="1" applyFill="1" applyBorder="1"/>
    <xf numFmtId="0" fontId="8" fillId="0" borderId="0" xfId="0" applyFont="1"/>
    <xf numFmtId="0" fontId="5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3" xfId="0" applyFont="1" applyBorder="1"/>
    <xf numFmtId="0" fontId="7" fillId="4" borderId="0" xfId="0" applyFont="1" applyFill="1"/>
    <xf numFmtId="0" fontId="7" fillId="0" borderId="12" xfId="0" applyFont="1" applyBorder="1"/>
    <xf numFmtId="0" fontId="7" fillId="0" borderId="0" xfId="0" quotePrefix="1" applyFont="1"/>
    <xf numFmtId="0" fontId="7" fillId="0" borderId="13" xfId="0" quotePrefix="1" applyFont="1" applyBorder="1"/>
    <xf numFmtId="0" fontId="7" fillId="0" borderId="0" xfId="0" applyFont="1" applyAlignment="1">
      <alignment horizontal="right"/>
    </xf>
    <xf numFmtId="2" fontId="7" fillId="10" borderId="0" xfId="0" applyNumberFormat="1" applyFont="1" applyFill="1"/>
    <xf numFmtId="0" fontId="7" fillId="0" borderId="14" xfId="0" quotePrefix="1" applyFont="1" applyBorder="1"/>
    <xf numFmtId="2" fontId="7" fillId="10" borderId="15" xfId="0" applyNumberFormat="1" applyFont="1" applyFill="1" applyBorder="1"/>
    <xf numFmtId="0" fontId="7" fillId="0" borderId="15" xfId="0" applyFont="1" applyBorder="1"/>
    <xf numFmtId="0" fontId="7" fillId="0" borderId="17" xfId="0" applyFont="1" applyBorder="1"/>
    <xf numFmtId="2" fontId="7" fillId="0" borderId="0" xfId="0" applyNumberFormat="1" applyFont="1"/>
    <xf numFmtId="0" fontId="5" fillId="0" borderId="10" xfId="0" applyFont="1" applyBorder="1"/>
    <xf numFmtId="4" fontId="7" fillId="0" borderId="10" xfId="0" applyNumberFormat="1" applyFont="1" applyBorder="1"/>
    <xf numFmtId="166" fontId="7" fillId="10" borderId="0" xfId="0" applyNumberFormat="1" applyFont="1" applyFill="1"/>
    <xf numFmtId="166" fontId="7" fillId="10" borderId="12" xfId="0" applyNumberFormat="1" applyFont="1" applyFill="1" applyBorder="1"/>
    <xf numFmtId="168" fontId="7" fillId="0" borderId="12" xfId="0" applyNumberFormat="1" applyFont="1" applyBorder="1"/>
    <xf numFmtId="0" fontId="7" fillId="0" borderId="1" xfId="0" applyFont="1" applyBorder="1"/>
    <xf numFmtId="0" fontId="5" fillId="0" borderId="2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5" xfId="0" applyFont="1" applyBorder="1"/>
    <xf numFmtId="166" fontId="7" fillId="0" borderId="0" xfId="0" applyNumberFormat="1" applyFont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166" fontId="7" fillId="10" borderId="15" xfId="0" applyNumberFormat="1" applyFont="1" applyFill="1" applyBorder="1"/>
    <xf numFmtId="166" fontId="7" fillId="10" borderId="17" xfId="0" applyNumberFormat="1" applyFont="1" applyFill="1" applyBorder="1"/>
    <xf numFmtId="168" fontId="7" fillId="0" borderId="0" xfId="0" applyNumberFormat="1" applyFont="1"/>
    <xf numFmtId="2" fontId="7" fillId="0" borderId="5" xfId="0" applyNumberFormat="1" applyFont="1" applyBorder="1"/>
    <xf numFmtId="2" fontId="7" fillId="0" borderId="7" xfId="0" applyNumberFormat="1" applyFont="1" applyBorder="1"/>
    <xf numFmtId="2" fontId="7" fillId="0" borderId="8" xfId="0" applyNumberFormat="1" applyFont="1" applyBorder="1"/>
    <xf numFmtId="0" fontId="5" fillId="0" borderId="1" xfId="0" applyFont="1" applyBorder="1"/>
    <xf numFmtId="164" fontId="7" fillId="0" borderId="0" xfId="0" applyNumberFormat="1" applyFont="1"/>
    <xf numFmtId="1" fontId="7" fillId="4" borderId="0" xfId="1" applyNumberFormat="1" applyFont="1" applyFill="1" applyBorder="1"/>
    <xf numFmtId="1" fontId="7" fillId="4" borderId="5" xfId="1" applyNumberFormat="1" applyFont="1" applyFill="1" applyBorder="1"/>
    <xf numFmtId="0" fontId="7" fillId="4" borderId="5" xfId="0" applyFont="1" applyFill="1" applyBorder="1"/>
    <xf numFmtId="3" fontId="7" fillId="10" borderId="0" xfId="0" applyNumberFormat="1" applyFont="1" applyFill="1"/>
    <xf numFmtId="0" fontId="5" fillId="0" borderId="4" xfId="0" applyFont="1" applyBorder="1"/>
    <xf numFmtId="165" fontId="7" fillId="4" borderId="0" xfId="1" applyNumberFormat="1" applyFont="1" applyFill="1" applyBorder="1"/>
    <xf numFmtId="165" fontId="7" fillId="4" borderId="5" xfId="1" applyNumberFormat="1" applyFont="1" applyFill="1" applyBorder="1"/>
    <xf numFmtId="2" fontId="7" fillId="0" borderId="9" xfId="1" applyNumberFormat="1" applyFont="1" applyFill="1" applyBorder="1"/>
    <xf numFmtId="2" fontId="7" fillId="0" borderId="13" xfId="0" applyNumberFormat="1" applyFont="1" applyBorder="1"/>
    <xf numFmtId="1" fontId="7" fillId="10" borderId="0" xfId="0" applyNumberFormat="1" applyFont="1" applyFill="1"/>
    <xf numFmtId="1" fontId="7" fillId="10" borderId="5" xfId="0" applyNumberFormat="1" applyFont="1" applyFill="1" applyBorder="1"/>
    <xf numFmtId="1" fontId="7" fillId="0" borderId="0" xfId="0" applyNumberFormat="1" applyFont="1"/>
    <xf numFmtId="165" fontId="7" fillId="0" borderId="0" xfId="0" applyNumberFormat="1" applyFont="1"/>
    <xf numFmtId="9" fontId="7" fillId="0" borderId="0" xfId="1" applyFont="1" applyFill="1" applyBorder="1"/>
    <xf numFmtId="10" fontId="7" fillId="4" borderId="0" xfId="0" applyNumberFormat="1" applyFont="1" applyFill="1"/>
    <xf numFmtId="10" fontId="7" fillId="4" borderId="5" xfId="0" applyNumberFormat="1" applyFont="1" applyFill="1" applyBorder="1"/>
    <xf numFmtId="1" fontId="7" fillId="0" borderId="13" xfId="0" applyNumberFormat="1" applyFont="1" applyBorder="1"/>
    <xf numFmtId="2" fontId="7" fillId="10" borderId="5" xfId="0" applyNumberFormat="1" applyFont="1" applyFill="1" applyBorder="1"/>
    <xf numFmtId="0" fontId="7" fillId="10" borderId="0" xfId="0" applyFont="1" applyFill="1"/>
    <xf numFmtId="3" fontId="7" fillId="10" borderId="5" xfId="0" applyNumberFormat="1" applyFont="1" applyFill="1" applyBorder="1"/>
    <xf numFmtId="2" fontId="7" fillId="4" borderId="0" xfId="1" applyNumberFormat="1" applyFont="1" applyFill="1" applyBorder="1"/>
    <xf numFmtId="165" fontId="7" fillId="0" borderId="0" xfId="1" applyNumberFormat="1" applyFont="1" applyFill="1" applyBorder="1"/>
    <xf numFmtId="164" fontId="7" fillId="4" borderId="0" xfId="0" applyNumberFormat="1" applyFont="1" applyFill="1"/>
    <xf numFmtId="3" fontId="5" fillId="10" borderId="0" xfId="0" applyNumberFormat="1" applyFont="1" applyFill="1"/>
    <xf numFmtId="3" fontId="5" fillId="10" borderId="5" xfId="0" applyNumberFormat="1" applyFont="1" applyFill="1" applyBorder="1"/>
    <xf numFmtId="1" fontId="5" fillId="10" borderId="0" xfId="0" applyNumberFormat="1" applyFont="1" applyFill="1"/>
    <xf numFmtId="1" fontId="5" fillId="10" borderId="5" xfId="0" applyNumberFormat="1" applyFont="1" applyFill="1" applyBorder="1"/>
    <xf numFmtId="0" fontId="7" fillId="0" borderId="14" xfId="0" applyFont="1" applyBorder="1"/>
    <xf numFmtId="3" fontId="7" fillId="0" borderId="15" xfId="0" applyNumberFormat="1" applyFont="1" applyBorder="1"/>
    <xf numFmtId="2" fontId="5" fillId="10" borderId="0" xfId="0" applyNumberFormat="1" applyFont="1" applyFill="1"/>
    <xf numFmtId="2" fontId="5" fillId="10" borderId="5" xfId="0" applyNumberFormat="1" applyFont="1" applyFill="1" applyBorder="1"/>
    <xf numFmtId="0" fontId="5" fillId="0" borderId="6" xfId="0" applyFont="1" applyBorder="1"/>
    <xf numFmtId="0" fontId="5" fillId="0" borderId="0" xfId="0" applyFont="1"/>
    <xf numFmtId="2" fontId="5" fillId="0" borderId="0" xfId="0" applyNumberFormat="1" applyFont="1"/>
    <xf numFmtId="3" fontId="7" fillId="0" borderId="2" xfId="0" applyNumberFormat="1" applyFont="1" applyBorder="1"/>
    <xf numFmtId="3" fontId="7" fillId="0" borderId="3" xfId="0" applyNumberFormat="1" applyFont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8" xfId="0" applyNumberFormat="1" applyFont="1" applyBorder="1"/>
    <xf numFmtId="0" fontId="7" fillId="10" borderId="5" xfId="0" applyFont="1" applyFill="1" applyBorder="1"/>
    <xf numFmtId="0" fontId="7" fillId="4" borderId="7" xfId="0" applyFont="1" applyFill="1" applyBorder="1"/>
    <xf numFmtId="0" fontId="7" fillId="4" borderId="8" xfId="0" applyFont="1" applyFill="1" applyBorder="1"/>
    <xf numFmtId="0" fontId="7" fillId="0" borderId="9" xfId="0" applyFont="1" applyBorder="1"/>
    <xf numFmtId="9" fontId="7" fillId="0" borderId="10" xfId="1" applyFont="1" applyFill="1" applyBorder="1"/>
    <xf numFmtId="3" fontId="7" fillId="0" borderId="10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10" fontId="7" fillId="0" borderId="0" xfId="0" applyNumberFormat="1" applyFont="1"/>
    <xf numFmtId="4" fontId="7" fillId="0" borderId="15" xfId="0" applyNumberFormat="1" applyFont="1" applyBorder="1"/>
    <xf numFmtId="164" fontId="7" fillId="0" borderId="13" xfId="0" applyNumberFormat="1" applyFont="1" applyBorder="1"/>
    <xf numFmtId="0" fontId="7" fillId="2" borderId="10" xfId="0" applyFont="1" applyFill="1" applyBorder="1"/>
    <xf numFmtId="0" fontId="7" fillId="0" borderId="18" xfId="0" applyFont="1" applyBorder="1"/>
    <xf numFmtId="0" fontId="7" fillId="12" borderId="0" xfId="0" applyFont="1" applyFill="1"/>
    <xf numFmtId="0" fontId="7" fillId="11" borderId="0" xfId="0" applyFont="1" applyFill="1"/>
    <xf numFmtId="0" fontId="7" fillId="11" borderId="5" xfId="0" applyFont="1" applyFill="1" applyBorder="1"/>
    <xf numFmtId="0" fontId="7" fillId="12" borderId="13" xfId="0" applyFont="1" applyFill="1" applyBorder="1"/>
    <xf numFmtId="164" fontId="7" fillId="0" borderId="5" xfId="0" applyNumberFormat="1" applyFont="1" applyBorder="1"/>
    <xf numFmtId="0" fontId="7" fillId="12" borderId="4" xfId="0" applyFont="1" applyFill="1" applyBorder="1"/>
    <xf numFmtId="0" fontId="7" fillId="12" borderId="5" xfId="0" applyFont="1" applyFill="1" applyBorder="1"/>
    <xf numFmtId="167" fontId="7" fillId="0" borderId="0" xfId="0" applyNumberFormat="1" applyFont="1"/>
    <xf numFmtId="0" fontId="7" fillId="12" borderId="19" xfId="0" applyFont="1" applyFill="1" applyBorder="1"/>
    <xf numFmtId="0" fontId="7" fillId="12" borderId="7" xfId="0" applyFont="1" applyFill="1" applyBorder="1"/>
    <xf numFmtId="169" fontId="7" fillId="0" borderId="15" xfId="0" applyNumberFormat="1" applyFont="1" applyBorder="1"/>
    <xf numFmtId="169" fontId="7" fillId="0" borderId="10" xfId="0" applyNumberFormat="1" applyFont="1" applyBorder="1"/>
    <xf numFmtId="164" fontId="7" fillId="12" borderId="0" xfId="0" applyNumberFormat="1" applyFont="1" applyFill="1"/>
    <xf numFmtId="0" fontId="7" fillId="0" borderId="16" xfId="0" applyFont="1" applyBorder="1"/>
    <xf numFmtId="0" fontId="5" fillId="0" borderId="13" xfId="0" applyFont="1" applyBorder="1"/>
    <xf numFmtId="0" fontId="5" fillId="0" borderId="9" xfId="0" applyFont="1" applyBorder="1" applyAlignment="1">
      <alignment horizontal="right"/>
    </xf>
    <xf numFmtId="0" fontId="5" fillId="0" borderId="14" xfId="0" applyFont="1" applyBorder="1" applyAlignment="1">
      <alignment horizontal="right"/>
    </xf>
    <xf numFmtId="0" fontId="7" fillId="4" borderId="17" xfId="0" applyFont="1" applyFill="1" applyBorder="1"/>
    <xf numFmtId="0" fontId="5" fillId="0" borderId="3" xfId="0" applyFont="1" applyBorder="1"/>
    <xf numFmtId="172" fontId="0" fillId="0" borderId="0" xfId="0" applyNumberFormat="1"/>
    <xf numFmtId="173" fontId="0" fillId="0" borderId="0" xfId="0" applyNumberFormat="1"/>
    <xf numFmtId="166" fontId="0" fillId="0" borderId="0" xfId="0" applyNumberFormat="1"/>
    <xf numFmtId="0" fontId="9" fillId="0" borderId="0" xfId="0" applyFont="1"/>
    <xf numFmtId="0" fontId="11" fillId="0" borderId="20" xfId="2" applyFont="1" applyBorder="1"/>
    <xf numFmtId="0" fontId="2" fillId="0" borderId="20" xfId="2" applyBorder="1"/>
    <xf numFmtId="3" fontId="2" fillId="0" borderId="20" xfId="2" applyNumberFormat="1" applyBorder="1"/>
    <xf numFmtId="0" fontId="17" fillId="0" borderId="0" xfId="0" applyFont="1"/>
    <xf numFmtId="0" fontId="13" fillId="0" borderId="23" xfId="4" applyFont="1" applyFill="1" applyBorder="1" applyAlignment="1"/>
    <xf numFmtId="0" fontId="13" fillId="0" borderId="24" xfId="4" applyFont="1" applyFill="1" applyBorder="1" applyAlignment="1"/>
    <xf numFmtId="0" fontId="13" fillId="0" borderId="25" xfId="4" applyFont="1" applyFill="1" applyBorder="1" applyAlignment="1"/>
    <xf numFmtId="0" fontId="13" fillId="0" borderId="20" xfId="4" applyFont="1" applyFill="1" applyBorder="1" applyAlignment="1" applyProtection="1">
      <protection locked="0"/>
    </xf>
    <xf numFmtId="0" fontId="11" fillId="0" borderId="20" xfId="0" applyFont="1" applyBorder="1"/>
    <xf numFmtId="0" fontId="2" fillId="0" borderId="24" xfId="2" applyBorder="1"/>
    <xf numFmtId="0" fontId="0" fillId="0" borderId="24" xfId="0" applyBorder="1"/>
    <xf numFmtId="0" fontId="14" fillId="0" borderId="20" xfId="0" applyFont="1" applyBorder="1" applyAlignment="1">
      <alignment horizontal="left" vertical="center" wrapText="1"/>
    </xf>
    <xf numFmtId="0" fontId="0" fillId="0" borderId="20" xfId="0" applyBorder="1"/>
    <xf numFmtId="0" fontId="15" fillId="0" borderId="0" xfId="2" applyFont="1" applyAlignment="1">
      <alignment horizontal="center"/>
    </xf>
    <xf numFmtId="0" fontId="2" fillId="0" borderId="23" xfId="2" applyBorder="1"/>
    <xf numFmtId="0" fontId="2" fillId="0" borderId="25" xfId="2" applyBorder="1"/>
    <xf numFmtId="0" fontId="2" fillId="0" borderId="20" xfId="2" applyBorder="1"/>
    <xf numFmtId="0" fontId="12" fillId="0" borderId="20" xfId="0" applyFont="1" applyBorder="1"/>
    <xf numFmtId="14" fontId="2" fillId="0" borderId="23" xfId="2" applyNumberFormat="1" applyBorder="1" applyAlignment="1">
      <alignment horizontal="left"/>
    </xf>
    <xf numFmtId="14" fontId="2" fillId="0" borderId="24" xfId="2" applyNumberFormat="1" applyBorder="1" applyAlignment="1">
      <alignment horizontal="left"/>
    </xf>
    <xf numFmtId="14" fontId="2" fillId="0" borderId="25" xfId="2" applyNumberFormat="1" applyBorder="1" applyAlignment="1">
      <alignment horizontal="left"/>
    </xf>
    <xf numFmtId="0" fontId="2" fillId="0" borderId="21" xfId="2" applyBorder="1" applyAlignment="1">
      <alignment horizontal="left" vertical="top"/>
    </xf>
    <xf numFmtId="0" fontId="2" fillId="0" borderId="22" xfId="2" applyBorder="1" applyAlignment="1">
      <alignment horizontal="left" vertical="top"/>
    </xf>
    <xf numFmtId="0" fontId="2" fillId="0" borderId="1" xfId="2" applyBorder="1" applyAlignment="1">
      <alignment horizontal="left" vertical="top" wrapText="1"/>
    </xf>
    <xf numFmtId="0" fontId="2" fillId="0" borderId="2" xfId="2" applyBorder="1" applyAlignment="1">
      <alignment horizontal="left" vertical="top" wrapText="1"/>
    </xf>
    <xf numFmtId="0" fontId="2" fillId="0" borderId="3" xfId="2" applyBorder="1" applyAlignment="1">
      <alignment horizontal="left" vertical="top" wrapText="1"/>
    </xf>
    <xf numFmtId="0" fontId="2" fillId="0" borderId="6" xfId="2" applyBorder="1" applyAlignment="1">
      <alignment horizontal="left" vertical="top" wrapText="1"/>
    </xf>
    <xf numFmtId="0" fontId="2" fillId="0" borderId="7" xfId="2" applyBorder="1" applyAlignment="1">
      <alignment horizontal="left" vertical="top" wrapText="1"/>
    </xf>
    <xf numFmtId="0" fontId="2" fillId="0" borderId="8" xfId="2" applyBorder="1" applyAlignment="1">
      <alignment horizontal="left" vertical="top" wrapText="1"/>
    </xf>
  </cellXfs>
  <cellStyles count="5">
    <cellStyle name="Link 2" xfId="4" xr:uid="{3FA7C405-F135-4F24-913D-C6D874999125}"/>
    <cellStyle name="Normal" xfId="0" builtinId="0"/>
    <cellStyle name="Normal 2" xfId="2" xr:uid="{6D9E8D85-1B8F-4E4D-AF7E-0740DE9F082D}"/>
    <cellStyle name="Normal 4" xfId="3" xr:uid="{EC1B9BD9-A268-425D-8C96-5A2B12E817E7}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Tilvækst,</a:t>
            </a:r>
            <a:r>
              <a:rPr lang="en-GB" baseline="0"/>
              <a:t> gram pr dag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9185716499861523E-2"/>
          <c:y val="0.18560185185185185"/>
          <c:w val="0.94016246033137441"/>
          <c:h val="0.56949368075488649"/>
        </c:manualLayout>
      </c:layout>
      <c:lineChart>
        <c:grouping val="standard"/>
        <c:varyColors val="0"/>
        <c:ser>
          <c:idx val="0"/>
          <c:order val="0"/>
          <c:tx>
            <c:v>holtyr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hol'!$H$3:$H$335</c:f>
              <c:numCache>
                <c:formatCode>#,##0</c:formatCode>
                <c:ptCount val="333"/>
                <c:pt idx="0">
                  <c:v>736.11761442538182</c:v>
                </c:pt>
                <c:pt idx="1">
                  <c:v>748.39900097322243</c:v>
                </c:pt>
                <c:pt idx="2">
                  <c:v>760.55574529502223</c:v>
                </c:pt>
                <c:pt idx="3">
                  <c:v>772.58832906667863</c:v>
                </c:pt>
                <c:pt idx="4">
                  <c:v>784.49723396434479</c:v>
                </c:pt>
                <c:pt idx="5">
                  <c:v>796.2829416640318</c:v>
                </c:pt>
                <c:pt idx="6">
                  <c:v>807.94593384167968</c:v>
                </c:pt>
                <c:pt idx="7">
                  <c:v>819.48669217341319</c:v>
                </c:pt>
                <c:pt idx="8">
                  <c:v>830.90569833524341</c:v>
                </c:pt>
                <c:pt idx="9">
                  <c:v>842.20343400319564</c:v>
                </c:pt>
                <c:pt idx="10">
                  <c:v>853.38038085330936</c:v>
                </c:pt>
                <c:pt idx="11">
                  <c:v>864.43702056156724</c:v>
                </c:pt>
                <c:pt idx="12">
                  <c:v>875.37383480409403</c:v>
                </c:pt>
                <c:pt idx="13">
                  <c:v>886.19130525681555</c:v>
                </c:pt>
                <c:pt idx="14">
                  <c:v>896.88991359587078</c:v>
                </c:pt>
                <c:pt idx="15">
                  <c:v>907.47014149717131</c:v>
                </c:pt>
                <c:pt idx="16">
                  <c:v>917.93247063688455</c:v>
                </c:pt>
                <c:pt idx="17">
                  <c:v>928.2773826909505</c:v>
                </c:pt>
                <c:pt idx="18">
                  <c:v>938.5053593354229</c:v>
                </c:pt>
                <c:pt idx="19">
                  <c:v>948.61688224632701</c:v>
                </c:pt>
                <c:pt idx="20">
                  <c:v>958.61243309968813</c:v>
                </c:pt>
                <c:pt idx="21">
                  <c:v>968.49249357155998</c:v>
                </c:pt>
                <c:pt idx="22">
                  <c:v>978.25754533799625</c:v>
                </c:pt>
                <c:pt idx="23">
                  <c:v>987.90807007495118</c:v>
                </c:pt>
                <c:pt idx="24">
                  <c:v>997.44454945854955</c:v>
                </c:pt>
                <c:pt idx="25">
                  <c:v>1006.8674651647598</c:v>
                </c:pt>
                <c:pt idx="26">
                  <c:v>1016.1772988696072</c:v>
                </c:pt>
                <c:pt idx="27">
                  <c:v>1025.3745322491882</c:v>
                </c:pt>
                <c:pt idx="28">
                  <c:v>1034.4596469794851</c:v>
                </c:pt>
                <c:pt idx="29">
                  <c:v>1043.4331247365094</c:v>
                </c:pt>
                <c:pt idx="30">
                  <c:v>1052.295447196343</c:v>
                </c:pt>
                <c:pt idx="31">
                  <c:v>1061.0470960350112</c:v>
                </c:pt>
                <c:pt idx="32">
                  <c:v>1069.6885529285112</c:v>
                </c:pt>
                <c:pt idx="33">
                  <c:v>1078.2202995528819</c:v>
                </c:pt>
                <c:pt idx="34">
                  <c:v>1086.6428175842202</c:v>
                </c:pt>
                <c:pt idx="35">
                  <c:v>1094.9565886984515</c:v>
                </c:pt>
                <c:pt idx="36">
                  <c:v>1103.1620945717009</c:v>
                </c:pt>
                <c:pt idx="37">
                  <c:v>1111.2598168799223</c:v>
                </c:pt>
                <c:pt idx="38">
                  <c:v>1119.2502372992267</c:v>
                </c:pt>
                <c:pt idx="39">
                  <c:v>1127.1338375055821</c:v>
                </c:pt>
                <c:pt idx="40">
                  <c:v>1134.9110991750422</c:v>
                </c:pt>
                <c:pt idx="41">
                  <c:v>1142.5825039836468</c:v>
                </c:pt>
                <c:pt idx="42">
                  <c:v>1150.1485336074352</c:v>
                </c:pt>
                <c:pt idx="43">
                  <c:v>1157.609669722433</c:v>
                </c:pt>
                <c:pt idx="44">
                  <c:v>1164.9663940046225</c:v>
                </c:pt>
                <c:pt idx="45">
                  <c:v>1172.219188130086</c:v>
                </c:pt>
                <c:pt idx="46">
                  <c:v>1179.3685337748911</c:v>
                </c:pt>
                <c:pt idx="47">
                  <c:v>1186.4149126149641</c:v>
                </c:pt>
                <c:pt idx="48">
                  <c:v>1193.3588063264579</c:v>
                </c:pt>
                <c:pt idx="49">
                  <c:v>1200.2006965852984</c:v>
                </c:pt>
                <c:pt idx="50">
                  <c:v>1206.9410650675677</c:v>
                </c:pt>
                <c:pt idx="51">
                  <c:v>1213.5803934493197</c:v>
                </c:pt>
                <c:pt idx="52">
                  <c:v>1220.1191634065651</c:v>
                </c:pt>
                <c:pt idx="53">
                  <c:v>1226.5578566152726</c:v>
                </c:pt>
                <c:pt idx="54">
                  <c:v>1232.8969547515812</c:v>
                </c:pt>
                <c:pt idx="55">
                  <c:v>1239.1369394914732</c:v>
                </c:pt>
                <c:pt idx="56">
                  <c:v>1245.2782925109746</c:v>
                </c:pt>
                <c:pt idx="57">
                  <c:v>1251.3214954860955</c:v>
                </c:pt>
                <c:pt idx="58">
                  <c:v>1257.2670300929474</c:v>
                </c:pt>
                <c:pt idx="59">
                  <c:v>1263.1153780074271</c:v>
                </c:pt>
                <c:pt idx="60">
                  <c:v>1268.8670209057591</c:v>
                </c:pt>
                <c:pt idx="61">
                  <c:v>1274.5224404637838</c:v>
                </c:pt>
                <c:pt idx="62">
                  <c:v>1280.0821183576261</c:v>
                </c:pt>
                <c:pt idx="63">
                  <c:v>1285.5465362633538</c:v>
                </c:pt>
                <c:pt idx="64">
                  <c:v>1290.9161758568359</c:v>
                </c:pt>
                <c:pt idx="65">
                  <c:v>1296.1915188143394</c:v>
                </c:pt>
                <c:pt idx="66">
                  <c:v>1301.3730468117615</c:v>
                </c:pt>
                <c:pt idx="67">
                  <c:v>1306.4612415251133</c:v>
                </c:pt>
                <c:pt idx="68">
                  <c:v>1311.4565846304629</c:v>
                </c:pt>
                <c:pt idx="69">
                  <c:v>1316.3595578038496</c:v>
                </c:pt>
                <c:pt idx="70">
                  <c:v>1321.170642721313</c:v>
                </c:pt>
                <c:pt idx="71">
                  <c:v>1325.8903210588073</c:v>
                </c:pt>
                <c:pt idx="72">
                  <c:v>1330.5190744924573</c:v>
                </c:pt>
                <c:pt idx="73">
                  <c:v>1335.0573846983025</c:v>
                </c:pt>
                <c:pt idx="74">
                  <c:v>1339.5057333523539</c:v>
                </c:pt>
                <c:pt idx="75">
                  <c:v>1343.864602130509</c:v>
                </c:pt>
                <c:pt idx="76">
                  <c:v>1348.1344727090061</c:v>
                </c:pt>
                <c:pt idx="77">
                  <c:v>1352.3158267637143</c:v>
                </c:pt>
                <c:pt idx="78">
                  <c:v>1356.4091459708152</c:v>
                </c:pt>
                <c:pt idx="79">
                  <c:v>1360.4149120062914</c:v>
                </c:pt>
                <c:pt idx="80">
                  <c:v>1364.3336065460119</c:v>
                </c:pt>
                <c:pt idx="81">
                  <c:v>1368.1657112663004</c:v>
                </c:pt>
                <c:pt idx="82">
                  <c:v>1371.9117078428553</c:v>
                </c:pt>
                <c:pt idx="83">
                  <c:v>1375.5720779520288</c:v>
                </c:pt>
                <c:pt idx="84">
                  <c:v>1379.1473032696047</c:v>
                </c:pt>
                <c:pt idx="85">
                  <c:v>1382.6378654717928</c:v>
                </c:pt>
                <c:pt idx="86">
                  <c:v>1386.0442462345475</c:v>
                </c:pt>
                <c:pt idx="87">
                  <c:v>1389.3669272338798</c:v>
                </c:pt>
                <c:pt idx="88">
                  <c:v>1392.6063901458008</c:v>
                </c:pt>
                <c:pt idx="89">
                  <c:v>1395.7631166464353</c:v>
                </c:pt>
                <c:pt idx="90">
                  <c:v>1398.8375884117659</c:v>
                </c:pt>
                <c:pt idx="91">
                  <c:v>1401.8302871178037</c:v>
                </c:pt>
                <c:pt idx="92">
                  <c:v>1404.7416944406734</c:v>
                </c:pt>
                <c:pt idx="93">
                  <c:v>1407.5722920562157</c:v>
                </c:pt>
                <c:pt idx="94">
                  <c:v>1410.3225616406121</c:v>
                </c:pt>
                <c:pt idx="95">
                  <c:v>1412.9929848699874</c:v>
                </c:pt>
                <c:pt idx="96">
                  <c:v>1415.5840434200968</c:v>
                </c:pt>
                <c:pt idx="97">
                  <c:v>1418.0962189672073</c:v>
                </c:pt>
                <c:pt idx="98">
                  <c:v>1420.5299931871593</c:v>
                </c:pt>
                <c:pt idx="99">
                  <c:v>1422.8858477562767</c:v>
                </c:pt>
                <c:pt idx="100">
                  <c:v>1425.1642643502862</c:v>
                </c:pt>
                <c:pt idx="101">
                  <c:v>1427.3657246453411</c:v>
                </c:pt>
                <c:pt idx="102">
                  <c:v>1429.4907103174808</c:v>
                </c:pt>
                <c:pt idx="103">
                  <c:v>1431.5397030427732</c:v>
                </c:pt>
                <c:pt idx="104">
                  <c:v>1433.5131844971727</c:v>
                </c:pt>
                <c:pt idx="105">
                  <c:v>1435.4116363566902</c:v>
                </c:pt>
                <c:pt idx="106">
                  <c:v>1437.2355402975074</c:v>
                </c:pt>
                <c:pt idx="107">
                  <c:v>1438.9853779955502</c:v>
                </c:pt>
                <c:pt idx="108">
                  <c:v>1440.6616311268579</c:v>
                </c:pt>
                <c:pt idx="109">
                  <c:v>1442.2647813674132</c:v>
                </c:pt>
                <c:pt idx="110">
                  <c:v>1443.7953103933125</c:v>
                </c:pt>
                <c:pt idx="111">
                  <c:v>1445.253699880567</c:v>
                </c:pt>
                <c:pt idx="112">
                  <c:v>1446.6404315053296</c:v>
                </c:pt>
                <c:pt idx="113">
                  <c:v>1447.9559869433842</c:v>
                </c:pt>
                <c:pt idx="114">
                  <c:v>1449.200847870884</c:v>
                </c:pt>
                <c:pt idx="115">
                  <c:v>1450.3754959640105</c:v>
                </c:pt>
                <c:pt idx="116">
                  <c:v>1451.480412898519</c:v>
                </c:pt>
                <c:pt idx="117">
                  <c:v>1452.5160803507049</c:v>
                </c:pt>
                <c:pt idx="118">
                  <c:v>1453.4829799964086</c:v>
                </c:pt>
                <c:pt idx="119">
                  <c:v>1454.3815935117266</c:v>
                </c:pt>
                <c:pt idx="120">
                  <c:v>1455.2124025727267</c:v>
                </c:pt>
                <c:pt idx="121">
                  <c:v>1455.9758888553347</c:v>
                </c:pt>
                <c:pt idx="122">
                  <c:v>1456.672534035846</c:v>
                </c:pt>
                <c:pt idx="123">
                  <c:v>1457.3028197897884</c:v>
                </c:pt>
                <c:pt idx="124">
                  <c:v>1457.8672277937414</c:v>
                </c:pt>
                <c:pt idx="125">
                  <c:v>1458.3662397235173</c:v>
                </c:pt>
                <c:pt idx="126">
                  <c:v>1458.8003372550418</c:v>
                </c:pt>
                <c:pt idx="127">
                  <c:v>1459.1700020644112</c:v>
                </c:pt>
                <c:pt idx="128">
                  <c:v>1459.4757158277787</c:v>
                </c:pt>
                <c:pt idx="129">
                  <c:v>1459.7179602210133</c:v>
                </c:pt>
                <c:pt idx="130">
                  <c:v>1459.8972169202113</c:v>
                </c:pt>
                <c:pt idx="131">
                  <c:v>1460.0139676014976</c:v>
                </c:pt>
                <c:pt idx="132">
                  <c:v>1460.0686939407126</c:v>
                </c:pt>
                <c:pt idx="133">
                  <c:v>1460.0618776139811</c:v>
                </c:pt>
                <c:pt idx="134">
                  <c:v>1459.9940002975131</c:v>
                </c:pt>
                <c:pt idx="135">
                  <c:v>1459.8655436669787</c:v>
                </c:pt>
                <c:pt idx="136">
                  <c:v>1459.6769893986732</c:v>
                </c:pt>
                <c:pt idx="137">
                  <c:v>1459.4288191685507</c:v>
                </c:pt>
                <c:pt idx="138">
                  <c:v>1459.1215146526793</c:v>
                </c:pt>
                <c:pt idx="139">
                  <c:v>1458.755557527013</c:v>
                </c:pt>
                <c:pt idx="140">
                  <c:v>1458.3314294676484</c:v>
                </c:pt>
                <c:pt idx="141">
                  <c:v>1457.8496121506532</c:v>
                </c:pt>
                <c:pt idx="142">
                  <c:v>1457.310587251925</c:v>
                </c:pt>
                <c:pt idx="143">
                  <c:v>1456.7148364476736</c:v>
                </c:pt>
                <c:pt idx="144">
                  <c:v>1456.062841413825</c:v>
                </c:pt>
                <c:pt idx="145">
                  <c:v>1455.3550838262197</c:v>
                </c:pt>
                <c:pt idx="146">
                  <c:v>1454.5920453613519</c:v>
                </c:pt>
                <c:pt idx="147">
                  <c:v>1453.7742076948632</c:v>
                </c:pt>
                <c:pt idx="148">
                  <c:v>1452.9020525029352</c:v>
                </c:pt>
                <c:pt idx="149">
                  <c:v>1451.9760614616075</c:v>
                </c:pt>
                <c:pt idx="150">
                  <c:v>1450.9967162467774</c:v>
                </c:pt>
                <c:pt idx="151">
                  <c:v>1449.9644985346549</c:v>
                </c:pt>
                <c:pt idx="152">
                  <c:v>1448.879890001308</c:v>
                </c:pt>
                <c:pt idx="153">
                  <c:v>1447.7433723225204</c:v>
                </c:pt>
                <c:pt idx="154">
                  <c:v>1446.5554271744736</c:v>
                </c:pt>
                <c:pt idx="155">
                  <c:v>1445.3165362332356</c:v>
                </c:pt>
                <c:pt idx="156">
                  <c:v>1444.0271811747039</c:v>
                </c:pt>
                <c:pt idx="157">
                  <c:v>1442.6878436751167</c:v>
                </c:pt>
                <c:pt idx="158">
                  <c:v>1441.2990054103716</c:v>
                </c:pt>
                <c:pt idx="159">
                  <c:v>1439.8611480564227</c:v>
                </c:pt>
                <c:pt idx="160">
                  <c:v>1438.3747532895086</c:v>
                </c:pt>
                <c:pt idx="161">
                  <c:v>1436.8403027852992</c:v>
                </c:pt>
                <c:pt idx="162">
                  <c:v>1435.2582782204308</c:v>
                </c:pt>
                <c:pt idx="163">
                  <c:v>1433.6291612704031</c:v>
                </c:pt>
                <c:pt idx="164">
                  <c:v>1431.9534336113975</c:v>
                </c:pt>
                <c:pt idx="165">
                  <c:v>1430.2315769195388</c:v>
                </c:pt>
                <c:pt idx="166">
                  <c:v>1428.4640728707245</c:v>
                </c:pt>
                <c:pt idx="167">
                  <c:v>1426.6514031410793</c:v>
                </c:pt>
                <c:pt idx="168">
                  <c:v>1424.7940494066142</c:v>
                </c:pt>
                <c:pt idx="169">
                  <c:v>1422.8924933434541</c:v>
                </c:pt>
                <c:pt idx="170">
                  <c:v>1420.9472166273258</c:v>
                </c:pt>
                <c:pt idx="171">
                  <c:v>1418.9587009345246</c:v>
                </c:pt>
                <c:pt idx="172">
                  <c:v>1416.9274279412889</c:v>
                </c:pt>
                <c:pt idx="173">
                  <c:v>1414.8538793230614</c:v>
                </c:pt>
                <c:pt idx="174">
                  <c:v>1412.7385367563079</c:v>
                </c:pt>
                <c:pt idx="175">
                  <c:v>1410.5818819170395</c:v>
                </c:pt>
                <c:pt idx="176">
                  <c:v>1408.3843964810967</c:v>
                </c:pt>
                <c:pt idx="177">
                  <c:v>1406.1465621246043</c:v>
                </c:pt>
                <c:pt idx="178">
                  <c:v>1403.8688605236871</c:v>
                </c:pt>
                <c:pt idx="179">
                  <c:v>1401.5517733542424</c:v>
                </c:pt>
                <c:pt idx="180">
                  <c:v>1399.1957822922814</c:v>
                </c:pt>
                <c:pt idx="181">
                  <c:v>1396.8013690140424</c:v>
                </c:pt>
                <c:pt idx="182">
                  <c:v>1394.3690151954229</c:v>
                </c:pt>
                <c:pt idx="183">
                  <c:v>1391.8992025123771</c:v>
                </c:pt>
                <c:pt idx="184">
                  <c:v>1389.3924126409729</c:v>
                </c:pt>
                <c:pt idx="185">
                  <c:v>1386.8491272574488</c:v>
                </c:pt>
                <c:pt idx="186">
                  <c:v>1384.2698280374748</c:v>
                </c:pt>
                <c:pt idx="187">
                  <c:v>1381.6549966575167</c:v>
                </c:pt>
                <c:pt idx="188">
                  <c:v>1379.0051147931308</c:v>
                </c:pt>
                <c:pt idx="189">
                  <c:v>1376.3206641206693</c:v>
                </c:pt>
                <c:pt idx="190">
                  <c:v>1373.602126316257</c:v>
                </c:pt>
                <c:pt idx="191">
                  <c:v>1370.849983055507</c:v>
                </c:pt>
                <c:pt idx="192">
                  <c:v>1368.0647160148851</c:v>
                </c:pt>
                <c:pt idx="193">
                  <c:v>1365.2468068700614</c:v>
                </c:pt>
                <c:pt idx="194">
                  <c:v>1362.3967372973311</c:v>
                </c:pt>
                <c:pt idx="195">
                  <c:v>1359.514988972478</c:v>
                </c:pt>
                <c:pt idx="196">
                  <c:v>1356.6020435720247</c:v>
                </c:pt>
                <c:pt idx="197">
                  <c:v>1353.6583827713571</c:v>
                </c:pt>
                <c:pt idx="198">
                  <c:v>1350.6844882469977</c:v>
                </c:pt>
                <c:pt idx="199">
                  <c:v>1347.6808416746735</c:v>
                </c:pt>
                <c:pt idx="200">
                  <c:v>1344.647924730566</c:v>
                </c:pt>
                <c:pt idx="201">
                  <c:v>1341.5862190909138</c:v>
                </c:pt>
                <c:pt idx="202">
                  <c:v>1338.4962064311026</c:v>
                </c:pt>
                <c:pt idx="203">
                  <c:v>1335.3783684279392</c:v>
                </c:pt>
                <c:pt idx="204">
                  <c:v>1332.2331867569233</c:v>
                </c:pt>
                <c:pt idx="205">
                  <c:v>1360.8093488780924</c:v>
                </c:pt>
                <c:pt idx="206">
                  <c:v>1367.8868940482971</c:v>
                </c:pt>
                <c:pt idx="207">
                  <c:v>1364.5603742003232</c:v>
                </c:pt>
                <c:pt idx="208">
                  <c:v>1361.2076317795072</c:v>
                </c:pt>
                <c:pt idx="209">
                  <c:v>1357.8291637293205</c:v>
                </c:pt>
                <c:pt idx="210">
                  <c:v>1354.4254669926659</c:v>
                </c:pt>
                <c:pt idx="211">
                  <c:v>1350.9970385132419</c:v>
                </c:pt>
                <c:pt idx="212">
                  <c:v>1347.5443752330989</c:v>
                </c:pt>
                <c:pt idx="213">
                  <c:v>1344.0679740961627</c:v>
                </c:pt>
                <c:pt idx="214">
                  <c:v>1340.5683320455637</c:v>
                </c:pt>
                <c:pt idx="215">
                  <c:v>1337.045946023693</c:v>
                </c:pt>
                <c:pt idx="216">
                  <c:v>1333.5013129743061</c:v>
                </c:pt>
                <c:pt idx="217">
                  <c:v>1329.9349298403058</c:v>
                </c:pt>
                <c:pt idx="218">
                  <c:v>1326.347293564595</c:v>
                </c:pt>
                <c:pt idx="219">
                  <c:v>1322.7389010905881</c:v>
                </c:pt>
                <c:pt idx="220">
                  <c:v>1319.1102493613016</c:v>
                </c:pt>
                <c:pt idx="221">
                  <c:v>1315.461835319752</c:v>
                </c:pt>
                <c:pt idx="222">
                  <c:v>1311.7941559090696</c:v>
                </c:pt>
                <c:pt idx="223">
                  <c:v>1308.1077080722139</c:v>
                </c:pt>
                <c:pt idx="224">
                  <c:v>1304.4029887527131</c:v>
                </c:pt>
                <c:pt idx="225">
                  <c:v>1300.6804948930721</c:v>
                </c:pt>
                <c:pt idx="226">
                  <c:v>1296.9407234370465</c:v>
                </c:pt>
                <c:pt idx="227">
                  <c:v>1293.1841713270273</c:v>
                </c:pt>
                <c:pt idx="228">
                  <c:v>1289.4113355068839</c:v>
                </c:pt>
                <c:pt idx="229">
                  <c:v>1285.6227129189506</c:v>
                </c:pt>
                <c:pt idx="230">
                  <c:v>1281.8188005070397</c:v>
                </c:pt>
                <c:pt idx="231">
                  <c:v>1278.0000952134856</c:v>
                </c:pt>
                <c:pt idx="232">
                  <c:v>1274.1670939823848</c:v>
                </c:pt>
                <c:pt idx="233">
                  <c:v>1270.3202937556739</c:v>
                </c:pt>
                <c:pt idx="234">
                  <c:v>1266.4601914775062</c:v>
                </c:pt>
                <c:pt idx="235">
                  <c:v>1262.5872840901025</c:v>
                </c:pt>
                <c:pt idx="236">
                  <c:v>1258.7020685374455</c:v>
                </c:pt>
                <c:pt idx="237">
                  <c:v>1254.805041761756</c:v>
                </c:pt>
                <c:pt idx="238">
                  <c:v>1250.8967007068463</c:v>
                </c:pt>
                <c:pt idx="239">
                  <c:v>1246.9775423153919</c:v>
                </c:pt>
                <c:pt idx="240">
                  <c:v>1243.0480635307504</c:v>
                </c:pt>
                <c:pt idx="241">
                  <c:v>1239.1087612957108</c:v>
                </c:pt>
                <c:pt idx="242">
                  <c:v>1235.1601325537445</c:v>
                </c:pt>
                <c:pt idx="243">
                  <c:v>1231.2026742475268</c:v>
                </c:pt>
                <c:pt idx="244">
                  <c:v>1227.236883320586</c:v>
                </c:pt>
                <c:pt idx="245">
                  <c:v>1223.2632567159953</c:v>
                </c:pt>
                <c:pt idx="246">
                  <c:v>1219.2822913763166</c:v>
                </c:pt>
                <c:pt idx="247">
                  <c:v>1215.2944842453053</c:v>
                </c:pt>
                <c:pt idx="248">
                  <c:v>1211.3003322657505</c:v>
                </c:pt>
                <c:pt idx="249">
                  <c:v>1207.3003323807825</c:v>
                </c:pt>
                <c:pt idx="250">
                  <c:v>1203.2949815334177</c:v>
                </c:pt>
                <c:pt idx="251">
                  <c:v>1199.2847766670138</c:v>
                </c:pt>
                <c:pt idx="252">
                  <c:v>1195.2702147243599</c:v>
                </c:pt>
                <c:pt idx="253">
                  <c:v>1191.2517926488135</c:v>
                </c:pt>
                <c:pt idx="254">
                  <c:v>1187.2300073832207</c:v>
                </c:pt>
                <c:pt idx="255">
                  <c:v>1183.2053558709958</c:v>
                </c:pt>
                <c:pt idx="256">
                  <c:v>1179.1783350551555</c:v>
                </c:pt>
                <c:pt idx="257">
                  <c:v>1175.149441878375</c:v>
                </c:pt>
                <c:pt idx="258">
                  <c:v>1171.11917328441</c:v>
                </c:pt>
                <c:pt idx="259">
                  <c:v>1167.0880262160495</c:v>
                </c:pt>
                <c:pt idx="260">
                  <c:v>1163.0564976161963</c:v>
                </c:pt>
                <c:pt idx="261">
                  <c:v>1159.0250844282082</c:v>
                </c:pt>
                <c:pt idx="262">
                  <c:v>1154.9942835953857</c:v>
                </c:pt>
                <c:pt idx="263">
                  <c:v>1150.9645920600065</c:v>
                </c:pt>
                <c:pt idx="264">
                  <c:v>1146.9365067663944</c:v>
                </c:pt>
                <c:pt idx="265">
                  <c:v>1142.9105246566564</c:v>
                </c:pt>
                <c:pt idx="266">
                  <c:v>1138.8871426742639</c:v>
                </c:pt>
                <c:pt idx="267">
                  <c:v>1134.8668577622334</c:v>
                </c:pt>
                <c:pt idx="268">
                  <c:v>1130.8501668638655</c:v>
                </c:pt>
                <c:pt idx="269">
                  <c:v>1126.8375669220063</c:v>
                </c:pt>
                <c:pt idx="270">
                  <c:v>1122.829554879786</c:v>
                </c:pt>
                <c:pt idx="271">
                  <c:v>1118.8266276807326</c:v>
                </c:pt>
                <c:pt idx="272">
                  <c:v>1114.8292822671806</c:v>
                </c:pt>
                <c:pt idx="273">
                  <c:v>1110.8380155828286</c:v>
                </c:pt>
                <c:pt idx="274">
                  <c:v>1106.8533245705225</c:v>
                </c:pt>
                <c:pt idx="275">
                  <c:v>1102.8757061737338</c:v>
                </c:pt>
                <c:pt idx="276">
                  <c:v>1098.9056573349103</c:v>
                </c:pt>
                <c:pt idx="277">
                  <c:v>1094.9436749977508</c:v>
                </c:pt>
                <c:pt idx="278">
                  <c:v>1090.990256104817</c:v>
                </c:pt>
                <c:pt idx="279">
                  <c:v>1087.0458975996939</c:v>
                </c:pt>
                <c:pt idx="280">
                  <c:v>1083.1110964254549</c:v>
                </c:pt>
                <c:pt idx="281">
                  <c:v>1079.186349524889</c:v>
                </c:pt>
                <c:pt idx="282">
                  <c:v>1075.2721538411834</c:v>
                </c:pt>
                <c:pt idx="283">
                  <c:v>1071.3690063176955</c:v>
                </c:pt>
                <c:pt idx="284">
                  <c:v>1067.4774038973283</c:v>
                </c:pt>
                <c:pt idx="285">
                  <c:v>1063.5978435228139</c:v>
                </c:pt>
                <c:pt idx="286">
                  <c:v>1059.730822137908</c:v>
                </c:pt>
                <c:pt idx="287">
                  <c:v>1055.8768366855134</c:v>
                </c:pt>
                <c:pt idx="288">
                  <c:v>1052.0363841087601</c:v>
                </c:pt>
                <c:pt idx="289">
                  <c:v>1048.2099613504374</c:v>
                </c:pt>
                <c:pt idx="290">
                  <c:v>1044.3980653536755</c:v>
                </c:pt>
                <c:pt idx="291">
                  <c:v>1040.6011930618888</c:v>
                </c:pt>
                <c:pt idx="292">
                  <c:v>1036.8198414185485</c:v>
                </c:pt>
                <c:pt idx="293">
                  <c:v>1033.054507365307</c:v>
                </c:pt>
                <c:pt idx="294">
                  <c:v>1029.305687846886</c:v>
                </c:pt>
                <c:pt idx="295">
                  <c:v>1025.5738798053358</c:v>
                </c:pt>
                <c:pt idx="296">
                  <c:v>1021.8595801848096</c:v>
                </c:pt>
                <c:pt idx="297">
                  <c:v>1018.1632859268461</c:v>
                </c:pt>
                <c:pt idx="298">
                  <c:v>1014.4854939757693</c:v>
                </c:pt>
                <c:pt idx="299">
                  <c:v>1010.8267012743113</c:v>
                </c:pt>
                <c:pt idx="300">
                  <c:v>1007.1874047658298</c:v>
                </c:pt>
                <c:pt idx="301">
                  <c:v>1003.5681013932276</c:v>
                </c:pt>
                <c:pt idx="302">
                  <c:v>999.96928809923702</c:v>
                </c:pt>
                <c:pt idx="303">
                  <c:v>996.39146182744298</c:v>
                </c:pt>
                <c:pt idx="304">
                  <c:v>992.8351195204641</c:v>
                </c:pt>
                <c:pt idx="305">
                  <c:v>989.30075812268115</c:v>
                </c:pt>
                <c:pt idx="306">
                  <c:v>985.78887457495057</c:v>
                </c:pt>
                <c:pt idx="307">
                  <c:v>982.29996582296053</c:v>
                </c:pt>
                <c:pt idx="308">
                  <c:v>978.83452880739696</c:v>
                </c:pt>
                <c:pt idx="309">
                  <c:v>975.39306047320906</c:v>
                </c:pt>
                <c:pt idx="310">
                  <c:v>971.97605776273122</c:v>
                </c:pt>
                <c:pt idx="311">
                  <c:v>968.58401761869573</c:v>
                </c:pt>
                <c:pt idx="312">
                  <c:v>965.21743698491491</c:v>
                </c:pt>
                <c:pt idx="313">
                  <c:v>961.87681280440529</c:v>
                </c:pt>
                <c:pt idx="314">
                  <c:v>958.56264201950125</c:v>
                </c:pt>
                <c:pt idx="315">
                  <c:v>955.2754215742425</c:v>
                </c:pt>
                <c:pt idx="316">
                  <c:v>952.01564841130448</c:v>
                </c:pt>
                <c:pt idx="317">
                  <c:v>948.78381947370372</c:v>
                </c:pt>
                <c:pt idx="318">
                  <c:v>945.5804317049683</c:v>
                </c:pt>
                <c:pt idx="319">
                  <c:v>942.40598204748949</c:v>
                </c:pt>
                <c:pt idx="320">
                  <c:v>939.26096744490906</c:v>
                </c:pt>
                <c:pt idx="321">
                  <c:v>936.14588484064143</c:v>
                </c:pt>
                <c:pt idx="322">
                  <c:v>933.06123117650941</c:v>
                </c:pt>
                <c:pt idx="323">
                  <c:v>930.00750339689375</c:v>
                </c:pt>
                <c:pt idx="324">
                  <c:v>926.98519844424254</c:v>
                </c:pt>
                <c:pt idx="325">
                  <c:v>923.99481326242494</c:v>
                </c:pt>
                <c:pt idx="326">
                  <c:v>921.03684479366166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F-4DAD-B3CA-DEF31E75B136}"/>
            </c:ext>
          </c:extLst>
        </c:ser>
        <c:ser>
          <c:idx val="1"/>
          <c:order val="1"/>
          <c:tx>
            <c:v>krydstyr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tyr'!$H$3:$H$335</c:f>
              <c:numCache>
                <c:formatCode>#,##0</c:formatCode>
                <c:ptCount val="333"/>
                <c:pt idx="0">
                  <c:v>725.26566535665893</c:v>
                </c:pt>
                <c:pt idx="1">
                  <c:v>736.46703991337858</c:v>
                </c:pt>
                <c:pt idx="2">
                  <c:v>747.55247379457046</c:v>
                </c:pt>
                <c:pt idx="3">
                  <c:v>758.52242649338564</c:v>
                </c:pt>
                <c:pt idx="4">
                  <c:v>769.37735750287573</c:v>
                </c:pt>
                <c:pt idx="5">
                  <c:v>780.11772631613496</c:v>
                </c:pt>
                <c:pt idx="6">
                  <c:v>790.74399242625759</c:v>
                </c:pt>
                <c:pt idx="7">
                  <c:v>801.25661532635206</c:v>
                </c:pt>
                <c:pt idx="8">
                  <c:v>811.65605450951261</c:v>
                </c:pt>
                <c:pt idx="9">
                  <c:v>821.94276946883349</c:v>
                </c:pt>
                <c:pt idx="10">
                  <c:v>832.11721969738051</c:v>
                </c:pt>
                <c:pt idx="11">
                  <c:v>842.1798646882479</c:v>
                </c:pt>
                <c:pt idx="12">
                  <c:v>852.13116393461519</c:v>
                </c:pt>
                <c:pt idx="13">
                  <c:v>861.97157692946291</c:v>
                </c:pt>
                <c:pt idx="14">
                  <c:v>871.70156316595637</c:v>
                </c:pt>
                <c:pt idx="15">
                  <c:v>881.32158213714717</c:v>
                </c:pt>
                <c:pt idx="16">
                  <c:v>890.83209333614377</c:v>
                </c:pt>
                <c:pt idx="17">
                  <c:v>900.23355625606882</c:v>
                </c:pt>
                <c:pt idx="18">
                  <c:v>909.52643038998815</c:v>
                </c:pt>
                <c:pt idx="19">
                  <c:v>918.71117523098178</c:v>
                </c:pt>
                <c:pt idx="20">
                  <c:v>927.78825027217238</c:v>
                </c:pt>
                <c:pt idx="21">
                  <c:v>936.75811500665418</c:v>
                </c:pt>
                <c:pt idx="22">
                  <c:v>945.62122892750722</c:v>
                </c:pt>
                <c:pt idx="23">
                  <c:v>954.37805152781152</c:v>
                </c:pt>
                <c:pt idx="24">
                  <c:v>963.02904230068975</c:v>
                </c:pt>
                <c:pt idx="25">
                  <c:v>971.57466073922194</c:v>
                </c:pt>
                <c:pt idx="26">
                  <c:v>980.01536633651654</c:v>
                </c:pt>
                <c:pt idx="27">
                  <c:v>988.35161858562515</c:v>
                </c:pt>
                <c:pt idx="28">
                  <c:v>1063.9206254242879</c:v>
                </c:pt>
                <c:pt idx="29">
                  <c:v>1072.5985875666452</c:v>
                </c:pt>
                <c:pt idx="30">
                  <c:v>1081.166510321978</c:v>
                </c:pt>
                <c:pt idx="31">
                  <c:v>1089.6248842301902</c:v>
                </c:pt>
                <c:pt idx="32">
                  <c:v>1097.9741998312279</c:v>
                </c:pt>
                <c:pt idx="33">
                  <c:v>1106.2149476649806</c:v>
                </c:pt>
                <c:pt idx="34">
                  <c:v>1114.3476182714239</c:v>
                </c:pt>
                <c:pt idx="35">
                  <c:v>1122.3727021903896</c:v>
                </c:pt>
                <c:pt idx="36">
                  <c:v>1130.2906899618961</c:v>
                </c:pt>
                <c:pt idx="37">
                  <c:v>1138.1020721258324</c:v>
                </c:pt>
                <c:pt idx="38">
                  <c:v>1145.8073392221024</c:v>
                </c:pt>
                <c:pt idx="39">
                  <c:v>1153.4069817907239</c:v>
                </c:pt>
                <c:pt idx="40">
                  <c:v>1160.9014903714724</c:v>
                </c:pt>
                <c:pt idx="41">
                  <c:v>1168.2913555043797</c:v>
                </c:pt>
                <c:pt idx="42">
                  <c:v>1175.5770677293071</c:v>
                </c:pt>
                <c:pt idx="43">
                  <c:v>1182.7591175862722</c:v>
                </c:pt>
                <c:pt idx="44">
                  <c:v>1189.8379956151359</c:v>
                </c:pt>
                <c:pt idx="45">
                  <c:v>1196.8141923558023</c:v>
                </c:pt>
                <c:pt idx="46">
                  <c:v>1203.688198348189</c:v>
                </c:pt>
                <c:pt idx="47">
                  <c:v>1210.4605041323139</c:v>
                </c:pt>
                <c:pt idx="48">
                  <c:v>1217.1316002480239</c:v>
                </c:pt>
                <c:pt idx="49">
                  <c:v>1223.7019772352369</c:v>
                </c:pt>
                <c:pt idx="50">
                  <c:v>1230.1721256339279</c:v>
                </c:pt>
                <c:pt idx="51">
                  <c:v>1236.5425359840003</c:v>
                </c:pt>
                <c:pt idx="52">
                  <c:v>1242.8136988253159</c:v>
                </c:pt>
                <c:pt idx="53">
                  <c:v>1248.9861046979199</c:v>
                </c:pt>
                <c:pt idx="54">
                  <c:v>1255.0602441416886</c:v>
                </c:pt>
                <c:pt idx="55">
                  <c:v>1261.0366076963969</c:v>
                </c:pt>
                <c:pt idx="56">
                  <c:v>1266.9156859022905</c:v>
                </c:pt>
                <c:pt idx="57">
                  <c:v>1272.6979692990312</c:v>
                </c:pt>
                <c:pt idx="58">
                  <c:v>1278.3839484265513</c:v>
                </c:pt>
                <c:pt idx="59">
                  <c:v>1283.9741138249678</c:v>
                </c:pt>
                <c:pt idx="60">
                  <c:v>1289.468956033943</c:v>
                </c:pt>
                <c:pt idx="61">
                  <c:v>1294.8689655936221</c:v>
                </c:pt>
                <c:pt idx="62">
                  <c:v>1300.1746330438948</c:v>
                </c:pt>
                <c:pt idx="63">
                  <c:v>1305.3864489245655</c:v>
                </c:pt>
                <c:pt idx="64">
                  <c:v>1310.5049037756089</c:v>
                </c:pt>
                <c:pt idx="65">
                  <c:v>1315.530488137</c:v>
                </c:pt>
                <c:pt idx="66">
                  <c:v>1320.4636925487421</c:v>
                </c:pt>
                <c:pt idx="67">
                  <c:v>1325.3050075504689</c:v>
                </c:pt>
                <c:pt idx="68">
                  <c:v>1330.0549236824395</c:v>
                </c:pt>
                <c:pt idx="69">
                  <c:v>1334.713931484373</c:v>
                </c:pt>
                <c:pt idx="70">
                  <c:v>1339.2825214962158</c:v>
                </c:pt>
                <c:pt idx="71">
                  <c:v>1343.7611842579713</c:v>
                </c:pt>
                <c:pt idx="72">
                  <c:v>1348.1504103095574</c:v>
                </c:pt>
                <c:pt idx="73">
                  <c:v>1352.4506901907785</c:v>
                </c:pt>
                <c:pt idx="74">
                  <c:v>1356.6625144416662</c:v>
                </c:pt>
                <c:pt idx="75">
                  <c:v>1360.7863736021102</c:v>
                </c:pt>
                <c:pt idx="76">
                  <c:v>1364.8227582121422</c:v>
                </c:pt>
                <c:pt idx="77">
                  <c:v>1368.7721588114812</c:v>
                </c:pt>
                <c:pt idx="78">
                  <c:v>1390.010193357142</c:v>
                </c:pt>
                <c:pt idx="79">
                  <c:v>1393.8349064690385</c:v>
                </c:pt>
                <c:pt idx="80">
                  <c:v>1397.5730247547631</c:v>
                </c:pt>
                <c:pt idx="81">
                  <c:v>1401.2250449637236</c:v>
                </c:pt>
                <c:pt idx="82">
                  <c:v>1404.7914638449868</c:v>
                </c:pt>
                <c:pt idx="83">
                  <c:v>1408.2727781481026</c:v>
                </c:pt>
                <c:pt idx="84">
                  <c:v>1411.6694846221662</c:v>
                </c:pt>
                <c:pt idx="85">
                  <c:v>1414.9820800166424</c:v>
                </c:pt>
                <c:pt idx="86">
                  <c:v>1418.2110610806262</c:v>
                </c:pt>
                <c:pt idx="87">
                  <c:v>1421.356924563554</c:v>
                </c:pt>
                <c:pt idx="88">
                  <c:v>1424.4201672147199</c:v>
                </c:pt>
                <c:pt idx="89">
                  <c:v>1427.4012857832759</c:v>
                </c:pt>
                <c:pt idx="90">
                  <c:v>1430.3007770186298</c:v>
                </c:pt>
                <c:pt idx="91">
                  <c:v>1433.1191376701327</c:v>
                </c:pt>
                <c:pt idx="92">
                  <c:v>1435.856864486766</c:v>
                </c:pt>
                <c:pt idx="93">
                  <c:v>1438.514454218307</c:v>
                </c:pt>
                <c:pt idx="94">
                  <c:v>1441.0924036137089</c:v>
                </c:pt>
                <c:pt idx="95">
                  <c:v>1443.5912094221806</c:v>
                </c:pt>
                <c:pt idx="96">
                  <c:v>1446.0113683933571</c:v>
                </c:pt>
                <c:pt idx="97">
                  <c:v>1448.3533772761916</c:v>
                </c:pt>
                <c:pt idx="98">
                  <c:v>1450.6177328202625</c:v>
                </c:pt>
                <c:pt idx="99">
                  <c:v>1452.8049317746365</c:v>
                </c:pt>
                <c:pt idx="100">
                  <c:v>1454.9154708886647</c:v>
                </c:pt>
                <c:pt idx="101">
                  <c:v>1456.9498469117264</c:v>
                </c:pt>
                <c:pt idx="102">
                  <c:v>1458.908556593002</c:v>
                </c:pt>
                <c:pt idx="103">
                  <c:v>1460.792096681871</c:v>
                </c:pt>
                <c:pt idx="104">
                  <c:v>1462.6009639275992</c:v>
                </c:pt>
                <c:pt idx="105">
                  <c:v>1464.3356550794238</c:v>
                </c:pt>
                <c:pt idx="106">
                  <c:v>1465.9966668866105</c:v>
                </c:pt>
                <c:pt idx="107">
                  <c:v>1467.5844960985671</c:v>
                </c:pt>
                <c:pt idx="108">
                  <c:v>1469.0996394645595</c:v>
                </c:pt>
                <c:pt idx="109">
                  <c:v>1470.5425937338248</c:v>
                </c:pt>
                <c:pt idx="110">
                  <c:v>1471.9138556556004</c:v>
                </c:pt>
                <c:pt idx="111">
                  <c:v>1473.213921979351</c:v>
                </c:pt>
                <c:pt idx="112">
                  <c:v>1474.4432894543138</c:v>
                </c:pt>
                <c:pt idx="113">
                  <c:v>1475.6024548296409</c:v>
                </c:pt>
                <c:pt idx="114">
                  <c:v>1476.6919148547117</c:v>
                </c:pt>
                <c:pt idx="115">
                  <c:v>1477.7121662788488</c:v>
                </c:pt>
                <c:pt idx="116">
                  <c:v>1478.6637058513463</c:v>
                </c:pt>
                <c:pt idx="117">
                  <c:v>1479.5470303213563</c:v>
                </c:pt>
                <c:pt idx="118">
                  <c:v>1480.3626364384002</c:v>
                </c:pt>
                <c:pt idx="119">
                  <c:v>1481.1110209516585</c:v>
                </c:pt>
                <c:pt idx="120">
                  <c:v>1481.7926806102548</c:v>
                </c:pt>
                <c:pt idx="121">
                  <c:v>1482.4081121638812</c:v>
                </c:pt>
                <c:pt idx="122">
                  <c:v>1482.9578123612919</c:v>
                </c:pt>
                <c:pt idx="123">
                  <c:v>1483.4422779522356</c:v>
                </c:pt>
                <c:pt idx="124">
                  <c:v>1483.8620056859497</c:v>
                </c:pt>
                <c:pt idx="125">
                  <c:v>1484.2174923113589</c:v>
                </c:pt>
                <c:pt idx="126">
                  <c:v>1484.5092345781552</c:v>
                </c:pt>
                <c:pt idx="127">
                  <c:v>1484.7377292354054</c:v>
                </c:pt>
                <c:pt idx="128">
                  <c:v>1484.9034730326025</c:v>
                </c:pt>
                <c:pt idx="129">
                  <c:v>1485.0069627188134</c:v>
                </c:pt>
                <c:pt idx="130">
                  <c:v>1485.0486950433606</c:v>
                </c:pt>
                <c:pt idx="131">
                  <c:v>1485.0291667556803</c:v>
                </c:pt>
                <c:pt idx="132">
                  <c:v>1484.9488746051236</c:v>
                </c:pt>
                <c:pt idx="133">
                  <c:v>1484.8083153405582</c:v>
                </c:pt>
                <c:pt idx="134">
                  <c:v>1484.6079857117331</c:v>
                </c:pt>
                <c:pt idx="135">
                  <c:v>1484.3483824678287</c:v>
                </c:pt>
                <c:pt idx="136">
                  <c:v>1484.0300023578834</c:v>
                </c:pt>
                <c:pt idx="137">
                  <c:v>1483.6533421314186</c:v>
                </c:pt>
                <c:pt idx="138">
                  <c:v>1483.2188985377286</c:v>
                </c:pt>
                <c:pt idx="139">
                  <c:v>1482.7271683261358</c:v>
                </c:pt>
                <c:pt idx="140">
                  <c:v>1482.1786482457355</c:v>
                </c:pt>
                <c:pt idx="141">
                  <c:v>1481.5738350459355</c:v>
                </c:pt>
                <c:pt idx="142">
                  <c:v>1480.9132254760868</c:v>
                </c:pt>
                <c:pt idx="143">
                  <c:v>1480.1973162853415</c:v>
                </c:pt>
                <c:pt idx="144">
                  <c:v>1479.4266042231072</c:v>
                </c:pt>
                <c:pt idx="145">
                  <c:v>1478.601586038792</c:v>
                </c:pt>
                <c:pt idx="146">
                  <c:v>1477.7227584813204</c:v>
                </c:pt>
                <c:pt idx="147">
                  <c:v>1476.7906183001287</c:v>
                </c:pt>
                <c:pt idx="148">
                  <c:v>1475.8056622447384</c:v>
                </c:pt>
                <c:pt idx="149">
                  <c:v>1474.76838706433</c:v>
                </c:pt>
                <c:pt idx="150">
                  <c:v>1473.6792895079134</c:v>
                </c:pt>
                <c:pt idx="151">
                  <c:v>1472.5388663252943</c:v>
                </c:pt>
                <c:pt idx="152">
                  <c:v>1471.3476142651416</c:v>
                </c:pt>
                <c:pt idx="153">
                  <c:v>1470.1060300773747</c:v>
                </c:pt>
                <c:pt idx="154">
                  <c:v>1468.8146105108899</c:v>
                </c:pt>
                <c:pt idx="155">
                  <c:v>1467.4738523149813</c:v>
                </c:pt>
                <c:pt idx="156">
                  <c:v>1466.0842522390567</c:v>
                </c:pt>
                <c:pt idx="157">
                  <c:v>1464.6463070324671</c:v>
                </c:pt>
                <c:pt idx="158">
                  <c:v>1463.1605134443362</c:v>
                </c:pt>
                <c:pt idx="159">
                  <c:v>1461.6273682241854</c:v>
                </c:pt>
                <c:pt idx="160">
                  <c:v>1460.0473681208541</c:v>
                </c:pt>
                <c:pt idx="161">
                  <c:v>1458.4210098844324</c:v>
                </c:pt>
                <c:pt idx="162">
                  <c:v>1456.748790263191</c:v>
                </c:pt>
                <c:pt idx="163">
                  <c:v>1455.031206007277</c:v>
                </c:pt>
                <c:pt idx="164">
                  <c:v>1453.2687538654727</c:v>
                </c:pt>
                <c:pt idx="165">
                  <c:v>1451.4619305872998</c:v>
                </c:pt>
                <c:pt idx="166">
                  <c:v>1449.6112329222228</c:v>
                </c:pt>
                <c:pt idx="167">
                  <c:v>1468.0275704316728</c:v>
                </c:pt>
                <c:pt idx="168">
                  <c:v>1518.0692114986414</c:v>
                </c:pt>
                <c:pt idx="169">
                  <c:v>1515.9909041512378</c:v>
                </c:pt>
                <c:pt idx="170">
                  <c:v>1513.8686150442027</c:v>
                </c:pt>
                <c:pt idx="171">
                  <c:v>1511.7028657645051</c:v>
                </c:pt>
                <c:pt idx="172">
                  <c:v>1509.4941778991142</c:v>
                </c:pt>
                <c:pt idx="173">
                  <c:v>1507.2430730340898</c:v>
                </c:pt>
                <c:pt idx="174">
                  <c:v>1504.9500727569693</c:v>
                </c:pt>
                <c:pt idx="175">
                  <c:v>1502.6156986539263</c:v>
                </c:pt>
                <c:pt idx="176">
                  <c:v>1500.2404723120435</c:v>
                </c:pt>
                <c:pt idx="177">
                  <c:v>1497.8249153180627</c:v>
                </c:pt>
                <c:pt idx="178">
                  <c:v>1495.3695492585553</c:v>
                </c:pt>
                <c:pt idx="179">
                  <c:v>1492.8748957203197</c:v>
                </c:pt>
                <c:pt idx="180">
                  <c:v>1490.3414762902685</c:v>
                </c:pt>
                <c:pt idx="181">
                  <c:v>1487.7698125550296</c:v>
                </c:pt>
                <c:pt idx="182">
                  <c:v>1485.1604261014018</c:v>
                </c:pt>
                <c:pt idx="183">
                  <c:v>1482.5138385162404</c:v>
                </c:pt>
                <c:pt idx="184">
                  <c:v>1479.8305713860032</c:v>
                </c:pt>
                <c:pt idx="185">
                  <c:v>1477.1111462976592</c:v>
                </c:pt>
                <c:pt idx="186">
                  <c:v>1474.3560848380071</c:v>
                </c:pt>
                <c:pt idx="187">
                  <c:v>1471.5659085936181</c:v>
                </c:pt>
                <c:pt idx="188">
                  <c:v>1468.7411391515752</c:v>
                </c:pt>
                <c:pt idx="189">
                  <c:v>1465.8822980981085</c:v>
                </c:pt>
                <c:pt idx="190">
                  <c:v>1462.9899070204715</c:v>
                </c:pt>
                <c:pt idx="191">
                  <c:v>1460.0644875052922</c:v>
                </c:pt>
                <c:pt idx="192">
                  <c:v>1457.106561139085</c:v>
                </c:pt>
                <c:pt idx="193">
                  <c:v>1454.116649508876</c:v>
                </c:pt>
                <c:pt idx="194">
                  <c:v>1451.0952742013501</c:v>
                </c:pt>
                <c:pt idx="195">
                  <c:v>1448.0429568031354</c:v>
                </c:pt>
                <c:pt idx="196">
                  <c:v>1444.9602189012012</c:v>
                </c:pt>
                <c:pt idx="197">
                  <c:v>1441.8475820822891</c:v>
                </c:pt>
                <c:pt idx="198">
                  <c:v>1438.7055679327432</c:v>
                </c:pt>
                <c:pt idx="199">
                  <c:v>1435.5346980398167</c:v>
                </c:pt>
                <c:pt idx="200">
                  <c:v>1432.3354939903652</c:v>
                </c:pt>
                <c:pt idx="201">
                  <c:v>1429.1084773703346</c:v>
                </c:pt>
                <c:pt idx="202">
                  <c:v>1425.8541697672058</c:v>
                </c:pt>
                <c:pt idx="203">
                  <c:v>1422.5730927676068</c:v>
                </c:pt>
                <c:pt idx="204">
                  <c:v>1419.2657679583931</c:v>
                </c:pt>
                <c:pt idx="205">
                  <c:v>1415.9327169257381</c:v>
                </c:pt>
                <c:pt idx="206">
                  <c:v>1412.5744612571225</c:v>
                </c:pt>
                <c:pt idx="207">
                  <c:v>1409.1915225389471</c:v>
                </c:pt>
                <c:pt idx="208">
                  <c:v>1405.7844223577263</c:v>
                </c:pt>
                <c:pt idx="209">
                  <c:v>1402.3536823009408</c:v>
                </c:pt>
                <c:pt idx="210">
                  <c:v>1398.8998239545367</c:v>
                </c:pt>
                <c:pt idx="211">
                  <c:v>1395.4233689057673</c:v>
                </c:pt>
                <c:pt idx="212">
                  <c:v>1391.9248387413177</c:v>
                </c:pt>
                <c:pt idx="213">
                  <c:v>1388.4047550477021</c:v>
                </c:pt>
                <c:pt idx="214">
                  <c:v>1384.8636394120604</c:v>
                </c:pt>
                <c:pt idx="215">
                  <c:v>1381.30201342085</c:v>
                </c:pt>
                <c:pt idx="216">
                  <c:v>1377.7203986608697</c:v>
                </c:pt>
                <c:pt idx="217">
                  <c:v>1374.1193167189749</c:v>
                </c:pt>
                <c:pt idx="218">
                  <c:v>1370.4992891818506</c:v>
                </c:pt>
                <c:pt idx="219">
                  <c:v>1366.8608376363522</c:v>
                </c:pt>
                <c:pt idx="220">
                  <c:v>1363.2044836689374</c:v>
                </c:pt>
                <c:pt idx="221">
                  <c:v>1359.5307488668595</c:v>
                </c:pt>
                <c:pt idx="222">
                  <c:v>1355.8401548163488</c:v>
                </c:pt>
                <c:pt idx="223">
                  <c:v>1352.1332231045449</c:v>
                </c:pt>
                <c:pt idx="224">
                  <c:v>1348.4104753178485</c:v>
                </c:pt>
                <c:pt idx="225">
                  <c:v>1344.6724330436268</c:v>
                </c:pt>
                <c:pt idx="226">
                  <c:v>1340.9196178679395</c:v>
                </c:pt>
                <c:pt idx="227">
                  <c:v>1337.1525513778693</c:v>
                </c:pt>
                <c:pt idx="228">
                  <c:v>1333.371755160158</c:v>
                </c:pt>
                <c:pt idx="229">
                  <c:v>1329.5777508015476</c:v>
                </c:pt>
                <c:pt idx="230">
                  <c:v>1325.7710598887229</c:v>
                </c:pt>
                <c:pt idx="231">
                  <c:v>1321.9522040087668</c:v>
                </c:pt>
                <c:pt idx="232">
                  <c:v>1318.1217047477958</c:v>
                </c:pt>
                <c:pt idx="233">
                  <c:v>1314.2800836931769</c:v>
                </c:pt>
                <c:pt idx="234">
                  <c:v>1310.4278624314816</c:v>
                </c:pt>
                <c:pt idx="235">
                  <c:v>1306.5655625491672</c:v>
                </c:pt>
                <c:pt idx="236">
                  <c:v>1302.6937056334873</c:v>
                </c:pt>
                <c:pt idx="237">
                  <c:v>1298.812813270672</c:v>
                </c:pt>
                <c:pt idx="238">
                  <c:v>1294.9234070480884</c:v>
                </c:pt>
                <c:pt idx="239">
                  <c:v>1291.0260085520235</c:v>
                </c:pt>
                <c:pt idx="240">
                  <c:v>1287.1211393692192</c:v>
                </c:pt>
                <c:pt idx="241">
                  <c:v>1283.209321086531</c:v>
                </c:pt>
                <c:pt idx="242">
                  <c:v>1279.2910752911553</c:v>
                </c:pt>
                <c:pt idx="243">
                  <c:v>1275.366923569095</c:v>
                </c:pt>
                <c:pt idx="244">
                  <c:v>1271.4373875076035</c:v>
                </c:pt>
                <c:pt idx="245">
                  <c:v>1267.5029886931952</c:v>
                </c:pt>
                <c:pt idx="246">
                  <c:v>1263.5642487126688</c:v>
                </c:pt>
                <c:pt idx="247">
                  <c:v>1259.621689153164</c:v>
                </c:pt>
                <c:pt idx="248">
                  <c:v>1255.6758316007972</c:v>
                </c:pt>
                <c:pt idx="249">
                  <c:v>1251.7271976426514</c:v>
                </c:pt>
                <c:pt idx="250">
                  <c:v>1247.7763088657525</c:v>
                </c:pt>
                <c:pt idx="251">
                  <c:v>1243.8236868558761</c:v>
                </c:pt>
                <c:pt idx="252">
                  <c:v>1239.8698532014123</c:v>
                </c:pt>
                <c:pt idx="253">
                  <c:v>1235.9153294874545</c:v>
                </c:pt>
                <c:pt idx="254">
                  <c:v>1231.9606373018246</c:v>
                </c:pt>
                <c:pt idx="255">
                  <c:v>1228.0062982308095</c:v>
                </c:pt>
                <c:pt idx="256">
                  <c:v>1224.0528338610375</c:v>
                </c:pt>
                <c:pt idx="257">
                  <c:v>1220.1007657801597</c:v>
                </c:pt>
                <c:pt idx="258">
                  <c:v>1216.1506155736674</c:v>
                </c:pt>
                <c:pt idx="259">
                  <c:v>1212.202904829212</c:v>
                </c:pt>
                <c:pt idx="260">
                  <c:v>1208.2581551331373</c:v>
                </c:pt>
                <c:pt idx="261">
                  <c:v>1204.3168880725261</c:v>
                </c:pt>
                <c:pt idx="262">
                  <c:v>1200.3796252337793</c:v>
                </c:pt>
                <c:pt idx="263">
                  <c:v>1196.4468882035817</c:v>
                </c:pt>
                <c:pt idx="264">
                  <c:v>1192.5191985694141</c:v>
                </c:pt>
                <c:pt idx="265">
                  <c:v>1188.5970779172794</c:v>
                </c:pt>
                <c:pt idx="266">
                  <c:v>1184.6810478340331</c:v>
                </c:pt>
                <c:pt idx="267">
                  <c:v>1180.7716299067579</c:v>
                </c:pt>
                <c:pt idx="268">
                  <c:v>1176.8693457221957</c:v>
                </c:pt>
                <c:pt idx="269">
                  <c:v>1172.9747168665767</c:v>
                </c:pt>
                <c:pt idx="270">
                  <c:v>1169.0882649273817</c:v>
                </c:pt>
                <c:pt idx="271">
                  <c:v>1165.2105114906703</c:v>
                </c:pt>
                <c:pt idx="272">
                  <c:v>1161.3419781438097</c:v>
                </c:pt>
                <c:pt idx="273">
                  <c:v>1157.4831864732573</c:v>
                </c:pt>
                <c:pt idx="274">
                  <c:v>1153.6346580655845</c:v>
                </c:pt>
                <c:pt idx="275">
                  <c:v>1149.7969145077036</c:v>
                </c:pt>
                <c:pt idx="276">
                  <c:v>1145.9704773865838</c:v>
                </c:pt>
                <c:pt idx="277">
                  <c:v>1142.1558682890236</c:v>
                </c:pt>
                <c:pt idx="278">
                  <c:v>1138.353608801367</c:v>
                </c:pt>
                <c:pt idx="279">
                  <c:v>1134.5642205105833</c:v>
                </c:pt>
                <c:pt idx="280">
                  <c:v>1130.7882250029024</c:v>
                </c:pt>
                <c:pt idx="281">
                  <c:v>1127.0261438664875</c:v>
                </c:pt>
                <c:pt idx="282">
                  <c:v>1123.2784986867159</c:v>
                </c:pt>
                <c:pt idx="283">
                  <c:v>1119.5458110510117</c:v>
                </c:pt>
                <c:pt idx="284">
                  <c:v>1115.8286025456619</c:v>
                </c:pt>
                <c:pt idx="285">
                  <c:v>1112.1273947579198</c:v>
                </c:pt>
                <c:pt idx="286">
                  <c:v>1108.4427092744136</c:v>
                </c:pt>
                <c:pt idx="287">
                  <c:v>1104.7750676814871</c:v>
                </c:pt>
                <c:pt idx="288">
                  <c:v>1101.1249915665644</c:v>
                </c:pt>
                <c:pt idx="289">
                  <c:v>1097.4930025156482</c:v>
                </c:pt>
                <c:pt idx="290">
                  <c:v>1093.8796221165035</c:v>
                </c:pt>
                <c:pt idx="291">
                  <c:v>1090.2853719546783</c:v>
                </c:pt>
                <c:pt idx="292">
                  <c:v>1086.7107736178241</c:v>
                </c:pt>
                <c:pt idx="293">
                  <c:v>1083.1563486922278</c:v>
                </c:pt>
                <c:pt idx="294">
                  <c:v>1079.6226187653133</c:v>
                </c:pt>
                <c:pt idx="295">
                  <c:v>1076.1101054226856</c:v>
                </c:pt>
                <c:pt idx="296">
                  <c:v>1072.6193302521665</c:v>
                </c:pt>
                <c:pt idx="297">
                  <c:v>1069.150814840043</c:v>
                </c:pt>
                <c:pt idx="298">
                  <c:v>1065.7050807731707</c:v>
                </c:pt>
                <c:pt idx="299">
                  <c:v>1062.2826496380071</c:v>
                </c:pt>
                <c:pt idx="300">
                  <c:v>1058.8840430218625</c:v>
                </c:pt>
                <c:pt idx="301">
                  <c:v>1055.5097825108533</c:v>
                </c:pt>
                <c:pt idx="302">
                  <c:v>1052.1603896924603</c:v>
                </c:pt>
                <c:pt idx="303">
                  <c:v>1048.8363861530843</c:v>
                </c:pt>
                <c:pt idx="304">
                  <c:v>1045.5382934787849</c:v>
                </c:pt>
                <c:pt idx="305">
                  <c:v>1042.2666332580661</c:v>
                </c:pt>
                <c:pt idx="306">
                  <c:v>1039.0219270756234</c:v>
                </c:pt>
                <c:pt idx="307">
                  <c:v>1035.8046965196195</c:v>
                </c:pt>
                <c:pt idx="308">
                  <c:v>1032.6154631763416</c:v>
                </c:pt>
                <c:pt idx="309">
                  <c:v>1029.4547486324177</c:v>
                </c:pt>
                <c:pt idx="310">
                  <c:v>1026.3230744751581</c:v>
                </c:pt>
                <c:pt idx="311">
                  <c:v>1023.2209622903952</c:v>
                </c:pt>
                <c:pt idx="312">
                  <c:v>1020.1489336660075</c:v>
                </c:pt>
                <c:pt idx="313">
                  <c:v>1017.1075101877136</c:v>
                </c:pt>
                <c:pt idx="314">
                  <c:v>1014.097213442767</c:v>
                </c:pt>
                <c:pt idx="315">
                  <c:v>1011.1185650178527</c:v>
                </c:pt>
                <c:pt idx="316">
                  <c:v>1008.1720865002808</c:v>
                </c:pt>
                <c:pt idx="317">
                  <c:v>1005.258299475372</c:v>
                </c:pt>
                <c:pt idx="318">
                  <c:v>1002.3777255318009</c:v>
                </c:pt>
                <c:pt idx="319">
                  <c:v>999.5308862542629</c:v>
                </c:pt>
                <c:pt idx="320">
                  <c:v>996.71830323126187</c:v>
                </c:pt>
                <c:pt idx="321">
                  <c:v>993.94049804874385</c:v>
                </c:pt>
                <c:pt idx="322">
                  <c:v>991.19799229322325</c:v>
                </c:pt>
                <c:pt idx="323">
                  <c:v>988.49130755223769</c:v>
                </c:pt>
                <c:pt idx="324">
                  <c:v>985.82096541156261</c:v>
                </c:pt>
                <c:pt idx="325">
                  <c:v>983.18748745924722</c:v>
                </c:pt>
                <c:pt idx="326">
                  <c:v>980.59139528049855</c:v>
                </c:pt>
                <c:pt idx="327">
                  <c:v>978.03321046336578</c:v>
                </c:pt>
                <c:pt idx="328">
                  <c:v>975.51345459373806</c:v>
                </c:pt>
                <c:pt idx="329">
                  <c:v>973.03264925949406</c:v>
                </c:pt>
                <c:pt idx="330">
                  <c:v>970.59131604567028</c:v>
                </c:pt>
                <c:pt idx="331">
                  <c:v>968.18997654031591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3-42A5-BA72-CE7DEF4DD13E}"/>
            </c:ext>
          </c:extLst>
        </c:ser>
        <c:ser>
          <c:idx val="2"/>
          <c:order val="2"/>
          <c:tx>
            <c:v>krydskvie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kvie'!$H$3:$H$335</c:f>
              <c:numCache>
                <c:formatCode>#,##0</c:formatCode>
                <c:ptCount val="333"/>
                <c:pt idx="0">
                  <c:v>659.98472523307328</c:v>
                </c:pt>
                <c:pt idx="1">
                  <c:v>671.43117753859372</c:v>
                </c:pt>
                <c:pt idx="2">
                  <c:v>682.75620077976384</c:v>
                </c:pt>
                <c:pt idx="3">
                  <c:v>693.96027467342947</c:v>
                </c:pt>
                <c:pt idx="4">
                  <c:v>705.04387893653586</c:v>
                </c:pt>
                <c:pt idx="5">
                  <c:v>716.00749328595725</c:v>
                </c:pt>
                <c:pt idx="6">
                  <c:v>726.8515974386105</c:v>
                </c:pt>
                <c:pt idx="7">
                  <c:v>737.5766711113414</c:v>
                </c:pt>
                <c:pt idx="8">
                  <c:v>748.18319402109523</c:v>
                </c:pt>
                <c:pt idx="9">
                  <c:v>758.67164588477465</c:v>
                </c:pt>
                <c:pt idx="10">
                  <c:v>769.04250641918281</c:v>
                </c:pt>
                <c:pt idx="11">
                  <c:v>779.29625534135027</c:v>
                </c:pt>
                <c:pt idx="12">
                  <c:v>789.4333723680802</c:v>
                </c:pt>
                <c:pt idx="13">
                  <c:v>799.45433721627523</c:v>
                </c:pt>
                <c:pt idx="14">
                  <c:v>809.35962960290908</c:v>
                </c:pt>
                <c:pt idx="15">
                  <c:v>819.14972924474228</c:v>
                </c:pt>
                <c:pt idx="16">
                  <c:v>828.82511585880536</c:v>
                </c:pt>
                <c:pt idx="17">
                  <c:v>838.38626916190151</c:v>
                </c:pt>
                <c:pt idx="18">
                  <c:v>847.83366887096179</c:v>
                </c:pt>
                <c:pt idx="19">
                  <c:v>857.16779470290305</c:v>
                </c:pt>
                <c:pt idx="20">
                  <c:v>866.38912637457111</c:v>
                </c:pt>
                <c:pt idx="21">
                  <c:v>875.49814360291123</c:v>
                </c:pt>
                <c:pt idx="22">
                  <c:v>884.49532610476922</c:v>
                </c:pt>
                <c:pt idx="23">
                  <c:v>893.38115359710457</c:v>
                </c:pt>
                <c:pt idx="24">
                  <c:v>902.15610579674888</c:v>
                </c:pt>
                <c:pt idx="25">
                  <c:v>910.82066242061899</c:v>
                </c:pt>
                <c:pt idx="26">
                  <c:v>919.37530318563176</c:v>
                </c:pt>
                <c:pt idx="27">
                  <c:v>927.82050780867564</c:v>
                </c:pt>
                <c:pt idx="28">
                  <c:v>974.21190868981</c:v>
                </c:pt>
                <c:pt idx="29">
                  <c:v>982.77414243524674</c:v>
                </c:pt>
                <c:pt idx="30">
                  <c:v>991.22398906784781</c:v>
                </c:pt>
                <c:pt idx="31">
                  <c:v>999.56194780507701</c:v>
                </c:pt>
                <c:pt idx="32">
                  <c:v>1007.7885178646255</c:v>
                </c:pt>
                <c:pt idx="33">
                  <c:v>1015.9041984639856</c:v>
                </c:pt>
                <c:pt idx="34">
                  <c:v>1023.9094888208484</c:v>
                </c:pt>
                <c:pt idx="35">
                  <c:v>1031.8048881527061</c:v>
                </c:pt>
                <c:pt idx="36">
                  <c:v>1039.5908956771932</c:v>
                </c:pt>
                <c:pt idx="37">
                  <c:v>1047.2680106118305</c:v>
                </c:pt>
                <c:pt idx="38">
                  <c:v>1054.8367321742803</c:v>
                </c:pt>
                <c:pt idx="39">
                  <c:v>1062.2975595820492</c:v>
                </c:pt>
                <c:pt idx="40">
                  <c:v>1069.6509920528001</c:v>
                </c:pt>
                <c:pt idx="41">
                  <c:v>1076.8975288040251</c:v>
                </c:pt>
                <c:pt idx="42">
                  <c:v>1084.0376690534158</c:v>
                </c:pt>
                <c:pt idx="43">
                  <c:v>1091.0719120184069</c:v>
                </c:pt>
                <c:pt idx="44">
                  <c:v>1098.0007569167328</c:v>
                </c:pt>
                <c:pt idx="45">
                  <c:v>1104.8247029658569</c:v>
                </c:pt>
                <c:pt idx="46">
                  <c:v>1111.5442493834989</c:v>
                </c:pt>
                <c:pt idx="47">
                  <c:v>1118.1598953870662</c:v>
                </c:pt>
                <c:pt idx="48">
                  <c:v>1146.6383929324309</c:v>
                </c:pt>
                <c:pt idx="49">
                  <c:v>1153.1729182379422</c:v>
                </c:pt>
                <c:pt idx="50">
                  <c:v>1159.6030407282285</c:v>
                </c:pt>
                <c:pt idx="51">
                  <c:v>1165.9292693713469</c:v>
                </c:pt>
                <c:pt idx="52">
                  <c:v>1172.152113135141</c:v>
                </c:pt>
                <c:pt idx="53">
                  <c:v>1178.2720809874832</c:v>
                </c:pt>
                <c:pt idx="54">
                  <c:v>1184.2896818964164</c:v>
                </c:pt>
                <c:pt idx="55">
                  <c:v>1190.2054248297702</c:v>
                </c:pt>
                <c:pt idx="56">
                  <c:v>1196.0198187555591</c:v>
                </c:pt>
                <c:pt idx="57">
                  <c:v>1201.7333726416409</c:v>
                </c:pt>
                <c:pt idx="58">
                  <c:v>1207.346595455931</c:v>
                </c:pt>
                <c:pt idx="59">
                  <c:v>1212.8599961664718</c:v>
                </c:pt>
                <c:pt idx="60">
                  <c:v>1218.2740837409797</c:v>
                </c:pt>
                <c:pt idx="61">
                  <c:v>1223.5893671476533</c:v>
                </c:pt>
                <c:pt idx="62">
                  <c:v>1228.8063553540951</c:v>
                </c:pt>
                <c:pt idx="63">
                  <c:v>1233.9255573286039</c:v>
                </c:pt>
                <c:pt idx="64">
                  <c:v>1238.9474820386965</c:v>
                </c:pt>
                <c:pt idx="65">
                  <c:v>1243.8726384526433</c:v>
                </c:pt>
                <c:pt idx="66">
                  <c:v>1248.7015355382312</c:v>
                </c:pt>
                <c:pt idx="67">
                  <c:v>1253.4346822633893</c:v>
                </c:pt>
                <c:pt idx="68">
                  <c:v>1258.0725875959615</c:v>
                </c:pt>
                <c:pt idx="69">
                  <c:v>1262.615760504076</c:v>
                </c:pt>
                <c:pt idx="70">
                  <c:v>1267.0647099554628</c:v>
                </c:pt>
                <c:pt idx="71">
                  <c:v>1271.4199449181933</c:v>
                </c:pt>
                <c:pt idx="72">
                  <c:v>1275.6819743599976</c:v>
                </c:pt>
                <c:pt idx="73">
                  <c:v>1279.8513072490891</c:v>
                </c:pt>
                <c:pt idx="74">
                  <c:v>1283.9284525531127</c:v>
                </c:pt>
                <c:pt idx="75">
                  <c:v>1287.9139192401681</c:v>
                </c:pt>
                <c:pt idx="76">
                  <c:v>1291.8082162781275</c:v>
                </c:pt>
                <c:pt idx="77">
                  <c:v>1295.6118526349769</c:v>
                </c:pt>
                <c:pt idx="78">
                  <c:v>1299.3253372784466</c:v>
                </c:pt>
                <c:pt idx="79">
                  <c:v>1302.9491791766645</c:v>
                </c:pt>
                <c:pt idx="80">
                  <c:v>1306.4838872975031</c:v>
                </c:pt>
                <c:pt idx="81">
                  <c:v>1309.9299706089198</c:v>
                </c:pt>
                <c:pt idx="82">
                  <c:v>1313.2879380787585</c:v>
                </c:pt>
                <c:pt idx="83">
                  <c:v>1316.5582986748916</c:v>
                </c:pt>
                <c:pt idx="84">
                  <c:v>1319.7415613654755</c:v>
                </c:pt>
                <c:pt idx="85">
                  <c:v>1322.8382351182688</c:v>
                </c:pt>
                <c:pt idx="86">
                  <c:v>1325.8488289011723</c:v>
                </c:pt>
                <c:pt idx="87">
                  <c:v>1328.7738516822003</c:v>
                </c:pt>
                <c:pt idx="88">
                  <c:v>1331.6138124292536</c:v>
                </c:pt>
                <c:pt idx="89">
                  <c:v>1334.3692201102044</c:v>
                </c:pt>
                <c:pt idx="90">
                  <c:v>1337.0405836930388</c:v>
                </c:pt>
                <c:pt idx="91">
                  <c:v>1339.6284121457711</c:v>
                </c:pt>
                <c:pt idx="92">
                  <c:v>1342.1332144360463</c:v>
                </c:pt>
                <c:pt idx="93">
                  <c:v>1344.5554995320776</c:v>
                </c:pt>
                <c:pt idx="94">
                  <c:v>1346.8957764016807</c:v>
                </c:pt>
                <c:pt idx="95">
                  <c:v>1349.1545540127277</c:v>
                </c:pt>
                <c:pt idx="96">
                  <c:v>1351.3323413332614</c:v>
                </c:pt>
                <c:pt idx="97">
                  <c:v>1368.9863099440913</c:v>
                </c:pt>
                <c:pt idx="98">
                  <c:v>1371.0268313303118</c:v>
                </c:pt>
                <c:pt idx="99">
                  <c:v>1372.986975957275</c:v>
                </c:pt>
                <c:pt idx="100">
                  <c:v>1374.8672586434623</c:v>
                </c:pt>
                <c:pt idx="101">
                  <c:v>1376.6681942068715</c:v>
                </c:pt>
                <c:pt idx="102">
                  <c:v>1378.3902974655575</c:v>
                </c:pt>
                <c:pt idx="103">
                  <c:v>1380.0340832377174</c:v>
                </c:pt>
                <c:pt idx="104">
                  <c:v>1381.6000663414627</c:v>
                </c:pt>
                <c:pt idx="105">
                  <c:v>1383.0887615949621</c:v>
                </c:pt>
                <c:pt idx="106">
                  <c:v>1384.5006838163272</c:v>
                </c:pt>
                <c:pt idx="107">
                  <c:v>1385.8363478236413</c:v>
                </c:pt>
                <c:pt idx="108">
                  <c:v>1387.0962684351582</c:v>
                </c:pt>
                <c:pt idx="109">
                  <c:v>1388.2809604689044</c:v>
                </c:pt>
                <c:pt idx="110">
                  <c:v>1389.3909387430483</c:v>
                </c:pt>
                <c:pt idx="111">
                  <c:v>1390.426718075588</c:v>
                </c:pt>
                <c:pt idx="112">
                  <c:v>1391.3888132849479</c:v>
                </c:pt>
                <c:pt idx="113">
                  <c:v>1392.2777391890122</c:v>
                </c:pt>
                <c:pt idx="114">
                  <c:v>1393.0940106060348</c:v>
                </c:pt>
                <c:pt idx="115">
                  <c:v>1393.8381423541557</c:v>
                </c:pt>
                <c:pt idx="116">
                  <c:v>1394.5106492513162</c:v>
                </c:pt>
                <c:pt idx="117">
                  <c:v>1395.1120461158837</c:v>
                </c:pt>
                <c:pt idx="118">
                  <c:v>1395.6428477659131</c:v>
                </c:pt>
                <c:pt idx="119">
                  <c:v>1396.1035690194024</c:v>
                </c:pt>
                <c:pt idx="120">
                  <c:v>1396.4947246947474</c:v>
                </c:pt>
                <c:pt idx="121">
                  <c:v>1396.8168296098611</c:v>
                </c:pt>
                <c:pt idx="122">
                  <c:v>1397.0703985829118</c:v>
                </c:pt>
                <c:pt idx="123">
                  <c:v>1397.2559464321535</c:v>
                </c:pt>
                <c:pt idx="124">
                  <c:v>1397.3739879755556</c:v>
                </c:pt>
                <c:pt idx="125">
                  <c:v>1397.4250380314288</c:v>
                </c:pt>
                <c:pt idx="126">
                  <c:v>1397.4096114177428</c:v>
                </c:pt>
                <c:pt idx="127">
                  <c:v>1397.3282229526376</c:v>
                </c:pt>
                <c:pt idx="128">
                  <c:v>1397.181387454367</c:v>
                </c:pt>
                <c:pt idx="129">
                  <c:v>1396.9696197410428</c:v>
                </c:pt>
                <c:pt idx="130">
                  <c:v>1396.6934346304924</c:v>
                </c:pt>
                <c:pt idx="131">
                  <c:v>1406.9317813880104</c:v>
                </c:pt>
                <c:pt idx="132">
                  <c:v>1406.5252493057869</c:v>
                </c:pt>
                <c:pt idx="133">
                  <c:v>1406.0553679709358</c:v>
                </c:pt>
                <c:pt idx="134">
                  <c:v>1405.5226561016525</c:v>
                </c:pt>
                <c:pt idx="135">
                  <c:v>1404.9276324161042</c:v>
                </c:pt>
                <c:pt idx="136">
                  <c:v>1404.2708156325716</c:v>
                </c:pt>
                <c:pt idx="137">
                  <c:v>1403.5527244695345</c:v>
                </c:pt>
                <c:pt idx="138">
                  <c:v>1402.7738776449041</c:v>
                </c:pt>
                <c:pt idx="139">
                  <c:v>1401.9347938771887</c:v>
                </c:pt>
                <c:pt idx="140">
                  <c:v>1401.0359918847541</c:v>
                </c:pt>
                <c:pt idx="141">
                  <c:v>1446.5663991877307</c:v>
                </c:pt>
                <c:pt idx="142">
                  <c:v>1451.6575978762774</c:v>
                </c:pt>
                <c:pt idx="143">
                  <c:v>1450.5423458361122</c:v>
                </c:pt>
                <c:pt idx="144">
                  <c:v>1449.3672834009033</c:v>
                </c:pt>
                <c:pt idx="145">
                  <c:v>1448.1329487895778</c:v>
                </c:pt>
                <c:pt idx="146">
                  <c:v>1446.8398802210913</c:v>
                </c:pt>
                <c:pt idx="147">
                  <c:v>1445.4886159143996</c:v>
                </c:pt>
                <c:pt idx="148">
                  <c:v>1444.0796940884297</c:v>
                </c:pt>
                <c:pt idx="149">
                  <c:v>1442.613652962109</c:v>
                </c:pt>
                <c:pt idx="150">
                  <c:v>1441.0910307544498</c:v>
                </c:pt>
                <c:pt idx="151">
                  <c:v>1439.512365684493</c:v>
                </c:pt>
                <c:pt idx="152">
                  <c:v>1437.8781959709954</c:v>
                </c:pt>
                <c:pt idx="153">
                  <c:v>1436.1890598330547</c:v>
                </c:pt>
                <c:pt idx="154">
                  <c:v>1434.445495489598</c:v>
                </c:pt>
                <c:pt idx="155">
                  <c:v>1432.6480411596094</c:v>
                </c:pt>
                <c:pt idx="156">
                  <c:v>1430.7972350619593</c:v>
                </c:pt>
                <c:pt idx="157">
                  <c:v>1428.8936154156318</c:v>
                </c:pt>
                <c:pt idx="158">
                  <c:v>1426.9377204397529</c:v>
                </c:pt>
                <c:pt idx="159">
                  <c:v>1424.9300883528804</c:v>
                </c:pt>
                <c:pt idx="160">
                  <c:v>1422.8712573744247</c:v>
                </c:pt>
                <c:pt idx="161">
                  <c:v>1420.761765723114</c:v>
                </c:pt>
                <c:pt idx="162">
                  <c:v>1418.6021516178471</c:v>
                </c:pt>
                <c:pt idx="163">
                  <c:v>1416.3929532776933</c:v>
                </c:pt>
                <c:pt idx="164">
                  <c:v>1414.1347089216652</c:v>
                </c:pt>
                <c:pt idx="165">
                  <c:v>1411.8279567684908</c:v>
                </c:pt>
                <c:pt idx="166">
                  <c:v>1409.4732350373533</c:v>
                </c:pt>
                <c:pt idx="167">
                  <c:v>1407.0710819470946</c:v>
                </c:pt>
                <c:pt idx="168">
                  <c:v>1404.6220357167272</c:v>
                </c:pt>
                <c:pt idx="169">
                  <c:v>1402.1266345651497</c:v>
                </c:pt>
                <c:pt idx="170">
                  <c:v>1399.5854167113748</c:v>
                </c:pt>
                <c:pt idx="171">
                  <c:v>1396.9989203743012</c:v>
                </c:pt>
                <c:pt idx="172">
                  <c:v>1394.3676837728276</c:v>
                </c:pt>
                <c:pt idx="173">
                  <c:v>1391.6922451261939</c:v>
                </c:pt>
                <c:pt idx="174">
                  <c:v>1388.9731426530147</c:v>
                </c:pt>
                <c:pt idx="175">
                  <c:v>1386.210914572473</c:v>
                </c:pt>
                <c:pt idx="176">
                  <c:v>1383.4060991035244</c:v>
                </c:pt>
                <c:pt idx="177">
                  <c:v>1380.5592344646698</c:v>
                </c:pt>
                <c:pt idx="178">
                  <c:v>1377.6708588756037</c:v>
                </c:pt>
                <c:pt idx="179">
                  <c:v>1374.7415105548839</c:v>
                </c:pt>
                <c:pt idx="180">
                  <c:v>1371.7717277212955</c:v>
                </c:pt>
                <c:pt idx="181">
                  <c:v>1368.7620485942489</c:v>
                </c:pt>
                <c:pt idx="182">
                  <c:v>1365.7130113923586</c:v>
                </c:pt>
                <c:pt idx="183">
                  <c:v>1362.6251543345802</c:v>
                </c:pt>
                <c:pt idx="184">
                  <c:v>1359.4990156399263</c:v>
                </c:pt>
                <c:pt idx="185">
                  <c:v>1356.3351335275797</c:v>
                </c:pt>
                <c:pt idx="186">
                  <c:v>1353.1340462162689</c:v>
                </c:pt>
                <c:pt idx="187">
                  <c:v>1349.8962919247788</c:v>
                </c:pt>
                <c:pt idx="188">
                  <c:v>1346.6224088725198</c:v>
                </c:pt>
                <c:pt idx="189">
                  <c:v>1343.3129352781634</c:v>
                </c:pt>
                <c:pt idx="190">
                  <c:v>1339.9684093606083</c:v>
                </c:pt>
                <c:pt idx="191">
                  <c:v>1336.5893693389239</c:v>
                </c:pt>
                <c:pt idx="192">
                  <c:v>1333.1763534320658</c:v>
                </c:pt>
                <c:pt idx="193">
                  <c:v>1329.7298998589895</c:v>
                </c:pt>
                <c:pt idx="194">
                  <c:v>1326.2505468386507</c:v>
                </c:pt>
                <c:pt idx="195">
                  <c:v>1322.7388325899483</c:v>
                </c:pt>
                <c:pt idx="196">
                  <c:v>1319.1952953318946</c:v>
                </c:pt>
                <c:pt idx="197">
                  <c:v>1315.6204732835022</c:v>
                </c:pt>
                <c:pt idx="198">
                  <c:v>1312.0149046634992</c:v>
                </c:pt>
                <c:pt idx="199">
                  <c:v>1308.3791276912393</c:v>
                </c:pt>
                <c:pt idx="200">
                  <c:v>1304.7136805850528</c:v>
                </c:pt>
                <c:pt idx="201">
                  <c:v>1301.019101564691</c:v>
                </c:pt>
                <c:pt idx="202">
                  <c:v>1297.2959288484844</c:v>
                </c:pt>
                <c:pt idx="203">
                  <c:v>1293.5447006555023</c:v>
                </c:pt>
                <c:pt idx="204">
                  <c:v>1289.7659552050413</c:v>
                </c:pt>
                <c:pt idx="205">
                  <c:v>1285.9602307157161</c:v>
                </c:pt>
                <c:pt idx="206">
                  <c:v>1282.1280654066527</c:v>
                </c:pt>
                <c:pt idx="207">
                  <c:v>1278.2699974966363</c:v>
                </c:pt>
                <c:pt idx="208">
                  <c:v>1274.386565204793</c:v>
                </c:pt>
                <c:pt idx="209">
                  <c:v>1270.4783067499079</c:v>
                </c:pt>
                <c:pt idx="210">
                  <c:v>1266.5457603512209</c:v>
                </c:pt>
                <c:pt idx="211">
                  <c:v>1262.5894642274034</c:v>
                </c:pt>
                <c:pt idx="212">
                  <c:v>1258.6099565974109</c:v>
                </c:pt>
                <c:pt idx="213">
                  <c:v>1254.6077756805971</c:v>
                </c:pt>
                <c:pt idx="214">
                  <c:v>1250.5834596952354</c:v>
                </c:pt>
                <c:pt idx="215">
                  <c:v>1246.5375468609636</c:v>
                </c:pt>
                <c:pt idx="216">
                  <c:v>1242.47057539651</c:v>
                </c:pt>
                <c:pt idx="217">
                  <c:v>1238.3830835204321</c:v>
                </c:pt>
                <c:pt idx="218">
                  <c:v>1234.2756094524816</c:v>
                </c:pt>
                <c:pt idx="219">
                  <c:v>1230.1486914106476</c:v>
                </c:pt>
                <c:pt idx="220">
                  <c:v>1226.0028676147385</c:v>
                </c:pt>
                <c:pt idx="221">
                  <c:v>1221.8386762832552</c:v>
                </c:pt>
                <c:pt idx="222">
                  <c:v>1217.6566556353237</c:v>
                </c:pt>
                <c:pt idx="223">
                  <c:v>1213.457343889786</c:v>
                </c:pt>
                <c:pt idx="224">
                  <c:v>1209.2412792655978</c:v>
                </c:pt>
                <c:pt idx="225">
                  <c:v>1205.0089999818852</c:v>
                </c:pt>
                <c:pt idx="226">
                  <c:v>1200.7610442574901</c:v>
                </c:pt>
                <c:pt idx="227">
                  <c:v>1196.4979503112545</c:v>
                </c:pt>
                <c:pt idx="228">
                  <c:v>1192.2202563622477</c:v>
                </c:pt>
                <c:pt idx="229">
                  <c:v>1187.9285006295959</c:v>
                </c:pt>
                <c:pt idx="230">
                  <c:v>1183.6232213319136</c:v>
                </c:pt>
                <c:pt idx="231">
                  <c:v>1179.3049566885543</c:v>
                </c:pt>
                <c:pt idx="232">
                  <c:v>1174.9742449180758</c:v>
                </c:pt>
                <c:pt idx="233">
                  <c:v>1170.6316242397179</c:v>
                </c:pt>
                <c:pt idx="234">
                  <c:v>1166.2776328719815</c:v>
                </c:pt>
                <c:pt idx="235">
                  <c:v>1161.9128090343338</c:v>
                </c:pt>
                <c:pt idx="236">
                  <c:v>1157.5376909459578</c:v>
                </c:pt>
                <c:pt idx="237">
                  <c:v>1153.1528168248997</c:v>
                </c:pt>
                <c:pt idx="238">
                  <c:v>1148.7587248909108</c:v>
                </c:pt>
                <c:pt idx="239">
                  <c:v>1144.3559533626058</c:v>
                </c:pt>
                <c:pt idx="240">
                  <c:v>1139.9450404592244</c:v>
                </c:pt>
                <c:pt idx="241">
                  <c:v>1135.5265243988697</c:v>
                </c:pt>
                <c:pt idx="242">
                  <c:v>1131.1009434018615</c:v>
                </c:pt>
                <c:pt idx="243">
                  <c:v>1126.6688356859049</c:v>
                </c:pt>
                <c:pt idx="244">
                  <c:v>1122.2307394707514</c:v>
                </c:pt>
                <c:pt idx="245">
                  <c:v>1117.7871929748449</c:v>
                </c:pt>
                <c:pt idx="246">
                  <c:v>1113.3387344178232</c:v>
                </c:pt>
                <c:pt idx="247">
                  <c:v>1108.8859020176756</c:v>
                </c:pt>
                <c:pt idx="248">
                  <c:v>1104.4292339942672</c:v>
                </c:pt>
                <c:pt idx="249">
                  <c:v>1099.9692685658715</c:v>
                </c:pt>
                <c:pt idx="250">
                  <c:v>1095.5065439520126</c:v>
                </c:pt>
                <c:pt idx="251">
                  <c:v>1091.0415983711914</c:v>
                </c:pt>
                <c:pt idx="252">
                  <c:v>1086.574970042534</c:v>
                </c:pt>
                <c:pt idx="253">
                  <c:v>1082.1071971850529</c:v>
                </c:pt>
                <c:pt idx="254">
                  <c:v>1077.6388180178174</c:v>
                </c:pt>
                <c:pt idx="255">
                  <c:v>1073.170370759442</c:v>
                </c:pt>
                <c:pt idx="256">
                  <c:v>1068.7023936291098</c:v>
                </c:pt>
                <c:pt idx="257">
                  <c:v>1064.2354248456627</c:v>
                </c:pt>
                <c:pt idx="258">
                  <c:v>1059.7700026282268</c:v>
                </c:pt>
                <c:pt idx="259">
                  <c:v>1055.3066651956442</c:v>
                </c:pt>
                <c:pt idx="260">
                  <c:v>1050.8459507669272</c:v>
                </c:pt>
                <c:pt idx="261">
                  <c:v>1046.3883975610315</c:v>
                </c:pt>
                <c:pt idx="262">
                  <c:v>1041.9345437966285</c:v>
                </c:pt>
                <c:pt idx="263">
                  <c:v>1037.4849276930149</c:v>
                </c:pt>
                <c:pt idx="264">
                  <c:v>1033.0400874694305</c:v>
                </c:pt>
                <c:pt idx="265">
                  <c:v>1028.6005613438647</c:v>
                </c:pt>
                <c:pt idx="266">
                  <c:v>1024.1668875361825</c:v>
                </c:pt>
                <c:pt idx="267">
                  <c:v>1019.7396042650553</c:v>
                </c:pt>
                <c:pt idx="268">
                  <c:v>1015.3192497492114</c:v>
                </c:pt>
                <c:pt idx="269">
                  <c:v>1010.9063622078907</c:v>
                </c:pt>
                <c:pt idx="270">
                  <c:v>1006.5014798599918</c:v>
                </c:pt>
                <c:pt idx="271">
                  <c:v>1002.1051409243569</c:v>
                </c:pt>
                <c:pt idx="272">
                  <c:v>997.71788362016878</c:v>
                </c:pt>
                <c:pt idx="273">
                  <c:v>993.34024616609895</c:v>
                </c:pt>
                <c:pt idx="274">
                  <c:v>988.97276678144408</c:v>
                </c:pt>
                <c:pt idx="275">
                  <c:v>984.61598368442083</c:v>
                </c:pt>
                <c:pt idx="276">
                  <c:v>980.27043509506484</c:v>
                </c:pt>
                <c:pt idx="277">
                  <c:v>975.936659231877</c:v>
                </c:pt>
                <c:pt idx="278">
                  <c:v>971.61519431313081</c:v>
                </c:pt>
                <c:pt idx="279">
                  <c:v>967.30657855886193</c:v>
                </c:pt>
                <c:pt idx="280">
                  <c:v>963.01135018745754</c:v>
                </c:pt>
                <c:pt idx="281">
                  <c:v>958.73004741781642</c:v>
                </c:pt>
                <c:pt idx="282">
                  <c:v>954.4632084690079</c:v>
                </c:pt>
                <c:pt idx="283">
                  <c:v>950.21137156004443</c:v>
                </c:pt>
                <c:pt idx="284">
                  <c:v>945.97507491016586</c:v>
                </c:pt>
                <c:pt idx="285">
                  <c:v>941.75485673758885</c:v>
                </c:pt>
                <c:pt idx="286">
                  <c:v>937.55125526212169</c:v>
                </c:pt>
                <c:pt idx="287">
                  <c:v>933.36480870158312</c:v>
                </c:pt>
                <c:pt idx="288">
                  <c:v>929.19605527663407</c:v>
                </c:pt>
                <c:pt idx="289">
                  <c:v>925.04553320441119</c:v>
                </c:pt>
                <c:pt idx="290">
                  <c:v>920.91378070512064</c:v>
                </c:pt>
                <c:pt idx="291">
                  <c:v>916.80133599709279</c:v>
                </c:pt>
                <c:pt idx="292">
                  <c:v>912.70873729962432</c:v>
                </c:pt>
                <c:pt idx="293">
                  <c:v>908.63652283150032</c:v>
                </c:pt>
                <c:pt idx="294">
                  <c:v>904.58523081161957</c:v>
                </c:pt>
                <c:pt idx="295">
                  <c:v>900.55539945922192</c:v>
                </c:pt>
                <c:pt idx="296">
                  <c:v>896.54756699263771</c:v>
                </c:pt>
                <c:pt idx="297">
                  <c:v>892.56227163173207</c:v>
                </c:pt>
                <c:pt idx="298">
                  <c:v>888.60005159483535</c:v>
                </c:pt>
                <c:pt idx="299">
                  <c:v>884.6614451010737</c:v>
                </c:pt>
                <c:pt idx="300">
                  <c:v>880.74699036923221</c:v>
                </c:pt>
                <c:pt idx="301">
                  <c:v>876.85722561860757</c:v>
                </c:pt>
                <c:pt idx="302">
                  <c:v>872.99268906792804</c:v>
                </c:pt>
                <c:pt idx="303">
                  <c:v>869.15391893586502</c:v>
                </c:pt>
                <c:pt idx="304">
                  <c:v>865.34145344234048</c:v>
                </c:pt>
                <c:pt idx="305">
                  <c:v>861.55583080500264</c:v>
                </c:pt>
                <c:pt idx="306">
                  <c:v>857.79758924371663</c:v>
                </c:pt>
                <c:pt idx="307">
                  <c:v>854.06726697755175</c:v>
                </c:pt>
                <c:pt idx="308">
                  <c:v>850.36540222461099</c:v>
                </c:pt>
                <c:pt idx="309">
                  <c:v>846.69253320430471</c:v>
                </c:pt>
                <c:pt idx="310">
                  <c:v>843.04919813638435</c:v>
                </c:pt>
                <c:pt idx="311">
                  <c:v>839.43593523798654</c:v>
                </c:pt>
                <c:pt idx="312">
                  <c:v>835.85328272982906</c:v>
                </c:pt>
                <c:pt idx="313">
                  <c:v>832.3017788302991</c:v>
                </c:pt>
                <c:pt idx="314">
                  <c:v>828.78196175755647</c:v>
                </c:pt>
                <c:pt idx="315">
                  <c:v>825.29436973180736</c:v>
                </c:pt>
                <c:pt idx="316">
                  <c:v>821.83954097092737</c:v>
                </c:pt>
                <c:pt idx="317">
                  <c:v>818.41801369517952</c:v>
                </c:pt>
                <c:pt idx="318">
                  <c:v>815.03032612170045</c:v>
                </c:pt>
                <c:pt idx="319">
                  <c:v>811.67701647132162</c:v>
                </c:pt>
                <c:pt idx="320">
                  <c:v>808.35862296129335</c:v>
                </c:pt>
                <c:pt idx="321">
                  <c:v>805.07568381227657</c:v>
                </c:pt>
                <c:pt idx="322">
                  <c:v>801.82873724197634</c:v>
                </c:pt>
                <c:pt idx="323">
                  <c:v>798.61832146963252</c:v>
                </c:pt>
                <c:pt idx="324">
                  <c:v>795.44497471454179</c:v>
                </c:pt>
                <c:pt idx="325">
                  <c:v>792.30923519480712</c:v>
                </c:pt>
                <c:pt idx="326">
                  <c:v>789.21164113108944</c:v>
                </c:pt>
                <c:pt idx="327">
                  <c:v>786.15273074029801</c:v>
                </c:pt>
                <c:pt idx="328">
                  <c:v>783.13304224280955</c:v>
                </c:pt>
                <c:pt idx="329">
                  <c:v>780.15311385678388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3-42A5-BA72-CE7DEF4D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576528"/>
        <c:axId val="1131148032"/>
      </c:lineChart>
      <c:catAx>
        <c:axId val="1142576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31148032"/>
        <c:crosses val="autoZero"/>
        <c:auto val="1"/>
        <c:lblAlgn val="ctr"/>
        <c:lblOffset val="100"/>
        <c:noMultiLvlLbl val="0"/>
      </c:catAx>
      <c:valAx>
        <c:axId val="113114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425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Kr. pr. foderdag, Zoom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104474352645535E-2"/>
          <c:y val="0.23444951659523569"/>
          <c:w val="0.91156218615478979"/>
          <c:h val="0.63787155719459121"/>
        </c:manualLayout>
      </c:layout>
      <c:lineChart>
        <c:grouping val="standard"/>
        <c:varyColors val="0"/>
        <c:ser>
          <c:idx val="3"/>
          <c:order val="0"/>
          <c:tx>
            <c:v>hol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hol'!$A$212:$A$302</c15:sqref>
                  </c15:fullRef>
                </c:ext>
              </c:extLst>
              <c:f>('Vækstfunktion, hol'!$A$217:$A$218,'Vækstfunktion, hol'!$A$240:$A$302)</c:f>
              <c:numCache>
                <c:formatCode>General</c:formatCode>
                <c:ptCount val="65"/>
                <c:pt idx="0">
                  <c:v>215</c:v>
                </c:pt>
                <c:pt idx="1">
                  <c:v>216</c:v>
                </c:pt>
                <c:pt idx="2">
                  <c:v>238</c:v>
                </c:pt>
                <c:pt idx="3">
                  <c:v>239</c:v>
                </c:pt>
                <c:pt idx="4">
                  <c:v>240</c:v>
                </c:pt>
                <c:pt idx="5">
                  <c:v>241</c:v>
                </c:pt>
                <c:pt idx="6">
                  <c:v>242</c:v>
                </c:pt>
                <c:pt idx="7">
                  <c:v>243</c:v>
                </c:pt>
                <c:pt idx="8">
                  <c:v>244</c:v>
                </c:pt>
                <c:pt idx="9">
                  <c:v>245</c:v>
                </c:pt>
                <c:pt idx="10">
                  <c:v>246</c:v>
                </c:pt>
                <c:pt idx="11">
                  <c:v>247</c:v>
                </c:pt>
                <c:pt idx="12">
                  <c:v>248</c:v>
                </c:pt>
                <c:pt idx="13">
                  <c:v>249</c:v>
                </c:pt>
                <c:pt idx="14">
                  <c:v>250</c:v>
                </c:pt>
                <c:pt idx="15">
                  <c:v>251</c:v>
                </c:pt>
                <c:pt idx="16">
                  <c:v>252</c:v>
                </c:pt>
                <c:pt idx="17">
                  <c:v>253</c:v>
                </c:pt>
                <c:pt idx="18">
                  <c:v>254</c:v>
                </c:pt>
                <c:pt idx="19">
                  <c:v>255</c:v>
                </c:pt>
                <c:pt idx="20">
                  <c:v>256</c:v>
                </c:pt>
                <c:pt idx="21">
                  <c:v>257</c:v>
                </c:pt>
                <c:pt idx="22">
                  <c:v>258</c:v>
                </c:pt>
                <c:pt idx="23">
                  <c:v>259</c:v>
                </c:pt>
                <c:pt idx="24">
                  <c:v>260</c:v>
                </c:pt>
                <c:pt idx="25">
                  <c:v>261</c:v>
                </c:pt>
                <c:pt idx="26">
                  <c:v>262</c:v>
                </c:pt>
                <c:pt idx="27">
                  <c:v>263</c:v>
                </c:pt>
                <c:pt idx="28">
                  <c:v>264</c:v>
                </c:pt>
                <c:pt idx="29">
                  <c:v>265</c:v>
                </c:pt>
                <c:pt idx="30">
                  <c:v>266</c:v>
                </c:pt>
                <c:pt idx="31">
                  <c:v>267</c:v>
                </c:pt>
                <c:pt idx="32">
                  <c:v>268</c:v>
                </c:pt>
                <c:pt idx="33">
                  <c:v>269</c:v>
                </c:pt>
                <c:pt idx="34">
                  <c:v>270</c:v>
                </c:pt>
                <c:pt idx="35">
                  <c:v>271</c:v>
                </c:pt>
                <c:pt idx="36">
                  <c:v>272</c:v>
                </c:pt>
                <c:pt idx="37">
                  <c:v>273</c:v>
                </c:pt>
                <c:pt idx="38">
                  <c:v>274</c:v>
                </c:pt>
                <c:pt idx="39">
                  <c:v>275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hol'!$AO$212:$AO$302</c15:sqref>
                  </c15:fullRef>
                </c:ext>
              </c:extLst>
              <c:f>('Vækstfunktion, hol'!$AO$217:$AO$218,'Vækstfunktion, hol'!$AO$240:$AO$302)</c:f>
              <c:numCache>
                <c:formatCode>#,##0.00</c:formatCode>
                <c:ptCount val="65"/>
                <c:pt idx="0">
                  <c:v>0.15928680261965084</c:v>
                </c:pt>
                <c:pt idx="1">
                  <c:v>0.16275898766429076</c:v>
                </c:pt>
                <c:pt idx="2">
                  <c:v>4.9902123411228869</c:v>
                </c:pt>
                <c:pt idx="3">
                  <c:v>5.0205097380047539</c:v>
                </c:pt>
                <c:pt idx="4">
                  <c:v>5.0505248134689289</c:v>
                </c:pt>
                <c:pt idx="5">
                  <c:v>5.080259849924686</c:v>
                </c:pt>
                <c:pt idx="6">
                  <c:v>5.109630257060811</c:v>
                </c:pt>
                <c:pt idx="7">
                  <c:v>5.1387250533713784</c:v>
                </c:pt>
                <c:pt idx="8">
                  <c:v>5.1675465785122618</c:v>
                </c:pt>
                <c:pt idx="9">
                  <c:v>5.1960971968231222</c:v>
                </c:pt>
                <c:pt idx="10">
                  <c:v>5.2243792977465979</c:v>
                </c:pt>
                <c:pt idx="11">
                  <c:v>5.2523952962359051</c:v>
                </c:pt>
                <c:pt idx="12">
                  <c:v>5.2801476331514463</c:v>
                </c:pt>
                <c:pt idx="13">
                  <c:v>5.3076387756462751</c:v>
                </c:pt>
                <c:pt idx="14">
                  <c:v>5.3301297523247317</c:v>
                </c:pt>
                <c:pt idx="15">
                  <c:v>5.333407230625383</c:v>
                </c:pt>
                <c:pt idx="16">
                  <c:v>5.3366740525596565</c:v>
                </c:pt>
                <c:pt idx="17">
                  <c:v>5.3395882916360939</c:v>
                </c:pt>
                <c:pt idx="18">
                  <c:v>5.3421538294338013</c:v>
                </c:pt>
                <c:pt idx="19">
                  <c:v>5.344374592250591</c:v>
                </c:pt>
                <c:pt idx="20">
                  <c:v>5.3462545503820911</c:v>
                </c:pt>
                <c:pt idx="21">
                  <c:v>5.3477977174111775</c:v>
                </c:pt>
                <c:pt idx="22">
                  <c:v>5.3490081495073714</c:v>
                </c:pt>
                <c:pt idx="23">
                  <c:v>5.349889944736538</c:v>
                </c:pt>
                <c:pt idx="24">
                  <c:v>5.3504472423803389</c:v>
                </c:pt>
                <c:pt idx="25">
                  <c:v>5.3506842222656665</c:v>
                </c:pt>
                <c:pt idx="26">
                  <c:v>5.3506051041041447</c:v>
                </c:pt>
                <c:pt idx="27">
                  <c:v>5.3502141468410844</c:v>
                </c:pt>
                <c:pt idx="28">
                  <c:v>5.3495156480144921</c:v>
                </c:pt>
                <c:pt idx="29">
                  <c:v>5.3485139431235504</c:v>
                </c:pt>
                <c:pt idx="30">
                  <c:v>5.347213405006948</c:v>
                </c:pt>
                <c:pt idx="31">
                  <c:v>5.3437567647721655</c:v>
                </c:pt>
                <c:pt idx="32">
                  <c:v>5.3336901383824342</c:v>
                </c:pt>
                <c:pt idx="33">
                  <c:v>5.3233700706370444</c:v>
                </c:pt>
                <c:pt idx="34">
                  <c:v>5.3127981998135043</c:v>
                </c:pt>
                <c:pt idx="35">
                  <c:v>5.3019761923973689</c:v>
                </c:pt>
                <c:pt idx="36">
                  <c:v>5.2909057427329014</c:v>
                </c:pt>
                <c:pt idx="37">
                  <c:v>5.2795885726799971</c:v>
                </c:pt>
                <c:pt idx="38">
                  <c:v>5.2680264312783152</c:v>
                </c:pt>
                <c:pt idx="39">
                  <c:v>5.2562210944171239</c:v>
                </c:pt>
                <c:pt idx="40">
                  <c:v>5.2441743645119461</c:v>
                </c:pt>
                <c:pt idx="41">
                  <c:v>5.2318880701868347</c:v>
                </c:pt>
                <c:pt idx="42">
                  <c:v>5.2193640659627771</c:v>
                </c:pt>
                <c:pt idx="43">
                  <c:v>5.2066042319518839</c:v>
                </c:pt>
                <c:pt idx="44">
                  <c:v>5.1936104735570545</c:v>
                </c:pt>
                <c:pt idx="45">
                  <c:v>5.1803847211770959</c:v>
                </c:pt>
                <c:pt idx="46">
                  <c:v>5.1669289299173276</c:v>
                </c:pt>
                <c:pt idx="47">
                  <c:v>5.1532450793052353</c:v>
                </c:pt>
                <c:pt idx="48">
                  <c:v>5.1393351730112276</c:v>
                </c:pt>
                <c:pt idx="49">
                  <c:v>5.1252012385743653</c:v>
                </c:pt>
                <c:pt idx="50">
                  <c:v>5.1109505533233488</c:v>
                </c:pt>
                <c:pt idx="51">
                  <c:v>5.0964796776369949</c:v>
                </c:pt>
                <c:pt idx="52">
                  <c:v>5.081790698611468</c:v>
                </c:pt>
                <c:pt idx="53">
                  <c:v>5.0668857263059452</c:v>
                </c:pt>
                <c:pt idx="54">
                  <c:v>5.0517668934887405</c:v>
                </c:pt>
                <c:pt idx="55">
                  <c:v>5.0364363553877771</c:v>
                </c:pt>
                <c:pt idx="56">
                  <c:v>5.0208962894452407</c:v>
                </c:pt>
                <c:pt idx="57">
                  <c:v>5.0051488950763137</c:v>
                </c:pt>
                <c:pt idx="58">
                  <c:v>4.9891963934318282</c:v>
                </c:pt>
                <c:pt idx="59">
                  <c:v>4.9730410271651806</c:v>
                </c:pt>
                <c:pt idx="60">
                  <c:v>4.9567901469036251</c:v>
                </c:pt>
                <c:pt idx="61">
                  <c:v>4.9403405562719032</c:v>
                </c:pt>
                <c:pt idx="62">
                  <c:v>4.9236945520433517</c:v>
                </c:pt>
                <c:pt idx="63">
                  <c:v>4.9068544517185639</c:v>
                </c:pt>
                <c:pt idx="64">
                  <c:v>4.8898225933084127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7-456A-BBEE-29CC39CECDFA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hol'!$A$212:$A$302</c15:sqref>
                  </c15:fullRef>
                </c:ext>
              </c:extLst>
              <c:f>('Vækstfunktion, hol'!$A$217:$A$218,'Vækstfunktion, hol'!$A$240:$A$302)</c:f>
              <c:numCache>
                <c:formatCode>General</c:formatCode>
                <c:ptCount val="65"/>
                <c:pt idx="0">
                  <c:v>215</c:v>
                </c:pt>
                <c:pt idx="1">
                  <c:v>216</c:v>
                </c:pt>
                <c:pt idx="2">
                  <c:v>238</c:v>
                </c:pt>
                <c:pt idx="3">
                  <c:v>239</c:v>
                </c:pt>
                <c:pt idx="4">
                  <c:v>240</c:v>
                </c:pt>
                <c:pt idx="5">
                  <c:v>241</c:v>
                </c:pt>
                <c:pt idx="6">
                  <c:v>242</c:v>
                </c:pt>
                <c:pt idx="7">
                  <c:v>243</c:v>
                </c:pt>
                <c:pt idx="8">
                  <c:v>244</c:v>
                </c:pt>
                <c:pt idx="9">
                  <c:v>245</c:v>
                </c:pt>
                <c:pt idx="10">
                  <c:v>246</c:v>
                </c:pt>
                <c:pt idx="11">
                  <c:v>247</c:v>
                </c:pt>
                <c:pt idx="12">
                  <c:v>248</c:v>
                </c:pt>
                <c:pt idx="13">
                  <c:v>249</c:v>
                </c:pt>
                <c:pt idx="14">
                  <c:v>250</c:v>
                </c:pt>
                <c:pt idx="15">
                  <c:v>251</c:v>
                </c:pt>
                <c:pt idx="16">
                  <c:v>252</c:v>
                </c:pt>
                <c:pt idx="17">
                  <c:v>253</c:v>
                </c:pt>
                <c:pt idx="18">
                  <c:v>254</c:v>
                </c:pt>
                <c:pt idx="19">
                  <c:v>255</c:v>
                </c:pt>
                <c:pt idx="20">
                  <c:v>256</c:v>
                </c:pt>
                <c:pt idx="21">
                  <c:v>257</c:v>
                </c:pt>
                <c:pt idx="22">
                  <c:v>258</c:v>
                </c:pt>
                <c:pt idx="23">
                  <c:v>259</c:v>
                </c:pt>
                <c:pt idx="24">
                  <c:v>260</c:v>
                </c:pt>
                <c:pt idx="25">
                  <c:v>261</c:v>
                </c:pt>
                <c:pt idx="26">
                  <c:v>262</c:v>
                </c:pt>
                <c:pt idx="27">
                  <c:v>263</c:v>
                </c:pt>
                <c:pt idx="28">
                  <c:v>264</c:v>
                </c:pt>
                <c:pt idx="29">
                  <c:v>265</c:v>
                </c:pt>
                <c:pt idx="30">
                  <c:v>266</c:v>
                </c:pt>
                <c:pt idx="31">
                  <c:v>267</c:v>
                </c:pt>
                <c:pt idx="32">
                  <c:v>268</c:v>
                </c:pt>
                <c:pt idx="33">
                  <c:v>269</c:v>
                </c:pt>
                <c:pt idx="34">
                  <c:v>270</c:v>
                </c:pt>
                <c:pt idx="35">
                  <c:v>271</c:v>
                </c:pt>
                <c:pt idx="36">
                  <c:v>272</c:v>
                </c:pt>
                <c:pt idx="37">
                  <c:v>273</c:v>
                </c:pt>
                <c:pt idx="38">
                  <c:v>274</c:v>
                </c:pt>
                <c:pt idx="39">
                  <c:v>275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tyr'!$AO$212:$AO$302</c15:sqref>
                  </c15:fullRef>
                </c:ext>
              </c:extLst>
              <c:f>('Vækstfunktion, kry tyr'!$AO$217:$AO$218,'Vækstfunktion, kry tyr'!$AO$240:$AO$302)</c:f>
              <c:numCache>
                <c:formatCode>#,##0.000</c:formatCode>
                <c:ptCount val="65"/>
                <c:pt idx="0">
                  <c:v>5.9216537205087194</c:v>
                </c:pt>
                <c:pt idx="1">
                  <c:v>5.9751677435469848</c:v>
                </c:pt>
                <c:pt idx="2">
                  <c:v>6.9893359158199617</c:v>
                </c:pt>
                <c:pt idx="3">
                  <c:v>7.0194877054099782</c:v>
                </c:pt>
                <c:pt idx="4">
                  <c:v>7.0490006428043008</c:v>
                </c:pt>
                <c:pt idx="5">
                  <c:v>7.0778830277357994</c:v>
                </c:pt>
                <c:pt idx="6">
                  <c:v>7.1061431537961086</c:v>
                </c:pt>
                <c:pt idx="7">
                  <c:v>7.133789308621834</c:v>
                </c:pt>
                <c:pt idx="8">
                  <c:v>7.1608297861088799</c:v>
                </c:pt>
                <c:pt idx="9">
                  <c:v>7.1872729154050212</c:v>
                </c:pt>
                <c:pt idx="10">
                  <c:v>7.2131270644854979</c:v>
                </c:pt>
                <c:pt idx="11">
                  <c:v>7.2384006393492504</c:v>
                </c:pt>
                <c:pt idx="12">
                  <c:v>7.262986046485592</c:v>
                </c:pt>
                <c:pt idx="13">
                  <c:v>7.2870073885847457</c:v>
                </c:pt>
                <c:pt idx="14">
                  <c:v>7.3104732079411416</c:v>
                </c:pt>
                <c:pt idx="15">
                  <c:v>7.3333920813380145</c:v>
                </c:pt>
                <c:pt idx="16">
                  <c:v>7.3557726193074418</c:v>
                </c:pt>
                <c:pt idx="17">
                  <c:v>7.3776234654018626</c:v>
                </c:pt>
                <c:pt idx="18">
                  <c:v>7.3989532954762867</c:v>
                </c:pt>
                <c:pt idx="19">
                  <c:v>7.4155061175236536</c:v>
                </c:pt>
                <c:pt idx="20">
                  <c:v>7.4145361203770355</c:v>
                </c:pt>
                <c:pt idx="21">
                  <c:v>7.4131370681920936</c:v>
                </c:pt>
                <c:pt idx="22">
                  <c:v>7.411317522186275</c:v>
                </c:pt>
                <c:pt idx="23">
                  <c:v>7.4090860629833024</c:v>
                </c:pt>
                <c:pt idx="24">
                  <c:v>7.4064512899837389</c:v>
                </c:pt>
                <c:pt idx="25">
                  <c:v>7.4034218207461659</c:v>
                </c:pt>
                <c:pt idx="26">
                  <c:v>7.3998794709405491</c:v>
                </c:pt>
                <c:pt idx="27">
                  <c:v>7.3959597156667618</c:v>
                </c:pt>
                <c:pt idx="28">
                  <c:v>7.3916712441212251</c:v>
                </c:pt>
                <c:pt idx="29">
                  <c:v>7.3870227609797769</c:v>
                </c:pt>
                <c:pt idx="30">
                  <c:v>7.3820229858402291</c:v>
                </c:pt>
                <c:pt idx="31">
                  <c:v>7.3766806526764368</c:v>
                </c:pt>
                <c:pt idx="32">
                  <c:v>7.3710045093036198</c:v>
                </c:pt>
                <c:pt idx="33">
                  <c:v>7.3650033168552822</c:v>
                </c:pt>
                <c:pt idx="34">
                  <c:v>7.3586858492717164</c:v>
                </c:pt>
                <c:pt idx="35">
                  <c:v>7.352060892800357</c:v>
                </c:pt>
                <c:pt idx="36">
                  <c:v>7.3451361805845536</c:v>
                </c:pt>
                <c:pt idx="37">
                  <c:v>7.3379152003101273</c:v>
                </c:pt>
                <c:pt idx="38">
                  <c:v>7.3304003937039521</c:v>
                </c:pt>
                <c:pt idx="39">
                  <c:v>7.3225942220023184</c:v>
                </c:pt>
                <c:pt idx="40">
                  <c:v>7.314499165791478</c:v>
                </c:pt>
                <c:pt idx="41">
                  <c:v>7.3061177248517879</c:v>
                </c:pt>
                <c:pt idx="42">
                  <c:v>7.2974524180051024</c:v>
                </c:pt>
                <c:pt idx="43">
                  <c:v>7.2885057829654816</c:v>
                </c:pt>
                <c:pt idx="44">
                  <c:v>7.2792803761931237</c:v>
                </c:pt>
                <c:pt idx="45">
                  <c:v>7.2697787727511489</c:v>
                </c:pt>
                <c:pt idx="46">
                  <c:v>7.260003566165663</c:v>
                </c:pt>
                <c:pt idx="47">
                  <c:v>7.2499573682881637</c:v>
                </c:pt>
                <c:pt idx="48">
                  <c:v>7.2396428091611202</c:v>
                </c:pt>
                <c:pt idx="49">
                  <c:v>7.22906253688594</c:v>
                </c:pt>
                <c:pt idx="50">
                  <c:v>7.2182192174935826</c:v>
                </c:pt>
                <c:pt idx="51">
                  <c:v>7.207115534817599</c:v>
                </c:pt>
                <c:pt idx="52">
                  <c:v>7.1957541903694597</c:v>
                </c:pt>
                <c:pt idx="53">
                  <c:v>7.1842698105948806</c:v>
                </c:pt>
                <c:pt idx="54">
                  <c:v>7.1725326748184219</c:v>
                </c:pt>
                <c:pt idx="55">
                  <c:v>7.1605455236509927</c:v>
                </c:pt>
                <c:pt idx="56">
                  <c:v>7.1434776052557707</c:v>
                </c:pt>
                <c:pt idx="57">
                  <c:v>7.1209715987761495</c:v>
                </c:pt>
                <c:pt idx="58">
                  <c:v>7.0982663073928487</c:v>
                </c:pt>
                <c:pt idx="59">
                  <c:v>7.0753643781966149</c:v>
                </c:pt>
                <c:pt idx="60">
                  <c:v>7.0522684706297785</c:v>
                </c:pt>
                <c:pt idx="61">
                  <c:v>7.0289812563632674</c:v>
                </c:pt>
                <c:pt idx="62">
                  <c:v>7.0055054191758481</c:v>
                </c:pt>
                <c:pt idx="63">
                  <c:v>6.9818436548354859</c:v>
                </c:pt>
                <c:pt idx="64">
                  <c:v>6.9579986709828274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7-456A-BBEE-29CC39CECDFA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hol'!$A$212:$A$302</c15:sqref>
                  </c15:fullRef>
                </c:ext>
              </c:extLst>
              <c:f>('Vækstfunktion, hol'!$A$217:$A$218,'Vækstfunktion, hol'!$A$240:$A$302)</c:f>
              <c:numCache>
                <c:formatCode>General</c:formatCode>
                <c:ptCount val="65"/>
                <c:pt idx="0">
                  <c:v>215</c:v>
                </c:pt>
                <c:pt idx="1">
                  <c:v>216</c:v>
                </c:pt>
                <c:pt idx="2">
                  <c:v>238</c:v>
                </c:pt>
                <c:pt idx="3">
                  <c:v>239</c:v>
                </c:pt>
                <c:pt idx="4">
                  <c:v>240</c:v>
                </c:pt>
                <c:pt idx="5">
                  <c:v>241</c:v>
                </c:pt>
                <c:pt idx="6">
                  <c:v>242</c:v>
                </c:pt>
                <c:pt idx="7">
                  <c:v>243</c:v>
                </c:pt>
                <c:pt idx="8">
                  <c:v>244</c:v>
                </c:pt>
                <c:pt idx="9">
                  <c:v>245</c:v>
                </c:pt>
                <c:pt idx="10">
                  <c:v>246</c:v>
                </c:pt>
                <c:pt idx="11">
                  <c:v>247</c:v>
                </c:pt>
                <c:pt idx="12">
                  <c:v>248</c:v>
                </c:pt>
                <c:pt idx="13">
                  <c:v>249</c:v>
                </c:pt>
                <c:pt idx="14">
                  <c:v>250</c:v>
                </c:pt>
                <c:pt idx="15">
                  <c:v>251</c:v>
                </c:pt>
                <c:pt idx="16">
                  <c:v>252</c:v>
                </c:pt>
                <c:pt idx="17">
                  <c:v>253</c:v>
                </c:pt>
                <c:pt idx="18">
                  <c:v>254</c:v>
                </c:pt>
                <c:pt idx="19">
                  <c:v>255</c:v>
                </c:pt>
                <c:pt idx="20">
                  <c:v>256</c:v>
                </c:pt>
                <c:pt idx="21">
                  <c:v>257</c:v>
                </c:pt>
                <c:pt idx="22">
                  <c:v>258</c:v>
                </c:pt>
                <c:pt idx="23">
                  <c:v>259</c:v>
                </c:pt>
                <c:pt idx="24">
                  <c:v>260</c:v>
                </c:pt>
                <c:pt idx="25">
                  <c:v>261</c:v>
                </c:pt>
                <c:pt idx="26">
                  <c:v>262</c:v>
                </c:pt>
                <c:pt idx="27">
                  <c:v>263</c:v>
                </c:pt>
                <c:pt idx="28">
                  <c:v>264</c:v>
                </c:pt>
                <c:pt idx="29">
                  <c:v>265</c:v>
                </c:pt>
                <c:pt idx="30">
                  <c:v>266</c:v>
                </c:pt>
                <c:pt idx="31">
                  <c:v>267</c:v>
                </c:pt>
                <c:pt idx="32">
                  <c:v>268</c:v>
                </c:pt>
                <c:pt idx="33">
                  <c:v>269</c:v>
                </c:pt>
                <c:pt idx="34">
                  <c:v>270</c:v>
                </c:pt>
                <c:pt idx="35">
                  <c:v>271</c:v>
                </c:pt>
                <c:pt idx="36">
                  <c:v>272</c:v>
                </c:pt>
                <c:pt idx="37">
                  <c:v>273</c:v>
                </c:pt>
                <c:pt idx="38">
                  <c:v>274</c:v>
                </c:pt>
                <c:pt idx="39">
                  <c:v>275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kvie'!$AO$212:$AO$302</c15:sqref>
                  </c15:fullRef>
                </c:ext>
              </c:extLst>
              <c:f>('Vækstfunktion, kry kvie'!$AO$217:$AO$218,'Vækstfunktion, kry kvie'!$AO$240:$AO$302)</c:f>
              <c:numCache>
                <c:formatCode>#,##0.00</c:formatCode>
                <c:ptCount val="65"/>
                <c:pt idx="0">
                  <c:v>2.2608934708832278</c:v>
                </c:pt>
                <c:pt idx="1">
                  <c:v>2.2563931083737629</c:v>
                </c:pt>
                <c:pt idx="2">
                  <c:v>6.1358483596987927</c:v>
                </c:pt>
                <c:pt idx="3">
                  <c:v>6.1567862349580116</c:v>
                </c:pt>
                <c:pt idx="4">
                  <c:v>6.1774785699816563</c:v>
                </c:pt>
                <c:pt idx="5">
                  <c:v>6.1979286936713782</c:v>
                </c:pt>
                <c:pt idx="6">
                  <c:v>6.218139904930692</c:v>
                </c:pt>
                <c:pt idx="7">
                  <c:v>6.2381154741830409</c:v>
                </c:pt>
                <c:pt idx="8">
                  <c:v>6.2578586448520035</c:v>
                </c:pt>
                <c:pt idx="9">
                  <c:v>6.2773726348055261</c:v>
                </c:pt>
                <c:pt idx="10">
                  <c:v>6.2966606377644014</c:v>
                </c:pt>
                <c:pt idx="11">
                  <c:v>6.3157258246766546</c:v>
                </c:pt>
                <c:pt idx="12">
                  <c:v>6.3346115993140026</c:v>
                </c:pt>
                <c:pt idx="13">
                  <c:v>6.3537113523856066</c:v>
                </c:pt>
                <c:pt idx="14">
                  <c:v>6.3724854130768751</c:v>
                </c:pt>
                <c:pt idx="15">
                  <c:v>6.3909380209863196</c:v>
                </c:pt>
                <c:pt idx="16">
                  <c:v>6.4090733930322932</c:v>
                </c:pt>
                <c:pt idx="17">
                  <c:v>6.4229670144856668</c:v>
                </c:pt>
                <c:pt idx="18">
                  <c:v>6.42083266563007</c:v>
                </c:pt>
                <c:pt idx="19">
                  <c:v>6.4183868276321787</c:v>
                </c:pt>
                <c:pt idx="20">
                  <c:v>6.415634080361146</c:v>
                </c:pt>
                <c:pt idx="21">
                  <c:v>6.4125789780079003</c:v>
                </c:pt>
                <c:pt idx="22">
                  <c:v>6.4092260496451798</c:v>
                </c:pt>
                <c:pt idx="23">
                  <c:v>6.4055797997685078</c:v>
                </c:pt>
                <c:pt idx="24">
                  <c:v>6.4016447088187274</c:v>
                </c:pt>
                <c:pt idx="25">
                  <c:v>6.3974252336867758</c:v>
                </c:pt>
                <c:pt idx="26">
                  <c:v>6.3929258082014684</c:v>
                </c:pt>
                <c:pt idx="27">
                  <c:v>6.3881635428720136</c:v>
                </c:pt>
                <c:pt idx="28">
                  <c:v>6.3831304146708092</c:v>
                </c:pt>
                <c:pt idx="29">
                  <c:v>6.3720150623429559</c:v>
                </c:pt>
                <c:pt idx="30">
                  <c:v>6.3582471950554282</c:v>
                </c:pt>
                <c:pt idx="31">
                  <c:v>6.344267660757902</c:v>
                </c:pt>
                <c:pt idx="32">
                  <c:v>6.3300805395878577</c:v>
                </c:pt>
                <c:pt idx="33">
                  <c:v>6.3156898814014495</c:v>
                </c:pt>
                <c:pt idx="34">
                  <c:v>6.301099291201723</c:v>
                </c:pt>
                <c:pt idx="35">
                  <c:v>6.2863106865023681</c:v>
                </c:pt>
                <c:pt idx="36">
                  <c:v>6.2713420596021159</c:v>
                </c:pt>
                <c:pt idx="37">
                  <c:v>6.2561789619792005</c:v>
                </c:pt>
                <c:pt idx="38">
                  <c:v>6.2408228667857557</c:v>
                </c:pt>
                <c:pt idx="39">
                  <c:v>6.2252752254745918</c:v>
                </c:pt>
                <c:pt idx="40">
                  <c:v>6.2095374683400832</c:v>
                </c:pt>
                <c:pt idx="41">
                  <c:v>6.1936110050465967</c:v>
                </c:pt>
                <c:pt idx="42">
                  <c:v>6.1774972251442506</c:v>
                </c:pt>
                <c:pt idx="43">
                  <c:v>6.1612185321743809</c:v>
                </c:pt>
                <c:pt idx="44">
                  <c:v>6.1447560653581137</c:v>
                </c:pt>
                <c:pt idx="45">
                  <c:v>6.1281112060801535</c:v>
                </c:pt>
                <c:pt idx="46">
                  <c:v>6.1112853706253265</c:v>
                </c:pt>
                <c:pt idx="47">
                  <c:v>6.0942800163259108</c:v>
                </c:pt>
                <c:pt idx="48">
                  <c:v>6.0770966409749283</c:v>
                </c:pt>
                <c:pt idx="49">
                  <c:v>6.0597619344596376</c:v>
                </c:pt>
                <c:pt idx="50">
                  <c:v>6.0422530055133432</c:v>
                </c:pt>
                <c:pt idx="51">
                  <c:v>6.024571445954483</c:v>
                </c:pt>
                <c:pt idx="52">
                  <c:v>6.0067188861595895</c:v>
                </c:pt>
                <c:pt idx="53">
                  <c:v>5.9886969945253519</c:v>
                </c:pt>
                <c:pt idx="54">
                  <c:v>5.9705354876158498</c:v>
                </c:pt>
                <c:pt idx="55">
                  <c:v>5.9522086838843924</c:v>
                </c:pt>
                <c:pt idx="56">
                  <c:v>5.9337183401237166</c:v>
                </c:pt>
                <c:pt idx="57">
                  <c:v>5.9150662494015673</c:v>
                </c:pt>
                <c:pt idx="58">
                  <c:v>5.8962542405659173</c:v>
                </c:pt>
                <c:pt idx="59">
                  <c:v>5.8773146884827492</c:v>
                </c:pt>
                <c:pt idx="60">
                  <c:v>5.8582194757000083</c:v>
                </c:pt>
                <c:pt idx="61">
                  <c:v>5.8389705143004704</c:v>
                </c:pt>
                <c:pt idx="62">
                  <c:v>5.8195697505428017</c:v>
                </c:pt>
                <c:pt idx="63">
                  <c:v>5.800019164405656</c:v>
                </c:pt>
                <c:pt idx="64">
                  <c:v>5.7803534394141325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7-456A-BBEE-29CC39CEC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Model</a:t>
            </a:r>
            <a:r>
              <a:rPr lang="da-DK" baseline="0"/>
              <a:t> m2 til dyr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3882929326065805E-2"/>
          <c:y val="0.17516254555964872"/>
          <c:w val="0.95400586886125915"/>
          <c:h val="0.61388943925182793"/>
        </c:manualLayout>
      </c:layout>
      <c:lineChart>
        <c:grouping val="standard"/>
        <c:varyColors val="0"/>
        <c:ser>
          <c:idx val="0"/>
          <c:order val="0"/>
          <c:tx>
            <c:v>hol tyr, gns m2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hol'!$A$3:$A$335</c:f>
              <c:numCache>
                <c:formatCode>General</c:formatCode>
                <c:ptCount val="3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</c:numCache>
            </c:numRef>
          </c:cat>
          <c:val>
            <c:numRef>
              <c:f>'Vækstfunktion, hol'!$AI$3:$AI$335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2.1999999999999957</c:v>
                </c:pt>
                <c:pt idx="108">
                  <c:v>2.1999999999999957</c:v>
                </c:pt>
                <c:pt idx="109">
                  <c:v>2.1999999999999957</c:v>
                </c:pt>
                <c:pt idx="110">
                  <c:v>2.2090090090090047</c:v>
                </c:pt>
                <c:pt idx="111">
                  <c:v>2.2178571428571385</c:v>
                </c:pt>
                <c:pt idx="112">
                  <c:v>2.2265486725663672</c:v>
                </c:pt>
                <c:pt idx="113">
                  <c:v>2.235087719298241</c:v>
                </c:pt>
                <c:pt idx="114">
                  <c:v>2.2434782608695607</c:v>
                </c:pt>
                <c:pt idx="115">
                  <c:v>2.25172413793103</c:v>
                </c:pt>
                <c:pt idx="116">
                  <c:v>2.2598290598290554</c:v>
                </c:pt>
                <c:pt idx="117">
                  <c:v>2.2677966101694871</c:v>
                </c:pt>
                <c:pt idx="118">
                  <c:v>2.2756302521008358</c:v>
                </c:pt>
                <c:pt idx="119">
                  <c:v>2.2833333333333288</c:v>
                </c:pt>
                <c:pt idx="120">
                  <c:v>2.2909090909090861</c:v>
                </c:pt>
                <c:pt idx="121">
                  <c:v>2.2983606557376999</c:v>
                </c:pt>
                <c:pt idx="122">
                  <c:v>2.3056910569105642</c:v>
                </c:pt>
                <c:pt idx="123">
                  <c:v>2.3129032258064468</c:v>
                </c:pt>
                <c:pt idx="124">
                  <c:v>2.319999999999995</c:v>
                </c:pt>
                <c:pt idx="125">
                  <c:v>2.3269841269841218</c:v>
                </c:pt>
                <c:pt idx="126">
                  <c:v>2.3338582677165305</c:v>
                </c:pt>
                <c:pt idx="127">
                  <c:v>2.3406249999999948</c:v>
                </c:pt>
                <c:pt idx="128">
                  <c:v>2.347286821705421</c:v>
                </c:pt>
                <c:pt idx="129">
                  <c:v>2.3538461538461486</c:v>
                </c:pt>
                <c:pt idx="130">
                  <c:v>2.3603053435114449</c:v>
                </c:pt>
                <c:pt idx="131">
                  <c:v>2.3666666666666614</c:v>
                </c:pt>
                <c:pt idx="132">
                  <c:v>2.3729323308270622</c:v>
                </c:pt>
                <c:pt idx="133">
                  <c:v>2.3791044776119348</c:v>
                </c:pt>
                <c:pt idx="134">
                  <c:v>2.3851851851851795</c:v>
                </c:pt>
                <c:pt idx="135">
                  <c:v>2.3911764705882299</c:v>
                </c:pt>
                <c:pt idx="136">
                  <c:v>2.3970802919707972</c:v>
                </c:pt>
                <c:pt idx="137">
                  <c:v>2.4028985507246321</c:v>
                </c:pt>
                <c:pt idx="138">
                  <c:v>2.4086330935251743</c:v>
                </c:pt>
                <c:pt idx="139">
                  <c:v>2.4142857142857088</c:v>
                </c:pt>
                <c:pt idx="140">
                  <c:v>2.4198581560283632</c:v>
                </c:pt>
                <c:pt idx="141">
                  <c:v>2.4253521126760504</c:v>
                </c:pt>
                <c:pt idx="142">
                  <c:v>2.4307692307692248</c:v>
                </c:pt>
                <c:pt idx="143">
                  <c:v>2.4361111111111051</c:v>
                </c:pt>
                <c:pt idx="144">
                  <c:v>2.4413793103448218</c:v>
                </c:pt>
                <c:pt idx="145">
                  <c:v>2.4465753424657475</c:v>
                </c:pt>
                <c:pt idx="146">
                  <c:v>2.4517006802721029</c:v>
                </c:pt>
                <c:pt idx="147">
                  <c:v>2.456756756756751</c:v>
                </c:pt>
                <c:pt idx="148">
                  <c:v>2.4617449664429469</c:v>
                </c:pt>
                <c:pt idx="149">
                  <c:v>2.4666666666666606</c:v>
                </c:pt>
                <c:pt idx="150">
                  <c:v>2.4715231788079408</c:v>
                </c:pt>
                <c:pt idx="151">
                  <c:v>2.476315789473678</c:v>
                </c:pt>
                <c:pt idx="152">
                  <c:v>2.4810457516339808</c:v>
                </c:pt>
                <c:pt idx="153">
                  <c:v>2.4857142857142795</c:v>
                </c:pt>
                <c:pt idx="154">
                  <c:v>2.490322580645155</c:v>
                </c:pt>
                <c:pt idx="155">
                  <c:v>2.4948717948717887</c:v>
                </c:pt>
                <c:pt idx="156">
                  <c:v>2.4993630573248344</c:v>
                </c:pt>
                <c:pt idx="157">
                  <c:v>2.5037974683544242</c:v>
                </c:pt>
                <c:pt idx="158">
                  <c:v>2.5081761006289245</c:v>
                </c:pt>
                <c:pt idx="159">
                  <c:v>2.5124999999999935</c:v>
                </c:pt>
                <c:pt idx="160">
                  <c:v>2.5167701863353975</c:v>
                </c:pt>
                <c:pt idx="161">
                  <c:v>2.5209876543209813</c:v>
                </c:pt>
                <c:pt idx="162">
                  <c:v>2.5251533742331222</c:v>
                </c:pt>
                <c:pt idx="163">
                  <c:v>2.5292682926829202</c:v>
                </c:pt>
                <c:pt idx="164">
                  <c:v>2.533333333333327</c:v>
                </c:pt>
                <c:pt idx="165">
                  <c:v>2.5373493975903547</c:v>
                </c:pt>
                <c:pt idx="166">
                  <c:v>2.5413173652694545</c:v>
                </c:pt>
                <c:pt idx="167">
                  <c:v>2.5452380952380884</c:v>
                </c:pt>
                <c:pt idx="168">
                  <c:v>2.5491124260354963</c:v>
                </c:pt>
                <c:pt idx="169">
                  <c:v>2.5529411764705814</c:v>
                </c:pt>
                <c:pt idx="170">
                  <c:v>2.5567251461988239</c:v>
                </c:pt>
                <c:pt idx="171">
                  <c:v>2.560465116279063</c:v>
                </c:pt>
                <c:pt idx="172">
                  <c:v>2.5641618497109757</c:v>
                </c:pt>
                <c:pt idx="173">
                  <c:v>2.5678160919540161</c:v>
                </c:pt>
                <c:pt idx="174">
                  <c:v>2.5714285714285645</c:v>
                </c:pt>
                <c:pt idx="175">
                  <c:v>2.5749999999999931</c:v>
                </c:pt>
                <c:pt idx="176">
                  <c:v>2.5785310734463209</c:v>
                </c:pt>
                <c:pt idx="177">
                  <c:v>2.5820224719101055</c:v>
                </c:pt>
                <c:pt idx="178">
                  <c:v>2.5854748603351885</c:v>
                </c:pt>
                <c:pt idx="179">
                  <c:v>2.5955555555555487</c:v>
                </c:pt>
                <c:pt idx="180">
                  <c:v>2.6055248618784459</c:v>
                </c:pt>
                <c:pt idx="181">
                  <c:v>2.6153846153846083</c:v>
                </c:pt>
                <c:pt idx="182">
                  <c:v>2.6251366120218504</c:v>
                </c:pt>
                <c:pt idx="183">
                  <c:v>2.634782608695645</c:v>
                </c:pt>
                <c:pt idx="184">
                  <c:v>2.6443243243243169</c:v>
                </c:pt>
                <c:pt idx="185">
                  <c:v>2.6537634408602075</c:v>
                </c:pt>
                <c:pt idx="186">
                  <c:v>2.6631016042780673</c:v>
                </c:pt>
                <c:pt idx="187">
                  <c:v>2.6723404255319072</c:v>
                </c:pt>
                <c:pt idx="188">
                  <c:v>2.6814814814814736</c:v>
                </c:pt>
                <c:pt idx="189">
                  <c:v>2.6905263157894659</c:v>
                </c:pt>
                <c:pt idx="190">
                  <c:v>2.6994764397905682</c:v>
                </c:pt>
                <c:pt idx="191">
                  <c:v>2.7083333333333255</c:v>
                </c:pt>
                <c:pt idx="192">
                  <c:v>2.7170984455958473</c:v>
                </c:pt>
                <c:pt idx="193">
                  <c:v>2.7257731958762808</c:v>
                </c:pt>
                <c:pt idx="194">
                  <c:v>2.7343589743589662</c:v>
                </c:pt>
                <c:pt idx="195">
                  <c:v>2.7428571428571349</c:v>
                </c:pt>
                <c:pt idx="196">
                  <c:v>2.751269035532987</c:v>
                </c:pt>
                <c:pt idx="197">
                  <c:v>2.7595959595959516</c:v>
                </c:pt>
                <c:pt idx="198">
                  <c:v>2.7678391959798914</c:v>
                </c:pt>
                <c:pt idx="199">
                  <c:v>2.7759999999999918</c:v>
                </c:pt>
                <c:pt idx="200">
                  <c:v>2.7840796019900416</c:v>
                </c:pt>
                <c:pt idx="201">
                  <c:v>2.7920792079207835</c:v>
                </c:pt>
                <c:pt idx="202">
                  <c:v>2.7999999999999914</c:v>
                </c:pt>
                <c:pt idx="203">
                  <c:v>2.8078431372548933</c:v>
                </c:pt>
                <c:pt idx="204">
                  <c:v>2.8156097560975524</c:v>
                </c:pt>
                <c:pt idx="205">
                  <c:v>2.8233009708737775</c:v>
                </c:pt>
                <c:pt idx="206">
                  <c:v>2.8309178743961265</c:v>
                </c:pt>
                <c:pt idx="207">
                  <c:v>2.8384615384615297</c:v>
                </c:pt>
                <c:pt idx="208">
                  <c:v>2.845933014354058</c:v>
                </c:pt>
                <c:pt idx="209">
                  <c:v>2.8533333333333242</c:v>
                </c:pt>
                <c:pt idx="210">
                  <c:v>2.8606635071089959</c:v>
                </c:pt>
                <c:pt idx="211">
                  <c:v>2.8679245283018777</c:v>
                </c:pt>
                <c:pt idx="212">
                  <c:v>2.8751173708920095</c:v>
                </c:pt>
                <c:pt idx="213">
                  <c:v>2.8822429906541962</c:v>
                </c:pt>
                <c:pt idx="214">
                  <c:v>2.8893023255813861</c:v>
                </c:pt>
                <c:pt idx="215">
                  <c:v>2.896296296296287</c:v>
                </c:pt>
                <c:pt idx="216">
                  <c:v>2.9032258064516037</c:v>
                </c:pt>
                <c:pt idx="217">
                  <c:v>2.9100917431192568</c:v>
                </c:pt>
                <c:pt idx="218">
                  <c:v>2.9168949771689401</c:v>
                </c:pt>
                <c:pt idx="219">
                  <c:v>2.923636363636354</c:v>
                </c:pt>
                <c:pt idx="220">
                  <c:v>2.9303167420814384</c:v>
                </c:pt>
                <c:pt idx="221">
                  <c:v>2.9369369369369274</c:v>
                </c:pt>
                <c:pt idx="222">
                  <c:v>2.9434977578475237</c:v>
                </c:pt>
                <c:pt idx="223">
                  <c:v>2.94999999999999</c:v>
                </c:pt>
                <c:pt idx="224">
                  <c:v>2.9564444444444344</c:v>
                </c:pt>
                <c:pt idx="225">
                  <c:v>2.9628318584070699</c:v>
                </c:pt>
                <c:pt idx="226">
                  <c:v>2.9691629955947034</c:v>
                </c:pt>
                <c:pt idx="227">
                  <c:v>2.9754385964912178</c:v>
                </c:pt>
                <c:pt idx="228">
                  <c:v>2.9816593886462779</c:v>
                </c:pt>
                <c:pt idx="229">
                  <c:v>2.9878260869565114</c:v>
                </c:pt>
                <c:pt idx="230">
                  <c:v>2.9939393939393839</c:v>
                </c:pt>
                <c:pt idx="231">
                  <c:v>2.9999999999999898</c:v>
                </c:pt>
                <c:pt idx="232">
                  <c:v>3.0060085836909769</c:v>
                </c:pt>
                <c:pt idx="233">
                  <c:v>3.0119658119658017</c:v>
                </c:pt>
                <c:pt idx="234">
                  <c:v>3.0178723404255217</c:v>
                </c:pt>
                <c:pt idx="235">
                  <c:v>3.0237288135593117</c:v>
                </c:pt>
                <c:pt idx="236">
                  <c:v>3.0295358649788926</c:v>
                </c:pt>
                <c:pt idx="237">
                  <c:v>3.035294117647048</c:v>
                </c:pt>
                <c:pt idx="238">
                  <c:v>3.0410041841004078</c:v>
                </c:pt>
                <c:pt idx="239">
                  <c:v>3.0466666666666558</c:v>
                </c:pt>
                <c:pt idx="240">
                  <c:v>3.0522821576763377</c:v>
                </c:pt>
                <c:pt idx="241">
                  <c:v>3.0578512396694109</c:v>
                </c:pt>
                <c:pt idx="242">
                  <c:v>3.0633744855966971</c:v>
                </c:pt>
                <c:pt idx="243">
                  <c:v>3.0688524590163824</c:v>
                </c:pt>
                <c:pt idx="244">
                  <c:v>3.0742857142857032</c:v>
                </c:pt>
                <c:pt idx="245">
                  <c:v>3.0796747967479563</c:v>
                </c:pt>
                <c:pt idx="246">
                  <c:v>3.0850202429149687</c:v>
                </c:pt>
                <c:pt idx="247">
                  <c:v>3.0903225806451502</c:v>
                </c:pt>
                <c:pt idx="248">
                  <c:v>3.0955823293172577</c:v>
                </c:pt>
                <c:pt idx="249">
                  <c:v>3.1007999999999889</c:v>
                </c:pt>
                <c:pt idx="250">
                  <c:v>3.1059760956175189</c:v>
                </c:pt>
                <c:pt idx="251">
                  <c:v>3.1111111111110996</c:v>
                </c:pt>
                <c:pt idx="252">
                  <c:v>3.1162055335968266</c:v>
                </c:pt>
                <c:pt idx="253">
                  <c:v>3.1212598425196738</c:v>
                </c:pt>
                <c:pt idx="254">
                  <c:v>3.1262745098039102</c:v>
                </c:pt>
                <c:pt idx="255">
                  <c:v>3.1312499999999885</c:v>
                </c:pt>
                <c:pt idx="256">
                  <c:v>3.136186770428004</c:v>
                </c:pt>
                <c:pt idx="257">
                  <c:v>3.1410852713178179</c:v>
                </c:pt>
                <c:pt idx="258">
                  <c:v>3.1459459459459342</c:v>
                </c:pt>
                <c:pt idx="259">
                  <c:v>3.1507692307692192</c:v>
                </c:pt>
                <c:pt idx="260">
                  <c:v>3.1555555555555439</c:v>
                </c:pt>
                <c:pt idx="261">
                  <c:v>3.1603053435114385</c:v>
                </c:pt>
                <c:pt idx="262">
                  <c:v>3.1650190114068324</c:v>
                </c:pt>
                <c:pt idx="263">
                  <c:v>3.1696969696969579</c:v>
                </c:pt>
                <c:pt idx="264">
                  <c:v>3.1743396226414977</c:v>
                </c:pt>
                <c:pt idx="265">
                  <c:v>3.1789473684210408</c:v>
                </c:pt>
                <c:pt idx="266">
                  <c:v>3.1835205992509246</c:v>
                </c:pt>
                <c:pt idx="267">
                  <c:v>3.1880597014925254</c:v>
                </c:pt>
                <c:pt idx="268">
                  <c:v>3.1925650557620697</c:v>
                </c:pt>
                <c:pt idx="269">
                  <c:v>3.1970370370370249</c:v>
                </c:pt>
                <c:pt idx="270">
                  <c:v>3.2014760147601353</c:v>
                </c:pt>
                <c:pt idx="271">
                  <c:v>3.2058823529411642</c:v>
                </c:pt>
                <c:pt idx="272">
                  <c:v>3.210256410256398</c:v>
                </c:pt>
                <c:pt idx="273">
                  <c:v>3.2145985401459733</c:v>
                </c:pt>
                <c:pt idx="274">
                  <c:v>3.2189090909090785</c:v>
                </c:pt>
                <c:pt idx="275">
                  <c:v>3.2231884057970892</c:v>
                </c:pt>
                <c:pt idx="276">
                  <c:v>3.2274368231046808</c:v>
                </c:pt>
                <c:pt idx="277">
                  <c:v>3.2316546762589806</c:v>
                </c:pt>
                <c:pt idx="278">
                  <c:v>3.2358422939067975</c:v>
                </c:pt>
                <c:pt idx="279">
                  <c:v>3.2399999999999878</c:v>
                </c:pt>
                <c:pt idx="280">
                  <c:v>3.244128113878991</c:v>
                </c:pt>
                <c:pt idx="281">
                  <c:v>3.2482269503545975</c:v>
                </c:pt>
                <c:pt idx="282">
                  <c:v>3.2522968197879734</c:v>
                </c:pt>
                <c:pt idx="283">
                  <c:v>3.2563380281690013</c:v>
                </c:pt>
                <c:pt idx="284">
                  <c:v>3.2603508771929697</c:v>
                </c:pt>
                <c:pt idx="285">
                  <c:v>3.2643356643356518</c:v>
                </c:pt>
                <c:pt idx="286">
                  <c:v>3.2682926829268166</c:v>
                </c:pt>
                <c:pt idx="287">
                  <c:v>3.2722222222222097</c:v>
                </c:pt>
                <c:pt idx="288">
                  <c:v>3.2761245674740356</c:v>
                </c:pt>
                <c:pt idx="289">
                  <c:v>3.2799999999999874</c:v>
                </c:pt>
                <c:pt idx="290">
                  <c:v>3.2838487972508461</c:v>
                </c:pt>
                <c:pt idx="291">
                  <c:v>3.2876712328766993</c:v>
                </c:pt>
                <c:pt idx="292">
                  <c:v>3.291467576791796</c:v>
                </c:pt>
                <c:pt idx="293">
                  <c:v>3.2952380952380822</c:v>
                </c:pt>
                <c:pt idx="294">
                  <c:v>3.2989830508474447</c:v>
                </c:pt>
                <c:pt idx="295">
                  <c:v>3.3027027027026898</c:v>
                </c:pt>
                <c:pt idx="296">
                  <c:v>3.3063973063972933</c:v>
                </c:pt>
                <c:pt idx="297">
                  <c:v>3.3100671140939468</c:v>
                </c:pt>
                <c:pt idx="298">
                  <c:v>3.3137123745819266</c:v>
                </c:pt>
                <c:pt idx="299">
                  <c:v>3.3173333333333201</c:v>
                </c:pt>
                <c:pt idx="300">
                  <c:v>3.3209302325581262</c:v>
                </c:pt>
                <c:pt idx="301">
                  <c:v>3.3245033112582649</c:v>
                </c:pt>
                <c:pt idx="302">
                  <c:v>3.3280528052805147</c:v>
                </c:pt>
                <c:pt idx="303">
                  <c:v>3.3315789473684077</c:v>
                </c:pt>
                <c:pt idx="304">
                  <c:v>3.3350819672131014</c:v>
                </c:pt>
                <c:pt idx="305">
                  <c:v>3.3385620915032548</c:v>
                </c:pt>
                <c:pt idx="306">
                  <c:v>3.3420195439739282</c:v>
                </c:pt>
                <c:pt idx="307">
                  <c:v>3.3454545454545324</c:v>
                </c:pt>
                <c:pt idx="308">
                  <c:v>3.3488673139158451</c:v>
                </c:pt>
                <c:pt idx="309">
                  <c:v>3.3522580645161169</c:v>
                </c:pt>
                <c:pt idx="310">
                  <c:v>3.3556270096462901</c:v>
                </c:pt>
                <c:pt idx="311">
                  <c:v>3.3589743589743475</c:v>
                </c:pt>
                <c:pt idx="312">
                  <c:v>3.3623003194888064</c:v>
                </c:pt>
                <c:pt idx="313">
                  <c:v>3.3656050955413903</c:v>
                </c:pt>
                <c:pt idx="314">
                  <c:v>3.3688888888888782</c:v>
                </c:pt>
                <c:pt idx="315">
                  <c:v>3.3721518987341668</c:v>
                </c:pt>
                <c:pt idx="316">
                  <c:v>3.3753943217665516</c:v>
                </c:pt>
                <c:pt idx="317">
                  <c:v>3.3786163522012482</c:v>
                </c:pt>
                <c:pt idx="318">
                  <c:v>3.3818181818181725</c:v>
                </c:pt>
                <c:pt idx="319">
                  <c:v>3.3849999999999909</c:v>
                </c:pt>
                <c:pt idx="320">
                  <c:v>3.3881619937694616</c:v>
                </c:pt>
                <c:pt idx="321">
                  <c:v>3.3913043478260785</c:v>
                </c:pt>
                <c:pt idx="322">
                  <c:v>3.3944272445820354</c:v>
                </c:pt>
                <c:pt idx="323">
                  <c:v>3.397530864197523</c:v>
                </c:pt>
                <c:pt idx="324">
                  <c:v>3.400615384615377</c:v>
                </c:pt>
                <c:pt idx="325">
                  <c:v>3.4036809815950848</c:v>
                </c:pt>
                <c:pt idx="326">
                  <c:v>3.4067278287461704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A-44B7-860F-235FF5B4C5EC}"/>
            </c:ext>
          </c:extLst>
        </c:ser>
        <c:ser>
          <c:idx val="1"/>
          <c:order val="1"/>
          <c:tx>
            <c:v>Kryds tyr gns m2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hol'!$A$3:$A$335</c:f>
              <c:numCache>
                <c:formatCode>General</c:formatCode>
                <c:ptCount val="3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</c:numCache>
            </c:numRef>
          </c:cat>
          <c:val>
            <c:numRef>
              <c:f>'Vækstfunktion, kry tyr'!$AI$3:$AI$335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2.2092592592592548</c:v>
                </c:pt>
                <c:pt idx="108">
                  <c:v>2.2183486238532066</c:v>
                </c:pt>
                <c:pt idx="109">
                  <c:v>2.2272727272727231</c:v>
                </c:pt>
                <c:pt idx="110">
                  <c:v>2.2360360360360314</c:v>
                </c:pt>
                <c:pt idx="111">
                  <c:v>2.2446428571428525</c:v>
                </c:pt>
                <c:pt idx="112">
                  <c:v>2.2530973451327387</c:v>
                </c:pt>
                <c:pt idx="113">
                  <c:v>2.2614035087719255</c:v>
                </c:pt>
                <c:pt idx="114">
                  <c:v>2.2695652173912997</c:v>
                </c:pt>
                <c:pt idx="115">
                  <c:v>2.2775862068965473</c:v>
                </c:pt>
                <c:pt idx="116">
                  <c:v>2.2854700854700809</c:v>
                </c:pt>
                <c:pt idx="117">
                  <c:v>2.2932203389830463</c:v>
                </c:pt>
                <c:pt idx="118">
                  <c:v>2.3008403361344492</c:v>
                </c:pt>
                <c:pt idx="119">
                  <c:v>2.3083333333333287</c:v>
                </c:pt>
                <c:pt idx="120">
                  <c:v>2.3157024793388383</c:v>
                </c:pt>
                <c:pt idx="121">
                  <c:v>2.3229508196721262</c:v>
                </c:pt>
                <c:pt idx="122">
                  <c:v>2.3300813008130032</c:v>
                </c:pt>
                <c:pt idx="123">
                  <c:v>2.3370967741935433</c:v>
                </c:pt>
                <c:pt idx="124">
                  <c:v>2.343999999999995</c:v>
                </c:pt>
                <c:pt idx="125">
                  <c:v>2.3507936507936456</c:v>
                </c:pt>
                <c:pt idx="126">
                  <c:v>2.3574803149606249</c:v>
                </c:pt>
                <c:pt idx="127">
                  <c:v>2.3640624999999948</c:v>
                </c:pt>
                <c:pt idx="128">
                  <c:v>2.3705426356589094</c:v>
                </c:pt>
                <c:pt idx="129">
                  <c:v>2.3769230769230716</c:v>
                </c:pt>
                <c:pt idx="130">
                  <c:v>2.3832061068702237</c:v>
                </c:pt>
                <c:pt idx="131">
                  <c:v>2.3893939393939339</c:v>
                </c:pt>
                <c:pt idx="132">
                  <c:v>2.3954887218045058</c:v>
                </c:pt>
                <c:pt idx="133">
                  <c:v>2.4014925373134273</c:v>
                </c:pt>
                <c:pt idx="134">
                  <c:v>2.4074074074074021</c:v>
                </c:pt>
                <c:pt idx="135">
                  <c:v>2.4132352941176416</c:v>
                </c:pt>
                <c:pt idx="136">
                  <c:v>2.4189781021897754</c:v>
                </c:pt>
                <c:pt idx="137">
                  <c:v>2.4246376811594148</c:v>
                </c:pt>
                <c:pt idx="138">
                  <c:v>2.4302158273381238</c:v>
                </c:pt>
                <c:pt idx="139">
                  <c:v>2.4357142857142802</c:v>
                </c:pt>
                <c:pt idx="140">
                  <c:v>2.4411347517730437</c:v>
                </c:pt>
                <c:pt idx="141">
                  <c:v>2.4464788732394309</c:v>
                </c:pt>
                <c:pt idx="142">
                  <c:v>2.4517482517482461</c:v>
                </c:pt>
                <c:pt idx="143">
                  <c:v>2.4569444444444386</c:v>
                </c:pt>
                <c:pt idx="144">
                  <c:v>2.4620689655172354</c:v>
                </c:pt>
                <c:pt idx="145">
                  <c:v>2.4671232876712268</c:v>
                </c:pt>
                <c:pt idx="146">
                  <c:v>2.4721088435374092</c:v>
                </c:pt>
                <c:pt idx="147">
                  <c:v>2.4770270270270212</c:v>
                </c:pt>
                <c:pt idx="148">
                  <c:v>2.4818791946308663</c:v>
                </c:pt>
                <c:pt idx="149">
                  <c:v>2.4866666666666606</c:v>
                </c:pt>
                <c:pt idx="150">
                  <c:v>2.4913907284768153</c:v>
                </c:pt>
                <c:pt idx="151">
                  <c:v>2.4960526315789413</c:v>
                </c:pt>
                <c:pt idx="152">
                  <c:v>2.5006535947712356</c:v>
                </c:pt>
                <c:pt idx="153">
                  <c:v>2.5051948051947992</c:v>
                </c:pt>
                <c:pt idx="154">
                  <c:v>2.5096774193548326</c:v>
                </c:pt>
                <c:pt idx="155">
                  <c:v>2.5141025641025578</c:v>
                </c:pt>
                <c:pt idx="156">
                  <c:v>2.5184713375796117</c:v>
                </c:pt>
                <c:pt idx="157">
                  <c:v>2.5227848101265757</c:v>
                </c:pt>
                <c:pt idx="158">
                  <c:v>2.5270440251572261</c:v>
                </c:pt>
                <c:pt idx="159">
                  <c:v>2.5312499999999938</c:v>
                </c:pt>
                <c:pt idx="160">
                  <c:v>2.535403726708068</c:v>
                </c:pt>
                <c:pt idx="161">
                  <c:v>2.5395061728394999</c:v>
                </c:pt>
                <c:pt idx="162">
                  <c:v>2.5435582822085823</c:v>
                </c:pt>
                <c:pt idx="163">
                  <c:v>2.5475609756097497</c:v>
                </c:pt>
                <c:pt idx="164">
                  <c:v>2.5515151515151451</c:v>
                </c:pt>
                <c:pt idx="165">
                  <c:v>2.5554216867469814</c:v>
                </c:pt>
                <c:pt idx="166">
                  <c:v>2.5592814371257417</c:v>
                </c:pt>
                <c:pt idx="167">
                  <c:v>2.5630952380952317</c:v>
                </c:pt>
                <c:pt idx="168">
                  <c:v>2.566863905325437</c:v>
                </c:pt>
                <c:pt idx="169">
                  <c:v>2.5705882352941112</c:v>
                </c:pt>
                <c:pt idx="170">
                  <c:v>2.5742690058479467</c:v>
                </c:pt>
                <c:pt idx="171">
                  <c:v>2.5779069767441793</c:v>
                </c:pt>
                <c:pt idx="172">
                  <c:v>2.5815028901734038</c:v>
                </c:pt>
                <c:pt idx="173">
                  <c:v>2.5850574712643608</c:v>
                </c:pt>
                <c:pt idx="174">
                  <c:v>2.5954285714285645</c:v>
                </c:pt>
                <c:pt idx="175">
                  <c:v>2.6056818181818113</c:v>
                </c:pt>
                <c:pt idx="176">
                  <c:v>2.6158192090395409</c:v>
                </c:pt>
                <c:pt idx="177">
                  <c:v>2.6258426966292063</c:v>
                </c:pt>
                <c:pt idx="178">
                  <c:v>2.635754189944127</c:v>
                </c:pt>
                <c:pt idx="179">
                  <c:v>2.6455555555555481</c:v>
                </c:pt>
                <c:pt idx="180">
                  <c:v>2.655248618784523</c:v>
                </c:pt>
                <c:pt idx="181">
                  <c:v>2.6648351648351571</c:v>
                </c:pt>
                <c:pt idx="182">
                  <c:v>2.6743169398907027</c:v>
                </c:pt>
                <c:pt idx="183">
                  <c:v>2.6836956521739053</c:v>
                </c:pt>
                <c:pt idx="184">
                  <c:v>2.6929729729729655</c:v>
                </c:pt>
                <c:pt idx="185">
                  <c:v>2.7021505376344006</c:v>
                </c:pt>
                <c:pt idx="186">
                  <c:v>2.7112299465240564</c:v>
                </c:pt>
                <c:pt idx="187">
                  <c:v>2.7202127659574389</c:v>
                </c:pt>
                <c:pt idx="188">
                  <c:v>2.729100529100521</c:v>
                </c:pt>
                <c:pt idx="189">
                  <c:v>2.7378947368420969</c:v>
                </c:pt>
                <c:pt idx="190">
                  <c:v>2.746596858638735</c:v>
                </c:pt>
                <c:pt idx="191">
                  <c:v>2.755208333333325</c:v>
                </c:pt>
                <c:pt idx="192">
                  <c:v>2.7637305699481782</c:v>
                </c:pt>
                <c:pt idx="193">
                  <c:v>2.7721649484535997</c:v>
                </c:pt>
                <c:pt idx="194">
                  <c:v>2.7805128205128118</c:v>
                </c:pt>
                <c:pt idx="195">
                  <c:v>2.788775510204073</c:v>
                </c:pt>
                <c:pt idx="196">
                  <c:v>2.7969543147208036</c:v>
                </c:pt>
                <c:pt idx="197">
                  <c:v>2.8050505050504961</c:v>
                </c:pt>
                <c:pt idx="198">
                  <c:v>2.8130653266331569</c:v>
                </c:pt>
                <c:pt idx="199">
                  <c:v>2.8209999999999913</c:v>
                </c:pt>
                <c:pt idx="200">
                  <c:v>2.8288557213930261</c:v>
                </c:pt>
                <c:pt idx="201">
                  <c:v>2.8366336633663276</c:v>
                </c:pt>
                <c:pt idx="202">
                  <c:v>2.8443349753694491</c:v>
                </c:pt>
                <c:pt idx="203">
                  <c:v>2.8519607843137162</c:v>
                </c:pt>
                <c:pt idx="204">
                  <c:v>2.8595121951219422</c:v>
                </c:pt>
                <c:pt idx="205">
                  <c:v>2.8669902912621268</c:v>
                </c:pt>
                <c:pt idx="206">
                  <c:v>2.874396135265691</c:v>
                </c:pt>
                <c:pt idx="207">
                  <c:v>2.8817307692307597</c:v>
                </c:pt>
                <c:pt idx="208">
                  <c:v>2.8889952153109952</c:v>
                </c:pt>
                <c:pt idx="209">
                  <c:v>2.8961904761904669</c:v>
                </c:pt>
                <c:pt idx="210">
                  <c:v>2.903317535545014</c:v>
                </c:pt>
                <c:pt idx="211">
                  <c:v>2.9103773584905563</c:v>
                </c:pt>
                <c:pt idx="212">
                  <c:v>2.9173708920187695</c:v>
                </c:pt>
                <c:pt idx="213">
                  <c:v>2.9242990654205512</c:v>
                </c:pt>
                <c:pt idx="214">
                  <c:v>2.9311627906976647</c:v>
                </c:pt>
                <c:pt idx="215">
                  <c:v>2.9379629629629531</c:v>
                </c:pt>
                <c:pt idx="216">
                  <c:v>2.9447004608294831</c:v>
                </c:pt>
                <c:pt idx="217">
                  <c:v>2.9513761467889807</c:v>
                </c:pt>
                <c:pt idx="218">
                  <c:v>2.9579908675798987</c:v>
                </c:pt>
                <c:pt idx="219">
                  <c:v>2.9645454545454446</c:v>
                </c:pt>
                <c:pt idx="220">
                  <c:v>2.9710407239818903</c:v>
                </c:pt>
                <c:pt idx="221">
                  <c:v>2.9774774774774673</c:v>
                </c:pt>
                <c:pt idx="222">
                  <c:v>2.9838565022421424</c:v>
                </c:pt>
                <c:pt idx="223">
                  <c:v>2.9901785714285611</c:v>
                </c:pt>
                <c:pt idx="224">
                  <c:v>2.996444444444434</c:v>
                </c:pt>
                <c:pt idx="225">
                  <c:v>3.0026548672566267</c:v>
                </c:pt>
                <c:pt idx="226">
                  <c:v>3.0088105726872141</c:v>
                </c:pt>
                <c:pt idx="227">
                  <c:v>3.0149122807017439</c:v>
                </c:pt>
                <c:pt idx="228">
                  <c:v>3.0209606986899455</c:v>
                </c:pt>
                <c:pt idx="229">
                  <c:v>3.0269565217391197</c:v>
                </c:pt>
                <c:pt idx="230">
                  <c:v>3.0329004329004223</c:v>
                </c:pt>
                <c:pt idx="231">
                  <c:v>3.0387931034482651</c:v>
                </c:pt>
                <c:pt idx="232">
                  <c:v>3.0446351931330362</c:v>
                </c:pt>
                <c:pt idx="233">
                  <c:v>3.0504273504273396</c:v>
                </c:pt>
                <c:pt idx="234">
                  <c:v>3.0561702127659465</c:v>
                </c:pt>
                <c:pt idx="235">
                  <c:v>3.0618644067796499</c:v>
                </c:pt>
                <c:pt idx="236">
                  <c:v>3.0675105485231957</c:v>
                </c:pt>
                <c:pt idx="237">
                  <c:v>3.0731092436974681</c:v>
                </c:pt>
                <c:pt idx="238">
                  <c:v>3.0786610878660978</c:v>
                </c:pt>
                <c:pt idx="239">
                  <c:v>3.0841666666666554</c:v>
                </c:pt>
                <c:pt idx="240">
                  <c:v>3.0896265560165861</c:v>
                </c:pt>
                <c:pt idx="241">
                  <c:v>3.0950413223140383</c:v>
                </c:pt>
                <c:pt idx="242">
                  <c:v>3.1004115226337334</c:v>
                </c:pt>
                <c:pt idx="243">
                  <c:v>3.1057377049180213</c:v>
                </c:pt>
                <c:pt idx="244">
                  <c:v>3.1110204081632538</c:v>
                </c:pt>
                <c:pt idx="245">
                  <c:v>3.1162601626016144</c:v>
                </c:pt>
                <c:pt idx="246">
                  <c:v>3.121457489878531</c:v>
                </c:pt>
                <c:pt idx="247">
                  <c:v>3.1266129032257948</c:v>
                </c:pt>
                <c:pt idx="248">
                  <c:v>3.1317269076305103</c:v>
                </c:pt>
                <c:pt idx="249">
                  <c:v>3.1367999999999885</c:v>
                </c:pt>
                <c:pt idx="250">
                  <c:v>3.1418326693226977</c:v>
                </c:pt>
                <c:pt idx="251">
                  <c:v>3.1468253968253852</c:v>
                </c:pt>
                <c:pt idx="252">
                  <c:v>3.1517786561264702</c:v>
                </c:pt>
                <c:pt idx="253">
                  <c:v>3.156692913385815</c:v>
                </c:pt>
                <c:pt idx="254">
                  <c:v>3.1615686274509684</c:v>
                </c:pt>
                <c:pt idx="255">
                  <c:v>3.1664062499999881</c:v>
                </c:pt>
                <c:pt idx="256">
                  <c:v>3.1712062256809217</c:v>
                </c:pt>
                <c:pt idx="257">
                  <c:v>3.1759689922480501</c:v>
                </c:pt>
                <c:pt idx="258">
                  <c:v>3.1806949806949687</c:v>
                </c:pt>
                <c:pt idx="259">
                  <c:v>3.1853846153846033</c:v>
                </c:pt>
                <c:pt idx="260">
                  <c:v>3.190038314176233</c:v>
                </c:pt>
                <c:pt idx="261">
                  <c:v>3.1946564885496063</c:v>
                </c:pt>
                <c:pt idx="262">
                  <c:v>3.1992395437262235</c:v>
                </c:pt>
                <c:pt idx="263">
                  <c:v>3.2037878787878666</c:v>
                </c:pt>
                <c:pt idx="264">
                  <c:v>3.2083018867924404</c:v>
                </c:pt>
                <c:pt idx="265">
                  <c:v>3.2127819548872059</c:v>
                </c:pt>
                <c:pt idx="266">
                  <c:v>3.2172284644194633</c:v>
                </c:pt>
                <c:pt idx="267">
                  <c:v>3.2216417910447639</c:v>
                </c:pt>
                <c:pt idx="268">
                  <c:v>3.2260223048327012</c:v>
                </c:pt>
                <c:pt idx="269">
                  <c:v>3.2303703703703581</c:v>
                </c:pt>
                <c:pt idx="270">
                  <c:v>3.2346863468634561</c:v>
                </c:pt>
                <c:pt idx="271">
                  <c:v>3.2389705882352815</c:v>
                </c:pt>
                <c:pt idx="272">
                  <c:v>3.2432234432234308</c:v>
                </c:pt>
                <c:pt idx="273">
                  <c:v>3.2474452554744397</c:v>
                </c:pt>
                <c:pt idx="274">
                  <c:v>3.2516363636363508</c:v>
                </c:pt>
                <c:pt idx="275">
                  <c:v>3.2557971014492626</c:v>
                </c:pt>
                <c:pt idx="276">
                  <c:v>3.2599277978339223</c:v>
                </c:pt>
                <c:pt idx="277">
                  <c:v>3.2640287769784044</c:v>
                </c:pt>
                <c:pt idx="278">
                  <c:v>3.2681003584229265</c:v>
                </c:pt>
                <c:pt idx="279">
                  <c:v>3.2721428571428444</c:v>
                </c:pt>
                <c:pt idx="280">
                  <c:v>3.2761565836298803</c:v>
                </c:pt>
                <c:pt idx="281">
                  <c:v>3.2801418439716183</c:v>
                </c:pt>
                <c:pt idx="282">
                  <c:v>3.2840989399293159</c:v>
                </c:pt>
                <c:pt idx="283">
                  <c:v>3.2880281690140714</c:v>
                </c:pt>
                <c:pt idx="284">
                  <c:v>3.2919298245613904</c:v>
                </c:pt>
                <c:pt idx="285">
                  <c:v>3.2958041958041826</c:v>
                </c:pt>
                <c:pt idx="286">
                  <c:v>3.2996515679442378</c:v>
                </c:pt>
                <c:pt idx="287">
                  <c:v>3.3034722222222093</c:v>
                </c:pt>
                <c:pt idx="288">
                  <c:v>3.3072664359861461</c:v>
                </c:pt>
                <c:pt idx="289">
                  <c:v>3.3110344827586076</c:v>
                </c:pt>
                <c:pt idx="290">
                  <c:v>3.3147766323023924</c:v>
                </c:pt>
                <c:pt idx="291">
                  <c:v>3.3184931506849185</c:v>
                </c:pt>
                <c:pt idx="292">
                  <c:v>3.3221843003412839</c:v>
                </c:pt>
                <c:pt idx="293">
                  <c:v>3.3258503401360411</c:v>
                </c:pt>
                <c:pt idx="294">
                  <c:v>3.3294915254237156</c:v>
                </c:pt>
                <c:pt idx="295">
                  <c:v>3.3331081081080947</c:v>
                </c:pt>
                <c:pt idx="296">
                  <c:v>3.3367003367003232</c:v>
                </c:pt>
                <c:pt idx="297">
                  <c:v>3.3402684563758256</c:v>
                </c:pt>
                <c:pt idx="298">
                  <c:v>3.3438127090300869</c:v>
                </c:pt>
                <c:pt idx="299">
                  <c:v>3.3473333333333199</c:v>
                </c:pt>
                <c:pt idx="300">
                  <c:v>3.3508305647840397</c:v>
                </c:pt>
                <c:pt idx="301">
                  <c:v>3.3543046357615758</c:v>
                </c:pt>
                <c:pt idx="302">
                  <c:v>3.357755775577544</c:v>
                </c:pt>
                <c:pt idx="303">
                  <c:v>3.3611842105263023</c:v>
                </c:pt>
                <c:pt idx="304">
                  <c:v>3.3645901639344129</c:v>
                </c:pt>
                <c:pt idx="305">
                  <c:v>3.3679738562091375</c:v>
                </c:pt>
                <c:pt idx="306">
                  <c:v>3.3713355048859808</c:v>
                </c:pt>
                <c:pt idx="307">
                  <c:v>3.3746753246753123</c:v>
                </c:pt>
                <c:pt idx="308">
                  <c:v>3.3779935275080786</c:v>
                </c:pt>
                <c:pt idx="309">
                  <c:v>3.3812903225806337</c:v>
                </c:pt>
                <c:pt idx="310">
                  <c:v>3.3845659163987025</c:v>
                </c:pt>
                <c:pt idx="311">
                  <c:v>3.3878205128205017</c:v>
                </c:pt>
                <c:pt idx="312">
                  <c:v>3.3910543130990307</c:v>
                </c:pt>
                <c:pt idx="313">
                  <c:v>3.3942675159235565</c:v>
                </c:pt>
                <c:pt idx="314">
                  <c:v>3.3974603174603075</c:v>
                </c:pt>
                <c:pt idx="315">
                  <c:v>3.4006329113923952</c:v>
                </c:pt>
                <c:pt idx="316">
                  <c:v>3.4037854889589814</c:v>
                </c:pt>
                <c:pt idx="317">
                  <c:v>3.4069182389937018</c:v>
                </c:pt>
                <c:pt idx="318">
                  <c:v>3.4100313479623736</c:v>
                </c:pt>
                <c:pt idx="319">
                  <c:v>3.4131249999999915</c:v>
                </c:pt>
                <c:pt idx="320">
                  <c:v>3.4161993769470325</c:v>
                </c:pt>
                <c:pt idx="321">
                  <c:v>3.4192546583850856</c:v>
                </c:pt>
                <c:pt idx="322">
                  <c:v>3.422291021671819</c:v>
                </c:pt>
                <c:pt idx="323">
                  <c:v>3.4253086419753016</c:v>
                </c:pt>
                <c:pt idx="324">
                  <c:v>3.4283076923076856</c:v>
                </c:pt>
                <c:pt idx="325">
                  <c:v>3.4312883435582755</c:v>
                </c:pt>
                <c:pt idx="326">
                  <c:v>3.4342507645259874</c:v>
                </c:pt>
                <c:pt idx="327">
                  <c:v>3.4371951219512136</c:v>
                </c:pt>
                <c:pt idx="328">
                  <c:v>3.4401215805471068</c:v>
                </c:pt>
                <c:pt idx="329">
                  <c:v>3.4430303030302976</c:v>
                </c:pt>
                <c:pt idx="330">
                  <c:v>3.4459214501510522</c:v>
                </c:pt>
                <c:pt idx="331">
                  <c:v>3.4487951807228869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A-44B7-860F-235FF5B4C5EC}"/>
            </c:ext>
          </c:extLst>
        </c:ser>
        <c:ser>
          <c:idx val="2"/>
          <c:order val="2"/>
          <c:tx>
            <c:v>kryds kvie, gns m2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hol'!$A$3:$A$335</c:f>
              <c:numCache>
                <c:formatCode>General</c:formatCode>
                <c:ptCount val="3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</c:numCache>
            </c:numRef>
          </c:cat>
          <c:val>
            <c:numRef>
              <c:f>'Vækstfunktion, kry kvie'!$AI$3:$AI$335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2.1999999999999957</c:v>
                </c:pt>
                <c:pt idx="108">
                  <c:v>2.1999999999999957</c:v>
                </c:pt>
                <c:pt idx="109">
                  <c:v>2.1999999999999957</c:v>
                </c:pt>
                <c:pt idx="110">
                  <c:v>2.1999999999999957</c:v>
                </c:pt>
                <c:pt idx="111">
                  <c:v>2.1999999999999953</c:v>
                </c:pt>
                <c:pt idx="112">
                  <c:v>2.1999999999999953</c:v>
                </c:pt>
                <c:pt idx="113">
                  <c:v>2.1999999999999953</c:v>
                </c:pt>
                <c:pt idx="114">
                  <c:v>2.1999999999999953</c:v>
                </c:pt>
                <c:pt idx="115">
                  <c:v>2.1999999999999953</c:v>
                </c:pt>
                <c:pt idx="116">
                  <c:v>2.2085470085470038</c:v>
                </c:pt>
                <c:pt idx="117">
                  <c:v>2.2169491525423681</c:v>
                </c:pt>
                <c:pt idx="118">
                  <c:v>2.2252100840336086</c:v>
                </c:pt>
                <c:pt idx="119">
                  <c:v>2.2333333333333285</c:v>
                </c:pt>
                <c:pt idx="120">
                  <c:v>2.2413223140495822</c:v>
                </c:pt>
                <c:pt idx="121">
                  <c:v>2.2491803278688476</c:v>
                </c:pt>
                <c:pt idx="122">
                  <c:v>2.2569105691056861</c:v>
                </c:pt>
                <c:pt idx="123">
                  <c:v>2.2645161290322533</c:v>
                </c:pt>
                <c:pt idx="124">
                  <c:v>2.2719999999999949</c:v>
                </c:pt>
                <c:pt idx="125">
                  <c:v>2.2793650793650744</c:v>
                </c:pt>
                <c:pt idx="126">
                  <c:v>2.2866141732283412</c:v>
                </c:pt>
                <c:pt idx="127">
                  <c:v>2.2937499999999948</c:v>
                </c:pt>
                <c:pt idx="128">
                  <c:v>2.3007751937984442</c:v>
                </c:pt>
                <c:pt idx="129">
                  <c:v>2.3076923076923026</c:v>
                </c:pt>
                <c:pt idx="130">
                  <c:v>2.3145038167938878</c:v>
                </c:pt>
                <c:pt idx="131">
                  <c:v>2.321212121212116</c:v>
                </c:pt>
                <c:pt idx="132">
                  <c:v>2.3278195488721751</c:v>
                </c:pt>
                <c:pt idx="133">
                  <c:v>2.3343283582089498</c:v>
                </c:pt>
                <c:pt idx="134">
                  <c:v>2.3407407407407352</c:v>
                </c:pt>
                <c:pt idx="135">
                  <c:v>2.3470588235294061</c:v>
                </c:pt>
                <c:pt idx="136">
                  <c:v>2.3532846715328413</c:v>
                </c:pt>
                <c:pt idx="137">
                  <c:v>2.3594202898550667</c:v>
                </c:pt>
                <c:pt idx="138">
                  <c:v>2.3654676258992748</c:v>
                </c:pt>
                <c:pt idx="139">
                  <c:v>2.3714285714285657</c:v>
                </c:pt>
                <c:pt idx="140">
                  <c:v>2.3773049645390012</c:v>
                </c:pt>
                <c:pt idx="141">
                  <c:v>2.3830985915492899</c:v>
                </c:pt>
                <c:pt idx="142">
                  <c:v>2.3888111888111832</c:v>
                </c:pt>
                <c:pt idx="143">
                  <c:v>2.3944444444444386</c:v>
                </c:pt>
                <c:pt idx="144">
                  <c:v>2.3999999999999941</c:v>
                </c:pt>
                <c:pt idx="145">
                  <c:v>2.4054794520547884</c:v>
                </c:pt>
                <c:pt idx="146">
                  <c:v>2.4108843537414906</c:v>
                </c:pt>
                <c:pt idx="147">
                  <c:v>2.4162162162162102</c:v>
                </c:pt>
                <c:pt idx="148">
                  <c:v>2.4214765100671078</c:v>
                </c:pt>
                <c:pt idx="149">
                  <c:v>2.4266666666666605</c:v>
                </c:pt>
                <c:pt idx="150">
                  <c:v>2.4317880794701927</c:v>
                </c:pt>
                <c:pt idx="151">
                  <c:v>2.4368421052631519</c:v>
                </c:pt>
                <c:pt idx="152">
                  <c:v>2.4418300653594711</c:v>
                </c:pt>
                <c:pt idx="153">
                  <c:v>2.4467532467532407</c:v>
                </c:pt>
                <c:pt idx="154">
                  <c:v>2.4516129032258003</c:v>
                </c:pt>
                <c:pt idx="155">
                  <c:v>2.4564102564102503</c:v>
                </c:pt>
                <c:pt idx="156">
                  <c:v>2.4611464968152803</c:v>
                </c:pt>
                <c:pt idx="157">
                  <c:v>2.4658227848101202</c:v>
                </c:pt>
                <c:pt idx="158">
                  <c:v>2.4704402515723207</c:v>
                </c:pt>
                <c:pt idx="159">
                  <c:v>2.4749999999999934</c:v>
                </c:pt>
                <c:pt idx="160">
                  <c:v>2.4795031055900556</c:v>
                </c:pt>
                <c:pt idx="161">
                  <c:v>2.4839506172839441</c:v>
                </c:pt>
                <c:pt idx="162">
                  <c:v>2.4883435582822022</c:v>
                </c:pt>
                <c:pt idx="163">
                  <c:v>2.4926829268292616</c:v>
                </c:pt>
                <c:pt idx="164">
                  <c:v>2.4969696969696904</c:v>
                </c:pt>
                <c:pt idx="165">
                  <c:v>2.5012048192771017</c:v>
                </c:pt>
                <c:pt idx="166">
                  <c:v>2.5053892215568796</c:v>
                </c:pt>
                <c:pt idx="167">
                  <c:v>2.5095238095238028</c:v>
                </c:pt>
                <c:pt idx="168">
                  <c:v>2.5136094674556144</c:v>
                </c:pt>
                <c:pt idx="169">
                  <c:v>2.5176470588235227</c:v>
                </c:pt>
                <c:pt idx="170">
                  <c:v>2.5216374269005781</c:v>
                </c:pt>
                <c:pt idx="171">
                  <c:v>2.5255813953488304</c:v>
                </c:pt>
                <c:pt idx="172">
                  <c:v>2.5294797687861204</c:v>
                </c:pt>
                <c:pt idx="173">
                  <c:v>2.5333333333333266</c:v>
                </c:pt>
                <c:pt idx="174">
                  <c:v>2.5371428571428503</c:v>
                </c:pt>
                <c:pt idx="175">
                  <c:v>2.5409090909090839</c:v>
                </c:pt>
                <c:pt idx="176">
                  <c:v>2.5446327683615753</c:v>
                </c:pt>
                <c:pt idx="177">
                  <c:v>2.5483146067415663</c:v>
                </c:pt>
                <c:pt idx="178">
                  <c:v>2.5519553072625629</c:v>
                </c:pt>
                <c:pt idx="179">
                  <c:v>2.5555555555555487</c:v>
                </c:pt>
                <c:pt idx="180">
                  <c:v>2.5591160220994404</c:v>
                </c:pt>
                <c:pt idx="181">
                  <c:v>2.5626373626373558</c:v>
                </c:pt>
                <c:pt idx="182">
                  <c:v>2.5661202185792278</c:v>
                </c:pt>
                <c:pt idx="183">
                  <c:v>2.5695652173912973</c:v>
                </c:pt>
                <c:pt idx="184">
                  <c:v>2.5729729729729658</c:v>
                </c:pt>
                <c:pt idx="185">
                  <c:v>2.5763440860214981</c:v>
                </c:pt>
                <c:pt idx="186">
                  <c:v>2.5796791443850196</c:v>
                </c:pt>
                <c:pt idx="187">
                  <c:v>2.5893617021276523</c:v>
                </c:pt>
                <c:pt idx="188">
                  <c:v>2.5989417989417918</c:v>
                </c:pt>
                <c:pt idx="189">
                  <c:v>2.6084210526315714</c:v>
                </c:pt>
                <c:pt idx="190">
                  <c:v>2.6178010471204116</c:v>
                </c:pt>
                <c:pt idx="191">
                  <c:v>2.6270833333333257</c:v>
                </c:pt>
                <c:pt idx="192">
                  <c:v>2.6362694300518057</c:v>
                </c:pt>
                <c:pt idx="193">
                  <c:v>2.6453608247422609</c:v>
                </c:pt>
                <c:pt idx="194">
                  <c:v>2.6543589743589671</c:v>
                </c:pt>
                <c:pt idx="195">
                  <c:v>2.6632653061224416</c:v>
                </c:pt>
                <c:pt idx="196">
                  <c:v>2.6720812182741041</c:v>
                </c:pt>
                <c:pt idx="197">
                  <c:v>2.680808080808073</c:v>
                </c:pt>
                <c:pt idx="198">
                  <c:v>2.6894472361808965</c:v>
                </c:pt>
                <c:pt idx="199">
                  <c:v>2.697999999999992</c:v>
                </c:pt>
                <c:pt idx="200">
                  <c:v>2.7064676616915344</c:v>
                </c:pt>
                <c:pt idx="201">
                  <c:v>2.714851485148507</c:v>
                </c:pt>
                <c:pt idx="202">
                  <c:v>2.723152709359598</c:v>
                </c:pt>
                <c:pt idx="203">
                  <c:v>2.7313725490195999</c:v>
                </c:pt>
                <c:pt idx="204">
                  <c:v>2.739512195121943</c:v>
                </c:pt>
                <c:pt idx="205">
                  <c:v>2.7475728155339723</c:v>
                </c:pt>
                <c:pt idx="206">
                  <c:v>2.7555555555555471</c:v>
                </c:pt>
                <c:pt idx="207">
                  <c:v>2.76346153846153</c:v>
                </c:pt>
                <c:pt idx="208">
                  <c:v>2.7712918660286996</c:v>
                </c:pt>
                <c:pt idx="209">
                  <c:v>2.7790476190476103</c:v>
                </c:pt>
                <c:pt idx="210">
                  <c:v>2.7867298578198967</c:v>
                </c:pt>
                <c:pt idx="211">
                  <c:v>2.7943396226415009</c:v>
                </c:pt>
                <c:pt idx="212">
                  <c:v>2.8018779342722917</c:v>
                </c:pt>
                <c:pt idx="213">
                  <c:v>2.8093457943925144</c:v>
                </c:pt>
                <c:pt idx="214">
                  <c:v>2.8167441860465026</c:v>
                </c:pt>
                <c:pt idx="215">
                  <c:v>2.8240740740740651</c:v>
                </c:pt>
                <c:pt idx="216">
                  <c:v>2.831336405529945</c:v>
                </c:pt>
                <c:pt idx="217">
                  <c:v>2.8385321100917342</c:v>
                </c:pt>
                <c:pt idx="218">
                  <c:v>2.8456621004566118</c:v>
                </c:pt>
                <c:pt idx="219">
                  <c:v>2.8527272727272637</c:v>
                </c:pt>
                <c:pt idx="220">
                  <c:v>2.859728506787321</c:v>
                </c:pt>
                <c:pt idx="221">
                  <c:v>2.8666666666666574</c:v>
                </c:pt>
                <c:pt idx="222">
                  <c:v>2.8735426008968514</c:v>
                </c:pt>
                <c:pt idx="223">
                  <c:v>2.8803571428571333</c:v>
                </c:pt>
                <c:pt idx="224">
                  <c:v>2.8871111111111016</c:v>
                </c:pt>
                <c:pt idx="225">
                  <c:v>2.8938053097345038</c:v>
                </c:pt>
                <c:pt idx="226">
                  <c:v>2.9004405286343515</c:v>
                </c:pt>
                <c:pt idx="227">
                  <c:v>2.9070175438596393</c:v>
                </c:pt>
                <c:pt idx="228">
                  <c:v>2.9135371179039202</c:v>
                </c:pt>
                <c:pt idx="229">
                  <c:v>2.9199999999999902</c:v>
                </c:pt>
                <c:pt idx="230">
                  <c:v>2.9264069264069166</c:v>
                </c:pt>
                <c:pt idx="231">
                  <c:v>2.9327586206896452</c:v>
                </c:pt>
                <c:pt idx="232">
                  <c:v>2.9390557939914062</c:v>
                </c:pt>
                <c:pt idx="233">
                  <c:v>2.9452991452991353</c:v>
                </c:pt>
                <c:pt idx="234">
                  <c:v>2.9514893617021176</c:v>
                </c:pt>
                <c:pt idx="235">
                  <c:v>2.9576271186440577</c:v>
                </c:pt>
                <c:pt idx="236">
                  <c:v>2.9637130801687661</c:v>
                </c:pt>
                <c:pt idx="237">
                  <c:v>2.9697478991596538</c:v>
                </c:pt>
                <c:pt idx="238">
                  <c:v>2.9757322175732113</c:v>
                </c:pt>
                <c:pt idx="239">
                  <c:v>2.9816666666666563</c:v>
                </c:pt>
                <c:pt idx="240">
                  <c:v>2.9875518672199068</c:v>
                </c:pt>
                <c:pt idx="241">
                  <c:v>2.9933884297520557</c:v>
                </c:pt>
                <c:pt idx="242">
                  <c:v>2.9991769547325</c:v>
                </c:pt>
                <c:pt idx="243">
                  <c:v>3.0049180327868745</c:v>
                </c:pt>
                <c:pt idx="244">
                  <c:v>3.0106122448979487</c:v>
                </c:pt>
                <c:pt idx="245">
                  <c:v>3.0162601626016152</c:v>
                </c:pt>
                <c:pt idx="246">
                  <c:v>3.0218623481781268</c:v>
                </c:pt>
                <c:pt idx="247">
                  <c:v>3.027419354838699</c:v>
                </c:pt>
                <c:pt idx="248">
                  <c:v>3.0329317269076199</c:v>
                </c:pt>
                <c:pt idx="249">
                  <c:v>3.0383999999999891</c:v>
                </c:pt>
                <c:pt idx="250">
                  <c:v>3.0438247011952084</c:v>
                </c:pt>
                <c:pt idx="251">
                  <c:v>3.0492063492063384</c:v>
                </c:pt>
                <c:pt idx="252">
                  <c:v>3.0545454545454436</c:v>
                </c:pt>
                <c:pt idx="253">
                  <c:v>3.0598425196850285</c:v>
                </c:pt>
                <c:pt idx="254">
                  <c:v>3.065098039215675</c:v>
                </c:pt>
                <c:pt idx="255">
                  <c:v>3.0703124999999889</c:v>
                </c:pt>
                <c:pt idx="256">
                  <c:v>3.0754863813229463</c:v>
                </c:pt>
                <c:pt idx="257">
                  <c:v>3.0806201550387486</c:v>
                </c:pt>
                <c:pt idx="258">
                  <c:v>3.0857142857142743</c:v>
                </c:pt>
                <c:pt idx="259">
                  <c:v>3.0907692307692196</c:v>
                </c:pt>
                <c:pt idx="260">
                  <c:v>3.0957854406130156</c:v>
                </c:pt>
                <c:pt idx="261">
                  <c:v>3.1007633587786145</c:v>
                </c:pt>
                <c:pt idx="262">
                  <c:v>3.1057034220532205</c:v>
                </c:pt>
                <c:pt idx="263">
                  <c:v>3.1106060606060493</c:v>
                </c:pt>
                <c:pt idx="264">
                  <c:v>3.115471698113196</c:v>
                </c:pt>
                <c:pt idx="265">
                  <c:v>3.1203007518796877</c:v>
                </c:pt>
                <c:pt idx="266">
                  <c:v>3.1250936329587899</c:v>
                </c:pt>
                <c:pt idx="267">
                  <c:v>3.1298507462686449</c:v>
                </c:pt>
                <c:pt idx="268">
                  <c:v>3.1345724907063079</c:v>
                </c:pt>
                <c:pt idx="269">
                  <c:v>3.1392592592592474</c:v>
                </c:pt>
                <c:pt idx="270">
                  <c:v>3.1439114391143792</c:v>
                </c:pt>
                <c:pt idx="271">
                  <c:v>3.1485294117646943</c:v>
                </c:pt>
                <c:pt idx="272">
                  <c:v>3.1531135531135415</c:v>
                </c:pt>
                <c:pt idx="273">
                  <c:v>3.1576642335766305</c:v>
                </c:pt>
                <c:pt idx="274">
                  <c:v>3.1621818181818062</c:v>
                </c:pt>
                <c:pt idx="275">
                  <c:v>3.1666666666666545</c:v>
                </c:pt>
                <c:pt idx="276">
                  <c:v>3.1711191335739954</c:v>
                </c:pt>
                <c:pt idx="277">
                  <c:v>3.1755395683453118</c:v>
                </c:pt>
                <c:pt idx="278">
                  <c:v>3.1799283154121745</c:v>
                </c:pt>
                <c:pt idx="279">
                  <c:v>3.1842857142857022</c:v>
                </c:pt>
                <c:pt idx="280">
                  <c:v>3.1886120996441161</c:v>
                </c:pt>
                <c:pt idx="281">
                  <c:v>3.1929078014184276</c:v>
                </c:pt>
                <c:pt idx="282">
                  <c:v>3.197173144876313</c:v>
                </c:pt>
                <c:pt idx="283">
                  <c:v>3.2014084507042133</c:v>
                </c:pt>
                <c:pt idx="284">
                  <c:v>3.2056140350877071</c:v>
                </c:pt>
                <c:pt idx="285">
                  <c:v>3.2097902097901976</c:v>
                </c:pt>
                <c:pt idx="286">
                  <c:v>3.2139372822299528</c:v>
                </c:pt>
                <c:pt idx="287">
                  <c:v>3.218055555555543</c:v>
                </c:pt>
                <c:pt idx="288">
                  <c:v>3.2221453287197108</c:v>
                </c:pt>
                <c:pt idx="289">
                  <c:v>3.2262068965517119</c:v>
                </c:pt>
                <c:pt idx="290">
                  <c:v>3.2302405498281663</c:v>
                </c:pt>
                <c:pt idx="291">
                  <c:v>3.2342465753424534</c:v>
                </c:pt>
                <c:pt idx="292">
                  <c:v>3.2382252559726838</c:v>
                </c:pt>
                <c:pt idx="293">
                  <c:v>3.2421768707482865</c:v>
                </c:pt>
                <c:pt idx="294">
                  <c:v>3.2461016949152417</c:v>
                </c:pt>
                <c:pt idx="295">
                  <c:v>3.2499999999999871</c:v>
                </c:pt>
                <c:pt idx="296">
                  <c:v>3.2538720538720414</c:v>
                </c:pt>
                <c:pt idx="297">
                  <c:v>3.2577181208053565</c:v>
                </c:pt>
                <c:pt idx="298">
                  <c:v>3.2615384615384486</c:v>
                </c:pt>
                <c:pt idx="299">
                  <c:v>3.2653333333333205</c:v>
                </c:pt>
                <c:pt idx="300">
                  <c:v>3.2691029900332098</c:v>
                </c:pt>
                <c:pt idx="301">
                  <c:v>3.2728476821191923</c:v>
                </c:pt>
                <c:pt idx="302">
                  <c:v>3.2765676567656636</c:v>
                </c:pt>
                <c:pt idx="303">
                  <c:v>3.2802631578947241</c:v>
                </c:pt>
                <c:pt idx="304">
                  <c:v>3.2839344262294952</c:v>
                </c:pt>
                <c:pt idx="305">
                  <c:v>3.2875816993463922</c:v>
                </c:pt>
                <c:pt idx="306">
                  <c:v>3.2912052117263713</c:v>
                </c:pt>
                <c:pt idx="307">
                  <c:v>3.2948051948051815</c:v>
                </c:pt>
                <c:pt idx="308">
                  <c:v>3.2983818770226407</c:v>
                </c:pt>
                <c:pt idx="309">
                  <c:v>3.3019354838709547</c:v>
                </c:pt>
                <c:pt idx="310">
                  <c:v>3.3054662379421091</c:v>
                </c:pt>
                <c:pt idx="311">
                  <c:v>3.3089743589743463</c:v>
                </c:pt>
                <c:pt idx="312">
                  <c:v>3.3124600638977513</c:v>
                </c:pt>
                <c:pt idx="313">
                  <c:v>3.3159235668789688</c:v>
                </c:pt>
                <c:pt idx="314">
                  <c:v>3.3193650793650673</c:v>
                </c:pt>
                <c:pt idx="315">
                  <c:v>3.3227848101265707</c:v>
                </c:pt>
                <c:pt idx="316">
                  <c:v>3.3261829652996733</c:v>
                </c:pt>
                <c:pt idx="317">
                  <c:v>3.3295597484276622</c:v>
                </c:pt>
                <c:pt idx="318">
                  <c:v>3.3329153605015569</c:v>
                </c:pt>
                <c:pt idx="319">
                  <c:v>3.3362499999999899</c:v>
                </c:pt>
                <c:pt idx="320">
                  <c:v>3.3395638629283391</c:v>
                </c:pt>
                <c:pt idx="321">
                  <c:v>3.3428571428571332</c:v>
                </c:pt>
                <c:pt idx="322">
                  <c:v>3.3461300309597428</c:v>
                </c:pt>
                <c:pt idx="323">
                  <c:v>3.3493827160493739</c:v>
                </c:pt>
                <c:pt idx="324">
                  <c:v>3.3526153846153761</c:v>
                </c:pt>
                <c:pt idx="325">
                  <c:v>3.3558282208588874</c:v>
                </c:pt>
                <c:pt idx="326">
                  <c:v>3.3590214067278206</c:v>
                </c:pt>
                <c:pt idx="327">
                  <c:v>3.3621951219512116</c:v>
                </c:pt>
                <c:pt idx="328">
                  <c:v>3.3653495440729411</c:v>
                </c:pt>
                <c:pt idx="329">
                  <c:v>3.3684848484848415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A-44B7-860F-235FF5B4C5EC}"/>
            </c:ext>
          </c:extLst>
        </c:ser>
        <c:ser>
          <c:idx val="3"/>
          <c:order val="3"/>
          <c:tx>
            <c:v>hol tyr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4.4000000000000004</c:v>
                </c:pt>
                <c:pt idx="180">
                  <c:v>4.4000000000000004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4.4000000000000004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A-44B7-860F-235FF5B4C5EC}"/>
            </c:ext>
          </c:extLst>
        </c:ser>
        <c:ser>
          <c:idx val="4"/>
          <c:order val="4"/>
          <c:tx>
            <c:v>kryds tyr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4.4000000000000004</c:v>
                </c:pt>
                <c:pt idx="175">
                  <c:v>4.4000000000000004</c:v>
                </c:pt>
                <c:pt idx="176">
                  <c:v>4.4000000000000004</c:v>
                </c:pt>
                <c:pt idx="177">
                  <c:v>4.4000000000000004</c:v>
                </c:pt>
                <c:pt idx="178">
                  <c:v>4.4000000000000004</c:v>
                </c:pt>
                <c:pt idx="179">
                  <c:v>4.4000000000000004</c:v>
                </c:pt>
                <c:pt idx="180">
                  <c:v>4.4000000000000004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4.4000000000000004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4.4000000000000004</c:v>
                </c:pt>
                <c:pt idx="328">
                  <c:v>4.4000000000000004</c:v>
                </c:pt>
                <c:pt idx="329">
                  <c:v>4.4000000000000004</c:v>
                </c:pt>
                <c:pt idx="330">
                  <c:v>4.4000000000000004</c:v>
                </c:pt>
                <c:pt idx="331">
                  <c:v>4.4000000000000004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A-44B7-860F-235FF5B4C5EC}"/>
            </c:ext>
          </c:extLst>
        </c:ser>
        <c:ser>
          <c:idx val="5"/>
          <c:order val="5"/>
          <c:tx>
            <c:v>kryds kvie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4.4000000000000004</c:v>
                </c:pt>
                <c:pt idx="328">
                  <c:v>4.4000000000000004</c:v>
                </c:pt>
                <c:pt idx="329">
                  <c:v>4.4000000000000004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A-44B7-860F-235FF5B4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533632"/>
        <c:axId val="726640304"/>
      </c:lineChart>
      <c:catAx>
        <c:axId val="143653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0304"/>
        <c:crosses val="autoZero"/>
        <c:auto val="1"/>
        <c:lblAlgn val="ctr"/>
        <c:lblOffset val="100"/>
        <c:noMultiLvlLbl val="0"/>
      </c:catAx>
      <c:valAx>
        <c:axId val="72664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43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Følsomhedsberegning ved ændring i priser på foder- og kød </a:t>
            </a:r>
          </a:p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(Parantes angiver optimal</a:t>
            </a:r>
            <a:r>
              <a:rPr lang="en-US" sz="2000" baseline="0"/>
              <a:t> slagtealder) Holstein tyr</a:t>
            </a:r>
            <a:endParaRPr lang="en-US" sz="2000"/>
          </a:p>
        </c:rich>
      </c:tx>
      <c:layout>
        <c:manualLayout>
          <c:xMode val="edge"/>
          <c:yMode val="edge"/>
          <c:x val="0.20660645236851702"/>
          <c:y val="9.42480839624269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7407926179997055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Forudsætninger!$S$259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792CF186-ABEB-4EF4-BCDA-8A716BED85D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F31DCDF-9B1C-4D3C-8913-96C57579C20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62644D2-80F9-4BAC-8136-8EAE65D7CF6A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60A6B04-AB5B-459C-9CAA-9243B4A9946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89EFF59-BB03-4289-A047-CFD319C90F3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9DAF9CF-C757-4E34-B677-00CDCE913A06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vert="horz" wrap="none" lIns="72000" tIns="19050" rIns="38100" bIns="19050" anchor="ctr">
                <a:spAutoFit/>
              </a:bodyPr>
              <a:lstStyle/>
              <a:p>
                <a:pPr>
                  <a:defRPr/>
                </a:pPr>
                <a:endParaRPr lang="da-DK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Forudsætninger!$T$259:$Y$259</c:f>
              <c:numCache>
                <c:formatCode>#,##0</c:formatCode>
                <c:ptCount val="6"/>
                <c:pt idx="0">
                  <c:v>11.200092002155314</c:v>
                </c:pt>
                <c:pt idx="1">
                  <c:v>10.189494255135974</c:v>
                </c:pt>
                <c:pt idx="2">
                  <c:v>9.1788965081166296</c:v>
                </c:pt>
                <c:pt idx="3">
                  <c:v>8.1682987610972937</c:v>
                </c:pt>
                <c:pt idx="4">
                  <c:v>7.1577010140779489</c:v>
                </c:pt>
                <c:pt idx="5">
                  <c:v>6.1471032670586103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Forudsætninger!$AA$259:$AF$259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FC9-46DF-A0F3-15311B65354A}"/>
            </c:ext>
          </c:extLst>
        </c:ser>
        <c:ser>
          <c:idx val="7"/>
          <c:order val="1"/>
          <c:tx>
            <c:strRef>
              <c:f>Forudsætninger!$S$260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D88866-1D51-4B63-B7A9-43FD758557C4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C6003FA-02CA-4054-A17D-CCA01CBE3B7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33DE8A-ABC3-43CB-AE7C-FE8ED958E31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E6AEF9D-4C3C-4926-A471-C9FA3C5CA69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61762AB-285F-4215-9A3B-EB95FD5B347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41B518D-94EC-4B4A-A9BD-11989A0B001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Forudsætninger!$T$260:$Y$260</c:f>
              <c:numCache>
                <c:formatCode>#,##0</c:formatCode>
                <c:ptCount val="6"/>
                <c:pt idx="0">
                  <c:v>9.68416919081068</c:v>
                </c:pt>
                <c:pt idx="1">
                  <c:v>8.6735714437913405</c:v>
                </c:pt>
                <c:pt idx="2">
                  <c:v>7.6629736967719966</c:v>
                </c:pt>
                <c:pt idx="3">
                  <c:v>6.6523759497526607</c:v>
                </c:pt>
                <c:pt idx="4">
                  <c:v>5.641778202733315</c:v>
                </c:pt>
                <c:pt idx="5">
                  <c:v>4.6311804557139764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Forudsætninger!$AA$260:$AF$260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9FC9-46DF-A0F3-15311B65354A}"/>
            </c:ext>
          </c:extLst>
        </c:ser>
        <c:ser>
          <c:idx val="6"/>
          <c:order val="2"/>
          <c:tx>
            <c:strRef>
              <c:f>Forudsætninger!$S$261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FF7A4B-FDFC-4C78-8171-68D129061394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FD146DB-C0D7-4FA5-96E6-CFE2CF6F577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7A7B756-B9CA-4357-A3B7-440C37FB74E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D8DC2A-1055-4F6F-A9FB-20AB412FB71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FE04B13-AD99-4FBA-9492-DAD0C92AAEF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F3093CE-85CB-498E-9ED1-BFDEE063CEC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Forudsætninger!$T$261:$Y$261</c:f>
              <c:numCache>
                <c:formatCode>#,##0</c:formatCode>
                <c:ptCount val="6"/>
                <c:pt idx="0">
                  <c:v>8.1682463794660443</c:v>
                </c:pt>
                <c:pt idx="1">
                  <c:v>7.1576486324467048</c:v>
                </c:pt>
                <c:pt idx="2">
                  <c:v>6.1470508854273591</c:v>
                </c:pt>
                <c:pt idx="3">
                  <c:v>5.1364531384080241</c:v>
                </c:pt>
                <c:pt idx="4">
                  <c:v>4.1258553913886784</c:v>
                </c:pt>
                <c:pt idx="5">
                  <c:v>3.1152576443693398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Forudsætninger!$AA$261:$AF$261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FC9-46DF-A0F3-15311B65354A}"/>
            </c:ext>
          </c:extLst>
        </c:ser>
        <c:ser>
          <c:idx val="5"/>
          <c:order val="3"/>
          <c:tx>
            <c:strRef>
              <c:f>Forudsætninger!$S$262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E038CB-0429-45B3-8317-C162E043445B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FC804AC-9543-473C-B4BB-0140E3854B1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80EAE55-5151-48F7-B113-EA76471D419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340BB3-8402-4351-BF22-136C1CAE85E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7B5CCE-F1D4-484F-B7A5-624979A0B64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7131DC3-F697-405E-867D-00A4C98C41D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Forudsætninger!$T$262:$Y$262</c:f>
              <c:numCache>
                <c:formatCode>#,##0</c:formatCode>
                <c:ptCount val="6"/>
                <c:pt idx="0">
                  <c:v>6.6523235681214041</c:v>
                </c:pt>
                <c:pt idx="1">
                  <c:v>5.6417258211020647</c:v>
                </c:pt>
                <c:pt idx="2">
                  <c:v>4.631128074082719</c:v>
                </c:pt>
                <c:pt idx="3">
                  <c:v>3.6205303270633835</c:v>
                </c:pt>
                <c:pt idx="4">
                  <c:v>2.6099325800440374</c:v>
                </c:pt>
                <c:pt idx="5">
                  <c:v>1.599334833024699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Forudsætninger!$AA$262:$AF$262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9FC9-46DF-A0F3-15311B65354A}"/>
            </c:ext>
          </c:extLst>
        </c:ser>
        <c:ser>
          <c:idx val="4"/>
          <c:order val="4"/>
          <c:tx>
            <c:strRef>
              <c:f>Forudsætninger!$S$263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064157-163D-4CAF-8A7F-095D48BB9CCC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2E4ADCF-6F1A-41B5-B193-70D3089F7E1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DA309C6-AAD3-4C87-98D8-8AF660C46D9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BF857C4-D1E0-44D8-91B5-75AA5CFE385A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25E955-9BF1-4B76-A3CE-C9DD570E3D7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739137B-3EF4-4455-B1B3-B91F695C87B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Forudsætninger!$T$263:$Y$263</c:f>
              <c:numCache>
                <c:formatCode>#,##0</c:formatCode>
                <c:ptCount val="6"/>
                <c:pt idx="0">
                  <c:v>5.1531499070749369</c:v>
                </c:pt>
                <c:pt idx="1">
                  <c:v>4.1264940484819208</c:v>
                </c:pt>
                <c:pt idx="2">
                  <c:v>3.1042966938454075</c:v>
                </c:pt>
                <c:pt idx="3">
                  <c:v>2.0901287493656846</c:v>
                </c:pt>
                <c:pt idx="4">
                  <c:v>1.0940097686994006</c:v>
                </c:pt>
                <c:pt idx="5">
                  <c:v>5.2484805273051431E-2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Forudsætninger!$AA$263:$AF$263</c15:f>
                <c15:dlblRangeCache>
                  <c:ptCount val="6"/>
                  <c:pt idx="0">
                    <c:v>9,8</c:v>
                  </c:pt>
                  <c:pt idx="1">
                    <c:v>9,7</c:v>
                  </c:pt>
                  <c:pt idx="2">
                    <c:v>9,7</c:v>
                  </c:pt>
                  <c:pt idx="3">
                    <c:v>9,6</c:v>
                  </c:pt>
                  <c:pt idx="4">
                    <c:v>9,5</c:v>
                  </c:pt>
                  <c:pt idx="5">
                    <c:v>9,2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9FC9-46DF-A0F3-15311B65354A}"/>
            </c:ext>
          </c:extLst>
        </c:ser>
        <c:ser>
          <c:idx val="0"/>
          <c:order val="5"/>
          <c:tx>
            <c:strRef>
              <c:f>Forudsætninger!$S$264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2BD4B9-2A1E-40EA-A572-3C19A576178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9FC9-46DF-A0F3-15311B6535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958F871-CE14-47F5-93EC-18F624CE648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FC9-46DF-A0F3-15311B6535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970721-F1A1-4312-AD39-0A87AD10861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FC9-46DF-A0F3-15311B6535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64A2649-632D-4235-9F24-2DE6A5439DD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FC9-46DF-A0F3-15311B6535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4D9E171-72B8-4FCA-B486-9CF52842279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FC9-46DF-A0F3-15311B6535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FDA975-C25E-4D64-BE34-8ECCFEBB362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FC9-46DF-A0F3-15311B6535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Forudsætninger!$T$264:$Y$264</c:f>
              <c:numCache>
                <c:formatCode>#,##0</c:formatCode>
                <c:ptCount val="6"/>
                <c:pt idx="0">
                  <c:v>3.6535106152049583</c:v>
                </c:pt>
                <c:pt idx="1">
                  <c:v>2.6105894902113813</c:v>
                </c:pt>
                <c:pt idx="2">
                  <c:v>1.5920441358005946</c:v>
                </c:pt>
                <c:pt idx="3">
                  <c:v>0.47162486087164468</c:v>
                </c:pt>
                <c:pt idx="4">
                  <c:v>-0.2823922094211358</c:v>
                </c:pt>
                <c:pt idx="5">
                  <c:v>-1.0199586107788232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Forudsætninger!$AA$264:$AF$264</c15:f>
                <c15:dlblRangeCache>
                  <c:ptCount val="6"/>
                  <c:pt idx="0">
                    <c:v>10,0</c:v>
                  </c:pt>
                  <c:pt idx="1">
                    <c:v>10,0</c:v>
                  </c:pt>
                  <c:pt idx="2">
                    <c:v>9,8</c:v>
                  </c:pt>
                  <c:pt idx="3">
                    <c:v>6,5</c:v>
                  </c:pt>
                  <c:pt idx="4">
                    <c:v>6,3</c:v>
                  </c:pt>
                  <c:pt idx="5">
                    <c:v>6,3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9FC9-46DF-A0F3-15311B6535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Dækningsbidrag pr.</a:t>
                </a:r>
                <a:r>
                  <a:rPr lang="en-US" sz="1800" baseline="0"/>
                  <a:t> foderdag</a:t>
                </a:r>
                <a:endParaRPr lang="en-US" sz="1800"/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31522251287781"/>
          <c:y val="0.22134644890659236"/>
          <c:w val="0.17568477748712216"/>
          <c:h val="0.35816127182965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Følsomhedsberegning ved ændring i  priser på foder- og kød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4210435536494068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Forudsætninger!$S$259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Forudsætninger!$AA$259:$AF$259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C-4E3E-8A2F-703E63A89912}"/>
            </c:ext>
          </c:extLst>
        </c:ser>
        <c:ser>
          <c:idx val="7"/>
          <c:order val="1"/>
          <c:tx>
            <c:strRef>
              <c:f>Forudsætninger!$S$260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Forudsætninger!$AA$260:$AF$260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C-4E3E-8A2F-703E63A89912}"/>
            </c:ext>
          </c:extLst>
        </c:ser>
        <c:ser>
          <c:idx val="6"/>
          <c:order val="2"/>
          <c:tx>
            <c:strRef>
              <c:f>Forudsætninger!$S$261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Forudsætninger!$AA$261:$AF$261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1C-4E3E-8A2F-703E63A89912}"/>
            </c:ext>
          </c:extLst>
        </c:ser>
        <c:ser>
          <c:idx val="5"/>
          <c:order val="3"/>
          <c:tx>
            <c:strRef>
              <c:f>Forudsætninger!$S$262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Forudsætninger!$AA$262:$AF$262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1C-4E3E-8A2F-703E63A89912}"/>
            </c:ext>
          </c:extLst>
        </c:ser>
        <c:ser>
          <c:idx val="4"/>
          <c:order val="4"/>
          <c:tx>
            <c:strRef>
              <c:f>Forudsætninger!$S$263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Forudsætninger!$AA$263:$AF$263</c:f>
              <c:numCache>
                <c:formatCode>#,##0.0</c:formatCode>
                <c:ptCount val="6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9.6</c:v>
                </c:pt>
                <c:pt idx="4">
                  <c:v>9.5</c:v>
                </c:pt>
                <c:pt idx="5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1C-4E3E-8A2F-703E63A89912}"/>
            </c:ext>
          </c:extLst>
        </c:ser>
        <c:ser>
          <c:idx val="0"/>
          <c:order val="5"/>
          <c:tx>
            <c:strRef>
              <c:f>Forudsætninger!$S$264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Forudsætninger!$AA$264:$AF$264</c:f>
              <c:numCache>
                <c:formatCode>#,##0.0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9.8000000000000007</c:v>
                </c:pt>
                <c:pt idx="3">
                  <c:v>6.5</c:v>
                </c:pt>
                <c:pt idx="4">
                  <c:v>6.3</c:v>
                </c:pt>
                <c:pt idx="5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1C-4E3E-8A2F-703E63A89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Optimal slagtealder</a:t>
                </a:r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366037250026998"/>
          <c:y val="0.14359171129689777"/>
          <c:w val="6.3606907116077596E-2"/>
          <c:h val="0.22149227369792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Følsomhedsberegning ved ændring i priser på foder- og kød </a:t>
            </a:r>
          </a:p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(Parantes angiver optimal</a:t>
            </a:r>
            <a:r>
              <a:rPr lang="en-US" sz="2000" baseline="0"/>
              <a:t> slagtealder) Krydsnindstyr</a:t>
            </a:r>
            <a:endParaRPr lang="en-US" sz="2000"/>
          </a:p>
        </c:rich>
      </c:tx>
      <c:layout>
        <c:manualLayout>
          <c:xMode val="edge"/>
          <c:yMode val="edge"/>
          <c:x val="0.20660645236851702"/>
          <c:y val="9.42480839624269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7407926179997055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Forudsætninger!$S$293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835A5E3E-FA8D-4B73-8780-FC37B8A7C39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DB1976-561F-478A-AE3D-E11C252C3196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4467EAC-F9D9-4726-AF75-46BA85C97BD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6318CB1-8C31-4AC5-BE9C-8490887460E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847EF3-78A5-424F-93C4-C777E2B0D7E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15EA57-F796-417F-9B87-E70F9CFFA2F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vert="horz" wrap="none" lIns="72000" tIns="19050" rIns="38100" bIns="19050" anchor="ctr">
                <a:spAutoFit/>
              </a:bodyPr>
              <a:lstStyle/>
              <a:p>
                <a:pPr>
                  <a:defRPr/>
                </a:pPr>
                <a:endParaRPr lang="da-DK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Forudsætninger!$T$293:$Y$293</c:f>
              <c:numCache>
                <c:formatCode>#,##0</c:formatCode>
                <c:ptCount val="6"/>
                <c:pt idx="0">
                  <c:v>13.701023998021856</c:v>
                </c:pt>
                <c:pt idx="1">
                  <c:v>12.688629788840528</c:v>
                </c:pt>
                <c:pt idx="2">
                  <c:v>11.676235579659163</c:v>
                </c:pt>
                <c:pt idx="3">
                  <c:v>10.663841370477826</c:v>
                </c:pt>
                <c:pt idx="4">
                  <c:v>9.6514471612964865</c:v>
                </c:pt>
                <c:pt idx="5">
                  <c:v>8.6390529521151311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Forudsætninger!$AA$293:$AF$293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75ED-4887-A1BE-B672BC22E3A8}"/>
            </c:ext>
          </c:extLst>
        </c:ser>
        <c:ser>
          <c:idx val="7"/>
          <c:order val="1"/>
          <c:tx>
            <c:strRef>
              <c:f>Forudsætninger!$S$294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14B1E7-F922-4C0E-926E-3D890130D2D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B349FFC-0055-43F9-A6B9-E0BD09DF183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81180C-A255-4C99-ADF4-A161E955808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0EAE786-7DFE-419A-9640-389C536B6CD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8B34CE3-EB9E-41BE-9158-448F04068CE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2740ED-CECD-4CE1-B8AF-BC521781ABA4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Forudsætninger!$T$294:$Y$294</c:f>
              <c:numCache>
                <c:formatCode>#,##0</c:formatCode>
                <c:ptCount val="6"/>
                <c:pt idx="0">
                  <c:v>11.967422506321542</c:v>
                </c:pt>
                <c:pt idx="1">
                  <c:v>10.955028297140215</c:v>
                </c:pt>
                <c:pt idx="2">
                  <c:v>9.9426340879588508</c:v>
                </c:pt>
                <c:pt idx="3">
                  <c:v>8.9302398787775132</c:v>
                </c:pt>
                <c:pt idx="4">
                  <c:v>7.917845669596173</c:v>
                </c:pt>
                <c:pt idx="5">
                  <c:v>6.9054514604148176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Forudsætninger!$AA$294:$AF$294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75ED-4887-A1BE-B672BC22E3A8}"/>
            </c:ext>
          </c:extLst>
        </c:ser>
        <c:ser>
          <c:idx val="6"/>
          <c:order val="2"/>
          <c:tx>
            <c:strRef>
              <c:f>Forudsætninger!$S$295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F2B699-157D-430D-9693-F3B2E7FB0900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8A9586-EEDB-401D-A9F6-668E1058615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105227-6665-4D09-A8C0-C56847318D3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68EF84-C0C0-4F1C-BA6A-F7D41475589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26E07F4-813C-4A99-91DC-9BA4E42227E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B239ABB-E788-4FCC-9480-05917AEB3CB4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Forudsætninger!$T$295:$Y$295</c:f>
              <c:numCache>
                <c:formatCode>#,##0</c:formatCode>
                <c:ptCount val="6"/>
                <c:pt idx="0">
                  <c:v>10.233821014621229</c:v>
                </c:pt>
                <c:pt idx="1">
                  <c:v>9.2214268054399007</c:v>
                </c:pt>
                <c:pt idx="2">
                  <c:v>8.2090325962585364</c:v>
                </c:pt>
                <c:pt idx="3">
                  <c:v>7.1966383870771988</c:v>
                </c:pt>
                <c:pt idx="4">
                  <c:v>6.1842441778958595</c:v>
                </c:pt>
                <c:pt idx="5">
                  <c:v>5.1718499687145041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Forudsætninger!$AA$295:$AF$295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75ED-4887-A1BE-B672BC22E3A8}"/>
            </c:ext>
          </c:extLst>
        </c:ser>
        <c:ser>
          <c:idx val="5"/>
          <c:order val="3"/>
          <c:tx>
            <c:strRef>
              <c:f>Forudsætninger!$S$296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C4C171AA-8774-4767-9B60-1E969FF2EDC5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346BC2-0F3B-46FC-8BB8-2AFDB12428DA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4BDECD-F691-4407-B004-07299376864D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2C83AA4-021C-4046-8445-DB09B859856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47A03D-360A-4789-88FB-94A57E90A87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16C40D3-9CD4-4A50-B340-7C1245DB65D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Forudsætninger!$T$296:$Y$296</c:f>
              <c:numCache>
                <c:formatCode>#,##0</c:formatCode>
                <c:ptCount val="6"/>
                <c:pt idx="0">
                  <c:v>8.5002195229209221</c:v>
                </c:pt>
                <c:pt idx="1">
                  <c:v>7.4878253137395943</c:v>
                </c:pt>
                <c:pt idx="2">
                  <c:v>6.47543110455823</c:v>
                </c:pt>
                <c:pt idx="3">
                  <c:v>5.4630368953768924</c:v>
                </c:pt>
                <c:pt idx="4">
                  <c:v>4.450642686195553</c:v>
                </c:pt>
                <c:pt idx="5">
                  <c:v>3.4382484770141977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Forudsætninger!$AA$296:$AF$296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75ED-4887-A1BE-B672BC22E3A8}"/>
            </c:ext>
          </c:extLst>
        </c:ser>
        <c:ser>
          <c:idx val="4"/>
          <c:order val="4"/>
          <c:tx>
            <c:strRef>
              <c:f>Forudsætninger!$S$297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543DD2-48A5-4957-8CFC-3AF40A2F7E88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C13436-A126-4EF3-AE6B-8AF7A11E4CA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7EDAA2B-A64C-456C-B5BC-42569553F7F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4F0547D-AD04-4440-9945-91ECF044C39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714C67E-8DDC-4ABC-AD5F-2E38FC493D6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5E79EB5-ED90-4653-A177-7F02ECC6A8D4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Forudsætninger!$T$297:$Y$297</c:f>
              <c:numCache>
                <c:formatCode>#,##0</c:formatCode>
                <c:ptCount val="6"/>
                <c:pt idx="0">
                  <c:v>6.7666180312206086</c:v>
                </c:pt>
                <c:pt idx="1">
                  <c:v>5.7542238220392798</c:v>
                </c:pt>
                <c:pt idx="2">
                  <c:v>4.7418296128579156</c:v>
                </c:pt>
                <c:pt idx="3">
                  <c:v>3.729435403676578</c:v>
                </c:pt>
                <c:pt idx="4">
                  <c:v>2.7170411944952395</c:v>
                </c:pt>
                <c:pt idx="5">
                  <c:v>1.7247182782185826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Forudsætninger!$AA$297:$AF$297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75ED-4887-A1BE-B672BC22E3A8}"/>
            </c:ext>
          </c:extLst>
        </c:ser>
        <c:ser>
          <c:idx val="0"/>
          <c:order val="5"/>
          <c:tx>
            <c:strRef>
              <c:f>Forudsætninger!$S$298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443CBB-A890-487D-9863-582C1F9832B4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75ED-4887-A1BE-B672BC22E3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30919F7-5ED3-4423-90C1-23FAD539983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5ED-4887-A1BE-B672BC22E3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B03EC20-6165-40F7-BE32-2EA30BDAB6DA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5ED-4887-A1BE-B672BC22E3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F48FE12-7254-41B2-AF22-AA477FF75EB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5ED-4887-A1BE-B672BC22E3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237ED26-98FA-4C66-AA79-AF890AE787D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5ED-4887-A1BE-B672BC22E3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095EC94-A895-4596-A184-9A98AC0C529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5ED-4887-A1BE-B672BC22E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Forudsætninger!$T$298:$Y$298</c:f>
              <c:numCache>
                <c:formatCode>#,##0</c:formatCode>
                <c:ptCount val="6"/>
                <c:pt idx="0">
                  <c:v>5.1240674028946653</c:v>
                </c:pt>
                <c:pt idx="1">
                  <c:v>4.0072675295552491</c:v>
                </c:pt>
                <c:pt idx="2">
                  <c:v>2.8904676562158009</c:v>
                </c:pt>
                <c:pt idx="3">
                  <c:v>2.0335376847213245</c:v>
                </c:pt>
                <c:pt idx="4">
                  <c:v>1.17383575861732</c:v>
                </c:pt>
                <c:pt idx="5">
                  <c:v>0.24429495481809191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Forudsætninger!$AA$298:$AF$298</c15:f>
                <c15:dlblRangeCache>
                  <c:ptCount val="6"/>
                  <c:pt idx="0">
                    <c:v>11,3</c:v>
                  </c:pt>
                  <c:pt idx="1">
                    <c:v>11,3</c:v>
                  </c:pt>
                  <c:pt idx="2">
                    <c:v>11,3</c:v>
                  </c:pt>
                  <c:pt idx="3">
                    <c:v>9,3</c:v>
                  </c:pt>
                  <c:pt idx="4">
                    <c:v>8,2</c:v>
                  </c:pt>
                  <c:pt idx="5">
                    <c:v>7,8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75ED-4887-A1BE-B672BC22E3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Dækningsbidrag pr.</a:t>
                </a:r>
                <a:r>
                  <a:rPr lang="en-US" sz="1800" baseline="0"/>
                  <a:t> foderdag</a:t>
                </a:r>
                <a:endParaRPr lang="en-US" sz="1800"/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31522251287781"/>
          <c:y val="0.22134644890659236"/>
          <c:w val="0.17568477748712216"/>
          <c:h val="0.35816127182965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Følsomhedsberegning ved ændring i priser på foder- og kød </a:t>
            </a:r>
          </a:p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(Parantes angiver optimal</a:t>
            </a:r>
            <a:r>
              <a:rPr lang="en-US" sz="2000" baseline="0"/>
              <a:t> slagtealder) Krydsnindskvie</a:t>
            </a:r>
            <a:endParaRPr lang="en-US" sz="2000"/>
          </a:p>
        </c:rich>
      </c:tx>
      <c:layout>
        <c:manualLayout>
          <c:xMode val="edge"/>
          <c:yMode val="edge"/>
          <c:x val="0.21012373513548493"/>
          <c:y val="7.068606297182019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7407926179997055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Forudsætninger!$S$326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EAF299-C853-4DE8-8BA7-4B14DD213A9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B5A1B4-D6B2-484D-AB0B-34DAA0512A4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A017AB8-4EEF-490E-9D40-970CF61D4C1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59480F3-B618-416B-8D6F-40481CF4937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DC8177-E3A8-46F5-9B33-D8F2608CDE0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AE5CC7D-F473-40A4-A9BC-0C178B07D2E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overflow" horzOverflow="overflow" vert="horz" wrap="none" lIns="72000" tIns="19050" rIns="38100" bIns="19050" anchor="ctr">
                <a:spAutoFit/>
              </a:bodyPr>
              <a:lstStyle/>
              <a:p>
                <a:pPr>
                  <a:defRPr/>
                </a:pPr>
                <a:endParaRPr lang="da-DK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Forudsætninger!$T$326:$Y$326</c:f>
              <c:numCache>
                <c:formatCode>#,##0</c:formatCode>
                <c:ptCount val="6"/>
                <c:pt idx="0">
                  <c:v>12.369441605077942</c:v>
                </c:pt>
                <c:pt idx="1">
                  <c:v>11.397135691170574</c:v>
                </c:pt>
                <c:pt idx="2">
                  <c:v>10.4248297772632</c:v>
                </c:pt>
                <c:pt idx="3">
                  <c:v>9.4525238633558342</c:v>
                </c:pt>
                <c:pt idx="4">
                  <c:v>8.480217949448436</c:v>
                </c:pt>
                <c:pt idx="5">
                  <c:v>7.5079120355410653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Forudsætninger!$AA$326:$AF$326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7679-4DCD-B1BA-244C631371D0}"/>
            </c:ext>
          </c:extLst>
        </c:ser>
        <c:ser>
          <c:idx val="7"/>
          <c:order val="1"/>
          <c:tx>
            <c:strRef>
              <c:f>Forudsætninger!$S$327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57EE6C-A58B-459E-8F80-3F693F3D6377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F58FB1C-BBB9-4474-BCA7-5C56E2D1052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EA7E1C9-21D9-417C-B139-9EF666B16C0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24F4D0A-9565-4B24-8182-3C6ACD1D0CD4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80FAB43-A2FF-4684-A19C-19FA9092798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3F9C316-4274-4462-A854-AD0223F52EA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Forudsætninger!$T$327:$Y$327</c:f>
              <c:numCache>
                <c:formatCode>#,##0</c:formatCode>
                <c:ptCount val="6"/>
                <c:pt idx="0">
                  <c:v>10.795492762802322</c:v>
                </c:pt>
                <c:pt idx="1">
                  <c:v>9.8231868488949559</c:v>
                </c:pt>
                <c:pt idx="2">
                  <c:v>8.8508809349875825</c:v>
                </c:pt>
                <c:pt idx="3">
                  <c:v>7.8785750210802155</c:v>
                </c:pt>
                <c:pt idx="4">
                  <c:v>6.9062691071728164</c:v>
                </c:pt>
                <c:pt idx="5">
                  <c:v>5.9339631932654466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Forudsætninger!$AA$327:$AF$327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7679-4DCD-B1BA-244C631371D0}"/>
            </c:ext>
          </c:extLst>
        </c:ser>
        <c:ser>
          <c:idx val="6"/>
          <c:order val="2"/>
          <c:tx>
            <c:strRef>
              <c:f>Forudsætninger!$S$328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57EB69EB-FCFF-4CB3-B065-DAE52DDA1957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0C6060-48DE-4B22-913F-A26397FC43CE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843B06-2539-4956-B238-FED6A2747A6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30819F-2F53-4E54-B18C-1D6FB422FBD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2A1B07E-1E11-48BC-86E6-898B820934D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815BA2E-5E80-4BC3-9AFD-17702E0BFD7B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Forudsætninger!$T$328:$Y$328</c:f>
              <c:numCache>
                <c:formatCode>#,##0</c:formatCode>
                <c:ptCount val="6"/>
                <c:pt idx="0">
                  <c:v>9.2215439205267025</c:v>
                </c:pt>
                <c:pt idx="1">
                  <c:v>8.2492380066193363</c:v>
                </c:pt>
                <c:pt idx="2">
                  <c:v>7.276932092711963</c:v>
                </c:pt>
                <c:pt idx="3">
                  <c:v>6.3046261788045959</c:v>
                </c:pt>
                <c:pt idx="4">
                  <c:v>5.3323202648971977</c:v>
                </c:pt>
                <c:pt idx="5">
                  <c:v>4.3600143509898279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Forudsætninger!$AA$328:$AF$328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7679-4DCD-B1BA-244C631371D0}"/>
            </c:ext>
          </c:extLst>
        </c:ser>
        <c:ser>
          <c:idx val="5"/>
          <c:order val="3"/>
          <c:tx>
            <c:strRef>
              <c:f>Forudsætninger!$S$329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091F9A-F36C-48E0-BB6A-C84EC5F36767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161434C-AC5D-485D-9F04-C9EB09F9875C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38BFFF-343A-4D7A-81A1-50CC4C73B90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221A9D-818E-4ED3-8431-288AB2691750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9536C7B-1010-4D71-ACF8-009EC4A074A9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B2577AE-289E-4941-AECC-29330D42D287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Forudsætninger!$T$329:$Y$329</c:f>
              <c:numCache>
                <c:formatCode>#,##0</c:formatCode>
                <c:ptCount val="6"/>
                <c:pt idx="0">
                  <c:v>7.6475950782510873</c:v>
                </c:pt>
                <c:pt idx="1">
                  <c:v>6.6752891643437211</c:v>
                </c:pt>
                <c:pt idx="2">
                  <c:v>5.702983250436346</c:v>
                </c:pt>
                <c:pt idx="3">
                  <c:v>4.7306773365289807</c:v>
                </c:pt>
                <c:pt idx="4">
                  <c:v>3.7583714226215821</c:v>
                </c:pt>
                <c:pt idx="5">
                  <c:v>2.7860655087142123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Forudsætninger!$AA$329:$AF$329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7679-4DCD-B1BA-244C631371D0}"/>
            </c:ext>
          </c:extLst>
        </c:ser>
        <c:ser>
          <c:idx val="4"/>
          <c:order val="4"/>
          <c:tx>
            <c:strRef>
              <c:f>Forudsætninger!$S$330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6905ED7-F949-4D2B-B42F-B24908567A31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99DD9C3-63C5-44E4-BF66-63B04AB75A76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45AF79-3F55-4D8B-A830-5BFE4A6D12A5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14645E1-EC99-4D62-8C1E-C4250F376B2F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CDB7A7-D640-43D1-8CC4-F393939322F1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1F6C81D-73B9-4EB6-B370-CACDA4359B9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Forudsætninger!$T$330:$Y$330</c:f>
              <c:numCache>
                <c:formatCode>#,##0</c:formatCode>
                <c:ptCount val="6"/>
                <c:pt idx="0">
                  <c:v>6.0736462359754793</c:v>
                </c:pt>
                <c:pt idx="1">
                  <c:v>5.1013403220681122</c:v>
                </c:pt>
                <c:pt idx="2">
                  <c:v>4.1302118669310737</c:v>
                </c:pt>
                <c:pt idx="3">
                  <c:v>3.1485526446210428</c:v>
                </c:pt>
                <c:pt idx="4">
                  <c:v>2.1897513307961338</c:v>
                </c:pt>
                <c:pt idx="5">
                  <c:v>1.3791080661827033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Forudsætninger!$AA$330:$AF$330</c15:f>
                <c15:dlblRangeCache>
                  <c:ptCount val="6"/>
                  <c:pt idx="0">
                    <c:v>9,5</c:v>
                  </c:pt>
                  <c:pt idx="1">
                    <c:v>9,5</c:v>
                  </c:pt>
                  <c:pt idx="2">
                    <c:v>9,5</c:v>
                  </c:pt>
                  <c:pt idx="3">
                    <c:v>9,5</c:v>
                  </c:pt>
                  <c:pt idx="4">
                    <c:v>9,5</c:v>
                  </c:pt>
                  <c:pt idx="5">
                    <c:v>8,4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7679-4DCD-B1BA-244C631371D0}"/>
            </c:ext>
          </c:extLst>
        </c:ser>
        <c:ser>
          <c:idx val="0"/>
          <c:order val="5"/>
          <c:tx>
            <c:strRef>
              <c:f>Forudsætninger!$S$331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315099-B318-47D2-A65A-ECB423C4F67A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7679-4DCD-B1BA-244C631371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A4D9791-B6B7-4DD6-A111-6F948453F438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679-4DCD-B1BA-244C631371D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DFF8E14-FE24-4B06-863E-C9711A42581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679-4DCD-B1BA-244C631371D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262537-D9AC-4990-8841-D3D410AA2292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679-4DCD-B1BA-244C631371D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58953CA-3150-4F23-86CB-5847027E1C06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679-4DCD-B1BA-244C631371D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D5722A-A682-492A-A791-BF471C664373}" type="CELLRANGE">
                      <a:rPr lang="da-DK"/>
                      <a:pPr/>
                      <a:t>[CELLEOMRÅDE]</a:t>
                    </a:fld>
                    <a:endParaRPr lang="da-DK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679-4DCD-B1BA-244C63137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numRef>
              <c:f>Forudsætninger!$T$258:$Y$258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Forudsætninger!$T$331:$Y$331</c:f>
              <c:numCache>
                <c:formatCode>#,##0</c:formatCode>
                <c:ptCount val="6"/>
                <c:pt idx="0">
                  <c:v>5.2626267192774225</c:v>
                </c:pt>
                <c:pt idx="1">
                  <c:v>4.4552301287907152</c:v>
                </c:pt>
                <c:pt idx="2">
                  <c:v>3.6528023549501762</c:v>
                </c:pt>
                <c:pt idx="3">
                  <c:v>2.856905305475856</c:v>
                </c:pt>
                <c:pt idx="4">
                  <c:v>2.1212206248626164</c:v>
                </c:pt>
                <c:pt idx="5">
                  <c:v>1.4378606719123852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Forudsætninger!$AA$331:$AF$331</c15:f>
                <c15:dlblRangeCache>
                  <c:ptCount val="6"/>
                  <c:pt idx="0">
                    <c:v>7,5</c:v>
                  </c:pt>
                  <c:pt idx="1">
                    <c:v>7,4</c:v>
                  </c:pt>
                  <c:pt idx="2">
                    <c:v>7,4</c:v>
                  </c:pt>
                  <c:pt idx="3">
                    <c:v>7,4</c:v>
                  </c:pt>
                  <c:pt idx="4">
                    <c:v>7,1</c:v>
                  </c:pt>
                  <c:pt idx="5">
                    <c:v>6,6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7679-4DCD-B1BA-244C631371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Dækningsbidrag pr.</a:t>
                </a:r>
                <a:r>
                  <a:rPr lang="en-US" sz="1800" baseline="0"/>
                  <a:t> foderdag</a:t>
                </a:r>
                <a:endParaRPr lang="en-US" sz="1800"/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31522251287781"/>
          <c:y val="0.22134644890659236"/>
          <c:w val="0.17568477748712216"/>
          <c:h val="0.35816127182965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Følsomhedsberegning ved ændring i  priser på foder- og kød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4210435536494068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Forudsætninger!$S$293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Forudsætninger!$AA$293:$AF$293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B-4734-A492-50700DCE5360}"/>
            </c:ext>
          </c:extLst>
        </c:ser>
        <c:ser>
          <c:idx val="7"/>
          <c:order val="1"/>
          <c:tx>
            <c:strRef>
              <c:f>Forudsætninger!$S$294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Forudsætninger!$AA$294:$AF$294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B-4734-A492-50700DCE5360}"/>
            </c:ext>
          </c:extLst>
        </c:ser>
        <c:ser>
          <c:idx val="6"/>
          <c:order val="2"/>
          <c:tx>
            <c:strRef>
              <c:f>Forudsætninger!$S$295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Forudsætninger!$AA$295:$AF$295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B-4734-A492-50700DCE5360}"/>
            </c:ext>
          </c:extLst>
        </c:ser>
        <c:ser>
          <c:idx val="5"/>
          <c:order val="3"/>
          <c:tx>
            <c:strRef>
              <c:f>Forudsætninger!$S$296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Forudsætninger!$AA$296:$AF$296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B-4734-A492-50700DCE5360}"/>
            </c:ext>
          </c:extLst>
        </c:ser>
        <c:ser>
          <c:idx val="4"/>
          <c:order val="4"/>
          <c:tx>
            <c:strRef>
              <c:f>Forudsætninger!$S$297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Forudsætninger!$AA$297:$AF$297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B-4734-A492-50700DCE5360}"/>
            </c:ext>
          </c:extLst>
        </c:ser>
        <c:ser>
          <c:idx val="0"/>
          <c:order val="5"/>
          <c:tx>
            <c:strRef>
              <c:f>Forudsætninger!$S$298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Forudsætninger!$AA$298:$AF$298</c:f>
              <c:numCache>
                <c:formatCode>#,##0.0</c:formatCode>
                <c:ptCount val="6"/>
                <c:pt idx="0">
                  <c:v>11.3</c:v>
                </c:pt>
                <c:pt idx="1">
                  <c:v>11.3</c:v>
                </c:pt>
                <c:pt idx="2">
                  <c:v>11.3</c:v>
                </c:pt>
                <c:pt idx="3">
                  <c:v>9.3000000000000007</c:v>
                </c:pt>
                <c:pt idx="4">
                  <c:v>8.1999999999999993</c:v>
                </c:pt>
                <c:pt idx="5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B-4734-A492-50700DCE5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Optimal slagtealder</a:t>
                </a:r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366037250026998"/>
          <c:y val="0.14359171129689777"/>
          <c:w val="6.3606907116077596E-2"/>
          <c:h val="0.22149227369792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Følsomhedsberegning ved ændring i  priser på foder- og kød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09847415282476E-2"/>
          <c:y val="0.13345474917900194"/>
          <c:w val="0.74210435536494068"/>
          <c:h val="0.66295393583694961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Forudsætninger!$S$326</c:f>
              <c:strCache>
                <c:ptCount val="1"/>
                <c:pt idx="0">
                  <c:v>+4kr./kg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Forudsætninger!$AA$326:$AF$326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3-4D34-98B8-2C0866DBA0E6}"/>
            </c:ext>
          </c:extLst>
        </c:ser>
        <c:ser>
          <c:idx val="7"/>
          <c:order val="1"/>
          <c:tx>
            <c:strRef>
              <c:f>Forudsætninger!$S$327</c:f>
              <c:strCache>
                <c:ptCount val="1"/>
                <c:pt idx="0">
                  <c:v>+2kr./kg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Forudsætninger!$AA$327:$AF$327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3-4D34-98B8-2C0866DBA0E6}"/>
            </c:ext>
          </c:extLst>
        </c:ser>
        <c:ser>
          <c:idx val="6"/>
          <c:order val="2"/>
          <c:tx>
            <c:strRef>
              <c:f>Forudsætninger!$S$328</c:f>
              <c:strCache>
                <c:ptCount val="1"/>
                <c:pt idx="0">
                  <c:v>0kr./kg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Forudsætninger!$AA$328:$AF$328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3-4D34-98B8-2C0866DBA0E6}"/>
            </c:ext>
          </c:extLst>
        </c:ser>
        <c:ser>
          <c:idx val="5"/>
          <c:order val="3"/>
          <c:tx>
            <c:strRef>
              <c:f>Forudsætninger!$S$329</c:f>
              <c:strCache>
                <c:ptCount val="1"/>
                <c:pt idx="0">
                  <c:v>-2kr./kg slg.</c:v>
                </c:pt>
              </c:strCache>
            </c:strRef>
          </c:tx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Forudsætninger!$AA$329:$AF$329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3-4D34-98B8-2C0866DBA0E6}"/>
            </c:ext>
          </c:extLst>
        </c:ser>
        <c:ser>
          <c:idx val="4"/>
          <c:order val="4"/>
          <c:tx>
            <c:strRef>
              <c:f>Forudsætninger!$S$330</c:f>
              <c:strCache>
                <c:ptCount val="1"/>
                <c:pt idx="0">
                  <c:v>-4kr./kg slg.</c:v>
                </c:pt>
              </c:strCache>
            </c:strRef>
          </c:tx>
          <c:spPr>
            <a:solidFill>
              <a:schemeClr val="accent5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Forudsætninger!$AA$330:$AF$330</c:f>
              <c:numCache>
                <c:formatCode>#,##0.0</c:formatCode>
                <c:ptCount val="6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73-4D34-98B8-2C0866DBA0E6}"/>
            </c:ext>
          </c:extLst>
        </c:ser>
        <c:ser>
          <c:idx val="0"/>
          <c:order val="5"/>
          <c:tx>
            <c:strRef>
              <c:f>Forudsætninger!$S$331</c:f>
              <c:strCache>
                <c:ptCount val="1"/>
                <c:pt idx="0">
                  <c:v>-6kr./kg slg.</c:v>
                </c:pt>
              </c:strCache>
            </c:strRef>
          </c:tx>
          <c:spPr>
            <a:solidFill>
              <a:schemeClr val="accent1"/>
            </a:solidFill>
            <a:effectLst/>
          </c:spPr>
          <c:invertIfNegative val="0"/>
          <c:cat>
            <c:numRef>
              <c:f>Forudsætninger!$AA$258:$AF$258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2.4</c:v>
                </c:pt>
                <c:pt idx="2">
                  <c:v>2.6</c:v>
                </c:pt>
                <c:pt idx="3">
                  <c:v>2.8</c:v>
                </c:pt>
                <c:pt idx="4">
                  <c:v>3</c:v>
                </c:pt>
                <c:pt idx="5">
                  <c:v>3.2</c:v>
                </c:pt>
              </c:numCache>
            </c:numRef>
          </c:cat>
          <c:val>
            <c:numRef>
              <c:f>Forudsætninger!$AA$331:$AF$331</c:f>
              <c:numCache>
                <c:formatCode>#,##0.0</c:formatCode>
                <c:ptCount val="6"/>
                <c:pt idx="0">
                  <c:v>7.5</c:v>
                </c:pt>
                <c:pt idx="1">
                  <c:v>7.4</c:v>
                </c:pt>
                <c:pt idx="2">
                  <c:v>7.4</c:v>
                </c:pt>
                <c:pt idx="3">
                  <c:v>7.4</c:v>
                </c:pt>
                <c:pt idx="4">
                  <c:v>7.1</c:v>
                </c:pt>
                <c:pt idx="5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73-4D34-98B8-2C0866DB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43280720"/>
        <c:axId val="1"/>
      </c:barChart>
      <c:catAx>
        <c:axId val="84328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Slutfoder, kr./FE</a:t>
                </a:r>
              </a:p>
            </c:rich>
          </c:tx>
          <c:layout>
            <c:manualLayout>
              <c:xMode val="edge"/>
              <c:yMode val="edge"/>
              <c:x val="0.41041018504680998"/>
              <c:y val="0.893183959417564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Optimal slagtealder</a:t>
                </a:r>
              </a:p>
            </c:rich>
          </c:tx>
          <c:layout>
            <c:manualLayout>
              <c:xMode val="edge"/>
              <c:yMode val="edge"/>
              <c:x val="2.2030601524875445E-3"/>
              <c:y val="0.1840591058714345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4328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366037250026998"/>
          <c:y val="0.14359171129689777"/>
          <c:w val="6.3606907116077596E-2"/>
          <c:h val="0.22149227369792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Brutto marginaltilvækst,</a:t>
            </a:r>
            <a:r>
              <a:rPr lang="en-GB" baseline="0"/>
              <a:t> gram pr dag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9185716499861523E-2"/>
          <c:y val="0.18560185185185185"/>
          <c:w val="0.94016246033137441"/>
          <c:h val="0.56949368075488649"/>
        </c:manualLayout>
      </c:layout>
      <c:lineChart>
        <c:grouping val="standard"/>
        <c:varyColors val="0"/>
        <c:ser>
          <c:idx val="0"/>
          <c:order val="0"/>
          <c:tx>
            <c:v>holtyr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hol'!$H$3:$H$335</c:f>
              <c:numCache>
                <c:formatCode>#,##0</c:formatCode>
                <c:ptCount val="333"/>
                <c:pt idx="0">
                  <c:v>736.11761442538182</c:v>
                </c:pt>
                <c:pt idx="1">
                  <c:v>748.39900097322243</c:v>
                </c:pt>
                <c:pt idx="2">
                  <c:v>760.55574529502223</c:v>
                </c:pt>
                <c:pt idx="3">
                  <c:v>772.58832906667863</c:v>
                </c:pt>
                <c:pt idx="4">
                  <c:v>784.49723396434479</c:v>
                </c:pt>
                <c:pt idx="5">
                  <c:v>796.2829416640318</c:v>
                </c:pt>
                <c:pt idx="6">
                  <c:v>807.94593384167968</c:v>
                </c:pt>
                <c:pt idx="7">
                  <c:v>819.48669217341319</c:v>
                </c:pt>
                <c:pt idx="8">
                  <c:v>830.90569833524341</c:v>
                </c:pt>
                <c:pt idx="9">
                  <c:v>842.20343400319564</c:v>
                </c:pt>
                <c:pt idx="10">
                  <c:v>853.38038085330936</c:v>
                </c:pt>
                <c:pt idx="11">
                  <c:v>864.43702056156724</c:v>
                </c:pt>
                <c:pt idx="12">
                  <c:v>875.37383480409403</c:v>
                </c:pt>
                <c:pt idx="13">
                  <c:v>886.19130525681555</c:v>
                </c:pt>
                <c:pt idx="14">
                  <c:v>896.88991359587078</c:v>
                </c:pt>
                <c:pt idx="15">
                  <c:v>907.47014149717131</c:v>
                </c:pt>
                <c:pt idx="16">
                  <c:v>917.93247063688455</c:v>
                </c:pt>
                <c:pt idx="17">
                  <c:v>928.2773826909505</c:v>
                </c:pt>
                <c:pt idx="18">
                  <c:v>938.5053593354229</c:v>
                </c:pt>
                <c:pt idx="19">
                  <c:v>948.61688224632701</c:v>
                </c:pt>
                <c:pt idx="20">
                  <c:v>958.61243309968813</c:v>
                </c:pt>
                <c:pt idx="21">
                  <c:v>968.49249357155998</c:v>
                </c:pt>
                <c:pt idx="22">
                  <c:v>978.25754533799625</c:v>
                </c:pt>
                <c:pt idx="23">
                  <c:v>987.90807007495118</c:v>
                </c:pt>
                <c:pt idx="24">
                  <c:v>997.44454945854955</c:v>
                </c:pt>
                <c:pt idx="25">
                  <c:v>1006.8674651647598</c:v>
                </c:pt>
                <c:pt idx="26">
                  <c:v>1016.1772988696072</c:v>
                </c:pt>
                <c:pt idx="27">
                  <c:v>1025.3745322491882</c:v>
                </c:pt>
                <c:pt idx="28">
                  <c:v>1034.4596469794851</c:v>
                </c:pt>
                <c:pt idx="29">
                  <c:v>1043.4331247365094</c:v>
                </c:pt>
                <c:pt idx="30">
                  <c:v>1052.295447196343</c:v>
                </c:pt>
                <c:pt idx="31">
                  <c:v>1061.0470960350112</c:v>
                </c:pt>
                <c:pt idx="32">
                  <c:v>1069.6885529285112</c:v>
                </c:pt>
                <c:pt idx="33">
                  <c:v>1078.2202995528819</c:v>
                </c:pt>
                <c:pt idx="34">
                  <c:v>1086.6428175842202</c:v>
                </c:pt>
                <c:pt idx="35">
                  <c:v>1094.9565886984515</c:v>
                </c:pt>
                <c:pt idx="36">
                  <c:v>1103.1620945717009</c:v>
                </c:pt>
                <c:pt idx="37">
                  <c:v>1111.2598168799223</c:v>
                </c:pt>
                <c:pt idx="38">
                  <c:v>1119.2502372992267</c:v>
                </c:pt>
                <c:pt idx="39">
                  <c:v>1127.1338375055821</c:v>
                </c:pt>
                <c:pt idx="40">
                  <c:v>1134.9110991750422</c:v>
                </c:pt>
                <c:pt idx="41">
                  <c:v>1142.5825039836468</c:v>
                </c:pt>
                <c:pt idx="42">
                  <c:v>1150.1485336074352</c:v>
                </c:pt>
                <c:pt idx="43">
                  <c:v>1157.609669722433</c:v>
                </c:pt>
                <c:pt idx="44">
                  <c:v>1164.9663940046225</c:v>
                </c:pt>
                <c:pt idx="45">
                  <c:v>1172.219188130086</c:v>
                </c:pt>
                <c:pt idx="46">
                  <c:v>1179.3685337748911</c:v>
                </c:pt>
                <c:pt idx="47">
                  <c:v>1186.4149126149641</c:v>
                </c:pt>
                <c:pt idx="48">
                  <c:v>1193.3588063264579</c:v>
                </c:pt>
                <c:pt idx="49">
                  <c:v>1200.2006965852984</c:v>
                </c:pt>
                <c:pt idx="50">
                  <c:v>1206.9410650675677</c:v>
                </c:pt>
                <c:pt idx="51">
                  <c:v>1213.5803934493197</c:v>
                </c:pt>
                <c:pt idx="52">
                  <c:v>1220.1191634065651</c:v>
                </c:pt>
                <c:pt idx="53">
                  <c:v>1226.5578566152726</c:v>
                </c:pt>
                <c:pt idx="54">
                  <c:v>1232.8969547515812</c:v>
                </c:pt>
                <c:pt idx="55">
                  <c:v>1239.1369394914732</c:v>
                </c:pt>
                <c:pt idx="56">
                  <c:v>1245.2782925109746</c:v>
                </c:pt>
                <c:pt idx="57">
                  <c:v>1251.3214954860955</c:v>
                </c:pt>
                <c:pt idx="58">
                  <c:v>1257.2670300929474</c:v>
                </c:pt>
                <c:pt idx="59">
                  <c:v>1263.1153780074271</c:v>
                </c:pt>
                <c:pt idx="60">
                  <c:v>1268.8670209057591</c:v>
                </c:pt>
                <c:pt idx="61">
                  <c:v>1274.5224404637838</c:v>
                </c:pt>
                <c:pt idx="62">
                  <c:v>1280.0821183576261</c:v>
                </c:pt>
                <c:pt idx="63">
                  <c:v>1285.5465362633538</c:v>
                </c:pt>
                <c:pt idx="64">
                  <c:v>1290.9161758568359</c:v>
                </c:pt>
                <c:pt idx="65">
                  <c:v>1296.1915188143394</c:v>
                </c:pt>
                <c:pt idx="66">
                  <c:v>1301.3730468117615</c:v>
                </c:pt>
                <c:pt idx="67">
                  <c:v>1306.4612415251133</c:v>
                </c:pt>
                <c:pt idx="68">
                  <c:v>1311.4565846304629</c:v>
                </c:pt>
                <c:pt idx="69">
                  <c:v>1316.3595578038496</c:v>
                </c:pt>
                <c:pt idx="70">
                  <c:v>1321.170642721313</c:v>
                </c:pt>
                <c:pt idx="71">
                  <c:v>1325.8903210588073</c:v>
                </c:pt>
                <c:pt idx="72">
                  <c:v>1330.5190744924573</c:v>
                </c:pt>
                <c:pt idx="73">
                  <c:v>1335.0573846983025</c:v>
                </c:pt>
                <c:pt idx="74">
                  <c:v>1339.5057333523539</c:v>
                </c:pt>
                <c:pt idx="75">
                  <c:v>1343.864602130509</c:v>
                </c:pt>
                <c:pt idx="76">
                  <c:v>1348.1344727090061</c:v>
                </c:pt>
                <c:pt idx="77">
                  <c:v>1352.3158267637143</c:v>
                </c:pt>
                <c:pt idx="78">
                  <c:v>1356.4091459708152</c:v>
                </c:pt>
                <c:pt idx="79">
                  <c:v>1360.4149120062914</c:v>
                </c:pt>
                <c:pt idx="80">
                  <c:v>1364.3336065460119</c:v>
                </c:pt>
                <c:pt idx="81">
                  <c:v>1368.1657112663004</c:v>
                </c:pt>
                <c:pt idx="82">
                  <c:v>1371.9117078428553</c:v>
                </c:pt>
                <c:pt idx="83">
                  <c:v>1375.5720779520288</c:v>
                </c:pt>
                <c:pt idx="84">
                  <c:v>1379.1473032696047</c:v>
                </c:pt>
                <c:pt idx="85">
                  <c:v>1382.6378654717928</c:v>
                </c:pt>
                <c:pt idx="86">
                  <c:v>1386.0442462345475</c:v>
                </c:pt>
                <c:pt idx="87">
                  <c:v>1389.3669272338798</c:v>
                </c:pt>
                <c:pt idx="88">
                  <c:v>1392.6063901458008</c:v>
                </c:pt>
                <c:pt idx="89">
                  <c:v>1395.7631166464353</c:v>
                </c:pt>
                <c:pt idx="90">
                  <c:v>1398.8375884117659</c:v>
                </c:pt>
                <c:pt idx="91">
                  <c:v>1401.8302871178037</c:v>
                </c:pt>
                <c:pt idx="92">
                  <c:v>1404.7416944406734</c:v>
                </c:pt>
                <c:pt idx="93">
                  <c:v>1407.5722920562157</c:v>
                </c:pt>
                <c:pt idx="94">
                  <c:v>1410.3225616406121</c:v>
                </c:pt>
                <c:pt idx="95">
                  <c:v>1412.9929848699874</c:v>
                </c:pt>
                <c:pt idx="96">
                  <c:v>1415.5840434200968</c:v>
                </c:pt>
                <c:pt idx="97">
                  <c:v>1418.0962189672073</c:v>
                </c:pt>
                <c:pt idx="98">
                  <c:v>1420.5299931871593</c:v>
                </c:pt>
                <c:pt idx="99">
                  <c:v>1422.8858477562767</c:v>
                </c:pt>
                <c:pt idx="100">
                  <c:v>1425.1642643502862</c:v>
                </c:pt>
                <c:pt idx="101">
                  <c:v>1427.3657246453411</c:v>
                </c:pt>
                <c:pt idx="102">
                  <c:v>1429.4907103174808</c:v>
                </c:pt>
                <c:pt idx="103">
                  <c:v>1431.5397030427732</c:v>
                </c:pt>
                <c:pt idx="104">
                  <c:v>1433.5131844971727</c:v>
                </c:pt>
                <c:pt idx="105">
                  <c:v>1435.4116363566902</c:v>
                </c:pt>
                <c:pt idx="106">
                  <c:v>1437.2355402975074</c:v>
                </c:pt>
                <c:pt idx="107">
                  <c:v>1438.9853779955502</c:v>
                </c:pt>
                <c:pt idx="108">
                  <c:v>1440.6616311268579</c:v>
                </c:pt>
                <c:pt idx="109">
                  <c:v>1442.2647813674132</c:v>
                </c:pt>
                <c:pt idx="110">
                  <c:v>1443.7953103933125</c:v>
                </c:pt>
                <c:pt idx="111">
                  <c:v>1445.253699880567</c:v>
                </c:pt>
                <c:pt idx="112">
                  <c:v>1446.6404315053296</c:v>
                </c:pt>
                <c:pt idx="113">
                  <c:v>1447.9559869433842</c:v>
                </c:pt>
                <c:pt idx="114">
                  <c:v>1449.200847870884</c:v>
                </c:pt>
                <c:pt idx="115">
                  <c:v>1450.3754959640105</c:v>
                </c:pt>
                <c:pt idx="116">
                  <c:v>1451.480412898519</c:v>
                </c:pt>
                <c:pt idx="117">
                  <c:v>1452.5160803507049</c:v>
                </c:pt>
                <c:pt idx="118">
                  <c:v>1453.4829799964086</c:v>
                </c:pt>
                <c:pt idx="119">
                  <c:v>1454.3815935117266</c:v>
                </c:pt>
                <c:pt idx="120">
                  <c:v>1455.2124025727267</c:v>
                </c:pt>
                <c:pt idx="121">
                  <c:v>1455.9758888553347</c:v>
                </c:pt>
                <c:pt idx="122">
                  <c:v>1456.672534035846</c:v>
                </c:pt>
                <c:pt idx="123">
                  <c:v>1457.3028197897884</c:v>
                </c:pt>
                <c:pt idx="124">
                  <c:v>1457.8672277937414</c:v>
                </c:pt>
                <c:pt idx="125">
                  <c:v>1458.3662397235173</c:v>
                </c:pt>
                <c:pt idx="126">
                  <c:v>1458.8003372550418</c:v>
                </c:pt>
                <c:pt idx="127">
                  <c:v>1459.1700020644112</c:v>
                </c:pt>
                <c:pt idx="128">
                  <c:v>1459.4757158277787</c:v>
                </c:pt>
                <c:pt idx="129">
                  <c:v>1459.7179602210133</c:v>
                </c:pt>
                <c:pt idx="130">
                  <c:v>1459.8972169202113</c:v>
                </c:pt>
                <c:pt idx="131">
                  <c:v>1460.0139676014976</c:v>
                </c:pt>
                <c:pt idx="132">
                  <c:v>1460.0686939407126</c:v>
                </c:pt>
                <c:pt idx="133">
                  <c:v>1460.0618776139811</c:v>
                </c:pt>
                <c:pt idx="134">
                  <c:v>1459.9940002975131</c:v>
                </c:pt>
                <c:pt idx="135">
                  <c:v>1459.8655436669787</c:v>
                </c:pt>
                <c:pt idx="136">
                  <c:v>1459.6769893986732</c:v>
                </c:pt>
                <c:pt idx="137">
                  <c:v>1459.4288191685507</c:v>
                </c:pt>
                <c:pt idx="138">
                  <c:v>1459.1215146526793</c:v>
                </c:pt>
                <c:pt idx="139">
                  <c:v>1458.755557527013</c:v>
                </c:pt>
                <c:pt idx="140">
                  <c:v>1458.3314294676484</c:v>
                </c:pt>
                <c:pt idx="141">
                  <c:v>1457.8496121506532</c:v>
                </c:pt>
                <c:pt idx="142">
                  <c:v>1457.310587251925</c:v>
                </c:pt>
                <c:pt idx="143">
                  <c:v>1456.7148364476736</c:v>
                </c:pt>
                <c:pt idx="144">
                  <c:v>1456.062841413825</c:v>
                </c:pt>
                <c:pt idx="145">
                  <c:v>1455.3550838262197</c:v>
                </c:pt>
                <c:pt idx="146">
                  <c:v>1454.5920453613519</c:v>
                </c:pt>
                <c:pt idx="147">
                  <c:v>1453.7742076948632</c:v>
                </c:pt>
                <c:pt idx="148">
                  <c:v>1452.9020525029352</c:v>
                </c:pt>
                <c:pt idx="149">
                  <c:v>1451.9760614616075</c:v>
                </c:pt>
                <c:pt idx="150">
                  <c:v>1450.9967162467774</c:v>
                </c:pt>
                <c:pt idx="151">
                  <c:v>1449.9644985346549</c:v>
                </c:pt>
                <c:pt idx="152">
                  <c:v>1448.879890001308</c:v>
                </c:pt>
                <c:pt idx="153">
                  <c:v>1447.7433723225204</c:v>
                </c:pt>
                <c:pt idx="154">
                  <c:v>1446.5554271744736</c:v>
                </c:pt>
                <c:pt idx="155">
                  <c:v>1445.3165362332356</c:v>
                </c:pt>
                <c:pt idx="156">
                  <c:v>1444.0271811747039</c:v>
                </c:pt>
                <c:pt idx="157">
                  <c:v>1442.6878436751167</c:v>
                </c:pt>
                <c:pt idx="158">
                  <c:v>1441.2990054103716</c:v>
                </c:pt>
                <c:pt idx="159">
                  <c:v>1439.8611480564227</c:v>
                </c:pt>
                <c:pt idx="160">
                  <c:v>1438.3747532895086</c:v>
                </c:pt>
                <c:pt idx="161">
                  <c:v>1436.8403027852992</c:v>
                </c:pt>
                <c:pt idx="162">
                  <c:v>1435.2582782204308</c:v>
                </c:pt>
                <c:pt idx="163">
                  <c:v>1433.6291612704031</c:v>
                </c:pt>
                <c:pt idx="164">
                  <c:v>1431.9534336113975</c:v>
                </c:pt>
                <c:pt idx="165">
                  <c:v>1430.2315769195388</c:v>
                </c:pt>
                <c:pt idx="166">
                  <c:v>1428.4640728707245</c:v>
                </c:pt>
                <c:pt idx="167">
                  <c:v>1426.6514031410793</c:v>
                </c:pt>
                <c:pt idx="168">
                  <c:v>1424.7940494066142</c:v>
                </c:pt>
                <c:pt idx="169">
                  <c:v>1422.8924933434541</c:v>
                </c:pt>
                <c:pt idx="170">
                  <c:v>1420.9472166273258</c:v>
                </c:pt>
                <c:pt idx="171">
                  <c:v>1418.9587009345246</c:v>
                </c:pt>
                <c:pt idx="172">
                  <c:v>1416.9274279412889</c:v>
                </c:pt>
                <c:pt idx="173">
                  <c:v>1414.8538793230614</c:v>
                </c:pt>
                <c:pt idx="174">
                  <c:v>1412.7385367563079</c:v>
                </c:pt>
                <c:pt idx="175">
                  <c:v>1410.5818819170395</c:v>
                </c:pt>
                <c:pt idx="176">
                  <c:v>1408.3843964810967</c:v>
                </c:pt>
                <c:pt idx="177">
                  <c:v>1406.1465621246043</c:v>
                </c:pt>
                <c:pt idx="178">
                  <c:v>1403.8688605236871</c:v>
                </c:pt>
                <c:pt idx="179">
                  <c:v>1401.5517733542424</c:v>
                </c:pt>
                <c:pt idx="180">
                  <c:v>1399.1957822922814</c:v>
                </c:pt>
                <c:pt idx="181">
                  <c:v>1396.8013690140424</c:v>
                </c:pt>
                <c:pt idx="182">
                  <c:v>1394.3690151954229</c:v>
                </c:pt>
                <c:pt idx="183">
                  <c:v>1391.8992025123771</c:v>
                </c:pt>
                <c:pt idx="184">
                  <c:v>1389.3924126409729</c:v>
                </c:pt>
                <c:pt idx="185">
                  <c:v>1386.8491272574488</c:v>
                </c:pt>
                <c:pt idx="186">
                  <c:v>1384.2698280374748</c:v>
                </c:pt>
                <c:pt idx="187">
                  <c:v>1381.6549966575167</c:v>
                </c:pt>
                <c:pt idx="188">
                  <c:v>1379.0051147931308</c:v>
                </c:pt>
                <c:pt idx="189">
                  <c:v>1376.3206641206693</c:v>
                </c:pt>
                <c:pt idx="190">
                  <c:v>1373.602126316257</c:v>
                </c:pt>
                <c:pt idx="191">
                  <c:v>1370.849983055507</c:v>
                </c:pt>
                <c:pt idx="192">
                  <c:v>1368.0647160148851</c:v>
                </c:pt>
                <c:pt idx="193">
                  <c:v>1365.2468068700614</c:v>
                </c:pt>
                <c:pt idx="194">
                  <c:v>1362.3967372973311</c:v>
                </c:pt>
                <c:pt idx="195">
                  <c:v>1359.514988972478</c:v>
                </c:pt>
                <c:pt idx="196">
                  <c:v>1356.6020435720247</c:v>
                </c:pt>
                <c:pt idx="197">
                  <c:v>1353.6583827713571</c:v>
                </c:pt>
                <c:pt idx="198">
                  <c:v>1350.6844882469977</c:v>
                </c:pt>
                <c:pt idx="199">
                  <c:v>1347.6808416746735</c:v>
                </c:pt>
                <c:pt idx="200">
                  <c:v>1344.647924730566</c:v>
                </c:pt>
                <c:pt idx="201">
                  <c:v>1341.5862190909138</c:v>
                </c:pt>
                <c:pt idx="202">
                  <c:v>1338.4962064311026</c:v>
                </c:pt>
                <c:pt idx="203">
                  <c:v>1335.3783684279392</c:v>
                </c:pt>
                <c:pt idx="204">
                  <c:v>1332.2331867569233</c:v>
                </c:pt>
                <c:pt idx="205">
                  <c:v>1360.8093488780924</c:v>
                </c:pt>
                <c:pt idx="206">
                  <c:v>1367.8868940482971</c:v>
                </c:pt>
                <c:pt idx="207">
                  <c:v>1364.5603742003232</c:v>
                </c:pt>
                <c:pt idx="208">
                  <c:v>1361.2076317795072</c:v>
                </c:pt>
                <c:pt idx="209">
                  <c:v>1357.8291637293205</c:v>
                </c:pt>
                <c:pt idx="210">
                  <c:v>1354.4254669926659</c:v>
                </c:pt>
                <c:pt idx="211">
                  <c:v>1350.9970385132419</c:v>
                </c:pt>
                <c:pt idx="212">
                  <c:v>1347.5443752330989</c:v>
                </c:pt>
                <c:pt idx="213">
                  <c:v>1344.0679740961627</c:v>
                </c:pt>
                <c:pt idx="214">
                  <c:v>1340.5683320455637</c:v>
                </c:pt>
                <c:pt idx="215">
                  <c:v>1337.045946023693</c:v>
                </c:pt>
                <c:pt idx="216">
                  <c:v>1333.5013129743061</c:v>
                </c:pt>
                <c:pt idx="217">
                  <c:v>1329.9349298403058</c:v>
                </c:pt>
                <c:pt idx="218">
                  <c:v>1326.347293564595</c:v>
                </c:pt>
                <c:pt idx="219">
                  <c:v>1322.7389010905881</c:v>
                </c:pt>
                <c:pt idx="220">
                  <c:v>1319.1102493613016</c:v>
                </c:pt>
                <c:pt idx="221">
                  <c:v>1315.461835319752</c:v>
                </c:pt>
                <c:pt idx="222">
                  <c:v>1311.7941559090696</c:v>
                </c:pt>
                <c:pt idx="223">
                  <c:v>1308.1077080722139</c:v>
                </c:pt>
                <c:pt idx="224">
                  <c:v>1304.4029887527131</c:v>
                </c:pt>
                <c:pt idx="225">
                  <c:v>1300.6804948930721</c:v>
                </c:pt>
                <c:pt idx="226">
                  <c:v>1296.9407234370465</c:v>
                </c:pt>
                <c:pt idx="227">
                  <c:v>1293.1841713270273</c:v>
                </c:pt>
                <c:pt idx="228">
                  <c:v>1289.4113355068839</c:v>
                </c:pt>
                <c:pt idx="229">
                  <c:v>1285.6227129189506</c:v>
                </c:pt>
                <c:pt idx="230">
                  <c:v>1281.8188005070397</c:v>
                </c:pt>
                <c:pt idx="231">
                  <c:v>1278.0000952134856</c:v>
                </c:pt>
                <c:pt idx="232">
                  <c:v>1274.1670939823848</c:v>
                </c:pt>
                <c:pt idx="233">
                  <c:v>1270.3202937556739</c:v>
                </c:pt>
                <c:pt idx="234">
                  <c:v>1266.4601914775062</c:v>
                </c:pt>
                <c:pt idx="235">
                  <c:v>1262.5872840901025</c:v>
                </c:pt>
                <c:pt idx="236">
                  <c:v>1258.7020685374455</c:v>
                </c:pt>
                <c:pt idx="237">
                  <c:v>1254.805041761756</c:v>
                </c:pt>
                <c:pt idx="238">
                  <c:v>1250.8967007068463</c:v>
                </c:pt>
                <c:pt idx="239">
                  <c:v>1246.9775423153919</c:v>
                </c:pt>
                <c:pt idx="240">
                  <c:v>1243.0480635307504</c:v>
                </c:pt>
                <c:pt idx="241">
                  <c:v>1239.1087612957108</c:v>
                </c:pt>
                <c:pt idx="242">
                  <c:v>1235.1601325537445</c:v>
                </c:pt>
                <c:pt idx="243">
                  <c:v>1231.2026742475268</c:v>
                </c:pt>
                <c:pt idx="244">
                  <c:v>1227.236883320586</c:v>
                </c:pt>
                <c:pt idx="245">
                  <c:v>1223.2632567159953</c:v>
                </c:pt>
                <c:pt idx="246">
                  <c:v>1219.2822913763166</c:v>
                </c:pt>
                <c:pt idx="247">
                  <c:v>1215.2944842453053</c:v>
                </c:pt>
                <c:pt idx="248">
                  <c:v>1211.3003322657505</c:v>
                </c:pt>
                <c:pt idx="249">
                  <c:v>1207.3003323807825</c:v>
                </c:pt>
                <c:pt idx="250">
                  <c:v>1203.2949815334177</c:v>
                </c:pt>
                <c:pt idx="251">
                  <c:v>1199.2847766670138</c:v>
                </c:pt>
                <c:pt idx="252">
                  <c:v>1195.2702147243599</c:v>
                </c:pt>
                <c:pt idx="253">
                  <c:v>1191.2517926488135</c:v>
                </c:pt>
                <c:pt idx="254">
                  <c:v>1187.2300073832207</c:v>
                </c:pt>
                <c:pt idx="255">
                  <c:v>1183.2053558709958</c:v>
                </c:pt>
                <c:pt idx="256">
                  <c:v>1179.1783350551555</c:v>
                </c:pt>
                <c:pt idx="257">
                  <c:v>1175.149441878375</c:v>
                </c:pt>
                <c:pt idx="258">
                  <c:v>1171.11917328441</c:v>
                </c:pt>
                <c:pt idx="259">
                  <c:v>1167.0880262160495</c:v>
                </c:pt>
                <c:pt idx="260">
                  <c:v>1163.0564976161963</c:v>
                </c:pt>
                <c:pt idx="261">
                  <c:v>1159.0250844282082</c:v>
                </c:pt>
                <c:pt idx="262">
                  <c:v>1154.9942835953857</c:v>
                </c:pt>
                <c:pt idx="263">
                  <c:v>1150.9645920600065</c:v>
                </c:pt>
                <c:pt idx="264">
                  <c:v>1146.9365067663944</c:v>
                </c:pt>
                <c:pt idx="265">
                  <c:v>1142.9105246566564</c:v>
                </c:pt>
                <c:pt idx="266">
                  <c:v>1138.8871426742639</c:v>
                </c:pt>
                <c:pt idx="267">
                  <c:v>1134.8668577622334</c:v>
                </c:pt>
                <c:pt idx="268">
                  <c:v>1130.8501668638655</c:v>
                </c:pt>
                <c:pt idx="269">
                  <c:v>1126.8375669220063</c:v>
                </c:pt>
                <c:pt idx="270">
                  <c:v>1122.829554879786</c:v>
                </c:pt>
                <c:pt idx="271">
                  <c:v>1118.8266276807326</c:v>
                </c:pt>
                <c:pt idx="272">
                  <c:v>1114.8292822671806</c:v>
                </c:pt>
                <c:pt idx="273">
                  <c:v>1110.8380155828286</c:v>
                </c:pt>
                <c:pt idx="274">
                  <c:v>1106.8533245705225</c:v>
                </c:pt>
                <c:pt idx="275">
                  <c:v>1102.8757061737338</c:v>
                </c:pt>
                <c:pt idx="276">
                  <c:v>1098.9056573349103</c:v>
                </c:pt>
                <c:pt idx="277">
                  <c:v>1094.9436749977508</c:v>
                </c:pt>
                <c:pt idx="278">
                  <c:v>1090.990256104817</c:v>
                </c:pt>
                <c:pt idx="279">
                  <c:v>1087.0458975996939</c:v>
                </c:pt>
                <c:pt idx="280">
                  <c:v>1083.1110964254549</c:v>
                </c:pt>
                <c:pt idx="281">
                  <c:v>1079.186349524889</c:v>
                </c:pt>
                <c:pt idx="282">
                  <c:v>1075.2721538411834</c:v>
                </c:pt>
                <c:pt idx="283">
                  <c:v>1071.3690063176955</c:v>
                </c:pt>
                <c:pt idx="284">
                  <c:v>1067.4774038973283</c:v>
                </c:pt>
                <c:pt idx="285">
                  <c:v>1063.5978435228139</c:v>
                </c:pt>
                <c:pt idx="286">
                  <c:v>1059.730822137908</c:v>
                </c:pt>
                <c:pt idx="287">
                  <c:v>1055.8768366855134</c:v>
                </c:pt>
                <c:pt idx="288">
                  <c:v>1052.0363841087601</c:v>
                </c:pt>
                <c:pt idx="289">
                  <c:v>1048.2099613504374</c:v>
                </c:pt>
                <c:pt idx="290">
                  <c:v>1044.3980653536755</c:v>
                </c:pt>
                <c:pt idx="291">
                  <c:v>1040.6011930618888</c:v>
                </c:pt>
                <c:pt idx="292">
                  <c:v>1036.8198414185485</c:v>
                </c:pt>
                <c:pt idx="293">
                  <c:v>1033.054507365307</c:v>
                </c:pt>
                <c:pt idx="294">
                  <c:v>1029.305687846886</c:v>
                </c:pt>
                <c:pt idx="295">
                  <c:v>1025.5738798053358</c:v>
                </c:pt>
                <c:pt idx="296">
                  <c:v>1021.8595801848096</c:v>
                </c:pt>
                <c:pt idx="297">
                  <c:v>1018.1632859268461</c:v>
                </c:pt>
                <c:pt idx="298">
                  <c:v>1014.4854939757693</c:v>
                </c:pt>
                <c:pt idx="299">
                  <c:v>1010.8267012743113</c:v>
                </c:pt>
                <c:pt idx="300">
                  <c:v>1007.1874047658298</c:v>
                </c:pt>
                <c:pt idx="301">
                  <c:v>1003.5681013932276</c:v>
                </c:pt>
                <c:pt idx="302">
                  <c:v>999.96928809923702</c:v>
                </c:pt>
                <c:pt idx="303">
                  <c:v>996.39146182744298</c:v>
                </c:pt>
                <c:pt idx="304">
                  <c:v>992.8351195204641</c:v>
                </c:pt>
                <c:pt idx="305">
                  <c:v>989.30075812268115</c:v>
                </c:pt>
                <c:pt idx="306">
                  <c:v>985.78887457495057</c:v>
                </c:pt>
                <c:pt idx="307">
                  <c:v>982.29996582296053</c:v>
                </c:pt>
                <c:pt idx="308">
                  <c:v>978.83452880739696</c:v>
                </c:pt>
                <c:pt idx="309">
                  <c:v>975.39306047320906</c:v>
                </c:pt>
                <c:pt idx="310">
                  <c:v>971.97605776273122</c:v>
                </c:pt>
                <c:pt idx="311">
                  <c:v>968.58401761869573</c:v>
                </c:pt>
                <c:pt idx="312">
                  <c:v>965.21743698491491</c:v>
                </c:pt>
                <c:pt idx="313">
                  <c:v>961.87681280440529</c:v>
                </c:pt>
                <c:pt idx="314">
                  <c:v>958.56264201950125</c:v>
                </c:pt>
                <c:pt idx="315">
                  <c:v>955.2754215742425</c:v>
                </c:pt>
                <c:pt idx="316">
                  <c:v>952.01564841130448</c:v>
                </c:pt>
                <c:pt idx="317">
                  <c:v>948.78381947370372</c:v>
                </c:pt>
                <c:pt idx="318">
                  <c:v>945.5804317049683</c:v>
                </c:pt>
                <c:pt idx="319">
                  <c:v>942.40598204748949</c:v>
                </c:pt>
                <c:pt idx="320">
                  <c:v>939.26096744490906</c:v>
                </c:pt>
                <c:pt idx="321">
                  <c:v>936.14588484064143</c:v>
                </c:pt>
                <c:pt idx="322">
                  <c:v>933.06123117650941</c:v>
                </c:pt>
                <c:pt idx="323">
                  <c:v>930.00750339689375</c:v>
                </c:pt>
                <c:pt idx="324">
                  <c:v>926.98519844424254</c:v>
                </c:pt>
                <c:pt idx="325">
                  <c:v>923.99481326242494</c:v>
                </c:pt>
                <c:pt idx="326">
                  <c:v>921.03684479366166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D-4B36-9174-8F3A171E45DE}"/>
            </c:ext>
          </c:extLst>
        </c:ser>
        <c:ser>
          <c:idx val="1"/>
          <c:order val="1"/>
          <c:tx>
            <c:v>krydstyr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  <c:extLst xmlns:c15="http://schemas.microsoft.com/office/drawing/2012/chart"/>
            </c:numRef>
          </c:cat>
          <c:val>
            <c:numRef>
              <c:f>'Vækstfunktion, kry tyr'!$H$3:$H$335</c:f>
              <c:numCache>
                <c:formatCode>#,##0</c:formatCode>
                <c:ptCount val="333"/>
                <c:pt idx="0">
                  <c:v>725.26566535665893</c:v>
                </c:pt>
                <c:pt idx="1">
                  <c:v>736.46703991337858</c:v>
                </c:pt>
                <c:pt idx="2">
                  <c:v>747.55247379457046</c:v>
                </c:pt>
                <c:pt idx="3">
                  <c:v>758.52242649338564</c:v>
                </c:pt>
                <c:pt idx="4">
                  <c:v>769.37735750287573</c:v>
                </c:pt>
                <c:pt idx="5">
                  <c:v>780.11772631613496</c:v>
                </c:pt>
                <c:pt idx="6">
                  <c:v>790.74399242625759</c:v>
                </c:pt>
                <c:pt idx="7">
                  <c:v>801.25661532635206</c:v>
                </c:pt>
                <c:pt idx="8">
                  <c:v>811.65605450951261</c:v>
                </c:pt>
                <c:pt idx="9">
                  <c:v>821.94276946883349</c:v>
                </c:pt>
                <c:pt idx="10">
                  <c:v>832.11721969738051</c:v>
                </c:pt>
                <c:pt idx="11">
                  <c:v>842.1798646882479</c:v>
                </c:pt>
                <c:pt idx="12">
                  <c:v>852.13116393461519</c:v>
                </c:pt>
                <c:pt idx="13">
                  <c:v>861.97157692946291</c:v>
                </c:pt>
                <c:pt idx="14">
                  <c:v>871.70156316595637</c:v>
                </c:pt>
                <c:pt idx="15">
                  <c:v>881.32158213714717</c:v>
                </c:pt>
                <c:pt idx="16">
                  <c:v>890.83209333614377</c:v>
                </c:pt>
                <c:pt idx="17">
                  <c:v>900.23355625606882</c:v>
                </c:pt>
                <c:pt idx="18">
                  <c:v>909.52643038998815</c:v>
                </c:pt>
                <c:pt idx="19">
                  <c:v>918.71117523098178</c:v>
                </c:pt>
                <c:pt idx="20">
                  <c:v>927.78825027217238</c:v>
                </c:pt>
                <c:pt idx="21">
                  <c:v>936.75811500665418</c:v>
                </c:pt>
                <c:pt idx="22">
                  <c:v>945.62122892750722</c:v>
                </c:pt>
                <c:pt idx="23">
                  <c:v>954.37805152781152</c:v>
                </c:pt>
                <c:pt idx="24">
                  <c:v>963.02904230068975</c:v>
                </c:pt>
                <c:pt idx="25">
                  <c:v>971.57466073922194</c:v>
                </c:pt>
                <c:pt idx="26">
                  <c:v>980.01536633651654</c:v>
                </c:pt>
                <c:pt idx="27">
                  <c:v>988.35161858562515</c:v>
                </c:pt>
                <c:pt idx="28">
                  <c:v>1063.9206254242879</c:v>
                </c:pt>
                <c:pt idx="29">
                  <c:v>1072.5985875666452</c:v>
                </c:pt>
                <c:pt idx="30">
                  <c:v>1081.166510321978</c:v>
                </c:pt>
                <c:pt idx="31">
                  <c:v>1089.6248842301902</c:v>
                </c:pt>
                <c:pt idx="32">
                  <c:v>1097.9741998312279</c:v>
                </c:pt>
                <c:pt idx="33">
                  <c:v>1106.2149476649806</c:v>
                </c:pt>
                <c:pt idx="34">
                  <c:v>1114.3476182714239</c:v>
                </c:pt>
                <c:pt idx="35">
                  <c:v>1122.3727021903896</c:v>
                </c:pt>
                <c:pt idx="36">
                  <c:v>1130.2906899618961</c:v>
                </c:pt>
                <c:pt idx="37">
                  <c:v>1138.1020721258324</c:v>
                </c:pt>
                <c:pt idx="38">
                  <c:v>1145.8073392221024</c:v>
                </c:pt>
                <c:pt idx="39">
                  <c:v>1153.4069817907239</c:v>
                </c:pt>
                <c:pt idx="40">
                  <c:v>1160.9014903714724</c:v>
                </c:pt>
                <c:pt idx="41">
                  <c:v>1168.2913555043797</c:v>
                </c:pt>
                <c:pt idx="42">
                  <c:v>1175.5770677293071</c:v>
                </c:pt>
                <c:pt idx="43">
                  <c:v>1182.7591175862722</c:v>
                </c:pt>
                <c:pt idx="44">
                  <c:v>1189.8379956151359</c:v>
                </c:pt>
                <c:pt idx="45">
                  <c:v>1196.8141923558023</c:v>
                </c:pt>
                <c:pt idx="46">
                  <c:v>1203.688198348189</c:v>
                </c:pt>
                <c:pt idx="47">
                  <c:v>1210.4605041323139</c:v>
                </c:pt>
                <c:pt idx="48">
                  <c:v>1217.1316002480239</c:v>
                </c:pt>
                <c:pt idx="49">
                  <c:v>1223.7019772352369</c:v>
                </c:pt>
                <c:pt idx="50">
                  <c:v>1230.1721256339279</c:v>
                </c:pt>
                <c:pt idx="51">
                  <c:v>1236.5425359840003</c:v>
                </c:pt>
                <c:pt idx="52">
                  <c:v>1242.8136988253159</c:v>
                </c:pt>
                <c:pt idx="53">
                  <c:v>1248.9861046979199</c:v>
                </c:pt>
                <c:pt idx="54">
                  <c:v>1255.0602441416886</c:v>
                </c:pt>
                <c:pt idx="55">
                  <c:v>1261.0366076963969</c:v>
                </c:pt>
                <c:pt idx="56">
                  <c:v>1266.9156859022905</c:v>
                </c:pt>
                <c:pt idx="57">
                  <c:v>1272.6979692990312</c:v>
                </c:pt>
                <c:pt idx="58">
                  <c:v>1278.3839484265513</c:v>
                </c:pt>
                <c:pt idx="59">
                  <c:v>1283.9741138249678</c:v>
                </c:pt>
                <c:pt idx="60">
                  <c:v>1289.468956033943</c:v>
                </c:pt>
                <c:pt idx="61">
                  <c:v>1294.8689655936221</c:v>
                </c:pt>
                <c:pt idx="62">
                  <c:v>1300.1746330438948</c:v>
                </c:pt>
                <c:pt idx="63">
                  <c:v>1305.3864489245655</c:v>
                </c:pt>
                <c:pt idx="64">
                  <c:v>1310.5049037756089</c:v>
                </c:pt>
                <c:pt idx="65">
                  <c:v>1315.530488137</c:v>
                </c:pt>
                <c:pt idx="66">
                  <c:v>1320.4636925487421</c:v>
                </c:pt>
                <c:pt idx="67">
                  <c:v>1325.3050075504689</c:v>
                </c:pt>
                <c:pt idx="68">
                  <c:v>1330.0549236824395</c:v>
                </c:pt>
                <c:pt idx="69">
                  <c:v>1334.713931484373</c:v>
                </c:pt>
                <c:pt idx="70">
                  <c:v>1339.2825214962158</c:v>
                </c:pt>
                <c:pt idx="71">
                  <c:v>1343.7611842579713</c:v>
                </c:pt>
                <c:pt idx="72">
                  <c:v>1348.1504103095574</c:v>
                </c:pt>
                <c:pt idx="73">
                  <c:v>1352.4506901907785</c:v>
                </c:pt>
                <c:pt idx="74">
                  <c:v>1356.6625144416662</c:v>
                </c:pt>
                <c:pt idx="75">
                  <c:v>1360.7863736021102</c:v>
                </c:pt>
                <c:pt idx="76">
                  <c:v>1364.8227582121422</c:v>
                </c:pt>
                <c:pt idx="77">
                  <c:v>1368.7721588114812</c:v>
                </c:pt>
                <c:pt idx="78">
                  <c:v>1390.010193357142</c:v>
                </c:pt>
                <c:pt idx="79">
                  <c:v>1393.8349064690385</c:v>
                </c:pt>
                <c:pt idx="80">
                  <c:v>1397.5730247547631</c:v>
                </c:pt>
                <c:pt idx="81">
                  <c:v>1401.2250449637236</c:v>
                </c:pt>
                <c:pt idx="82">
                  <c:v>1404.7914638449868</c:v>
                </c:pt>
                <c:pt idx="83">
                  <c:v>1408.2727781481026</c:v>
                </c:pt>
                <c:pt idx="84">
                  <c:v>1411.6694846221662</c:v>
                </c:pt>
                <c:pt idx="85">
                  <c:v>1414.9820800166424</c:v>
                </c:pt>
                <c:pt idx="86">
                  <c:v>1418.2110610806262</c:v>
                </c:pt>
                <c:pt idx="87">
                  <c:v>1421.356924563554</c:v>
                </c:pt>
                <c:pt idx="88">
                  <c:v>1424.4201672147199</c:v>
                </c:pt>
                <c:pt idx="89">
                  <c:v>1427.4012857832759</c:v>
                </c:pt>
                <c:pt idx="90">
                  <c:v>1430.3007770186298</c:v>
                </c:pt>
                <c:pt idx="91">
                  <c:v>1433.1191376701327</c:v>
                </c:pt>
                <c:pt idx="92">
                  <c:v>1435.856864486766</c:v>
                </c:pt>
                <c:pt idx="93">
                  <c:v>1438.514454218307</c:v>
                </c:pt>
                <c:pt idx="94">
                  <c:v>1441.0924036137089</c:v>
                </c:pt>
                <c:pt idx="95">
                  <c:v>1443.5912094221806</c:v>
                </c:pt>
                <c:pt idx="96">
                  <c:v>1446.0113683933571</c:v>
                </c:pt>
                <c:pt idx="97">
                  <c:v>1448.3533772761916</c:v>
                </c:pt>
                <c:pt idx="98">
                  <c:v>1450.6177328202625</c:v>
                </c:pt>
                <c:pt idx="99">
                  <c:v>1452.8049317746365</c:v>
                </c:pt>
                <c:pt idx="100">
                  <c:v>1454.9154708886647</c:v>
                </c:pt>
                <c:pt idx="101">
                  <c:v>1456.9498469117264</c:v>
                </c:pt>
                <c:pt idx="102">
                  <c:v>1458.908556593002</c:v>
                </c:pt>
                <c:pt idx="103">
                  <c:v>1460.792096681871</c:v>
                </c:pt>
                <c:pt idx="104">
                  <c:v>1462.6009639275992</c:v>
                </c:pt>
                <c:pt idx="105">
                  <c:v>1464.3356550794238</c:v>
                </c:pt>
                <c:pt idx="106">
                  <c:v>1465.9966668866105</c:v>
                </c:pt>
                <c:pt idx="107">
                  <c:v>1467.5844960985671</c:v>
                </c:pt>
                <c:pt idx="108">
                  <c:v>1469.0996394645595</c:v>
                </c:pt>
                <c:pt idx="109">
                  <c:v>1470.5425937338248</c:v>
                </c:pt>
                <c:pt idx="110">
                  <c:v>1471.9138556556004</c:v>
                </c:pt>
                <c:pt idx="111">
                  <c:v>1473.213921979351</c:v>
                </c:pt>
                <c:pt idx="112">
                  <c:v>1474.4432894543138</c:v>
                </c:pt>
                <c:pt idx="113">
                  <c:v>1475.6024548296409</c:v>
                </c:pt>
                <c:pt idx="114">
                  <c:v>1476.6919148547117</c:v>
                </c:pt>
                <c:pt idx="115">
                  <c:v>1477.7121662788488</c:v>
                </c:pt>
                <c:pt idx="116">
                  <c:v>1478.6637058513463</c:v>
                </c:pt>
                <c:pt idx="117">
                  <c:v>1479.5470303213563</c:v>
                </c:pt>
                <c:pt idx="118">
                  <c:v>1480.3626364384002</c:v>
                </c:pt>
                <c:pt idx="119">
                  <c:v>1481.1110209516585</c:v>
                </c:pt>
                <c:pt idx="120">
                  <c:v>1481.7926806102548</c:v>
                </c:pt>
                <c:pt idx="121">
                  <c:v>1482.4081121638812</c:v>
                </c:pt>
                <c:pt idx="122">
                  <c:v>1482.9578123612919</c:v>
                </c:pt>
                <c:pt idx="123">
                  <c:v>1483.4422779522356</c:v>
                </c:pt>
                <c:pt idx="124">
                  <c:v>1483.8620056859497</c:v>
                </c:pt>
                <c:pt idx="125">
                  <c:v>1484.2174923113589</c:v>
                </c:pt>
                <c:pt idx="126">
                  <c:v>1484.5092345781552</c:v>
                </c:pt>
                <c:pt idx="127">
                  <c:v>1484.7377292354054</c:v>
                </c:pt>
                <c:pt idx="128">
                  <c:v>1484.9034730326025</c:v>
                </c:pt>
                <c:pt idx="129">
                  <c:v>1485.0069627188134</c:v>
                </c:pt>
                <c:pt idx="130">
                  <c:v>1485.0486950433606</c:v>
                </c:pt>
                <c:pt idx="131">
                  <c:v>1485.0291667556803</c:v>
                </c:pt>
                <c:pt idx="132">
                  <c:v>1484.9488746051236</c:v>
                </c:pt>
                <c:pt idx="133">
                  <c:v>1484.8083153405582</c:v>
                </c:pt>
                <c:pt idx="134">
                  <c:v>1484.6079857117331</c:v>
                </c:pt>
                <c:pt idx="135">
                  <c:v>1484.3483824678287</c:v>
                </c:pt>
                <c:pt idx="136">
                  <c:v>1484.0300023578834</c:v>
                </c:pt>
                <c:pt idx="137">
                  <c:v>1483.6533421314186</c:v>
                </c:pt>
                <c:pt idx="138">
                  <c:v>1483.2188985377286</c:v>
                </c:pt>
                <c:pt idx="139">
                  <c:v>1482.7271683261358</c:v>
                </c:pt>
                <c:pt idx="140">
                  <c:v>1482.1786482457355</c:v>
                </c:pt>
                <c:pt idx="141">
                  <c:v>1481.5738350459355</c:v>
                </c:pt>
                <c:pt idx="142">
                  <c:v>1480.9132254760868</c:v>
                </c:pt>
                <c:pt idx="143">
                  <c:v>1480.1973162853415</c:v>
                </c:pt>
                <c:pt idx="144">
                  <c:v>1479.4266042231072</c:v>
                </c:pt>
                <c:pt idx="145">
                  <c:v>1478.601586038792</c:v>
                </c:pt>
                <c:pt idx="146">
                  <c:v>1477.7227584813204</c:v>
                </c:pt>
                <c:pt idx="147">
                  <c:v>1476.7906183001287</c:v>
                </c:pt>
                <c:pt idx="148">
                  <c:v>1475.8056622447384</c:v>
                </c:pt>
                <c:pt idx="149">
                  <c:v>1474.76838706433</c:v>
                </c:pt>
                <c:pt idx="150">
                  <c:v>1473.6792895079134</c:v>
                </c:pt>
                <c:pt idx="151">
                  <c:v>1472.5388663252943</c:v>
                </c:pt>
                <c:pt idx="152">
                  <c:v>1471.3476142651416</c:v>
                </c:pt>
                <c:pt idx="153">
                  <c:v>1470.1060300773747</c:v>
                </c:pt>
                <c:pt idx="154">
                  <c:v>1468.8146105108899</c:v>
                </c:pt>
                <c:pt idx="155">
                  <c:v>1467.4738523149813</c:v>
                </c:pt>
                <c:pt idx="156">
                  <c:v>1466.0842522390567</c:v>
                </c:pt>
                <c:pt idx="157">
                  <c:v>1464.6463070324671</c:v>
                </c:pt>
                <c:pt idx="158">
                  <c:v>1463.1605134443362</c:v>
                </c:pt>
                <c:pt idx="159">
                  <c:v>1461.6273682241854</c:v>
                </c:pt>
                <c:pt idx="160">
                  <c:v>1460.0473681208541</c:v>
                </c:pt>
                <c:pt idx="161">
                  <c:v>1458.4210098844324</c:v>
                </c:pt>
                <c:pt idx="162">
                  <c:v>1456.748790263191</c:v>
                </c:pt>
                <c:pt idx="163">
                  <c:v>1455.031206007277</c:v>
                </c:pt>
                <c:pt idx="164">
                  <c:v>1453.2687538654727</c:v>
                </c:pt>
                <c:pt idx="165">
                  <c:v>1451.4619305872998</c:v>
                </c:pt>
                <c:pt idx="166">
                  <c:v>1449.6112329222228</c:v>
                </c:pt>
                <c:pt idx="167">
                  <c:v>1468.0275704316728</c:v>
                </c:pt>
                <c:pt idx="168">
                  <c:v>1518.0692114986414</c:v>
                </c:pt>
                <c:pt idx="169">
                  <c:v>1515.9909041512378</c:v>
                </c:pt>
                <c:pt idx="170">
                  <c:v>1513.8686150442027</c:v>
                </c:pt>
                <c:pt idx="171">
                  <c:v>1511.7028657645051</c:v>
                </c:pt>
                <c:pt idx="172">
                  <c:v>1509.4941778991142</c:v>
                </c:pt>
                <c:pt idx="173">
                  <c:v>1507.2430730340898</c:v>
                </c:pt>
                <c:pt idx="174">
                  <c:v>1504.9500727569693</c:v>
                </c:pt>
                <c:pt idx="175">
                  <c:v>1502.6156986539263</c:v>
                </c:pt>
                <c:pt idx="176">
                  <c:v>1500.2404723120435</c:v>
                </c:pt>
                <c:pt idx="177">
                  <c:v>1497.8249153180627</c:v>
                </c:pt>
                <c:pt idx="178">
                  <c:v>1495.3695492585553</c:v>
                </c:pt>
                <c:pt idx="179">
                  <c:v>1492.8748957203197</c:v>
                </c:pt>
                <c:pt idx="180">
                  <c:v>1490.3414762902685</c:v>
                </c:pt>
                <c:pt idx="181">
                  <c:v>1487.7698125550296</c:v>
                </c:pt>
                <c:pt idx="182">
                  <c:v>1485.1604261014018</c:v>
                </c:pt>
                <c:pt idx="183">
                  <c:v>1482.5138385162404</c:v>
                </c:pt>
                <c:pt idx="184">
                  <c:v>1479.8305713860032</c:v>
                </c:pt>
                <c:pt idx="185">
                  <c:v>1477.1111462976592</c:v>
                </c:pt>
                <c:pt idx="186">
                  <c:v>1474.3560848380071</c:v>
                </c:pt>
                <c:pt idx="187">
                  <c:v>1471.5659085936181</c:v>
                </c:pt>
                <c:pt idx="188">
                  <c:v>1468.7411391515752</c:v>
                </c:pt>
                <c:pt idx="189">
                  <c:v>1465.8822980981085</c:v>
                </c:pt>
                <c:pt idx="190">
                  <c:v>1462.9899070204715</c:v>
                </c:pt>
                <c:pt idx="191">
                  <c:v>1460.0644875052922</c:v>
                </c:pt>
                <c:pt idx="192">
                  <c:v>1457.106561139085</c:v>
                </c:pt>
                <c:pt idx="193">
                  <c:v>1454.116649508876</c:v>
                </c:pt>
                <c:pt idx="194">
                  <c:v>1451.0952742013501</c:v>
                </c:pt>
                <c:pt idx="195">
                  <c:v>1448.0429568031354</c:v>
                </c:pt>
                <c:pt idx="196">
                  <c:v>1444.9602189012012</c:v>
                </c:pt>
                <c:pt idx="197">
                  <c:v>1441.8475820822891</c:v>
                </c:pt>
                <c:pt idx="198">
                  <c:v>1438.7055679327432</c:v>
                </c:pt>
                <c:pt idx="199">
                  <c:v>1435.5346980398167</c:v>
                </c:pt>
                <c:pt idx="200">
                  <c:v>1432.3354939903652</c:v>
                </c:pt>
                <c:pt idx="201">
                  <c:v>1429.1084773703346</c:v>
                </c:pt>
                <c:pt idx="202">
                  <c:v>1425.8541697672058</c:v>
                </c:pt>
                <c:pt idx="203">
                  <c:v>1422.5730927676068</c:v>
                </c:pt>
                <c:pt idx="204">
                  <c:v>1419.2657679583931</c:v>
                </c:pt>
                <c:pt idx="205">
                  <c:v>1415.9327169257381</c:v>
                </c:pt>
                <c:pt idx="206">
                  <c:v>1412.5744612571225</c:v>
                </c:pt>
                <c:pt idx="207">
                  <c:v>1409.1915225389471</c:v>
                </c:pt>
                <c:pt idx="208">
                  <c:v>1405.7844223577263</c:v>
                </c:pt>
                <c:pt idx="209">
                  <c:v>1402.3536823009408</c:v>
                </c:pt>
                <c:pt idx="210">
                  <c:v>1398.8998239545367</c:v>
                </c:pt>
                <c:pt idx="211">
                  <c:v>1395.4233689057673</c:v>
                </c:pt>
                <c:pt idx="212">
                  <c:v>1391.9248387413177</c:v>
                </c:pt>
                <c:pt idx="213">
                  <c:v>1388.4047550477021</c:v>
                </c:pt>
                <c:pt idx="214">
                  <c:v>1384.8636394120604</c:v>
                </c:pt>
                <c:pt idx="215">
                  <c:v>1381.30201342085</c:v>
                </c:pt>
                <c:pt idx="216">
                  <c:v>1377.7203986608697</c:v>
                </c:pt>
                <c:pt idx="217">
                  <c:v>1374.1193167189749</c:v>
                </c:pt>
                <c:pt idx="218">
                  <c:v>1370.4992891818506</c:v>
                </c:pt>
                <c:pt idx="219">
                  <c:v>1366.8608376363522</c:v>
                </c:pt>
                <c:pt idx="220">
                  <c:v>1363.2044836689374</c:v>
                </c:pt>
                <c:pt idx="221">
                  <c:v>1359.5307488668595</c:v>
                </c:pt>
                <c:pt idx="222">
                  <c:v>1355.8401548163488</c:v>
                </c:pt>
                <c:pt idx="223">
                  <c:v>1352.1332231045449</c:v>
                </c:pt>
                <c:pt idx="224">
                  <c:v>1348.4104753178485</c:v>
                </c:pt>
                <c:pt idx="225">
                  <c:v>1344.6724330436268</c:v>
                </c:pt>
                <c:pt idx="226">
                  <c:v>1340.9196178679395</c:v>
                </c:pt>
                <c:pt idx="227">
                  <c:v>1337.1525513778693</c:v>
                </c:pt>
                <c:pt idx="228">
                  <c:v>1333.371755160158</c:v>
                </c:pt>
                <c:pt idx="229">
                  <c:v>1329.5777508015476</c:v>
                </c:pt>
                <c:pt idx="230">
                  <c:v>1325.7710598887229</c:v>
                </c:pt>
                <c:pt idx="231">
                  <c:v>1321.9522040087668</c:v>
                </c:pt>
                <c:pt idx="232">
                  <c:v>1318.1217047477958</c:v>
                </c:pt>
                <c:pt idx="233">
                  <c:v>1314.2800836931769</c:v>
                </c:pt>
                <c:pt idx="234">
                  <c:v>1310.4278624314816</c:v>
                </c:pt>
                <c:pt idx="235">
                  <c:v>1306.5655625491672</c:v>
                </c:pt>
                <c:pt idx="236">
                  <c:v>1302.6937056334873</c:v>
                </c:pt>
                <c:pt idx="237">
                  <c:v>1298.812813270672</c:v>
                </c:pt>
                <c:pt idx="238">
                  <c:v>1294.9234070480884</c:v>
                </c:pt>
                <c:pt idx="239">
                  <c:v>1291.0260085520235</c:v>
                </c:pt>
                <c:pt idx="240">
                  <c:v>1287.1211393692192</c:v>
                </c:pt>
                <c:pt idx="241">
                  <c:v>1283.209321086531</c:v>
                </c:pt>
                <c:pt idx="242">
                  <c:v>1279.2910752911553</c:v>
                </c:pt>
                <c:pt idx="243">
                  <c:v>1275.366923569095</c:v>
                </c:pt>
                <c:pt idx="244">
                  <c:v>1271.4373875076035</c:v>
                </c:pt>
                <c:pt idx="245">
                  <c:v>1267.5029886931952</c:v>
                </c:pt>
                <c:pt idx="246">
                  <c:v>1263.5642487126688</c:v>
                </c:pt>
                <c:pt idx="247">
                  <c:v>1259.621689153164</c:v>
                </c:pt>
                <c:pt idx="248">
                  <c:v>1255.6758316007972</c:v>
                </c:pt>
                <c:pt idx="249">
                  <c:v>1251.7271976426514</c:v>
                </c:pt>
                <c:pt idx="250">
                  <c:v>1247.7763088657525</c:v>
                </c:pt>
                <c:pt idx="251">
                  <c:v>1243.8236868558761</c:v>
                </c:pt>
                <c:pt idx="252">
                  <c:v>1239.8698532014123</c:v>
                </c:pt>
                <c:pt idx="253">
                  <c:v>1235.9153294874545</c:v>
                </c:pt>
                <c:pt idx="254">
                  <c:v>1231.9606373018246</c:v>
                </c:pt>
                <c:pt idx="255">
                  <c:v>1228.0062982308095</c:v>
                </c:pt>
                <c:pt idx="256">
                  <c:v>1224.0528338610375</c:v>
                </c:pt>
                <c:pt idx="257">
                  <c:v>1220.1007657801597</c:v>
                </c:pt>
                <c:pt idx="258">
                  <c:v>1216.1506155736674</c:v>
                </c:pt>
                <c:pt idx="259">
                  <c:v>1212.202904829212</c:v>
                </c:pt>
                <c:pt idx="260">
                  <c:v>1208.2581551331373</c:v>
                </c:pt>
                <c:pt idx="261">
                  <c:v>1204.3168880725261</c:v>
                </c:pt>
                <c:pt idx="262">
                  <c:v>1200.3796252337793</c:v>
                </c:pt>
                <c:pt idx="263">
                  <c:v>1196.4468882035817</c:v>
                </c:pt>
                <c:pt idx="264">
                  <c:v>1192.5191985694141</c:v>
                </c:pt>
                <c:pt idx="265">
                  <c:v>1188.5970779172794</c:v>
                </c:pt>
                <c:pt idx="266">
                  <c:v>1184.6810478340331</c:v>
                </c:pt>
                <c:pt idx="267">
                  <c:v>1180.7716299067579</c:v>
                </c:pt>
                <c:pt idx="268">
                  <c:v>1176.8693457221957</c:v>
                </c:pt>
                <c:pt idx="269">
                  <c:v>1172.9747168665767</c:v>
                </c:pt>
                <c:pt idx="270">
                  <c:v>1169.0882649273817</c:v>
                </c:pt>
                <c:pt idx="271">
                  <c:v>1165.2105114906703</c:v>
                </c:pt>
                <c:pt idx="272">
                  <c:v>1161.3419781438097</c:v>
                </c:pt>
                <c:pt idx="273">
                  <c:v>1157.4831864732573</c:v>
                </c:pt>
                <c:pt idx="274">
                  <c:v>1153.6346580655845</c:v>
                </c:pt>
                <c:pt idx="275">
                  <c:v>1149.7969145077036</c:v>
                </c:pt>
                <c:pt idx="276">
                  <c:v>1145.9704773865838</c:v>
                </c:pt>
                <c:pt idx="277">
                  <c:v>1142.1558682890236</c:v>
                </c:pt>
                <c:pt idx="278">
                  <c:v>1138.353608801367</c:v>
                </c:pt>
                <c:pt idx="279">
                  <c:v>1134.5642205105833</c:v>
                </c:pt>
                <c:pt idx="280">
                  <c:v>1130.7882250029024</c:v>
                </c:pt>
                <c:pt idx="281">
                  <c:v>1127.0261438664875</c:v>
                </c:pt>
                <c:pt idx="282">
                  <c:v>1123.2784986867159</c:v>
                </c:pt>
                <c:pt idx="283">
                  <c:v>1119.5458110510117</c:v>
                </c:pt>
                <c:pt idx="284">
                  <c:v>1115.8286025456619</c:v>
                </c:pt>
                <c:pt idx="285">
                  <c:v>1112.1273947579198</c:v>
                </c:pt>
                <c:pt idx="286">
                  <c:v>1108.4427092744136</c:v>
                </c:pt>
                <c:pt idx="287">
                  <c:v>1104.7750676814871</c:v>
                </c:pt>
                <c:pt idx="288">
                  <c:v>1101.1249915665644</c:v>
                </c:pt>
                <c:pt idx="289">
                  <c:v>1097.4930025156482</c:v>
                </c:pt>
                <c:pt idx="290">
                  <c:v>1093.8796221165035</c:v>
                </c:pt>
                <c:pt idx="291">
                  <c:v>1090.2853719546783</c:v>
                </c:pt>
                <c:pt idx="292">
                  <c:v>1086.7107736178241</c:v>
                </c:pt>
                <c:pt idx="293">
                  <c:v>1083.1563486922278</c:v>
                </c:pt>
                <c:pt idx="294">
                  <c:v>1079.6226187653133</c:v>
                </c:pt>
                <c:pt idx="295">
                  <c:v>1076.1101054226856</c:v>
                </c:pt>
                <c:pt idx="296">
                  <c:v>1072.6193302521665</c:v>
                </c:pt>
                <c:pt idx="297">
                  <c:v>1069.150814840043</c:v>
                </c:pt>
                <c:pt idx="298">
                  <c:v>1065.7050807731707</c:v>
                </c:pt>
                <c:pt idx="299">
                  <c:v>1062.2826496380071</c:v>
                </c:pt>
                <c:pt idx="300">
                  <c:v>1058.8840430218625</c:v>
                </c:pt>
                <c:pt idx="301">
                  <c:v>1055.5097825108533</c:v>
                </c:pt>
                <c:pt idx="302">
                  <c:v>1052.1603896924603</c:v>
                </c:pt>
                <c:pt idx="303">
                  <c:v>1048.8363861530843</c:v>
                </c:pt>
                <c:pt idx="304">
                  <c:v>1045.5382934787849</c:v>
                </c:pt>
                <c:pt idx="305">
                  <c:v>1042.2666332580661</c:v>
                </c:pt>
                <c:pt idx="306">
                  <c:v>1039.0219270756234</c:v>
                </c:pt>
                <c:pt idx="307">
                  <c:v>1035.8046965196195</c:v>
                </c:pt>
                <c:pt idx="308">
                  <c:v>1032.6154631763416</c:v>
                </c:pt>
                <c:pt idx="309">
                  <c:v>1029.4547486324177</c:v>
                </c:pt>
                <c:pt idx="310">
                  <c:v>1026.3230744751581</c:v>
                </c:pt>
                <c:pt idx="311">
                  <c:v>1023.2209622903952</c:v>
                </c:pt>
                <c:pt idx="312">
                  <c:v>1020.1489336660075</c:v>
                </c:pt>
                <c:pt idx="313">
                  <c:v>1017.1075101877136</c:v>
                </c:pt>
                <c:pt idx="314">
                  <c:v>1014.097213442767</c:v>
                </c:pt>
                <c:pt idx="315">
                  <c:v>1011.1185650178527</c:v>
                </c:pt>
                <c:pt idx="316">
                  <c:v>1008.1720865002808</c:v>
                </c:pt>
                <c:pt idx="317">
                  <c:v>1005.258299475372</c:v>
                </c:pt>
                <c:pt idx="318">
                  <c:v>1002.3777255318009</c:v>
                </c:pt>
                <c:pt idx="319">
                  <c:v>999.5308862542629</c:v>
                </c:pt>
                <c:pt idx="320">
                  <c:v>996.71830323126187</c:v>
                </c:pt>
                <c:pt idx="321">
                  <c:v>993.94049804874385</c:v>
                </c:pt>
                <c:pt idx="322">
                  <c:v>991.19799229322325</c:v>
                </c:pt>
                <c:pt idx="323">
                  <c:v>988.49130755223769</c:v>
                </c:pt>
                <c:pt idx="324">
                  <c:v>985.82096541156261</c:v>
                </c:pt>
                <c:pt idx="325">
                  <c:v>983.18748745924722</c:v>
                </c:pt>
                <c:pt idx="326">
                  <c:v>980.59139528049855</c:v>
                </c:pt>
                <c:pt idx="327">
                  <c:v>978.03321046336578</c:v>
                </c:pt>
                <c:pt idx="328">
                  <c:v>975.51345459373806</c:v>
                </c:pt>
                <c:pt idx="329">
                  <c:v>973.03264925949406</c:v>
                </c:pt>
                <c:pt idx="330">
                  <c:v>970.59131604567028</c:v>
                </c:pt>
                <c:pt idx="331">
                  <c:v>968.18997654031591</c:v>
                </c:pt>
                <c:pt idx="332">
                  <c:v>#N/A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0DD-4B36-9174-8F3A171E45DE}"/>
            </c:ext>
          </c:extLst>
        </c:ser>
        <c:ser>
          <c:idx val="2"/>
          <c:order val="2"/>
          <c:tx>
            <c:v>krydskvie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  <c:extLst xmlns:c15="http://schemas.microsoft.com/office/drawing/2012/chart"/>
            </c:numRef>
          </c:cat>
          <c:val>
            <c:numRef>
              <c:f>'Vækstfunktion, kry kvie'!$H$3:$H$335</c:f>
              <c:numCache>
                <c:formatCode>#,##0</c:formatCode>
                <c:ptCount val="333"/>
                <c:pt idx="0">
                  <c:v>659.98472523307328</c:v>
                </c:pt>
                <c:pt idx="1">
                  <c:v>671.43117753859372</c:v>
                </c:pt>
                <c:pt idx="2">
                  <c:v>682.75620077976384</c:v>
                </c:pt>
                <c:pt idx="3">
                  <c:v>693.96027467342947</c:v>
                </c:pt>
                <c:pt idx="4">
                  <c:v>705.04387893653586</c:v>
                </c:pt>
                <c:pt idx="5">
                  <c:v>716.00749328595725</c:v>
                </c:pt>
                <c:pt idx="6">
                  <c:v>726.8515974386105</c:v>
                </c:pt>
                <c:pt idx="7">
                  <c:v>737.5766711113414</c:v>
                </c:pt>
                <c:pt idx="8">
                  <c:v>748.18319402109523</c:v>
                </c:pt>
                <c:pt idx="9">
                  <c:v>758.67164588477465</c:v>
                </c:pt>
                <c:pt idx="10">
                  <c:v>769.04250641918281</c:v>
                </c:pt>
                <c:pt idx="11">
                  <c:v>779.29625534135027</c:v>
                </c:pt>
                <c:pt idx="12">
                  <c:v>789.4333723680802</c:v>
                </c:pt>
                <c:pt idx="13">
                  <c:v>799.45433721627523</c:v>
                </c:pt>
                <c:pt idx="14">
                  <c:v>809.35962960290908</c:v>
                </c:pt>
                <c:pt idx="15">
                  <c:v>819.14972924474228</c:v>
                </c:pt>
                <c:pt idx="16">
                  <c:v>828.82511585880536</c:v>
                </c:pt>
                <c:pt idx="17">
                  <c:v>838.38626916190151</c:v>
                </c:pt>
                <c:pt idx="18">
                  <c:v>847.83366887096179</c:v>
                </c:pt>
                <c:pt idx="19">
                  <c:v>857.16779470290305</c:v>
                </c:pt>
                <c:pt idx="20">
                  <c:v>866.38912637457111</c:v>
                </c:pt>
                <c:pt idx="21">
                  <c:v>875.49814360291123</c:v>
                </c:pt>
                <c:pt idx="22">
                  <c:v>884.49532610476922</c:v>
                </c:pt>
                <c:pt idx="23">
                  <c:v>893.38115359710457</c:v>
                </c:pt>
                <c:pt idx="24">
                  <c:v>902.15610579674888</c:v>
                </c:pt>
                <c:pt idx="25">
                  <c:v>910.82066242061899</c:v>
                </c:pt>
                <c:pt idx="26">
                  <c:v>919.37530318563176</c:v>
                </c:pt>
                <c:pt idx="27">
                  <c:v>927.82050780867564</c:v>
                </c:pt>
                <c:pt idx="28">
                  <c:v>974.21190868981</c:v>
                </c:pt>
                <c:pt idx="29">
                  <c:v>982.77414243524674</c:v>
                </c:pt>
                <c:pt idx="30">
                  <c:v>991.22398906784781</c:v>
                </c:pt>
                <c:pt idx="31">
                  <c:v>999.56194780507701</c:v>
                </c:pt>
                <c:pt idx="32">
                  <c:v>1007.7885178646255</c:v>
                </c:pt>
                <c:pt idx="33">
                  <c:v>1015.9041984639856</c:v>
                </c:pt>
                <c:pt idx="34">
                  <c:v>1023.9094888208484</c:v>
                </c:pt>
                <c:pt idx="35">
                  <c:v>1031.8048881527061</c:v>
                </c:pt>
                <c:pt idx="36">
                  <c:v>1039.5908956771932</c:v>
                </c:pt>
                <c:pt idx="37">
                  <c:v>1047.2680106118305</c:v>
                </c:pt>
                <c:pt idx="38">
                  <c:v>1054.8367321742803</c:v>
                </c:pt>
                <c:pt idx="39">
                  <c:v>1062.2975595820492</c:v>
                </c:pt>
                <c:pt idx="40">
                  <c:v>1069.6509920528001</c:v>
                </c:pt>
                <c:pt idx="41">
                  <c:v>1076.8975288040251</c:v>
                </c:pt>
                <c:pt idx="42">
                  <c:v>1084.0376690534158</c:v>
                </c:pt>
                <c:pt idx="43">
                  <c:v>1091.0719120184069</c:v>
                </c:pt>
                <c:pt idx="44">
                  <c:v>1098.0007569167328</c:v>
                </c:pt>
                <c:pt idx="45">
                  <c:v>1104.8247029658569</c:v>
                </c:pt>
                <c:pt idx="46">
                  <c:v>1111.5442493834989</c:v>
                </c:pt>
                <c:pt idx="47">
                  <c:v>1118.1598953870662</c:v>
                </c:pt>
                <c:pt idx="48">
                  <c:v>1146.6383929324309</c:v>
                </c:pt>
                <c:pt idx="49">
                  <c:v>1153.1729182379422</c:v>
                </c:pt>
                <c:pt idx="50">
                  <c:v>1159.6030407282285</c:v>
                </c:pt>
                <c:pt idx="51">
                  <c:v>1165.9292693713469</c:v>
                </c:pt>
                <c:pt idx="52">
                  <c:v>1172.152113135141</c:v>
                </c:pt>
                <c:pt idx="53">
                  <c:v>1178.2720809874832</c:v>
                </c:pt>
                <c:pt idx="54">
                  <c:v>1184.2896818964164</c:v>
                </c:pt>
                <c:pt idx="55">
                  <c:v>1190.2054248297702</c:v>
                </c:pt>
                <c:pt idx="56">
                  <c:v>1196.0198187555591</c:v>
                </c:pt>
                <c:pt idx="57">
                  <c:v>1201.7333726416409</c:v>
                </c:pt>
                <c:pt idx="58">
                  <c:v>1207.346595455931</c:v>
                </c:pt>
                <c:pt idx="59">
                  <c:v>1212.8599961664718</c:v>
                </c:pt>
                <c:pt idx="60">
                  <c:v>1218.2740837409797</c:v>
                </c:pt>
                <c:pt idx="61">
                  <c:v>1223.5893671476533</c:v>
                </c:pt>
                <c:pt idx="62">
                  <c:v>1228.8063553540951</c:v>
                </c:pt>
                <c:pt idx="63">
                  <c:v>1233.9255573286039</c:v>
                </c:pt>
                <c:pt idx="64">
                  <c:v>1238.9474820386965</c:v>
                </c:pt>
                <c:pt idx="65">
                  <c:v>1243.8726384526433</c:v>
                </c:pt>
                <c:pt idx="66">
                  <c:v>1248.7015355382312</c:v>
                </c:pt>
                <c:pt idx="67">
                  <c:v>1253.4346822633893</c:v>
                </c:pt>
                <c:pt idx="68">
                  <c:v>1258.0725875959615</c:v>
                </c:pt>
                <c:pt idx="69">
                  <c:v>1262.615760504076</c:v>
                </c:pt>
                <c:pt idx="70">
                  <c:v>1267.0647099554628</c:v>
                </c:pt>
                <c:pt idx="71">
                  <c:v>1271.4199449181933</c:v>
                </c:pt>
                <c:pt idx="72">
                  <c:v>1275.6819743599976</c:v>
                </c:pt>
                <c:pt idx="73">
                  <c:v>1279.8513072490891</c:v>
                </c:pt>
                <c:pt idx="74">
                  <c:v>1283.9284525531127</c:v>
                </c:pt>
                <c:pt idx="75">
                  <c:v>1287.9139192401681</c:v>
                </c:pt>
                <c:pt idx="76">
                  <c:v>1291.8082162781275</c:v>
                </c:pt>
                <c:pt idx="77">
                  <c:v>1295.6118526349769</c:v>
                </c:pt>
                <c:pt idx="78">
                  <c:v>1299.3253372784466</c:v>
                </c:pt>
                <c:pt idx="79">
                  <c:v>1302.9491791766645</c:v>
                </c:pt>
                <c:pt idx="80">
                  <c:v>1306.4838872975031</c:v>
                </c:pt>
                <c:pt idx="81">
                  <c:v>1309.9299706089198</c:v>
                </c:pt>
                <c:pt idx="82">
                  <c:v>1313.2879380787585</c:v>
                </c:pt>
                <c:pt idx="83">
                  <c:v>1316.5582986748916</c:v>
                </c:pt>
                <c:pt idx="84">
                  <c:v>1319.7415613654755</c:v>
                </c:pt>
                <c:pt idx="85">
                  <c:v>1322.8382351182688</c:v>
                </c:pt>
                <c:pt idx="86">
                  <c:v>1325.8488289011723</c:v>
                </c:pt>
                <c:pt idx="87">
                  <c:v>1328.7738516822003</c:v>
                </c:pt>
                <c:pt idx="88">
                  <c:v>1331.6138124292536</c:v>
                </c:pt>
                <c:pt idx="89">
                  <c:v>1334.3692201102044</c:v>
                </c:pt>
                <c:pt idx="90">
                  <c:v>1337.0405836930388</c:v>
                </c:pt>
                <c:pt idx="91">
                  <c:v>1339.6284121457711</c:v>
                </c:pt>
                <c:pt idx="92">
                  <c:v>1342.1332144360463</c:v>
                </c:pt>
                <c:pt idx="93">
                  <c:v>1344.5554995320776</c:v>
                </c:pt>
                <c:pt idx="94">
                  <c:v>1346.8957764016807</c:v>
                </c:pt>
                <c:pt idx="95">
                  <c:v>1349.1545540127277</c:v>
                </c:pt>
                <c:pt idx="96">
                  <c:v>1351.3323413332614</c:v>
                </c:pt>
                <c:pt idx="97">
                  <c:v>1368.9863099440913</c:v>
                </c:pt>
                <c:pt idx="98">
                  <c:v>1371.0268313303118</c:v>
                </c:pt>
                <c:pt idx="99">
                  <c:v>1372.986975957275</c:v>
                </c:pt>
                <c:pt idx="100">
                  <c:v>1374.8672586434623</c:v>
                </c:pt>
                <c:pt idx="101">
                  <c:v>1376.6681942068715</c:v>
                </c:pt>
                <c:pt idx="102">
                  <c:v>1378.3902974655575</c:v>
                </c:pt>
                <c:pt idx="103">
                  <c:v>1380.0340832377174</c:v>
                </c:pt>
                <c:pt idx="104">
                  <c:v>1381.6000663414627</c:v>
                </c:pt>
                <c:pt idx="105">
                  <c:v>1383.0887615949621</c:v>
                </c:pt>
                <c:pt idx="106">
                  <c:v>1384.5006838163272</c:v>
                </c:pt>
                <c:pt idx="107">
                  <c:v>1385.8363478236413</c:v>
                </c:pt>
                <c:pt idx="108">
                  <c:v>1387.0962684351582</c:v>
                </c:pt>
                <c:pt idx="109">
                  <c:v>1388.2809604689044</c:v>
                </c:pt>
                <c:pt idx="110">
                  <c:v>1389.3909387430483</c:v>
                </c:pt>
                <c:pt idx="111">
                  <c:v>1390.426718075588</c:v>
                </c:pt>
                <c:pt idx="112">
                  <c:v>1391.3888132849479</c:v>
                </c:pt>
                <c:pt idx="113">
                  <c:v>1392.2777391890122</c:v>
                </c:pt>
                <c:pt idx="114">
                  <c:v>1393.0940106060348</c:v>
                </c:pt>
                <c:pt idx="115">
                  <c:v>1393.8381423541557</c:v>
                </c:pt>
                <c:pt idx="116">
                  <c:v>1394.5106492513162</c:v>
                </c:pt>
                <c:pt idx="117">
                  <c:v>1395.1120461158837</c:v>
                </c:pt>
                <c:pt idx="118">
                  <c:v>1395.6428477659131</c:v>
                </c:pt>
                <c:pt idx="119">
                  <c:v>1396.1035690194024</c:v>
                </c:pt>
                <c:pt idx="120">
                  <c:v>1396.4947246947474</c:v>
                </c:pt>
                <c:pt idx="121">
                  <c:v>1396.8168296098611</c:v>
                </c:pt>
                <c:pt idx="122">
                  <c:v>1397.0703985829118</c:v>
                </c:pt>
                <c:pt idx="123">
                  <c:v>1397.2559464321535</c:v>
                </c:pt>
                <c:pt idx="124">
                  <c:v>1397.3739879755556</c:v>
                </c:pt>
                <c:pt idx="125">
                  <c:v>1397.4250380314288</c:v>
                </c:pt>
                <c:pt idx="126">
                  <c:v>1397.4096114177428</c:v>
                </c:pt>
                <c:pt idx="127">
                  <c:v>1397.3282229526376</c:v>
                </c:pt>
                <c:pt idx="128">
                  <c:v>1397.181387454367</c:v>
                </c:pt>
                <c:pt idx="129">
                  <c:v>1396.9696197410428</c:v>
                </c:pt>
                <c:pt idx="130">
                  <c:v>1396.6934346304924</c:v>
                </c:pt>
                <c:pt idx="131">
                  <c:v>1406.9317813880104</c:v>
                </c:pt>
                <c:pt idx="132">
                  <c:v>1406.5252493057869</c:v>
                </c:pt>
                <c:pt idx="133">
                  <c:v>1406.0553679709358</c:v>
                </c:pt>
                <c:pt idx="134">
                  <c:v>1405.5226561016525</c:v>
                </c:pt>
                <c:pt idx="135">
                  <c:v>1404.9276324161042</c:v>
                </c:pt>
                <c:pt idx="136">
                  <c:v>1404.2708156325716</c:v>
                </c:pt>
                <c:pt idx="137">
                  <c:v>1403.5527244695345</c:v>
                </c:pt>
                <c:pt idx="138">
                  <c:v>1402.7738776449041</c:v>
                </c:pt>
                <c:pt idx="139">
                  <c:v>1401.9347938771887</c:v>
                </c:pt>
                <c:pt idx="140">
                  <c:v>1401.0359918847541</c:v>
                </c:pt>
                <c:pt idx="141">
                  <c:v>1446.5663991877307</c:v>
                </c:pt>
                <c:pt idx="142">
                  <c:v>1451.6575978762774</c:v>
                </c:pt>
                <c:pt idx="143">
                  <c:v>1450.5423458361122</c:v>
                </c:pt>
                <c:pt idx="144">
                  <c:v>1449.3672834009033</c:v>
                </c:pt>
                <c:pt idx="145">
                  <c:v>1448.1329487895778</c:v>
                </c:pt>
                <c:pt idx="146">
                  <c:v>1446.8398802210913</c:v>
                </c:pt>
                <c:pt idx="147">
                  <c:v>1445.4886159143996</c:v>
                </c:pt>
                <c:pt idx="148">
                  <c:v>1444.0796940884297</c:v>
                </c:pt>
                <c:pt idx="149">
                  <c:v>1442.613652962109</c:v>
                </c:pt>
                <c:pt idx="150">
                  <c:v>1441.0910307544498</c:v>
                </c:pt>
                <c:pt idx="151">
                  <c:v>1439.512365684493</c:v>
                </c:pt>
                <c:pt idx="152">
                  <c:v>1437.8781959709954</c:v>
                </c:pt>
                <c:pt idx="153">
                  <c:v>1436.1890598330547</c:v>
                </c:pt>
                <c:pt idx="154">
                  <c:v>1434.445495489598</c:v>
                </c:pt>
                <c:pt idx="155">
                  <c:v>1432.6480411596094</c:v>
                </c:pt>
                <c:pt idx="156">
                  <c:v>1430.7972350619593</c:v>
                </c:pt>
                <c:pt idx="157">
                  <c:v>1428.8936154156318</c:v>
                </c:pt>
                <c:pt idx="158">
                  <c:v>1426.9377204397529</c:v>
                </c:pt>
                <c:pt idx="159">
                  <c:v>1424.9300883528804</c:v>
                </c:pt>
                <c:pt idx="160">
                  <c:v>1422.8712573744247</c:v>
                </c:pt>
                <c:pt idx="161">
                  <c:v>1420.761765723114</c:v>
                </c:pt>
                <c:pt idx="162">
                  <c:v>1418.6021516178471</c:v>
                </c:pt>
                <c:pt idx="163">
                  <c:v>1416.3929532776933</c:v>
                </c:pt>
                <c:pt idx="164">
                  <c:v>1414.1347089216652</c:v>
                </c:pt>
                <c:pt idx="165">
                  <c:v>1411.8279567684908</c:v>
                </c:pt>
                <c:pt idx="166">
                  <c:v>1409.4732350373533</c:v>
                </c:pt>
                <c:pt idx="167">
                  <c:v>1407.0710819470946</c:v>
                </c:pt>
                <c:pt idx="168">
                  <c:v>1404.6220357167272</c:v>
                </c:pt>
                <c:pt idx="169">
                  <c:v>1402.1266345651497</c:v>
                </c:pt>
                <c:pt idx="170">
                  <c:v>1399.5854167113748</c:v>
                </c:pt>
                <c:pt idx="171">
                  <c:v>1396.9989203743012</c:v>
                </c:pt>
                <c:pt idx="172">
                  <c:v>1394.3676837728276</c:v>
                </c:pt>
                <c:pt idx="173">
                  <c:v>1391.6922451261939</c:v>
                </c:pt>
                <c:pt idx="174">
                  <c:v>1388.9731426530147</c:v>
                </c:pt>
                <c:pt idx="175">
                  <c:v>1386.210914572473</c:v>
                </c:pt>
                <c:pt idx="176">
                  <c:v>1383.4060991035244</c:v>
                </c:pt>
                <c:pt idx="177">
                  <c:v>1380.5592344646698</c:v>
                </c:pt>
                <c:pt idx="178">
                  <c:v>1377.6708588756037</c:v>
                </c:pt>
                <c:pt idx="179">
                  <c:v>1374.7415105548839</c:v>
                </c:pt>
                <c:pt idx="180">
                  <c:v>1371.7717277212955</c:v>
                </c:pt>
                <c:pt idx="181">
                  <c:v>1368.7620485942489</c:v>
                </c:pt>
                <c:pt idx="182">
                  <c:v>1365.7130113923586</c:v>
                </c:pt>
                <c:pt idx="183">
                  <c:v>1362.6251543345802</c:v>
                </c:pt>
                <c:pt idx="184">
                  <c:v>1359.4990156399263</c:v>
                </c:pt>
                <c:pt idx="185">
                  <c:v>1356.3351335275797</c:v>
                </c:pt>
                <c:pt idx="186">
                  <c:v>1353.1340462162689</c:v>
                </c:pt>
                <c:pt idx="187">
                  <c:v>1349.8962919247788</c:v>
                </c:pt>
                <c:pt idx="188">
                  <c:v>1346.6224088725198</c:v>
                </c:pt>
                <c:pt idx="189">
                  <c:v>1343.3129352781634</c:v>
                </c:pt>
                <c:pt idx="190">
                  <c:v>1339.9684093606083</c:v>
                </c:pt>
                <c:pt idx="191">
                  <c:v>1336.5893693389239</c:v>
                </c:pt>
                <c:pt idx="192">
                  <c:v>1333.1763534320658</c:v>
                </c:pt>
                <c:pt idx="193">
                  <c:v>1329.7298998589895</c:v>
                </c:pt>
                <c:pt idx="194">
                  <c:v>1326.2505468386507</c:v>
                </c:pt>
                <c:pt idx="195">
                  <c:v>1322.7388325899483</c:v>
                </c:pt>
                <c:pt idx="196">
                  <c:v>1319.1952953318946</c:v>
                </c:pt>
                <c:pt idx="197">
                  <c:v>1315.6204732835022</c:v>
                </c:pt>
                <c:pt idx="198">
                  <c:v>1312.0149046634992</c:v>
                </c:pt>
                <c:pt idx="199">
                  <c:v>1308.3791276912393</c:v>
                </c:pt>
                <c:pt idx="200">
                  <c:v>1304.7136805850528</c:v>
                </c:pt>
                <c:pt idx="201">
                  <c:v>1301.019101564691</c:v>
                </c:pt>
                <c:pt idx="202">
                  <c:v>1297.2959288484844</c:v>
                </c:pt>
                <c:pt idx="203">
                  <c:v>1293.5447006555023</c:v>
                </c:pt>
                <c:pt idx="204">
                  <c:v>1289.7659552050413</c:v>
                </c:pt>
                <c:pt idx="205">
                  <c:v>1285.9602307157161</c:v>
                </c:pt>
                <c:pt idx="206">
                  <c:v>1282.1280654066527</c:v>
                </c:pt>
                <c:pt idx="207">
                  <c:v>1278.2699974966363</c:v>
                </c:pt>
                <c:pt idx="208">
                  <c:v>1274.386565204793</c:v>
                </c:pt>
                <c:pt idx="209">
                  <c:v>1270.4783067499079</c:v>
                </c:pt>
                <c:pt idx="210">
                  <c:v>1266.5457603512209</c:v>
                </c:pt>
                <c:pt idx="211">
                  <c:v>1262.5894642274034</c:v>
                </c:pt>
                <c:pt idx="212">
                  <c:v>1258.6099565974109</c:v>
                </c:pt>
                <c:pt idx="213">
                  <c:v>1254.6077756805971</c:v>
                </c:pt>
                <c:pt idx="214">
                  <c:v>1250.5834596952354</c:v>
                </c:pt>
                <c:pt idx="215">
                  <c:v>1246.5375468609636</c:v>
                </c:pt>
                <c:pt idx="216">
                  <c:v>1242.47057539651</c:v>
                </c:pt>
                <c:pt idx="217">
                  <c:v>1238.3830835204321</c:v>
                </c:pt>
                <c:pt idx="218">
                  <c:v>1234.2756094524816</c:v>
                </c:pt>
                <c:pt idx="219">
                  <c:v>1230.1486914106476</c:v>
                </c:pt>
                <c:pt idx="220">
                  <c:v>1226.0028676147385</c:v>
                </c:pt>
                <c:pt idx="221">
                  <c:v>1221.8386762832552</c:v>
                </c:pt>
                <c:pt idx="222">
                  <c:v>1217.6566556353237</c:v>
                </c:pt>
                <c:pt idx="223">
                  <c:v>1213.457343889786</c:v>
                </c:pt>
                <c:pt idx="224">
                  <c:v>1209.2412792655978</c:v>
                </c:pt>
                <c:pt idx="225">
                  <c:v>1205.0089999818852</c:v>
                </c:pt>
                <c:pt idx="226">
                  <c:v>1200.7610442574901</c:v>
                </c:pt>
                <c:pt idx="227">
                  <c:v>1196.4979503112545</c:v>
                </c:pt>
                <c:pt idx="228">
                  <c:v>1192.2202563622477</c:v>
                </c:pt>
                <c:pt idx="229">
                  <c:v>1187.9285006295959</c:v>
                </c:pt>
                <c:pt idx="230">
                  <c:v>1183.6232213319136</c:v>
                </c:pt>
                <c:pt idx="231">
                  <c:v>1179.3049566885543</c:v>
                </c:pt>
                <c:pt idx="232">
                  <c:v>1174.9742449180758</c:v>
                </c:pt>
                <c:pt idx="233">
                  <c:v>1170.6316242397179</c:v>
                </c:pt>
                <c:pt idx="234">
                  <c:v>1166.2776328719815</c:v>
                </c:pt>
                <c:pt idx="235">
                  <c:v>1161.9128090343338</c:v>
                </c:pt>
                <c:pt idx="236">
                  <c:v>1157.5376909459578</c:v>
                </c:pt>
                <c:pt idx="237">
                  <c:v>1153.1528168248997</c:v>
                </c:pt>
                <c:pt idx="238">
                  <c:v>1148.7587248909108</c:v>
                </c:pt>
                <c:pt idx="239">
                  <c:v>1144.3559533626058</c:v>
                </c:pt>
                <c:pt idx="240">
                  <c:v>1139.9450404592244</c:v>
                </c:pt>
                <c:pt idx="241">
                  <c:v>1135.5265243988697</c:v>
                </c:pt>
                <c:pt idx="242">
                  <c:v>1131.1009434018615</c:v>
                </c:pt>
                <c:pt idx="243">
                  <c:v>1126.6688356859049</c:v>
                </c:pt>
                <c:pt idx="244">
                  <c:v>1122.2307394707514</c:v>
                </c:pt>
                <c:pt idx="245">
                  <c:v>1117.7871929748449</c:v>
                </c:pt>
                <c:pt idx="246">
                  <c:v>1113.3387344178232</c:v>
                </c:pt>
                <c:pt idx="247">
                  <c:v>1108.8859020176756</c:v>
                </c:pt>
                <c:pt idx="248">
                  <c:v>1104.4292339942672</c:v>
                </c:pt>
                <c:pt idx="249">
                  <c:v>1099.9692685658715</c:v>
                </c:pt>
                <c:pt idx="250">
                  <c:v>1095.5065439520126</c:v>
                </c:pt>
                <c:pt idx="251">
                  <c:v>1091.0415983711914</c:v>
                </c:pt>
                <c:pt idx="252">
                  <c:v>1086.574970042534</c:v>
                </c:pt>
                <c:pt idx="253">
                  <c:v>1082.1071971850529</c:v>
                </c:pt>
                <c:pt idx="254">
                  <c:v>1077.6388180178174</c:v>
                </c:pt>
                <c:pt idx="255">
                  <c:v>1073.170370759442</c:v>
                </c:pt>
                <c:pt idx="256">
                  <c:v>1068.7023936291098</c:v>
                </c:pt>
                <c:pt idx="257">
                  <c:v>1064.2354248456627</c:v>
                </c:pt>
                <c:pt idx="258">
                  <c:v>1059.7700026282268</c:v>
                </c:pt>
                <c:pt idx="259">
                  <c:v>1055.3066651956442</c:v>
                </c:pt>
                <c:pt idx="260">
                  <c:v>1050.8459507669272</c:v>
                </c:pt>
                <c:pt idx="261">
                  <c:v>1046.3883975610315</c:v>
                </c:pt>
                <c:pt idx="262">
                  <c:v>1041.9345437966285</c:v>
                </c:pt>
                <c:pt idx="263">
                  <c:v>1037.4849276930149</c:v>
                </c:pt>
                <c:pt idx="264">
                  <c:v>1033.0400874694305</c:v>
                </c:pt>
                <c:pt idx="265">
                  <c:v>1028.6005613438647</c:v>
                </c:pt>
                <c:pt idx="266">
                  <c:v>1024.1668875361825</c:v>
                </c:pt>
                <c:pt idx="267">
                  <c:v>1019.7396042650553</c:v>
                </c:pt>
                <c:pt idx="268">
                  <c:v>1015.3192497492114</c:v>
                </c:pt>
                <c:pt idx="269">
                  <c:v>1010.9063622078907</c:v>
                </c:pt>
                <c:pt idx="270">
                  <c:v>1006.5014798599918</c:v>
                </c:pt>
                <c:pt idx="271">
                  <c:v>1002.1051409243569</c:v>
                </c:pt>
                <c:pt idx="272">
                  <c:v>997.71788362016878</c:v>
                </c:pt>
                <c:pt idx="273">
                  <c:v>993.34024616609895</c:v>
                </c:pt>
                <c:pt idx="274">
                  <c:v>988.97276678144408</c:v>
                </c:pt>
                <c:pt idx="275">
                  <c:v>984.61598368442083</c:v>
                </c:pt>
                <c:pt idx="276">
                  <c:v>980.27043509506484</c:v>
                </c:pt>
                <c:pt idx="277">
                  <c:v>975.936659231877</c:v>
                </c:pt>
                <c:pt idx="278">
                  <c:v>971.61519431313081</c:v>
                </c:pt>
                <c:pt idx="279">
                  <c:v>967.30657855886193</c:v>
                </c:pt>
                <c:pt idx="280">
                  <c:v>963.01135018745754</c:v>
                </c:pt>
                <c:pt idx="281">
                  <c:v>958.73004741781642</c:v>
                </c:pt>
                <c:pt idx="282">
                  <c:v>954.4632084690079</c:v>
                </c:pt>
                <c:pt idx="283">
                  <c:v>950.21137156004443</c:v>
                </c:pt>
                <c:pt idx="284">
                  <c:v>945.97507491016586</c:v>
                </c:pt>
                <c:pt idx="285">
                  <c:v>941.75485673758885</c:v>
                </c:pt>
                <c:pt idx="286">
                  <c:v>937.55125526212169</c:v>
                </c:pt>
                <c:pt idx="287">
                  <c:v>933.36480870158312</c:v>
                </c:pt>
                <c:pt idx="288">
                  <c:v>929.19605527663407</c:v>
                </c:pt>
                <c:pt idx="289">
                  <c:v>925.04553320441119</c:v>
                </c:pt>
                <c:pt idx="290">
                  <c:v>920.91378070512064</c:v>
                </c:pt>
                <c:pt idx="291">
                  <c:v>916.80133599709279</c:v>
                </c:pt>
                <c:pt idx="292">
                  <c:v>912.70873729962432</c:v>
                </c:pt>
                <c:pt idx="293">
                  <c:v>908.63652283150032</c:v>
                </c:pt>
                <c:pt idx="294">
                  <c:v>904.58523081161957</c:v>
                </c:pt>
                <c:pt idx="295">
                  <c:v>900.55539945922192</c:v>
                </c:pt>
                <c:pt idx="296">
                  <c:v>896.54756699263771</c:v>
                </c:pt>
                <c:pt idx="297">
                  <c:v>892.56227163173207</c:v>
                </c:pt>
                <c:pt idx="298">
                  <c:v>888.60005159483535</c:v>
                </c:pt>
                <c:pt idx="299">
                  <c:v>884.6614451010737</c:v>
                </c:pt>
                <c:pt idx="300">
                  <c:v>880.74699036923221</c:v>
                </c:pt>
                <c:pt idx="301">
                  <c:v>876.85722561860757</c:v>
                </c:pt>
                <c:pt idx="302">
                  <c:v>872.99268906792804</c:v>
                </c:pt>
                <c:pt idx="303">
                  <c:v>869.15391893586502</c:v>
                </c:pt>
                <c:pt idx="304">
                  <c:v>865.34145344234048</c:v>
                </c:pt>
                <c:pt idx="305">
                  <c:v>861.55583080500264</c:v>
                </c:pt>
                <c:pt idx="306">
                  <c:v>857.79758924371663</c:v>
                </c:pt>
                <c:pt idx="307">
                  <c:v>854.06726697755175</c:v>
                </c:pt>
                <c:pt idx="308">
                  <c:v>850.36540222461099</c:v>
                </c:pt>
                <c:pt idx="309">
                  <c:v>846.69253320430471</c:v>
                </c:pt>
                <c:pt idx="310">
                  <c:v>843.04919813638435</c:v>
                </c:pt>
                <c:pt idx="311">
                  <c:v>839.43593523798654</c:v>
                </c:pt>
                <c:pt idx="312">
                  <c:v>835.85328272982906</c:v>
                </c:pt>
                <c:pt idx="313">
                  <c:v>832.3017788302991</c:v>
                </c:pt>
                <c:pt idx="314">
                  <c:v>828.78196175755647</c:v>
                </c:pt>
                <c:pt idx="315">
                  <c:v>825.29436973180736</c:v>
                </c:pt>
                <c:pt idx="316">
                  <c:v>821.83954097092737</c:v>
                </c:pt>
                <c:pt idx="317">
                  <c:v>818.41801369517952</c:v>
                </c:pt>
                <c:pt idx="318">
                  <c:v>815.03032612170045</c:v>
                </c:pt>
                <c:pt idx="319">
                  <c:v>811.67701647132162</c:v>
                </c:pt>
                <c:pt idx="320">
                  <c:v>808.35862296129335</c:v>
                </c:pt>
                <c:pt idx="321">
                  <c:v>805.07568381227657</c:v>
                </c:pt>
                <c:pt idx="322">
                  <c:v>801.82873724197634</c:v>
                </c:pt>
                <c:pt idx="323">
                  <c:v>798.61832146963252</c:v>
                </c:pt>
                <c:pt idx="324">
                  <c:v>795.44497471454179</c:v>
                </c:pt>
                <c:pt idx="325">
                  <c:v>792.30923519480712</c:v>
                </c:pt>
                <c:pt idx="326">
                  <c:v>789.21164113108944</c:v>
                </c:pt>
                <c:pt idx="327">
                  <c:v>786.15273074029801</c:v>
                </c:pt>
                <c:pt idx="328">
                  <c:v>783.13304224280955</c:v>
                </c:pt>
                <c:pt idx="329">
                  <c:v>780.15311385678388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0DD-4B36-9174-8F3A171E4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576528"/>
        <c:axId val="1131148032"/>
        <c:extLst/>
      </c:lineChart>
      <c:catAx>
        <c:axId val="1142576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31148032"/>
        <c:crosses val="autoZero"/>
        <c:auto val="1"/>
        <c:lblAlgn val="ctr"/>
        <c:lblOffset val="100"/>
        <c:noMultiLvlLbl val="0"/>
      </c:catAx>
      <c:valAx>
        <c:axId val="113114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425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Marginal FE-forbrug,</a:t>
            </a:r>
          </a:p>
          <a:p>
            <a:pPr>
              <a:defRPr/>
            </a:pPr>
            <a:r>
              <a:rPr lang="en-US"/>
              <a:t>  FE/ pr. kg  netto tilvækst</a:t>
            </a:r>
          </a:p>
        </c:rich>
      </c:tx>
      <c:layout>
        <c:manualLayout>
          <c:xMode val="edge"/>
          <c:yMode val="edge"/>
          <c:x val="0.41790069352480319"/>
          <c:y val="3.8387869869777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2486681800386184E-2"/>
          <c:y val="0.18454459935960807"/>
          <c:w val="0.95590119471045742"/>
          <c:h val="0.55296767463322827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hol'!$Q$3:$Q$335</c:f>
              <c:numCache>
                <c:formatCode>#,##0.0</c:formatCode>
                <c:ptCount val="333"/>
                <c:pt idx="0">
                  <c:v>5.2408007154346983</c:v>
                </c:pt>
                <c:pt idx="1">
                  <c:v>5.1539138447916049</c:v>
                </c:pt>
                <c:pt idx="2">
                  <c:v>5.1668191940031454</c:v>
                </c:pt>
                <c:pt idx="3">
                  <c:v>5.1801778929451405</c:v>
                </c:pt>
                <c:pt idx="4">
                  <c:v>5.1003385390101661</c:v>
                </c:pt>
                <c:pt idx="5">
                  <c:v>5.1157975049241573</c:v>
                </c:pt>
                <c:pt idx="6">
                  <c:v>5.1316264234167566</c:v>
                </c:pt>
                <c:pt idx="7">
                  <c:v>5.0578770389667662</c:v>
                </c:pt>
                <c:pt idx="8">
                  <c:v>5.0754989420950469</c:v>
                </c:pt>
                <c:pt idx="9">
                  <c:v>5.0934301805478128</c:v>
                </c:pt>
                <c:pt idx="10">
                  <c:v>5.1116699745699101</c:v>
                </c:pt>
                <c:pt idx="11">
                  <c:v>5.0444693269412308</c:v>
                </c:pt>
                <c:pt idx="12">
                  <c:v>5.0642145981727387</c:v>
                </c:pt>
                <c:pt idx="13">
                  <c:v>5.0842267992205503</c:v>
                </c:pt>
                <c:pt idx="14">
                  <c:v>5.1045075825984236</c:v>
                </c:pt>
                <c:pt idx="15">
                  <c:v>5.1250586075033198</c:v>
                </c:pt>
                <c:pt idx="16">
                  <c:v>5.064434000973991</c:v>
                </c:pt>
                <c:pt idx="17">
                  <c:v>5.0862417901303116</c:v>
                </c:pt>
                <c:pt idx="18">
                  <c:v>5.1082925712596685</c:v>
                </c:pt>
                <c:pt idx="19">
                  <c:v>5.1305893664662001</c:v>
                </c:pt>
                <c:pt idx="20">
                  <c:v>5.1531351246401425</c:v>
                </c:pt>
                <c:pt idx="21">
                  <c:v>5.0979852248195723</c:v>
                </c:pt>
                <c:pt idx="22">
                  <c:v>5.1216121970103305</c:v>
                </c:pt>
                <c:pt idx="23">
                  <c:v>5.1455064883564336</c:v>
                </c:pt>
                <c:pt idx="24">
                  <c:v>5.1696800815669297</c:v>
                </c:pt>
                <c:pt idx="25">
                  <c:v>5.1941371627042372</c:v>
                </c:pt>
                <c:pt idx="26">
                  <c:v>5.2188723321653576</c:v>
                </c:pt>
                <c:pt idx="27">
                  <c:v>5.2438735708618145</c:v>
                </c:pt>
                <c:pt idx="28">
                  <c:v>5.2691293021074559</c:v>
                </c:pt>
                <c:pt idx="29">
                  <c:v>5.2209454261393713</c:v>
                </c:pt>
                <c:pt idx="30">
                  <c:v>5.24713517197097</c:v>
                </c:pt>
                <c:pt idx="31">
                  <c:v>5.2735428937262521</c:v>
                </c:pt>
                <c:pt idx="32">
                  <c:v>5.3001593521791586</c:v>
                </c:pt>
                <c:pt idx="33">
                  <c:v>5.3269757335028345</c:v>
                </c:pt>
                <c:pt idx="34">
                  <c:v>5.3539836229805005</c:v>
                </c:pt>
                <c:pt idx="35">
                  <c:v>5.3811749805976836</c:v>
                </c:pt>
                <c:pt idx="36">
                  <c:v>5.4085421183521101</c:v>
                </c:pt>
                <c:pt idx="37">
                  <c:v>5.4360776791545504</c:v>
                </c:pt>
                <c:pt idx="38">
                  <c:v>5.4637746171721036</c:v>
                </c:pt>
                <c:pt idx="39">
                  <c:v>5.4916261795116679</c:v>
                </c:pt>
                <c:pt idx="40">
                  <c:v>5.5196258891318735</c:v>
                </c:pt>
                <c:pt idx="41">
                  <c:v>5.5477675288817032</c:v>
                </c:pt>
                <c:pt idx="42">
                  <c:v>5.576045126587684</c:v>
                </c:pt>
                <c:pt idx="43">
                  <c:v>5.6044529410984758</c:v>
                </c:pt>
                <c:pt idx="44">
                  <c:v>5.6329854492204685</c:v>
                </c:pt>
                <c:pt idx="45">
                  <c:v>5.661637333475011</c:v>
                </c:pt>
                <c:pt idx="46">
                  <c:v>5.6904034706107955</c:v>
                </c:pt>
                <c:pt idx="47">
                  <c:v>5.7192789208277652</c:v>
                </c:pt>
                <c:pt idx="48">
                  <c:v>5.748258917641758</c:v>
                </c:pt>
                <c:pt idx="49">
                  <c:v>5.7773388583640575</c:v>
                </c:pt>
                <c:pt idx="50">
                  <c:v>5.8065142951323958</c:v>
                </c:pt>
                <c:pt idx="51">
                  <c:v>5.8357809264665201</c:v>
                </c:pt>
                <c:pt idx="52">
                  <c:v>5.8651345893083429</c:v>
                </c:pt>
                <c:pt idx="53">
                  <c:v>5.8945712515071662</c:v>
                </c:pt>
                <c:pt idx="54">
                  <c:v>5.9240870047263012</c:v>
                </c:pt>
                <c:pt idx="55">
                  <c:v>5.9536780577388777</c:v>
                </c:pt>
                <c:pt idx="56">
                  <c:v>5.9833407300834862</c:v>
                </c:pt>
                <c:pt idx="57">
                  <c:v>6.0751666264089224</c:v>
                </c:pt>
                <c:pt idx="58">
                  <c:v>6.1045729586045354</c:v>
                </c:pt>
                <c:pt idx="59">
                  <c:v>6.1340409393612063</c:v>
                </c:pt>
                <c:pt idx="60">
                  <c:v>6.1635671767926459</c:v>
                </c:pt>
                <c:pt idx="61">
                  <c:v>6.1931483650964134</c:v>
                </c:pt>
                <c:pt idx="62">
                  <c:v>6.2227812797910227</c:v>
                </c:pt>
                <c:pt idx="63">
                  <c:v>6.2524627731896416</c:v>
                </c:pt>
                <c:pt idx="64">
                  <c:v>6.2821897700842921</c:v>
                </c:pt>
                <c:pt idx="65">
                  <c:v>6.3119592636339146</c:v>
                </c:pt>
                <c:pt idx="66">
                  <c:v>6.4002452535019865</c:v>
                </c:pt>
                <c:pt idx="67">
                  <c:v>6.4296957077651458</c:v>
                </c:pt>
                <c:pt idx="68">
                  <c:v>6.4591797273433853</c:v>
                </c:pt>
                <c:pt idx="69">
                  <c:v>6.4886944589996389</c:v>
                </c:pt>
                <c:pt idx="70">
                  <c:v>6.5182371013687632</c:v>
                </c:pt>
                <c:pt idx="71">
                  <c:v>6.5478049017230591</c:v>
                </c:pt>
                <c:pt idx="72">
                  <c:v>6.5773951528645274</c:v>
                </c:pt>
                <c:pt idx="73">
                  <c:v>6.6625233228712659</c:v>
                </c:pt>
                <c:pt idx="74">
                  <c:v>6.6917447914522095</c:v>
                </c:pt>
                <c:pt idx="75">
                  <c:v>6.7209800419707397</c:v>
                </c:pt>
                <c:pt idx="76">
                  <c:v>6.7502264451306875</c:v>
                </c:pt>
                <c:pt idx="77">
                  <c:v>6.7794814043090961</c:v>
                </c:pt>
                <c:pt idx="78">
                  <c:v>6.8087423530079203</c:v>
                </c:pt>
                <c:pt idx="79">
                  <c:v>6.8908463192541358</c:v>
                </c:pt>
                <c:pt idx="80">
                  <c:v>6.9196934990250103</c:v>
                </c:pt>
                <c:pt idx="81">
                  <c:v>6.9485379237359011</c:v>
                </c:pt>
                <c:pt idx="82">
                  <c:v>6.9773770514419642</c:v>
                </c:pt>
                <c:pt idx="83">
                  <c:v>7.0061993261473399</c:v>
                </c:pt>
                <c:pt idx="84">
                  <c:v>7.0854303940738461</c:v>
                </c:pt>
                <c:pt idx="85">
                  <c:v>7.1136948855854811</c:v>
                </c:pt>
                <c:pt idx="86">
                  <c:v>7.1418833864929541</c:v>
                </c:pt>
                <c:pt idx="87">
                  <c:v>7.1699912807717396</c:v>
                </c:pt>
                <c:pt idx="88">
                  <c:v>7.1980139285638565</c:v>
                </c:pt>
                <c:pt idx="89">
                  <c:v>7.2739217060241881</c:v>
                </c:pt>
                <c:pt idx="90">
                  <c:v>7.301311164727287</c:v>
                </c:pt>
                <c:pt idx="91">
                  <c:v>7.3285990484769492</c:v>
                </c:pt>
                <c:pt idx="92">
                  <c:v>7.3557805380896344</c:v>
                </c:pt>
                <c:pt idx="93">
                  <c:v>7.3828507830264725</c:v>
                </c:pt>
                <c:pt idx="94">
                  <c:v>7.455165566259975</c:v>
                </c:pt>
                <c:pt idx="95">
                  <c:v>7.4815318761693295</c:v>
                </c:pt>
                <c:pt idx="96">
                  <c:v>7.5077696205212634</c:v>
                </c:pt>
                <c:pt idx="97">
                  <c:v>7.5338737431978453</c:v>
                </c:pt>
                <c:pt idx="98">
                  <c:v>7.6029376370546462</c:v>
                </c:pt>
                <c:pt idx="99">
                  <c:v>7.6282756657740052</c:v>
                </c:pt>
                <c:pt idx="100">
                  <c:v>7.6534618558554683</c:v>
                </c:pt>
                <c:pt idx="101">
                  <c:v>7.6784909267030566</c:v>
                </c:pt>
                <c:pt idx="102">
                  <c:v>7.7440939747199593</c:v>
                </c:pt>
                <c:pt idx="103">
                  <c:v>7.7682915563696708</c:v>
                </c:pt>
                <c:pt idx="104">
                  <c:v>7.7923128522792418</c:v>
                </c:pt>
                <c:pt idx="105">
                  <c:v>7.8161523398547974</c:v>
                </c:pt>
                <c:pt idx="106">
                  <c:v>7.878075386457013</c:v>
                </c:pt>
                <c:pt idx="107">
                  <c:v>7.9010146036893874</c:v>
                </c:pt>
                <c:pt idx="108">
                  <c:v>7.9237518467679138</c:v>
                </c:pt>
                <c:pt idx="109">
                  <c:v>7.9462813348670824</c:v>
                </c:pt>
                <c:pt idx="110">
                  <c:v>8.004295638937597</c:v>
                </c:pt>
                <c:pt idx="111">
                  <c:v>8.0258525502859062</c:v>
                </c:pt>
                <c:pt idx="112">
                  <c:v>8.0471804953086625</c:v>
                </c:pt>
                <c:pt idx="113">
                  <c:v>8.0682734199519608</c:v>
                </c:pt>
                <c:pt idx="114">
                  <c:v>8.1221402962926952</c:v>
                </c:pt>
                <c:pt idx="115">
                  <c:v>8.1421846833576428</c:v>
                </c:pt>
                <c:pt idx="116">
                  <c:v>8.1619717505219835</c:v>
                </c:pt>
                <c:pt idx="117">
                  <c:v>8.181495156733039</c:v>
                </c:pt>
                <c:pt idx="118">
                  <c:v>8.2309809621518824</c:v>
                </c:pt>
                <c:pt idx="119">
                  <c:v>8.2494145468720408</c:v>
                </c:pt>
                <c:pt idx="120">
                  <c:v>8.2675986943335147</c:v>
                </c:pt>
                <c:pt idx="121">
                  <c:v>8.2855395291535991</c:v>
                </c:pt>
                <c:pt idx="122">
                  <c:v>8.3308100244412024</c:v>
                </c:pt>
                <c:pt idx="123">
                  <c:v>8.3477666686311167</c:v>
                </c:pt>
                <c:pt idx="124">
                  <c:v>8.3645060528206461</c:v>
                </c:pt>
                <c:pt idx="125">
                  <c:v>8.3810337629185501</c:v>
                </c:pt>
                <c:pt idx="126">
                  <c:v>8.422454374834043</c:v>
                </c:pt>
                <c:pt idx="127">
                  <c:v>8.4380991771127096</c:v>
                </c:pt>
                <c:pt idx="128">
                  <c:v>8.4535564628648547</c:v>
                </c:pt>
                <c:pt idx="129">
                  <c:v>8.4688313610072861</c:v>
                </c:pt>
                <c:pt idx="130">
                  <c:v>8.5067485573532409</c:v>
                </c:pt>
                <c:pt idx="131">
                  <c:v>8.5212357717812157</c:v>
                </c:pt>
                <c:pt idx="132">
                  <c:v>8.5355631420568336</c:v>
                </c:pt>
                <c:pt idx="133">
                  <c:v>8.5708663048226086</c:v>
                </c:pt>
                <c:pt idx="134">
                  <c:v>8.5844793436941043</c:v>
                </c:pt>
                <c:pt idx="135">
                  <c:v>8.597953977568384</c:v>
                </c:pt>
                <c:pt idx="136">
                  <c:v>8.6112946848271363</c:v>
                </c:pt>
                <c:pt idx="137">
                  <c:v>8.6436798299773194</c:v>
                </c:pt>
                <c:pt idx="138">
                  <c:v>8.6563927286467894</c:v>
                </c:pt>
                <c:pt idx="139">
                  <c:v>8.6689919429425917</c:v>
                </c:pt>
                <c:pt idx="140">
                  <c:v>8.6814816698337367</c:v>
                </c:pt>
                <c:pt idx="141">
                  <c:v>8.7112555013529214</c:v>
                </c:pt>
                <c:pt idx="142">
                  <c:v>8.723200089291602</c:v>
                </c:pt>
                <c:pt idx="143">
                  <c:v>8.7350544292093453</c:v>
                </c:pt>
                <c:pt idx="144">
                  <c:v>8.7468529002205244</c:v>
                </c:pt>
                <c:pt idx="145">
                  <c:v>8.7744961560273875</c:v>
                </c:pt>
                <c:pt idx="146">
                  <c:v>8.7861717000706374</c:v>
                </c:pt>
                <c:pt idx="147">
                  <c:v>8.7979729161215232</c:v>
                </c:pt>
                <c:pt idx="148">
                  <c:v>8.8245113739053807</c:v>
                </c:pt>
                <c:pt idx="149">
                  <c:v>8.8363127419064167</c:v>
                </c:pt>
                <c:pt idx="150">
                  <c:v>8.84827258684121</c:v>
                </c:pt>
                <c:pt idx="151">
                  <c:v>8.8603995604113219</c:v>
                </c:pt>
                <c:pt idx="152">
                  <c:v>8.8859898750164525</c:v>
                </c:pt>
                <c:pt idx="153">
                  <c:v>8.8982335992436354</c:v>
                </c:pt>
                <c:pt idx="154">
                  <c:v>8.9106773768053547</c:v>
                </c:pt>
                <c:pt idx="155">
                  <c:v>8.9233299992573318</c:v>
                </c:pt>
                <c:pt idx="156">
                  <c:v>8.9483353794703646</c:v>
                </c:pt>
                <c:pt idx="157">
                  <c:v>8.961221412183642</c:v>
                </c:pt>
                <c:pt idx="158">
                  <c:v>8.974349601721066</c:v>
                </c:pt>
                <c:pt idx="159">
                  <c:v>8.9877289574798684</c:v>
                </c:pt>
                <c:pt idx="160">
                  <c:v>9.012511476133632</c:v>
                </c:pt>
                <c:pt idx="161">
                  <c:v>9.0262418275250997</c:v>
                </c:pt>
                <c:pt idx="162">
                  <c:v>9.0402573207058641</c:v>
                </c:pt>
                <c:pt idx="163">
                  <c:v>9.0545672647636994</c:v>
                </c:pt>
                <c:pt idx="164">
                  <c:v>9.0794901787198405</c:v>
                </c:pt>
                <c:pt idx="165">
                  <c:v>9.0942705226978209</c:v>
                </c:pt>
                <c:pt idx="166">
                  <c:v>9.1093802465413827</c:v>
                </c:pt>
                <c:pt idx="167">
                  <c:v>9.1248290460969628</c:v>
                </c:pt>
                <c:pt idx="168">
                  <c:v>9.1406267300729294</c:v>
                </c:pt>
                <c:pt idx="169">
                  <c:v>9.1663005424601671</c:v>
                </c:pt>
                <c:pt idx="170">
                  <c:v>9.1827171663828491</c:v>
                </c:pt>
                <c:pt idx="171">
                  <c:v>9.1995192327428157</c:v>
                </c:pt>
                <c:pt idx="172">
                  <c:v>9.2167170533849134</c:v>
                </c:pt>
                <c:pt idx="173">
                  <c:v>9.2433500176458487</c:v>
                </c:pt>
                <c:pt idx="174">
                  <c:v>9.2612937721392896</c:v>
                </c:pt>
                <c:pt idx="175">
                  <c:v>9.2796715110497043</c:v>
                </c:pt>
                <c:pt idx="176">
                  <c:v>9.2984941538706103</c:v>
                </c:pt>
                <c:pt idx="177">
                  <c:v>9.3264703882792599</c:v>
                </c:pt>
                <c:pt idx="178">
                  <c:v>9.3461710255604871</c:v>
                </c:pt>
                <c:pt idx="179">
                  <c:v>9.3663568371516579</c:v>
                </c:pt>
                <c:pt idx="180">
                  <c:v>9.3870394654507106</c:v>
                </c:pt>
                <c:pt idx="181">
                  <c:v>9.4082307477407401</c:v>
                </c:pt>
                <c:pt idx="182">
                  <c:v>9.4384528816386926</c:v>
                </c:pt>
                <c:pt idx="183">
                  <c:v>9.460685056234766</c:v>
                </c:pt>
                <c:pt idx="184">
                  <c:v>9.4834602879194065</c:v>
                </c:pt>
                <c:pt idx="185">
                  <c:v>9.5067872865762535</c:v>
                </c:pt>
                <c:pt idx="186">
                  <c:v>9.5306749680972249</c:v>
                </c:pt>
                <c:pt idx="187">
                  <c:v>9.56359921174408</c:v>
                </c:pt>
                <c:pt idx="188">
                  <c:v>9.5886399771936439</c:v>
                </c:pt>
                <c:pt idx="189">
                  <c:v>9.6142721834028517</c:v>
                </c:pt>
                <c:pt idx="190">
                  <c:v>9.6405056476100537</c:v>
                </c:pt>
                <c:pt idx="191">
                  <c:v>9.6673504258596772</c:v>
                </c:pt>
                <c:pt idx="192">
                  <c:v>9.7033321274183315</c:v>
                </c:pt>
                <c:pt idx="193">
                  <c:v>9.7314508142509144</c:v>
                </c:pt>
                <c:pt idx="194">
                  <c:v>9.7602153012031394</c:v>
                </c:pt>
                <c:pt idx="195">
                  <c:v>9.7896366945596913</c:v>
                </c:pt>
                <c:pt idx="196">
                  <c:v>9.8197263786905413</c:v>
                </c:pt>
                <c:pt idx="197">
                  <c:v>9.8504960246015347</c:v>
                </c:pt>
                <c:pt idx="198">
                  <c:v>9.8906529791972417</c:v>
                </c:pt>
                <c:pt idx="199">
                  <c:v>9.922858429245732</c:v>
                </c:pt>
                <c:pt idx="200">
                  <c:v>9.955783634377676</c:v>
                </c:pt>
                <c:pt idx="201">
                  <c:v>9.9894415329097033</c:v>
                </c:pt>
                <c:pt idx="202">
                  <c:v>10.023845398877091</c:v>
                </c:pt>
                <c:pt idx="203">
                  <c:v>10.059008852743611</c:v>
                </c:pt>
                <c:pt idx="204">
                  <c:v>10.10395769251879</c:v>
                </c:pt>
                <c:pt idx="205">
                  <c:v>9.9196058119611248</c:v>
                </c:pt>
                <c:pt idx="206">
                  <c:v>9.8852860612654876</c:v>
                </c:pt>
                <c:pt idx="207">
                  <c:v>9.9215093111730894</c:v>
                </c:pt>
                <c:pt idx="208">
                  <c:v>9.9581118641719346</c:v>
                </c:pt>
                <c:pt idx="209">
                  <c:v>10.004213024821297</c:v>
                </c:pt>
                <c:pt idx="210">
                  <c:v>10.041649393094728</c:v>
                </c:pt>
                <c:pt idx="211">
                  <c:v>10.079468345292726</c:v>
                </c:pt>
                <c:pt idx="212">
                  <c:v>10.11766992023504</c:v>
                </c:pt>
                <c:pt idx="213">
                  <c:v>10.156254086837942</c:v>
                </c:pt>
                <c:pt idx="214">
                  <c:v>10.195220741128219</c:v>
                </c:pt>
                <c:pt idx="215">
                  <c:v>10.244243132084977</c:v>
                </c:pt>
                <c:pt idx="216">
                  <c:v>10.284068624433111</c:v>
                </c:pt>
                <c:pt idx="217">
                  <c:v>10.324278801225681</c:v>
                </c:pt>
                <c:pt idx="218">
                  <c:v>10.364873257645295</c:v>
                </c:pt>
                <c:pt idx="219">
                  <c:v>10.405851500231909</c:v>
                </c:pt>
                <c:pt idx="220">
                  <c:v>10.447212943535128</c:v>
                </c:pt>
                <c:pt idx="221">
                  <c:v>10.488956906699913</c:v>
                </c:pt>
                <c:pt idx="222">
                  <c:v>10.541564635647152</c:v>
                </c:pt>
                <c:pt idx="223">
                  <c:v>10.584189621071594</c:v>
                </c:pt>
                <c:pt idx="224">
                  <c:v>10.627197625062717</c:v>
                </c:pt>
                <c:pt idx="225">
                  <c:v>10.670587572442123</c:v>
                </c:pt>
                <c:pt idx="226">
                  <c:v>10.714358274747235</c:v>
                </c:pt>
                <c:pt idx="227">
                  <c:v>10.758508426470144</c:v>
                </c:pt>
                <c:pt idx="228">
                  <c:v>10.803036601262891</c:v>
                </c:pt>
                <c:pt idx="229">
                  <c:v>10.847941248090004</c:v>
                </c:pt>
                <c:pt idx="230">
                  <c:v>10.904847495531863</c:v>
                </c:pt>
                <c:pt idx="231">
                  <c:v>10.950646940165297</c:v>
                </c:pt>
                <c:pt idx="232">
                  <c:v>10.996820761383367</c:v>
                </c:pt>
                <c:pt idx="233">
                  <c:v>11.043366892040575</c:v>
                </c:pt>
                <c:pt idx="234">
                  <c:v>11.090283120226472</c:v>
                </c:pt>
                <c:pt idx="235">
                  <c:v>11.13756708518012</c:v>
                </c:pt>
                <c:pt idx="236">
                  <c:v>11.18521627312621</c:v>
                </c:pt>
                <c:pt idx="237">
                  <c:v>11.233228013128699</c:v>
                </c:pt>
                <c:pt idx="238">
                  <c:v>11.281599472870326</c:v>
                </c:pt>
                <c:pt idx="239">
                  <c:v>11.330327654450837</c:v>
                </c:pt>
                <c:pt idx="240">
                  <c:v>11.379409390150371</c:v>
                </c:pt>
                <c:pt idx="241">
                  <c:v>11.442414980988039</c:v>
                </c:pt>
                <c:pt idx="242">
                  <c:v>11.492381588708964</c:v>
                </c:pt>
                <c:pt idx="243">
                  <c:v>11.542694774857555</c:v>
                </c:pt>
                <c:pt idx="244">
                  <c:v>11.593350668163369</c:v>
                </c:pt>
                <c:pt idx="245">
                  <c:v>11.644345205714584</c:v>
                </c:pt>
                <c:pt idx="246">
                  <c:v>11.695674128696057</c:v>
                </c:pt>
                <c:pt idx="247">
                  <c:v>11.747332978099189</c:v>
                </c:pt>
                <c:pt idx="248">
                  <c:v>11.799317090501813</c:v>
                </c:pt>
                <c:pt idx="249">
                  <c:v>11.851621593830295</c:v>
                </c:pt>
                <c:pt idx="250">
                  <c:v>11.904241403188191</c:v>
                </c:pt>
                <c:pt idx="251">
                  <c:v>11.957171136297557</c:v>
                </c:pt>
                <c:pt idx="252">
                  <c:v>12.010402851859251</c:v>
                </c:pt>
                <c:pt idx="253">
                  <c:v>12.063925704178247</c:v>
                </c:pt>
                <c:pt idx="254">
                  <c:v>12.117728412709949</c:v>
                </c:pt>
                <c:pt idx="255">
                  <c:v>12.171799399005266</c:v>
                </c:pt>
                <c:pt idx="256">
                  <c:v>12.226126782978362</c:v>
                </c:pt>
                <c:pt idx="257">
                  <c:v>12.280698379384486</c:v>
                </c:pt>
                <c:pt idx="258">
                  <c:v>12.335501694442737</c:v>
                </c:pt>
                <c:pt idx="259">
                  <c:v>12.39052392272635</c:v>
                </c:pt>
                <c:pt idx="260">
                  <c:v>12.445751944220873</c:v>
                </c:pt>
                <c:pt idx="261">
                  <c:v>12.501172321621139</c:v>
                </c:pt>
                <c:pt idx="262">
                  <c:v>12.55677129789972</c:v>
                </c:pt>
                <c:pt idx="263">
                  <c:v>12.61253479410848</c:v>
                </c:pt>
                <c:pt idx="264">
                  <c:v>12.668448407438474</c:v>
                </c:pt>
                <c:pt idx="265">
                  <c:v>12.724497409594374</c:v>
                </c:pt>
                <c:pt idx="266">
                  <c:v>12.780726988601177</c:v>
                </c:pt>
                <c:pt idx="267">
                  <c:v>12.837367173964751</c:v>
                </c:pt>
                <c:pt idx="268">
                  <c:v>12.894473806365907</c:v>
                </c:pt>
                <c:pt idx="269">
                  <c:v>12.952043113780549</c:v>
                </c:pt>
                <c:pt idx="270">
                  <c:v>13.010071179502239</c:v>
                </c:pt>
                <c:pt idx="271">
                  <c:v>13.068553938033043</c:v>
                </c:pt>
                <c:pt idx="272">
                  <c:v>13.127487170971651</c:v>
                </c:pt>
                <c:pt idx="273">
                  <c:v>13.186866502768002</c:v>
                </c:pt>
                <c:pt idx="274">
                  <c:v>13.246687396558137</c:v>
                </c:pt>
                <c:pt idx="275">
                  <c:v>13.306945149850295</c:v>
                </c:pt>
                <c:pt idx="276">
                  <c:v>13.367634890263792</c:v>
                </c:pt>
                <c:pt idx="277">
                  <c:v>13.428751571178198</c:v>
                </c:pt>
                <c:pt idx="278">
                  <c:v>13.490289967370995</c:v>
                </c:pt>
                <c:pt idx="279">
                  <c:v>13.552244670626941</c:v>
                </c:pt>
                <c:pt idx="280">
                  <c:v>13.614610085338132</c:v>
                </c:pt>
                <c:pt idx="281">
                  <c:v>13.677380424033325</c:v>
                </c:pt>
                <c:pt idx="282">
                  <c:v>13.740549702941168</c:v>
                </c:pt>
                <c:pt idx="283">
                  <c:v>13.804111737501044</c:v>
                </c:pt>
                <c:pt idx="284">
                  <c:v>13.86806013786434</c:v>
                </c:pt>
                <c:pt idx="285">
                  <c:v>13.910175892794875</c:v>
                </c:pt>
                <c:pt idx="286">
                  <c:v>13.97471489869314</c:v>
                </c:pt>
                <c:pt idx="287">
                  <c:v>14.039621905487685</c:v>
                </c:pt>
                <c:pt idx="288">
                  <c:v>14.104889689992731</c:v>
                </c:pt>
                <c:pt idx="289">
                  <c:v>14.170510801753197</c:v>
                </c:pt>
                <c:pt idx="290">
                  <c:v>14.236477558550302</c:v>
                </c:pt>
                <c:pt idx="291">
                  <c:v>14.302782041923257</c:v>
                </c:pt>
                <c:pt idx="292">
                  <c:v>14.369416092690507</c:v>
                </c:pt>
                <c:pt idx="293">
                  <c:v>14.436371306532019</c:v>
                </c:pt>
                <c:pt idx="294">
                  <c:v>14.503639029520006</c:v>
                </c:pt>
                <c:pt idx="295">
                  <c:v>14.547545263156554</c:v>
                </c:pt>
                <c:pt idx="296">
                  <c:v>14.615268527887936</c:v>
                </c:pt>
                <c:pt idx="297">
                  <c:v>14.683279216731441</c:v>
                </c:pt>
                <c:pt idx="298">
                  <c:v>14.751567672430552</c:v>
                </c:pt>
                <c:pt idx="299">
                  <c:v>14.820123967252362</c:v>
                </c:pt>
                <c:pt idx="300">
                  <c:v>14.888937898880084</c:v>
                </c:pt>
                <c:pt idx="301">
                  <c:v>14.957998986364112</c:v>
                </c:pt>
                <c:pt idx="302">
                  <c:v>15.027296466163982</c:v>
                </c:pt>
                <c:pt idx="303">
                  <c:v>15.072135432147876</c:v>
                </c:pt>
                <c:pt idx="304">
                  <c:v>15.141747329673482</c:v>
                </c:pt>
                <c:pt idx="305">
                  <c:v>15.211564315393444</c:v>
                </c:pt>
                <c:pt idx="306">
                  <c:v>15.28157449989015</c:v>
                </c:pt>
                <c:pt idx="307">
                  <c:v>15.351765693220464</c:v>
                </c:pt>
                <c:pt idx="308">
                  <c:v>15.422125401741148</c:v>
                </c:pt>
                <c:pt idx="309">
                  <c:v>15.492640824789291</c:v>
                </c:pt>
                <c:pt idx="310">
                  <c:v>15.537833023295889</c:v>
                </c:pt>
                <c:pt idx="311">
                  <c:v>15.608512255731947</c:v>
                </c:pt>
                <c:pt idx="312">
                  <c:v>15.679309936158427</c:v>
                </c:pt>
                <c:pt idx="313">
                  <c:v>15.75021205252135</c:v>
                </c:pt>
                <c:pt idx="314">
                  <c:v>15.821204272736088</c:v>
                </c:pt>
                <c:pt idx="315">
                  <c:v>15.892271942487001</c:v>
                </c:pt>
                <c:pt idx="316">
                  <c:v>15.937351216536412</c:v>
                </c:pt>
                <c:pt idx="317">
                  <c:v>16.008432179284721</c:v>
                </c:pt>
                <c:pt idx="318">
                  <c:v>16.079545940685598</c:v>
                </c:pt>
                <c:pt idx="319">
                  <c:v>16.150676587347423</c:v>
                </c:pt>
                <c:pt idx="320">
                  <c:v>16.221807876477722</c:v>
                </c:pt>
                <c:pt idx="321">
                  <c:v>16.292923235209702</c:v>
                </c:pt>
                <c:pt idx="322">
                  <c:v>16.337455903436286</c:v>
                </c:pt>
                <c:pt idx="323">
                  <c:v>16.408413115267763</c:v>
                </c:pt>
                <c:pt idx="324">
                  <c:v>16.479306224184665</c:v>
                </c:pt>
                <c:pt idx="325">
                  <c:v>16.523349215669082</c:v>
                </c:pt>
                <c:pt idx="326">
                  <c:v>16.567153375067424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1-473F-8765-033AD9BF5173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tyr'!$Q$3:$Q$335</c:f>
              <c:numCache>
                <c:formatCode>#,##0.0</c:formatCode>
                <c:ptCount val="333"/>
                <c:pt idx="0">
                  <c:v>5.0710547228405272</c:v>
                </c:pt>
                <c:pt idx="1">
                  <c:v>5.0833126932261745</c:v>
                </c:pt>
                <c:pt idx="2">
                  <c:v>5.0960320201452083</c:v>
                </c:pt>
                <c:pt idx="3">
                  <c:v>5.0131718508891856</c:v>
                </c:pt>
                <c:pt idx="4">
                  <c:v>5.0283275459678682</c:v>
                </c:pt>
                <c:pt idx="5">
                  <c:v>5.0438767559191717</c:v>
                </c:pt>
                <c:pt idx="6">
                  <c:v>4.9681629260397919</c:v>
                </c:pt>
                <c:pt idx="7">
                  <c:v>4.9858560027954084</c:v>
                </c:pt>
                <c:pt idx="8">
                  <c:v>5.0039064476826489</c:v>
                </c:pt>
                <c:pt idx="9">
                  <c:v>4.9345259616912589</c:v>
                </c:pt>
                <c:pt idx="10">
                  <c:v>4.9545104212622846</c:v>
                </c:pt>
                <c:pt idx="11">
                  <c:v>4.9748396871624969</c:v>
                </c:pt>
                <c:pt idx="12">
                  <c:v>4.9955286681374931</c:v>
                </c:pt>
                <c:pt idx="13">
                  <c:v>4.9332674912516774</c:v>
                </c:pt>
                <c:pt idx="14">
                  <c:v>4.9557348317534142</c:v>
                </c:pt>
                <c:pt idx="15">
                  <c:v>4.9785708335048895</c:v>
                </c:pt>
                <c:pt idx="16">
                  <c:v>5.0017942046734385</c:v>
                </c:pt>
                <c:pt idx="17">
                  <c:v>4.9459175103838291</c:v>
                </c:pt>
                <c:pt idx="18">
                  <c:v>4.9708384973049258</c:v>
                </c:pt>
                <c:pt idx="19">
                  <c:v>4.9961725740898819</c:v>
                </c:pt>
                <c:pt idx="20">
                  <c:v>5.0219416899243976</c:v>
                </c:pt>
                <c:pt idx="21">
                  <c:v>5.0481682931254204</c:v>
                </c:pt>
                <c:pt idx="22">
                  <c:v>4.9993697678998803</c:v>
                </c:pt>
                <c:pt idx="23">
                  <c:v>5.0272901891061732</c:v>
                </c:pt>
                <c:pt idx="24">
                  <c:v>5.0557107141945536</c:v>
                </c:pt>
                <c:pt idx="25">
                  <c:v>5.0846570184340969</c:v>
                </c:pt>
                <c:pt idx="26">
                  <c:v>5.1141554192496743</c:v>
                </c:pt>
                <c:pt idx="27">
                  <c:v>5.1441277952210243</c:v>
                </c:pt>
                <c:pt idx="28">
                  <c:v>4.8668589624127279</c:v>
                </c:pt>
                <c:pt idx="29">
                  <c:v>4.8278033350543481</c:v>
                </c:pt>
                <c:pt idx="30">
                  <c:v>4.8561064889209575</c:v>
                </c:pt>
                <c:pt idx="31">
                  <c:v>4.8843847092635473</c:v>
                </c:pt>
                <c:pt idx="32">
                  <c:v>4.9126379772445352</c:v>
                </c:pt>
                <c:pt idx="33">
                  <c:v>4.940866068986316</c:v>
                </c:pt>
                <c:pt idx="34">
                  <c:v>4.9690685617553489</c:v>
                </c:pt>
                <c:pt idx="35">
                  <c:v>4.9972448396972524</c:v>
                </c:pt>
                <c:pt idx="36">
                  <c:v>5.0253940991538668</c:v>
                </c:pt>
                <c:pt idx="37">
                  <c:v>5.0535153536004991</c:v>
                </c:pt>
                <c:pt idx="38">
                  <c:v>5.0816074382336369</c:v>
                </c:pt>
                <c:pt idx="39">
                  <c:v>5.1096690142349788</c:v>
                </c:pt>
                <c:pt idx="40">
                  <c:v>5.1376985727432567</c:v>
                </c:pt>
                <c:pt idx="41">
                  <c:v>5.1656944385517773</c:v>
                </c:pt>
                <c:pt idx="42">
                  <c:v>5.1936547735611613</c:v>
                </c:pt>
                <c:pt idx="43">
                  <c:v>5.2215775800036122</c:v>
                </c:pt>
                <c:pt idx="44">
                  <c:v>5.2494607034612057</c:v>
                </c:pt>
                <c:pt idx="45">
                  <c:v>5.2773018356927794</c:v>
                </c:pt>
                <c:pt idx="46">
                  <c:v>5.3050985172925529</c:v>
                </c:pt>
                <c:pt idx="47">
                  <c:v>5.3328481401883385</c:v>
                </c:pt>
                <c:pt idx="48">
                  <c:v>5.3605479500029665</c:v>
                </c:pt>
                <c:pt idx="49">
                  <c:v>5.4454535937682493</c:v>
                </c:pt>
                <c:pt idx="50">
                  <c:v>5.4726197911282197</c:v>
                </c:pt>
                <c:pt idx="51">
                  <c:v>5.499730484400799</c:v>
                </c:pt>
                <c:pt idx="52">
                  <c:v>5.5267821700427868</c:v>
                </c:pt>
                <c:pt idx="53">
                  <c:v>5.5537712140577433</c:v>
                </c:pt>
                <c:pt idx="54">
                  <c:v>5.5806938535393762</c:v>
                </c:pt>
                <c:pt idx="55">
                  <c:v>5.6075461981690147</c:v>
                </c:pt>
                <c:pt idx="56">
                  <c:v>5.6343242316727604</c:v>
                </c:pt>
                <c:pt idx="57">
                  <c:v>5.6610238132593862</c:v>
                </c:pt>
                <c:pt idx="58">
                  <c:v>5.6876406790260781</c:v>
                </c:pt>
                <c:pt idx="59">
                  <c:v>5.7141704433561715</c:v>
                </c:pt>
                <c:pt idx="60">
                  <c:v>5.7931917147876657</c:v>
                </c:pt>
                <c:pt idx="61">
                  <c:v>5.8191330011163585</c:v>
                </c:pt>
                <c:pt idx="62">
                  <c:v>5.8449750098680697</c:v>
                </c:pt>
                <c:pt idx="63">
                  <c:v>5.8707127484278505</c:v>
                </c:pt>
                <c:pt idx="64">
                  <c:v>5.8963411132741106</c:v>
                </c:pt>
                <c:pt idx="65">
                  <c:v>5.9218548913049416</c:v>
                </c:pt>
                <c:pt idx="66">
                  <c:v>5.9472487612077378</c:v>
                </c:pt>
                <c:pt idx="67">
                  <c:v>6.0221372951399168</c:v>
                </c:pt>
                <c:pt idx="68">
                  <c:v>6.0468798164399979</c:v>
                </c:pt>
                <c:pt idx="69">
                  <c:v>6.0714866861973951</c:v>
                </c:pt>
                <c:pt idx="70">
                  <c:v>6.0959520543831118</c:v>
                </c:pt>
                <c:pt idx="71">
                  <c:v>6.1202699733874821</c:v>
                </c:pt>
                <c:pt idx="72">
                  <c:v>6.1444343996207111</c:v>
                </c:pt>
                <c:pt idx="73">
                  <c:v>6.2154830392194</c:v>
                </c:pt>
                <c:pt idx="74">
                  <c:v>6.2389268099261201</c:v>
                </c:pt>
                <c:pt idx="75">
                  <c:v>6.2621986547662258</c:v>
                </c:pt>
                <c:pt idx="76">
                  <c:v>6.2852920704161024</c:v>
                </c:pt>
                <c:pt idx="77">
                  <c:v>6.3082004694091554</c:v>
                </c:pt>
                <c:pt idx="78">
                  <c:v>6.2556200046081614</c:v>
                </c:pt>
                <c:pt idx="79">
                  <c:v>6.3217651196901281</c:v>
                </c:pt>
                <c:pt idx="80">
                  <c:v>6.3434106611542047</c:v>
                </c:pt>
                <c:pt idx="81">
                  <c:v>6.3648482987434205</c:v>
                </c:pt>
                <c:pt idx="82">
                  <c:v>6.3860710580497528</c:v>
                </c:pt>
                <c:pt idx="83">
                  <c:v>6.4491441622148482</c:v>
                </c:pt>
                <c:pt idx="84">
                  <c:v>6.4695175561125868</c:v>
                </c:pt>
                <c:pt idx="85">
                  <c:v>6.4896542446890342</c:v>
                </c:pt>
                <c:pt idx="86">
                  <c:v>6.5095469312769856</c:v>
                </c:pt>
                <c:pt idx="87">
                  <c:v>6.5291882647799628</c:v>
                </c:pt>
                <c:pt idx="88">
                  <c:v>6.5883973192667069</c:v>
                </c:pt>
                <c:pt idx="89">
                  <c:v>6.6072832828945263</c:v>
                </c:pt>
                <c:pt idx="90">
                  <c:v>6.6260742620656812</c:v>
                </c:pt>
                <c:pt idx="91">
                  <c:v>6.6447682352631636</c:v>
                </c:pt>
                <c:pt idx="92">
                  <c:v>6.7012531436322051</c:v>
                </c:pt>
                <c:pt idx="93">
                  <c:v>6.7193404439456756</c:v>
                </c:pt>
                <c:pt idx="94">
                  <c:v>6.7373245558953787</c:v>
                </c:pt>
                <c:pt idx="95">
                  <c:v>6.755203338654419</c:v>
                </c:pt>
                <c:pt idx="96">
                  <c:v>6.8089275307395249</c:v>
                </c:pt>
                <c:pt idx="97">
                  <c:v>6.8261789551306871</c:v>
                </c:pt>
                <c:pt idx="98">
                  <c:v>6.8433182642109873</c:v>
                </c:pt>
                <c:pt idx="99">
                  <c:v>6.8603431957213905</c:v>
                </c:pt>
                <c:pt idx="100">
                  <c:v>6.9112345242634445</c:v>
                </c:pt>
                <c:pt idx="101">
                  <c:v>6.9276090451438694</c:v>
                </c:pt>
                <c:pt idx="102">
                  <c:v>6.9438618021941823</c:v>
                </c:pt>
                <c:pt idx="103">
                  <c:v>6.9599904081601123</c:v>
                </c:pt>
                <c:pt idx="104">
                  <c:v>7.0079694509649686</c:v>
                </c:pt>
                <c:pt idx="105">
                  <c:v>7.0234222578175638</c:v>
                </c:pt>
                <c:pt idx="106">
                  <c:v>7.0387429247166242</c:v>
                </c:pt>
                <c:pt idx="107">
                  <c:v>7.0842859792192217</c:v>
                </c:pt>
                <c:pt idx="108">
                  <c:v>7.0989091001799549</c:v>
                </c:pt>
                <c:pt idx="109">
                  <c:v>7.1133915960101133</c:v>
                </c:pt>
                <c:pt idx="110">
                  <c:v>7.1277308356814961</c:v>
                </c:pt>
                <c:pt idx="111">
                  <c:v>7.1701996170965829</c:v>
                </c:pt>
                <c:pt idx="112">
                  <c:v>7.1838117433945454</c:v>
                </c:pt>
                <c:pt idx="113">
                  <c:v>7.1972715103791423</c:v>
                </c:pt>
                <c:pt idx="114">
                  <c:v>7.2371638302348824</c:v>
                </c:pt>
                <c:pt idx="115">
                  <c:v>7.249871409436957</c:v>
                </c:pt>
                <c:pt idx="116">
                  <c:v>7.2624170148545897</c:v>
                </c:pt>
                <c:pt idx="117">
                  <c:v>7.2747977530370918</c:v>
                </c:pt>
                <c:pt idx="118">
                  <c:v>7.3114378277207193</c:v>
                </c:pt>
                <c:pt idx="119">
                  <c:v>7.3230527618263599</c:v>
                </c:pt>
                <c:pt idx="120">
                  <c:v>7.3345150387791884</c:v>
                </c:pt>
                <c:pt idx="121">
                  <c:v>7.3458299504940383</c:v>
                </c:pt>
                <c:pt idx="122">
                  <c:v>7.3793658583841255</c:v>
                </c:pt>
                <c:pt idx="123">
                  <c:v>7.3900008669528559</c:v>
                </c:pt>
                <c:pt idx="124">
                  <c:v>7.4005105701562002</c:v>
                </c:pt>
                <c:pt idx="125">
                  <c:v>7.4317290849967774</c:v>
                </c:pt>
                <c:pt idx="126">
                  <c:v>7.4416269063273557</c:v>
                </c:pt>
                <c:pt idx="127">
                  <c:v>7.4514203991349683</c:v>
                </c:pt>
                <c:pt idx="128">
                  <c:v>7.4805028062669718</c:v>
                </c:pt>
                <c:pt idx="129">
                  <c:v>7.4897495648813956</c:v>
                </c:pt>
                <c:pt idx="130">
                  <c:v>7.4989120140587957</c:v>
                </c:pt>
                <c:pt idx="131">
                  <c:v>7.5079946101844426</c:v>
                </c:pt>
                <c:pt idx="132">
                  <c:v>7.5347115630401573</c:v>
                </c:pt>
                <c:pt idx="133">
                  <c:v>7.5433247320701122</c:v>
                </c:pt>
                <c:pt idx="134">
                  <c:v>7.5518770311555601</c:v>
                </c:pt>
                <c:pt idx="135">
                  <c:v>7.5768434195851846</c:v>
                </c:pt>
                <c:pt idx="136">
                  <c:v>7.5849860591425164</c:v>
                </c:pt>
                <c:pt idx="137">
                  <c:v>7.5930860970800182</c:v>
                </c:pt>
                <c:pt idx="138">
                  <c:v>7.6011475986959303</c:v>
                </c:pt>
                <c:pt idx="139">
                  <c:v>7.6242130180585423</c:v>
                </c:pt>
                <c:pt idx="140">
                  <c:v>7.6319362671495572</c:v>
                </c:pt>
                <c:pt idx="141">
                  <c:v>7.6396384889957973</c:v>
                </c:pt>
                <c:pt idx="142">
                  <c:v>7.6613133696342333</c:v>
                </c:pt>
                <c:pt idx="143">
                  <c:v>7.6687330587153282</c:v>
                </c:pt>
                <c:pt idx="144">
                  <c:v>7.6761487121322238</c:v>
                </c:pt>
                <c:pt idx="145">
                  <c:v>7.6835641221345803</c:v>
                </c:pt>
                <c:pt idx="146">
                  <c:v>7.7037741484503917</c:v>
                </c:pt>
                <c:pt idx="147">
                  <c:v>7.7109740718806519</c:v>
                </c:pt>
                <c:pt idx="148">
                  <c:v>7.7181902102623372</c:v>
                </c:pt>
                <c:pt idx="149">
                  <c:v>7.7254584598255018</c:v>
                </c:pt>
                <c:pt idx="150">
                  <c:v>7.744631163097635</c:v>
                </c:pt>
                <c:pt idx="151">
                  <c:v>7.7521112720769949</c:v>
                </c:pt>
                <c:pt idx="152">
                  <c:v>7.759831230218956</c:v>
                </c:pt>
                <c:pt idx="153">
                  <c:v>7.7787513226234806</c:v>
                </c:pt>
                <c:pt idx="154">
                  <c:v>7.7867959311996744</c:v>
                </c:pt>
                <c:pt idx="155">
                  <c:v>7.7951107578286463</c:v>
                </c:pt>
                <c:pt idx="156">
                  <c:v>7.8037043019160732</c:v>
                </c:pt>
                <c:pt idx="157">
                  <c:v>7.8226899378906731</c:v>
                </c:pt>
                <c:pt idx="158">
                  <c:v>7.8317119026827395</c:v>
                </c:pt>
                <c:pt idx="159">
                  <c:v>7.8410437000340325</c:v>
                </c:pt>
                <c:pt idx="160">
                  <c:v>7.8506941695773058</c:v>
                </c:pt>
                <c:pt idx="161">
                  <c:v>7.8700524118107174</c:v>
                </c:pt>
                <c:pt idx="162">
                  <c:v>7.8802370389692227</c:v>
                </c:pt>
                <c:pt idx="163">
                  <c:v>7.8907725181796682</c:v>
                </c:pt>
                <c:pt idx="164">
                  <c:v>7.9105550300634722</c:v>
                </c:pt>
                <c:pt idx="165">
                  <c:v>7.9217094640508394</c:v>
                </c:pt>
                <c:pt idx="166">
                  <c:v>7.9332479431015841</c:v>
                </c:pt>
                <c:pt idx="167">
                  <c:v>7.8460645888603597</c:v>
                </c:pt>
                <c:pt idx="168">
                  <c:v>7.6227515481821211</c:v>
                </c:pt>
                <c:pt idx="169">
                  <c:v>7.6347758894921762</c:v>
                </c:pt>
                <c:pt idx="170">
                  <c:v>7.6472014899375091</c:v>
                </c:pt>
                <c:pt idx="171">
                  <c:v>7.6677464180498127</c:v>
                </c:pt>
                <c:pt idx="172">
                  <c:v>7.6809395566762113</c:v>
                </c:pt>
                <c:pt idx="173">
                  <c:v>7.6945685586022288</c:v>
                </c:pt>
                <c:pt idx="174">
                  <c:v>7.7161151840821383</c:v>
                </c:pt>
                <c:pt idx="175">
                  <c:v>7.7306009023381135</c:v>
                </c:pt>
                <c:pt idx="176">
                  <c:v>7.7455587585454939</c:v>
                </c:pt>
                <c:pt idx="177">
                  <c:v>7.7609996871082227</c:v>
                </c:pt>
                <c:pt idx="178">
                  <c:v>7.7842140154860848</c:v>
                </c:pt>
                <c:pt idx="179">
                  <c:v>7.8006315324271291</c:v>
                </c:pt>
                <c:pt idx="180">
                  <c:v>7.8175694243800455</c:v>
                </c:pt>
                <c:pt idx="181">
                  <c:v>7.8422339378879871</c:v>
                </c:pt>
                <c:pt idx="182">
                  <c:v>7.8602327682732414</c:v>
                </c:pt>
                <c:pt idx="183">
                  <c:v>7.8787866635740489</c:v>
                </c:pt>
                <c:pt idx="184">
                  <c:v>7.8979066637722566</c:v>
                </c:pt>
                <c:pt idx="185">
                  <c:v>7.9247661315473366</c:v>
                </c:pt>
                <c:pt idx="186">
                  <c:v>7.9450573278868122</c:v>
                </c:pt>
                <c:pt idx="187">
                  <c:v>7.9659527228518341</c:v>
                </c:pt>
                <c:pt idx="188">
                  <c:v>7.994651733867399</c:v>
                </c:pt>
                <c:pt idx="189">
                  <c:v>8.0168099117987257</c:v>
                </c:pt>
                <c:pt idx="190">
                  <c:v>8.0396133340701237</c:v>
                </c:pt>
                <c:pt idx="191">
                  <c:v>8.0630752809336617</c:v>
                </c:pt>
                <c:pt idx="192">
                  <c:v>8.0945010483873858</c:v>
                </c:pt>
                <c:pt idx="193">
                  <c:v>8.1193550037885487</c:v>
                </c:pt>
                <c:pt idx="194">
                  <c:v>8.1449130307394046</c:v>
                </c:pt>
                <c:pt idx="195">
                  <c:v>8.1711899896758275</c:v>
                </c:pt>
                <c:pt idx="196">
                  <c:v>8.2056774747654853</c:v>
                </c:pt>
                <c:pt idx="197">
                  <c:v>8.2334891678670026</c:v>
                </c:pt>
                <c:pt idx="198">
                  <c:v>8.2620706191498083</c:v>
                </c:pt>
                <c:pt idx="199">
                  <c:v>8.2914385396633481</c:v>
                </c:pt>
                <c:pt idx="200">
                  <c:v>8.3293542575376467</c:v>
                </c:pt>
                <c:pt idx="201">
                  <c:v>8.3604155242250204</c:v>
                </c:pt>
                <c:pt idx="202">
                  <c:v>8.3923202875841891</c:v>
                </c:pt>
                <c:pt idx="203">
                  <c:v>8.4250874315052791</c:v>
                </c:pt>
                <c:pt idx="204">
                  <c:v>8.4668351864151266</c:v>
                </c:pt>
                <c:pt idx="205">
                  <c:v>8.501473004230558</c:v>
                </c:pt>
                <c:pt idx="206">
                  <c:v>8.5370375311769067</c:v>
                </c:pt>
                <c:pt idx="207">
                  <c:v>8.5735502103823542</c:v>
                </c:pt>
                <c:pt idx="208">
                  <c:v>8.611033177966199</c:v>
                </c:pt>
                <c:pt idx="209">
                  <c:v>8.6581606604230004</c:v>
                </c:pt>
                <c:pt idx="210">
                  <c:v>8.6976577362518022</c:v>
                </c:pt>
                <c:pt idx="211">
                  <c:v>8.7376567835936818</c:v>
                </c:pt>
                <c:pt idx="212">
                  <c:v>8.7780513851742814</c:v>
                </c:pt>
                <c:pt idx="213">
                  <c:v>8.8280509141800962</c:v>
                </c:pt>
                <c:pt idx="214">
                  <c:v>8.8693615545638949</c:v>
                </c:pt>
                <c:pt idx="215">
                  <c:v>8.9110667087649666</c:v>
                </c:pt>
                <c:pt idx="216">
                  <c:v>8.9531644077708172</c:v>
                </c:pt>
                <c:pt idx="217">
                  <c:v>8.9956524974158008</c:v>
                </c:pt>
                <c:pt idx="218">
                  <c:v>9.048539350738066</c:v>
                </c:pt>
                <c:pt idx="219">
                  <c:v>9.0919538702177256</c:v>
                </c:pt>
                <c:pt idx="220">
                  <c:v>9.1357552465400733</c:v>
                </c:pt>
                <c:pt idx="221">
                  <c:v>9.1799405543627781</c:v>
                </c:pt>
                <c:pt idx="222">
                  <c:v>9.2245066513442104</c:v>
                </c:pt>
                <c:pt idx="223">
                  <c:v>9.2694501716305595</c:v>
                </c:pt>
                <c:pt idx="224">
                  <c:v>9.3258944219328956</c:v>
                </c:pt>
                <c:pt idx="225">
                  <c:v>9.3717633257740403</c:v>
                </c:pt>
                <c:pt idx="226">
                  <c:v>9.4180024610344706</c:v>
                </c:pt>
                <c:pt idx="227">
                  <c:v>9.4646075314036757</c:v>
                </c:pt>
                <c:pt idx="228">
                  <c:v>9.5115739835537596</c:v>
                </c:pt>
                <c:pt idx="229">
                  <c:v>9.5588970005110525</c:v>
                </c:pt>
                <c:pt idx="230">
                  <c:v>9.6190148552597208</c:v>
                </c:pt>
                <c:pt idx="231">
                  <c:v>9.6672470792288969</c:v>
                </c:pt>
                <c:pt idx="232">
                  <c:v>9.7158242700580821</c:v>
                </c:pt>
                <c:pt idx="233">
                  <c:v>9.7647405146627673</c:v>
                </c:pt>
                <c:pt idx="234">
                  <c:v>9.8139896026932707</c:v>
                </c:pt>
                <c:pt idx="235">
                  <c:v>9.8635650201396761</c:v>
                </c:pt>
                <c:pt idx="236">
                  <c:v>9.9134599430658277</c:v>
                </c:pt>
                <c:pt idx="237">
                  <c:v>9.9636672314500387</c:v>
                </c:pt>
                <c:pt idx="238">
                  <c:v>10.028638834733041</c:v>
                </c:pt>
                <c:pt idx="239">
                  <c:v>10.07970033829967</c:v>
                </c:pt>
                <c:pt idx="240">
                  <c:v>10.131055515300277</c:v>
                </c:pt>
                <c:pt idx="241">
                  <c:v>10.182695916182281</c:v>
                </c:pt>
                <c:pt idx="242">
                  <c:v>10.234612739765932</c:v>
                </c:pt>
                <c:pt idx="243">
                  <c:v>10.286795113334538</c:v>
                </c:pt>
                <c:pt idx="244">
                  <c:v>10.339227605884476</c:v>
                </c:pt>
                <c:pt idx="245">
                  <c:v>10.391893720663891</c:v>
                </c:pt>
                <c:pt idx="246">
                  <c:v>10.44477650441944</c:v>
                </c:pt>
                <c:pt idx="247">
                  <c:v>10.514886570311957</c:v>
                </c:pt>
                <c:pt idx="248">
                  <c:v>10.568407635332546</c:v>
                </c:pt>
                <c:pt idx="249">
                  <c:v>10.622089580095247</c:v>
                </c:pt>
                <c:pt idx="250">
                  <c:v>10.675913528585905</c:v>
                </c:pt>
                <c:pt idx="251">
                  <c:v>10.729860136425959</c:v>
                </c:pt>
                <c:pt idx="252">
                  <c:v>10.78390959061797</c:v>
                </c:pt>
                <c:pt idx="253">
                  <c:v>10.838041610039813</c:v>
                </c:pt>
                <c:pt idx="254">
                  <c:v>10.892235446560507</c:v>
                </c:pt>
                <c:pt idx="255">
                  <c:v>10.946469886951087</c:v>
                </c:pt>
                <c:pt idx="256">
                  <c:v>11.000723255559372</c:v>
                </c:pt>
                <c:pt idx="257">
                  <c:v>11.054973417726835</c:v>
                </c:pt>
                <c:pt idx="258">
                  <c:v>11.109197784112737</c:v>
                </c:pt>
                <c:pt idx="259">
                  <c:v>11.163373315765496</c:v>
                </c:pt>
                <c:pt idx="260">
                  <c:v>11.217476530149002</c:v>
                </c:pt>
                <c:pt idx="261">
                  <c:v>11.292054914513072</c:v>
                </c:pt>
                <c:pt idx="262">
                  <c:v>11.346158908754905</c:v>
                </c:pt>
                <c:pt idx="263">
                  <c:v>11.400114269277161</c:v>
                </c:pt>
                <c:pt idx="264">
                  <c:v>11.453895731862559</c:v>
                </c:pt>
                <c:pt idx="265">
                  <c:v>11.507477631937945</c:v>
                </c:pt>
                <c:pt idx="266">
                  <c:v>11.560833916335948</c:v>
                </c:pt>
                <c:pt idx="267">
                  <c:v>11.613938156090404</c:v>
                </c:pt>
                <c:pt idx="268">
                  <c:v>11.666763560265956</c:v>
                </c:pt>
                <c:pt idx="269">
                  <c:v>11.719282990820499</c:v>
                </c:pt>
                <c:pt idx="270">
                  <c:v>11.771468978497268</c:v>
                </c:pt>
                <c:pt idx="271">
                  <c:v>11.823416413967397</c:v>
                </c:pt>
                <c:pt idx="272">
                  <c:v>11.875596459791252</c:v>
                </c:pt>
                <c:pt idx="273">
                  <c:v>11.92812510780019</c:v>
                </c:pt>
                <c:pt idx="274">
                  <c:v>11.9809970370816</c:v>
                </c:pt>
                <c:pt idx="275">
                  <c:v>12.0342067843051</c:v>
                </c:pt>
                <c:pt idx="276">
                  <c:v>12.087748740665589</c:v>
                </c:pt>
                <c:pt idx="277">
                  <c:v>12.141617148823752</c:v>
                </c:pt>
                <c:pt idx="278">
                  <c:v>12.195806099829872</c:v>
                </c:pt>
                <c:pt idx="279">
                  <c:v>12.250309530049599</c:v>
                </c:pt>
                <c:pt idx="280">
                  <c:v>12.305121218110594</c:v>
                </c:pt>
                <c:pt idx="281">
                  <c:v>12.360234781816221</c:v>
                </c:pt>
                <c:pt idx="282">
                  <c:v>12.415643675131726</c:v>
                </c:pt>
                <c:pt idx="283">
                  <c:v>12.471341185106048</c:v>
                </c:pt>
                <c:pt idx="284">
                  <c:v>12.52732042886136</c:v>
                </c:pt>
                <c:pt idx="285">
                  <c:v>12.583574350574642</c:v>
                </c:pt>
                <c:pt idx="286">
                  <c:v>12.640095718486492</c:v>
                </c:pt>
                <c:pt idx="287">
                  <c:v>12.696877121945407</c:v>
                </c:pt>
                <c:pt idx="288">
                  <c:v>12.728606030725876</c:v>
                </c:pt>
                <c:pt idx="289">
                  <c:v>12.785751911759396</c:v>
                </c:pt>
                <c:pt idx="290">
                  <c:v>12.843137724918263</c:v>
                </c:pt>
                <c:pt idx="291">
                  <c:v>12.900755351934905</c:v>
                </c:pt>
                <c:pt idx="292">
                  <c:v>12.958596481653808</c:v>
                </c:pt>
                <c:pt idx="293">
                  <c:v>13.016652607313917</c:v>
                </c:pt>
                <c:pt idx="294">
                  <c:v>13.074915023805419</c:v>
                </c:pt>
                <c:pt idx="295">
                  <c:v>13.133374825055082</c:v>
                </c:pt>
                <c:pt idx="296">
                  <c:v>13.19202290137968</c:v>
                </c:pt>
                <c:pt idx="297">
                  <c:v>13.250849937001608</c:v>
                </c:pt>
                <c:pt idx="298">
                  <c:v>13.309846407559345</c:v>
                </c:pt>
                <c:pt idx="299">
                  <c:v>13.369002577739739</c:v>
                </c:pt>
                <c:pt idx="300">
                  <c:v>13.428308498940099</c:v>
                </c:pt>
                <c:pt idx="301">
                  <c:v>13.487754007082966</c:v>
                </c:pt>
                <c:pt idx="302">
                  <c:v>13.547328720446854</c:v>
                </c:pt>
                <c:pt idx="303">
                  <c:v>13.580103216404803</c:v>
                </c:pt>
                <c:pt idx="304">
                  <c:v>13.639820465554495</c:v>
                </c:pt>
                <c:pt idx="305">
                  <c:v>13.699638255166022</c:v>
                </c:pt>
                <c:pt idx="306">
                  <c:v>13.759545355537345</c:v>
                </c:pt>
                <c:pt idx="307">
                  <c:v>13.819530310394732</c:v>
                </c:pt>
                <c:pt idx="308">
                  <c:v>13.879581435436778</c:v>
                </c:pt>
                <c:pt idx="309">
                  <c:v>13.939686816983162</c:v>
                </c:pt>
                <c:pt idx="310">
                  <c:v>13.972406096779087</c:v>
                </c:pt>
                <c:pt idx="311">
                  <c:v>14.005030882225689</c:v>
                </c:pt>
                <c:pt idx="312">
                  <c:v>14.037553060906042</c:v>
                </c:pt>
                <c:pt idx="313">
                  <c:v>14.069964387317972</c:v>
                </c:pt>
                <c:pt idx="314">
                  <c:v>14.102256483181414</c:v>
                </c:pt>
                <c:pt idx="315">
                  <c:v>14.134420837951819</c:v>
                </c:pt>
                <c:pt idx="316">
                  <c:v>14.166448809375199</c:v>
                </c:pt>
                <c:pt idx="317">
                  <c:v>14.198331624260945</c:v>
                </c:pt>
                <c:pt idx="318">
                  <c:v>14.230060379264714</c:v>
                </c:pt>
                <c:pt idx="319">
                  <c:v>14.261626041967661</c:v>
                </c:pt>
                <c:pt idx="320">
                  <c:v>14.293019451897443</c:v>
                </c:pt>
                <c:pt idx="321">
                  <c:v>14.324231321903286</c:v>
                </c:pt>
                <c:pt idx="322">
                  <c:v>14.355252239502628</c:v>
                </c:pt>
                <c:pt idx="323">
                  <c:v>14.386072668475157</c:v>
                </c:pt>
                <c:pt idx="324">
                  <c:v>14.416682950594604</c:v>
                </c:pt>
                <c:pt idx="325">
                  <c:v>14.447073307476449</c:v>
                </c:pt>
                <c:pt idx="326">
                  <c:v>14.477233842693465</c:v>
                </c:pt>
                <c:pt idx="327">
                  <c:v>14.507154543882312</c:v>
                </c:pt>
                <c:pt idx="328">
                  <c:v>14.536825285234041</c:v>
                </c:pt>
                <c:pt idx="329">
                  <c:v>14.566235829938128</c:v>
                </c:pt>
                <c:pt idx="330">
                  <c:v>14.595375833020057</c:v>
                </c:pt>
                <c:pt idx="331">
                  <c:v>14.624234844148248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1-473F-8765-033AD9BF5173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kvie'!$Q$3:$Q$335</c:f>
              <c:numCache>
                <c:formatCode>#,##0.0</c:formatCode>
                <c:ptCount val="333"/>
                <c:pt idx="0">
                  <c:v>5.7612231393924125</c:v>
                </c:pt>
                <c:pt idx="1">
                  <c:v>5.6594328072192646</c:v>
                </c:pt>
                <c:pt idx="2">
                  <c:v>5.6742001345708593</c:v>
                </c:pt>
                <c:pt idx="3">
                  <c:v>5.6891930499987469</c:v>
                </c:pt>
                <c:pt idx="4">
                  <c:v>5.5964445775608018</c:v>
                </c:pt>
                <c:pt idx="5">
                  <c:v>5.6138091088041904</c:v>
                </c:pt>
                <c:pt idx="6">
                  <c:v>5.5269430862816336</c:v>
                </c:pt>
                <c:pt idx="7">
                  <c:v>5.5463759431061552</c:v>
                </c:pt>
                <c:pt idx="8">
                  <c:v>5.5658671215284281</c:v>
                </c:pt>
                <c:pt idx="9">
                  <c:v>5.4860906939146847</c:v>
                </c:pt>
                <c:pt idx="10">
                  <c:v>5.5073476948563611</c:v>
                </c:pt>
                <c:pt idx="11">
                  <c:v>5.5286145533559026</c:v>
                </c:pt>
                <c:pt idx="12">
                  <c:v>5.455097894425065</c:v>
                </c:pt>
                <c:pt idx="13">
                  <c:v>5.4778988499571097</c:v>
                </c:pt>
                <c:pt idx="14">
                  <c:v>5.5006793344054845</c:v>
                </c:pt>
                <c:pt idx="15">
                  <c:v>5.432749247867358</c:v>
                </c:pt>
                <c:pt idx="16">
                  <c:v>5.4568860038822287</c:v>
                </c:pt>
                <c:pt idx="17">
                  <c:v>5.4809853907448458</c:v>
                </c:pt>
                <c:pt idx="18">
                  <c:v>5.5050552687418257</c:v>
                </c:pt>
                <c:pt idx="19">
                  <c:v>5.443411148196958</c:v>
                </c:pt>
                <c:pt idx="20">
                  <c:v>5.4686866190828614</c:v>
                </c:pt>
                <c:pt idx="21">
                  <c:v>5.4939270929312736</c:v>
                </c:pt>
                <c:pt idx="22">
                  <c:v>5.5191415983200649</c:v>
                </c:pt>
                <c:pt idx="23">
                  <c:v>5.4631185612417319</c:v>
                </c:pt>
                <c:pt idx="24">
                  <c:v>5.4894350034661947</c:v>
                </c:pt>
                <c:pt idx="25">
                  <c:v>5.5156895572831388</c:v>
                </c:pt>
                <c:pt idx="26">
                  <c:v>5.5417349749568299</c:v>
                </c:pt>
                <c:pt idx="27">
                  <c:v>5.5675363695668869</c:v>
                </c:pt>
                <c:pt idx="28">
                  <c:v>5.3105165693767367</c:v>
                </c:pt>
                <c:pt idx="29">
                  <c:v>5.3357286978790475</c:v>
                </c:pt>
                <c:pt idx="30">
                  <c:v>5.3607015603683932</c:v>
                </c:pt>
                <c:pt idx="31">
                  <c:v>5.3854376270451416</c:v>
                </c:pt>
                <c:pt idx="32">
                  <c:v>5.4099390480991358</c:v>
                </c:pt>
                <c:pt idx="33">
                  <c:v>5.434207669899946</c:v>
                </c:pt>
                <c:pt idx="34">
                  <c:v>5.458245049981592</c:v>
                </c:pt>
                <c:pt idx="35">
                  <c:v>5.4820524709220599</c:v>
                </c:pt>
                <c:pt idx="36">
                  <c:v>5.5056325936742994</c:v>
                </c:pt>
                <c:pt idx="37">
                  <c:v>5.4637017920418494</c:v>
                </c:pt>
                <c:pt idx="38">
                  <c:v>5.4877031812068493</c:v>
                </c:pt>
                <c:pt idx="39">
                  <c:v>5.5114884104272992</c:v>
                </c:pt>
                <c:pt idx="40">
                  <c:v>5.5350684041481504</c:v>
                </c:pt>
                <c:pt idx="41">
                  <c:v>5.55845357587995</c:v>
                </c:pt>
                <c:pt idx="42">
                  <c:v>5.5816538561611404</c:v>
                </c:pt>
                <c:pt idx="43">
                  <c:v>5.6046787186755997</c:v>
                </c:pt>
                <c:pt idx="44">
                  <c:v>5.6275372046513779</c:v>
                </c:pt>
                <c:pt idx="45">
                  <c:v>5.6502379456861753</c:v>
                </c:pt>
                <c:pt idx="46">
                  <c:v>5.6727891850980967</c:v>
                </c:pt>
                <c:pt idx="47">
                  <c:v>5.6951987979278567</c:v>
                </c:pt>
                <c:pt idx="48">
                  <c:v>5.6121746007361786</c:v>
                </c:pt>
                <c:pt idx="49">
                  <c:v>5.6338690796715687</c:v>
                </c:pt>
                <c:pt idx="50">
                  <c:v>5.6554470179989336</c:v>
                </c:pt>
                <c:pt idx="51">
                  <c:v>5.6769148523627146</c:v>
                </c:pt>
                <c:pt idx="52">
                  <c:v>5.6982787399548904</c:v>
                </c:pt>
                <c:pt idx="53">
                  <c:v>5.7195445719034792</c:v>
                </c:pt>
                <c:pt idx="54">
                  <c:v>5.7407179858659463</c:v>
                </c:pt>
                <c:pt idx="55">
                  <c:v>5.7618043778754027</c:v>
                </c:pt>
                <c:pt idx="56">
                  <c:v>5.7828089134934499</c:v>
                </c:pt>
                <c:pt idx="57">
                  <c:v>5.803736538314161</c:v>
                </c:pt>
                <c:pt idx="58">
                  <c:v>5.8245919878614636</c:v>
                </c:pt>
                <c:pt idx="59">
                  <c:v>5.8453797969204295</c:v>
                </c:pt>
                <c:pt idx="60">
                  <c:v>5.8661043083411233</c:v>
                </c:pt>
                <c:pt idx="61">
                  <c:v>5.886769681342007</c:v>
                </c:pt>
                <c:pt idx="62">
                  <c:v>5.9073798993555551</c:v>
                </c:pt>
                <c:pt idx="63">
                  <c:v>5.9279387774310885</c:v>
                </c:pt>
                <c:pt idx="64">
                  <c:v>5.9484499692395456</c:v>
                </c:pt>
                <c:pt idx="65">
                  <c:v>6.0156673876700504</c:v>
                </c:pt>
                <c:pt idx="66">
                  <c:v>6.035645448869781</c:v>
                </c:pt>
                <c:pt idx="67">
                  <c:v>6.0555946737397157</c:v>
                </c:pt>
                <c:pt idx="68">
                  <c:v>6.0755179122379985</c:v>
                </c:pt>
                <c:pt idx="69">
                  <c:v>6.0954178903653125</c:v>
                </c:pt>
                <c:pt idx="70">
                  <c:v>6.1152972148664277</c:v>
                </c:pt>
                <c:pt idx="71">
                  <c:v>6.1351583776788097</c:v>
                </c:pt>
                <c:pt idx="72">
                  <c:v>6.1550037601583103</c:v>
                </c:pt>
                <c:pt idx="73">
                  <c:v>6.1748356370724178</c:v>
                </c:pt>
                <c:pt idx="74">
                  <c:v>6.1946561804008224</c:v>
                </c:pt>
                <c:pt idx="75">
                  <c:v>6.2568916462162694</c:v>
                </c:pt>
                <c:pt idx="76">
                  <c:v>6.2763290683227435</c:v>
                </c:pt>
                <c:pt idx="77">
                  <c:v>6.2957679555300716</c:v>
                </c:pt>
                <c:pt idx="78">
                  <c:v>6.3152099471598282</c:v>
                </c:pt>
                <c:pt idx="79">
                  <c:v>6.3346566010649621</c:v>
                </c:pt>
                <c:pt idx="80">
                  <c:v>6.3541093962130413</c:v>
                </c:pt>
                <c:pt idx="81">
                  <c:v>6.3735697351348106</c:v>
                </c:pt>
                <c:pt idx="82">
                  <c:v>6.39303894625795</c:v>
                </c:pt>
                <c:pt idx="83">
                  <c:v>6.4520002672714778</c:v>
                </c:pt>
                <c:pt idx="84">
                  <c:v>6.4711776200028615</c:v>
                </c:pt>
                <c:pt idx="85">
                  <c:v>6.4903731327664556</c:v>
                </c:pt>
                <c:pt idx="86">
                  <c:v>6.5095962745210239</c:v>
                </c:pt>
                <c:pt idx="87">
                  <c:v>6.5288826288643236</c:v>
                </c:pt>
                <c:pt idx="88">
                  <c:v>6.5482431230973557</c:v>
                </c:pt>
                <c:pt idx="89">
                  <c:v>6.6051905719066495</c:v>
                </c:pt>
                <c:pt idx="90">
                  <c:v>6.6244296718971407</c:v>
                </c:pt>
                <c:pt idx="91">
                  <c:v>6.643755684661107</c:v>
                </c:pt>
                <c:pt idx="92">
                  <c:v>6.6631709370245344</c:v>
                </c:pt>
                <c:pt idx="93">
                  <c:v>6.6826777354066085</c:v>
                </c:pt>
                <c:pt idx="94">
                  <c:v>6.7022783670360297</c:v>
                </c:pt>
                <c:pt idx="95">
                  <c:v>6.7577387208159898</c:v>
                </c:pt>
                <c:pt idx="96">
                  <c:v>6.7772894788870346</c:v>
                </c:pt>
                <c:pt idx="97">
                  <c:v>6.723337365620468</c:v>
                </c:pt>
                <c:pt idx="98">
                  <c:v>6.7428856914683246</c:v>
                </c:pt>
                <c:pt idx="99">
                  <c:v>6.7625426976523135</c:v>
                </c:pt>
                <c:pt idx="100">
                  <c:v>6.7823104796658384</c:v>
                </c:pt>
                <c:pt idx="101">
                  <c:v>6.8360408347245327</c:v>
                </c:pt>
                <c:pt idx="102">
                  <c:v>6.8558240022168455</c:v>
                </c:pt>
                <c:pt idx="103">
                  <c:v>6.8757284500310769</c:v>
                </c:pt>
                <c:pt idx="104">
                  <c:v>6.8957561747144345</c:v>
                </c:pt>
                <c:pt idx="105">
                  <c:v>6.9159091684260439</c:v>
                </c:pt>
                <c:pt idx="106">
                  <c:v>6.9688850583772073</c:v>
                </c:pt>
                <c:pt idx="107">
                  <c:v>6.9891048205859931</c:v>
                </c:pt>
                <c:pt idx="108">
                  <c:v>7.0094597557119247</c:v>
                </c:pt>
                <c:pt idx="109">
                  <c:v>7.0299517881950262</c:v>
                </c:pt>
                <c:pt idx="110">
                  <c:v>7.0505828427167394</c:v>
                </c:pt>
                <c:pt idx="111">
                  <c:v>7.103018120441587</c:v>
                </c:pt>
                <c:pt idx="112">
                  <c:v>7.1237643596755031</c:v>
                </c:pt>
                <c:pt idx="113">
                  <c:v>7.1446590725933481</c:v>
                </c:pt>
                <c:pt idx="114">
                  <c:v>7.1657041415153957</c:v>
                </c:pt>
                <c:pt idx="115">
                  <c:v>7.1869014526794359</c:v>
                </c:pt>
                <c:pt idx="116">
                  <c:v>7.238997718497914</c:v>
                </c:pt>
                <c:pt idx="117">
                  <c:v>7.2603562937475656</c:v>
                </c:pt>
                <c:pt idx="118">
                  <c:v>7.2818762333465807</c:v>
                </c:pt>
                <c:pt idx="119">
                  <c:v>7.3035594019059786</c:v>
                </c:pt>
                <c:pt idx="120">
                  <c:v>7.3554748858579853</c:v>
                </c:pt>
                <c:pt idx="121">
                  <c:v>7.3773565528067966</c:v>
                </c:pt>
                <c:pt idx="122">
                  <c:v>7.399410357054073</c:v>
                </c:pt>
                <c:pt idx="123">
                  <c:v>7.4216381564878109</c:v>
                </c:pt>
                <c:pt idx="124">
                  <c:v>7.4440418179830825</c:v>
                </c:pt>
                <c:pt idx="125">
                  <c:v>7.4959630842030363</c:v>
                </c:pt>
                <c:pt idx="126">
                  <c:v>7.5186083122624972</c:v>
                </c:pt>
                <c:pt idx="127">
                  <c:v>7.5414381568527498</c:v>
                </c:pt>
                <c:pt idx="128">
                  <c:v>7.5644544926023141</c:v>
                </c:pt>
                <c:pt idx="129">
                  <c:v>7.5876592050407083</c:v>
                </c:pt>
                <c:pt idx="130">
                  <c:v>7.639764419644095</c:v>
                </c:pt>
                <c:pt idx="131">
                  <c:v>7.6091238783712809</c:v>
                </c:pt>
                <c:pt idx="132">
                  <c:v>7.632647111636353</c:v>
                </c:pt>
                <c:pt idx="133">
                  <c:v>7.6563680956705662</c:v>
                </c:pt>
                <c:pt idx="134">
                  <c:v>7.7083488381442429</c:v>
                </c:pt>
                <c:pt idx="135">
                  <c:v>7.7323861907330054</c:v>
                </c:pt>
                <c:pt idx="136">
                  <c:v>7.7566296888861368</c:v>
                </c:pt>
                <c:pt idx="137">
                  <c:v>7.781078274485461</c:v>
                </c:pt>
                <c:pt idx="138">
                  <c:v>7.8057287863990519</c:v>
                </c:pt>
                <c:pt idx="139">
                  <c:v>7.8581362327936333</c:v>
                </c:pt>
                <c:pt idx="140">
                  <c:v>7.8830881064295122</c:v>
                </c:pt>
                <c:pt idx="141">
                  <c:v>7.6702299602679203</c:v>
                </c:pt>
                <c:pt idx="142">
                  <c:v>7.6643492465845879</c:v>
                </c:pt>
                <c:pt idx="143">
                  <c:v>7.7151872017697087</c:v>
                </c:pt>
                <c:pt idx="144">
                  <c:v>7.7399428148770157</c:v>
                </c:pt>
                <c:pt idx="145">
                  <c:v>7.7648684958207204</c:v>
                </c:pt>
                <c:pt idx="146">
                  <c:v>7.7899612191814027</c:v>
                </c:pt>
                <c:pt idx="147">
                  <c:v>7.8408566393443477</c:v>
                </c:pt>
                <c:pt idx="148">
                  <c:v>7.8662726379059942</c:v>
                </c:pt>
                <c:pt idx="149">
                  <c:v>7.8919613502758565</c:v>
                </c:pt>
                <c:pt idx="150">
                  <c:v>7.9179235974865128</c:v>
                </c:pt>
                <c:pt idx="151">
                  <c:v>7.9691790169356747</c:v>
                </c:pt>
                <c:pt idx="152">
                  <c:v>7.9955641251331935</c:v>
                </c:pt>
                <c:pt idx="153">
                  <c:v>8.0222235046168837</c:v>
                </c:pt>
                <c:pt idx="154">
                  <c:v>8.0491582582116123</c:v>
                </c:pt>
                <c:pt idx="155">
                  <c:v>8.1007220059590086</c:v>
                </c:pt>
                <c:pt idx="156">
                  <c:v>8.1280718752220231</c:v>
                </c:pt>
                <c:pt idx="157">
                  <c:v>8.1556986012502204</c:v>
                </c:pt>
                <c:pt idx="158">
                  <c:v>8.1836035626525376</c:v>
                </c:pt>
                <c:pt idx="159">
                  <c:v>8.2354075754127436</c:v>
                </c:pt>
                <c:pt idx="160">
                  <c:v>8.2637214897240554</c:v>
                </c:pt>
                <c:pt idx="161">
                  <c:v>8.2923158373805848</c:v>
                </c:pt>
                <c:pt idx="162">
                  <c:v>8.3211922691918101</c:v>
                </c:pt>
                <c:pt idx="163">
                  <c:v>8.3731699177441907</c:v>
                </c:pt>
                <c:pt idx="164">
                  <c:v>8.4024505810426806</c:v>
                </c:pt>
                <c:pt idx="165">
                  <c:v>8.4320162168323769</c:v>
                </c:pt>
                <c:pt idx="166">
                  <c:v>8.4618687468511986</c:v>
                </c:pt>
                <c:pt idx="167">
                  <c:v>8.4920101688293617</c:v>
                </c:pt>
                <c:pt idx="168">
                  <c:v>8.5442076301682874</c:v>
                </c:pt>
                <c:pt idx="169">
                  <c:v>8.5747514346506684</c:v>
                </c:pt>
                <c:pt idx="170">
                  <c:v>8.6055878862849706</c:v>
                </c:pt>
                <c:pt idx="171">
                  <c:v>8.636719256469501</c:v>
                </c:pt>
                <c:pt idx="172">
                  <c:v>8.6681478951533855</c:v>
                </c:pt>
                <c:pt idx="173">
                  <c:v>8.7204828376556875</c:v>
                </c:pt>
                <c:pt idx="174">
                  <c:v>8.7523140841230003</c:v>
                </c:pt>
                <c:pt idx="175">
                  <c:v>8.7844472114555732</c:v>
                </c:pt>
                <c:pt idx="176">
                  <c:v>8.8168848497965353</c:v>
                </c:pt>
                <c:pt idx="177">
                  <c:v>8.8496297115381175</c:v>
                </c:pt>
                <c:pt idx="178">
                  <c:v>8.9020202870359793</c:v>
                </c:pt>
                <c:pt idx="179">
                  <c:v>8.9351699045771298</c:v>
                </c:pt>
                <c:pt idx="180">
                  <c:v>8.968632216750672</c:v>
                </c:pt>
                <c:pt idx="181">
                  <c:v>9.0024102266165738</c:v>
                </c:pt>
                <c:pt idx="182">
                  <c:v>9.0365070243880119</c:v>
                </c:pt>
                <c:pt idx="183">
                  <c:v>9.0888707507305426</c:v>
                </c:pt>
                <c:pt idx="184">
                  <c:v>9.1233762459659271</c:v>
                </c:pt>
                <c:pt idx="185">
                  <c:v>9.1582068724723449</c:v>
                </c:pt>
                <c:pt idx="186">
                  <c:v>9.1933660258470962</c:v>
                </c:pt>
                <c:pt idx="187">
                  <c:v>9.228857195092937</c:v>
                </c:pt>
                <c:pt idx="188">
                  <c:v>9.2646839643551147</c:v>
                </c:pt>
                <c:pt idx="189">
                  <c:v>9.3170152985178625</c:v>
                </c:pt>
                <c:pt idx="190">
                  <c:v>9.3532600487506254</c:v>
                </c:pt>
                <c:pt idx="191">
                  <c:v>9.3898478694666423</c:v>
                </c:pt>
                <c:pt idx="192">
                  <c:v>9.426782675565379</c:v>
                </c:pt>
                <c:pt idx="193">
                  <c:v>9.4640684852420787</c:v>
                </c:pt>
                <c:pt idx="194">
                  <c:v>9.5017094222115777</c:v>
                </c:pt>
                <c:pt idx="195">
                  <c:v>9.553904779301357</c:v>
                </c:pt>
                <c:pt idx="196">
                  <c:v>9.5919757209782457</c:v>
                </c:pt>
                <c:pt idx="197">
                  <c:v>9.6304104639111454</c:v>
                </c:pt>
                <c:pt idx="198">
                  <c:v>9.6692134961908209</c:v>
                </c:pt>
                <c:pt idx="199">
                  <c:v>9.7083894218127611</c:v>
                </c:pt>
                <c:pt idx="200">
                  <c:v>9.7479429634811279</c:v>
                </c:pt>
                <c:pt idx="201">
                  <c:v>9.7878789654926823</c:v>
                </c:pt>
                <c:pt idx="202">
                  <c:v>9.8398918873335717</c:v>
                </c:pt>
                <c:pt idx="203">
                  <c:v>9.8802778332290018</c:v>
                </c:pt>
                <c:pt idx="204">
                  <c:v>9.9210597631234858</c:v>
                </c:pt>
                <c:pt idx="205">
                  <c:v>9.9622529117542022</c:v>
                </c:pt>
                <c:pt idx="206">
                  <c:v>10.003873613348025</c:v>
                </c:pt>
                <c:pt idx="207">
                  <c:v>10.045938485221397</c:v>
                </c:pt>
                <c:pt idx="208">
                  <c:v>10.088400625713078</c:v>
                </c:pt>
                <c:pt idx="209">
                  <c:v>10.131016630378998</c:v>
                </c:pt>
                <c:pt idx="210">
                  <c:v>10.173726344489758</c:v>
                </c:pt>
                <c:pt idx="211">
                  <c:v>10.216532387939429</c:v>
                </c:pt>
                <c:pt idx="212">
                  <c:v>10.267693867887692</c:v>
                </c:pt>
                <c:pt idx="213">
                  <c:v>10.310423376366776</c:v>
                </c:pt>
                <c:pt idx="214">
                  <c:v>10.35326217278187</c:v>
                </c:pt>
                <c:pt idx="215">
                  <c:v>10.396212623853327</c:v>
                </c:pt>
                <c:pt idx="216">
                  <c:v>10.439277021663155</c:v>
                </c:pt>
                <c:pt idx="217">
                  <c:v>10.482457582480377</c:v>
                </c:pt>
                <c:pt idx="218">
                  <c:v>10.525756445522962</c:v>
                </c:pt>
                <c:pt idx="219">
                  <c:v>10.569175671691609</c:v>
                </c:pt>
                <c:pt idx="220">
                  <c:v>10.612717242173249</c:v>
                </c:pt>
                <c:pt idx="221">
                  <c:v>10.656383057046336</c:v>
                </c:pt>
                <c:pt idx="222">
                  <c:v>10.700174933772264</c:v>
                </c:pt>
                <c:pt idx="223">
                  <c:v>10.744094605640779</c:v>
                </c:pt>
                <c:pt idx="224">
                  <c:v>10.788143720153263</c:v>
                </c:pt>
                <c:pt idx="225">
                  <c:v>10.832323837320944</c:v>
                </c:pt>
                <c:pt idx="226">
                  <c:v>10.881327287066718</c:v>
                </c:pt>
                <c:pt idx="227">
                  <c:v>10.925585838803237</c:v>
                </c:pt>
                <c:pt idx="228">
                  <c:v>10.96998586124201</c:v>
                </c:pt>
                <c:pt idx="229">
                  <c:v>11.014528612388338</c:v>
                </c:pt>
                <c:pt idx="230">
                  <c:v>11.059215254913573</c:v>
                </c:pt>
                <c:pt idx="231">
                  <c:v>11.104046854044174</c:v>
                </c:pt>
                <c:pt idx="232">
                  <c:v>11.14902437543009</c:v>
                </c:pt>
                <c:pt idx="233">
                  <c:v>11.194148682908562</c:v>
                </c:pt>
                <c:pt idx="234">
                  <c:v>11.239420536240971</c:v>
                </c:pt>
                <c:pt idx="235">
                  <c:v>11.284840588765345</c:v>
                </c:pt>
                <c:pt idx="236">
                  <c:v>11.330409385004979</c:v>
                </c:pt>
                <c:pt idx="237">
                  <c:v>11.376127358220449</c:v>
                </c:pt>
                <c:pt idx="238">
                  <c:v>11.421994827885566</c:v>
                </c:pt>
                <c:pt idx="239">
                  <c:v>11.468011997127764</c:v>
                </c:pt>
                <c:pt idx="240">
                  <c:v>11.514178950110953</c:v>
                </c:pt>
                <c:pt idx="241">
                  <c:v>11.560495649373529</c:v>
                </c:pt>
                <c:pt idx="242">
                  <c:v>11.606961933070078</c:v>
                </c:pt>
                <c:pt idx="243">
                  <c:v>11.653577512262551</c:v>
                </c:pt>
                <c:pt idx="244">
                  <c:v>11.700341968054966</c:v>
                </c:pt>
                <c:pt idx="245">
                  <c:v>11.74725474877591</c:v>
                </c:pt>
                <c:pt idx="246">
                  <c:v>11.794315167040756</c:v>
                </c:pt>
                <c:pt idx="247">
                  <c:v>11.841522396878149</c:v>
                </c:pt>
                <c:pt idx="248">
                  <c:v>11.88674344757441</c:v>
                </c:pt>
                <c:pt idx="249">
                  <c:v>11.934272421984895</c:v>
                </c:pt>
                <c:pt idx="250">
                  <c:v>11.981936771462996</c:v>
                </c:pt>
                <c:pt idx="251">
                  <c:v>12.029734992978831</c:v>
                </c:pt>
                <c:pt idx="252">
                  <c:v>12.077665429106917</c:v>
                </c:pt>
                <c:pt idx="253">
                  <c:v>12.125726265006934</c:v>
                </c:pt>
                <c:pt idx="254">
                  <c:v>12.173915525410589</c:v>
                </c:pt>
                <c:pt idx="255">
                  <c:v>12.22223107157917</c:v>
                </c:pt>
                <c:pt idx="256">
                  <c:v>12.270670598271913</c:v>
                </c:pt>
                <c:pt idx="257">
                  <c:v>12.31923163073548</c:v>
                </c:pt>
                <c:pt idx="258">
                  <c:v>12.367911521679009</c:v>
                </c:pt>
                <c:pt idx="259">
                  <c:v>12.416707448289838</c:v>
                </c:pt>
                <c:pt idx="260">
                  <c:v>12.465616409258825</c:v>
                </c:pt>
                <c:pt idx="261">
                  <c:v>12.514635221840322</c:v>
                </c:pt>
                <c:pt idx="262">
                  <c:v>12.561366350582823</c:v>
                </c:pt>
                <c:pt idx="263">
                  <c:v>12.610512852305087</c:v>
                </c:pt>
                <c:pt idx="264">
                  <c:v>12.659749178502013</c:v>
                </c:pt>
                <c:pt idx="265">
                  <c:v>12.709071297233711</c:v>
                </c:pt>
                <c:pt idx="266">
                  <c:v>12.758474981579081</c:v>
                </c:pt>
                <c:pt idx="267">
                  <c:v>12.807955807155764</c:v>
                </c:pt>
                <c:pt idx="268">
                  <c:v>12.85750914967546</c:v>
                </c:pt>
                <c:pt idx="269">
                  <c:v>12.907191527766749</c:v>
                </c:pt>
                <c:pt idx="270">
                  <c:v>12.957247759238665</c:v>
                </c:pt>
                <c:pt idx="271">
                  <c:v>13.004417758585079</c:v>
                </c:pt>
                <c:pt idx="272">
                  <c:v>13.055203424675902</c:v>
                </c:pt>
                <c:pt idx="273">
                  <c:v>13.10643383890328</c:v>
                </c:pt>
                <c:pt idx="274">
                  <c:v>13.158115709504317</c:v>
                </c:pt>
                <c:pt idx="275">
                  <c:v>13.21025571622623</c:v>
                </c:pt>
                <c:pt idx="276">
                  <c:v>13.262860506856592</c:v>
                </c:pt>
                <c:pt idx="277">
                  <c:v>13.315936693749242</c:v>
                </c:pt>
                <c:pt idx="278">
                  <c:v>13.36503042416995</c:v>
                </c:pt>
                <c:pt idx="279">
                  <c:v>13.418844936106099</c:v>
                </c:pt>
                <c:pt idx="280">
                  <c:v>13.473136341810241</c:v>
                </c:pt>
                <c:pt idx="281">
                  <c:v>13.527899273347915</c:v>
                </c:pt>
                <c:pt idx="282">
                  <c:v>13.583126687406018</c:v>
                </c:pt>
                <c:pt idx="283">
                  <c:v>13.638811284130155</c:v>
                </c:pt>
                <c:pt idx="284">
                  <c:v>13.689374876687713</c:v>
                </c:pt>
                <c:pt idx="285">
                  <c:v>13.74573840988548</c:v>
                </c:pt>
                <c:pt idx="286">
                  <c:v>13.802537890622169</c:v>
                </c:pt>
                <c:pt idx="287">
                  <c:v>13.859764963597806</c:v>
                </c:pt>
                <c:pt idx="288">
                  <c:v>13.917410984680572</c:v>
                </c:pt>
                <c:pt idx="289">
                  <c:v>13.969036509248467</c:v>
                </c:pt>
                <c:pt idx="290">
                  <c:v>14.027289392176142</c:v>
                </c:pt>
                <c:pt idx="291">
                  <c:v>14.085935926228938</c:v>
                </c:pt>
                <c:pt idx="292">
                  <c:v>14.144966286025785</c:v>
                </c:pt>
                <c:pt idx="293">
                  <c:v>14.20437032502825</c:v>
                </c:pt>
                <c:pt idx="294">
                  <c:v>14.256879448589626</c:v>
                </c:pt>
                <c:pt idx="295">
                  <c:v>14.316804476186215</c:v>
                </c:pt>
                <c:pt idx="296">
                  <c:v>14.377073368516744</c:v>
                </c:pt>
                <c:pt idx="297">
                  <c:v>14.437674673399604</c:v>
                </c:pt>
                <c:pt idx="298">
                  <c:v>14.498596586036312</c:v>
                </c:pt>
                <c:pt idx="299">
                  <c:v>14.551776834655824</c:v>
                </c:pt>
                <c:pt idx="300">
                  <c:v>14.61311862165951</c:v>
                </c:pt>
                <c:pt idx="301">
                  <c:v>14.674746242064877</c:v>
                </c:pt>
                <c:pt idx="302">
                  <c:v>14.736646466984007</c:v>
                </c:pt>
                <c:pt idx="303">
                  <c:v>14.790179400759841</c:v>
                </c:pt>
                <c:pt idx="304">
                  <c:v>14.852407181237533</c:v>
                </c:pt>
                <c:pt idx="305">
                  <c:v>14.914868549881366</c:v>
                </c:pt>
                <c:pt idx="306">
                  <c:v>14.977548767442729</c:v>
                </c:pt>
                <c:pt idx="307">
                  <c:v>15.031253314120944</c:v>
                </c:pt>
                <c:pt idx="308">
                  <c:v>15.094157595208509</c:v>
                </c:pt>
                <c:pt idx="309">
                  <c:v>15.157237233282556</c:v>
                </c:pt>
                <c:pt idx="310">
                  <c:v>15.210930389095198</c:v>
                </c:pt>
                <c:pt idx="311">
                  <c:v>15.274149502390326</c:v>
                </c:pt>
                <c:pt idx="312">
                  <c:v>15.337497025491794</c:v>
                </c:pt>
                <c:pt idx="313">
                  <c:v>15.400955416660983</c:v>
                </c:pt>
                <c:pt idx="314">
                  <c:v>15.454450781742521</c:v>
                </c:pt>
                <c:pt idx="315">
                  <c:v>15.517924426612018</c:v>
                </c:pt>
                <c:pt idx="316">
                  <c:v>15.581457206507258</c:v>
                </c:pt>
                <c:pt idx="317">
                  <c:v>15.645029899893192</c:v>
                </c:pt>
                <c:pt idx="318">
                  <c:v>15.698085417712907</c:v>
                </c:pt>
                <c:pt idx="319">
                  <c:v>15.761536767166911</c:v>
                </c:pt>
                <c:pt idx="320">
                  <c:v>15.824971409741478</c:v>
                </c:pt>
                <c:pt idx="321">
                  <c:v>15.877515260806341</c:v>
                </c:pt>
                <c:pt idx="322">
                  <c:v>15.940718779600306</c:v>
                </c:pt>
                <c:pt idx="323">
                  <c:v>16.003845319184943</c:v>
                </c:pt>
                <c:pt idx="324">
                  <c:v>16.05571834368715</c:v>
                </c:pt>
                <c:pt idx="325">
                  <c:v>16.11849705330145</c:v>
                </c:pt>
                <c:pt idx="326">
                  <c:v>16.181134881160137</c:v>
                </c:pt>
                <c:pt idx="327">
                  <c:v>16.232168326714177</c:v>
                </c:pt>
                <c:pt idx="328">
                  <c:v>16.294334784080984</c:v>
                </c:pt>
                <c:pt idx="329">
                  <c:v>16.356292889287225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1-473F-8765-033AD9BF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636240"/>
        <c:axId val="726643632"/>
      </c:lineChart>
      <c:catAx>
        <c:axId val="73163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3632"/>
        <c:crosses val="autoZero"/>
        <c:auto val="1"/>
        <c:lblAlgn val="ctr"/>
        <c:lblOffset val="100"/>
        <c:noMultiLvlLbl val="0"/>
      </c:catAx>
      <c:valAx>
        <c:axId val="7266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316362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Marginal FE-forbrug,</a:t>
            </a:r>
          </a:p>
          <a:p>
            <a:pPr>
              <a:defRPr/>
            </a:pPr>
            <a:r>
              <a:rPr lang="en-US"/>
              <a:t>  FE/ pr. kg tilvækst</a:t>
            </a:r>
          </a:p>
        </c:rich>
      </c:tx>
      <c:layout>
        <c:manualLayout>
          <c:xMode val="edge"/>
          <c:yMode val="edge"/>
          <c:x val="0.41790069352480319"/>
          <c:y val="3.8387869869777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hol'!$Q$3:$Q$335</c:f>
              <c:numCache>
                <c:formatCode>#,##0.0</c:formatCode>
                <c:ptCount val="333"/>
                <c:pt idx="0">
                  <c:v>5.2408007154346983</c:v>
                </c:pt>
                <c:pt idx="1">
                  <c:v>5.1539138447916049</c:v>
                </c:pt>
                <c:pt idx="2">
                  <c:v>5.1668191940031454</c:v>
                </c:pt>
                <c:pt idx="3">
                  <c:v>5.1801778929451405</c:v>
                </c:pt>
                <c:pt idx="4">
                  <c:v>5.1003385390101661</c:v>
                </c:pt>
                <c:pt idx="5">
                  <c:v>5.1157975049241573</c:v>
                </c:pt>
                <c:pt idx="6">
                  <c:v>5.1316264234167566</c:v>
                </c:pt>
                <c:pt idx="7">
                  <c:v>5.0578770389667662</c:v>
                </c:pt>
                <c:pt idx="8">
                  <c:v>5.0754989420950469</c:v>
                </c:pt>
                <c:pt idx="9">
                  <c:v>5.0934301805478128</c:v>
                </c:pt>
                <c:pt idx="10">
                  <c:v>5.1116699745699101</c:v>
                </c:pt>
                <c:pt idx="11">
                  <c:v>5.0444693269412308</c:v>
                </c:pt>
                <c:pt idx="12">
                  <c:v>5.0642145981727387</c:v>
                </c:pt>
                <c:pt idx="13">
                  <c:v>5.0842267992205503</c:v>
                </c:pt>
                <c:pt idx="14">
                  <c:v>5.1045075825984236</c:v>
                </c:pt>
                <c:pt idx="15">
                  <c:v>5.1250586075033198</c:v>
                </c:pt>
                <c:pt idx="16">
                  <c:v>5.064434000973991</c:v>
                </c:pt>
                <c:pt idx="17">
                  <c:v>5.0862417901303116</c:v>
                </c:pt>
                <c:pt idx="18">
                  <c:v>5.1082925712596685</c:v>
                </c:pt>
                <c:pt idx="19">
                  <c:v>5.1305893664662001</c:v>
                </c:pt>
                <c:pt idx="20">
                  <c:v>5.1531351246401425</c:v>
                </c:pt>
                <c:pt idx="21">
                  <c:v>5.0979852248195723</c:v>
                </c:pt>
                <c:pt idx="22">
                  <c:v>5.1216121970103305</c:v>
                </c:pt>
                <c:pt idx="23">
                  <c:v>5.1455064883564336</c:v>
                </c:pt>
                <c:pt idx="24">
                  <c:v>5.1696800815669297</c:v>
                </c:pt>
                <c:pt idx="25">
                  <c:v>5.1941371627042372</c:v>
                </c:pt>
                <c:pt idx="26">
                  <c:v>5.2188723321653576</c:v>
                </c:pt>
                <c:pt idx="27">
                  <c:v>5.2438735708618145</c:v>
                </c:pt>
                <c:pt idx="28">
                  <c:v>5.2691293021074559</c:v>
                </c:pt>
                <c:pt idx="29">
                  <c:v>5.2209454261393713</c:v>
                </c:pt>
                <c:pt idx="30">
                  <c:v>5.24713517197097</c:v>
                </c:pt>
                <c:pt idx="31">
                  <c:v>5.2735428937262521</c:v>
                </c:pt>
                <c:pt idx="32">
                  <c:v>5.3001593521791586</c:v>
                </c:pt>
                <c:pt idx="33">
                  <c:v>5.3269757335028345</c:v>
                </c:pt>
                <c:pt idx="34">
                  <c:v>5.3539836229805005</c:v>
                </c:pt>
                <c:pt idx="35">
                  <c:v>5.3811749805976836</c:v>
                </c:pt>
                <c:pt idx="36">
                  <c:v>5.4085421183521101</c:v>
                </c:pt>
                <c:pt idx="37">
                  <c:v>5.4360776791545504</c:v>
                </c:pt>
                <c:pt idx="38">
                  <c:v>5.4637746171721036</c:v>
                </c:pt>
                <c:pt idx="39">
                  <c:v>5.4916261795116679</c:v>
                </c:pt>
                <c:pt idx="40">
                  <c:v>5.5196258891318735</c:v>
                </c:pt>
                <c:pt idx="41">
                  <c:v>5.5477675288817032</c:v>
                </c:pt>
                <c:pt idx="42">
                  <c:v>5.576045126587684</c:v>
                </c:pt>
                <c:pt idx="43">
                  <c:v>5.6044529410984758</c:v>
                </c:pt>
                <c:pt idx="44">
                  <c:v>5.6329854492204685</c:v>
                </c:pt>
                <c:pt idx="45">
                  <c:v>5.661637333475011</c:v>
                </c:pt>
                <c:pt idx="46">
                  <c:v>5.6904034706107955</c:v>
                </c:pt>
                <c:pt idx="47">
                  <c:v>5.7192789208277652</c:v>
                </c:pt>
                <c:pt idx="48">
                  <c:v>5.748258917641758</c:v>
                </c:pt>
                <c:pt idx="49">
                  <c:v>5.7773388583640575</c:v>
                </c:pt>
                <c:pt idx="50">
                  <c:v>5.8065142951323958</c:v>
                </c:pt>
                <c:pt idx="51">
                  <c:v>5.8357809264665201</c:v>
                </c:pt>
                <c:pt idx="52">
                  <c:v>5.8651345893083429</c:v>
                </c:pt>
                <c:pt idx="53">
                  <c:v>5.8945712515071662</c:v>
                </c:pt>
                <c:pt idx="54">
                  <c:v>5.9240870047263012</c:v>
                </c:pt>
                <c:pt idx="55">
                  <c:v>5.9536780577388777</c:v>
                </c:pt>
                <c:pt idx="56">
                  <c:v>5.9833407300834862</c:v>
                </c:pt>
                <c:pt idx="57">
                  <c:v>6.0751666264089224</c:v>
                </c:pt>
                <c:pt idx="58">
                  <c:v>6.1045729586045354</c:v>
                </c:pt>
                <c:pt idx="59">
                  <c:v>6.1340409393612063</c:v>
                </c:pt>
                <c:pt idx="60">
                  <c:v>6.1635671767926459</c:v>
                </c:pt>
                <c:pt idx="61">
                  <c:v>6.1931483650964134</c:v>
                </c:pt>
                <c:pt idx="62">
                  <c:v>6.2227812797910227</c:v>
                </c:pt>
                <c:pt idx="63">
                  <c:v>6.2524627731896416</c:v>
                </c:pt>
                <c:pt idx="64">
                  <c:v>6.2821897700842921</c:v>
                </c:pt>
                <c:pt idx="65">
                  <c:v>6.3119592636339146</c:v>
                </c:pt>
                <c:pt idx="66">
                  <c:v>6.4002452535019865</c:v>
                </c:pt>
                <c:pt idx="67">
                  <c:v>6.4296957077651458</c:v>
                </c:pt>
                <c:pt idx="68">
                  <c:v>6.4591797273433853</c:v>
                </c:pt>
                <c:pt idx="69">
                  <c:v>6.4886944589996389</c:v>
                </c:pt>
                <c:pt idx="70">
                  <c:v>6.5182371013687632</c:v>
                </c:pt>
                <c:pt idx="71">
                  <c:v>6.5478049017230591</c:v>
                </c:pt>
                <c:pt idx="72">
                  <c:v>6.5773951528645274</c:v>
                </c:pt>
                <c:pt idx="73">
                  <c:v>6.6625233228712659</c:v>
                </c:pt>
                <c:pt idx="74">
                  <c:v>6.6917447914522095</c:v>
                </c:pt>
                <c:pt idx="75">
                  <c:v>6.7209800419707397</c:v>
                </c:pt>
                <c:pt idx="76">
                  <c:v>6.7502264451306875</c:v>
                </c:pt>
                <c:pt idx="77">
                  <c:v>6.7794814043090961</c:v>
                </c:pt>
                <c:pt idx="78">
                  <c:v>6.8087423530079203</c:v>
                </c:pt>
                <c:pt idx="79">
                  <c:v>6.8908463192541358</c:v>
                </c:pt>
                <c:pt idx="80">
                  <c:v>6.9196934990250103</c:v>
                </c:pt>
                <c:pt idx="81">
                  <c:v>6.9485379237359011</c:v>
                </c:pt>
                <c:pt idx="82">
                  <c:v>6.9773770514419642</c:v>
                </c:pt>
                <c:pt idx="83">
                  <c:v>7.0061993261473399</c:v>
                </c:pt>
                <c:pt idx="84">
                  <c:v>7.0854303940738461</c:v>
                </c:pt>
                <c:pt idx="85">
                  <c:v>7.1136948855854811</c:v>
                </c:pt>
                <c:pt idx="86">
                  <c:v>7.1418833864929541</c:v>
                </c:pt>
                <c:pt idx="87">
                  <c:v>7.1699912807717396</c:v>
                </c:pt>
                <c:pt idx="88">
                  <c:v>7.1980139285638565</c:v>
                </c:pt>
                <c:pt idx="89">
                  <c:v>7.2739217060241881</c:v>
                </c:pt>
                <c:pt idx="90">
                  <c:v>7.301311164727287</c:v>
                </c:pt>
                <c:pt idx="91">
                  <c:v>7.3285990484769492</c:v>
                </c:pt>
                <c:pt idx="92">
                  <c:v>7.3557805380896344</c:v>
                </c:pt>
                <c:pt idx="93">
                  <c:v>7.3828507830264725</c:v>
                </c:pt>
                <c:pt idx="94">
                  <c:v>7.455165566259975</c:v>
                </c:pt>
                <c:pt idx="95">
                  <c:v>7.4815318761693295</c:v>
                </c:pt>
                <c:pt idx="96">
                  <c:v>7.5077696205212634</c:v>
                </c:pt>
                <c:pt idx="97">
                  <c:v>7.5338737431978453</c:v>
                </c:pt>
                <c:pt idx="98">
                  <c:v>7.6029376370546462</c:v>
                </c:pt>
                <c:pt idx="99">
                  <c:v>7.6282756657740052</c:v>
                </c:pt>
                <c:pt idx="100">
                  <c:v>7.6534618558554683</c:v>
                </c:pt>
                <c:pt idx="101">
                  <c:v>7.6784909267030566</c:v>
                </c:pt>
                <c:pt idx="102">
                  <c:v>7.7440939747199593</c:v>
                </c:pt>
                <c:pt idx="103">
                  <c:v>7.7682915563696708</c:v>
                </c:pt>
                <c:pt idx="104">
                  <c:v>7.7923128522792418</c:v>
                </c:pt>
                <c:pt idx="105">
                  <c:v>7.8161523398547974</c:v>
                </c:pt>
                <c:pt idx="106">
                  <c:v>7.878075386457013</c:v>
                </c:pt>
                <c:pt idx="107">
                  <c:v>7.9010146036893874</c:v>
                </c:pt>
                <c:pt idx="108">
                  <c:v>7.9237518467679138</c:v>
                </c:pt>
                <c:pt idx="109">
                  <c:v>7.9462813348670824</c:v>
                </c:pt>
                <c:pt idx="110">
                  <c:v>8.004295638937597</c:v>
                </c:pt>
                <c:pt idx="111">
                  <c:v>8.0258525502859062</c:v>
                </c:pt>
                <c:pt idx="112">
                  <c:v>8.0471804953086625</c:v>
                </c:pt>
                <c:pt idx="113">
                  <c:v>8.0682734199519608</c:v>
                </c:pt>
                <c:pt idx="114">
                  <c:v>8.1221402962926952</c:v>
                </c:pt>
                <c:pt idx="115">
                  <c:v>8.1421846833576428</c:v>
                </c:pt>
                <c:pt idx="116">
                  <c:v>8.1619717505219835</c:v>
                </c:pt>
                <c:pt idx="117">
                  <c:v>8.181495156733039</c:v>
                </c:pt>
                <c:pt idx="118">
                  <c:v>8.2309809621518824</c:v>
                </c:pt>
                <c:pt idx="119">
                  <c:v>8.2494145468720408</c:v>
                </c:pt>
                <c:pt idx="120">
                  <c:v>8.2675986943335147</c:v>
                </c:pt>
                <c:pt idx="121">
                  <c:v>8.2855395291535991</c:v>
                </c:pt>
                <c:pt idx="122">
                  <c:v>8.3308100244412024</c:v>
                </c:pt>
                <c:pt idx="123">
                  <c:v>8.3477666686311167</c:v>
                </c:pt>
                <c:pt idx="124">
                  <c:v>8.3645060528206461</c:v>
                </c:pt>
                <c:pt idx="125">
                  <c:v>8.3810337629185501</c:v>
                </c:pt>
                <c:pt idx="126">
                  <c:v>8.422454374834043</c:v>
                </c:pt>
                <c:pt idx="127">
                  <c:v>8.4380991771127096</c:v>
                </c:pt>
                <c:pt idx="128">
                  <c:v>8.4535564628648547</c:v>
                </c:pt>
                <c:pt idx="129">
                  <c:v>8.4688313610072861</c:v>
                </c:pt>
                <c:pt idx="130">
                  <c:v>8.5067485573532409</c:v>
                </c:pt>
                <c:pt idx="131">
                  <c:v>8.5212357717812157</c:v>
                </c:pt>
                <c:pt idx="132">
                  <c:v>8.5355631420568336</c:v>
                </c:pt>
                <c:pt idx="133">
                  <c:v>8.5708663048226086</c:v>
                </c:pt>
                <c:pt idx="134">
                  <c:v>8.5844793436941043</c:v>
                </c:pt>
                <c:pt idx="135">
                  <c:v>8.597953977568384</c:v>
                </c:pt>
                <c:pt idx="136">
                  <c:v>8.6112946848271363</c:v>
                </c:pt>
                <c:pt idx="137">
                  <c:v>8.6436798299773194</c:v>
                </c:pt>
                <c:pt idx="138">
                  <c:v>8.6563927286467894</c:v>
                </c:pt>
                <c:pt idx="139">
                  <c:v>8.6689919429425917</c:v>
                </c:pt>
                <c:pt idx="140">
                  <c:v>8.6814816698337367</c:v>
                </c:pt>
                <c:pt idx="141">
                  <c:v>8.7112555013529214</c:v>
                </c:pt>
                <c:pt idx="142">
                  <c:v>8.723200089291602</c:v>
                </c:pt>
                <c:pt idx="143">
                  <c:v>8.7350544292093453</c:v>
                </c:pt>
                <c:pt idx="144">
                  <c:v>8.7468529002205244</c:v>
                </c:pt>
                <c:pt idx="145">
                  <c:v>8.7744961560273875</c:v>
                </c:pt>
                <c:pt idx="146">
                  <c:v>8.7861717000706374</c:v>
                </c:pt>
                <c:pt idx="147">
                  <c:v>8.7979729161215232</c:v>
                </c:pt>
                <c:pt idx="148">
                  <c:v>8.8245113739053807</c:v>
                </c:pt>
                <c:pt idx="149">
                  <c:v>8.8363127419064167</c:v>
                </c:pt>
                <c:pt idx="150">
                  <c:v>8.84827258684121</c:v>
                </c:pt>
                <c:pt idx="151">
                  <c:v>8.8603995604113219</c:v>
                </c:pt>
                <c:pt idx="152">
                  <c:v>8.8859898750164525</c:v>
                </c:pt>
                <c:pt idx="153">
                  <c:v>8.8982335992436354</c:v>
                </c:pt>
                <c:pt idx="154">
                  <c:v>8.9106773768053547</c:v>
                </c:pt>
                <c:pt idx="155">
                  <c:v>8.9233299992573318</c:v>
                </c:pt>
                <c:pt idx="156">
                  <c:v>8.9483353794703646</c:v>
                </c:pt>
                <c:pt idx="157">
                  <c:v>8.961221412183642</c:v>
                </c:pt>
                <c:pt idx="158">
                  <c:v>8.974349601721066</c:v>
                </c:pt>
                <c:pt idx="159">
                  <c:v>8.9877289574798684</c:v>
                </c:pt>
                <c:pt idx="160">
                  <c:v>9.012511476133632</c:v>
                </c:pt>
                <c:pt idx="161">
                  <c:v>9.0262418275250997</c:v>
                </c:pt>
                <c:pt idx="162">
                  <c:v>9.0402573207058641</c:v>
                </c:pt>
                <c:pt idx="163">
                  <c:v>9.0545672647636994</c:v>
                </c:pt>
                <c:pt idx="164">
                  <c:v>9.0794901787198405</c:v>
                </c:pt>
                <c:pt idx="165">
                  <c:v>9.0942705226978209</c:v>
                </c:pt>
                <c:pt idx="166">
                  <c:v>9.1093802465413827</c:v>
                </c:pt>
                <c:pt idx="167">
                  <c:v>9.1248290460969628</c:v>
                </c:pt>
                <c:pt idx="168">
                  <c:v>9.1406267300729294</c:v>
                </c:pt>
                <c:pt idx="169">
                  <c:v>9.1663005424601671</c:v>
                </c:pt>
                <c:pt idx="170">
                  <c:v>9.1827171663828491</c:v>
                </c:pt>
                <c:pt idx="171">
                  <c:v>9.1995192327428157</c:v>
                </c:pt>
                <c:pt idx="172">
                  <c:v>9.2167170533849134</c:v>
                </c:pt>
                <c:pt idx="173">
                  <c:v>9.2433500176458487</c:v>
                </c:pt>
                <c:pt idx="174">
                  <c:v>9.2612937721392896</c:v>
                </c:pt>
                <c:pt idx="175">
                  <c:v>9.2796715110497043</c:v>
                </c:pt>
                <c:pt idx="176">
                  <c:v>9.2984941538706103</c:v>
                </c:pt>
                <c:pt idx="177">
                  <c:v>9.3264703882792599</c:v>
                </c:pt>
                <c:pt idx="178">
                  <c:v>9.3461710255604871</c:v>
                </c:pt>
                <c:pt idx="179">
                  <c:v>9.3663568371516579</c:v>
                </c:pt>
                <c:pt idx="180">
                  <c:v>9.3870394654507106</c:v>
                </c:pt>
                <c:pt idx="181">
                  <c:v>9.4082307477407401</c:v>
                </c:pt>
                <c:pt idx="182">
                  <c:v>9.4384528816386926</c:v>
                </c:pt>
                <c:pt idx="183">
                  <c:v>9.460685056234766</c:v>
                </c:pt>
                <c:pt idx="184">
                  <c:v>9.4834602879194065</c:v>
                </c:pt>
                <c:pt idx="185">
                  <c:v>9.5067872865762535</c:v>
                </c:pt>
                <c:pt idx="186">
                  <c:v>9.5306749680972249</c:v>
                </c:pt>
                <c:pt idx="187">
                  <c:v>9.56359921174408</c:v>
                </c:pt>
                <c:pt idx="188">
                  <c:v>9.5886399771936439</c:v>
                </c:pt>
                <c:pt idx="189">
                  <c:v>9.6142721834028517</c:v>
                </c:pt>
                <c:pt idx="190">
                  <c:v>9.6405056476100537</c:v>
                </c:pt>
                <c:pt idx="191">
                  <c:v>9.6673504258596772</c:v>
                </c:pt>
                <c:pt idx="192">
                  <c:v>9.7033321274183315</c:v>
                </c:pt>
                <c:pt idx="193">
                  <c:v>9.7314508142509144</c:v>
                </c:pt>
                <c:pt idx="194">
                  <c:v>9.7602153012031394</c:v>
                </c:pt>
                <c:pt idx="195">
                  <c:v>9.7896366945596913</c:v>
                </c:pt>
                <c:pt idx="196">
                  <c:v>9.8197263786905413</c:v>
                </c:pt>
                <c:pt idx="197">
                  <c:v>9.8504960246015347</c:v>
                </c:pt>
                <c:pt idx="198">
                  <c:v>9.8906529791972417</c:v>
                </c:pt>
                <c:pt idx="199">
                  <c:v>9.922858429245732</c:v>
                </c:pt>
                <c:pt idx="200">
                  <c:v>9.955783634377676</c:v>
                </c:pt>
                <c:pt idx="201">
                  <c:v>9.9894415329097033</c:v>
                </c:pt>
                <c:pt idx="202">
                  <c:v>10.023845398877091</c:v>
                </c:pt>
                <c:pt idx="203">
                  <c:v>10.059008852743611</c:v>
                </c:pt>
                <c:pt idx="204">
                  <c:v>10.10395769251879</c:v>
                </c:pt>
                <c:pt idx="205">
                  <c:v>9.9196058119611248</c:v>
                </c:pt>
                <c:pt idx="206">
                  <c:v>9.8852860612654876</c:v>
                </c:pt>
                <c:pt idx="207">
                  <c:v>9.9215093111730894</c:v>
                </c:pt>
                <c:pt idx="208">
                  <c:v>9.9581118641719346</c:v>
                </c:pt>
                <c:pt idx="209">
                  <c:v>10.004213024821297</c:v>
                </c:pt>
                <c:pt idx="210">
                  <c:v>10.041649393094728</c:v>
                </c:pt>
                <c:pt idx="211">
                  <c:v>10.079468345292726</c:v>
                </c:pt>
                <c:pt idx="212">
                  <c:v>10.11766992023504</c:v>
                </c:pt>
                <c:pt idx="213">
                  <c:v>10.156254086837942</c:v>
                </c:pt>
                <c:pt idx="214">
                  <c:v>10.195220741128219</c:v>
                </c:pt>
                <c:pt idx="215">
                  <c:v>10.244243132084977</c:v>
                </c:pt>
                <c:pt idx="216">
                  <c:v>10.284068624433111</c:v>
                </c:pt>
                <c:pt idx="217">
                  <c:v>10.324278801225681</c:v>
                </c:pt>
                <c:pt idx="218">
                  <c:v>10.364873257645295</c:v>
                </c:pt>
                <c:pt idx="219">
                  <c:v>10.405851500231909</c:v>
                </c:pt>
                <c:pt idx="220">
                  <c:v>10.447212943535128</c:v>
                </c:pt>
                <c:pt idx="221">
                  <c:v>10.488956906699913</c:v>
                </c:pt>
                <c:pt idx="222">
                  <c:v>10.541564635647152</c:v>
                </c:pt>
                <c:pt idx="223">
                  <c:v>10.584189621071594</c:v>
                </c:pt>
                <c:pt idx="224">
                  <c:v>10.627197625062717</c:v>
                </c:pt>
                <c:pt idx="225">
                  <c:v>10.670587572442123</c:v>
                </c:pt>
                <c:pt idx="226">
                  <c:v>10.714358274747235</c:v>
                </c:pt>
                <c:pt idx="227">
                  <c:v>10.758508426470144</c:v>
                </c:pt>
                <c:pt idx="228">
                  <c:v>10.803036601262891</c:v>
                </c:pt>
                <c:pt idx="229">
                  <c:v>10.847941248090004</c:v>
                </c:pt>
                <c:pt idx="230">
                  <c:v>10.904847495531863</c:v>
                </c:pt>
                <c:pt idx="231">
                  <c:v>10.950646940165297</c:v>
                </c:pt>
                <c:pt idx="232">
                  <c:v>10.996820761383367</c:v>
                </c:pt>
                <c:pt idx="233">
                  <c:v>11.043366892040575</c:v>
                </c:pt>
                <c:pt idx="234">
                  <c:v>11.090283120226472</c:v>
                </c:pt>
                <c:pt idx="235">
                  <c:v>11.13756708518012</c:v>
                </c:pt>
                <c:pt idx="236">
                  <c:v>11.18521627312621</c:v>
                </c:pt>
                <c:pt idx="237">
                  <c:v>11.233228013128699</c:v>
                </c:pt>
                <c:pt idx="238">
                  <c:v>11.281599472870326</c:v>
                </c:pt>
                <c:pt idx="239">
                  <c:v>11.330327654450837</c:v>
                </c:pt>
                <c:pt idx="240">
                  <c:v>11.379409390150371</c:v>
                </c:pt>
                <c:pt idx="241">
                  <c:v>11.442414980988039</c:v>
                </c:pt>
                <c:pt idx="242">
                  <c:v>11.492381588708964</c:v>
                </c:pt>
                <c:pt idx="243">
                  <c:v>11.542694774857555</c:v>
                </c:pt>
                <c:pt idx="244">
                  <c:v>11.593350668163369</c:v>
                </c:pt>
                <c:pt idx="245">
                  <c:v>11.644345205714584</c:v>
                </c:pt>
                <c:pt idx="246">
                  <c:v>11.695674128696057</c:v>
                </c:pt>
                <c:pt idx="247">
                  <c:v>11.747332978099189</c:v>
                </c:pt>
                <c:pt idx="248">
                  <c:v>11.799317090501813</c:v>
                </c:pt>
                <c:pt idx="249">
                  <c:v>11.851621593830295</c:v>
                </c:pt>
                <c:pt idx="250">
                  <c:v>11.904241403188191</c:v>
                </c:pt>
                <c:pt idx="251">
                  <c:v>11.957171136297557</c:v>
                </c:pt>
                <c:pt idx="252">
                  <c:v>12.010402851859251</c:v>
                </c:pt>
                <c:pt idx="253">
                  <c:v>12.063925704178247</c:v>
                </c:pt>
                <c:pt idx="254">
                  <c:v>12.117728412709949</c:v>
                </c:pt>
                <c:pt idx="255">
                  <c:v>12.171799399005266</c:v>
                </c:pt>
                <c:pt idx="256">
                  <c:v>12.226126782978362</c:v>
                </c:pt>
                <c:pt idx="257">
                  <c:v>12.280698379384486</c:v>
                </c:pt>
                <c:pt idx="258">
                  <c:v>12.335501694442737</c:v>
                </c:pt>
                <c:pt idx="259">
                  <c:v>12.39052392272635</c:v>
                </c:pt>
                <c:pt idx="260">
                  <c:v>12.445751944220873</c:v>
                </c:pt>
                <c:pt idx="261">
                  <c:v>12.501172321621139</c:v>
                </c:pt>
                <c:pt idx="262">
                  <c:v>12.55677129789972</c:v>
                </c:pt>
                <c:pt idx="263">
                  <c:v>12.61253479410848</c:v>
                </c:pt>
                <c:pt idx="264">
                  <c:v>12.668448407438474</c:v>
                </c:pt>
                <c:pt idx="265">
                  <c:v>12.724497409594374</c:v>
                </c:pt>
                <c:pt idx="266">
                  <c:v>12.780726988601177</c:v>
                </c:pt>
                <c:pt idx="267">
                  <c:v>12.837367173964751</c:v>
                </c:pt>
                <c:pt idx="268">
                  <c:v>12.894473806365907</c:v>
                </c:pt>
                <c:pt idx="269">
                  <c:v>12.952043113780549</c:v>
                </c:pt>
                <c:pt idx="270">
                  <c:v>13.010071179502239</c:v>
                </c:pt>
                <c:pt idx="271">
                  <c:v>13.068553938033043</c:v>
                </c:pt>
                <c:pt idx="272">
                  <c:v>13.127487170971651</c:v>
                </c:pt>
                <c:pt idx="273">
                  <c:v>13.186866502768002</c:v>
                </c:pt>
                <c:pt idx="274">
                  <c:v>13.246687396558137</c:v>
                </c:pt>
                <c:pt idx="275">
                  <c:v>13.306945149850295</c:v>
                </c:pt>
                <c:pt idx="276">
                  <c:v>13.367634890263792</c:v>
                </c:pt>
                <c:pt idx="277">
                  <c:v>13.428751571178198</c:v>
                </c:pt>
                <c:pt idx="278">
                  <c:v>13.490289967370995</c:v>
                </c:pt>
                <c:pt idx="279">
                  <c:v>13.552244670626941</c:v>
                </c:pt>
                <c:pt idx="280">
                  <c:v>13.614610085338132</c:v>
                </c:pt>
                <c:pt idx="281">
                  <c:v>13.677380424033325</c:v>
                </c:pt>
                <c:pt idx="282">
                  <c:v>13.740549702941168</c:v>
                </c:pt>
                <c:pt idx="283">
                  <c:v>13.804111737501044</c:v>
                </c:pt>
                <c:pt idx="284">
                  <c:v>13.86806013786434</c:v>
                </c:pt>
                <c:pt idx="285">
                  <c:v>13.910175892794875</c:v>
                </c:pt>
                <c:pt idx="286">
                  <c:v>13.97471489869314</c:v>
                </c:pt>
                <c:pt idx="287">
                  <c:v>14.039621905487685</c:v>
                </c:pt>
                <c:pt idx="288">
                  <c:v>14.104889689992731</c:v>
                </c:pt>
                <c:pt idx="289">
                  <c:v>14.170510801753197</c:v>
                </c:pt>
                <c:pt idx="290">
                  <c:v>14.236477558550302</c:v>
                </c:pt>
                <c:pt idx="291">
                  <c:v>14.302782041923257</c:v>
                </c:pt>
                <c:pt idx="292">
                  <c:v>14.369416092690507</c:v>
                </c:pt>
                <c:pt idx="293">
                  <c:v>14.436371306532019</c:v>
                </c:pt>
                <c:pt idx="294">
                  <c:v>14.503639029520006</c:v>
                </c:pt>
                <c:pt idx="295">
                  <c:v>14.547545263156554</c:v>
                </c:pt>
                <c:pt idx="296">
                  <c:v>14.615268527887936</c:v>
                </c:pt>
                <c:pt idx="297">
                  <c:v>14.683279216731441</c:v>
                </c:pt>
                <c:pt idx="298">
                  <c:v>14.751567672430552</c:v>
                </c:pt>
                <c:pt idx="299">
                  <c:v>14.820123967252362</c:v>
                </c:pt>
                <c:pt idx="300">
                  <c:v>14.888937898880084</c:v>
                </c:pt>
                <c:pt idx="301">
                  <c:v>14.957998986364112</c:v>
                </c:pt>
                <c:pt idx="302">
                  <c:v>15.027296466163982</c:v>
                </c:pt>
                <c:pt idx="303">
                  <c:v>15.072135432147876</c:v>
                </c:pt>
                <c:pt idx="304">
                  <c:v>15.141747329673482</c:v>
                </c:pt>
                <c:pt idx="305">
                  <c:v>15.211564315393444</c:v>
                </c:pt>
                <c:pt idx="306">
                  <c:v>15.28157449989015</c:v>
                </c:pt>
                <c:pt idx="307">
                  <c:v>15.351765693220464</c:v>
                </c:pt>
                <c:pt idx="308">
                  <c:v>15.422125401741148</c:v>
                </c:pt>
                <c:pt idx="309">
                  <c:v>15.492640824789291</c:v>
                </c:pt>
                <c:pt idx="310">
                  <c:v>15.537833023295889</c:v>
                </c:pt>
                <c:pt idx="311">
                  <c:v>15.608512255731947</c:v>
                </c:pt>
                <c:pt idx="312">
                  <c:v>15.679309936158427</c:v>
                </c:pt>
                <c:pt idx="313">
                  <c:v>15.75021205252135</c:v>
                </c:pt>
                <c:pt idx="314">
                  <c:v>15.821204272736088</c:v>
                </c:pt>
                <c:pt idx="315">
                  <c:v>15.892271942487001</c:v>
                </c:pt>
                <c:pt idx="316">
                  <c:v>15.937351216536412</c:v>
                </c:pt>
                <c:pt idx="317">
                  <c:v>16.008432179284721</c:v>
                </c:pt>
                <c:pt idx="318">
                  <c:v>16.079545940685598</c:v>
                </c:pt>
                <c:pt idx="319">
                  <c:v>16.150676587347423</c:v>
                </c:pt>
                <c:pt idx="320">
                  <c:v>16.221807876477722</c:v>
                </c:pt>
                <c:pt idx="321">
                  <c:v>16.292923235209702</c:v>
                </c:pt>
                <c:pt idx="322">
                  <c:v>16.337455903436286</c:v>
                </c:pt>
                <c:pt idx="323">
                  <c:v>16.408413115267763</c:v>
                </c:pt>
                <c:pt idx="324">
                  <c:v>16.479306224184665</c:v>
                </c:pt>
                <c:pt idx="325">
                  <c:v>16.523349215669082</c:v>
                </c:pt>
                <c:pt idx="326">
                  <c:v>16.567153375067424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1-4F12-A444-C9348E48B189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tyr'!$Q$3:$Q$335</c:f>
              <c:numCache>
                <c:formatCode>#,##0.0</c:formatCode>
                <c:ptCount val="333"/>
                <c:pt idx="0">
                  <c:v>5.0710547228405272</c:v>
                </c:pt>
                <c:pt idx="1">
                  <c:v>5.0833126932261745</c:v>
                </c:pt>
                <c:pt idx="2">
                  <c:v>5.0960320201452083</c:v>
                </c:pt>
                <c:pt idx="3">
                  <c:v>5.0131718508891856</c:v>
                </c:pt>
                <c:pt idx="4">
                  <c:v>5.0283275459678682</c:v>
                </c:pt>
                <c:pt idx="5">
                  <c:v>5.0438767559191717</c:v>
                </c:pt>
                <c:pt idx="6">
                  <c:v>4.9681629260397919</c:v>
                </c:pt>
                <c:pt idx="7">
                  <c:v>4.9858560027954084</c:v>
                </c:pt>
                <c:pt idx="8">
                  <c:v>5.0039064476826489</c:v>
                </c:pt>
                <c:pt idx="9">
                  <c:v>4.9345259616912589</c:v>
                </c:pt>
                <c:pt idx="10">
                  <c:v>4.9545104212622846</c:v>
                </c:pt>
                <c:pt idx="11">
                  <c:v>4.9748396871624969</c:v>
                </c:pt>
                <c:pt idx="12">
                  <c:v>4.9955286681374931</c:v>
                </c:pt>
                <c:pt idx="13">
                  <c:v>4.9332674912516774</c:v>
                </c:pt>
                <c:pt idx="14">
                  <c:v>4.9557348317534142</c:v>
                </c:pt>
                <c:pt idx="15">
                  <c:v>4.9785708335048895</c:v>
                </c:pt>
                <c:pt idx="16">
                  <c:v>5.0017942046734385</c:v>
                </c:pt>
                <c:pt idx="17">
                  <c:v>4.9459175103838291</c:v>
                </c:pt>
                <c:pt idx="18">
                  <c:v>4.9708384973049258</c:v>
                </c:pt>
                <c:pt idx="19">
                  <c:v>4.9961725740898819</c:v>
                </c:pt>
                <c:pt idx="20">
                  <c:v>5.0219416899243976</c:v>
                </c:pt>
                <c:pt idx="21">
                  <c:v>5.0481682931254204</c:v>
                </c:pt>
                <c:pt idx="22">
                  <c:v>4.9993697678998803</c:v>
                </c:pt>
                <c:pt idx="23">
                  <c:v>5.0272901891061732</c:v>
                </c:pt>
                <c:pt idx="24">
                  <c:v>5.0557107141945536</c:v>
                </c:pt>
                <c:pt idx="25">
                  <c:v>5.0846570184340969</c:v>
                </c:pt>
                <c:pt idx="26">
                  <c:v>5.1141554192496743</c:v>
                </c:pt>
                <c:pt idx="27">
                  <c:v>5.1441277952210243</c:v>
                </c:pt>
                <c:pt idx="28">
                  <c:v>4.8668589624127279</c:v>
                </c:pt>
                <c:pt idx="29">
                  <c:v>4.8278033350543481</c:v>
                </c:pt>
                <c:pt idx="30">
                  <c:v>4.8561064889209575</c:v>
                </c:pt>
                <c:pt idx="31">
                  <c:v>4.8843847092635473</c:v>
                </c:pt>
                <c:pt idx="32">
                  <c:v>4.9126379772445352</c:v>
                </c:pt>
                <c:pt idx="33">
                  <c:v>4.940866068986316</c:v>
                </c:pt>
                <c:pt idx="34">
                  <c:v>4.9690685617553489</c:v>
                </c:pt>
                <c:pt idx="35">
                  <c:v>4.9972448396972524</c:v>
                </c:pt>
                <c:pt idx="36">
                  <c:v>5.0253940991538668</c:v>
                </c:pt>
                <c:pt idx="37">
                  <c:v>5.0535153536004991</c:v>
                </c:pt>
                <c:pt idx="38">
                  <c:v>5.0816074382336369</c:v>
                </c:pt>
                <c:pt idx="39">
                  <c:v>5.1096690142349788</c:v>
                </c:pt>
                <c:pt idx="40">
                  <c:v>5.1376985727432567</c:v>
                </c:pt>
                <c:pt idx="41">
                  <c:v>5.1656944385517773</c:v>
                </c:pt>
                <c:pt idx="42">
                  <c:v>5.1936547735611613</c:v>
                </c:pt>
                <c:pt idx="43">
                  <c:v>5.2215775800036122</c:v>
                </c:pt>
                <c:pt idx="44">
                  <c:v>5.2494607034612057</c:v>
                </c:pt>
                <c:pt idx="45">
                  <c:v>5.2773018356927794</c:v>
                </c:pt>
                <c:pt idx="46">
                  <c:v>5.3050985172925529</c:v>
                </c:pt>
                <c:pt idx="47">
                  <c:v>5.3328481401883385</c:v>
                </c:pt>
                <c:pt idx="48">
                  <c:v>5.3605479500029665</c:v>
                </c:pt>
                <c:pt idx="49">
                  <c:v>5.4454535937682493</c:v>
                </c:pt>
                <c:pt idx="50">
                  <c:v>5.4726197911282197</c:v>
                </c:pt>
                <c:pt idx="51">
                  <c:v>5.499730484400799</c:v>
                </c:pt>
                <c:pt idx="52">
                  <c:v>5.5267821700427868</c:v>
                </c:pt>
                <c:pt idx="53">
                  <c:v>5.5537712140577433</c:v>
                </c:pt>
                <c:pt idx="54">
                  <c:v>5.5806938535393762</c:v>
                </c:pt>
                <c:pt idx="55">
                  <c:v>5.6075461981690147</c:v>
                </c:pt>
                <c:pt idx="56">
                  <c:v>5.6343242316727604</c:v>
                </c:pt>
                <c:pt idx="57">
                  <c:v>5.6610238132593862</c:v>
                </c:pt>
                <c:pt idx="58">
                  <c:v>5.6876406790260781</c:v>
                </c:pt>
                <c:pt idx="59">
                  <c:v>5.7141704433561715</c:v>
                </c:pt>
                <c:pt idx="60">
                  <c:v>5.7931917147876657</c:v>
                </c:pt>
                <c:pt idx="61">
                  <c:v>5.8191330011163585</c:v>
                </c:pt>
                <c:pt idx="62">
                  <c:v>5.8449750098680697</c:v>
                </c:pt>
                <c:pt idx="63">
                  <c:v>5.8707127484278505</c:v>
                </c:pt>
                <c:pt idx="64">
                  <c:v>5.8963411132741106</c:v>
                </c:pt>
                <c:pt idx="65">
                  <c:v>5.9218548913049416</c:v>
                </c:pt>
                <c:pt idx="66">
                  <c:v>5.9472487612077378</c:v>
                </c:pt>
                <c:pt idx="67">
                  <c:v>6.0221372951399168</c:v>
                </c:pt>
                <c:pt idx="68">
                  <c:v>6.0468798164399979</c:v>
                </c:pt>
                <c:pt idx="69">
                  <c:v>6.0714866861973951</c:v>
                </c:pt>
                <c:pt idx="70">
                  <c:v>6.0959520543831118</c:v>
                </c:pt>
                <c:pt idx="71">
                  <c:v>6.1202699733874821</c:v>
                </c:pt>
                <c:pt idx="72">
                  <c:v>6.1444343996207111</c:v>
                </c:pt>
                <c:pt idx="73">
                  <c:v>6.2154830392194</c:v>
                </c:pt>
                <c:pt idx="74">
                  <c:v>6.2389268099261201</c:v>
                </c:pt>
                <c:pt idx="75">
                  <c:v>6.2621986547662258</c:v>
                </c:pt>
                <c:pt idx="76">
                  <c:v>6.2852920704161024</c:v>
                </c:pt>
                <c:pt idx="77">
                  <c:v>6.3082004694091554</c:v>
                </c:pt>
                <c:pt idx="78">
                  <c:v>6.2556200046081614</c:v>
                </c:pt>
                <c:pt idx="79">
                  <c:v>6.3217651196901281</c:v>
                </c:pt>
                <c:pt idx="80">
                  <c:v>6.3434106611542047</c:v>
                </c:pt>
                <c:pt idx="81">
                  <c:v>6.3648482987434205</c:v>
                </c:pt>
                <c:pt idx="82">
                  <c:v>6.3860710580497528</c:v>
                </c:pt>
                <c:pt idx="83">
                  <c:v>6.4491441622148482</c:v>
                </c:pt>
                <c:pt idx="84">
                  <c:v>6.4695175561125868</c:v>
                </c:pt>
                <c:pt idx="85">
                  <c:v>6.4896542446890342</c:v>
                </c:pt>
                <c:pt idx="86">
                  <c:v>6.5095469312769856</c:v>
                </c:pt>
                <c:pt idx="87">
                  <c:v>6.5291882647799628</c:v>
                </c:pt>
                <c:pt idx="88">
                  <c:v>6.5883973192667069</c:v>
                </c:pt>
                <c:pt idx="89">
                  <c:v>6.6072832828945263</c:v>
                </c:pt>
                <c:pt idx="90">
                  <c:v>6.6260742620656812</c:v>
                </c:pt>
                <c:pt idx="91">
                  <c:v>6.6447682352631636</c:v>
                </c:pt>
                <c:pt idx="92">
                  <c:v>6.7012531436322051</c:v>
                </c:pt>
                <c:pt idx="93">
                  <c:v>6.7193404439456756</c:v>
                </c:pt>
                <c:pt idx="94">
                  <c:v>6.7373245558953787</c:v>
                </c:pt>
                <c:pt idx="95">
                  <c:v>6.755203338654419</c:v>
                </c:pt>
                <c:pt idx="96">
                  <c:v>6.8089275307395249</c:v>
                </c:pt>
                <c:pt idx="97">
                  <c:v>6.8261789551306871</c:v>
                </c:pt>
                <c:pt idx="98">
                  <c:v>6.8433182642109873</c:v>
                </c:pt>
                <c:pt idx="99">
                  <c:v>6.8603431957213905</c:v>
                </c:pt>
                <c:pt idx="100">
                  <c:v>6.9112345242634445</c:v>
                </c:pt>
                <c:pt idx="101">
                  <c:v>6.9276090451438694</c:v>
                </c:pt>
                <c:pt idx="102">
                  <c:v>6.9438618021941823</c:v>
                </c:pt>
                <c:pt idx="103">
                  <c:v>6.9599904081601123</c:v>
                </c:pt>
                <c:pt idx="104">
                  <c:v>7.0079694509649686</c:v>
                </c:pt>
                <c:pt idx="105">
                  <c:v>7.0234222578175638</c:v>
                </c:pt>
                <c:pt idx="106">
                  <c:v>7.0387429247166242</c:v>
                </c:pt>
                <c:pt idx="107">
                  <c:v>7.0842859792192217</c:v>
                </c:pt>
                <c:pt idx="108">
                  <c:v>7.0989091001799549</c:v>
                </c:pt>
                <c:pt idx="109">
                  <c:v>7.1133915960101133</c:v>
                </c:pt>
                <c:pt idx="110">
                  <c:v>7.1277308356814961</c:v>
                </c:pt>
                <c:pt idx="111">
                  <c:v>7.1701996170965829</c:v>
                </c:pt>
                <c:pt idx="112">
                  <c:v>7.1838117433945454</c:v>
                </c:pt>
                <c:pt idx="113">
                  <c:v>7.1972715103791423</c:v>
                </c:pt>
                <c:pt idx="114">
                  <c:v>7.2371638302348824</c:v>
                </c:pt>
                <c:pt idx="115">
                  <c:v>7.249871409436957</c:v>
                </c:pt>
                <c:pt idx="116">
                  <c:v>7.2624170148545897</c:v>
                </c:pt>
                <c:pt idx="117">
                  <c:v>7.2747977530370918</c:v>
                </c:pt>
                <c:pt idx="118">
                  <c:v>7.3114378277207193</c:v>
                </c:pt>
                <c:pt idx="119">
                  <c:v>7.3230527618263599</c:v>
                </c:pt>
                <c:pt idx="120">
                  <c:v>7.3345150387791884</c:v>
                </c:pt>
                <c:pt idx="121">
                  <c:v>7.3458299504940383</c:v>
                </c:pt>
                <c:pt idx="122">
                  <c:v>7.3793658583841255</c:v>
                </c:pt>
                <c:pt idx="123">
                  <c:v>7.3900008669528559</c:v>
                </c:pt>
                <c:pt idx="124">
                  <c:v>7.4005105701562002</c:v>
                </c:pt>
                <c:pt idx="125">
                  <c:v>7.4317290849967774</c:v>
                </c:pt>
                <c:pt idx="126">
                  <c:v>7.4416269063273557</c:v>
                </c:pt>
                <c:pt idx="127">
                  <c:v>7.4514203991349683</c:v>
                </c:pt>
                <c:pt idx="128">
                  <c:v>7.4805028062669718</c:v>
                </c:pt>
                <c:pt idx="129">
                  <c:v>7.4897495648813956</c:v>
                </c:pt>
                <c:pt idx="130">
                  <c:v>7.4989120140587957</c:v>
                </c:pt>
                <c:pt idx="131">
                  <c:v>7.5079946101844426</c:v>
                </c:pt>
                <c:pt idx="132">
                  <c:v>7.5347115630401573</c:v>
                </c:pt>
                <c:pt idx="133">
                  <c:v>7.5433247320701122</c:v>
                </c:pt>
                <c:pt idx="134">
                  <c:v>7.5518770311555601</c:v>
                </c:pt>
                <c:pt idx="135">
                  <c:v>7.5768434195851846</c:v>
                </c:pt>
                <c:pt idx="136">
                  <c:v>7.5849860591425164</c:v>
                </c:pt>
                <c:pt idx="137">
                  <c:v>7.5930860970800182</c:v>
                </c:pt>
                <c:pt idx="138">
                  <c:v>7.6011475986959303</c:v>
                </c:pt>
                <c:pt idx="139">
                  <c:v>7.6242130180585423</c:v>
                </c:pt>
                <c:pt idx="140">
                  <c:v>7.6319362671495572</c:v>
                </c:pt>
                <c:pt idx="141">
                  <c:v>7.6396384889957973</c:v>
                </c:pt>
                <c:pt idx="142">
                  <c:v>7.6613133696342333</c:v>
                </c:pt>
                <c:pt idx="143">
                  <c:v>7.6687330587153282</c:v>
                </c:pt>
                <c:pt idx="144">
                  <c:v>7.6761487121322238</c:v>
                </c:pt>
                <c:pt idx="145">
                  <c:v>7.6835641221345803</c:v>
                </c:pt>
                <c:pt idx="146">
                  <c:v>7.7037741484503917</c:v>
                </c:pt>
                <c:pt idx="147">
                  <c:v>7.7109740718806519</c:v>
                </c:pt>
                <c:pt idx="148">
                  <c:v>7.7181902102623372</c:v>
                </c:pt>
                <c:pt idx="149">
                  <c:v>7.7254584598255018</c:v>
                </c:pt>
                <c:pt idx="150">
                  <c:v>7.744631163097635</c:v>
                </c:pt>
                <c:pt idx="151">
                  <c:v>7.7521112720769949</c:v>
                </c:pt>
                <c:pt idx="152">
                  <c:v>7.759831230218956</c:v>
                </c:pt>
                <c:pt idx="153">
                  <c:v>7.7787513226234806</c:v>
                </c:pt>
                <c:pt idx="154">
                  <c:v>7.7867959311996744</c:v>
                </c:pt>
                <c:pt idx="155">
                  <c:v>7.7951107578286463</c:v>
                </c:pt>
                <c:pt idx="156">
                  <c:v>7.8037043019160732</c:v>
                </c:pt>
                <c:pt idx="157">
                  <c:v>7.8226899378906731</c:v>
                </c:pt>
                <c:pt idx="158">
                  <c:v>7.8317119026827395</c:v>
                </c:pt>
                <c:pt idx="159">
                  <c:v>7.8410437000340325</c:v>
                </c:pt>
                <c:pt idx="160">
                  <c:v>7.8506941695773058</c:v>
                </c:pt>
                <c:pt idx="161">
                  <c:v>7.8700524118107174</c:v>
                </c:pt>
                <c:pt idx="162">
                  <c:v>7.8802370389692227</c:v>
                </c:pt>
                <c:pt idx="163">
                  <c:v>7.8907725181796682</c:v>
                </c:pt>
                <c:pt idx="164">
                  <c:v>7.9105550300634722</c:v>
                </c:pt>
                <c:pt idx="165">
                  <c:v>7.9217094640508394</c:v>
                </c:pt>
                <c:pt idx="166">
                  <c:v>7.9332479431015841</c:v>
                </c:pt>
                <c:pt idx="167">
                  <c:v>7.8460645888603597</c:v>
                </c:pt>
                <c:pt idx="168">
                  <c:v>7.6227515481821211</c:v>
                </c:pt>
                <c:pt idx="169">
                  <c:v>7.6347758894921762</c:v>
                </c:pt>
                <c:pt idx="170">
                  <c:v>7.6472014899375091</c:v>
                </c:pt>
                <c:pt idx="171">
                  <c:v>7.6677464180498127</c:v>
                </c:pt>
                <c:pt idx="172">
                  <c:v>7.6809395566762113</c:v>
                </c:pt>
                <c:pt idx="173">
                  <c:v>7.6945685586022288</c:v>
                </c:pt>
                <c:pt idx="174">
                  <c:v>7.7161151840821383</c:v>
                </c:pt>
                <c:pt idx="175">
                  <c:v>7.7306009023381135</c:v>
                </c:pt>
                <c:pt idx="176">
                  <c:v>7.7455587585454939</c:v>
                </c:pt>
                <c:pt idx="177">
                  <c:v>7.7609996871082227</c:v>
                </c:pt>
                <c:pt idx="178">
                  <c:v>7.7842140154860848</c:v>
                </c:pt>
                <c:pt idx="179">
                  <c:v>7.8006315324271291</c:v>
                </c:pt>
                <c:pt idx="180">
                  <c:v>7.8175694243800455</c:v>
                </c:pt>
                <c:pt idx="181">
                  <c:v>7.8422339378879871</c:v>
                </c:pt>
                <c:pt idx="182">
                  <c:v>7.8602327682732414</c:v>
                </c:pt>
                <c:pt idx="183">
                  <c:v>7.8787866635740489</c:v>
                </c:pt>
                <c:pt idx="184">
                  <c:v>7.8979066637722566</c:v>
                </c:pt>
                <c:pt idx="185">
                  <c:v>7.9247661315473366</c:v>
                </c:pt>
                <c:pt idx="186">
                  <c:v>7.9450573278868122</c:v>
                </c:pt>
                <c:pt idx="187">
                  <c:v>7.9659527228518341</c:v>
                </c:pt>
                <c:pt idx="188">
                  <c:v>7.994651733867399</c:v>
                </c:pt>
                <c:pt idx="189">
                  <c:v>8.0168099117987257</c:v>
                </c:pt>
                <c:pt idx="190">
                  <c:v>8.0396133340701237</c:v>
                </c:pt>
                <c:pt idx="191">
                  <c:v>8.0630752809336617</c:v>
                </c:pt>
                <c:pt idx="192">
                  <c:v>8.0945010483873858</c:v>
                </c:pt>
                <c:pt idx="193">
                  <c:v>8.1193550037885487</c:v>
                </c:pt>
                <c:pt idx="194">
                  <c:v>8.1449130307394046</c:v>
                </c:pt>
                <c:pt idx="195">
                  <c:v>8.1711899896758275</c:v>
                </c:pt>
                <c:pt idx="196">
                  <c:v>8.2056774747654853</c:v>
                </c:pt>
                <c:pt idx="197">
                  <c:v>8.2334891678670026</c:v>
                </c:pt>
                <c:pt idx="198">
                  <c:v>8.2620706191498083</c:v>
                </c:pt>
                <c:pt idx="199">
                  <c:v>8.2914385396633481</c:v>
                </c:pt>
                <c:pt idx="200">
                  <c:v>8.3293542575376467</c:v>
                </c:pt>
                <c:pt idx="201">
                  <c:v>8.3604155242250204</c:v>
                </c:pt>
                <c:pt idx="202">
                  <c:v>8.3923202875841891</c:v>
                </c:pt>
                <c:pt idx="203">
                  <c:v>8.4250874315052791</c:v>
                </c:pt>
                <c:pt idx="204">
                  <c:v>8.4668351864151266</c:v>
                </c:pt>
                <c:pt idx="205">
                  <c:v>8.501473004230558</c:v>
                </c:pt>
                <c:pt idx="206">
                  <c:v>8.5370375311769067</c:v>
                </c:pt>
                <c:pt idx="207">
                  <c:v>8.5735502103823542</c:v>
                </c:pt>
                <c:pt idx="208">
                  <c:v>8.611033177966199</c:v>
                </c:pt>
                <c:pt idx="209">
                  <c:v>8.6581606604230004</c:v>
                </c:pt>
                <c:pt idx="210">
                  <c:v>8.6976577362518022</c:v>
                </c:pt>
                <c:pt idx="211">
                  <c:v>8.7376567835936818</c:v>
                </c:pt>
                <c:pt idx="212">
                  <c:v>8.7780513851742814</c:v>
                </c:pt>
                <c:pt idx="213">
                  <c:v>8.8280509141800962</c:v>
                </c:pt>
                <c:pt idx="214">
                  <c:v>8.8693615545638949</c:v>
                </c:pt>
                <c:pt idx="215">
                  <c:v>8.9110667087649666</c:v>
                </c:pt>
                <c:pt idx="216">
                  <c:v>8.9531644077708172</c:v>
                </c:pt>
                <c:pt idx="217">
                  <c:v>8.9956524974158008</c:v>
                </c:pt>
                <c:pt idx="218">
                  <c:v>9.048539350738066</c:v>
                </c:pt>
                <c:pt idx="219">
                  <c:v>9.0919538702177256</c:v>
                </c:pt>
                <c:pt idx="220">
                  <c:v>9.1357552465400733</c:v>
                </c:pt>
                <c:pt idx="221">
                  <c:v>9.1799405543627781</c:v>
                </c:pt>
                <c:pt idx="222">
                  <c:v>9.2245066513442104</c:v>
                </c:pt>
                <c:pt idx="223">
                  <c:v>9.2694501716305595</c:v>
                </c:pt>
                <c:pt idx="224">
                  <c:v>9.3258944219328956</c:v>
                </c:pt>
                <c:pt idx="225">
                  <c:v>9.3717633257740403</c:v>
                </c:pt>
                <c:pt idx="226">
                  <c:v>9.4180024610344706</c:v>
                </c:pt>
                <c:pt idx="227">
                  <c:v>9.4646075314036757</c:v>
                </c:pt>
                <c:pt idx="228">
                  <c:v>9.5115739835537596</c:v>
                </c:pt>
                <c:pt idx="229">
                  <c:v>9.5588970005110525</c:v>
                </c:pt>
                <c:pt idx="230">
                  <c:v>9.6190148552597208</c:v>
                </c:pt>
                <c:pt idx="231">
                  <c:v>9.6672470792288969</c:v>
                </c:pt>
                <c:pt idx="232">
                  <c:v>9.7158242700580821</c:v>
                </c:pt>
                <c:pt idx="233">
                  <c:v>9.7647405146627673</c:v>
                </c:pt>
                <c:pt idx="234">
                  <c:v>9.8139896026932707</c:v>
                </c:pt>
                <c:pt idx="235">
                  <c:v>9.8635650201396761</c:v>
                </c:pt>
                <c:pt idx="236">
                  <c:v>9.9134599430658277</c:v>
                </c:pt>
                <c:pt idx="237">
                  <c:v>9.9636672314500387</c:v>
                </c:pt>
                <c:pt idx="238">
                  <c:v>10.028638834733041</c:v>
                </c:pt>
                <c:pt idx="239">
                  <c:v>10.07970033829967</c:v>
                </c:pt>
                <c:pt idx="240">
                  <c:v>10.131055515300277</c:v>
                </c:pt>
                <c:pt idx="241">
                  <c:v>10.182695916182281</c:v>
                </c:pt>
                <c:pt idx="242">
                  <c:v>10.234612739765932</c:v>
                </c:pt>
                <c:pt idx="243">
                  <c:v>10.286795113334538</c:v>
                </c:pt>
                <c:pt idx="244">
                  <c:v>10.339227605884476</c:v>
                </c:pt>
                <c:pt idx="245">
                  <c:v>10.391893720663891</c:v>
                </c:pt>
                <c:pt idx="246">
                  <c:v>10.44477650441944</c:v>
                </c:pt>
                <c:pt idx="247">
                  <c:v>10.514886570311957</c:v>
                </c:pt>
                <c:pt idx="248">
                  <c:v>10.568407635332546</c:v>
                </c:pt>
                <c:pt idx="249">
                  <c:v>10.622089580095247</c:v>
                </c:pt>
                <c:pt idx="250">
                  <c:v>10.675913528585905</c:v>
                </c:pt>
                <c:pt idx="251">
                  <c:v>10.729860136425959</c:v>
                </c:pt>
                <c:pt idx="252">
                  <c:v>10.78390959061797</c:v>
                </c:pt>
                <c:pt idx="253">
                  <c:v>10.838041610039813</c:v>
                </c:pt>
                <c:pt idx="254">
                  <c:v>10.892235446560507</c:v>
                </c:pt>
                <c:pt idx="255">
                  <c:v>10.946469886951087</c:v>
                </c:pt>
                <c:pt idx="256">
                  <c:v>11.000723255559372</c:v>
                </c:pt>
                <c:pt idx="257">
                  <c:v>11.054973417726835</c:v>
                </c:pt>
                <c:pt idx="258">
                  <c:v>11.109197784112737</c:v>
                </c:pt>
                <c:pt idx="259">
                  <c:v>11.163373315765496</c:v>
                </c:pt>
                <c:pt idx="260">
                  <c:v>11.217476530149002</c:v>
                </c:pt>
                <c:pt idx="261">
                  <c:v>11.292054914513072</c:v>
                </c:pt>
                <c:pt idx="262">
                  <c:v>11.346158908754905</c:v>
                </c:pt>
                <c:pt idx="263">
                  <c:v>11.400114269277161</c:v>
                </c:pt>
                <c:pt idx="264">
                  <c:v>11.453895731862559</c:v>
                </c:pt>
                <c:pt idx="265">
                  <c:v>11.507477631937945</c:v>
                </c:pt>
                <c:pt idx="266">
                  <c:v>11.560833916335948</c:v>
                </c:pt>
                <c:pt idx="267">
                  <c:v>11.613938156090404</c:v>
                </c:pt>
                <c:pt idx="268">
                  <c:v>11.666763560265956</c:v>
                </c:pt>
                <c:pt idx="269">
                  <c:v>11.719282990820499</c:v>
                </c:pt>
                <c:pt idx="270">
                  <c:v>11.771468978497268</c:v>
                </c:pt>
                <c:pt idx="271">
                  <c:v>11.823416413967397</c:v>
                </c:pt>
                <c:pt idx="272">
                  <c:v>11.875596459791252</c:v>
                </c:pt>
                <c:pt idx="273">
                  <c:v>11.92812510780019</c:v>
                </c:pt>
                <c:pt idx="274">
                  <c:v>11.9809970370816</c:v>
                </c:pt>
                <c:pt idx="275">
                  <c:v>12.0342067843051</c:v>
                </c:pt>
                <c:pt idx="276">
                  <c:v>12.087748740665589</c:v>
                </c:pt>
                <c:pt idx="277">
                  <c:v>12.141617148823752</c:v>
                </c:pt>
                <c:pt idx="278">
                  <c:v>12.195806099829872</c:v>
                </c:pt>
                <c:pt idx="279">
                  <c:v>12.250309530049599</c:v>
                </c:pt>
                <c:pt idx="280">
                  <c:v>12.305121218110594</c:v>
                </c:pt>
                <c:pt idx="281">
                  <c:v>12.360234781816221</c:v>
                </c:pt>
                <c:pt idx="282">
                  <c:v>12.415643675131726</c:v>
                </c:pt>
                <c:pt idx="283">
                  <c:v>12.471341185106048</c:v>
                </c:pt>
                <c:pt idx="284">
                  <c:v>12.52732042886136</c:v>
                </c:pt>
                <c:pt idx="285">
                  <c:v>12.583574350574642</c:v>
                </c:pt>
                <c:pt idx="286">
                  <c:v>12.640095718486492</c:v>
                </c:pt>
                <c:pt idx="287">
                  <c:v>12.696877121945407</c:v>
                </c:pt>
                <c:pt idx="288">
                  <c:v>12.728606030725876</c:v>
                </c:pt>
                <c:pt idx="289">
                  <c:v>12.785751911759396</c:v>
                </c:pt>
                <c:pt idx="290">
                  <c:v>12.843137724918263</c:v>
                </c:pt>
                <c:pt idx="291">
                  <c:v>12.900755351934905</c:v>
                </c:pt>
                <c:pt idx="292">
                  <c:v>12.958596481653808</c:v>
                </c:pt>
                <c:pt idx="293">
                  <c:v>13.016652607313917</c:v>
                </c:pt>
                <c:pt idx="294">
                  <c:v>13.074915023805419</c:v>
                </c:pt>
                <c:pt idx="295">
                  <c:v>13.133374825055082</c:v>
                </c:pt>
                <c:pt idx="296">
                  <c:v>13.19202290137968</c:v>
                </c:pt>
                <c:pt idx="297">
                  <c:v>13.250849937001608</c:v>
                </c:pt>
                <c:pt idx="298">
                  <c:v>13.309846407559345</c:v>
                </c:pt>
                <c:pt idx="299">
                  <c:v>13.369002577739739</c:v>
                </c:pt>
                <c:pt idx="300">
                  <c:v>13.428308498940099</c:v>
                </c:pt>
                <c:pt idx="301">
                  <c:v>13.487754007082966</c:v>
                </c:pt>
                <c:pt idx="302">
                  <c:v>13.547328720446854</c:v>
                </c:pt>
                <c:pt idx="303">
                  <c:v>13.580103216404803</c:v>
                </c:pt>
                <c:pt idx="304">
                  <c:v>13.639820465554495</c:v>
                </c:pt>
                <c:pt idx="305">
                  <c:v>13.699638255166022</c:v>
                </c:pt>
                <c:pt idx="306">
                  <c:v>13.759545355537345</c:v>
                </c:pt>
                <c:pt idx="307">
                  <c:v>13.819530310394732</c:v>
                </c:pt>
                <c:pt idx="308">
                  <c:v>13.879581435436778</c:v>
                </c:pt>
                <c:pt idx="309">
                  <c:v>13.939686816983162</c:v>
                </c:pt>
                <c:pt idx="310">
                  <c:v>13.972406096779087</c:v>
                </c:pt>
                <c:pt idx="311">
                  <c:v>14.005030882225689</c:v>
                </c:pt>
                <c:pt idx="312">
                  <c:v>14.037553060906042</c:v>
                </c:pt>
                <c:pt idx="313">
                  <c:v>14.069964387317972</c:v>
                </c:pt>
                <c:pt idx="314">
                  <c:v>14.102256483181414</c:v>
                </c:pt>
                <c:pt idx="315">
                  <c:v>14.134420837951819</c:v>
                </c:pt>
                <c:pt idx="316">
                  <c:v>14.166448809375199</c:v>
                </c:pt>
                <c:pt idx="317">
                  <c:v>14.198331624260945</c:v>
                </c:pt>
                <c:pt idx="318">
                  <c:v>14.230060379264714</c:v>
                </c:pt>
                <c:pt idx="319">
                  <c:v>14.261626041967661</c:v>
                </c:pt>
                <c:pt idx="320">
                  <c:v>14.293019451897443</c:v>
                </c:pt>
                <c:pt idx="321">
                  <c:v>14.324231321903286</c:v>
                </c:pt>
                <c:pt idx="322">
                  <c:v>14.355252239502628</c:v>
                </c:pt>
                <c:pt idx="323">
                  <c:v>14.386072668475157</c:v>
                </c:pt>
                <c:pt idx="324">
                  <c:v>14.416682950594604</c:v>
                </c:pt>
                <c:pt idx="325">
                  <c:v>14.447073307476449</c:v>
                </c:pt>
                <c:pt idx="326">
                  <c:v>14.477233842693465</c:v>
                </c:pt>
                <c:pt idx="327">
                  <c:v>14.507154543882312</c:v>
                </c:pt>
                <c:pt idx="328">
                  <c:v>14.536825285234041</c:v>
                </c:pt>
                <c:pt idx="329">
                  <c:v>14.566235829938128</c:v>
                </c:pt>
                <c:pt idx="330">
                  <c:v>14.595375833020057</c:v>
                </c:pt>
                <c:pt idx="331">
                  <c:v>14.624234844148248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C-4748-BB04-B1A5E7D3A25E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kvie'!$Q$3:$Q$335</c:f>
              <c:numCache>
                <c:formatCode>#,##0.0</c:formatCode>
                <c:ptCount val="333"/>
                <c:pt idx="0">
                  <c:v>5.7612231393924125</c:v>
                </c:pt>
                <c:pt idx="1">
                  <c:v>5.6594328072192646</c:v>
                </c:pt>
                <c:pt idx="2">
                  <c:v>5.6742001345708593</c:v>
                </c:pt>
                <c:pt idx="3">
                  <c:v>5.6891930499987469</c:v>
                </c:pt>
                <c:pt idx="4">
                  <c:v>5.5964445775608018</c:v>
                </c:pt>
                <c:pt idx="5">
                  <c:v>5.6138091088041904</c:v>
                </c:pt>
                <c:pt idx="6">
                  <c:v>5.5269430862816336</c:v>
                </c:pt>
                <c:pt idx="7">
                  <c:v>5.5463759431061552</c:v>
                </c:pt>
                <c:pt idx="8">
                  <c:v>5.5658671215284281</c:v>
                </c:pt>
                <c:pt idx="9">
                  <c:v>5.4860906939146847</c:v>
                </c:pt>
                <c:pt idx="10">
                  <c:v>5.5073476948563611</c:v>
                </c:pt>
                <c:pt idx="11">
                  <c:v>5.5286145533559026</c:v>
                </c:pt>
                <c:pt idx="12">
                  <c:v>5.455097894425065</c:v>
                </c:pt>
                <c:pt idx="13">
                  <c:v>5.4778988499571097</c:v>
                </c:pt>
                <c:pt idx="14">
                  <c:v>5.5006793344054845</c:v>
                </c:pt>
                <c:pt idx="15">
                  <c:v>5.432749247867358</c:v>
                </c:pt>
                <c:pt idx="16">
                  <c:v>5.4568860038822287</c:v>
                </c:pt>
                <c:pt idx="17">
                  <c:v>5.4809853907448458</c:v>
                </c:pt>
                <c:pt idx="18">
                  <c:v>5.5050552687418257</c:v>
                </c:pt>
                <c:pt idx="19">
                  <c:v>5.443411148196958</c:v>
                </c:pt>
                <c:pt idx="20">
                  <c:v>5.4686866190828614</c:v>
                </c:pt>
                <c:pt idx="21">
                  <c:v>5.4939270929312736</c:v>
                </c:pt>
                <c:pt idx="22">
                  <c:v>5.5191415983200649</c:v>
                </c:pt>
                <c:pt idx="23">
                  <c:v>5.4631185612417319</c:v>
                </c:pt>
                <c:pt idx="24">
                  <c:v>5.4894350034661947</c:v>
                </c:pt>
                <c:pt idx="25">
                  <c:v>5.5156895572831388</c:v>
                </c:pt>
                <c:pt idx="26">
                  <c:v>5.5417349749568299</c:v>
                </c:pt>
                <c:pt idx="27">
                  <c:v>5.5675363695668869</c:v>
                </c:pt>
                <c:pt idx="28">
                  <c:v>5.3105165693767367</c:v>
                </c:pt>
                <c:pt idx="29">
                  <c:v>5.3357286978790475</c:v>
                </c:pt>
                <c:pt idx="30">
                  <c:v>5.3607015603683932</c:v>
                </c:pt>
                <c:pt idx="31">
                  <c:v>5.3854376270451416</c:v>
                </c:pt>
                <c:pt idx="32">
                  <c:v>5.4099390480991358</c:v>
                </c:pt>
                <c:pt idx="33">
                  <c:v>5.434207669899946</c:v>
                </c:pt>
                <c:pt idx="34">
                  <c:v>5.458245049981592</c:v>
                </c:pt>
                <c:pt idx="35">
                  <c:v>5.4820524709220599</c:v>
                </c:pt>
                <c:pt idx="36">
                  <c:v>5.5056325936742994</c:v>
                </c:pt>
                <c:pt idx="37">
                  <c:v>5.4637017920418494</c:v>
                </c:pt>
                <c:pt idx="38">
                  <c:v>5.4877031812068493</c:v>
                </c:pt>
                <c:pt idx="39">
                  <c:v>5.5114884104272992</c:v>
                </c:pt>
                <c:pt idx="40">
                  <c:v>5.5350684041481504</c:v>
                </c:pt>
                <c:pt idx="41">
                  <c:v>5.55845357587995</c:v>
                </c:pt>
                <c:pt idx="42">
                  <c:v>5.5816538561611404</c:v>
                </c:pt>
                <c:pt idx="43">
                  <c:v>5.6046787186755997</c:v>
                </c:pt>
                <c:pt idx="44">
                  <c:v>5.6275372046513779</c:v>
                </c:pt>
                <c:pt idx="45">
                  <c:v>5.6502379456861753</c:v>
                </c:pt>
                <c:pt idx="46">
                  <c:v>5.6727891850980967</c:v>
                </c:pt>
                <c:pt idx="47">
                  <c:v>5.6951987979278567</c:v>
                </c:pt>
                <c:pt idx="48">
                  <c:v>5.6121746007361786</c:v>
                </c:pt>
                <c:pt idx="49">
                  <c:v>5.6338690796715687</c:v>
                </c:pt>
                <c:pt idx="50">
                  <c:v>5.6554470179989336</c:v>
                </c:pt>
                <c:pt idx="51">
                  <c:v>5.6769148523627146</c:v>
                </c:pt>
                <c:pt idx="52">
                  <c:v>5.6982787399548904</c:v>
                </c:pt>
                <c:pt idx="53">
                  <c:v>5.7195445719034792</c:v>
                </c:pt>
                <c:pt idx="54">
                  <c:v>5.7407179858659463</c:v>
                </c:pt>
                <c:pt idx="55">
                  <c:v>5.7618043778754027</c:v>
                </c:pt>
                <c:pt idx="56">
                  <c:v>5.7828089134934499</c:v>
                </c:pt>
                <c:pt idx="57">
                  <c:v>5.803736538314161</c:v>
                </c:pt>
                <c:pt idx="58">
                  <c:v>5.8245919878614636</c:v>
                </c:pt>
                <c:pt idx="59">
                  <c:v>5.8453797969204295</c:v>
                </c:pt>
                <c:pt idx="60">
                  <c:v>5.8661043083411233</c:v>
                </c:pt>
                <c:pt idx="61">
                  <c:v>5.886769681342007</c:v>
                </c:pt>
                <c:pt idx="62">
                  <c:v>5.9073798993555551</c:v>
                </c:pt>
                <c:pt idx="63">
                  <c:v>5.9279387774310885</c:v>
                </c:pt>
                <c:pt idx="64">
                  <c:v>5.9484499692395456</c:v>
                </c:pt>
                <c:pt idx="65">
                  <c:v>6.0156673876700504</c:v>
                </c:pt>
                <c:pt idx="66">
                  <c:v>6.035645448869781</c:v>
                </c:pt>
                <c:pt idx="67">
                  <c:v>6.0555946737397157</c:v>
                </c:pt>
                <c:pt idx="68">
                  <c:v>6.0755179122379985</c:v>
                </c:pt>
                <c:pt idx="69">
                  <c:v>6.0954178903653125</c:v>
                </c:pt>
                <c:pt idx="70">
                  <c:v>6.1152972148664277</c:v>
                </c:pt>
                <c:pt idx="71">
                  <c:v>6.1351583776788097</c:v>
                </c:pt>
                <c:pt idx="72">
                  <c:v>6.1550037601583103</c:v>
                </c:pt>
                <c:pt idx="73">
                  <c:v>6.1748356370724178</c:v>
                </c:pt>
                <c:pt idx="74">
                  <c:v>6.1946561804008224</c:v>
                </c:pt>
                <c:pt idx="75">
                  <c:v>6.2568916462162694</c:v>
                </c:pt>
                <c:pt idx="76">
                  <c:v>6.2763290683227435</c:v>
                </c:pt>
                <c:pt idx="77">
                  <c:v>6.2957679555300716</c:v>
                </c:pt>
                <c:pt idx="78">
                  <c:v>6.3152099471598282</c:v>
                </c:pt>
                <c:pt idx="79">
                  <c:v>6.3346566010649621</c:v>
                </c:pt>
                <c:pt idx="80">
                  <c:v>6.3541093962130413</c:v>
                </c:pt>
                <c:pt idx="81">
                  <c:v>6.3735697351348106</c:v>
                </c:pt>
                <c:pt idx="82">
                  <c:v>6.39303894625795</c:v>
                </c:pt>
                <c:pt idx="83">
                  <c:v>6.4520002672714778</c:v>
                </c:pt>
                <c:pt idx="84">
                  <c:v>6.4711776200028615</c:v>
                </c:pt>
                <c:pt idx="85">
                  <c:v>6.4903731327664556</c:v>
                </c:pt>
                <c:pt idx="86">
                  <c:v>6.5095962745210239</c:v>
                </c:pt>
                <c:pt idx="87">
                  <c:v>6.5288826288643236</c:v>
                </c:pt>
                <c:pt idx="88">
                  <c:v>6.5482431230973557</c:v>
                </c:pt>
                <c:pt idx="89">
                  <c:v>6.6051905719066495</c:v>
                </c:pt>
                <c:pt idx="90">
                  <c:v>6.6244296718971407</c:v>
                </c:pt>
                <c:pt idx="91">
                  <c:v>6.643755684661107</c:v>
                </c:pt>
                <c:pt idx="92">
                  <c:v>6.6631709370245344</c:v>
                </c:pt>
                <c:pt idx="93">
                  <c:v>6.6826777354066085</c:v>
                </c:pt>
                <c:pt idx="94">
                  <c:v>6.7022783670360297</c:v>
                </c:pt>
                <c:pt idx="95">
                  <c:v>6.7577387208159898</c:v>
                </c:pt>
                <c:pt idx="96">
                  <c:v>6.7772894788870346</c:v>
                </c:pt>
                <c:pt idx="97">
                  <c:v>6.723337365620468</c:v>
                </c:pt>
                <c:pt idx="98">
                  <c:v>6.7428856914683246</c:v>
                </c:pt>
                <c:pt idx="99">
                  <c:v>6.7625426976523135</c:v>
                </c:pt>
                <c:pt idx="100">
                  <c:v>6.7823104796658384</c:v>
                </c:pt>
                <c:pt idx="101">
                  <c:v>6.8360408347245327</c:v>
                </c:pt>
                <c:pt idx="102">
                  <c:v>6.8558240022168455</c:v>
                </c:pt>
                <c:pt idx="103">
                  <c:v>6.8757284500310769</c:v>
                </c:pt>
                <c:pt idx="104">
                  <c:v>6.8957561747144345</c:v>
                </c:pt>
                <c:pt idx="105">
                  <c:v>6.9159091684260439</c:v>
                </c:pt>
                <c:pt idx="106">
                  <c:v>6.9688850583772073</c:v>
                </c:pt>
                <c:pt idx="107">
                  <c:v>6.9891048205859931</c:v>
                </c:pt>
                <c:pt idx="108">
                  <c:v>7.0094597557119247</c:v>
                </c:pt>
                <c:pt idx="109">
                  <c:v>7.0299517881950262</c:v>
                </c:pt>
                <c:pt idx="110">
                  <c:v>7.0505828427167394</c:v>
                </c:pt>
                <c:pt idx="111">
                  <c:v>7.103018120441587</c:v>
                </c:pt>
                <c:pt idx="112">
                  <c:v>7.1237643596755031</c:v>
                </c:pt>
                <c:pt idx="113">
                  <c:v>7.1446590725933481</c:v>
                </c:pt>
                <c:pt idx="114">
                  <c:v>7.1657041415153957</c:v>
                </c:pt>
                <c:pt idx="115">
                  <c:v>7.1869014526794359</c:v>
                </c:pt>
                <c:pt idx="116">
                  <c:v>7.238997718497914</c:v>
                </c:pt>
                <c:pt idx="117">
                  <c:v>7.2603562937475656</c:v>
                </c:pt>
                <c:pt idx="118">
                  <c:v>7.2818762333465807</c:v>
                </c:pt>
                <c:pt idx="119">
                  <c:v>7.3035594019059786</c:v>
                </c:pt>
                <c:pt idx="120">
                  <c:v>7.3554748858579853</c:v>
                </c:pt>
                <c:pt idx="121">
                  <c:v>7.3773565528067966</c:v>
                </c:pt>
                <c:pt idx="122">
                  <c:v>7.399410357054073</c:v>
                </c:pt>
                <c:pt idx="123">
                  <c:v>7.4216381564878109</c:v>
                </c:pt>
                <c:pt idx="124">
                  <c:v>7.4440418179830825</c:v>
                </c:pt>
                <c:pt idx="125">
                  <c:v>7.4959630842030363</c:v>
                </c:pt>
                <c:pt idx="126">
                  <c:v>7.5186083122624972</c:v>
                </c:pt>
                <c:pt idx="127">
                  <c:v>7.5414381568527498</c:v>
                </c:pt>
                <c:pt idx="128">
                  <c:v>7.5644544926023141</c:v>
                </c:pt>
                <c:pt idx="129">
                  <c:v>7.5876592050407083</c:v>
                </c:pt>
                <c:pt idx="130">
                  <c:v>7.639764419644095</c:v>
                </c:pt>
                <c:pt idx="131">
                  <c:v>7.6091238783712809</c:v>
                </c:pt>
                <c:pt idx="132">
                  <c:v>7.632647111636353</c:v>
                </c:pt>
                <c:pt idx="133">
                  <c:v>7.6563680956705662</c:v>
                </c:pt>
                <c:pt idx="134">
                  <c:v>7.7083488381442429</c:v>
                </c:pt>
                <c:pt idx="135">
                  <c:v>7.7323861907330054</c:v>
                </c:pt>
                <c:pt idx="136">
                  <c:v>7.7566296888861368</c:v>
                </c:pt>
                <c:pt idx="137">
                  <c:v>7.781078274485461</c:v>
                </c:pt>
                <c:pt idx="138">
                  <c:v>7.8057287863990519</c:v>
                </c:pt>
                <c:pt idx="139">
                  <c:v>7.8581362327936333</c:v>
                </c:pt>
                <c:pt idx="140">
                  <c:v>7.8830881064295122</c:v>
                </c:pt>
                <c:pt idx="141">
                  <c:v>7.6702299602679203</c:v>
                </c:pt>
                <c:pt idx="142">
                  <c:v>7.6643492465845879</c:v>
                </c:pt>
                <c:pt idx="143">
                  <c:v>7.7151872017697087</c:v>
                </c:pt>
                <c:pt idx="144">
                  <c:v>7.7399428148770157</c:v>
                </c:pt>
                <c:pt idx="145">
                  <c:v>7.7648684958207204</c:v>
                </c:pt>
                <c:pt idx="146">
                  <c:v>7.7899612191814027</c:v>
                </c:pt>
                <c:pt idx="147">
                  <c:v>7.8408566393443477</c:v>
                </c:pt>
                <c:pt idx="148">
                  <c:v>7.8662726379059942</c:v>
                </c:pt>
                <c:pt idx="149">
                  <c:v>7.8919613502758565</c:v>
                </c:pt>
                <c:pt idx="150">
                  <c:v>7.9179235974865128</c:v>
                </c:pt>
                <c:pt idx="151">
                  <c:v>7.9691790169356747</c:v>
                </c:pt>
                <c:pt idx="152">
                  <c:v>7.9955641251331935</c:v>
                </c:pt>
                <c:pt idx="153">
                  <c:v>8.0222235046168837</c:v>
                </c:pt>
                <c:pt idx="154">
                  <c:v>8.0491582582116123</c:v>
                </c:pt>
                <c:pt idx="155">
                  <c:v>8.1007220059590086</c:v>
                </c:pt>
                <c:pt idx="156">
                  <c:v>8.1280718752220231</c:v>
                </c:pt>
                <c:pt idx="157">
                  <c:v>8.1556986012502204</c:v>
                </c:pt>
                <c:pt idx="158">
                  <c:v>8.1836035626525376</c:v>
                </c:pt>
                <c:pt idx="159">
                  <c:v>8.2354075754127436</c:v>
                </c:pt>
                <c:pt idx="160">
                  <c:v>8.2637214897240554</c:v>
                </c:pt>
                <c:pt idx="161">
                  <c:v>8.2923158373805848</c:v>
                </c:pt>
                <c:pt idx="162">
                  <c:v>8.3211922691918101</c:v>
                </c:pt>
                <c:pt idx="163">
                  <c:v>8.3731699177441907</c:v>
                </c:pt>
                <c:pt idx="164">
                  <c:v>8.4024505810426806</c:v>
                </c:pt>
                <c:pt idx="165">
                  <c:v>8.4320162168323769</c:v>
                </c:pt>
                <c:pt idx="166">
                  <c:v>8.4618687468511986</c:v>
                </c:pt>
                <c:pt idx="167">
                  <c:v>8.4920101688293617</c:v>
                </c:pt>
                <c:pt idx="168">
                  <c:v>8.5442076301682874</c:v>
                </c:pt>
                <c:pt idx="169">
                  <c:v>8.5747514346506684</c:v>
                </c:pt>
                <c:pt idx="170">
                  <c:v>8.6055878862849706</c:v>
                </c:pt>
                <c:pt idx="171">
                  <c:v>8.636719256469501</c:v>
                </c:pt>
                <c:pt idx="172">
                  <c:v>8.6681478951533855</c:v>
                </c:pt>
                <c:pt idx="173">
                  <c:v>8.7204828376556875</c:v>
                </c:pt>
                <c:pt idx="174">
                  <c:v>8.7523140841230003</c:v>
                </c:pt>
                <c:pt idx="175">
                  <c:v>8.7844472114555732</c:v>
                </c:pt>
                <c:pt idx="176">
                  <c:v>8.8168848497965353</c:v>
                </c:pt>
                <c:pt idx="177">
                  <c:v>8.8496297115381175</c:v>
                </c:pt>
                <c:pt idx="178">
                  <c:v>8.9020202870359793</c:v>
                </c:pt>
                <c:pt idx="179">
                  <c:v>8.9351699045771298</c:v>
                </c:pt>
                <c:pt idx="180">
                  <c:v>8.968632216750672</c:v>
                </c:pt>
                <c:pt idx="181">
                  <c:v>9.0024102266165738</c:v>
                </c:pt>
                <c:pt idx="182">
                  <c:v>9.0365070243880119</c:v>
                </c:pt>
                <c:pt idx="183">
                  <c:v>9.0888707507305426</c:v>
                </c:pt>
                <c:pt idx="184">
                  <c:v>9.1233762459659271</c:v>
                </c:pt>
                <c:pt idx="185">
                  <c:v>9.1582068724723449</c:v>
                </c:pt>
                <c:pt idx="186">
                  <c:v>9.1933660258470962</c:v>
                </c:pt>
                <c:pt idx="187">
                  <c:v>9.228857195092937</c:v>
                </c:pt>
                <c:pt idx="188">
                  <c:v>9.2646839643551147</c:v>
                </c:pt>
                <c:pt idx="189">
                  <c:v>9.3170152985178625</c:v>
                </c:pt>
                <c:pt idx="190">
                  <c:v>9.3532600487506254</c:v>
                </c:pt>
                <c:pt idx="191">
                  <c:v>9.3898478694666423</c:v>
                </c:pt>
                <c:pt idx="192">
                  <c:v>9.426782675565379</c:v>
                </c:pt>
                <c:pt idx="193">
                  <c:v>9.4640684852420787</c:v>
                </c:pt>
                <c:pt idx="194">
                  <c:v>9.5017094222115777</c:v>
                </c:pt>
                <c:pt idx="195">
                  <c:v>9.553904779301357</c:v>
                </c:pt>
                <c:pt idx="196">
                  <c:v>9.5919757209782457</c:v>
                </c:pt>
                <c:pt idx="197">
                  <c:v>9.6304104639111454</c:v>
                </c:pt>
                <c:pt idx="198">
                  <c:v>9.6692134961908209</c:v>
                </c:pt>
                <c:pt idx="199">
                  <c:v>9.7083894218127611</c:v>
                </c:pt>
                <c:pt idx="200">
                  <c:v>9.7479429634811279</c:v>
                </c:pt>
                <c:pt idx="201">
                  <c:v>9.7878789654926823</c:v>
                </c:pt>
                <c:pt idx="202">
                  <c:v>9.8398918873335717</c:v>
                </c:pt>
                <c:pt idx="203">
                  <c:v>9.8802778332290018</c:v>
                </c:pt>
                <c:pt idx="204">
                  <c:v>9.9210597631234858</c:v>
                </c:pt>
                <c:pt idx="205">
                  <c:v>9.9622529117542022</c:v>
                </c:pt>
                <c:pt idx="206">
                  <c:v>10.003873613348025</c:v>
                </c:pt>
                <c:pt idx="207">
                  <c:v>10.045938485221397</c:v>
                </c:pt>
                <c:pt idx="208">
                  <c:v>10.088400625713078</c:v>
                </c:pt>
                <c:pt idx="209">
                  <c:v>10.131016630378998</c:v>
                </c:pt>
                <c:pt idx="210">
                  <c:v>10.173726344489758</c:v>
                </c:pt>
                <c:pt idx="211">
                  <c:v>10.216532387939429</c:v>
                </c:pt>
                <c:pt idx="212">
                  <c:v>10.267693867887692</c:v>
                </c:pt>
                <c:pt idx="213">
                  <c:v>10.310423376366776</c:v>
                </c:pt>
                <c:pt idx="214">
                  <c:v>10.35326217278187</c:v>
                </c:pt>
                <c:pt idx="215">
                  <c:v>10.396212623853327</c:v>
                </c:pt>
                <c:pt idx="216">
                  <c:v>10.439277021663155</c:v>
                </c:pt>
                <c:pt idx="217">
                  <c:v>10.482457582480377</c:v>
                </c:pt>
                <c:pt idx="218">
                  <c:v>10.525756445522962</c:v>
                </c:pt>
                <c:pt idx="219">
                  <c:v>10.569175671691609</c:v>
                </c:pt>
                <c:pt idx="220">
                  <c:v>10.612717242173249</c:v>
                </c:pt>
                <c:pt idx="221">
                  <c:v>10.656383057046336</c:v>
                </c:pt>
                <c:pt idx="222">
                  <c:v>10.700174933772264</c:v>
                </c:pt>
                <c:pt idx="223">
                  <c:v>10.744094605640779</c:v>
                </c:pt>
                <c:pt idx="224">
                  <c:v>10.788143720153263</c:v>
                </c:pt>
                <c:pt idx="225">
                  <c:v>10.832323837320944</c:v>
                </c:pt>
                <c:pt idx="226">
                  <c:v>10.881327287066718</c:v>
                </c:pt>
                <c:pt idx="227">
                  <c:v>10.925585838803237</c:v>
                </c:pt>
                <c:pt idx="228">
                  <c:v>10.96998586124201</c:v>
                </c:pt>
                <c:pt idx="229">
                  <c:v>11.014528612388338</c:v>
                </c:pt>
                <c:pt idx="230">
                  <c:v>11.059215254913573</c:v>
                </c:pt>
                <c:pt idx="231">
                  <c:v>11.104046854044174</c:v>
                </c:pt>
                <c:pt idx="232">
                  <c:v>11.14902437543009</c:v>
                </c:pt>
                <c:pt idx="233">
                  <c:v>11.194148682908562</c:v>
                </c:pt>
                <c:pt idx="234">
                  <c:v>11.239420536240971</c:v>
                </c:pt>
                <c:pt idx="235">
                  <c:v>11.284840588765345</c:v>
                </c:pt>
                <c:pt idx="236">
                  <c:v>11.330409385004979</c:v>
                </c:pt>
                <c:pt idx="237">
                  <c:v>11.376127358220449</c:v>
                </c:pt>
                <c:pt idx="238">
                  <c:v>11.421994827885566</c:v>
                </c:pt>
                <c:pt idx="239">
                  <c:v>11.468011997127764</c:v>
                </c:pt>
                <c:pt idx="240">
                  <c:v>11.514178950110953</c:v>
                </c:pt>
                <c:pt idx="241">
                  <c:v>11.560495649373529</c:v>
                </c:pt>
                <c:pt idx="242">
                  <c:v>11.606961933070078</c:v>
                </c:pt>
                <c:pt idx="243">
                  <c:v>11.653577512262551</c:v>
                </c:pt>
                <c:pt idx="244">
                  <c:v>11.700341968054966</c:v>
                </c:pt>
                <c:pt idx="245">
                  <c:v>11.74725474877591</c:v>
                </c:pt>
                <c:pt idx="246">
                  <c:v>11.794315167040756</c:v>
                </c:pt>
                <c:pt idx="247">
                  <c:v>11.841522396878149</c:v>
                </c:pt>
                <c:pt idx="248">
                  <c:v>11.88674344757441</c:v>
                </c:pt>
                <c:pt idx="249">
                  <c:v>11.934272421984895</c:v>
                </c:pt>
                <c:pt idx="250">
                  <c:v>11.981936771462996</c:v>
                </c:pt>
                <c:pt idx="251">
                  <c:v>12.029734992978831</c:v>
                </c:pt>
                <c:pt idx="252">
                  <c:v>12.077665429106917</c:v>
                </c:pt>
                <c:pt idx="253">
                  <c:v>12.125726265006934</c:v>
                </c:pt>
                <c:pt idx="254">
                  <c:v>12.173915525410589</c:v>
                </c:pt>
                <c:pt idx="255">
                  <c:v>12.22223107157917</c:v>
                </c:pt>
                <c:pt idx="256">
                  <c:v>12.270670598271913</c:v>
                </c:pt>
                <c:pt idx="257">
                  <c:v>12.31923163073548</c:v>
                </c:pt>
                <c:pt idx="258">
                  <c:v>12.367911521679009</c:v>
                </c:pt>
                <c:pt idx="259">
                  <c:v>12.416707448289838</c:v>
                </c:pt>
                <c:pt idx="260">
                  <c:v>12.465616409258825</c:v>
                </c:pt>
                <c:pt idx="261">
                  <c:v>12.514635221840322</c:v>
                </c:pt>
                <c:pt idx="262">
                  <c:v>12.561366350582823</c:v>
                </c:pt>
                <c:pt idx="263">
                  <c:v>12.610512852305087</c:v>
                </c:pt>
                <c:pt idx="264">
                  <c:v>12.659749178502013</c:v>
                </c:pt>
                <c:pt idx="265">
                  <c:v>12.709071297233711</c:v>
                </c:pt>
                <c:pt idx="266">
                  <c:v>12.758474981579081</c:v>
                </c:pt>
                <c:pt idx="267">
                  <c:v>12.807955807155764</c:v>
                </c:pt>
                <c:pt idx="268">
                  <c:v>12.85750914967546</c:v>
                </c:pt>
                <c:pt idx="269">
                  <c:v>12.907191527766749</c:v>
                </c:pt>
                <c:pt idx="270">
                  <c:v>12.957247759238665</c:v>
                </c:pt>
                <c:pt idx="271">
                  <c:v>13.004417758585079</c:v>
                </c:pt>
                <c:pt idx="272">
                  <c:v>13.055203424675902</c:v>
                </c:pt>
                <c:pt idx="273">
                  <c:v>13.10643383890328</c:v>
                </c:pt>
                <c:pt idx="274">
                  <c:v>13.158115709504317</c:v>
                </c:pt>
                <c:pt idx="275">
                  <c:v>13.21025571622623</c:v>
                </c:pt>
                <c:pt idx="276">
                  <c:v>13.262860506856592</c:v>
                </c:pt>
                <c:pt idx="277">
                  <c:v>13.315936693749242</c:v>
                </c:pt>
                <c:pt idx="278">
                  <c:v>13.36503042416995</c:v>
                </c:pt>
                <c:pt idx="279">
                  <c:v>13.418844936106099</c:v>
                </c:pt>
                <c:pt idx="280">
                  <c:v>13.473136341810241</c:v>
                </c:pt>
                <c:pt idx="281">
                  <c:v>13.527899273347915</c:v>
                </c:pt>
                <c:pt idx="282">
                  <c:v>13.583126687406018</c:v>
                </c:pt>
                <c:pt idx="283">
                  <c:v>13.638811284130155</c:v>
                </c:pt>
                <c:pt idx="284">
                  <c:v>13.689374876687713</c:v>
                </c:pt>
                <c:pt idx="285">
                  <c:v>13.74573840988548</c:v>
                </c:pt>
                <c:pt idx="286">
                  <c:v>13.802537890622169</c:v>
                </c:pt>
                <c:pt idx="287">
                  <c:v>13.859764963597806</c:v>
                </c:pt>
                <c:pt idx="288">
                  <c:v>13.917410984680572</c:v>
                </c:pt>
                <c:pt idx="289">
                  <c:v>13.969036509248467</c:v>
                </c:pt>
                <c:pt idx="290">
                  <c:v>14.027289392176142</c:v>
                </c:pt>
                <c:pt idx="291">
                  <c:v>14.085935926228938</c:v>
                </c:pt>
                <c:pt idx="292">
                  <c:v>14.144966286025785</c:v>
                </c:pt>
                <c:pt idx="293">
                  <c:v>14.20437032502825</c:v>
                </c:pt>
                <c:pt idx="294">
                  <c:v>14.256879448589626</c:v>
                </c:pt>
                <c:pt idx="295">
                  <c:v>14.316804476186215</c:v>
                </c:pt>
                <c:pt idx="296">
                  <c:v>14.377073368516744</c:v>
                </c:pt>
                <c:pt idx="297">
                  <c:v>14.437674673399604</c:v>
                </c:pt>
                <c:pt idx="298">
                  <c:v>14.498596586036312</c:v>
                </c:pt>
                <c:pt idx="299">
                  <c:v>14.551776834655824</c:v>
                </c:pt>
                <c:pt idx="300">
                  <c:v>14.61311862165951</c:v>
                </c:pt>
                <c:pt idx="301">
                  <c:v>14.674746242064877</c:v>
                </c:pt>
                <c:pt idx="302">
                  <c:v>14.736646466984007</c:v>
                </c:pt>
                <c:pt idx="303">
                  <c:v>14.790179400759841</c:v>
                </c:pt>
                <c:pt idx="304">
                  <c:v>14.852407181237533</c:v>
                </c:pt>
                <c:pt idx="305">
                  <c:v>14.914868549881366</c:v>
                </c:pt>
                <c:pt idx="306">
                  <c:v>14.977548767442729</c:v>
                </c:pt>
                <c:pt idx="307">
                  <c:v>15.031253314120944</c:v>
                </c:pt>
                <c:pt idx="308">
                  <c:v>15.094157595208509</c:v>
                </c:pt>
                <c:pt idx="309">
                  <c:v>15.157237233282556</c:v>
                </c:pt>
                <c:pt idx="310">
                  <c:v>15.210930389095198</c:v>
                </c:pt>
                <c:pt idx="311">
                  <c:v>15.274149502390326</c:v>
                </c:pt>
                <c:pt idx="312">
                  <c:v>15.337497025491794</c:v>
                </c:pt>
                <c:pt idx="313">
                  <c:v>15.400955416660983</c:v>
                </c:pt>
                <c:pt idx="314">
                  <c:v>15.454450781742521</c:v>
                </c:pt>
                <c:pt idx="315">
                  <c:v>15.517924426612018</c:v>
                </c:pt>
                <c:pt idx="316">
                  <c:v>15.581457206507258</c:v>
                </c:pt>
                <c:pt idx="317">
                  <c:v>15.645029899893192</c:v>
                </c:pt>
                <c:pt idx="318">
                  <c:v>15.698085417712907</c:v>
                </c:pt>
                <c:pt idx="319">
                  <c:v>15.761536767166911</c:v>
                </c:pt>
                <c:pt idx="320">
                  <c:v>15.824971409741478</c:v>
                </c:pt>
                <c:pt idx="321">
                  <c:v>15.877515260806341</c:v>
                </c:pt>
                <c:pt idx="322">
                  <c:v>15.940718779600306</c:v>
                </c:pt>
                <c:pt idx="323">
                  <c:v>16.003845319184943</c:v>
                </c:pt>
                <c:pt idx="324">
                  <c:v>16.05571834368715</c:v>
                </c:pt>
                <c:pt idx="325">
                  <c:v>16.11849705330145</c:v>
                </c:pt>
                <c:pt idx="326">
                  <c:v>16.181134881160137</c:v>
                </c:pt>
                <c:pt idx="327">
                  <c:v>16.232168326714177</c:v>
                </c:pt>
                <c:pt idx="328">
                  <c:v>16.294334784080984</c:v>
                </c:pt>
                <c:pt idx="329">
                  <c:v>16.356292889287225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C-4748-BB04-B1A5E7D3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636240"/>
        <c:axId val="726643632"/>
      </c:lineChart>
      <c:catAx>
        <c:axId val="731636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3632"/>
        <c:crosses val="autoZero"/>
        <c:auto val="1"/>
        <c:lblAlgn val="ctr"/>
        <c:lblOffset val="100"/>
        <c:noMultiLvlLbl val="0"/>
      </c:catAx>
      <c:valAx>
        <c:axId val="7266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316362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0" i="0" u="none" strike="noStrike" baseline="0">
                <a:effectLst/>
              </a:rPr>
              <a:t>Dækningsbidrag minus arbejdsomkostninger, </a:t>
            </a:r>
            <a:r>
              <a:rPr lang="da-DK" sz="2000"/>
              <a:t>Kr. pr. foderdag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104474352645535E-2"/>
          <c:y val="0.23444951659523569"/>
          <c:w val="0.91156218615478979"/>
          <c:h val="0.61742370878318054"/>
        </c:manualLayout>
      </c:layout>
      <c:lineChart>
        <c:grouping val="standard"/>
        <c:varyColors val="0"/>
        <c:ser>
          <c:idx val="3"/>
          <c:order val="0"/>
          <c:tx>
            <c:v>Holstein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hol'!$AO$184:$AO$327</c:f>
              <c:numCache>
                <c:formatCode>#,##0.00</c:formatCode>
                <c:ptCount val="144"/>
                <c:pt idx="0">
                  <c:v>-0.108758130064201</c:v>
                </c:pt>
                <c:pt idx="1">
                  <c:v>-9.5326001833029597E-2</c:v>
                </c:pt>
                <c:pt idx="2">
                  <c:v>-8.2264137783611718E-2</c:v>
                </c:pt>
                <c:pt idx="3">
                  <c:v>-6.9572843842566831E-2</c:v>
                </c:pt>
                <c:pt idx="4">
                  <c:v>-5.7252460172466976E-2</c:v>
                </c:pt>
                <c:pt idx="5">
                  <c:v>-4.5303359896318424E-2</c:v>
                </c:pt>
                <c:pt idx="6">
                  <c:v>-3.3804549818025491E-2</c:v>
                </c:pt>
                <c:pt idx="7">
                  <c:v>-2.2676934275869934E-2</c:v>
                </c:pt>
                <c:pt idx="8">
                  <c:v>-1.1921013189906734E-2</c:v>
                </c:pt>
                <c:pt idx="9">
                  <c:v>-1.5373139219857111E-3</c:v>
                </c:pt>
                <c:pt idx="10">
                  <c:v>8.4736098249946021E-3</c:v>
                </c:pt>
                <c:pt idx="11">
                  <c:v>1.8034881235297933E-2</c:v>
                </c:pt>
                <c:pt idx="12">
                  <c:v>2.722295542119102E-2</c:v>
                </c:pt>
                <c:pt idx="13">
                  <c:v>3.6037174246443399E-2</c:v>
                </c:pt>
                <c:pt idx="14">
                  <c:v>4.4476858018541503E-2</c:v>
                </c:pt>
                <c:pt idx="15">
                  <c:v>5.2541306443990132E-2</c:v>
                </c:pt>
                <c:pt idx="16">
                  <c:v>6.0229799560655224E-2</c:v>
                </c:pt>
                <c:pt idx="17">
                  <c:v>6.7467010526600577E-2</c:v>
                </c:pt>
                <c:pt idx="18">
                  <c:v>7.432735461154906E-2</c:v>
                </c:pt>
                <c:pt idx="19">
                  <c:v>8.0810030062800672E-2</c:v>
                </c:pt>
                <c:pt idx="20">
                  <c:v>8.6914219529851316E-2</c:v>
                </c:pt>
                <c:pt idx="21">
                  <c:v>9.2639090877910404E-2</c:v>
                </c:pt>
                <c:pt idx="22">
                  <c:v>9.798379798282808E-2</c:v>
                </c:pt>
                <c:pt idx="23">
                  <c:v>0.1028735687267226</c:v>
                </c:pt>
                <c:pt idx="24">
                  <c:v>0.1096841116068281</c:v>
                </c:pt>
                <c:pt idx="25">
                  <c:v>0.11683948076444767</c:v>
                </c:pt>
                <c:pt idx="26">
                  <c:v>0.12358772249254744</c:v>
                </c:pt>
                <c:pt idx="27">
                  <c:v>0.1299324548549933</c:v>
                </c:pt>
                <c:pt idx="28">
                  <c:v>0.13580313668030083</c:v>
                </c:pt>
                <c:pt idx="29">
                  <c:v>0.14127779773894411</c:v>
                </c:pt>
                <c:pt idx="30">
                  <c:v>0.14635997873380358</c:v>
                </c:pt>
                <c:pt idx="31">
                  <c:v>0.15105320377278439</c:v>
                </c:pt>
                <c:pt idx="32">
                  <c:v>0.15536098090241496</c:v>
                </c:pt>
                <c:pt idx="33">
                  <c:v>0.15928680261965084</c:v>
                </c:pt>
                <c:pt idx="34">
                  <c:v>0.16275898766429076</c:v>
                </c:pt>
                <c:pt idx="35">
                  <c:v>0.16585634059328075</c:v>
                </c:pt>
                <c:pt idx="36">
                  <c:v>0.16858228967206768</c:v>
                </c:pt>
                <c:pt idx="37">
                  <c:v>0.17094024983591313</c:v>
                </c:pt>
                <c:pt idx="38">
                  <c:v>0.17293362309606977</c:v>
                </c:pt>
                <c:pt idx="39">
                  <c:v>0.17456579892870525</c:v>
                </c:pt>
                <c:pt idx="40">
                  <c:v>4.4646322223293362</c:v>
                </c:pt>
                <c:pt idx="41">
                  <c:v>4.4998210926139013</c:v>
                </c:pt>
                <c:pt idx="42">
                  <c:v>4.5346937662999176</c:v>
                </c:pt>
                <c:pt idx="43">
                  <c:v>4.569252248562055</c:v>
                </c:pt>
                <c:pt idx="44">
                  <c:v>4.6034985579788756</c:v>
                </c:pt>
                <c:pt idx="45">
                  <c:v>4.6374347272547425</c:v>
                </c:pt>
                <c:pt idx="46">
                  <c:v>4.6710628039225437</c:v>
                </c:pt>
                <c:pt idx="47">
                  <c:v>4.7043848510275925</c:v>
                </c:pt>
                <c:pt idx="48">
                  <c:v>4.7374029477931545</c:v>
                </c:pt>
                <c:pt idx="49">
                  <c:v>4.7700384709726551</c:v>
                </c:pt>
                <c:pt idx="50">
                  <c:v>4.8023741860561477</c:v>
                </c:pt>
                <c:pt idx="51">
                  <c:v>4.834412208708013</c:v>
                </c:pt>
                <c:pt idx="52">
                  <c:v>4.8661546735301284</c:v>
                </c:pt>
                <c:pt idx="53">
                  <c:v>4.8976037346366885</c:v>
                </c:pt>
                <c:pt idx="54">
                  <c:v>4.9287615662131641</c:v>
                </c:pt>
                <c:pt idx="55">
                  <c:v>4.9596303630602678</c:v>
                </c:pt>
                <c:pt idx="56">
                  <c:v>4.9902123411228869</c:v>
                </c:pt>
                <c:pt idx="57">
                  <c:v>5.0205097380047539</c:v>
                </c:pt>
                <c:pt idx="58">
                  <c:v>5.0505248134689289</c:v>
                </c:pt>
                <c:pt idx="59">
                  <c:v>5.080259849924686</c:v>
                </c:pt>
                <c:pt idx="60">
                  <c:v>5.109630257060811</c:v>
                </c:pt>
                <c:pt idx="61">
                  <c:v>5.1387250533713784</c:v>
                </c:pt>
                <c:pt idx="62">
                  <c:v>5.1675465785122618</c:v>
                </c:pt>
                <c:pt idx="63">
                  <c:v>5.1960971968231222</c:v>
                </c:pt>
                <c:pt idx="64">
                  <c:v>5.2243792977465979</c:v>
                </c:pt>
                <c:pt idx="65">
                  <c:v>5.2523952962359051</c:v>
                </c:pt>
                <c:pt idx="66">
                  <c:v>5.2801476331514463</c:v>
                </c:pt>
                <c:pt idx="67">
                  <c:v>5.3076387756462751</c:v>
                </c:pt>
                <c:pt idx="68">
                  <c:v>5.3301297523247317</c:v>
                </c:pt>
                <c:pt idx="69">
                  <c:v>5.333407230625383</c:v>
                </c:pt>
                <c:pt idx="70">
                  <c:v>5.3366740525596565</c:v>
                </c:pt>
                <c:pt idx="71">
                  <c:v>5.3395882916360939</c:v>
                </c:pt>
                <c:pt idx="72">
                  <c:v>5.3421538294338013</c:v>
                </c:pt>
                <c:pt idx="73">
                  <c:v>5.344374592250591</c:v>
                </c:pt>
                <c:pt idx="74">
                  <c:v>5.3462545503820911</c:v>
                </c:pt>
                <c:pt idx="75">
                  <c:v>5.3477977174111775</c:v>
                </c:pt>
                <c:pt idx="76">
                  <c:v>5.3490081495073714</c:v>
                </c:pt>
                <c:pt idx="77">
                  <c:v>5.349889944736538</c:v>
                </c:pt>
                <c:pt idx="78">
                  <c:v>5.3504472423803389</c:v>
                </c:pt>
                <c:pt idx="79">
                  <c:v>5.3506842222656665</c:v>
                </c:pt>
                <c:pt idx="80">
                  <c:v>5.3506051041041447</c:v>
                </c:pt>
                <c:pt idx="81">
                  <c:v>5.3502141468410844</c:v>
                </c:pt>
                <c:pt idx="82">
                  <c:v>5.3495156480144921</c:v>
                </c:pt>
                <c:pt idx="83">
                  <c:v>5.3485139431235504</c:v>
                </c:pt>
                <c:pt idx="84">
                  <c:v>5.347213405006948</c:v>
                </c:pt>
                <c:pt idx="85">
                  <c:v>5.3437567647721655</c:v>
                </c:pt>
                <c:pt idx="86">
                  <c:v>5.3336901383824342</c:v>
                </c:pt>
                <c:pt idx="87">
                  <c:v>5.3233700706370444</c:v>
                </c:pt>
                <c:pt idx="88">
                  <c:v>5.3127981998135043</c:v>
                </c:pt>
                <c:pt idx="89">
                  <c:v>5.3019761923973689</c:v>
                </c:pt>
                <c:pt idx="90">
                  <c:v>5.2909057427329014</c:v>
                </c:pt>
                <c:pt idx="91">
                  <c:v>5.2795885726799971</c:v>
                </c:pt>
                <c:pt idx="92">
                  <c:v>5.2680264312783152</c:v>
                </c:pt>
                <c:pt idx="93">
                  <c:v>5.2562210944171239</c:v>
                </c:pt>
                <c:pt idx="94">
                  <c:v>5.2441743645119461</c:v>
                </c:pt>
                <c:pt idx="95">
                  <c:v>5.2318880701868347</c:v>
                </c:pt>
                <c:pt idx="96">
                  <c:v>5.2193640659627771</c:v>
                </c:pt>
                <c:pt idx="97">
                  <c:v>5.2066042319518839</c:v>
                </c:pt>
                <c:pt idx="98">
                  <c:v>5.1936104735570545</c:v>
                </c:pt>
                <c:pt idx="99">
                  <c:v>5.1803847211770959</c:v>
                </c:pt>
                <c:pt idx="100">
                  <c:v>5.1669289299173276</c:v>
                </c:pt>
                <c:pt idx="101">
                  <c:v>5.1532450793052353</c:v>
                </c:pt>
                <c:pt idx="102">
                  <c:v>5.1393351730112276</c:v>
                </c:pt>
                <c:pt idx="103">
                  <c:v>5.1252012385743653</c:v>
                </c:pt>
                <c:pt idx="104">
                  <c:v>5.1109505533233488</c:v>
                </c:pt>
                <c:pt idx="105">
                  <c:v>5.0964796776369949</c:v>
                </c:pt>
                <c:pt idx="106">
                  <c:v>5.081790698611468</c:v>
                </c:pt>
                <c:pt idx="107">
                  <c:v>5.0668857263059452</c:v>
                </c:pt>
                <c:pt idx="108">
                  <c:v>5.0517668934887405</c:v>
                </c:pt>
                <c:pt idx="109">
                  <c:v>5.0364363553877771</c:v>
                </c:pt>
                <c:pt idx="110">
                  <c:v>5.0208962894452407</c:v>
                </c:pt>
                <c:pt idx="111">
                  <c:v>5.0051488950763137</c:v>
                </c:pt>
                <c:pt idx="112">
                  <c:v>4.9891963934318282</c:v>
                </c:pt>
                <c:pt idx="113">
                  <c:v>4.9730410271651806</c:v>
                </c:pt>
                <c:pt idx="114">
                  <c:v>4.9567901469036251</c:v>
                </c:pt>
                <c:pt idx="115">
                  <c:v>4.9403405562719032</c:v>
                </c:pt>
                <c:pt idx="116">
                  <c:v>4.9236945520433517</c:v>
                </c:pt>
                <c:pt idx="117">
                  <c:v>4.9068544517185639</c:v>
                </c:pt>
                <c:pt idx="118">
                  <c:v>4.8898225933084127</c:v>
                </c:pt>
                <c:pt idx="119">
                  <c:v>4.8726013351204518</c:v>
                </c:pt>
                <c:pt idx="120">
                  <c:v>4.855193055548682</c:v>
                </c:pt>
                <c:pt idx="121">
                  <c:v>4.8376001528666377</c:v>
                </c:pt>
                <c:pt idx="122">
                  <c:v>4.8199292393069051</c:v>
                </c:pt>
                <c:pt idx="123">
                  <c:v>4.8020780906677318</c:v>
                </c:pt>
                <c:pt idx="124">
                  <c:v>4.7840491555754294</c:v>
                </c:pt>
                <c:pt idx="125">
                  <c:v>4.7658449018450479</c:v>
                </c:pt>
                <c:pt idx="126">
                  <c:v>4.7474678162875659</c:v>
                </c:pt>
                <c:pt idx="127">
                  <c:v>4.7289204045193625</c:v>
                </c:pt>
                <c:pt idx="128">
                  <c:v>4.7102051907753566</c:v>
                </c:pt>
                <c:pt idx="129">
                  <c:v>4.6914276503707519</c:v>
                </c:pt>
                <c:pt idx="130">
                  <c:v>4.6724868883195558</c:v>
                </c:pt>
                <c:pt idx="131">
                  <c:v>4.6533854762559503</c:v>
                </c:pt>
                <c:pt idx="132">
                  <c:v>4.6341260038049121</c:v>
                </c:pt>
                <c:pt idx="133">
                  <c:v>4.6147110784068746</c:v>
                </c:pt>
                <c:pt idx="134">
                  <c:v>4.5951433251453855</c:v>
                </c:pt>
                <c:pt idx="135">
                  <c:v>4.5755269208316696</c:v>
                </c:pt>
                <c:pt idx="136">
                  <c:v>4.5557624255768117</c:v>
                </c:pt>
                <c:pt idx="137">
                  <c:v>4.5358525095588229</c:v>
                </c:pt>
                <c:pt idx="138">
                  <c:v>4.5157998600186566</c:v>
                </c:pt>
                <c:pt idx="139">
                  <c:v>4.4956071810987899</c:v>
                </c:pt>
                <c:pt idx="140">
                  <c:v>4.4752771936838291</c:v>
                </c:pt>
                <c:pt idx="141">
                  <c:v>4.4549125232557829</c:v>
                </c:pt>
                <c:pt idx="142">
                  <c:v>4.4344154310652524</c:v>
                </c:pt>
                <c:pt idx="143">
                  <c:v>4.4137886809536342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1-4F81-BA4E-847E02C34DD4}"/>
            </c:ext>
          </c:extLst>
        </c:ser>
        <c:ser>
          <c:idx val="0"/>
          <c:order val="1"/>
          <c:tx>
            <c:v>Krydsningstyr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kry tyr'!$AO$184:$AO$327</c:f>
              <c:numCache>
                <c:formatCode>#,##0.000</c:formatCode>
                <c:ptCount val="144"/>
                <c:pt idx="0">
                  <c:v>1.0790794088589499</c:v>
                </c:pt>
                <c:pt idx="1">
                  <c:v>1.1161932941427322</c:v>
                </c:pt>
                <c:pt idx="2">
                  <c:v>1.1525780640640979</c:v>
                </c:pt>
                <c:pt idx="3">
                  <c:v>1.1882359061822088</c:v>
                </c:pt>
                <c:pt idx="4">
                  <c:v>1.2230895087176856</c:v>
                </c:pt>
                <c:pt idx="5">
                  <c:v>1.2572211256224894</c:v>
                </c:pt>
                <c:pt idx="6">
                  <c:v>1.2906325468855759</c:v>
                </c:pt>
                <c:pt idx="7">
                  <c:v>1.3232474659802005</c:v>
                </c:pt>
                <c:pt idx="8">
                  <c:v>1.3551462243301289</c:v>
                </c:pt>
                <c:pt idx="9">
                  <c:v>1.3863302529117678</c:v>
                </c:pt>
                <c:pt idx="10">
                  <c:v>1.4168008845925684</c:v>
                </c:pt>
                <c:pt idx="11">
                  <c:v>1.4464824868578989</c:v>
                </c:pt>
                <c:pt idx="12">
                  <c:v>1.475453681920464</c:v>
                </c:pt>
                <c:pt idx="13">
                  <c:v>1.5037154887518152</c:v>
                </c:pt>
                <c:pt idx="14">
                  <c:v>1.5312688412050948</c:v>
                </c:pt>
                <c:pt idx="15">
                  <c:v>1.5580380740987794</c:v>
                </c:pt>
                <c:pt idx="16">
                  <c:v>1.5841009231581165</c:v>
                </c:pt>
                <c:pt idx="17">
                  <c:v>1.6094580483173111</c:v>
                </c:pt>
                <c:pt idx="18">
                  <c:v>1.6341100359045959</c:v>
                </c:pt>
                <c:pt idx="19">
                  <c:v>1.6579805205500384</c:v>
                </c:pt>
                <c:pt idx="20">
                  <c:v>1.6811471311328521</c:v>
                </c:pt>
                <c:pt idx="21">
                  <c:v>1.7036102155603348</c:v>
                </c:pt>
                <c:pt idx="22">
                  <c:v>1.7253700583568508</c:v>
                </c:pt>
                <c:pt idx="23">
                  <c:v>1.7463489628606161</c:v>
                </c:pt>
                <c:pt idx="24">
                  <c:v>1.7666251821415724</c:v>
                </c:pt>
                <c:pt idx="25">
                  <c:v>1.7861987938817667</c:v>
                </c:pt>
                <c:pt idx="26">
                  <c:v>1.805069821473823</c:v>
                </c:pt>
                <c:pt idx="27">
                  <c:v>1.8232382359948371</c:v>
                </c:pt>
                <c:pt idx="28">
                  <c:v>1.8406240296288079</c:v>
                </c:pt>
                <c:pt idx="29">
                  <c:v>1.8573085113674983</c:v>
                </c:pt>
                <c:pt idx="30">
                  <c:v>1.8732988992376818</c:v>
                </c:pt>
                <c:pt idx="31">
                  <c:v>1.8886038311398072</c:v>
                </c:pt>
                <c:pt idx="32">
                  <c:v>1.903149557997275</c:v>
                </c:pt>
                <c:pt idx="33">
                  <c:v>5.9216537205087194</c:v>
                </c:pt>
                <c:pt idx="34">
                  <c:v>5.9751677435469848</c:v>
                </c:pt>
                <c:pt idx="35">
                  <c:v>6.02809078249535</c:v>
                </c:pt>
                <c:pt idx="36">
                  <c:v>6.0804290738080988</c:v>
                </c:pt>
                <c:pt idx="37">
                  <c:v>6.1321029919789911</c:v>
                </c:pt>
                <c:pt idx="38">
                  <c:v>6.1832043975125801</c:v>
                </c:pt>
                <c:pt idx="39">
                  <c:v>6.23415774068582</c:v>
                </c:pt>
                <c:pt idx="40">
                  <c:v>6.2869213627543736</c:v>
                </c:pt>
                <c:pt idx="41">
                  <c:v>6.3389647755512062</c:v>
                </c:pt>
                <c:pt idx="42">
                  <c:v>6.3902955518998894</c:v>
                </c:pt>
                <c:pt idx="43">
                  <c:v>6.4408304204500189</c:v>
                </c:pt>
                <c:pt idx="44">
                  <c:v>6.4906674789104057</c:v>
                </c:pt>
                <c:pt idx="45">
                  <c:v>6.5398142947356659</c:v>
                </c:pt>
                <c:pt idx="46">
                  <c:v>6.5882784426867058</c:v>
                </c:pt>
                <c:pt idx="47">
                  <c:v>6.6360675057058813</c:v>
                </c:pt>
                <c:pt idx="48">
                  <c:v>6.6831890757557506</c:v>
                </c:pt>
                <c:pt idx="49">
                  <c:v>6.7295539689362878</c:v>
                </c:pt>
                <c:pt idx="50">
                  <c:v>6.7752661399571918</c:v>
                </c:pt>
                <c:pt idx="51">
                  <c:v>6.8203331939639131</c:v>
                </c:pt>
                <c:pt idx="52">
                  <c:v>6.8617571115557245</c:v>
                </c:pt>
                <c:pt idx="53">
                  <c:v>6.8946508961677546</c:v>
                </c:pt>
                <c:pt idx="54">
                  <c:v>6.9268730638559299</c:v>
                </c:pt>
                <c:pt idx="55">
                  <c:v>6.9584319582565586</c:v>
                </c:pt>
                <c:pt idx="56">
                  <c:v>6.9893359158199617</c:v>
                </c:pt>
                <c:pt idx="57">
                  <c:v>7.0194877054099782</c:v>
                </c:pt>
                <c:pt idx="58">
                  <c:v>7.0490006428043008</c:v>
                </c:pt>
                <c:pt idx="59">
                  <c:v>7.0778830277357994</c:v>
                </c:pt>
                <c:pt idx="60">
                  <c:v>7.1061431537961086</c:v>
                </c:pt>
                <c:pt idx="61">
                  <c:v>7.133789308621834</c:v>
                </c:pt>
                <c:pt idx="62">
                  <c:v>7.1608297861088799</c:v>
                </c:pt>
                <c:pt idx="63">
                  <c:v>7.1872729154050212</c:v>
                </c:pt>
                <c:pt idx="64">
                  <c:v>7.2131270644854979</c:v>
                </c:pt>
                <c:pt idx="65">
                  <c:v>7.2384006393492504</c:v>
                </c:pt>
                <c:pt idx="66">
                  <c:v>7.262986046485592</c:v>
                </c:pt>
                <c:pt idx="67">
                  <c:v>7.2870073885847457</c:v>
                </c:pt>
                <c:pt idx="68">
                  <c:v>7.3104732079411416</c:v>
                </c:pt>
                <c:pt idx="69">
                  <c:v>7.3333920813380145</c:v>
                </c:pt>
                <c:pt idx="70">
                  <c:v>7.3557726193074418</c:v>
                </c:pt>
                <c:pt idx="71">
                  <c:v>7.3776234654018626</c:v>
                </c:pt>
                <c:pt idx="72">
                  <c:v>7.3989532954762867</c:v>
                </c:pt>
                <c:pt idx="73">
                  <c:v>7.4155061175236536</c:v>
                </c:pt>
                <c:pt idx="74">
                  <c:v>7.4145361203770355</c:v>
                </c:pt>
                <c:pt idx="75">
                  <c:v>7.4131370681920936</c:v>
                </c:pt>
                <c:pt idx="76">
                  <c:v>7.411317522186275</c:v>
                </c:pt>
                <c:pt idx="77">
                  <c:v>7.4090860629833024</c:v>
                </c:pt>
                <c:pt idx="78">
                  <c:v>7.4064512899837389</c:v>
                </c:pt>
                <c:pt idx="79">
                  <c:v>7.4034218207461659</c:v>
                </c:pt>
                <c:pt idx="80">
                  <c:v>7.3998794709405491</c:v>
                </c:pt>
                <c:pt idx="81">
                  <c:v>7.3959597156667618</c:v>
                </c:pt>
                <c:pt idx="82">
                  <c:v>7.3916712441212251</c:v>
                </c:pt>
                <c:pt idx="83">
                  <c:v>7.3870227609797769</c:v>
                </c:pt>
                <c:pt idx="84">
                  <c:v>7.3820229858402291</c:v>
                </c:pt>
                <c:pt idx="85">
                  <c:v>7.3766806526764368</c:v>
                </c:pt>
                <c:pt idx="86">
                  <c:v>7.3710045093036198</c:v>
                </c:pt>
                <c:pt idx="87">
                  <c:v>7.3650033168552822</c:v>
                </c:pt>
                <c:pt idx="88">
                  <c:v>7.3586858492717164</c:v>
                </c:pt>
                <c:pt idx="89">
                  <c:v>7.352060892800357</c:v>
                </c:pt>
                <c:pt idx="90">
                  <c:v>7.3451361805845536</c:v>
                </c:pt>
                <c:pt idx="91">
                  <c:v>7.3379152003101273</c:v>
                </c:pt>
                <c:pt idx="92">
                  <c:v>7.3304003937039521</c:v>
                </c:pt>
                <c:pt idx="93">
                  <c:v>7.3225942220023184</c:v>
                </c:pt>
                <c:pt idx="94">
                  <c:v>7.314499165791478</c:v>
                </c:pt>
                <c:pt idx="95">
                  <c:v>7.3061177248517879</c:v>
                </c:pt>
                <c:pt idx="96">
                  <c:v>7.2974524180051024</c:v>
                </c:pt>
                <c:pt idx="97">
                  <c:v>7.2885057829654816</c:v>
                </c:pt>
                <c:pt idx="98">
                  <c:v>7.2792803761931237</c:v>
                </c:pt>
                <c:pt idx="99">
                  <c:v>7.2697787727511489</c:v>
                </c:pt>
                <c:pt idx="100">
                  <c:v>7.260003566165663</c:v>
                </c:pt>
                <c:pt idx="101">
                  <c:v>7.2499573682881637</c:v>
                </c:pt>
                <c:pt idx="102">
                  <c:v>7.2396428091611202</c:v>
                </c:pt>
                <c:pt idx="103">
                  <c:v>7.22906253688594</c:v>
                </c:pt>
                <c:pt idx="104">
                  <c:v>7.2182192174935826</c:v>
                </c:pt>
                <c:pt idx="105">
                  <c:v>7.207115534817599</c:v>
                </c:pt>
                <c:pt idx="106">
                  <c:v>7.1957541903694597</c:v>
                </c:pt>
                <c:pt idx="107">
                  <c:v>7.1842698105948806</c:v>
                </c:pt>
                <c:pt idx="108">
                  <c:v>7.1725326748184219</c:v>
                </c:pt>
                <c:pt idx="109">
                  <c:v>7.1605455236509927</c:v>
                </c:pt>
                <c:pt idx="110">
                  <c:v>7.1434776052557707</c:v>
                </c:pt>
                <c:pt idx="111">
                  <c:v>7.1209715987761495</c:v>
                </c:pt>
                <c:pt idx="112">
                  <c:v>7.0982663073928487</c:v>
                </c:pt>
                <c:pt idx="113">
                  <c:v>7.0753643781966149</c:v>
                </c:pt>
                <c:pt idx="114">
                  <c:v>7.0522684706297785</c:v>
                </c:pt>
                <c:pt idx="115">
                  <c:v>7.0289812563632674</c:v>
                </c:pt>
                <c:pt idx="116">
                  <c:v>7.0055054191758481</c:v>
                </c:pt>
                <c:pt idx="117">
                  <c:v>6.9818436548354859</c:v>
                </c:pt>
                <c:pt idx="118">
                  <c:v>6.9579986709828274</c:v>
                </c:pt>
                <c:pt idx="119">
                  <c:v>6.9339731870167594</c:v>
                </c:pt>
                <c:pt idx="120">
                  <c:v>6.9097699339817371</c:v>
                </c:pt>
                <c:pt idx="121">
                  <c:v>6.8853916544571803</c:v>
                </c:pt>
                <c:pt idx="122">
                  <c:v>6.8609696635067294</c:v>
                </c:pt>
                <c:pt idx="123">
                  <c:v>6.8363774124273062</c:v>
                </c:pt>
                <c:pt idx="124">
                  <c:v>6.8116176671866695</c:v>
                </c:pt>
                <c:pt idx="125">
                  <c:v>6.7866932049995832</c:v>
                </c:pt>
                <c:pt idx="126">
                  <c:v>2.4138601705175136</c:v>
                </c:pt>
                <c:pt idx="127">
                  <c:v>2.4042831908387687</c:v>
                </c:pt>
                <c:pt idx="128">
                  <c:v>2.3944872506836457</c:v>
                </c:pt>
                <c:pt idx="129">
                  <c:v>2.3846013498676122</c:v>
                </c:pt>
                <c:pt idx="130">
                  <c:v>2.3746273404631082</c:v>
                </c:pt>
                <c:pt idx="131">
                  <c:v>2.3645670857050645</c:v>
                </c:pt>
                <c:pt idx="132">
                  <c:v>2.3544224599308969</c:v>
                </c:pt>
                <c:pt idx="133">
                  <c:v>2.3441953485206977</c:v>
                </c:pt>
                <c:pt idx="134">
                  <c:v>2.3338876478372454</c:v>
                </c:pt>
                <c:pt idx="135">
                  <c:v>2.3235012651661915</c:v>
                </c:pt>
                <c:pt idx="136">
                  <c:v>2.3130381186559608</c:v>
                </c:pt>
                <c:pt idx="137">
                  <c:v>2.3025001372578946</c:v>
                </c:pt>
                <c:pt idx="138">
                  <c:v>2.2918892606660126</c:v>
                </c:pt>
                <c:pt idx="139">
                  <c:v>2.2812074392570616</c:v>
                </c:pt>
                <c:pt idx="140">
                  <c:v>2.2704566340301024</c:v>
                </c:pt>
                <c:pt idx="141">
                  <c:v>2.2596388165462455</c:v>
                </c:pt>
                <c:pt idx="142">
                  <c:v>2.2487559688681786</c:v>
                </c:pt>
                <c:pt idx="143">
                  <c:v>2.237810083499578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1-4F81-BA4E-847E02C34DD4}"/>
            </c:ext>
          </c:extLst>
        </c:ser>
        <c:ser>
          <c:idx val="1"/>
          <c:order val="2"/>
          <c:tx>
            <c:v>Krydsningskvie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kry kvie'!$AO$184:$AO$327</c:f>
              <c:numCache>
                <c:formatCode>#,##0.00</c:formatCode>
                <c:ptCount val="144"/>
                <c:pt idx="0">
                  <c:v>2.1467268768542112</c:v>
                </c:pt>
                <c:pt idx="1">
                  <c:v>2.1588334252193411</c:v>
                </c:pt>
                <c:pt idx="2">
                  <c:v>2.1701896359321005</c:v>
                </c:pt>
                <c:pt idx="3">
                  <c:v>2.1809821151998228</c:v>
                </c:pt>
                <c:pt idx="4">
                  <c:v>2.1912160954694322</c:v>
                </c:pt>
                <c:pt idx="5">
                  <c:v>2.2008967342992487</c:v>
                </c:pt>
                <c:pt idx="6">
                  <c:v>2.2100291167471733</c:v>
                </c:pt>
                <c:pt idx="7">
                  <c:v>2.2186182576875773</c:v>
                </c:pt>
                <c:pt idx="8">
                  <c:v>2.2265167886002288</c:v>
                </c:pt>
                <c:pt idx="9">
                  <c:v>2.2338863036483296</c:v>
                </c:pt>
                <c:pt idx="10">
                  <c:v>2.2407315844154319</c:v>
                </c:pt>
                <c:pt idx="11">
                  <c:v>2.2470573516480719</c:v>
                </c:pt>
                <c:pt idx="12">
                  <c:v>2.252868267231654</c:v>
                </c:pt>
                <c:pt idx="13">
                  <c:v>2.258168936108889</c:v>
                </c:pt>
                <c:pt idx="14">
                  <c:v>2.2628360467695354</c:v>
                </c:pt>
                <c:pt idx="15">
                  <c:v>2.2670061959185288</c:v>
                </c:pt>
                <c:pt idx="16">
                  <c:v>2.2706837961687683</c:v>
                </c:pt>
                <c:pt idx="17">
                  <c:v>2.273873210980808</c:v>
                </c:pt>
                <c:pt idx="18">
                  <c:v>2.2765787563056175</c:v>
                </c:pt>
                <c:pt idx="19">
                  <c:v>2.2788047021806883</c:v>
                </c:pt>
                <c:pt idx="20">
                  <c:v>2.2805552742813862</c:v>
                </c:pt>
                <c:pt idx="21">
                  <c:v>2.2817349002265694</c:v>
                </c:pt>
                <c:pt idx="22">
                  <c:v>2.2824515407912291</c:v>
                </c:pt>
                <c:pt idx="23">
                  <c:v>2.2827092413138521</c:v>
                </c:pt>
                <c:pt idx="24">
                  <c:v>2.2825119267843652</c:v>
                </c:pt>
                <c:pt idx="25">
                  <c:v>2.2818633982369421</c:v>
                </c:pt>
                <c:pt idx="26">
                  <c:v>2.2807673361439078</c:v>
                </c:pt>
                <c:pt idx="27">
                  <c:v>2.2792279788436258</c:v>
                </c:pt>
                <c:pt idx="28">
                  <c:v>2.2772521468404534</c:v>
                </c:pt>
                <c:pt idx="29">
                  <c:v>2.2748472129440365</c:v>
                </c:pt>
                <c:pt idx="30">
                  <c:v>2.2720204289455501</c:v>
                </c:pt>
                <c:pt idx="31">
                  <c:v>2.2687138834913045</c:v>
                </c:pt>
                <c:pt idx="32">
                  <c:v>2.2650026286061244</c:v>
                </c:pt>
                <c:pt idx="33">
                  <c:v>2.2608934708832278</c:v>
                </c:pt>
                <c:pt idx="34">
                  <c:v>2.2563931083737629</c:v>
                </c:pt>
                <c:pt idx="35">
                  <c:v>2.2515081330120439</c:v>
                </c:pt>
                <c:pt idx="36">
                  <c:v>5.6597277778004162</c:v>
                </c:pt>
                <c:pt idx="37">
                  <c:v>5.686386633992945</c:v>
                </c:pt>
                <c:pt idx="38">
                  <c:v>5.7127219756367023</c:v>
                </c:pt>
                <c:pt idx="39">
                  <c:v>5.7387382058790006</c:v>
                </c:pt>
                <c:pt idx="40">
                  <c:v>5.7644396562227431</c:v>
                </c:pt>
                <c:pt idx="41">
                  <c:v>5.7898305890940813</c:v>
                </c:pt>
                <c:pt idx="42">
                  <c:v>5.8149152003436031</c:v>
                </c:pt>
                <c:pt idx="43">
                  <c:v>5.8396976216829364</c:v>
                </c:pt>
                <c:pt idx="44">
                  <c:v>5.8641819230587924</c:v>
                </c:pt>
                <c:pt idx="45">
                  <c:v>5.8883391035806465</c:v>
                </c:pt>
                <c:pt idx="46">
                  <c:v>5.9122078488238898</c:v>
                </c:pt>
                <c:pt idx="47">
                  <c:v>5.9357919811956243</c:v>
                </c:pt>
                <c:pt idx="48">
                  <c:v>5.9590952715612229</c:v>
                </c:pt>
                <c:pt idx="49">
                  <c:v>5.9821214413015795</c:v>
                </c:pt>
                <c:pt idx="50">
                  <c:v>6.0048741643184744</c:v>
                </c:pt>
                <c:pt idx="51">
                  <c:v>6.0273570689889606</c:v>
                </c:pt>
                <c:pt idx="52">
                  <c:v>6.0495737400707608</c:v>
                </c:pt>
                <c:pt idx="53">
                  <c:v>6.0715277205594411</c:v>
                </c:pt>
                <c:pt idx="54">
                  <c:v>6.0932225134991516</c:v>
                </c:pt>
                <c:pt idx="55">
                  <c:v>6.1146615837479317</c:v>
                </c:pt>
                <c:pt idx="56">
                  <c:v>6.1358483596987927</c:v>
                </c:pt>
                <c:pt idx="57">
                  <c:v>6.1567862349580116</c:v>
                </c:pt>
                <c:pt idx="58">
                  <c:v>6.1774785699816563</c:v>
                </c:pt>
                <c:pt idx="59">
                  <c:v>6.1979286936713782</c:v>
                </c:pt>
                <c:pt idx="60">
                  <c:v>6.218139904930692</c:v>
                </c:pt>
                <c:pt idx="61">
                  <c:v>6.2381154741830409</c:v>
                </c:pt>
                <c:pt idx="62">
                  <c:v>6.2578586448520035</c:v>
                </c:pt>
                <c:pt idx="63">
                  <c:v>6.2773726348055261</c:v>
                </c:pt>
                <c:pt idx="64">
                  <c:v>6.2966606377644014</c:v>
                </c:pt>
                <c:pt idx="65">
                  <c:v>6.3157258246766546</c:v>
                </c:pt>
                <c:pt idx="66">
                  <c:v>6.3346115993140026</c:v>
                </c:pt>
                <c:pt idx="67">
                  <c:v>6.3537113523856066</c:v>
                </c:pt>
                <c:pt idx="68">
                  <c:v>6.3724854130768751</c:v>
                </c:pt>
                <c:pt idx="69">
                  <c:v>6.3909380209863196</c:v>
                </c:pt>
                <c:pt idx="70">
                  <c:v>6.4090733930322932</c:v>
                </c:pt>
                <c:pt idx="71">
                  <c:v>6.4229670144856668</c:v>
                </c:pt>
                <c:pt idx="72">
                  <c:v>6.42083266563007</c:v>
                </c:pt>
                <c:pt idx="73">
                  <c:v>6.4183868276321787</c:v>
                </c:pt>
                <c:pt idx="74">
                  <c:v>6.415634080361146</c:v>
                </c:pt>
                <c:pt idx="75">
                  <c:v>6.4125789780079003</c:v>
                </c:pt>
                <c:pt idx="76">
                  <c:v>6.4092260496451798</c:v>
                </c:pt>
                <c:pt idx="77">
                  <c:v>6.4055797997685078</c:v>
                </c:pt>
                <c:pt idx="78">
                  <c:v>6.4016447088187274</c:v>
                </c:pt>
                <c:pt idx="79">
                  <c:v>6.3974252336867758</c:v>
                </c:pt>
                <c:pt idx="80">
                  <c:v>6.3929258082014684</c:v>
                </c:pt>
                <c:pt idx="81">
                  <c:v>6.3881635428720136</c:v>
                </c:pt>
                <c:pt idx="82">
                  <c:v>6.3831304146708092</c:v>
                </c:pt>
                <c:pt idx="83">
                  <c:v>6.3720150623429559</c:v>
                </c:pt>
                <c:pt idx="84">
                  <c:v>6.3582471950554282</c:v>
                </c:pt>
                <c:pt idx="85">
                  <c:v>6.344267660757902</c:v>
                </c:pt>
                <c:pt idx="86">
                  <c:v>6.3300805395878577</c:v>
                </c:pt>
                <c:pt idx="87">
                  <c:v>6.3156898814014495</c:v>
                </c:pt>
                <c:pt idx="88">
                  <c:v>6.301099291201723</c:v>
                </c:pt>
                <c:pt idx="89">
                  <c:v>6.2863106865023681</c:v>
                </c:pt>
                <c:pt idx="90">
                  <c:v>6.2713420596021159</c:v>
                </c:pt>
                <c:pt idx="91">
                  <c:v>6.2561789619792005</c:v>
                </c:pt>
                <c:pt idx="92">
                  <c:v>6.2408228667857557</c:v>
                </c:pt>
                <c:pt idx="93">
                  <c:v>6.2252752254745918</c:v>
                </c:pt>
                <c:pt idx="94">
                  <c:v>6.2095374683400832</c:v>
                </c:pt>
                <c:pt idx="95">
                  <c:v>6.1936110050465967</c:v>
                </c:pt>
                <c:pt idx="96">
                  <c:v>6.1774972251442506</c:v>
                </c:pt>
                <c:pt idx="97">
                  <c:v>6.1612185321743809</c:v>
                </c:pt>
                <c:pt idx="98">
                  <c:v>6.1447560653581137</c:v>
                </c:pt>
                <c:pt idx="99">
                  <c:v>6.1281112060801535</c:v>
                </c:pt>
                <c:pt idx="100">
                  <c:v>6.1112853706253265</c:v>
                </c:pt>
                <c:pt idx="101">
                  <c:v>6.0942800163259108</c:v>
                </c:pt>
                <c:pt idx="102">
                  <c:v>6.0770966409749283</c:v>
                </c:pt>
                <c:pt idx="103">
                  <c:v>6.0597619344596376</c:v>
                </c:pt>
                <c:pt idx="104">
                  <c:v>6.0422530055133432</c:v>
                </c:pt>
                <c:pt idx="105">
                  <c:v>6.024571445954483</c:v>
                </c:pt>
                <c:pt idx="106">
                  <c:v>6.0067188861595895</c:v>
                </c:pt>
                <c:pt idx="107">
                  <c:v>5.9886969945253519</c:v>
                </c:pt>
                <c:pt idx="108">
                  <c:v>5.9705354876158498</c:v>
                </c:pt>
                <c:pt idx="109">
                  <c:v>5.9522086838843924</c:v>
                </c:pt>
                <c:pt idx="110">
                  <c:v>5.9337183401237166</c:v>
                </c:pt>
                <c:pt idx="111">
                  <c:v>5.9150662494015673</c:v>
                </c:pt>
                <c:pt idx="112">
                  <c:v>5.8962542405659173</c:v>
                </c:pt>
                <c:pt idx="113">
                  <c:v>5.8773146884827492</c:v>
                </c:pt>
                <c:pt idx="114">
                  <c:v>5.8582194757000083</c:v>
                </c:pt>
                <c:pt idx="115">
                  <c:v>5.8389705143004704</c:v>
                </c:pt>
                <c:pt idx="116">
                  <c:v>5.8195697505428017</c:v>
                </c:pt>
                <c:pt idx="117">
                  <c:v>5.800019164405656</c:v>
                </c:pt>
                <c:pt idx="118">
                  <c:v>5.7803534394141325</c:v>
                </c:pt>
                <c:pt idx="119">
                  <c:v>5.7605423590518079</c:v>
                </c:pt>
                <c:pt idx="120">
                  <c:v>5.7405879817885141</c:v>
                </c:pt>
                <c:pt idx="121">
                  <c:v>5.7204923983359262</c:v>
                </c:pt>
                <c:pt idx="122">
                  <c:v>5.7002917798037496</c:v>
                </c:pt>
                <c:pt idx="123">
                  <c:v>5.6799545774171847</c:v>
                </c:pt>
                <c:pt idx="124">
                  <c:v>5.6594829569707645</c:v>
                </c:pt>
                <c:pt idx="125">
                  <c:v>5.6388791151118278</c:v>
                </c:pt>
                <c:pt idx="126">
                  <c:v>5.6181805291275229</c:v>
                </c:pt>
                <c:pt idx="127">
                  <c:v>5.5973544927999184</c:v>
                </c:pt>
                <c:pt idx="128">
                  <c:v>5.5764032746571468</c:v>
                </c:pt>
                <c:pt idx="129">
                  <c:v>5.5553650906939627</c:v>
                </c:pt>
                <c:pt idx="130">
                  <c:v>5.5342065990825633</c:v>
                </c:pt>
                <c:pt idx="131">
                  <c:v>5.5129301380862179</c:v>
                </c:pt>
                <c:pt idx="132">
                  <c:v>5.4915380746411255</c:v>
                </c:pt>
                <c:pt idx="133">
                  <c:v>5.4700696434759157</c:v>
                </c:pt>
                <c:pt idx="134">
                  <c:v>5.4484906224155125</c:v>
                </c:pt>
                <c:pt idx="135">
                  <c:v>5.42680344524587</c:v>
                </c:pt>
                <c:pt idx="136">
                  <c:v>5.4050105732459572</c:v>
                </c:pt>
                <c:pt idx="137">
                  <c:v>5.3831520967346496</c:v>
                </c:pt>
                <c:pt idx="138">
                  <c:v>5.3611930707775786</c:v>
                </c:pt>
                <c:pt idx="139">
                  <c:v>5.3391360207858245</c:v>
                </c:pt>
                <c:pt idx="140">
                  <c:v>5.317021483859409</c:v>
                </c:pt>
                <c:pt idx="141">
                  <c:v>5.2948141606883921</c:v>
                </c:pt>
                <c:pt idx="142">
                  <c:v>5.2725166389919975</c:v>
                </c:pt>
                <c:pt idx="143">
                  <c:v>5.2501698344347831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1-4F81-BA4E-847E02C34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/>
                  <a:t>kr. pr.</a:t>
                </a:r>
                <a:r>
                  <a:rPr lang="da-DK" sz="1600" baseline="0"/>
                  <a:t> foderdag</a:t>
                </a:r>
                <a:endParaRPr lang="da-DK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0" i="0" u="none" strike="noStrike" baseline="0">
                <a:effectLst/>
              </a:rPr>
              <a:t>Dækningsbidrag minus arbejdsomkostninger, k</a:t>
            </a:r>
            <a:r>
              <a:rPr lang="da-DK" sz="2000"/>
              <a:t>r. pr. anvendt m2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1594245030048636E-2"/>
          <c:y val="0.21492873874636639"/>
          <c:w val="0.90904303871463998"/>
          <c:h val="0.6413498715886321"/>
        </c:manualLayout>
      </c:layout>
      <c:lineChart>
        <c:grouping val="standard"/>
        <c:varyColors val="0"/>
        <c:ser>
          <c:idx val="3"/>
          <c:order val="0"/>
          <c:tx>
            <c:v>Holstein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hol'!$AP$184:$AP$327</c:f>
              <c:numCache>
                <c:formatCode>#,##0.00</c:formatCode>
                <c:ptCount val="144"/>
                <c:pt idx="0">
                  <c:v>-14.56554691376334</c:v>
                </c:pt>
                <c:pt idx="1">
                  <c:v>-12.721116201700656</c:v>
                </c:pt>
                <c:pt idx="2">
                  <c:v>-10.939449337770034</c:v>
                </c:pt>
                <c:pt idx="3">
                  <c:v>-9.2197159856134601</c:v>
                </c:pt>
                <c:pt idx="4">
                  <c:v>-7.5611203383044669</c:v>
                </c:pt>
                <c:pt idx="5">
                  <c:v>-5.9628995694375355</c:v>
                </c:pt>
                <c:pt idx="6">
                  <c:v>-4.4346337243116078</c:v>
                </c:pt>
                <c:pt idx="7">
                  <c:v>-2.9651212324359668</c:v>
                </c:pt>
                <c:pt idx="8">
                  <c:v>-1.5536971710581364</c:v>
                </c:pt>
                <c:pt idx="9">
                  <c:v>-0.19972389644478142</c:v>
                </c:pt>
                <c:pt idx="10">
                  <c:v>1.0974101429176957</c:v>
                </c:pt>
                <c:pt idx="11">
                  <c:v>2.3284409006479967</c:v>
                </c:pt>
                <c:pt idx="12">
                  <c:v>3.503939857808088</c:v>
                </c:pt>
                <c:pt idx="13">
                  <c:v>4.6244404164619421</c:v>
                </c:pt>
                <c:pt idx="14">
                  <c:v>5.6904542933086564</c:v>
                </c:pt>
                <c:pt idx="15">
                  <c:v>6.7024724392909345</c:v>
                </c:pt>
                <c:pt idx="16">
                  <c:v>7.6609659161684078</c:v>
                </c:pt>
                <c:pt idx="17">
                  <c:v>8.5569266262718884</c:v>
                </c:pt>
                <c:pt idx="18">
                  <c:v>9.4003757564849213</c:v>
                </c:pt>
                <c:pt idx="19">
                  <c:v>10.191724150448485</c:v>
                </c:pt>
                <c:pt idx="20">
                  <c:v>10.93136605017904</c:v>
                </c:pt>
                <c:pt idx="21">
                  <c:v>11.619679783655464</c:v>
                </c:pt>
                <c:pt idx="22">
                  <c:v>12.257028421815404</c:v>
                </c:pt>
                <c:pt idx="23">
                  <c:v>12.834539024555299</c:v>
                </c:pt>
                <c:pt idx="24">
                  <c:v>13.648344010388623</c:v>
                </c:pt>
                <c:pt idx="25">
                  <c:v>14.501054534812607</c:v>
                </c:pt>
                <c:pt idx="26">
                  <c:v>15.299341070366275</c:v>
                </c:pt>
                <c:pt idx="27">
                  <c:v>16.044120686014978</c:v>
                </c:pt>
                <c:pt idx="28">
                  <c:v>16.727158005053983</c:v>
                </c:pt>
                <c:pt idx="29">
                  <c:v>17.358545002257166</c:v>
                </c:pt>
                <c:pt idx="30">
                  <c:v>17.939135706807569</c:v>
                </c:pt>
                <c:pt idx="31">
                  <c:v>18.469766018141893</c:v>
                </c:pt>
                <c:pt idx="32">
                  <c:v>18.951254362194572</c:v>
                </c:pt>
                <c:pt idx="33">
                  <c:v>19.384402319263607</c:v>
                </c:pt>
                <c:pt idx="34">
                  <c:v>19.760870068148211</c:v>
                </c:pt>
                <c:pt idx="35">
                  <c:v>20.090616570099321</c:v>
                </c:pt>
                <c:pt idx="36">
                  <c:v>20.374392887400084</c:v>
                </c:pt>
                <c:pt idx="37">
                  <c:v>20.612935586045591</c:v>
                </c:pt>
                <c:pt idx="38">
                  <c:v>20.806967237959913</c:v>
                </c:pt>
                <c:pt idx="39">
                  <c:v>20.957196902239964</c:v>
                </c:pt>
                <c:pt idx="40">
                  <c:v>534.82917266690413</c:v>
                </c:pt>
                <c:pt idx="41">
                  <c:v>537.88632874643463</c:v>
                </c:pt>
                <c:pt idx="42">
                  <c:v>540.90301460767171</c:v>
                </c:pt>
                <c:pt idx="43">
                  <c:v>543.8797607263715</c:v>
                </c:pt>
                <c:pt idx="44">
                  <c:v>546.81708960585013</c:v>
                </c:pt>
                <c:pt idx="45">
                  <c:v>549.71551615476062</c:v>
                </c:pt>
                <c:pt idx="46">
                  <c:v>552.57554805031475</c:v>
                </c:pt>
                <c:pt idx="47">
                  <c:v>555.39768608757572</c:v>
                </c:pt>
                <c:pt idx="48">
                  <c:v>558.18242451541983</c:v>
                </c:pt>
                <c:pt idx="49">
                  <c:v>560.92075937582558</c:v>
                </c:pt>
                <c:pt idx="50">
                  <c:v>563.62269386189701</c:v>
                </c:pt>
                <c:pt idx="51">
                  <c:v>566.28870196765183</c:v>
                </c:pt>
                <c:pt idx="52">
                  <c:v>568.91925242452123</c:v>
                </c:pt>
                <c:pt idx="53">
                  <c:v>571.51480897689044</c:v>
                </c:pt>
                <c:pt idx="54">
                  <c:v>574.07583064741652</c:v>
                </c:pt>
                <c:pt idx="55">
                  <c:v>576.60277199259463</c:v>
                </c:pt>
                <c:pt idx="56">
                  <c:v>579.0960833489363</c:v>
                </c:pt>
                <c:pt idx="57">
                  <c:v>581.55621107018567</c:v>
                </c:pt>
                <c:pt idx="58">
                  <c:v>583.98359775591302</c:v>
                </c:pt>
                <c:pt idx="59">
                  <c:v>586.37868247185645</c:v>
                </c:pt>
                <c:pt idx="60">
                  <c:v>588.7318888186885</c:v>
                </c:pt>
                <c:pt idx="61">
                  <c:v>591.05367267357769</c:v>
                </c:pt>
                <c:pt idx="62">
                  <c:v>593.34446171201034</c:v>
                </c:pt>
                <c:pt idx="63">
                  <c:v>595.60468092791052</c:v>
                </c:pt>
                <c:pt idx="64">
                  <c:v>597.83475281608423</c:v>
                </c:pt>
                <c:pt idx="65">
                  <c:v>600.03509754824654</c:v>
                </c:pt>
                <c:pt idx="66">
                  <c:v>602.20613314291734</c:v>
                </c:pt>
                <c:pt idx="67">
                  <c:v>604.34827562937824</c:v>
                </c:pt>
                <c:pt idx="68">
                  <c:v>605.92293496902141</c:v>
                </c:pt>
                <c:pt idx="69">
                  <c:v>605.31968562548309</c:v>
                </c:pt>
                <c:pt idx="70">
                  <c:v>604.72487970536508</c:v>
                </c:pt>
                <c:pt idx="71">
                  <c:v>604.09967875615553</c:v>
                </c:pt>
                <c:pt idx="72">
                  <c:v>603.44455190049155</c:v>
                </c:pt>
                <c:pt idx="73">
                  <c:v>602.75996991666216</c:v>
                </c:pt>
                <c:pt idx="74">
                  <c:v>602.04640521078909</c:v>
                </c:pt>
                <c:pt idx="75">
                  <c:v>601.3043317891777</c:v>
                </c:pt>
                <c:pt idx="76">
                  <c:v>600.53422523082463</c:v>
                </c:pt>
                <c:pt idx="77">
                  <c:v>599.7365626601412</c:v>
                </c:pt>
                <c:pt idx="78">
                  <c:v>598.91182271985838</c:v>
                </c:pt>
                <c:pt idx="79">
                  <c:v>598.06048554415725</c:v>
                </c:pt>
                <c:pt idx="80">
                  <c:v>597.1830327320572</c:v>
                </c:pt>
                <c:pt idx="81">
                  <c:v>596.27994732101718</c:v>
                </c:pt>
                <c:pt idx="82">
                  <c:v>595.35171376083144</c:v>
                </c:pt>
                <c:pt idx="83">
                  <c:v>594.39881788777757</c:v>
                </c:pt>
                <c:pt idx="84">
                  <c:v>593.42174689907688</c:v>
                </c:pt>
                <c:pt idx="85">
                  <c:v>592.21467131113559</c:v>
                </c:pt>
                <c:pt idx="86">
                  <c:v>590.28552443382762</c:v>
                </c:pt>
                <c:pt idx="87">
                  <c:v>588.33968233039559</c:v>
                </c:pt>
                <c:pt idx="88">
                  <c:v>586.37726799375378</c:v>
                </c:pt>
                <c:pt idx="89">
                  <c:v>584.39840771886622</c:v>
                </c:pt>
                <c:pt idx="90">
                  <c:v>582.40323103881099</c:v>
                </c:pt>
                <c:pt idx="91">
                  <c:v>580.39187066259979</c:v>
                </c:pt>
                <c:pt idx="92">
                  <c:v>578.36446241480917</c:v>
                </c:pt>
                <c:pt idx="93">
                  <c:v>576.32114517682101</c:v>
                </c:pt>
                <c:pt idx="94">
                  <c:v>574.26206082974852</c:v>
                </c:pt>
                <c:pt idx="95">
                  <c:v>572.18735419888355</c:v>
                </c:pt>
                <c:pt idx="96">
                  <c:v>570.09717299968247</c:v>
                </c:pt>
                <c:pt idx="97">
                  <c:v>567.99166778521692</c:v>
                </c:pt>
                <c:pt idx="98">
                  <c:v>565.87099189502442</c:v>
                </c:pt>
                <c:pt idx="99">
                  <c:v>563.73530140532284</c:v>
                </c:pt>
                <c:pt idx="100">
                  <c:v>561.58475508056063</c:v>
                </c:pt>
                <c:pt idx="101">
                  <c:v>559.41951432622864</c:v>
                </c:pt>
                <c:pt idx="102">
                  <c:v>557.23974314290808</c:v>
                </c:pt>
                <c:pt idx="103">
                  <c:v>555.04560808151621</c:v>
                </c:pt>
                <c:pt idx="104">
                  <c:v>552.84866045782269</c:v>
                </c:pt>
                <c:pt idx="105">
                  <c:v>550.63763176548923</c:v>
                </c:pt>
                <c:pt idx="106">
                  <c:v>548.41269530022134</c:v>
                </c:pt>
                <c:pt idx="107">
                  <c:v>546.17402675214817</c:v>
                </c:pt>
                <c:pt idx="108">
                  <c:v>543.92180416619385</c:v>
                </c:pt>
                <c:pt idx="109">
                  <c:v>541.65620790343837</c:v>
                </c:pt>
                <c:pt idx="110">
                  <c:v>539.37742060343089</c:v>
                </c:pt>
                <c:pt idx="111">
                  <c:v>537.08562714742527</c:v>
                </c:pt>
                <c:pt idx="112">
                  <c:v>534.78101462250186</c:v>
                </c:pt>
                <c:pt idx="113">
                  <c:v>532.46377228659355</c:v>
                </c:pt>
                <c:pt idx="114">
                  <c:v>530.14533090942984</c:v>
                </c:pt>
                <c:pt idx="115">
                  <c:v>527.81457814132455</c:v>
                </c:pt>
                <c:pt idx="116">
                  <c:v>525.47170904625034</c:v>
                </c:pt>
                <c:pt idx="117">
                  <c:v>523.11692073607003</c:v>
                </c:pt>
                <c:pt idx="118">
                  <c:v>520.75041233930483</c:v>
                </c:pt>
                <c:pt idx="119">
                  <c:v>518.37238497062151</c:v>
                </c:pt>
                <c:pt idx="120">
                  <c:v>515.98304170102131</c:v>
                </c:pt>
                <c:pt idx="121">
                  <c:v>513.58258752871461</c:v>
                </c:pt>
                <c:pt idx="122">
                  <c:v>511.18227977662514</c:v>
                </c:pt>
                <c:pt idx="123">
                  <c:v>508.77120479998803</c:v>
                </c:pt>
                <c:pt idx="124">
                  <c:v>506.349572793645</c:v>
                </c:pt>
                <c:pt idx="125">
                  <c:v>503.91759577667699</c:v>
                </c:pt>
                <c:pt idx="126">
                  <c:v>501.47548756628919</c:v>
                </c:pt>
                <c:pt idx="127">
                  <c:v>499.02346375220418</c:v>
                </c:pt>
                <c:pt idx="128">
                  <c:v>496.56174167169809</c:v>
                </c:pt>
                <c:pt idx="129">
                  <c:v>494.10138125628617</c:v>
                </c:pt>
                <c:pt idx="130">
                  <c:v>491.63168641606262</c:v>
                </c:pt>
                <c:pt idx="131">
                  <c:v>489.15287923121628</c:v>
                </c:pt>
                <c:pt idx="132">
                  <c:v>486.66518344061677</c:v>
                </c:pt>
                <c:pt idx="133">
                  <c:v>484.16882441924719</c:v>
                </c:pt>
                <c:pt idx="134">
                  <c:v>481.66402915615834</c:v>
                </c:pt>
                <c:pt idx="135">
                  <c:v>479.16165917694372</c:v>
                </c:pt>
                <c:pt idx="136">
                  <c:v>476.65123288386491</c:v>
                </c:pt>
                <c:pt idx="137">
                  <c:v>474.13298166828235</c:v>
                </c:pt>
                <c:pt idx="138">
                  <c:v>471.60713845688525</c:v>
                </c:pt>
                <c:pt idx="139">
                  <c:v>469.07393769174826</c:v>
                </c:pt>
                <c:pt idx="140">
                  <c:v>466.53361531076428</c:v>
                </c:pt>
                <c:pt idx="141">
                  <c:v>463.9968124612314</c:v>
                </c:pt>
                <c:pt idx="142">
                  <c:v>461.45328295183026</c:v>
                </c:pt>
                <c:pt idx="143">
                  <c:v>458.90326681986585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4-475E-93E5-AA825A26A8E9}"/>
            </c:ext>
          </c:extLst>
        </c:ser>
        <c:ser>
          <c:idx val="0"/>
          <c:order val="1"/>
          <c:tx>
            <c:v>Krydsningstyr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kry tyr'!$AP$184:$AP$327</c:f>
              <c:numCache>
                <c:formatCode>#,##0.00</c:formatCode>
                <c:ptCount val="144"/>
                <c:pt idx="0">
                  <c:v>141.94139861886705</c:v>
                </c:pt>
                <c:pt idx="1">
                  <c:v>146.32333931714322</c:v>
                </c:pt>
                <c:pt idx="2">
                  <c:v>150.5858353095966</c:v>
                </c:pt>
                <c:pt idx="3">
                  <c:v>154.73074836554596</c:v>
                </c:pt>
                <c:pt idx="4">
                  <c:v>158.74956361955401</c:v>
                </c:pt>
                <c:pt idx="5">
                  <c:v>162.65448742226295</c:v>
                </c:pt>
                <c:pt idx="6">
                  <c:v>166.44716089176151</c:v>
                </c:pt>
                <c:pt idx="7">
                  <c:v>170.11913461049289</c:v>
                </c:pt>
                <c:pt idx="8">
                  <c:v>173.68211173035431</c:v>
                </c:pt>
                <c:pt idx="9">
                  <c:v>177.13754070076462</c:v>
                </c:pt>
                <c:pt idx="10">
                  <c:v>180.48681377199065</c:v>
                </c:pt>
                <c:pt idx="11">
                  <c:v>183.72150584480644</c:v>
                </c:pt>
                <c:pt idx="12">
                  <c:v>186.85280111740954</c:v>
                </c:pt>
                <c:pt idx="13">
                  <c:v>189.88193011959686</c:v>
                </c:pt>
                <c:pt idx="14">
                  <c:v>192.81007621059703</c:v>
                </c:pt>
                <c:pt idx="15">
                  <c:v>195.62877000379461</c:v>
                </c:pt>
                <c:pt idx="16">
                  <c:v>198.34882309961785</c:v>
                </c:pt>
                <c:pt idx="17">
                  <c:v>200.97128253799838</c:v>
                </c:pt>
                <c:pt idx="18">
                  <c:v>203.49715561418603</c:v>
                </c:pt>
                <c:pt idx="19">
                  <c:v>205.91786306335416</c:v>
                </c:pt>
                <c:pt idx="20">
                  <c:v>208.24397362055305</c:v>
                </c:pt>
                <c:pt idx="21">
                  <c:v>210.47637924056389</c:v>
                </c:pt>
                <c:pt idx="22">
                  <c:v>212.61593827825286</c:v>
                </c:pt>
                <c:pt idx="23">
                  <c:v>214.65389921321727</c:v>
                </c:pt>
                <c:pt idx="24">
                  <c:v>216.60070352741943</c:v>
                </c:pt>
                <c:pt idx="25">
                  <c:v>218.4571116624914</c:v>
                </c:pt>
                <c:pt idx="26">
                  <c:v>220.2238555735249</c:v>
                </c:pt>
                <c:pt idx="27">
                  <c:v>221.90163983609597</c:v>
                </c:pt>
                <c:pt idx="28">
                  <c:v>223.48143809765338</c:v>
                </c:pt>
                <c:pt idx="29">
                  <c:v>224.97383652815833</c:v>
                </c:pt>
                <c:pt idx="30">
                  <c:v>226.38035485852743</c:v>
                </c:pt>
                <c:pt idx="31">
                  <c:v>227.7026578353439</c:v>
                </c:pt>
                <c:pt idx="32">
                  <c:v>228.93247293431429</c:v>
                </c:pt>
                <c:pt idx="33">
                  <c:v>710.7161821777521</c:v>
                </c:pt>
                <c:pt idx="34">
                  <c:v>715.53895270254247</c:v>
                </c:pt>
                <c:pt idx="35">
                  <c:v>720.28441538694733</c:v>
                </c:pt>
                <c:pt idx="36">
                  <c:v>724.95391141914956</c:v>
                </c:pt>
                <c:pt idx="37">
                  <c:v>729.53854449960909</c:v>
                </c:pt>
                <c:pt idx="38">
                  <c:v>734.04984198737702</c:v>
                </c:pt>
                <c:pt idx="39">
                  <c:v>738.53862353677187</c:v>
                </c:pt>
                <c:pt idx="40">
                  <c:v>743.23661116394123</c:v>
                </c:pt>
                <c:pt idx="41">
                  <c:v>747.84403911410175</c:v>
                </c:pt>
                <c:pt idx="42">
                  <c:v>752.36242774514244</c:v>
                </c:pt>
                <c:pt idx="43">
                  <c:v>756.78260001353408</c:v>
                </c:pt>
                <c:pt idx="44">
                  <c:v>761.11670931584047</c:v>
                </c:pt>
                <c:pt idx="45">
                  <c:v>765.36620674650828</c:v>
                </c:pt>
                <c:pt idx="46">
                  <c:v>769.5325230187367</c:v>
                </c:pt>
                <c:pt idx="47">
                  <c:v>773.61706922610927</c:v>
                </c:pt>
                <c:pt idx="48">
                  <c:v>777.62123757407778</c:v>
                </c:pt>
                <c:pt idx="49">
                  <c:v>781.53516189978779</c:v>
                </c:pt>
                <c:pt idx="50">
                  <c:v>785.3714295728754</c:v>
                </c:pt>
                <c:pt idx="51">
                  <c:v>789.13137760453719</c:v>
                </c:pt>
                <c:pt idx="52">
                  <c:v>792.46920369145198</c:v>
                </c:pt>
                <c:pt idx="53">
                  <c:v>794.82384331535673</c:v>
                </c:pt>
                <c:pt idx="54">
                  <c:v>797.1049023732927</c:v>
                </c:pt>
                <c:pt idx="55">
                  <c:v>799.31368471587734</c:v>
                </c:pt>
                <c:pt idx="56">
                  <c:v>801.45147840133347</c:v>
                </c:pt>
                <c:pt idx="57">
                  <c:v>803.50747284630631</c:v>
                </c:pt>
                <c:pt idx="58">
                  <c:v>805.49498605486417</c:v>
                </c:pt>
                <c:pt idx="59">
                  <c:v>807.41525921694927</c:v>
                </c:pt>
                <c:pt idx="60">
                  <c:v>809.26951957764425</c:v>
                </c:pt>
                <c:pt idx="61">
                  <c:v>811.05898084705859</c:v>
                </c:pt>
                <c:pt idx="62">
                  <c:v>812.78484496184137</c:v>
                </c:pt>
                <c:pt idx="63">
                  <c:v>814.44830572146782</c:v>
                </c:pt>
                <c:pt idx="64">
                  <c:v>816.05054950502131</c:v>
                </c:pt>
                <c:pt idx="65">
                  <c:v>817.59275547882544</c:v>
                </c:pt>
                <c:pt idx="66">
                  <c:v>819.06301007609284</c:v>
                </c:pt>
                <c:pt idx="67">
                  <c:v>820.47555905242518</c:v>
                </c:pt>
                <c:pt idx="68">
                  <c:v>821.83156366222943</c:v>
                </c:pt>
                <c:pt idx="69">
                  <c:v>823.13217864493777</c:v>
                </c:pt>
                <c:pt idx="70">
                  <c:v>824.37855239777377</c:v>
                </c:pt>
                <c:pt idx="71">
                  <c:v>825.57182714217561</c:v>
                </c:pt>
                <c:pt idx="72">
                  <c:v>826.71313908406114</c:v>
                </c:pt>
                <c:pt idx="73">
                  <c:v>827.32781766678659</c:v>
                </c:pt>
                <c:pt idx="74">
                  <c:v>825.99820578953791</c:v>
                </c:pt>
                <c:pt idx="75">
                  <c:v>824.63424843971916</c:v>
                </c:pt>
                <c:pt idx="76">
                  <c:v>823.23689054269289</c:v>
                </c:pt>
                <c:pt idx="77">
                  <c:v>821.80707384121501</c:v>
                </c:pt>
                <c:pt idx="78">
                  <c:v>820.34573695081633</c:v>
                </c:pt>
                <c:pt idx="79">
                  <c:v>818.85381541301751</c:v>
                </c:pt>
                <c:pt idx="80">
                  <c:v>817.31823451300193</c:v>
                </c:pt>
                <c:pt idx="81">
                  <c:v>815.7539702244361</c:v>
                </c:pt>
                <c:pt idx="82">
                  <c:v>814.16195085218317</c:v>
                </c:pt>
                <c:pt idx="83">
                  <c:v>812.54310178628714</c:v>
                </c:pt>
                <c:pt idx="84">
                  <c:v>810.89834554706692</c:v>
                </c:pt>
                <c:pt idx="85">
                  <c:v>809.22860182872557</c:v>
                </c:pt>
                <c:pt idx="86">
                  <c:v>807.53478754153161</c:v>
                </c:pt>
                <c:pt idx="87">
                  <c:v>805.81781685269345</c:v>
                </c:pt>
                <c:pt idx="88">
                  <c:v>804.07860122600107</c:v>
                </c:pt>
                <c:pt idx="89">
                  <c:v>802.31804946034367</c:v>
                </c:pt>
                <c:pt idx="90">
                  <c:v>800.5369516625359</c:v>
                </c:pt>
                <c:pt idx="91">
                  <c:v>798.73563258239869</c:v>
                </c:pt>
                <c:pt idx="92">
                  <c:v>796.91430242660954</c:v>
                </c:pt>
                <c:pt idx="93">
                  <c:v>795.07317327436374</c:v>
                </c:pt>
                <c:pt idx="94">
                  <c:v>793.21245905295859</c:v>
                </c:pt>
                <c:pt idx="95">
                  <c:v>791.3323755140957</c:v>
                </c:pt>
                <c:pt idx="96">
                  <c:v>789.43314021085803</c:v>
                </c:pt>
                <c:pt idx="97">
                  <c:v>787.51497247534996</c:v>
                </c:pt>
                <c:pt idx="98">
                  <c:v>785.57809339698008</c:v>
                </c:pt>
                <c:pt idx="99">
                  <c:v>783.62272580133106</c:v>
                </c:pt>
                <c:pt idx="100">
                  <c:v>781.64909422965491</c:v>
                </c:pt>
                <c:pt idx="101">
                  <c:v>779.65742491887681</c:v>
                </c:pt>
                <c:pt idx="102">
                  <c:v>777.64794578218994</c:v>
                </c:pt>
                <c:pt idx="103">
                  <c:v>775.62088639014257</c:v>
                </c:pt>
                <c:pt idx="104">
                  <c:v>773.57647795223909</c:v>
                </c:pt>
                <c:pt idx="105">
                  <c:v>771.51495329901843</c:v>
                </c:pt>
                <c:pt idx="106">
                  <c:v>769.43654686458933</c:v>
                </c:pt>
                <c:pt idx="107">
                  <c:v>767.35558376512915</c:v>
                </c:pt>
                <c:pt idx="108">
                  <c:v>765.25812279964998</c:v>
                </c:pt>
                <c:pt idx="109">
                  <c:v>763.14440231845265</c:v>
                </c:pt>
                <c:pt idx="110">
                  <c:v>760.50008307511894</c:v>
                </c:pt>
                <c:pt idx="111">
                  <c:v>757.28877184562748</c:v>
                </c:pt>
                <c:pt idx="112">
                  <c:v>754.06870082001456</c:v>
                </c:pt>
                <c:pt idx="113">
                  <c:v>750.84005265098654</c:v>
                </c:pt>
                <c:pt idx="114">
                  <c:v>747.60301185961407</c:v>
                </c:pt>
                <c:pt idx="115">
                  <c:v>744.3577648031719</c:v>
                </c:pt>
                <c:pt idx="116">
                  <c:v>741.10449964379779</c:v>
                </c:pt>
                <c:pt idx="117">
                  <c:v>737.84340631794032</c:v>
                </c:pt>
                <c:pt idx="118">
                  <c:v>734.57467650657782</c:v>
                </c:pt>
                <c:pt idx="119">
                  <c:v>731.29850360618525</c:v>
                </c:pt>
                <c:pt idx="120">
                  <c:v>728.01508270039756</c:v>
                </c:pt>
                <c:pt idx="121">
                  <c:v>724.72461053238692</c:v>
                </c:pt>
                <c:pt idx="122">
                  <c:v>721.44080385761492</c:v>
                </c:pt>
                <c:pt idx="123">
                  <c:v>718.15023867749255</c:v>
                </c:pt>
                <c:pt idx="124">
                  <c:v>714.85311601308138</c:v>
                </c:pt>
                <c:pt idx="125">
                  <c:v>711.54963845002305</c:v>
                </c:pt>
                <c:pt idx="126">
                  <c:v>252.83817863891983</c:v>
                </c:pt>
                <c:pt idx="127">
                  <c:v>251.59546820693413</c:v>
                </c:pt>
                <c:pt idx="128">
                  <c:v>250.33376366520875</c:v>
                </c:pt>
                <c:pt idx="129">
                  <c:v>249.06655462336832</c:v>
                </c:pt>
                <c:pt idx="130">
                  <c:v>247.79401232630175</c:v>
                </c:pt>
                <c:pt idx="131">
                  <c:v>246.51630883109235</c:v>
                </c:pt>
                <c:pt idx="132">
                  <c:v>245.23361700263641</c:v>
                </c:pt>
                <c:pt idx="133">
                  <c:v>243.94611050927097</c:v>
                </c:pt>
                <c:pt idx="134">
                  <c:v>242.65396381837152</c:v>
                </c:pt>
                <c:pt idx="135">
                  <c:v>241.35735219195678</c:v>
                </c:pt>
                <c:pt idx="136">
                  <c:v>240.05645168225294</c:v>
                </c:pt>
                <c:pt idx="137">
                  <c:v>238.75143912727304</c:v>
                </c:pt>
                <c:pt idx="138">
                  <c:v>237.44249214634638</c:v>
                </c:pt>
                <c:pt idx="139">
                  <c:v>236.12978913566823</c:v>
                </c:pt>
                <c:pt idx="140">
                  <c:v>234.81350926379204</c:v>
                </c:pt>
                <c:pt idx="141">
                  <c:v>233.49383246712787</c:v>
                </c:pt>
                <c:pt idx="142">
                  <c:v>232.1709394454108</c:v>
                </c:pt>
                <c:pt idx="143">
                  <c:v>230.84501165714855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4-475E-93E5-AA825A26A8E9}"/>
            </c:ext>
          </c:extLst>
        </c:ser>
        <c:ser>
          <c:idx val="1"/>
          <c:order val="2"/>
          <c:tx>
            <c:v>Krydsningskvie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f>'Vækstfunktion, kry kvie'!$AP$184:$AP$327</c:f>
              <c:numCache>
                <c:formatCode>#,##0.00</c:formatCode>
                <c:ptCount val="144"/>
                <c:pt idx="0">
                  <c:v>293.17681515855764</c:v>
                </c:pt>
                <c:pt idx="1">
                  <c:v>294.44648814147854</c:v>
                </c:pt>
                <c:pt idx="2">
                  <c:v>295.61483033668719</c:v>
                </c:pt>
                <c:pt idx="3">
                  <c:v>296.70760013874974</c:v>
                </c:pt>
                <c:pt idx="4">
                  <c:v>297.72577496981978</c:v>
                </c:pt>
                <c:pt idx="5">
                  <c:v>298.67031154859257</c:v>
                </c:pt>
                <c:pt idx="6">
                  <c:v>298.83384171039535</c:v>
                </c:pt>
                <c:pt idx="7">
                  <c:v>298.93431611277157</c:v>
                </c:pt>
                <c:pt idx="8">
                  <c:v>298.95244780140615</c:v>
                </c:pt>
                <c:pt idx="9">
                  <c:v>298.91054616771982</c:v>
                </c:pt>
                <c:pt idx="10">
                  <c:v>298.80969218266466</c:v>
                </c:pt>
                <c:pt idx="11">
                  <c:v>298.650935110935</c:v>
                </c:pt>
                <c:pt idx="12">
                  <c:v>298.43529390255895</c:v>
                </c:pt>
                <c:pt idx="13">
                  <c:v>298.16375851507394</c:v>
                </c:pt>
                <c:pt idx="14">
                  <c:v>297.82046284843068</c:v>
                </c:pt>
                <c:pt idx="15">
                  <c:v>297.42383366636062</c:v>
                </c:pt>
                <c:pt idx="16">
                  <c:v>296.97476917209696</c:v>
                </c:pt>
                <c:pt idx="17">
                  <c:v>296.47414363853505</c:v>
                </c:pt>
                <c:pt idx="18">
                  <c:v>295.92280842291763</c:v>
                </c:pt>
                <c:pt idx="19">
                  <c:v>295.32159293332865</c:v>
                </c:pt>
                <c:pt idx="20">
                  <c:v>294.67130554969521</c:v>
                </c:pt>
                <c:pt idx="21">
                  <c:v>293.95988286524459</c:v>
                </c:pt>
                <c:pt idx="22">
                  <c:v>293.20154186618487</c:v>
                </c:pt>
                <c:pt idx="23">
                  <c:v>292.39701956913376</c:v>
                </c:pt>
                <c:pt idx="24">
                  <c:v>291.54702506526161</c:v>
                </c:pt>
                <c:pt idx="25">
                  <c:v>290.65223975216662</c:v>
                </c:pt>
                <c:pt idx="26">
                  <c:v>289.71331843134453</c:v>
                </c:pt>
                <c:pt idx="27">
                  <c:v>288.73097588151001</c:v>
                </c:pt>
                <c:pt idx="28">
                  <c:v>287.70624205591116</c:v>
                </c:pt>
                <c:pt idx="29">
                  <c:v>286.64020239342534</c:v>
                </c:pt>
                <c:pt idx="30">
                  <c:v>285.5339128042084</c:v>
                </c:pt>
                <c:pt idx="31">
                  <c:v>284.38024744374184</c:v>
                </c:pt>
                <c:pt idx="32">
                  <c:v>283.18877504309779</c:v>
                </c:pt>
                <c:pt idx="33">
                  <c:v>281.9604531228635</c:v>
                </c:pt>
                <c:pt idx="34">
                  <c:v>280.6962141255176</c:v>
                </c:pt>
                <c:pt idx="35">
                  <c:v>279.3969662920386</c:v>
                </c:pt>
                <c:pt idx="36">
                  <c:v>700.62002439338562</c:v>
                </c:pt>
                <c:pt idx="37">
                  <c:v>702.22205748308716</c:v>
                </c:pt>
                <c:pt idx="38">
                  <c:v>703.79192182207532</c:v>
                </c:pt>
                <c:pt idx="39">
                  <c:v>705.33028199666467</c:v>
                </c:pt>
                <c:pt idx="40">
                  <c:v>706.83778539349657</c:v>
                </c:pt>
                <c:pt idx="41">
                  <c:v>708.31506290008599</c:v>
                </c:pt>
                <c:pt idx="42">
                  <c:v>709.76272957735353</c:v>
                </c:pt>
                <c:pt idx="43">
                  <c:v>711.18138530542399</c:v>
                </c:pt>
                <c:pt idx="44">
                  <c:v>712.57161540394395</c:v>
                </c:pt>
                <c:pt idx="45">
                  <c:v>713.9299887720797</c:v>
                </c:pt>
                <c:pt idx="46">
                  <c:v>715.26129147398638</c:v>
                </c:pt>
                <c:pt idx="47">
                  <c:v>716.56605778280721</c:v>
                </c:pt>
                <c:pt idx="48">
                  <c:v>717.84480994054559</c:v>
                </c:pt>
                <c:pt idx="49">
                  <c:v>719.09805865805208</c:v>
                </c:pt>
                <c:pt idx="50">
                  <c:v>720.3263035960025</c:v>
                </c:pt>
                <c:pt idx="51">
                  <c:v>721.53003382763666</c:v>
                </c:pt>
                <c:pt idx="52">
                  <c:v>722.70972828411527</c:v>
                </c:pt>
                <c:pt idx="53">
                  <c:v>723.86585618317849</c:v>
                </c:pt>
                <c:pt idx="54">
                  <c:v>724.99887744187333</c:v>
                </c:pt>
                <c:pt idx="55">
                  <c:v>726.10924307399978</c:v>
                </c:pt>
                <c:pt idx="56">
                  <c:v>727.19739557291587</c:v>
                </c:pt>
                <c:pt idx="57">
                  <c:v>728.26376928034813</c:v>
                </c:pt>
                <c:pt idx="58">
                  <c:v>729.3087907417721</c:v>
                </c:pt>
                <c:pt idx="59">
                  <c:v>730.33287904891358</c:v>
                </c:pt>
                <c:pt idx="60">
                  <c:v>731.33644616991535</c:v>
                </c:pt>
                <c:pt idx="61">
                  <c:v>732.31989726770166</c:v>
                </c:pt>
                <c:pt idx="62">
                  <c:v>733.28363100694878</c:v>
                </c:pt>
                <c:pt idx="63">
                  <c:v>734.22803985022051</c:v>
                </c:pt>
                <c:pt idx="64">
                  <c:v>735.15351034362402</c:v>
                </c:pt>
                <c:pt idx="65">
                  <c:v>736.06042339248654</c:v>
                </c:pt>
                <c:pt idx="66">
                  <c:v>736.95383761297751</c:v>
                </c:pt>
                <c:pt idx="67">
                  <c:v>737.87942123151049</c:v>
                </c:pt>
                <c:pt idx="68">
                  <c:v>738.77435388548713</c:v>
                </c:pt>
                <c:pt idx="69">
                  <c:v>739.63919959659893</c:v>
                </c:pt>
                <c:pt idx="70">
                  <c:v>740.47451476047877</c:v>
                </c:pt>
                <c:pt idx="71">
                  <c:v>740.8277093697227</c:v>
                </c:pt>
                <c:pt idx="72">
                  <c:v>739.34396059140738</c:v>
                </c:pt>
                <c:pt idx="73">
                  <c:v>737.83900942613127</c:v>
                </c:pt>
                <c:pt idx="74">
                  <c:v>736.31331491223784</c:v>
                </c:pt>
                <c:pt idx="75">
                  <c:v>734.76733119820346</c:v>
                </c:pt>
                <c:pt idx="76">
                  <c:v>733.20150768372503</c:v>
                </c:pt>
                <c:pt idx="77">
                  <c:v>731.61628915550273</c:v>
                </c:pt>
                <c:pt idx="78">
                  <c:v>730.01211591792753</c:v>
                </c:pt>
                <c:pt idx="79">
                  <c:v>728.38942391888804</c:v>
                </c:pt>
                <c:pt idx="80">
                  <c:v>726.74864487091202</c:v>
                </c:pt>
                <c:pt idx="81">
                  <c:v>725.09164780485639</c:v>
                </c:pt>
                <c:pt idx="82">
                  <c:v>723.41744302512382</c:v>
                </c:pt>
                <c:pt idx="83">
                  <c:v>721.06833214989717</c:v>
                </c:pt>
                <c:pt idx="84">
                  <c:v>718.43472309654089</c:v>
                </c:pt>
                <c:pt idx="85">
                  <c:v>715.79309871744056</c:v>
                </c:pt>
                <c:pt idx="86">
                  <c:v>713.14377664173583</c:v>
                </c:pt>
                <c:pt idx="87">
                  <c:v>710.48707135210486</c:v>
                </c:pt>
                <c:pt idx="88">
                  <c:v>707.8232476324315</c:v>
                </c:pt>
                <c:pt idx="89">
                  <c:v>705.15238152820223</c:v>
                </c:pt>
                <c:pt idx="90">
                  <c:v>702.47635129219736</c:v>
                </c:pt>
                <c:pt idx="91">
                  <c:v>699.7933979170208</c:v>
                </c:pt>
                <c:pt idx="92">
                  <c:v>697.10355273666505</c:v>
                </c:pt>
                <c:pt idx="93">
                  <c:v>694.40684642664269</c:v>
                </c:pt>
                <c:pt idx="94">
                  <c:v>691.7033090368684</c:v>
                </c:pt>
                <c:pt idx="95">
                  <c:v>688.99297002347805</c:v>
                </c:pt>
                <c:pt idx="96">
                  <c:v>686.27585827956534</c:v>
                </c:pt>
                <c:pt idx="97">
                  <c:v>683.55433573083963</c:v>
                </c:pt>
                <c:pt idx="98">
                  <c:v>680.82618156938588</c:v>
                </c:pt>
                <c:pt idx="99">
                  <c:v>678.09142834969225</c:v>
                </c:pt>
                <c:pt idx="100">
                  <c:v>675.35011401780855</c:v>
                </c:pt>
                <c:pt idx="101">
                  <c:v>672.60228252795332</c:v>
                </c:pt>
                <c:pt idx="102">
                  <c:v>669.8479837134355</c:v>
                </c:pt>
                <c:pt idx="103">
                  <c:v>667.09004204684493</c:v>
                </c:pt>
                <c:pt idx="104">
                  <c:v>664.32581809190526</c:v>
                </c:pt>
                <c:pt idx="105">
                  <c:v>661.55537576754432</c:v>
                </c:pt>
                <c:pt idx="106">
                  <c:v>658.77878444317935</c:v>
                </c:pt>
                <c:pt idx="107">
                  <c:v>655.99611882523095</c:v>
                </c:pt>
                <c:pt idx="108">
                  <c:v>653.21052337378819</c:v>
                </c:pt>
                <c:pt idx="109">
                  <c:v>650.41907527575142</c:v>
                </c:pt>
                <c:pt idx="110">
                  <c:v>647.62186201039208</c:v>
                </c:pt>
                <c:pt idx="111">
                  <c:v>644.81897601730122</c:v>
                </c:pt>
                <c:pt idx="112">
                  <c:v>642.01051459619191</c:v>
                </c:pt>
                <c:pt idx="113">
                  <c:v>639.19989806816056</c:v>
                </c:pt>
                <c:pt idx="114">
                  <c:v>636.38396090193783</c:v>
                </c:pt>
                <c:pt idx="115">
                  <c:v>633.56281201792149</c:v>
                </c:pt>
                <c:pt idx="116">
                  <c:v>630.73656486432867</c:v>
                </c:pt>
                <c:pt idx="117">
                  <c:v>627.90533732842687</c:v>
                </c:pt>
                <c:pt idx="118">
                  <c:v>625.07278453076231</c:v>
                </c:pt>
                <c:pt idx="119">
                  <c:v>622.23553625195825</c:v>
                </c:pt>
                <c:pt idx="120">
                  <c:v>619.39372098485774</c:v>
                </c:pt>
                <c:pt idx="121">
                  <c:v>616.54747136714082</c:v>
                </c:pt>
                <c:pt idx="122">
                  <c:v>613.70058981509203</c:v>
                </c:pt>
                <c:pt idx="123">
                  <c:v>610.8495805738014</c:v>
                </c:pt>
                <c:pt idx="124">
                  <c:v>607.99458617631444</c:v>
                </c:pt>
                <c:pt idx="125">
                  <c:v>605.13575303241657</c:v>
                </c:pt>
                <c:pt idx="126">
                  <c:v>602.27701022668373</c:v>
                </c:pt>
                <c:pt idx="127">
                  <c:v>599.41475561906327</c:v>
                </c:pt>
                <c:pt idx="128">
                  <c:v>596.54914486854364</c:v>
                </c:pt>
                <c:pt idx="129">
                  <c:v>593.68417569984058</c:v>
                </c:pt>
                <c:pt idx="130">
                  <c:v>590.81619122499319</c:v>
                </c:pt>
                <c:pt idx="131">
                  <c:v>587.94535592324917</c:v>
                </c:pt>
                <c:pt idx="132">
                  <c:v>585.07183774389887</c:v>
                </c:pt>
                <c:pt idx="133">
                  <c:v>582.19972900592052</c:v>
                </c:pt>
                <c:pt idx="134">
                  <c:v>579.32529627697124</c:v>
                </c:pt>
                <c:pt idx="135">
                  <c:v>576.44871577494598</c:v>
                </c:pt>
                <c:pt idx="136">
                  <c:v>573.57016697750942</c:v>
                </c:pt>
                <c:pt idx="137">
                  <c:v>570.69381892150614</c:v>
                </c:pt>
                <c:pt idx="138">
                  <c:v>567.8158783703509</c:v>
                </c:pt>
                <c:pt idx="139">
                  <c:v>564.93653256574305</c:v>
                </c:pt>
                <c:pt idx="140">
                  <c:v>562.05998722634786</c:v>
                </c:pt>
                <c:pt idx="141">
                  <c:v>559.18242408101514</c:v>
                </c:pt>
                <c:pt idx="142">
                  <c:v>556.30403779950313</c:v>
                </c:pt>
                <c:pt idx="143">
                  <c:v>553.42906350009127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4-475E-93E5-AA825A26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/>
                  <a:t>Alder</a:t>
                </a:r>
              </a:p>
            </c:rich>
          </c:tx>
          <c:layout>
            <c:manualLayout>
              <c:xMode val="edge"/>
              <c:yMode val="edge"/>
              <c:x val="0.47650450798927524"/>
              <c:y val="0.9311646151957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/>
                  <a:t>Kr. pr. anvendt kvadratmeter stald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Godkendelsesprocent DK kalv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3882929326065805E-2"/>
          <c:y val="0.17516254555964872"/>
          <c:w val="0.95400586886125915"/>
          <c:h val="0.61388943925182793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hol'!$Y$180:$Y$335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0.83085714285714274</c:v>
                </c:pt>
                <c:pt idx="45">
                  <c:v>0.83514285714285708</c:v>
                </c:pt>
                <c:pt idx="46">
                  <c:v>0.8394285714285713</c:v>
                </c:pt>
                <c:pt idx="47">
                  <c:v>0.84371428571428564</c:v>
                </c:pt>
                <c:pt idx="48">
                  <c:v>0.84799999999999986</c:v>
                </c:pt>
                <c:pt idx="49">
                  <c:v>0.8522857142857142</c:v>
                </c:pt>
                <c:pt idx="50">
                  <c:v>0.85657142857142843</c:v>
                </c:pt>
                <c:pt idx="51">
                  <c:v>0.86085714285714277</c:v>
                </c:pt>
                <c:pt idx="52">
                  <c:v>0.8651428571428571</c:v>
                </c:pt>
                <c:pt idx="53">
                  <c:v>0.86942857142857133</c:v>
                </c:pt>
                <c:pt idx="54">
                  <c:v>0.87371428571428567</c:v>
                </c:pt>
                <c:pt idx="55">
                  <c:v>0.87799999999999989</c:v>
                </c:pt>
                <c:pt idx="56">
                  <c:v>0.88228571428571423</c:v>
                </c:pt>
                <c:pt idx="57">
                  <c:v>0.88657142857142845</c:v>
                </c:pt>
                <c:pt idx="58">
                  <c:v>0.89085714285714279</c:v>
                </c:pt>
                <c:pt idx="59">
                  <c:v>0.89514285714285702</c:v>
                </c:pt>
                <c:pt idx="60">
                  <c:v>0.89942857142857136</c:v>
                </c:pt>
                <c:pt idx="61">
                  <c:v>0.90371428571428558</c:v>
                </c:pt>
                <c:pt idx="62">
                  <c:v>0.90799999999999992</c:v>
                </c:pt>
                <c:pt idx="63">
                  <c:v>0.91228571428571414</c:v>
                </c:pt>
                <c:pt idx="64">
                  <c:v>0.91657142857142848</c:v>
                </c:pt>
                <c:pt idx="65">
                  <c:v>0.92085714285714282</c:v>
                </c:pt>
                <c:pt idx="66">
                  <c:v>0.92514285714285704</c:v>
                </c:pt>
                <c:pt idx="67">
                  <c:v>0.92942857142857138</c:v>
                </c:pt>
                <c:pt idx="68">
                  <c:v>0.93371428571428561</c:v>
                </c:pt>
                <c:pt idx="69">
                  <c:v>0.93799999999999994</c:v>
                </c:pt>
                <c:pt idx="70">
                  <c:v>0.94228571428571417</c:v>
                </c:pt>
                <c:pt idx="71">
                  <c:v>0.94657142857142851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A-4D00-B02D-D7B72206DD4E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kry tyr'!$Y$180:$Y$335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0.80942857142857139</c:v>
                </c:pt>
                <c:pt idx="38">
                  <c:v>0.81371428571428561</c:v>
                </c:pt>
                <c:pt idx="39">
                  <c:v>0.81799999999999995</c:v>
                </c:pt>
                <c:pt idx="40">
                  <c:v>0.82228571428571429</c:v>
                </c:pt>
                <c:pt idx="41">
                  <c:v>0.82657142857142851</c:v>
                </c:pt>
                <c:pt idx="42">
                  <c:v>0.83085714285714274</c:v>
                </c:pt>
                <c:pt idx="43">
                  <c:v>0.83514285714285708</c:v>
                </c:pt>
                <c:pt idx="44">
                  <c:v>0.83942857142857141</c:v>
                </c:pt>
                <c:pt idx="45">
                  <c:v>0.84371428571428564</c:v>
                </c:pt>
                <c:pt idx="46">
                  <c:v>0.84799999999999998</c:v>
                </c:pt>
                <c:pt idx="47">
                  <c:v>0.8522857142857142</c:v>
                </c:pt>
                <c:pt idx="48">
                  <c:v>0.85657142857142854</c:v>
                </c:pt>
                <c:pt idx="49">
                  <c:v>0.86085714285714277</c:v>
                </c:pt>
                <c:pt idx="50">
                  <c:v>0.8651428571428571</c:v>
                </c:pt>
                <c:pt idx="51">
                  <c:v>0.86942857142857133</c:v>
                </c:pt>
                <c:pt idx="52">
                  <c:v>0.87371428571428567</c:v>
                </c:pt>
                <c:pt idx="53">
                  <c:v>0.87799999999999989</c:v>
                </c:pt>
                <c:pt idx="54">
                  <c:v>0.88228571428571423</c:v>
                </c:pt>
                <c:pt idx="55">
                  <c:v>0.88657142857142845</c:v>
                </c:pt>
                <c:pt idx="56">
                  <c:v>0.89085714285714279</c:v>
                </c:pt>
                <c:pt idx="57">
                  <c:v>0.89514285714285713</c:v>
                </c:pt>
                <c:pt idx="58">
                  <c:v>0.89942857142857136</c:v>
                </c:pt>
                <c:pt idx="59">
                  <c:v>0.90371428571428569</c:v>
                </c:pt>
                <c:pt idx="60">
                  <c:v>0.90799999999999992</c:v>
                </c:pt>
                <c:pt idx="61">
                  <c:v>0.91228571428571426</c:v>
                </c:pt>
                <c:pt idx="62">
                  <c:v>0.91657142857142848</c:v>
                </c:pt>
                <c:pt idx="63">
                  <c:v>0.92085714285714282</c:v>
                </c:pt>
                <c:pt idx="64">
                  <c:v>0.92514285714285704</c:v>
                </c:pt>
                <c:pt idx="65">
                  <c:v>0.92942857142857138</c:v>
                </c:pt>
                <c:pt idx="66">
                  <c:v>0.93371428571428561</c:v>
                </c:pt>
                <c:pt idx="67">
                  <c:v>0.93799999999999994</c:v>
                </c:pt>
                <c:pt idx="68">
                  <c:v>0.94228571428571417</c:v>
                </c:pt>
                <c:pt idx="69">
                  <c:v>0.94657142857142851</c:v>
                </c:pt>
                <c:pt idx="70">
                  <c:v>0.95085714285714285</c:v>
                </c:pt>
                <c:pt idx="71">
                  <c:v>0.95514285714285707</c:v>
                </c:pt>
                <c:pt idx="72">
                  <c:v>0.95942857142857141</c:v>
                </c:pt>
                <c:pt idx="73">
                  <c:v>0.96371428571428563</c:v>
                </c:pt>
                <c:pt idx="74">
                  <c:v>0.96799999999999997</c:v>
                </c:pt>
                <c:pt idx="75">
                  <c:v>0.9722857142857142</c:v>
                </c:pt>
                <c:pt idx="76">
                  <c:v>0.97657142857142853</c:v>
                </c:pt>
                <c:pt idx="77">
                  <c:v>0.98</c:v>
                </c:pt>
                <c:pt idx="78">
                  <c:v>0.98</c:v>
                </c:pt>
                <c:pt idx="79">
                  <c:v>0.98</c:v>
                </c:pt>
                <c:pt idx="80">
                  <c:v>0.98</c:v>
                </c:pt>
                <c:pt idx="81">
                  <c:v>0.98</c:v>
                </c:pt>
                <c:pt idx="82">
                  <c:v>0.98</c:v>
                </c:pt>
                <c:pt idx="83">
                  <c:v>0.98</c:v>
                </c:pt>
                <c:pt idx="84">
                  <c:v>0.98</c:v>
                </c:pt>
                <c:pt idx="85">
                  <c:v>0.98</c:v>
                </c:pt>
                <c:pt idx="86">
                  <c:v>0.98</c:v>
                </c:pt>
                <c:pt idx="87">
                  <c:v>0.98</c:v>
                </c:pt>
                <c:pt idx="88">
                  <c:v>0.98</c:v>
                </c:pt>
                <c:pt idx="89">
                  <c:v>0.98</c:v>
                </c:pt>
                <c:pt idx="90">
                  <c:v>0.98</c:v>
                </c:pt>
                <c:pt idx="91">
                  <c:v>0.98</c:v>
                </c:pt>
                <c:pt idx="92">
                  <c:v>0.98</c:v>
                </c:pt>
                <c:pt idx="93">
                  <c:v>0.98</c:v>
                </c:pt>
                <c:pt idx="94">
                  <c:v>0.98</c:v>
                </c:pt>
                <c:pt idx="95">
                  <c:v>0.98</c:v>
                </c:pt>
                <c:pt idx="96">
                  <c:v>0.98</c:v>
                </c:pt>
                <c:pt idx="97">
                  <c:v>0.98</c:v>
                </c:pt>
                <c:pt idx="98">
                  <c:v>0.98</c:v>
                </c:pt>
                <c:pt idx="99">
                  <c:v>0.98</c:v>
                </c:pt>
                <c:pt idx="100">
                  <c:v>0.98</c:v>
                </c:pt>
                <c:pt idx="101">
                  <c:v>0.98</c:v>
                </c:pt>
                <c:pt idx="102">
                  <c:v>0.98</c:v>
                </c:pt>
                <c:pt idx="103">
                  <c:v>0.98</c:v>
                </c:pt>
                <c:pt idx="104">
                  <c:v>0.98</c:v>
                </c:pt>
                <c:pt idx="105">
                  <c:v>0.98</c:v>
                </c:pt>
                <c:pt idx="106">
                  <c:v>0.98</c:v>
                </c:pt>
                <c:pt idx="107">
                  <c:v>0.98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0.98</c:v>
                </c:pt>
                <c:pt idx="112">
                  <c:v>0.98</c:v>
                </c:pt>
                <c:pt idx="113">
                  <c:v>0.98</c:v>
                </c:pt>
                <c:pt idx="114">
                  <c:v>0.98</c:v>
                </c:pt>
                <c:pt idx="115">
                  <c:v>0.98</c:v>
                </c:pt>
                <c:pt idx="116">
                  <c:v>0.98</c:v>
                </c:pt>
                <c:pt idx="117">
                  <c:v>0.98</c:v>
                </c:pt>
                <c:pt idx="118">
                  <c:v>0.98</c:v>
                </c:pt>
                <c:pt idx="119">
                  <c:v>0.98</c:v>
                </c:pt>
                <c:pt idx="120">
                  <c:v>0.98</c:v>
                </c:pt>
                <c:pt idx="121">
                  <c:v>0.98</c:v>
                </c:pt>
                <c:pt idx="122">
                  <c:v>0.98</c:v>
                </c:pt>
                <c:pt idx="123">
                  <c:v>0.98</c:v>
                </c:pt>
                <c:pt idx="124">
                  <c:v>0.98</c:v>
                </c:pt>
                <c:pt idx="125">
                  <c:v>0.98</c:v>
                </c:pt>
                <c:pt idx="126">
                  <c:v>0.98</c:v>
                </c:pt>
                <c:pt idx="127">
                  <c:v>0.98</c:v>
                </c:pt>
                <c:pt idx="128">
                  <c:v>0.98</c:v>
                </c:pt>
                <c:pt idx="129">
                  <c:v>0.98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A-4D00-B02D-D7B72206DD4E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kry kvie'!$Y$180:$Y$335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0.83085714285714274</c:v>
                </c:pt>
                <c:pt idx="41">
                  <c:v>0.83514285714285708</c:v>
                </c:pt>
                <c:pt idx="42">
                  <c:v>0.83942857142857141</c:v>
                </c:pt>
                <c:pt idx="43">
                  <c:v>0.84371428571428564</c:v>
                </c:pt>
                <c:pt idx="44">
                  <c:v>0.84799999999999998</c:v>
                </c:pt>
                <c:pt idx="45">
                  <c:v>0.8522857142857142</c:v>
                </c:pt>
                <c:pt idx="46">
                  <c:v>0.85657142857142854</c:v>
                </c:pt>
                <c:pt idx="47">
                  <c:v>0.86085714285714277</c:v>
                </c:pt>
                <c:pt idx="48">
                  <c:v>0.8651428571428571</c:v>
                </c:pt>
                <c:pt idx="49">
                  <c:v>0.86942857142857133</c:v>
                </c:pt>
                <c:pt idx="50">
                  <c:v>0.87371428571428567</c:v>
                </c:pt>
                <c:pt idx="51">
                  <c:v>0.87799999999999989</c:v>
                </c:pt>
                <c:pt idx="52">
                  <c:v>0.88228571428571423</c:v>
                </c:pt>
                <c:pt idx="53">
                  <c:v>0.88657142857142845</c:v>
                </c:pt>
                <c:pt idx="54">
                  <c:v>0.89085714285714279</c:v>
                </c:pt>
                <c:pt idx="55">
                  <c:v>0.89514285714285713</c:v>
                </c:pt>
                <c:pt idx="56">
                  <c:v>0.89942857142857136</c:v>
                </c:pt>
                <c:pt idx="57">
                  <c:v>0.90371428571428569</c:v>
                </c:pt>
                <c:pt idx="58">
                  <c:v>0.90799999999999992</c:v>
                </c:pt>
                <c:pt idx="59">
                  <c:v>0.91228571428571426</c:v>
                </c:pt>
                <c:pt idx="60">
                  <c:v>0.91657142857142848</c:v>
                </c:pt>
                <c:pt idx="61">
                  <c:v>0.92085714285714282</c:v>
                </c:pt>
                <c:pt idx="62">
                  <c:v>0.92514285714285704</c:v>
                </c:pt>
                <c:pt idx="63">
                  <c:v>0.92942857142857138</c:v>
                </c:pt>
                <c:pt idx="64">
                  <c:v>0.93371428571428561</c:v>
                </c:pt>
                <c:pt idx="65">
                  <c:v>0.93799999999999994</c:v>
                </c:pt>
                <c:pt idx="66">
                  <c:v>0.94228571428571417</c:v>
                </c:pt>
                <c:pt idx="67">
                  <c:v>0.94657142857142851</c:v>
                </c:pt>
                <c:pt idx="68">
                  <c:v>0.95085714285714285</c:v>
                </c:pt>
                <c:pt idx="69">
                  <c:v>0.95514285714285707</c:v>
                </c:pt>
                <c:pt idx="70">
                  <c:v>0.95942857142857141</c:v>
                </c:pt>
                <c:pt idx="71">
                  <c:v>0.96371428571428563</c:v>
                </c:pt>
                <c:pt idx="72">
                  <c:v>0.96799999999999997</c:v>
                </c:pt>
                <c:pt idx="73">
                  <c:v>0.9722857142857142</c:v>
                </c:pt>
                <c:pt idx="74">
                  <c:v>0.97657142857142853</c:v>
                </c:pt>
                <c:pt idx="75">
                  <c:v>0.98</c:v>
                </c:pt>
                <c:pt idx="76">
                  <c:v>0.98</c:v>
                </c:pt>
                <c:pt idx="77">
                  <c:v>0.98</c:v>
                </c:pt>
                <c:pt idx="78">
                  <c:v>0.98</c:v>
                </c:pt>
                <c:pt idx="79">
                  <c:v>0.98</c:v>
                </c:pt>
                <c:pt idx="80">
                  <c:v>0.98</c:v>
                </c:pt>
                <c:pt idx="81">
                  <c:v>0.98</c:v>
                </c:pt>
                <c:pt idx="82">
                  <c:v>0.98</c:v>
                </c:pt>
                <c:pt idx="83">
                  <c:v>0.98</c:v>
                </c:pt>
                <c:pt idx="84">
                  <c:v>0.98</c:v>
                </c:pt>
                <c:pt idx="85">
                  <c:v>0.98</c:v>
                </c:pt>
                <c:pt idx="86">
                  <c:v>0.98</c:v>
                </c:pt>
                <c:pt idx="87">
                  <c:v>0.98</c:v>
                </c:pt>
                <c:pt idx="88">
                  <c:v>0.98</c:v>
                </c:pt>
                <c:pt idx="89">
                  <c:v>0.98</c:v>
                </c:pt>
                <c:pt idx="90">
                  <c:v>0.98</c:v>
                </c:pt>
                <c:pt idx="91">
                  <c:v>0.98</c:v>
                </c:pt>
                <c:pt idx="92">
                  <c:v>0.98</c:v>
                </c:pt>
                <c:pt idx="93">
                  <c:v>0.98</c:v>
                </c:pt>
                <c:pt idx="94">
                  <c:v>0.98</c:v>
                </c:pt>
                <c:pt idx="95">
                  <c:v>0.98</c:v>
                </c:pt>
                <c:pt idx="96">
                  <c:v>0.98</c:v>
                </c:pt>
                <c:pt idx="97">
                  <c:v>0.98</c:v>
                </c:pt>
                <c:pt idx="98">
                  <c:v>0.98</c:v>
                </c:pt>
                <c:pt idx="99">
                  <c:v>0.98</c:v>
                </c:pt>
                <c:pt idx="100">
                  <c:v>0.98</c:v>
                </c:pt>
                <c:pt idx="101">
                  <c:v>0.98</c:v>
                </c:pt>
                <c:pt idx="102">
                  <c:v>0.98</c:v>
                </c:pt>
                <c:pt idx="103">
                  <c:v>0.98</c:v>
                </c:pt>
                <c:pt idx="104">
                  <c:v>0.98</c:v>
                </c:pt>
                <c:pt idx="105">
                  <c:v>0.98</c:v>
                </c:pt>
                <c:pt idx="106">
                  <c:v>0.98</c:v>
                </c:pt>
                <c:pt idx="107">
                  <c:v>0.98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0.98</c:v>
                </c:pt>
                <c:pt idx="112">
                  <c:v>0.98</c:v>
                </c:pt>
                <c:pt idx="113">
                  <c:v>0.98</c:v>
                </c:pt>
                <c:pt idx="114">
                  <c:v>0.98</c:v>
                </c:pt>
                <c:pt idx="115">
                  <c:v>0.98</c:v>
                </c:pt>
                <c:pt idx="116">
                  <c:v>0.98</c:v>
                </c:pt>
                <c:pt idx="117">
                  <c:v>0.98</c:v>
                </c:pt>
                <c:pt idx="118">
                  <c:v>0.98</c:v>
                </c:pt>
                <c:pt idx="119">
                  <c:v>0.98</c:v>
                </c:pt>
                <c:pt idx="120">
                  <c:v>0.98</c:v>
                </c:pt>
                <c:pt idx="121">
                  <c:v>0.98</c:v>
                </c:pt>
                <c:pt idx="122">
                  <c:v>0.98</c:v>
                </c:pt>
                <c:pt idx="123">
                  <c:v>0.98</c:v>
                </c:pt>
                <c:pt idx="124">
                  <c:v>0.98</c:v>
                </c:pt>
                <c:pt idx="125">
                  <c:v>0.98</c:v>
                </c:pt>
                <c:pt idx="126">
                  <c:v>0.98</c:v>
                </c:pt>
                <c:pt idx="127">
                  <c:v>0.98</c:v>
                </c:pt>
                <c:pt idx="128">
                  <c:v>0.98</c:v>
                </c:pt>
                <c:pt idx="129">
                  <c:v>0.98</c:v>
                </c:pt>
                <c:pt idx="130">
                  <c:v>0.98</c:v>
                </c:pt>
                <c:pt idx="131">
                  <c:v>0.98</c:v>
                </c:pt>
                <c:pt idx="132">
                  <c:v>0.98</c:v>
                </c:pt>
                <c:pt idx="133">
                  <c:v>0.98</c:v>
                </c:pt>
                <c:pt idx="134">
                  <c:v>0.98</c:v>
                </c:pt>
                <c:pt idx="135">
                  <c:v>0.98</c:v>
                </c:pt>
                <c:pt idx="136">
                  <c:v>0.98</c:v>
                </c:pt>
                <c:pt idx="137">
                  <c:v>0.98</c:v>
                </c:pt>
                <c:pt idx="138">
                  <c:v>0.98</c:v>
                </c:pt>
                <c:pt idx="139">
                  <c:v>0.98</c:v>
                </c:pt>
                <c:pt idx="140">
                  <c:v>0.98</c:v>
                </c:pt>
                <c:pt idx="141">
                  <c:v>0.98</c:v>
                </c:pt>
                <c:pt idx="142">
                  <c:v>0.98</c:v>
                </c:pt>
                <c:pt idx="143">
                  <c:v>0.98</c:v>
                </c:pt>
                <c:pt idx="144">
                  <c:v>0.98</c:v>
                </c:pt>
                <c:pt idx="145">
                  <c:v>0.98</c:v>
                </c:pt>
                <c:pt idx="146">
                  <c:v>0.98</c:v>
                </c:pt>
                <c:pt idx="147">
                  <c:v>0.98</c:v>
                </c:pt>
                <c:pt idx="148">
                  <c:v>0.98</c:v>
                </c:pt>
                <c:pt idx="149">
                  <c:v>0.98</c:v>
                </c:pt>
                <c:pt idx="150">
                  <c:v>0.98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A-4D00-B02D-D7B72206D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533632"/>
        <c:axId val="726640304"/>
      </c:lineChart>
      <c:catAx>
        <c:axId val="143653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0304"/>
        <c:crosses val="autoZero"/>
        <c:auto val="1"/>
        <c:lblAlgn val="ctr"/>
        <c:lblOffset val="100"/>
        <c:noMultiLvlLbl val="0"/>
      </c:catAx>
      <c:valAx>
        <c:axId val="726640304"/>
        <c:scaling>
          <c:orientation val="minMax"/>
          <c:max val="1.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4365336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Gns salgspris pr. kg,</a:t>
            </a:r>
            <a:r>
              <a:rPr lang="da-DK" baseline="0"/>
              <a:t> vægtet med godkendelsesprocent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4.4811813571847207E-2"/>
          <c:y val="0.13719185423365488"/>
          <c:w val="0.95001707310857986"/>
          <c:h val="0.58459494813952118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hol'!$AE$180:$AE$335</c:f>
              <c:numCache>
                <c:formatCode>#,##0.00</c:formatCode>
                <c:ptCount val="156"/>
                <c:pt idx="0">
                  <c:v>27.235124089994077</c:v>
                </c:pt>
                <c:pt idx="1">
                  <c:v>27.244948098769232</c:v>
                </c:pt>
                <c:pt idx="2">
                  <c:v>27.254759958729348</c:v>
                </c:pt>
                <c:pt idx="3">
                  <c:v>27.26455915818304</c:v>
                </c:pt>
                <c:pt idx="4">
                  <c:v>27.274345184917106</c:v>
                </c:pt>
                <c:pt idx="5">
                  <c:v>27.284117526222413</c:v>
                </c:pt>
                <c:pt idx="6">
                  <c:v>27.293875668920318</c:v>
                </c:pt>
                <c:pt idx="7">
                  <c:v>27.303619099389234</c:v>
                </c:pt>
                <c:pt idx="8">
                  <c:v>27.313347303591737</c:v>
                </c:pt>
                <c:pt idx="9">
                  <c:v>27.323059767101881</c:v>
                </c:pt>
                <c:pt idx="10">
                  <c:v>27.332755975132901</c:v>
                </c:pt>
                <c:pt idx="11">
                  <c:v>27.342435412565219</c:v>
                </c:pt>
                <c:pt idx="12">
                  <c:v>27.352097563974727</c:v>
                </c:pt>
                <c:pt idx="13">
                  <c:v>27.361741913661426</c:v>
                </c:pt>
                <c:pt idx="14">
                  <c:v>27.371367945678276</c:v>
                </c:pt>
                <c:pt idx="15">
                  <c:v>27.380975143860375</c:v>
                </c:pt>
                <c:pt idx="16">
                  <c:v>27.390562991854399</c:v>
                </c:pt>
                <c:pt idx="17">
                  <c:v>27.400130973148229</c:v>
                </c:pt>
                <c:pt idx="18">
                  <c:v>27.409678571100947</c:v>
                </c:pt>
                <c:pt idx="19">
                  <c:v>27.419205268972906</c:v>
                </c:pt>
                <c:pt idx="20">
                  <c:v>27.428710549956158</c:v>
                </c:pt>
                <c:pt idx="21">
                  <c:v>27.438193897205036</c:v>
                </c:pt>
                <c:pt idx="22">
                  <c:v>27.447654793866906</c:v>
                </c:pt>
                <c:pt idx="23">
                  <c:v>27.457092723113192</c:v>
                </c:pt>
                <c:pt idx="24">
                  <c:v>27.466507168170498</c:v>
                </c:pt>
                <c:pt idx="25">
                  <c:v>27.475897612351936</c:v>
                </c:pt>
                <c:pt idx="26">
                  <c:v>27.485263539088646</c:v>
                </c:pt>
                <c:pt idx="27">
                  <c:v>27.494604431961388</c:v>
                </c:pt>
                <c:pt idx="28">
                  <c:v>27.504127441121145</c:v>
                </c:pt>
                <c:pt idx="29">
                  <c:v>27.513692097208718</c:v>
                </c:pt>
                <c:pt idx="30">
                  <c:v>27.523230424355177</c:v>
                </c:pt>
                <c:pt idx="31">
                  <c:v>27.532742291694689</c:v>
                </c:pt>
                <c:pt idx="32">
                  <c:v>27.542227574783769</c:v>
                </c:pt>
                <c:pt idx="33">
                  <c:v>27.55168615559549</c:v>
                </c:pt>
                <c:pt idx="34">
                  <c:v>27.561117922513262</c:v>
                </c:pt>
                <c:pt idx="35">
                  <c:v>27.570522770324136</c:v>
                </c:pt>
                <c:pt idx="36">
                  <c:v>27.57990060021168</c:v>
                </c:pt>
                <c:pt idx="37">
                  <c:v>27.589251319748392</c:v>
                </c:pt>
                <c:pt idx="38">
                  <c:v>27.5985748428877</c:v>
                </c:pt>
                <c:pt idx="39">
                  <c:v>27.607871089955541</c:v>
                </c:pt>
                <c:pt idx="40">
                  <c:v>27.617139987641522</c:v>
                </c:pt>
                <c:pt idx="41">
                  <c:v>27.626381468989692</c:v>
                </c:pt>
                <c:pt idx="42">
                  <c:v>27.635595473388889</c:v>
                </c:pt>
                <c:pt idx="43">
                  <c:v>27.644781946562759</c:v>
                </c:pt>
                <c:pt idx="44">
                  <c:v>32.925940529739727</c:v>
                </c:pt>
                <c:pt idx="45">
                  <c:v>32.980548397589821</c:v>
                </c:pt>
                <c:pt idx="46">
                  <c:v>33.035260594588898</c:v>
                </c:pt>
                <c:pt idx="47">
                  <c:v>33.090076180463846</c:v>
                </c:pt>
                <c:pt idx="48">
                  <c:v>33.14499423279301</c:v>
                </c:pt>
                <c:pt idx="49">
                  <c:v>33.200013847291828</c:v>
                </c:pt>
                <c:pt idx="50">
                  <c:v>33.25513413809675</c:v>
                </c:pt>
                <c:pt idx="51">
                  <c:v>33.310354238047459</c:v>
                </c:pt>
                <c:pt idx="52">
                  <c:v>33.365673298967309</c:v>
                </c:pt>
                <c:pt idx="53">
                  <c:v>33.421090491942159</c:v>
                </c:pt>
                <c:pt idx="54">
                  <c:v>33.476605007597321</c:v>
                </c:pt>
                <c:pt idx="55">
                  <c:v>33.532216056372995</c:v>
                </c:pt>
                <c:pt idx="56">
                  <c:v>33.587922868797868</c:v>
                </c:pt>
                <c:pt idx="57">
                  <c:v>33.643724695761122</c:v>
                </c:pt>
                <c:pt idx="58">
                  <c:v>33.699620808782662</c:v>
                </c:pt>
                <c:pt idx="59">
                  <c:v>33.75561050028179</c:v>
                </c:pt>
                <c:pt idx="60">
                  <c:v>33.811693083844155</c:v>
                </c:pt>
                <c:pt idx="61">
                  <c:v>33.867867894487063</c:v>
                </c:pt>
                <c:pt idx="62">
                  <c:v>33.924134288923142</c:v>
                </c:pt>
                <c:pt idx="63">
                  <c:v>33.980491645822482</c:v>
                </c:pt>
                <c:pt idx="64">
                  <c:v>34.036939366072993</c:v>
                </c:pt>
                <c:pt idx="65">
                  <c:v>34.093476873039378</c:v>
                </c:pt>
                <c:pt idx="66">
                  <c:v>34.150103612820345</c:v>
                </c:pt>
                <c:pt idx="67">
                  <c:v>34.206819054504386</c:v>
                </c:pt>
                <c:pt idx="68">
                  <c:v>34.263622690423936</c:v>
                </c:pt>
                <c:pt idx="69">
                  <c:v>34.320514036408063</c:v>
                </c:pt>
                <c:pt idx="70">
                  <c:v>34.377492632033636</c:v>
                </c:pt>
                <c:pt idx="71">
                  <c:v>34.434558040874926</c:v>
                </c:pt>
                <c:pt idx="72">
                  <c:v>34.485767078571058</c:v>
                </c:pt>
                <c:pt idx="73">
                  <c:v>34.513274261461902</c:v>
                </c:pt>
                <c:pt idx="74">
                  <c:v>34.541125961462917</c:v>
                </c:pt>
                <c:pt idx="75">
                  <c:v>34.56888929818831</c:v>
                </c:pt>
                <c:pt idx="76">
                  <c:v>34.596564777408716</c:v>
                </c:pt>
                <c:pt idx="77">
                  <c:v>34.624152924204814</c:v>
                </c:pt>
                <c:pt idx="78">
                  <c:v>34.651654282903252</c:v>
                </c:pt>
                <c:pt idx="79">
                  <c:v>34.679069417012407</c:v>
                </c:pt>
                <c:pt idx="80">
                  <c:v>34.706398909158054</c:v>
                </c:pt>
                <c:pt idx="81">
                  <c:v>34.733643361018942</c:v>
                </c:pt>
                <c:pt idx="82">
                  <c:v>34.760803393262307</c:v>
                </c:pt>
                <c:pt idx="83">
                  <c:v>34.787879645479315</c:v>
                </c:pt>
                <c:pt idx="84">
                  <c:v>34.814872776120609</c:v>
                </c:pt>
                <c:pt idx="85">
                  <c:v>34.841783462431721</c:v>
                </c:pt>
                <c:pt idx="86">
                  <c:v>34.868612400388763</c:v>
                </c:pt>
                <c:pt idx="87">
                  <c:v>34.895360304633904</c:v>
                </c:pt>
                <c:pt idx="88">
                  <c:v>34.922027908411287</c:v>
                </c:pt>
                <c:pt idx="89">
                  <c:v>34.946251017791397</c:v>
                </c:pt>
                <c:pt idx="90">
                  <c:v>34.962357456631956</c:v>
                </c:pt>
                <c:pt idx="91">
                  <c:v>34.978415040397707</c:v>
                </c:pt>
                <c:pt idx="92">
                  <c:v>34.994423796395033</c:v>
                </c:pt>
                <c:pt idx="93">
                  <c:v>35.010383758202721</c:v>
                </c:pt>
                <c:pt idx="94">
                  <c:v>35.026294965677515</c:v>
                </c:pt>
                <c:pt idx="95">
                  <c:v>35.042157464959473</c:v>
                </c:pt>
                <c:pt idx="96">
                  <c:v>35.057971308477647</c:v>
                </c:pt>
                <c:pt idx="97">
                  <c:v>35.073736554955524</c:v>
                </c:pt>
                <c:pt idx="98">
                  <c:v>35.089453269416744</c:v>
                </c:pt>
                <c:pt idx="99">
                  <c:v>35.10512152319064</c:v>
                </c:pt>
                <c:pt idx="100">
                  <c:v>35.120741393917989</c:v>
                </c:pt>
                <c:pt idx="101">
                  <c:v>35.136312965556733</c:v>
                </c:pt>
                <c:pt idx="102">
                  <c:v>35.151836328387688</c:v>
                </c:pt>
                <c:pt idx="103">
                  <c:v>35.167311579020335</c:v>
                </c:pt>
                <c:pt idx="104">
                  <c:v>35.182738820398669</c:v>
                </c:pt>
                <c:pt idx="105">
                  <c:v>35.198118161806981</c:v>
                </c:pt>
                <c:pt idx="106">
                  <c:v>35.213449718875808</c:v>
                </c:pt>
                <c:pt idx="107">
                  <c:v>35.228733613587742</c:v>
                </c:pt>
                <c:pt idx="108">
                  <c:v>35.243969974283431</c:v>
                </c:pt>
                <c:pt idx="109">
                  <c:v>35.2591589356675</c:v>
                </c:pt>
                <c:pt idx="110">
                  <c:v>35.274300638814509</c:v>
                </c:pt>
                <c:pt idx="111">
                  <c:v>35.289395231174993</c:v>
                </c:pt>
                <c:pt idx="112">
                  <c:v>35.304442866581425</c:v>
                </c:pt>
                <c:pt idx="113">
                  <c:v>35.319443705254287</c:v>
                </c:pt>
                <c:pt idx="114">
                  <c:v>35.334397913808125</c:v>
                </c:pt>
                <c:pt idx="115">
                  <c:v>35.349305665257631</c:v>
                </c:pt>
                <c:pt idx="116">
                  <c:v>35.364167139023685</c:v>
                </c:pt>
                <c:pt idx="117">
                  <c:v>35.378982520939545</c:v>
                </c:pt>
                <c:pt idx="118">
                  <c:v>35.393752003256871</c:v>
                </c:pt>
                <c:pt idx="119">
                  <c:v>35.408475784651912</c:v>
                </c:pt>
                <c:pt idx="120">
                  <c:v>35.423154070231647</c:v>
                </c:pt>
                <c:pt idx="121">
                  <c:v>35.437787071539908</c:v>
                </c:pt>
                <c:pt idx="122">
                  <c:v>35.452375006563557</c:v>
                </c:pt>
                <c:pt idx="123">
                  <c:v>35.466918099738635</c:v>
                </c:pt>
                <c:pt idx="124">
                  <c:v>35.48141658195658</c:v>
                </c:pt>
                <c:pt idx="125">
                  <c:v>35.495870690570321</c:v>
                </c:pt>
                <c:pt idx="126">
                  <c:v>35.510280669400558</c:v>
                </c:pt>
                <c:pt idx="127">
                  <c:v>35.524646768741832</c:v>
                </c:pt>
                <c:pt idx="128">
                  <c:v>35.538969245368776</c:v>
                </c:pt>
                <c:pt idx="129">
                  <c:v>35.553248362542277</c:v>
                </c:pt>
                <c:pt idx="130">
                  <c:v>35.567484390015686</c:v>
                </c:pt>
                <c:pt idx="131">
                  <c:v>35.581677604040848</c:v>
                </c:pt>
                <c:pt idx="132">
                  <c:v>35.595828287374474</c:v>
                </c:pt>
                <c:pt idx="133">
                  <c:v>35.609936729284165</c:v>
                </c:pt>
                <c:pt idx="134">
                  <c:v>35.624003225554546</c:v>
                </c:pt>
                <c:pt idx="135">
                  <c:v>35.638028078493477</c:v>
                </c:pt>
                <c:pt idx="136">
                  <c:v>35.652011596938188</c:v>
                </c:pt>
                <c:pt idx="137">
                  <c:v>35.665954096261295</c:v>
                </c:pt>
                <c:pt idx="138">
                  <c:v>35.679855898377014</c:v>
                </c:pt>
                <c:pt idx="139">
                  <c:v>35.693717331747173</c:v>
                </c:pt>
                <c:pt idx="140">
                  <c:v>35.707538731387302</c:v>
                </c:pt>
                <c:pt idx="141">
                  <c:v>35.721320438872681</c:v>
                </c:pt>
                <c:pt idx="142">
                  <c:v>35.735062802344366</c:v>
                </c:pt>
                <c:pt idx="143">
                  <c:v>35.748766176515211</c:v>
                </c:pt>
                <c:pt idx="144">
                  <c:v>35.762430922675819</c:v>
                </c:pt>
                <c:pt idx="145">
                  <c:v>35.776057408700524</c:v>
                </c:pt>
                <c:pt idx="146">
                  <c:v>35.789646009053307</c:v>
                </c:pt>
                <c:pt idx="147">
                  <c:v>35.803197104793725</c:v>
                </c:pt>
                <c:pt idx="148">
                  <c:v>29.095990250933607</c:v>
                </c:pt>
                <c:pt idx="149">
                  <c:v>29.109283746481303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0-4691-AE54-AC206D346896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kry tyr'!$AE$180:$AE$335</c:f>
              <c:numCache>
                <c:formatCode>#,##0.00</c:formatCode>
                <c:ptCount val="156"/>
                <c:pt idx="0">
                  <c:v>30.343751113408373</c:v>
                </c:pt>
                <c:pt idx="1">
                  <c:v>30.345974896839863</c:v>
                </c:pt>
                <c:pt idx="2">
                  <c:v>30.348196066078998</c:v>
                </c:pt>
                <c:pt idx="3">
                  <c:v>30.350414476240985</c:v>
                </c:pt>
                <c:pt idx="4">
                  <c:v>30.352629981803123</c:v>
                </c:pt>
                <c:pt idx="5">
                  <c:v>30.354842436614074</c:v>
                </c:pt>
                <c:pt idx="6">
                  <c:v>30.357051693903188</c:v>
                </c:pt>
                <c:pt idx="7">
                  <c:v>30.359257606289979</c:v>
                </c:pt>
                <c:pt idx="8">
                  <c:v>30.361460025793743</c:v>
                </c:pt>
                <c:pt idx="9">
                  <c:v>30.363658803843276</c:v>
                </c:pt>
                <c:pt idx="10">
                  <c:v>30.365853791286671</c:v>
                </c:pt>
                <c:pt idx="11">
                  <c:v>30.368044838401271</c:v>
                </c:pt>
                <c:pt idx="12">
                  <c:v>30.37023179490372</c:v>
                </c:pt>
                <c:pt idx="13">
                  <c:v>30.372414509960048</c:v>
                </c:pt>
                <c:pt idx="14">
                  <c:v>30.374592832195972</c:v>
                </c:pt>
                <c:pt idx="15">
                  <c:v>30.376766609707154</c:v>
                </c:pt>
                <c:pt idx="16">
                  <c:v>30.378935690069653</c:v>
                </c:pt>
                <c:pt idx="17">
                  <c:v>30.381099920350408</c:v>
                </c:pt>
                <c:pt idx="18">
                  <c:v>30.383259147117801</c:v>
                </c:pt>
                <c:pt idx="19">
                  <c:v>30.385413216452321</c:v>
                </c:pt>
                <c:pt idx="20">
                  <c:v>30.387561973957272</c:v>
                </c:pt>
                <c:pt idx="21">
                  <c:v>30.389705264769574</c:v>
                </c:pt>
                <c:pt idx="22">
                  <c:v>30.391842933570608</c:v>
                </c:pt>
                <c:pt idx="23">
                  <c:v>30.393974824597123</c:v>
                </c:pt>
                <c:pt idx="24">
                  <c:v>30.396100781652208</c:v>
                </c:pt>
                <c:pt idx="25">
                  <c:v>30.398220648116322</c:v>
                </c:pt>
                <c:pt idx="26">
                  <c:v>30.400334266958335</c:v>
                </c:pt>
                <c:pt idx="27">
                  <c:v>30.402441480746671</c:v>
                </c:pt>
                <c:pt idx="28">
                  <c:v>30.404542131660406</c:v>
                </c:pt>
                <c:pt idx="29">
                  <c:v>30.406636061500535</c:v>
                </c:pt>
                <c:pt idx="30">
                  <c:v>30.408723111701107</c:v>
                </c:pt>
                <c:pt idx="31">
                  <c:v>30.410803123340507</c:v>
                </c:pt>
                <c:pt idx="32">
                  <c:v>30.412875937152752</c:v>
                </c:pt>
                <c:pt idx="33">
                  <c:v>30.414941418901144</c:v>
                </c:pt>
                <c:pt idx="34">
                  <c:v>30.416999536280382</c:v>
                </c:pt>
                <c:pt idx="35">
                  <c:v>30.419050284239656</c:v>
                </c:pt>
                <c:pt idx="36">
                  <c:v>30.421093659818006</c:v>
                </c:pt>
                <c:pt idx="37">
                  <c:v>34.831912860499592</c:v>
                </c:pt>
                <c:pt idx="38">
                  <c:v>34.880505058407948</c:v>
                </c:pt>
                <c:pt idx="39">
                  <c:v>34.92924969344449</c:v>
                </c:pt>
                <c:pt idx="40">
                  <c:v>34.978145500223704</c:v>
                </c:pt>
                <c:pt idx="41">
                  <c:v>35.02719124076259</c:v>
                </c:pt>
                <c:pt idx="42">
                  <c:v>35.076385705042092</c:v>
                </c:pt>
                <c:pt idx="43">
                  <c:v>35.12618962630313</c:v>
                </c:pt>
                <c:pt idx="44">
                  <c:v>35.178759713246663</c:v>
                </c:pt>
                <c:pt idx="45">
                  <c:v>35.231294757445696</c:v>
                </c:pt>
                <c:pt idx="46">
                  <c:v>35.283794983835854</c:v>
                </c:pt>
                <c:pt idx="47">
                  <c:v>35.336260642792801</c:v>
                </c:pt>
                <c:pt idx="48">
                  <c:v>35.388692010266318</c:v>
                </c:pt>
                <c:pt idx="49">
                  <c:v>35.441089387915255</c:v>
                </c:pt>
                <c:pt idx="50">
                  <c:v>35.493453103243404</c:v>
                </c:pt>
                <c:pt idx="51">
                  <c:v>35.545783509736289</c:v>
                </c:pt>
                <c:pt idx="52">
                  <c:v>35.598080986998696</c:v>
                </c:pt>
                <c:pt idx="53">
                  <c:v>35.650345940893153</c:v>
                </c:pt>
                <c:pt idx="54">
                  <c:v>35.702578803679195</c:v>
                </c:pt>
                <c:pt idx="55">
                  <c:v>35.754780034153391</c:v>
                </c:pt>
                <c:pt idx="56">
                  <c:v>35.803604319286293</c:v>
                </c:pt>
                <c:pt idx="57">
                  <c:v>35.843593193920412</c:v>
                </c:pt>
                <c:pt idx="58">
                  <c:v>35.883480376909091</c:v>
                </c:pt>
                <c:pt idx="59">
                  <c:v>35.923266789250789</c:v>
                </c:pt>
                <c:pt idx="60">
                  <c:v>35.962953361122011</c:v>
                </c:pt>
                <c:pt idx="61">
                  <c:v>36.002541031768942</c:v>
                </c:pt>
                <c:pt idx="62">
                  <c:v>36.042030749401484</c:v>
                </c:pt>
                <c:pt idx="63">
                  <c:v>36.081423471090048</c:v>
                </c:pt>
                <c:pt idx="64">
                  <c:v>36.120720162664711</c:v>
                </c:pt>
                <c:pt idx="65">
                  <c:v>36.159921798617077</c:v>
                </c:pt>
                <c:pt idx="66">
                  <c:v>36.199029362004438</c:v>
                </c:pt>
                <c:pt idx="67">
                  <c:v>36.238043844356653</c:v>
                </c:pt>
                <c:pt idx="68">
                  <c:v>36.276966245585335</c:v>
                </c:pt>
                <c:pt idx="69">
                  <c:v>36.315797573895665</c:v>
                </c:pt>
                <c:pt idx="70">
                  <c:v>36.354538845700496</c:v>
                </c:pt>
                <c:pt idx="71">
                  <c:v>36.39319108553709</c:v>
                </c:pt>
                <c:pt idx="72">
                  <c:v>36.431755325986146</c:v>
                </c:pt>
                <c:pt idx="73">
                  <c:v>36.470232607593317</c:v>
                </c:pt>
                <c:pt idx="74">
                  <c:v>36.508623978793132</c:v>
                </c:pt>
                <c:pt idx="75">
                  <c:v>36.546930495835404</c:v>
                </c:pt>
                <c:pt idx="76">
                  <c:v>36.585153222713814</c:v>
                </c:pt>
                <c:pt idx="77">
                  <c:v>36.618471586111568</c:v>
                </c:pt>
                <c:pt idx="78">
                  <c:v>36.632443296352683</c:v>
                </c:pt>
                <c:pt idx="79">
                  <c:v>36.6463700782313</c:v>
                </c:pt>
                <c:pt idx="80">
                  <c:v>36.660252596012022</c:v>
                </c:pt>
                <c:pt idx="81">
                  <c:v>36.674091528099304</c:v>
                </c:pt>
                <c:pt idx="82">
                  <c:v>36.687887566972222</c:v>
                </c:pt>
                <c:pt idx="83">
                  <c:v>36.701641419119341</c:v>
                </c:pt>
                <c:pt idx="84">
                  <c:v>36.71535380497361</c:v>
                </c:pt>
                <c:pt idx="85">
                  <c:v>36.729025458847381</c:v>
                </c:pt>
                <c:pt idx="86">
                  <c:v>36.742657128867506</c:v>
                </c:pt>
                <c:pt idx="87">
                  <c:v>36.756249576910641</c:v>
                </c:pt>
                <c:pt idx="88">
                  <c:v>36.769803578538649</c:v>
                </c:pt>
                <c:pt idx="89">
                  <c:v>36.783319922934346</c:v>
                </c:pt>
                <c:pt idx="90">
                  <c:v>36.796799412837352</c:v>
                </c:pt>
                <c:pt idx="91">
                  <c:v>36.810242864480315</c:v>
                </c:pt>
                <c:pt idx="92">
                  <c:v>36.823651107525421</c:v>
                </c:pt>
                <c:pt idx="93">
                  <c:v>36.83702498500115</c:v>
                </c:pt>
                <c:pt idx="94">
                  <c:v>36.850365214828173</c:v>
                </c:pt>
                <c:pt idx="95">
                  <c:v>36.863671971567896</c:v>
                </c:pt>
                <c:pt idx="96">
                  <c:v>36.876945296456981</c:v>
                </c:pt>
                <c:pt idx="97">
                  <c:v>36.890185235089639</c:v>
                </c:pt>
                <c:pt idx="98">
                  <c:v>36.903391837431002</c:v>
                </c:pt>
                <c:pt idx="99">
                  <c:v>36.916565157830604</c:v>
                </c:pt>
                <c:pt idx="100">
                  <c:v>36.929705255035969</c:v>
                </c:pt>
                <c:pt idx="101">
                  <c:v>36.942812192206134</c:v>
                </c:pt>
                <c:pt idx="102">
                  <c:v>36.955886036925335</c:v>
                </c:pt>
                <c:pt idx="103">
                  <c:v>36.968926861216644</c:v>
                </c:pt>
                <c:pt idx="104">
                  <c:v>36.98193474155574</c:v>
                </c:pt>
                <c:pt idx="105">
                  <c:v>36.994909758884589</c:v>
                </c:pt>
                <c:pt idx="106">
                  <c:v>37.007851998625277</c:v>
                </c:pt>
                <c:pt idx="107">
                  <c:v>37.020761550693763</c:v>
                </c:pt>
                <c:pt idx="108">
                  <c:v>37.033638509513736</c:v>
                </c:pt>
                <c:pt idx="109">
                  <c:v>37.04648297403044</c:v>
                </c:pt>
                <c:pt idx="110">
                  <c:v>37.059295047724518</c:v>
                </c:pt>
                <c:pt idx="111">
                  <c:v>37.072074838625888</c:v>
                </c:pt>
                <c:pt idx="112">
                  <c:v>37.084822459327576</c:v>
                </c:pt>
                <c:pt idx="113">
                  <c:v>37.097538026999629</c:v>
                </c:pt>
                <c:pt idx="114">
                  <c:v>37.104583045067898</c:v>
                </c:pt>
                <c:pt idx="115">
                  <c:v>37.105522378831665</c:v>
                </c:pt>
                <c:pt idx="116">
                  <c:v>37.106459048689075</c:v>
                </c:pt>
                <c:pt idx="117">
                  <c:v>37.107393067023992</c:v>
                </c:pt>
                <c:pt idx="118">
                  <c:v>37.108324446546014</c:v>
                </c:pt>
                <c:pt idx="119">
                  <c:v>37.109253200290908</c:v>
                </c:pt>
                <c:pt idx="120">
                  <c:v>37.110179341621212</c:v>
                </c:pt>
                <c:pt idx="121">
                  <c:v>37.11110288422671</c:v>
                </c:pt>
                <c:pt idx="122">
                  <c:v>37.112023842125019</c:v>
                </c:pt>
                <c:pt idx="123">
                  <c:v>37.112942229662039</c:v>
                </c:pt>
                <c:pt idx="124">
                  <c:v>37.113858061512552</c:v>
                </c:pt>
                <c:pt idx="125">
                  <c:v>37.114771352680691</c:v>
                </c:pt>
                <c:pt idx="126">
                  <c:v>37.115682118500473</c:v>
                </c:pt>
                <c:pt idx="127">
                  <c:v>37.116590374636324</c:v>
                </c:pt>
                <c:pt idx="128">
                  <c:v>37.117496137083585</c:v>
                </c:pt>
                <c:pt idx="129">
                  <c:v>37.118399422169006</c:v>
                </c:pt>
                <c:pt idx="130">
                  <c:v>31.975228491562959</c:v>
                </c:pt>
                <c:pt idx="131">
                  <c:v>31.990106008266007</c:v>
                </c:pt>
                <c:pt idx="132">
                  <c:v>32.004932905569497</c:v>
                </c:pt>
                <c:pt idx="133">
                  <c:v>32.019709549216117</c:v>
                </c:pt>
                <c:pt idx="134">
                  <c:v>32.034436309573287</c:v>
                </c:pt>
                <c:pt idx="135">
                  <c:v>32.049113561624353</c:v>
                </c:pt>
                <c:pt idx="136">
                  <c:v>32.063741684959808</c:v>
                </c:pt>
                <c:pt idx="137">
                  <c:v>32.078321063768435</c:v>
                </c:pt>
                <c:pt idx="138">
                  <c:v>32.092852086828344</c:v>
                </c:pt>
                <c:pt idx="139">
                  <c:v>32.107335147497992</c:v>
                </c:pt>
                <c:pt idx="140">
                  <c:v>32.121770643707073</c:v>
                </c:pt>
                <c:pt idx="141">
                  <c:v>32.136158977947339</c:v>
                </c:pt>
                <c:pt idx="142">
                  <c:v>32.150500557263314</c:v>
                </c:pt>
                <c:pt idx="143">
                  <c:v>32.164795793242888</c:v>
                </c:pt>
                <c:pt idx="144">
                  <c:v>32.179045102007841</c:v>
                </c:pt>
                <c:pt idx="145">
                  <c:v>32.193248904204182</c:v>
                </c:pt>
                <c:pt idx="146">
                  <c:v>32.207407624992378</c:v>
                </c:pt>
                <c:pt idx="147">
                  <c:v>32.221521694037484</c:v>
                </c:pt>
                <c:pt idx="148">
                  <c:v>32.235591545499098</c:v>
                </c:pt>
                <c:pt idx="149">
                  <c:v>32.249617618021077</c:v>
                </c:pt>
                <c:pt idx="150">
                  <c:v>32.26360035472127</c:v>
                </c:pt>
                <c:pt idx="151">
                  <c:v>32.277540203180898</c:v>
                </c:pt>
                <c:pt idx="152">
                  <c:v>32.291437615433864</c:v>
                </c:pt>
                <c:pt idx="153">
                  <c:v>32.305293047955814</c:v>
                </c:pt>
                <c:pt idx="154">
                  <c:v>32.319106961653027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0-4691-AE54-AC206D346896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hol'!$B$180:$B$335</c:f>
              <c:numCache>
                <c:formatCode>0.0</c:formatCode>
                <c:ptCount val="156"/>
                <c:pt idx="0">
                  <c:v>7.1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7.3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8.1</c:v>
                </c:pt>
                <c:pt idx="29">
                  <c:v>8.1</c:v>
                </c:pt>
                <c:pt idx="30">
                  <c:v>8.1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8.3000000000000007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8.4</c:v>
                </c:pt>
                <c:pt idx="38">
                  <c:v>8.4</c:v>
                </c:pt>
                <c:pt idx="39">
                  <c:v>8.4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8.6999999999999993</c:v>
                </c:pt>
                <c:pt idx="47">
                  <c:v>8.6999999999999993</c:v>
                </c:pt>
                <c:pt idx="48">
                  <c:v>8.6999999999999993</c:v>
                </c:pt>
                <c:pt idx="49">
                  <c:v>8.8000000000000007</c:v>
                </c:pt>
                <c:pt idx="50">
                  <c:v>8.8000000000000007</c:v>
                </c:pt>
                <c:pt idx="51">
                  <c:v>8.8000000000000007</c:v>
                </c:pt>
                <c:pt idx="52">
                  <c:v>8.8000000000000007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9.1</c:v>
                </c:pt>
                <c:pt idx="60">
                  <c:v>9.1</c:v>
                </c:pt>
                <c:pt idx="61">
                  <c:v>9.1</c:v>
                </c:pt>
                <c:pt idx="62">
                  <c:v>9.1999999999999993</c:v>
                </c:pt>
                <c:pt idx="63">
                  <c:v>9.1999999999999993</c:v>
                </c:pt>
                <c:pt idx="64">
                  <c:v>9.1999999999999993</c:v>
                </c:pt>
                <c:pt idx="65">
                  <c:v>9.3000000000000007</c:v>
                </c:pt>
                <c:pt idx="66">
                  <c:v>9.3000000000000007</c:v>
                </c:pt>
                <c:pt idx="67">
                  <c:v>9.3000000000000007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9.6</c:v>
                </c:pt>
                <c:pt idx="75">
                  <c:v>9.6</c:v>
                </c:pt>
                <c:pt idx="76">
                  <c:v>9.6</c:v>
                </c:pt>
                <c:pt idx="77">
                  <c:v>9.6999999999999993</c:v>
                </c:pt>
                <c:pt idx="78">
                  <c:v>9.6999999999999993</c:v>
                </c:pt>
                <c:pt idx="79">
                  <c:v>9.6999999999999993</c:v>
                </c:pt>
                <c:pt idx="80">
                  <c:v>9.8000000000000007</c:v>
                </c:pt>
                <c:pt idx="81">
                  <c:v>9.8000000000000007</c:v>
                </c:pt>
                <c:pt idx="82">
                  <c:v>9.8000000000000007</c:v>
                </c:pt>
                <c:pt idx="83">
                  <c:v>9.9</c:v>
                </c:pt>
                <c:pt idx="84">
                  <c:v>9.9</c:v>
                </c:pt>
                <c:pt idx="85">
                  <c:v>9.9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10.1</c:v>
                </c:pt>
                <c:pt idx="90">
                  <c:v>10.1</c:v>
                </c:pt>
                <c:pt idx="91">
                  <c:v>10.1</c:v>
                </c:pt>
                <c:pt idx="92">
                  <c:v>10.199999999999999</c:v>
                </c:pt>
                <c:pt idx="93">
                  <c:v>10.199999999999999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10.3</c:v>
                </c:pt>
                <c:pt idx="97">
                  <c:v>10.3</c:v>
                </c:pt>
                <c:pt idx="98">
                  <c:v>10.4</c:v>
                </c:pt>
                <c:pt idx="99">
                  <c:v>10.4</c:v>
                </c:pt>
                <c:pt idx="100">
                  <c:v>10.4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10.6</c:v>
                </c:pt>
                <c:pt idx="105">
                  <c:v>10.6</c:v>
                </c:pt>
                <c:pt idx="106">
                  <c:v>10.6</c:v>
                </c:pt>
                <c:pt idx="107">
                  <c:v>10.7</c:v>
                </c:pt>
                <c:pt idx="108">
                  <c:v>10.7</c:v>
                </c:pt>
                <c:pt idx="109">
                  <c:v>10.7</c:v>
                </c:pt>
                <c:pt idx="110">
                  <c:v>10.8</c:v>
                </c:pt>
                <c:pt idx="111">
                  <c:v>10.8</c:v>
                </c:pt>
                <c:pt idx="112">
                  <c:v>10.8</c:v>
                </c:pt>
                <c:pt idx="113">
                  <c:v>10.9</c:v>
                </c:pt>
                <c:pt idx="114">
                  <c:v>10.9</c:v>
                </c:pt>
                <c:pt idx="115">
                  <c:v>10.9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11.1</c:v>
                </c:pt>
                <c:pt idx="120">
                  <c:v>11.1</c:v>
                </c:pt>
                <c:pt idx="121">
                  <c:v>11.1</c:v>
                </c:pt>
                <c:pt idx="122">
                  <c:v>11.2</c:v>
                </c:pt>
                <c:pt idx="123">
                  <c:v>11.2</c:v>
                </c:pt>
                <c:pt idx="124">
                  <c:v>11.2</c:v>
                </c:pt>
                <c:pt idx="125">
                  <c:v>11.3</c:v>
                </c:pt>
                <c:pt idx="126">
                  <c:v>11.3</c:v>
                </c:pt>
                <c:pt idx="127">
                  <c:v>11.3</c:v>
                </c:pt>
                <c:pt idx="128">
                  <c:v>11.3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11.6</c:v>
                </c:pt>
                <c:pt idx="136">
                  <c:v>11.6</c:v>
                </c:pt>
                <c:pt idx="137">
                  <c:v>11.6</c:v>
                </c:pt>
                <c:pt idx="138">
                  <c:v>11.7</c:v>
                </c:pt>
                <c:pt idx="139">
                  <c:v>11.7</c:v>
                </c:pt>
                <c:pt idx="140">
                  <c:v>11.7</c:v>
                </c:pt>
                <c:pt idx="141">
                  <c:v>11.8</c:v>
                </c:pt>
                <c:pt idx="142">
                  <c:v>11.8</c:v>
                </c:pt>
                <c:pt idx="143">
                  <c:v>11.8</c:v>
                </c:pt>
                <c:pt idx="144">
                  <c:v>11.9</c:v>
                </c:pt>
                <c:pt idx="145">
                  <c:v>11.9</c:v>
                </c:pt>
                <c:pt idx="146">
                  <c:v>11.9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</c:numCache>
            </c:numRef>
          </c:cat>
          <c:val>
            <c:numRef>
              <c:f>'Vækstfunktion, kry kvie'!$AE$180:$AE$335</c:f>
              <c:numCache>
                <c:formatCode>#,##0.00</c:formatCode>
                <c:ptCount val="156"/>
                <c:pt idx="0">
                  <c:v>30.204553390008957</c:v>
                </c:pt>
                <c:pt idx="1">
                  <c:v>30.206505329156684</c:v>
                </c:pt>
                <c:pt idx="2">
                  <c:v>30.208454196342029</c:v>
                </c:pt>
                <c:pt idx="3">
                  <c:v>30.210399891654852</c:v>
                </c:pt>
                <c:pt idx="4">
                  <c:v>30.212342315235478</c:v>
                </c:pt>
                <c:pt idx="5">
                  <c:v>30.214281367280474</c:v>
                </c:pt>
                <c:pt idx="6">
                  <c:v>30.216216948048491</c:v>
                </c:pt>
                <c:pt idx="7">
                  <c:v>30.218148957866113</c:v>
                </c:pt>
                <c:pt idx="8">
                  <c:v>30.220077297133873</c:v>
                </c:pt>
                <c:pt idx="9">
                  <c:v>30.222001866332249</c:v>
                </c:pt>
                <c:pt idx="10">
                  <c:v>30.223922566027746</c:v>
                </c:pt>
                <c:pt idx="11">
                  <c:v>30.225839296879013</c:v>
                </c:pt>
                <c:pt idx="12">
                  <c:v>30.227751959643069</c:v>
                </c:pt>
                <c:pt idx="13">
                  <c:v>30.229660455181527</c:v>
                </c:pt>
                <c:pt idx="14">
                  <c:v>30.231564684466893</c:v>
                </c:pt>
                <c:pt idx="15">
                  <c:v>30.233464548588902</c:v>
                </c:pt>
                <c:pt idx="16">
                  <c:v>30.235359948760934</c:v>
                </c:pt>
                <c:pt idx="17">
                  <c:v>30.237250786326417</c:v>
                </c:pt>
                <c:pt idx="18">
                  <c:v>30.239136962765304</c:v>
                </c:pt>
                <c:pt idx="19">
                  <c:v>30.241018379700638</c:v>
                </c:pt>
                <c:pt idx="20">
                  <c:v>30.242894938905028</c:v>
                </c:pt>
                <c:pt idx="21">
                  <c:v>30.24476654230731</c:v>
                </c:pt>
                <c:pt idx="22">
                  <c:v>30.246633091999136</c:v>
                </c:pt>
                <c:pt idx="23">
                  <c:v>30.24849449024163</c:v>
                </c:pt>
                <c:pt idx="24">
                  <c:v>30.250350639472089</c:v>
                </c:pt>
                <c:pt idx="25">
                  <c:v>30.252201442310682</c:v>
                </c:pt>
                <c:pt idx="26">
                  <c:v>30.254046801567217</c:v>
                </c:pt>
                <c:pt idx="27">
                  <c:v>30.255886620247839</c:v>
                </c:pt>
                <c:pt idx="28">
                  <c:v>30.257720801561891</c:v>
                </c:pt>
                <c:pt idx="29">
                  <c:v>30.259549248928661</c:v>
                </c:pt>
                <c:pt idx="30">
                  <c:v>30.261371865984234</c:v>
                </c:pt>
                <c:pt idx="31">
                  <c:v>30.263188568079723</c:v>
                </c:pt>
                <c:pt idx="32">
                  <c:v>30.264999317118011</c:v>
                </c:pt>
                <c:pt idx="33">
                  <c:v>30.266804087704696</c:v>
                </c:pt>
                <c:pt idx="34">
                  <c:v>30.268602855744501</c:v>
                </c:pt>
                <c:pt idx="35">
                  <c:v>30.27039559843978</c:v>
                </c:pt>
                <c:pt idx="36">
                  <c:v>30.272182294288886</c:v>
                </c:pt>
                <c:pt idx="37">
                  <c:v>30.273962923084436</c:v>
                </c:pt>
                <c:pt idx="38">
                  <c:v>30.275737465911572</c:v>
                </c:pt>
                <c:pt idx="39">
                  <c:v>30.277505905146054</c:v>
                </c:pt>
                <c:pt idx="40">
                  <c:v>34.412205969144622</c:v>
                </c:pt>
                <c:pt idx="41">
                  <c:v>34.455911692969124</c:v>
                </c:pt>
                <c:pt idx="42">
                  <c:v>34.499750409599066</c:v>
                </c:pt>
                <c:pt idx="43">
                  <c:v>34.543720846368075</c:v>
                </c:pt>
                <c:pt idx="44">
                  <c:v>34.587821744149196</c:v>
                </c:pt>
                <c:pt idx="45">
                  <c:v>34.632051857710422</c:v>
                </c:pt>
                <c:pt idx="46">
                  <c:v>34.676409956068404</c:v>
                </c:pt>
                <c:pt idx="47">
                  <c:v>34.720894822840421</c:v>
                </c:pt>
                <c:pt idx="48">
                  <c:v>34.765505256594565</c:v>
                </c:pt>
                <c:pt idx="49">
                  <c:v>34.810240071198137</c:v>
                </c:pt>
                <c:pt idx="50">
                  <c:v>34.855098096164269</c:v>
                </c:pt>
                <c:pt idx="51">
                  <c:v>34.900078176996743</c:v>
                </c:pt>
                <c:pt idx="52">
                  <c:v>34.945179175533063</c:v>
                </c:pt>
                <c:pt idx="53">
                  <c:v>34.990399970285694</c:v>
                </c:pt>
                <c:pt idx="54">
                  <c:v>35.035739456781542</c:v>
                </c:pt>
                <c:pt idx="55">
                  <c:v>35.081196547899602</c:v>
                </c:pt>
                <c:pt idx="56">
                  <c:v>35.126770174206932</c:v>
                </c:pt>
                <c:pt idx="57">
                  <c:v>35.1724592842927</c:v>
                </c:pt>
                <c:pt idx="58">
                  <c:v>35.218262845100561</c:v>
                </c:pt>
                <c:pt idx="59">
                  <c:v>35.264179842259281</c:v>
                </c:pt>
                <c:pt idx="60">
                  <c:v>35.31020928041147</c:v>
                </c:pt>
                <c:pt idx="61">
                  <c:v>35.356350183540684</c:v>
                </c:pt>
                <c:pt idx="62">
                  <c:v>35.40260159529673</c:v>
                </c:pt>
                <c:pt idx="63">
                  <c:v>35.448962579319215</c:v>
                </c:pt>
                <c:pt idx="64">
                  <c:v>35.495432219559397</c:v>
                </c:pt>
                <c:pt idx="65">
                  <c:v>35.542009620600297</c:v>
                </c:pt>
                <c:pt idx="66">
                  <c:v>35.588693907975085</c:v>
                </c:pt>
                <c:pt idx="67">
                  <c:v>35.635484228483818</c:v>
                </c:pt>
                <c:pt idx="68">
                  <c:v>35.682379750508431</c:v>
                </c:pt>
                <c:pt idx="69">
                  <c:v>35.729379664326125</c:v>
                </c:pt>
                <c:pt idx="70">
                  <c:v>35.776533085506628</c:v>
                </c:pt>
                <c:pt idx="71">
                  <c:v>35.824307990612205</c:v>
                </c:pt>
                <c:pt idx="72">
                  <c:v>35.872046996238261</c:v>
                </c:pt>
                <c:pt idx="73">
                  <c:v>35.91975037926327</c:v>
                </c:pt>
                <c:pt idx="74">
                  <c:v>35.967418432788548</c:v>
                </c:pt>
                <c:pt idx="75">
                  <c:v>36.010159139907678</c:v>
                </c:pt>
                <c:pt idx="76">
                  <c:v>36.033263694018473</c:v>
                </c:pt>
                <c:pt idx="77">
                  <c:v>36.05628038182369</c:v>
                </c:pt>
                <c:pt idx="78">
                  <c:v>36.079209664922281</c:v>
                </c:pt>
                <c:pt idx="79">
                  <c:v>36.102052022382253</c:v>
                </c:pt>
                <c:pt idx="80">
                  <c:v>36.124807950684122</c:v>
                </c:pt>
                <c:pt idx="81">
                  <c:v>36.147477963664308</c:v>
                </c:pt>
                <c:pt idx="82">
                  <c:v>36.170062592458521</c:v>
                </c:pt>
                <c:pt idx="83">
                  <c:v>36.192562385445029</c:v>
                </c:pt>
                <c:pt idx="84">
                  <c:v>36.214977908188054</c:v>
                </c:pt>
                <c:pt idx="85">
                  <c:v>36.237309743381132</c:v>
                </c:pt>
                <c:pt idx="86">
                  <c:v>36.259558490790567</c:v>
                </c:pt>
                <c:pt idx="87">
                  <c:v>36.274400366719867</c:v>
                </c:pt>
                <c:pt idx="88">
                  <c:v>36.286132754162004</c:v>
                </c:pt>
                <c:pt idx="89">
                  <c:v>36.297821876071573</c:v>
                </c:pt>
                <c:pt idx="90">
                  <c:v>36.309468088532206</c:v>
                </c:pt>
                <c:pt idx="91">
                  <c:v>36.321071756526266</c:v>
                </c:pt>
                <c:pt idx="92">
                  <c:v>36.332633198956302</c:v>
                </c:pt>
                <c:pt idx="93">
                  <c:v>36.344152522668928</c:v>
                </c:pt>
                <c:pt idx="94">
                  <c:v>36.355629785362211</c:v>
                </c:pt>
                <c:pt idx="95">
                  <c:v>36.367065050264429</c:v>
                </c:pt>
                <c:pt idx="96">
                  <c:v>36.378458386141205</c:v>
                </c:pt>
                <c:pt idx="97">
                  <c:v>36.389809867302404</c:v>
                </c:pt>
                <c:pt idx="98">
                  <c:v>36.401119573609321</c:v>
                </c:pt>
                <c:pt idx="99">
                  <c:v>36.412387590481693</c:v>
                </c:pt>
                <c:pt idx="100">
                  <c:v>36.423614008904842</c:v>
                </c:pt>
                <c:pt idx="101">
                  <c:v>36.434798925436759</c:v>
                </c:pt>
                <c:pt idx="102">
                  <c:v>36.445942442215205</c:v>
                </c:pt>
                <c:pt idx="103">
                  <c:v>36.457044666964947</c:v>
                </c:pt>
                <c:pt idx="104">
                  <c:v>36.46810571300481</c:v>
                </c:pt>
                <c:pt idx="105">
                  <c:v>36.479125699254922</c:v>
                </c:pt>
                <c:pt idx="106">
                  <c:v>36.490104750243823</c:v>
                </c:pt>
                <c:pt idx="107">
                  <c:v>36.501042996115729</c:v>
                </c:pt>
                <c:pt idx="108">
                  <c:v>36.511940572637656</c:v>
                </c:pt>
                <c:pt idx="109">
                  <c:v>36.522797621206699</c:v>
                </c:pt>
                <c:pt idx="110">
                  <c:v>36.533614288857187</c:v>
                </c:pt>
                <c:pt idx="111">
                  <c:v>36.544390728267928</c:v>
                </c:pt>
                <c:pt idx="112">
                  <c:v>36.555127097769429</c:v>
                </c:pt>
                <c:pt idx="113">
                  <c:v>36.565823561351181</c:v>
                </c:pt>
                <c:pt idx="114">
                  <c:v>36.576480288668762</c:v>
                </c:pt>
                <c:pt idx="115">
                  <c:v>36.587097455051193</c:v>
                </c:pt>
                <c:pt idx="116">
                  <c:v>36.597675241508185</c:v>
                </c:pt>
                <c:pt idx="117">
                  <c:v>36.608213834737271</c:v>
                </c:pt>
                <c:pt idx="118">
                  <c:v>36.618713427131134</c:v>
                </c:pt>
                <c:pt idx="119">
                  <c:v>36.629174216784818</c:v>
                </c:pt>
                <c:pt idx="120">
                  <c:v>36.639596407502992</c:v>
                </c:pt>
                <c:pt idx="121">
                  <c:v>36.649980208807143</c:v>
                </c:pt>
                <c:pt idx="122">
                  <c:v>36.660325835942821</c:v>
                </c:pt>
                <c:pt idx="123">
                  <c:v>36.670633509886891</c:v>
                </c:pt>
                <c:pt idx="124">
                  <c:v>36.680903457354709</c:v>
                </c:pt>
                <c:pt idx="125">
                  <c:v>36.691135910807368</c:v>
                </c:pt>
                <c:pt idx="126">
                  <c:v>36.701331108458895</c:v>
                </c:pt>
                <c:pt idx="127">
                  <c:v>36.71148929428346</c:v>
                </c:pt>
                <c:pt idx="128">
                  <c:v>36.721610718022539</c:v>
                </c:pt>
                <c:pt idx="129">
                  <c:v>36.731695635192104</c:v>
                </c:pt>
                <c:pt idx="130">
                  <c:v>36.741744307089796</c:v>
                </c:pt>
                <c:pt idx="131">
                  <c:v>36.751757000802066</c:v>
                </c:pt>
                <c:pt idx="132">
                  <c:v>36.761733989211308</c:v>
                </c:pt>
                <c:pt idx="133">
                  <c:v>36.771675551003028</c:v>
                </c:pt>
                <c:pt idx="134">
                  <c:v>36.781581970672896</c:v>
                </c:pt>
                <c:pt idx="135">
                  <c:v>36.791453538533872</c:v>
                </c:pt>
                <c:pt idx="136">
                  <c:v>36.801290550723287</c:v>
                </c:pt>
                <c:pt idx="137">
                  <c:v>36.811093309209859</c:v>
                </c:pt>
                <c:pt idx="138">
                  <c:v>36.820862121800801</c:v>
                </c:pt>
                <c:pt idx="139">
                  <c:v>36.830597302148782</c:v>
                </c:pt>
                <c:pt idx="140">
                  <c:v>36.840299169758936</c:v>
                </c:pt>
                <c:pt idx="141">
                  <c:v>36.849968049995844</c:v>
                </c:pt>
                <c:pt idx="142">
                  <c:v>36.859604274090486</c:v>
                </c:pt>
                <c:pt idx="143">
                  <c:v>36.869208179147165</c:v>
                </c:pt>
                <c:pt idx="144">
                  <c:v>36.878780108150401</c:v>
                </c:pt>
                <c:pt idx="145">
                  <c:v>36.888320409971833</c:v>
                </c:pt>
                <c:pt idx="146">
                  <c:v>36.897829439377006</c:v>
                </c:pt>
                <c:pt idx="147">
                  <c:v>36.907307557032262</c:v>
                </c:pt>
                <c:pt idx="148">
                  <c:v>36.916755129511479</c:v>
                </c:pt>
                <c:pt idx="149">
                  <c:v>36.92617252930286</c:v>
                </c:pt>
                <c:pt idx="150">
                  <c:v>36.935560134815617</c:v>
                </c:pt>
                <c:pt idx="151">
                  <c:v>31.509961274761899</c:v>
                </c:pt>
                <c:pt idx="152">
                  <c:v>31.52208549794301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0-4691-AE54-AC206D346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9946864"/>
        <c:axId val="1351544128"/>
      </c:lineChart>
      <c:catAx>
        <c:axId val="1349946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51544128"/>
        <c:crosses val="autoZero"/>
        <c:auto val="1"/>
        <c:lblAlgn val="ctr"/>
        <c:lblOffset val="100"/>
        <c:noMultiLvlLbl val="0"/>
      </c:catAx>
      <c:valAx>
        <c:axId val="1351544128"/>
        <c:scaling>
          <c:orientation val="minMax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4994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Levende vægt kalv, 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9185716499861523E-2"/>
          <c:y val="0.18560185185185185"/>
          <c:w val="0.94016246033137441"/>
          <c:h val="0.58487518133715721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hol'!$G$3:$G$335</c:f>
              <c:numCache>
                <c:formatCode>0.0</c:formatCode>
                <c:ptCount val="333"/>
                <c:pt idx="0">
                  <c:v>69.736117614425382</c:v>
                </c:pt>
                <c:pt idx="1">
                  <c:v>70.484516615398604</c:v>
                </c:pt>
                <c:pt idx="2">
                  <c:v>71.245072360693626</c:v>
                </c:pt>
                <c:pt idx="3">
                  <c:v>72.017660689760305</c:v>
                </c:pt>
                <c:pt idx="4">
                  <c:v>72.80215792372465</c:v>
                </c:pt>
                <c:pt idx="5">
                  <c:v>73.598440865388682</c:v>
                </c:pt>
                <c:pt idx="6">
                  <c:v>74.406386799230361</c:v>
                </c:pt>
                <c:pt idx="7">
                  <c:v>75.225873491403775</c:v>
                </c:pt>
                <c:pt idx="8">
                  <c:v>76.056779189739018</c:v>
                </c:pt>
                <c:pt idx="9">
                  <c:v>76.898982623742214</c:v>
                </c:pt>
                <c:pt idx="10">
                  <c:v>77.752363004595523</c:v>
                </c:pt>
                <c:pt idx="11">
                  <c:v>78.61680002515709</c:v>
                </c:pt>
                <c:pt idx="12">
                  <c:v>79.492173859961184</c:v>
                </c:pt>
                <c:pt idx="13">
                  <c:v>80.378365165218</c:v>
                </c:pt>
                <c:pt idx="14">
                  <c:v>81.275255078813871</c:v>
                </c:pt>
                <c:pt idx="15">
                  <c:v>82.182725220311042</c:v>
                </c:pt>
                <c:pt idx="16">
                  <c:v>83.100657690947926</c:v>
                </c:pt>
                <c:pt idx="17">
                  <c:v>84.028935073638877</c:v>
                </c:pt>
                <c:pt idx="18">
                  <c:v>84.9674404329743</c:v>
                </c:pt>
                <c:pt idx="19">
                  <c:v>85.916057315220627</c:v>
                </c:pt>
                <c:pt idx="20">
                  <c:v>86.874669748320315</c:v>
                </c:pt>
                <c:pt idx="21">
                  <c:v>87.843162241891875</c:v>
                </c:pt>
                <c:pt idx="22">
                  <c:v>88.821419787229871</c:v>
                </c:pt>
                <c:pt idx="23">
                  <c:v>89.809327857304822</c:v>
                </c:pt>
                <c:pt idx="24">
                  <c:v>90.806772406763372</c:v>
                </c:pt>
                <c:pt idx="25">
                  <c:v>91.813639871928132</c:v>
                </c:pt>
                <c:pt idx="26">
                  <c:v>92.829817170797739</c:v>
                </c:pt>
                <c:pt idx="27">
                  <c:v>93.855191703046927</c:v>
                </c:pt>
                <c:pt idx="28">
                  <c:v>94.889651350026412</c:v>
                </c:pt>
                <c:pt idx="29">
                  <c:v>95.933084474762921</c:v>
                </c:pt>
                <c:pt idx="30">
                  <c:v>96.985379921959264</c:v>
                </c:pt>
                <c:pt idx="31">
                  <c:v>98.046427017994276</c:v>
                </c:pt>
                <c:pt idx="32">
                  <c:v>99.116115570922787</c:v>
                </c:pt>
                <c:pt idx="33">
                  <c:v>100.19433587047567</c:v>
                </c:pt>
                <c:pt idx="34">
                  <c:v>101.28097868805989</c:v>
                </c:pt>
                <c:pt idx="35">
                  <c:v>102.37593527675834</c:v>
                </c:pt>
                <c:pt idx="36">
                  <c:v>103.47909737133004</c:v>
                </c:pt>
                <c:pt idx="37">
                  <c:v>104.59035718820996</c:v>
                </c:pt>
                <c:pt idx="38">
                  <c:v>105.70960742550919</c:v>
                </c:pt>
                <c:pt idx="39">
                  <c:v>106.83674126301477</c:v>
                </c:pt>
                <c:pt idx="40">
                  <c:v>107.97165236218981</c:v>
                </c:pt>
                <c:pt idx="41">
                  <c:v>109.11423486617346</c:v>
                </c:pt>
                <c:pt idx="42">
                  <c:v>110.2643833997809</c:v>
                </c:pt>
                <c:pt idx="43">
                  <c:v>111.42199306950333</c:v>
                </c:pt>
                <c:pt idx="44">
                  <c:v>112.58695946350795</c:v>
                </c:pt>
                <c:pt idx="45">
                  <c:v>113.75917865163804</c:v>
                </c:pt>
                <c:pt idx="46">
                  <c:v>114.93854718541293</c:v>
                </c:pt>
                <c:pt idx="47">
                  <c:v>116.12496209802789</c:v>
                </c:pt>
                <c:pt idx="48">
                  <c:v>117.31832090435435</c:v>
                </c:pt>
                <c:pt idx="49">
                  <c:v>118.51852160093965</c:v>
                </c:pt>
                <c:pt idx="50">
                  <c:v>119.72546266600722</c:v>
                </c:pt>
                <c:pt idx="51">
                  <c:v>120.93904305945654</c:v>
                </c:pt>
                <c:pt idx="52">
                  <c:v>122.1591622228631</c:v>
                </c:pt>
                <c:pt idx="53">
                  <c:v>123.38572007947838</c:v>
                </c:pt>
                <c:pt idx="54">
                  <c:v>124.61861703422996</c:v>
                </c:pt>
                <c:pt idx="55">
                  <c:v>125.85775397372143</c:v>
                </c:pt>
                <c:pt idx="56">
                  <c:v>127.1030322662324</c:v>
                </c:pt>
                <c:pt idx="57">
                  <c:v>128.3543537617185</c:v>
                </c:pt>
                <c:pt idx="58">
                  <c:v>129.61162079181145</c:v>
                </c:pt>
                <c:pt idx="59">
                  <c:v>130.87473616981887</c:v>
                </c:pt>
                <c:pt idx="60">
                  <c:v>132.14360319072463</c:v>
                </c:pt>
                <c:pt idx="61">
                  <c:v>133.41812563118842</c:v>
                </c:pt>
                <c:pt idx="62">
                  <c:v>134.69820774954604</c:v>
                </c:pt>
                <c:pt idx="63">
                  <c:v>135.9837542858094</c:v>
                </c:pt>
                <c:pt idx="64">
                  <c:v>137.27467046166623</c:v>
                </c:pt>
                <c:pt idx="65">
                  <c:v>138.57086198048057</c:v>
                </c:pt>
                <c:pt idx="66">
                  <c:v>139.87223502729233</c:v>
                </c:pt>
                <c:pt idx="67">
                  <c:v>141.17869626881745</c:v>
                </c:pt>
                <c:pt idx="68">
                  <c:v>142.49015285344791</c:v>
                </c:pt>
                <c:pt idx="69">
                  <c:v>143.80651241125176</c:v>
                </c:pt>
                <c:pt idx="70">
                  <c:v>145.12768305397307</c:v>
                </c:pt>
                <c:pt idx="71">
                  <c:v>146.45357337503188</c:v>
                </c:pt>
                <c:pt idx="72">
                  <c:v>147.78409244952434</c:v>
                </c:pt>
                <c:pt idx="73">
                  <c:v>149.11914983422264</c:v>
                </c:pt>
                <c:pt idx="74">
                  <c:v>150.45865556757499</c:v>
                </c:pt>
                <c:pt idx="75">
                  <c:v>151.8025201697055</c:v>
                </c:pt>
                <c:pt idx="76">
                  <c:v>153.15065464241451</c:v>
                </c:pt>
                <c:pt idx="77">
                  <c:v>154.50297046917822</c:v>
                </c:pt>
                <c:pt idx="78">
                  <c:v>155.85937961514904</c:v>
                </c:pt>
                <c:pt idx="79">
                  <c:v>157.21979452715533</c:v>
                </c:pt>
                <c:pt idx="80">
                  <c:v>158.58412813370134</c:v>
                </c:pt>
                <c:pt idx="81">
                  <c:v>159.95229384496764</c:v>
                </c:pt>
                <c:pt idx="82">
                  <c:v>161.3242055528105</c:v>
                </c:pt>
                <c:pt idx="83">
                  <c:v>162.69977763076253</c:v>
                </c:pt>
                <c:pt idx="84">
                  <c:v>164.07892493403213</c:v>
                </c:pt>
                <c:pt idx="85">
                  <c:v>165.46156279950392</c:v>
                </c:pt>
                <c:pt idx="86">
                  <c:v>166.84760704573847</c:v>
                </c:pt>
                <c:pt idx="87">
                  <c:v>168.23697397297235</c:v>
                </c:pt>
                <c:pt idx="88">
                  <c:v>169.62958036311815</c:v>
                </c:pt>
                <c:pt idx="89">
                  <c:v>171.02534347976459</c:v>
                </c:pt>
                <c:pt idx="90">
                  <c:v>172.42418106817635</c:v>
                </c:pt>
                <c:pt idx="91">
                  <c:v>173.82601135529416</c:v>
                </c:pt>
                <c:pt idx="92">
                  <c:v>175.23075304973483</c:v>
                </c:pt>
                <c:pt idx="93">
                  <c:v>176.63832534179105</c:v>
                </c:pt>
                <c:pt idx="94">
                  <c:v>178.04864790343166</c:v>
                </c:pt>
                <c:pt idx="95">
                  <c:v>179.46164088830164</c:v>
                </c:pt>
                <c:pt idx="96">
                  <c:v>180.87722493172174</c:v>
                </c:pt>
                <c:pt idx="97">
                  <c:v>182.29532115068895</c:v>
                </c:pt>
                <c:pt idx="98">
                  <c:v>183.71585114387611</c:v>
                </c:pt>
                <c:pt idx="99">
                  <c:v>185.13873699163238</c:v>
                </c:pt>
                <c:pt idx="100">
                  <c:v>186.56390125598267</c:v>
                </c:pt>
                <c:pt idx="101">
                  <c:v>187.99126698062801</c:v>
                </c:pt>
                <c:pt idx="102">
                  <c:v>189.42075769094549</c:v>
                </c:pt>
                <c:pt idx="103">
                  <c:v>190.85229739398827</c:v>
                </c:pt>
                <c:pt idx="104">
                  <c:v>192.28581057848544</c:v>
                </c:pt>
                <c:pt idx="105">
                  <c:v>193.72122221484213</c:v>
                </c:pt>
                <c:pt idx="106">
                  <c:v>195.15845775513964</c:v>
                </c:pt>
                <c:pt idx="107">
                  <c:v>196.59744313313519</c:v>
                </c:pt>
                <c:pt idx="108">
                  <c:v>198.03810476426204</c:v>
                </c:pt>
                <c:pt idx="109">
                  <c:v>199.48036954562946</c:v>
                </c:pt>
                <c:pt idx="110">
                  <c:v>200.92416485602277</c:v>
                </c:pt>
                <c:pt idx="111">
                  <c:v>202.36941855590334</c:v>
                </c:pt>
                <c:pt idx="112">
                  <c:v>203.81605898740867</c:v>
                </c:pt>
                <c:pt idx="113">
                  <c:v>205.26401497435205</c:v>
                </c:pt>
                <c:pt idx="114">
                  <c:v>206.71321582222294</c:v>
                </c:pt>
                <c:pt idx="115">
                  <c:v>208.16359131818695</c:v>
                </c:pt>
                <c:pt idx="116">
                  <c:v>209.61507173108546</c:v>
                </c:pt>
                <c:pt idx="117">
                  <c:v>211.06758781143617</c:v>
                </c:pt>
                <c:pt idx="118">
                  <c:v>212.52107079143258</c:v>
                </c:pt>
                <c:pt idx="119">
                  <c:v>213.9754523849443</c:v>
                </c:pt>
                <c:pt idx="120">
                  <c:v>215.43066478751703</c:v>
                </c:pt>
                <c:pt idx="121">
                  <c:v>216.88664067637237</c:v>
                </c:pt>
                <c:pt idx="122">
                  <c:v>218.34331321040821</c:v>
                </c:pt>
                <c:pt idx="123">
                  <c:v>219.800616030198</c:v>
                </c:pt>
                <c:pt idx="124">
                  <c:v>221.25848325799174</c:v>
                </c:pt>
                <c:pt idx="125">
                  <c:v>222.71684949771526</c:v>
                </c:pt>
                <c:pt idx="126">
                  <c:v>224.1756498349703</c:v>
                </c:pt>
                <c:pt idx="127">
                  <c:v>225.63481983703471</c:v>
                </c:pt>
                <c:pt idx="128">
                  <c:v>227.09429555286249</c:v>
                </c:pt>
                <c:pt idx="129">
                  <c:v>228.5540135130835</c:v>
                </c:pt>
                <c:pt idx="130">
                  <c:v>230.01391073000372</c:v>
                </c:pt>
                <c:pt idx="131">
                  <c:v>231.47392469760521</c:v>
                </c:pt>
                <c:pt idx="132">
                  <c:v>232.93399339154593</c:v>
                </c:pt>
                <c:pt idx="133">
                  <c:v>234.39405526915991</c:v>
                </c:pt>
                <c:pt idx="134">
                  <c:v>235.85404926945742</c:v>
                </c:pt>
                <c:pt idx="135">
                  <c:v>237.3139148131244</c:v>
                </c:pt>
                <c:pt idx="136">
                  <c:v>238.77359180252307</c:v>
                </c:pt>
                <c:pt idx="137">
                  <c:v>240.23302062169162</c:v>
                </c:pt>
                <c:pt idx="138">
                  <c:v>241.6921421363443</c:v>
                </c:pt>
                <c:pt idx="139">
                  <c:v>243.15089769387131</c:v>
                </c:pt>
                <c:pt idx="140">
                  <c:v>244.60922912333896</c:v>
                </c:pt>
                <c:pt idx="141">
                  <c:v>246.06707873548962</c:v>
                </c:pt>
                <c:pt idx="142">
                  <c:v>247.52438932274154</c:v>
                </c:pt>
                <c:pt idx="143">
                  <c:v>248.98110415918921</c:v>
                </c:pt>
                <c:pt idx="144">
                  <c:v>250.43716700060304</c:v>
                </c:pt>
                <c:pt idx="145">
                  <c:v>251.89252208442926</c:v>
                </c:pt>
                <c:pt idx="146">
                  <c:v>253.34711412979061</c:v>
                </c:pt>
                <c:pt idx="147">
                  <c:v>254.80088833748547</c:v>
                </c:pt>
                <c:pt idx="148">
                  <c:v>256.25379038998841</c:v>
                </c:pt>
                <c:pt idx="149">
                  <c:v>257.70576645145002</c:v>
                </c:pt>
                <c:pt idx="150">
                  <c:v>259.15676316769679</c:v>
                </c:pt>
                <c:pt idx="151">
                  <c:v>260.60672766623145</c:v>
                </c:pt>
                <c:pt idx="152">
                  <c:v>262.05560755623276</c:v>
                </c:pt>
                <c:pt idx="153">
                  <c:v>263.50335092855528</c:v>
                </c:pt>
                <c:pt idx="154">
                  <c:v>264.94990635572975</c:v>
                </c:pt>
                <c:pt idx="155">
                  <c:v>266.39522289196299</c:v>
                </c:pt>
                <c:pt idx="156">
                  <c:v>267.83925007313769</c:v>
                </c:pt>
                <c:pt idx="157">
                  <c:v>269.28193791681281</c:v>
                </c:pt>
                <c:pt idx="158">
                  <c:v>270.72323692222318</c:v>
                </c:pt>
                <c:pt idx="159">
                  <c:v>272.1630980702796</c:v>
                </c:pt>
                <c:pt idx="160">
                  <c:v>273.60147282356911</c:v>
                </c:pt>
                <c:pt idx="161">
                  <c:v>275.03831312635441</c:v>
                </c:pt>
                <c:pt idx="162">
                  <c:v>276.47357140457484</c:v>
                </c:pt>
                <c:pt idx="163">
                  <c:v>277.90720056584524</c:v>
                </c:pt>
                <c:pt idx="164">
                  <c:v>279.33915399945664</c:v>
                </c:pt>
                <c:pt idx="165">
                  <c:v>280.76938557637618</c:v>
                </c:pt>
                <c:pt idx="166">
                  <c:v>282.1978496492469</c:v>
                </c:pt>
                <c:pt idx="167">
                  <c:v>283.62450105238798</c:v>
                </c:pt>
                <c:pt idx="168">
                  <c:v>285.0492951017946</c:v>
                </c:pt>
                <c:pt idx="169">
                  <c:v>286.47218759513805</c:v>
                </c:pt>
                <c:pt idx="170">
                  <c:v>287.89313481176538</c:v>
                </c:pt>
                <c:pt idx="171">
                  <c:v>289.3120935126999</c:v>
                </c:pt>
                <c:pt idx="172">
                  <c:v>290.72902094064119</c:v>
                </c:pt>
                <c:pt idx="173">
                  <c:v>292.14387481996425</c:v>
                </c:pt>
                <c:pt idx="174">
                  <c:v>293.55661335672056</c:v>
                </c:pt>
                <c:pt idx="175">
                  <c:v>294.9671952386376</c:v>
                </c:pt>
                <c:pt idx="176">
                  <c:v>296.3755796351187</c:v>
                </c:pt>
                <c:pt idx="177">
                  <c:v>297.7817261972433</c:v>
                </c:pt>
                <c:pt idx="178">
                  <c:v>299.18559505776699</c:v>
                </c:pt>
                <c:pt idx="179">
                  <c:v>300.58714683112123</c:v>
                </c:pt>
                <c:pt idx="180">
                  <c:v>301.98634261341351</c:v>
                </c:pt>
                <c:pt idx="181">
                  <c:v>303.38314398242755</c:v>
                </c:pt>
                <c:pt idx="182">
                  <c:v>304.77751299762298</c:v>
                </c:pt>
                <c:pt idx="183">
                  <c:v>306.16941220013535</c:v>
                </c:pt>
                <c:pt idx="184">
                  <c:v>307.55880461277633</c:v>
                </c:pt>
                <c:pt idx="185">
                  <c:v>308.94565374003378</c:v>
                </c:pt>
                <c:pt idx="186">
                  <c:v>310.32992356807125</c:v>
                </c:pt>
                <c:pt idx="187">
                  <c:v>311.71157856472877</c:v>
                </c:pt>
                <c:pt idx="188">
                  <c:v>313.0905836795219</c:v>
                </c:pt>
                <c:pt idx="189">
                  <c:v>314.46690434364257</c:v>
                </c:pt>
                <c:pt idx="190">
                  <c:v>315.84050646995883</c:v>
                </c:pt>
                <c:pt idx="191">
                  <c:v>317.21135645301433</c:v>
                </c:pt>
                <c:pt idx="192">
                  <c:v>318.57942116902922</c:v>
                </c:pt>
                <c:pt idx="193">
                  <c:v>319.94466797589928</c:v>
                </c:pt>
                <c:pt idx="194">
                  <c:v>321.30706471319661</c:v>
                </c:pt>
                <c:pt idx="195">
                  <c:v>322.66657970216909</c:v>
                </c:pt>
                <c:pt idx="196">
                  <c:v>324.02318174574111</c:v>
                </c:pt>
                <c:pt idx="197">
                  <c:v>325.37684012851247</c:v>
                </c:pt>
                <c:pt idx="198">
                  <c:v>326.72752461675947</c:v>
                </c:pt>
                <c:pt idx="199">
                  <c:v>328.07520545843414</c:v>
                </c:pt>
                <c:pt idx="200">
                  <c:v>329.41985338316471</c:v>
                </c:pt>
                <c:pt idx="201">
                  <c:v>330.76143960225562</c:v>
                </c:pt>
                <c:pt idx="202">
                  <c:v>332.09993580868672</c:v>
                </c:pt>
                <c:pt idx="203">
                  <c:v>333.43531417711466</c:v>
                </c:pt>
                <c:pt idx="204">
                  <c:v>334.76754736387159</c:v>
                </c:pt>
                <c:pt idx="205">
                  <c:v>336.12835671274968</c:v>
                </c:pt>
                <c:pt idx="206">
                  <c:v>337.49624360679798</c:v>
                </c:pt>
                <c:pt idx="207">
                  <c:v>338.8608039809983</c:v>
                </c:pt>
                <c:pt idx="208">
                  <c:v>340.22201161277781</c:v>
                </c:pt>
                <c:pt idx="209">
                  <c:v>341.57984077650713</c:v>
                </c:pt>
                <c:pt idx="210">
                  <c:v>342.93426624349979</c:v>
                </c:pt>
                <c:pt idx="211">
                  <c:v>344.28526328201303</c:v>
                </c:pt>
                <c:pt idx="212">
                  <c:v>345.63280765724613</c:v>
                </c:pt>
                <c:pt idx="213">
                  <c:v>346.9768756313423</c:v>
                </c:pt>
                <c:pt idx="214">
                  <c:v>348.31744396338786</c:v>
                </c:pt>
                <c:pt idx="215">
                  <c:v>349.65448990941155</c:v>
                </c:pt>
                <c:pt idx="216">
                  <c:v>350.98799122238586</c:v>
                </c:pt>
                <c:pt idx="217">
                  <c:v>352.31792615222616</c:v>
                </c:pt>
                <c:pt idx="218">
                  <c:v>353.64427344579076</c:v>
                </c:pt>
                <c:pt idx="219">
                  <c:v>354.96701234688135</c:v>
                </c:pt>
                <c:pt idx="220">
                  <c:v>356.28612259624265</c:v>
                </c:pt>
                <c:pt idx="221">
                  <c:v>357.6015844315624</c:v>
                </c:pt>
                <c:pt idx="222">
                  <c:v>358.91337858747147</c:v>
                </c:pt>
                <c:pt idx="223">
                  <c:v>360.22148629554368</c:v>
                </c:pt>
                <c:pt idx="224">
                  <c:v>361.5258892842964</c:v>
                </c:pt>
                <c:pt idx="225">
                  <c:v>362.82656977918947</c:v>
                </c:pt>
                <c:pt idx="226">
                  <c:v>364.12351050262652</c:v>
                </c:pt>
                <c:pt idx="227">
                  <c:v>365.41669467395354</c:v>
                </c:pt>
                <c:pt idx="228">
                  <c:v>366.70610600946043</c:v>
                </c:pt>
                <c:pt idx="229">
                  <c:v>367.99172872237938</c:v>
                </c:pt>
                <c:pt idx="230">
                  <c:v>369.27354752288642</c:v>
                </c:pt>
                <c:pt idx="231">
                  <c:v>370.5515476180999</c:v>
                </c:pt>
                <c:pt idx="232">
                  <c:v>371.82571471208229</c:v>
                </c:pt>
                <c:pt idx="233">
                  <c:v>373.09603500583796</c:v>
                </c:pt>
                <c:pt idx="234">
                  <c:v>374.36249519731547</c:v>
                </c:pt>
                <c:pt idx="235">
                  <c:v>375.62508248140557</c:v>
                </c:pt>
                <c:pt idx="236">
                  <c:v>376.88378454994302</c:v>
                </c:pt>
                <c:pt idx="237">
                  <c:v>378.13858959170477</c:v>
                </c:pt>
                <c:pt idx="238">
                  <c:v>379.38948629241162</c:v>
                </c:pt>
                <c:pt idx="239">
                  <c:v>380.63646383472701</c:v>
                </c:pt>
                <c:pt idx="240">
                  <c:v>381.87951189825776</c:v>
                </c:pt>
                <c:pt idx="241">
                  <c:v>383.11862065955347</c:v>
                </c:pt>
                <c:pt idx="242">
                  <c:v>384.35378079210722</c:v>
                </c:pt>
                <c:pt idx="243">
                  <c:v>385.58498346635474</c:v>
                </c:pt>
                <c:pt idx="244">
                  <c:v>386.81222034967533</c:v>
                </c:pt>
                <c:pt idx="245">
                  <c:v>388.03548360639132</c:v>
                </c:pt>
                <c:pt idx="246">
                  <c:v>389.25476589776764</c:v>
                </c:pt>
                <c:pt idx="247">
                  <c:v>390.47006038201295</c:v>
                </c:pt>
                <c:pt idx="248">
                  <c:v>391.6813607142787</c:v>
                </c:pt>
                <c:pt idx="249">
                  <c:v>392.88866104665948</c:v>
                </c:pt>
                <c:pt idx="250">
                  <c:v>394.0919560281929</c:v>
                </c:pt>
                <c:pt idx="251">
                  <c:v>395.29124080485991</c:v>
                </c:pt>
                <c:pt idx="252">
                  <c:v>396.48651101958427</c:v>
                </c:pt>
                <c:pt idx="253">
                  <c:v>397.67776281223308</c:v>
                </c:pt>
                <c:pt idx="254">
                  <c:v>398.8649928196163</c:v>
                </c:pt>
                <c:pt idx="255">
                  <c:v>400.0481981754873</c:v>
                </c:pt>
                <c:pt idx="256">
                  <c:v>401.22737651054246</c:v>
                </c:pt>
                <c:pt idx="257">
                  <c:v>402.40252595242083</c:v>
                </c:pt>
                <c:pt idx="258">
                  <c:v>403.57364512570524</c:v>
                </c:pt>
                <c:pt idx="259">
                  <c:v>404.74073315192129</c:v>
                </c:pt>
                <c:pt idx="260">
                  <c:v>405.90378964953749</c:v>
                </c:pt>
                <c:pt idx="261">
                  <c:v>407.06281473396569</c:v>
                </c:pt>
                <c:pt idx="262">
                  <c:v>408.21780901756108</c:v>
                </c:pt>
                <c:pt idx="263">
                  <c:v>409.36877360962109</c:v>
                </c:pt>
                <c:pt idx="264">
                  <c:v>410.51571011638748</c:v>
                </c:pt>
                <c:pt idx="265">
                  <c:v>411.65862064104414</c:v>
                </c:pt>
                <c:pt idx="266">
                  <c:v>412.7975077837184</c:v>
                </c:pt>
                <c:pt idx="267">
                  <c:v>413.93237464148064</c:v>
                </c:pt>
                <c:pt idx="268">
                  <c:v>415.0632248083445</c:v>
                </c:pt>
                <c:pt idx="269">
                  <c:v>416.19006237526651</c:v>
                </c:pt>
                <c:pt idx="270">
                  <c:v>417.31289193014629</c:v>
                </c:pt>
                <c:pt idx="271">
                  <c:v>418.43171855782703</c:v>
                </c:pt>
                <c:pt idx="272">
                  <c:v>419.54654784009421</c:v>
                </c:pt>
                <c:pt idx="273">
                  <c:v>420.65738585567703</c:v>
                </c:pt>
                <c:pt idx="274">
                  <c:v>421.76423918024756</c:v>
                </c:pt>
                <c:pt idx="275">
                  <c:v>422.86711488642129</c:v>
                </c:pt>
                <c:pt idx="276">
                  <c:v>423.9660205437562</c:v>
                </c:pt>
                <c:pt idx="277">
                  <c:v>425.06096421875395</c:v>
                </c:pt>
                <c:pt idx="278">
                  <c:v>426.15195447485877</c:v>
                </c:pt>
                <c:pt idx="279">
                  <c:v>427.23900037245846</c:v>
                </c:pt>
                <c:pt idx="280">
                  <c:v>428.32211146888392</c:v>
                </c:pt>
                <c:pt idx="281">
                  <c:v>429.40129781840881</c:v>
                </c:pt>
                <c:pt idx="282">
                  <c:v>430.47656997224999</c:v>
                </c:pt>
                <c:pt idx="283">
                  <c:v>431.54793897856769</c:v>
                </c:pt>
                <c:pt idx="284">
                  <c:v>432.61541638246501</c:v>
                </c:pt>
                <c:pt idx="285">
                  <c:v>433.67901422598783</c:v>
                </c:pt>
                <c:pt idx="286">
                  <c:v>434.73874504812574</c:v>
                </c:pt>
                <c:pt idx="287">
                  <c:v>435.79462188481125</c:v>
                </c:pt>
                <c:pt idx="288">
                  <c:v>436.84665826892001</c:v>
                </c:pt>
                <c:pt idx="289">
                  <c:v>437.89486823027045</c:v>
                </c:pt>
                <c:pt idx="290">
                  <c:v>438.93926629562412</c:v>
                </c:pt>
                <c:pt idx="291">
                  <c:v>439.97986748868601</c:v>
                </c:pt>
                <c:pt idx="292">
                  <c:v>441.01668733010456</c:v>
                </c:pt>
                <c:pt idx="293">
                  <c:v>442.04974183746987</c:v>
                </c:pt>
                <c:pt idx="294">
                  <c:v>443.07904752531675</c:v>
                </c:pt>
                <c:pt idx="295">
                  <c:v>444.10462140512209</c:v>
                </c:pt>
                <c:pt idx="296">
                  <c:v>445.1264809853069</c:v>
                </c:pt>
                <c:pt idx="297">
                  <c:v>446.14464427123374</c:v>
                </c:pt>
                <c:pt idx="298">
                  <c:v>447.15912976520951</c:v>
                </c:pt>
                <c:pt idx="299">
                  <c:v>448.16995646648382</c:v>
                </c:pt>
                <c:pt idx="300">
                  <c:v>449.17714387124965</c:v>
                </c:pt>
                <c:pt idx="301">
                  <c:v>450.18071197264288</c:v>
                </c:pt>
                <c:pt idx="302">
                  <c:v>451.18068126074212</c:v>
                </c:pt>
                <c:pt idx="303">
                  <c:v>452.17707272256956</c:v>
                </c:pt>
                <c:pt idx="304">
                  <c:v>453.16990784209003</c:v>
                </c:pt>
                <c:pt idx="305">
                  <c:v>454.15920860021271</c:v>
                </c:pt>
                <c:pt idx="306">
                  <c:v>455.14499747478766</c:v>
                </c:pt>
                <c:pt idx="307">
                  <c:v>456.12729744061062</c:v>
                </c:pt>
                <c:pt idx="308">
                  <c:v>457.10613196941802</c:v>
                </c:pt>
                <c:pt idx="309">
                  <c:v>458.08152502989122</c:v>
                </c:pt>
                <c:pt idx="310">
                  <c:v>459.05350108765396</c:v>
                </c:pt>
                <c:pt idx="311">
                  <c:v>460.02208510527265</c:v>
                </c:pt>
                <c:pt idx="312">
                  <c:v>460.98730254225757</c:v>
                </c:pt>
                <c:pt idx="313">
                  <c:v>461.94917935506197</c:v>
                </c:pt>
                <c:pt idx="314">
                  <c:v>462.90774199708147</c:v>
                </c:pt>
                <c:pt idx="315">
                  <c:v>463.86301741865572</c:v>
                </c:pt>
                <c:pt idx="316">
                  <c:v>464.81503306706702</c:v>
                </c:pt>
                <c:pt idx="317">
                  <c:v>465.76381688654072</c:v>
                </c:pt>
                <c:pt idx="318">
                  <c:v>466.70939731824569</c:v>
                </c:pt>
                <c:pt idx="319">
                  <c:v>467.65180330029318</c:v>
                </c:pt>
                <c:pt idx="320">
                  <c:v>468.59106426773809</c:v>
                </c:pt>
                <c:pt idx="321">
                  <c:v>469.52721015257873</c:v>
                </c:pt>
                <c:pt idx="322">
                  <c:v>470.46027138375524</c:v>
                </c:pt>
                <c:pt idx="323">
                  <c:v>471.39027888715214</c:v>
                </c:pt>
                <c:pt idx="324">
                  <c:v>472.31726408559638</c:v>
                </c:pt>
                <c:pt idx="325">
                  <c:v>473.2412588988588</c:v>
                </c:pt>
                <c:pt idx="326">
                  <c:v>474.16229574365246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C-457E-98D2-5859EEE70C70}"/>
            </c:ext>
          </c:extLst>
        </c:ser>
        <c:ser>
          <c:idx val="1"/>
          <c:order val="1"/>
          <c:tx>
            <c:v>krydstyr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tyr'!$G$3:$G$335</c:f>
              <c:numCache>
                <c:formatCode>0.0</c:formatCode>
                <c:ptCount val="333"/>
                <c:pt idx="0">
                  <c:v>72.725265665356659</c:v>
                </c:pt>
                <c:pt idx="1">
                  <c:v>73.461732705270038</c:v>
                </c:pt>
                <c:pt idx="2">
                  <c:v>74.209285179064608</c:v>
                </c:pt>
                <c:pt idx="3">
                  <c:v>74.967807605557994</c:v>
                </c:pt>
                <c:pt idx="4">
                  <c:v>75.737184963060869</c:v>
                </c:pt>
                <c:pt idx="5">
                  <c:v>76.517302689377004</c:v>
                </c:pt>
                <c:pt idx="6">
                  <c:v>77.308046681803262</c:v>
                </c:pt>
                <c:pt idx="7">
                  <c:v>78.109303297129614</c:v>
                </c:pt>
                <c:pt idx="8">
                  <c:v>78.920959351639127</c:v>
                </c:pt>
                <c:pt idx="9">
                  <c:v>79.74290212110796</c:v>
                </c:pt>
                <c:pt idx="10">
                  <c:v>80.575019340805341</c:v>
                </c:pt>
                <c:pt idx="11">
                  <c:v>81.417199205493588</c:v>
                </c:pt>
                <c:pt idx="12">
                  <c:v>82.269330369428204</c:v>
                </c:pt>
                <c:pt idx="13">
                  <c:v>83.131301946357667</c:v>
                </c:pt>
                <c:pt idx="14">
                  <c:v>84.003003509523623</c:v>
                </c:pt>
                <c:pt idx="15">
                  <c:v>84.88432509166077</c:v>
                </c:pt>
                <c:pt idx="16">
                  <c:v>85.775157184996914</c:v>
                </c:pt>
                <c:pt idx="17">
                  <c:v>86.675390741252983</c:v>
                </c:pt>
                <c:pt idx="18">
                  <c:v>87.584917171642971</c:v>
                </c:pt>
                <c:pt idx="19">
                  <c:v>88.503628346873953</c:v>
                </c:pt>
                <c:pt idx="20">
                  <c:v>89.431416597146125</c:v>
                </c:pt>
                <c:pt idx="21">
                  <c:v>90.368174712152779</c:v>
                </c:pt>
                <c:pt idx="22">
                  <c:v>91.313795941080286</c:v>
                </c:pt>
                <c:pt idx="23">
                  <c:v>92.268173992608098</c:v>
                </c:pt>
                <c:pt idx="24">
                  <c:v>93.231203034908788</c:v>
                </c:pt>
                <c:pt idx="25">
                  <c:v>94.20277769564801</c:v>
                </c:pt>
                <c:pt idx="26">
                  <c:v>95.182793061984526</c:v>
                </c:pt>
                <c:pt idx="27">
                  <c:v>96.171144680570151</c:v>
                </c:pt>
                <c:pt idx="28">
                  <c:v>97.235065305994439</c:v>
                </c:pt>
                <c:pt idx="29">
                  <c:v>98.307663893561084</c:v>
                </c:pt>
                <c:pt idx="30">
                  <c:v>99.388830403883063</c:v>
                </c:pt>
                <c:pt idx="31">
                  <c:v>100.47845528811325</c:v>
                </c:pt>
                <c:pt idx="32">
                  <c:v>101.57642948794448</c:v>
                </c:pt>
                <c:pt idx="33">
                  <c:v>102.68264443560946</c:v>
                </c:pt>
                <c:pt idx="34">
                  <c:v>103.79699205388089</c:v>
                </c:pt>
                <c:pt idx="35">
                  <c:v>104.91936475607127</c:v>
                </c:pt>
                <c:pt idx="36">
                  <c:v>106.04965544603317</c:v>
                </c:pt>
                <c:pt idx="37">
                  <c:v>107.187757518159</c:v>
                </c:pt>
                <c:pt idx="38">
                  <c:v>108.33356485738111</c:v>
                </c:pt>
                <c:pt idx="39">
                  <c:v>109.48697183917183</c:v>
                </c:pt>
                <c:pt idx="40">
                  <c:v>110.6478733295433</c:v>
                </c:pt>
                <c:pt idx="41">
                  <c:v>111.81616468504768</c:v>
                </c:pt>
                <c:pt idx="42">
                  <c:v>112.99174175277699</c:v>
                </c:pt>
                <c:pt idx="43">
                  <c:v>114.17450087036326</c:v>
                </c:pt>
                <c:pt idx="44">
                  <c:v>115.3643388659784</c:v>
                </c:pt>
                <c:pt idx="45">
                  <c:v>116.5611530583342</c:v>
                </c:pt>
                <c:pt idx="46">
                  <c:v>117.76484125668239</c:v>
                </c:pt>
                <c:pt idx="47">
                  <c:v>118.9753017608147</c:v>
                </c:pt>
                <c:pt idx="48">
                  <c:v>120.19243336106273</c:v>
                </c:pt>
                <c:pt idx="49">
                  <c:v>121.41613533829796</c:v>
                </c:pt>
                <c:pt idx="50">
                  <c:v>122.64630746393189</c:v>
                </c:pt>
                <c:pt idx="51">
                  <c:v>123.88284999991589</c:v>
                </c:pt>
                <c:pt idx="52">
                  <c:v>125.12566369874121</c:v>
                </c:pt>
                <c:pt idx="53">
                  <c:v>126.37464980343913</c:v>
                </c:pt>
                <c:pt idx="54">
                  <c:v>127.62971004758082</c:v>
                </c:pt>
                <c:pt idx="55">
                  <c:v>128.89074665527721</c:v>
                </c:pt>
                <c:pt idx="56">
                  <c:v>130.1576623411795</c:v>
                </c:pt>
                <c:pt idx="57">
                  <c:v>131.43036031047853</c:v>
                </c:pt>
                <c:pt idx="58">
                  <c:v>132.70874425890509</c:v>
                </c:pt>
                <c:pt idx="59">
                  <c:v>133.99271837273005</c:v>
                </c:pt>
                <c:pt idx="60">
                  <c:v>135.282187328764</c:v>
                </c:pt>
                <c:pt idx="61">
                  <c:v>136.57705629435762</c:v>
                </c:pt>
                <c:pt idx="62">
                  <c:v>137.87723092740151</c:v>
                </c:pt>
                <c:pt idx="63">
                  <c:v>139.18261737632608</c:v>
                </c:pt>
                <c:pt idx="64">
                  <c:v>140.49312228010169</c:v>
                </c:pt>
                <c:pt idx="65">
                  <c:v>141.80865276823869</c:v>
                </c:pt>
                <c:pt idx="66">
                  <c:v>143.12911646078743</c:v>
                </c:pt>
                <c:pt idx="67">
                  <c:v>144.4544214683379</c:v>
                </c:pt>
                <c:pt idx="68">
                  <c:v>145.78447639202034</c:v>
                </c:pt>
                <c:pt idx="69">
                  <c:v>147.11919032350471</c:v>
                </c:pt>
                <c:pt idx="70">
                  <c:v>148.45847284500093</c:v>
                </c:pt>
                <c:pt idx="71">
                  <c:v>149.8022340292589</c:v>
                </c:pt>
                <c:pt idx="72">
                  <c:v>151.15038443956846</c:v>
                </c:pt>
                <c:pt idx="73">
                  <c:v>152.50283512975923</c:v>
                </c:pt>
                <c:pt idx="74">
                  <c:v>153.8594976442009</c:v>
                </c:pt>
                <c:pt idx="75">
                  <c:v>155.22028401780301</c:v>
                </c:pt>
                <c:pt idx="76">
                  <c:v>156.58510677601515</c:v>
                </c:pt>
                <c:pt idx="77">
                  <c:v>157.95387893482663</c:v>
                </c:pt>
                <c:pt idx="78">
                  <c:v>159.34388912818378</c:v>
                </c:pt>
                <c:pt idx="79">
                  <c:v>160.73772403465281</c:v>
                </c:pt>
                <c:pt idx="80">
                  <c:v>162.13529705940758</c:v>
                </c:pt>
                <c:pt idx="81">
                  <c:v>163.5365221043713</c:v>
                </c:pt>
                <c:pt idx="82">
                  <c:v>164.94131356821629</c:v>
                </c:pt>
                <c:pt idx="83">
                  <c:v>166.34958634636439</c:v>
                </c:pt>
                <c:pt idx="84">
                  <c:v>167.76125583098656</c:v>
                </c:pt>
                <c:pt idx="85">
                  <c:v>169.1762379110032</c:v>
                </c:pt>
                <c:pt idx="86">
                  <c:v>170.59444897208382</c:v>
                </c:pt>
                <c:pt idx="87">
                  <c:v>172.01580589664738</c:v>
                </c:pt>
                <c:pt idx="88">
                  <c:v>173.4402260638621</c:v>
                </c:pt>
                <c:pt idx="89">
                  <c:v>174.86762734964537</c:v>
                </c:pt>
                <c:pt idx="90">
                  <c:v>176.297928126664</c:v>
                </c:pt>
                <c:pt idx="91">
                  <c:v>177.73104726433414</c:v>
                </c:pt>
                <c:pt idx="92">
                  <c:v>179.1669041288209</c:v>
                </c:pt>
                <c:pt idx="93">
                  <c:v>180.60541858303921</c:v>
                </c:pt>
                <c:pt idx="94">
                  <c:v>182.04651098665292</c:v>
                </c:pt>
                <c:pt idx="95">
                  <c:v>183.4901021960751</c:v>
                </c:pt>
                <c:pt idx="96">
                  <c:v>184.93611356446846</c:v>
                </c:pt>
                <c:pt idx="97">
                  <c:v>186.38446694174465</c:v>
                </c:pt>
                <c:pt idx="98">
                  <c:v>187.83508467456491</c:v>
                </c:pt>
                <c:pt idx="99">
                  <c:v>189.28788960633955</c:v>
                </c:pt>
                <c:pt idx="100">
                  <c:v>190.74280507722821</c:v>
                </c:pt>
                <c:pt idx="101">
                  <c:v>192.19975492413994</c:v>
                </c:pt>
                <c:pt idx="102">
                  <c:v>193.65866348073294</c:v>
                </c:pt>
                <c:pt idx="103">
                  <c:v>195.11945557741481</c:v>
                </c:pt>
                <c:pt idx="104">
                  <c:v>196.58205654134241</c:v>
                </c:pt>
                <c:pt idx="105">
                  <c:v>198.04639219642183</c:v>
                </c:pt>
                <c:pt idx="106">
                  <c:v>199.51238886330844</c:v>
                </c:pt>
                <c:pt idx="107">
                  <c:v>200.97997335940701</c:v>
                </c:pt>
                <c:pt idx="108">
                  <c:v>202.44907299887157</c:v>
                </c:pt>
                <c:pt idx="109">
                  <c:v>203.9196155926054</c:v>
                </c:pt>
                <c:pt idx="110">
                  <c:v>205.391529448261</c:v>
                </c:pt>
                <c:pt idx="111">
                  <c:v>206.86474337024035</c:v>
                </c:pt>
                <c:pt idx="112">
                  <c:v>208.33918665969466</c:v>
                </c:pt>
                <c:pt idx="113">
                  <c:v>209.8147891145243</c:v>
                </c:pt>
                <c:pt idx="114">
                  <c:v>211.29148102937901</c:v>
                </c:pt>
                <c:pt idx="115">
                  <c:v>212.76919319565786</c:v>
                </c:pt>
                <c:pt idx="116">
                  <c:v>214.24785690150921</c:v>
                </c:pt>
                <c:pt idx="117">
                  <c:v>215.72740393183057</c:v>
                </c:pt>
                <c:pt idx="118">
                  <c:v>217.20776656826897</c:v>
                </c:pt>
                <c:pt idx="119">
                  <c:v>218.68887758922062</c:v>
                </c:pt>
                <c:pt idx="120">
                  <c:v>220.17067026983088</c:v>
                </c:pt>
                <c:pt idx="121">
                  <c:v>221.65307838199476</c:v>
                </c:pt>
                <c:pt idx="122">
                  <c:v>223.13603619435605</c:v>
                </c:pt>
                <c:pt idx="123">
                  <c:v>224.61947847230829</c:v>
                </c:pt>
                <c:pt idx="124">
                  <c:v>226.10334047799424</c:v>
                </c:pt>
                <c:pt idx="125">
                  <c:v>227.5875579703056</c:v>
                </c:pt>
                <c:pt idx="126">
                  <c:v>229.07206720488375</c:v>
                </c:pt>
                <c:pt idx="127">
                  <c:v>230.55680493411916</c:v>
                </c:pt>
                <c:pt idx="128">
                  <c:v>232.04170840715176</c:v>
                </c:pt>
                <c:pt idx="129">
                  <c:v>233.52671536987057</c:v>
                </c:pt>
                <c:pt idx="130">
                  <c:v>235.01176406491393</c:v>
                </c:pt>
                <c:pt idx="131">
                  <c:v>236.49679323166961</c:v>
                </c:pt>
                <c:pt idx="132">
                  <c:v>237.98174210627474</c:v>
                </c:pt>
                <c:pt idx="133">
                  <c:v>239.4665504216153</c:v>
                </c:pt>
                <c:pt idx="134">
                  <c:v>240.95115840732703</c:v>
                </c:pt>
                <c:pt idx="135">
                  <c:v>242.43550678979486</c:v>
                </c:pt>
                <c:pt idx="136">
                  <c:v>243.91953679215274</c:v>
                </c:pt>
                <c:pt idx="137">
                  <c:v>245.40319013428416</c:v>
                </c:pt>
                <c:pt idx="138">
                  <c:v>246.88640903282189</c:v>
                </c:pt>
                <c:pt idx="139">
                  <c:v>248.36913620114802</c:v>
                </c:pt>
                <c:pt idx="140">
                  <c:v>249.85131484939376</c:v>
                </c:pt>
                <c:pt idx="141">
                  <c:v>251.33288868443969</c:v>
                </c:pt>
                <c:pt idx="142">
                  <c:v>252.81380190991578</c:v>
                </c:pt>
                <c:pt idx="143">
                  <c:v>254.29399922620112</c:v>
                </c:pt>
                <c:pt idx="144">
                  <c:v>255.77342583042423</c:v>
                </c:pt>
                <c:pt idx="145">
                  <c:v>257.25202741646302</c:v>
                </c:pt>
                <c:pt idx="146">
                  <c:v>258.72975017494434</c:v>
                </c:pt>
                <c:pt idx="147">
                  <c:v>260.20654079324447</c:v>
                </c:pt>
                <c:pt idx="148">
                  <c:v>261.68234645548921</c:v>
                </c:pt>
                <c:pt idx="149">
                  <c:v>263.15711484255354</c:v>
                </c:pt>
                <c:pt idx="150">
                  <c:v>264.63079413206145</c:v>
                </c:pt>
                <c:pt idx="151">
                  <c:v>266.10333299838675</c:v>
                </c:pt>
                <c:pt idx="152">
                  <c:v>267.57468061265189</c:v>
                </c:pt>
                <c:pt idx="153">
                  <c:v>269.04478664272926</c:v>
                </c:pt>
                <c:pt idx="154">
                  <c:v>270.51360125324015</c:v>
                </c:pt>
                <c:pt idx="155">
                  <c:v>271.98107510555513</c:v>
                </c:pt>
                <c:pt idx="156">
                  <c:v>273.44715935779419</c:v>
                </c:pt>
                <c:pt idx="157">
                  <c:v>274.91180566482666</c:v>
                </c:pt>
                <c:pt idx="158">
                  <c:v>276.37496617827099</c:v>
                </c:pt>
                <c:pt idx="159">
                  <c:v>277.83659354649518</c:v>
                </c:pt>
                <c:pt idx="160">
                  <c:v>279.29664091461603</c:v>
                </c:pt>
                <c:pt idx="161">
                  <c:v>280.75506192450047</c:v>
                </c:pt>
                <c:pt idx="162">
                  <c:v>282.21181071476366</c:v>
                </c:pt>
                <c:pt idx="163">
                  <c:v>283.66684192077093</c:v>
                </c:pt>
                <c:pt idx="164">
                  <c:v>285.12011067463641</c:v>
                </c:pt>
                <c:pt idx="165">
                  <c:v>286.57157260522371</c:v>
                </c:pt>
                <c:pt idx="166">
                  <c:v>288.02118383814593</c:v>
                </c:pt>
                <c:pt idx="167">
                  <c:v>289.4892114085776</c:v>
                </c:pt>
                <c:pt idx="168">
                  <c:v>291.00728062007624</c:v>
                </c:pt>
                <c:pt idx="169">
                  <c:v>292.52327152422748</c:v>
                </c:pt>
                <c:pt idx="170">
                  <c:v>294.03714013927168</c:v>
                </c:pt>
                <c:pt idx="171">
                  <c:v>295.54884300503619</c:v>
                </c:pt>
                <c:pt idx="172">
                  <c:v>297.0583371829353</c:v>
                </c:pt>
                <c:pt idx="173">
                  <c:v>298.56558025596939</c:v>
                </c:pt>
                <c:pt idx="174">
                  <c:v>300.07053032872636</c:v>
                </c:pt>
                <c:pt idx="175">
                  <c:v>301.57314602738029</c:v>
                </c:pt>
                <c:pt idx="176">
                  <c:v>303.07338649969233</c:v>
                </c:pt>
                <c:pt idx="177">
                  <c:v>304.5712114150104</c:v>
                </c:pt>
                <c:pt idx="178">
                  <c:v>306.06658096426895</c:v>
                </c:pt>
                <c:pt idx="179">
                  <c:v>307.55945585998927</c:v>
                </c:pt>
                <c:pt idx="180">
                  <c:v>309.04979733627954</c:v>
                </c:pt>
                <c:pt idx="181">
                  <c:v>310.53756714883457</c:v>
                </c:pt>
                <c:pt idx="182">
                  <c:v>312.02272757493597</c:v>
                </c:pt>
                <c:pt idx="183">
                  <c:v>313.50524141345221</c:v>
                </c:pt>
                <c:pt idx="184">
                  <c:v>314.98507198483821</c:v>
                </c:pt>
                <c:pt idx="185">
                  <c:v>316.46218313113587</c:v>
                </c:pt>
                <c:pt idx="186">
                  <c:v>317.93653921597388</c:v>
                </c:pt>
                <c:pt idx="187">
                  <c:v>319.4081051245675</c:v>
                </c:pt>
                <c:pt idx="188">
                  <c:v>320.87684626371907</c:v>
                </c:pt>
                <c:pt idx="189">
                  <c:v>322.34272856181718</c:v>
                </c:pt>
                <c:pt idx="190">
                  <c:v>323.80571846883765</c:v>
                </c:pt>
                <c:pt idx="191">
                  <c:v>325.26578295634295</c:v>
                </c:pt>
                <c:pt idx="192">
                  <c:v>326.72288951748203</c:v>
                </c:pt>
                <c:pt idx="193">
                  <c:v>328.17700616699091</c:v>
                </c:pt>
                <c:pt idx="194">
                  <c:v>329.62810144119226</c:v>
                </c:pt>
                <c:pt idx="195">
                  <c:v>331.07614439799539</c:v>
                </c:pt>
                <c:pt idx="196">
                  <c:v>332.52110461689659</c:v>
                </c:pt>
                <c:pt idx="197">
                  <c:v>333.96295219897888</c:v>
                </c:pt>
                <c:pt idx="198">
                  <c:v>335.40165776691163</c:v>
                </c:pt>
                <c:pt idx="199">
                  <c:v>336.83719246495144</c:v>
                </c:pt>
                <c:pt idx="200">
                  <c:v>338.26952795894181</c:v>
                </c:pt>
                <c:pt idx="201">
                  <c:v>339.69863643631214</c:v>
                </c:pt>
                <c:pt idx="202">
                  <c:v>341.12449060607935</c:v>
                </c:pt>
                <c:pt idx="203">
                  <c:v>342.54706369884696</c:v>
                </c:pt>
                <c:pt idx="204">
                  <c:v>343.96632946680535</c:v>
                </c:pt>
                <c:pt idx="205">
                  <c:v>345.38226218373109</c:v>
                </c:pt>
                <c:pt idx="206">
                  <c:v>346.79483664498821</c:v>
                </c:pt>
                <c:pt idx="207">
                  <c:v>348.20402816752716</c:v>
                </c:pt>
                <c:pt idx="208">
                  <c:v>349.60981258988488</c:v>
                </c:pt>
                <c:pt idx="209">
                  <c:v>351.01216627218582</c:v>
                </c:pt>
                <c:pt idx="210">
                  <c:v>352.41106609614036</c:v>
                </c:pt>
                <c:pt idx="211">
                  <c:v>353.80648946504613</c:v>
                </c:pt>
                <c:pt idx="212">
                  <c:v>355.19841430378744</c:v>
                </c:pt>
                <c:pt idx="213">
                  <c:v>356.58681905883515</c:v>
                </c:pt>
                <c:pt idx="214">
                  <c:v>357.97168269824721</c:v>
                </c:pt>
                <c:pt idx="215">
                  <c:v>359.35298471166806</c:v>
                </c:pt>
                <c:pt idx="216">
                  <c:v>360.73070511032893</c:v>
                </c:pt>
                <c:pt idx="217">
                  <c:v>362.1048244270479</c:v>
                </c:pt>
                <c:pt idx="218">
                  <c:v>363.47532371622975</c:v>
                </c:pt>
                <c:pt idx="219">
                  <c:v>364.8421845538661</c:v>
                </c:pt>
                <c:pt idx="220">
                  <c:v>366.20538903753504</c:v>
                </c:pt>
                <c:pt idx="221">
                  <c:v>367.5649197864019</c:v>
                </c:pt>
                <c:pt idx="222">
                  <c:v>368.92075994121825</c:v>
                </c:pt>
                <c:pt idx="223">
                  <c:v>370.2728931643228</c:v>
                </c:pt>
                <c:pt idx="224">
                  <c:v>371.62130363964064</c:v>
                </c:pt>
                <c:pt idx="225">
                  <c:v>372.96597607268427</c:v>
                </c:pt>
                <c:pt idx="226">
                  <c:v>374.30689569055221</c:v>
                </c:pt>
                <c:pt idx="227">
                  <c:v>375.64404824193008</c:v>
                </c:pt>
                <c:pt idx="228">
                  <c:v>376.97741999709024</c:v>
                </c:pt>
                <c:pt idx="229">
                  <c:v>378.30699774789178</c:v>
                </c:pt>
                <c:pt idx="230">
                  <c:v>379.63276880778051</c:v>
                </c:pt>
                <c:pt idx="231">
                  <c:v>380.95472101178927</c:v>
                </c:pt>
                <c:pt idx="232">
                  <c:v>382.27284271653707</c:v>
                </c:pt>
                <c:pt idx="233">
                  <c:v>383.58712280023025</c:v>
                </c:pt>
                <c:pt idx="234">
                  <c:v>384.89755066266173</c:v>
                </c:pt>
                <c:pt idx="235">
                  <c:v>386.2041162252109</c:v>
                </c:pt>
                <c:pt idx="236">
                  <c:v>387.50680993084438</c:v>
                </c:pt>
                <c:pt idx="237">
                  <c:v>388.80562274411506</c:v>
                </c:pt>
                <c:pt idx="238">
                  <c:v>390.10054615116314</c:v>
                </c:pt>
                <c:pt idx="239">
                  <c:v>391.39157215971517</c:v>
                </c:pt>
                <c:pt idx="240">
                  <c:v>392.67869329908439</c:v>
                </c:pt>
                <c:pt idx="241">
                  <c:v>393.96190262017092</c:v>
                </c:pt>
                <c:pt idx="242">
                  <c:v>395.24119369546207</c:v>
                </c:pt>
                <c:pt idx="243">
                  <c:v>396.51656061903117</c:v>
                </c:pt>
                <c:pt idx="244">
                  <c:v>397.78799800653877</c:v>
                </c:pt>
                <c:pt idx="245">
                  <c:v>399.05550099523197</c:v>
                </c:pt>
                <c:pt idx="246">
                  <c:v>400.31906524394464</c:v>
                </c:pt>
                <c:pt idx="247">
                  <c:v>401.5786869330978</c:v>
                </c:pt>
                <c:pt idx="248">
                  <c:v>402.8343627646986</c:v>
                </c:pt>
                <c:pt idx="249">
                  <c:v>404.08608996234125</c:v>
                </c:pt>
                <c:pt idx="250">
                  <c:v>405.333866271207</c:v>
                </c:pt>
                <c:pt idx="251">
                  <c:v>406.57768995806288</c:v>
                </c:pt>
                <c:pt idx="252">
                  <c:v>407.81755981126429</c:v>
                </c:pt>
                <c:pt idx="253">
                  <c:v>409.05347514075174</c:v>
                </c:pt>
                <c:pt idx="254">
                  <c:v>410.28543577805357</c:v>
                </c:pt>
                <c:pt idx="255">
                  <c:v>411.51344207628438</c:v>
                </c:pt>
                <c:pt idx="256">
                  <c:v>412.73749491014541</c:v>
                </c:pt>
                <c:pt idx="257">
                  <c:v>413.95759567592557</c:v>
                </c:pt>
                <c:pt idx="258">
                  <c:v>415.17374629149924</c:v>
                </c:pt>
                <c:pt idx="259">
                  <c:v>416.38594919632845</c:v>
                </c:pt>
                <c:pt idx="260">
                  <c:v>417.59420735146159</c:v>
                </c:pt>
                <c:pt idx="261">
                  <c:v>418.79852423953412</c:v>
                </c:pt>
                <c:pt idx="262">
                  <c:v>419.9989038647679</c:v>
                </c:pt>
                <c:pt idx="263">
                  <c:v>421.19535075297148</c:v>
                </c:pt>
                <c:pt idx="264">
                  <c:v>422.38786995154089</c:v>
                </c:pt>
                <c:pt idx="265">
                  <c:v>423.57646702945817</c:v>
                </c:pt>
                <c:pt idx="266">
                  <c:v>424.76114807729221</c:v>
                </c:pt>
                <c:pt idx="267">
                  <c:v>425.94191970719896</c:v>
                </c:pt>
                <c:pt idx="268">
                  <c:v>427.11878905292116</c:v>
                </c:pt>
                <c:pt idx="269">
                  <c:v>428.29176376978774</c:v>
                </c:pt>
                <c:pt idx="270">
                  <c:v>429.46085203471512</c:v>
                </c:pt>
                <c:pt idx="271">
                  <c:v>430.62606254620579</c:v>
                </c:pt>
                <c:pt idx="272">
                  <c:v>431.7874045243496</c:v>
                </c:pt>
                <c:pt idx="273">
                  <c:v>432.94488771082285</c:v>
                </c:pt>
                <c:pt idx="274">
                  <c:v>434.09852236888844</c:v>
                </c:pt>
                <c:pt idx="275">
                  <c:v>435.24831928339614</c:v>
                </c:pt>
                <c:pt idx="276">
                  <c:v>436.39428976078273</c:v>
                </c:pt>
                <c:pt idx="277">
                  <c:v>437.53644562907175</c:v>
                </c:pt>
                <c:pt idx="278">
                  <c:v>438.67479923787312</c:v>
                </c:pt>
                <c:pt idx="279">
                  <c:v>439.8093634583837</c:v>
                </c:pt>
                <c:pt idx="280">
                  <c:v>440.9401516833866</c:v>
                </c:pt>
                <c:pt idx="281">
                  <c:v>442.06717782725309</c:v>
                </c:pt>
                <c:pt idx="282">
                  <c:v>443.19045632593981</c:v>
                </c:pt>
                <c:pt idx="283">
                  <c:v>444.31000213699082</c:v>
                </c:pt>
                <c:pt idx="284">
                  <c:v>445.42583073953648</c:v>
                </c:pt>
                <c:pt idx="285">
                  <c:v>446.5379581342944</c:v>
                </c:pt>
                <c:pt idx="286">
                  <c:v>447.64640084356881</c:v>
                </c:pt>
                <c:pt idx="287">
                  <c:v>448.7511759112503</c:v>
                </c:pt>
                <c:pt idx="288">
                  <c:v>449.85230090281686</c:v>
                </c:pt>
                <c:pt idx="289">
                  <c:v>450.94979390533251</c:v>
                </c:pt>
                <c:pt idx="290">
                  <c:v>452.04367352744902</c:v>
                </c:pt>
                <c:pt idx="291">
                  <c:v>453.13395889940369</c:v>
                </c:pt>
                <c:pt idx="292">
                  <c:v>454.22066967302152</c:v>
                </c:pt>
                <c:pt idx="293">
                  <c:v>455.30382602171375</c:v>
                </c:pt>
                <c:pt idx="294">
                  <c:v>456.38344864047906</c:v>
                </c:pt>
                <c:pt idx="295">
                  <c:v>457.45955874590175</c:v>
                </c:pt>
                <c:pt idx="296">
                  <c:v>458.53217807615391</c:v>
                </c:pt>
                <c:pt idx="297">
                  <c:v>459.60132889099395</c:v>
                </c:pt>
                <c:pt idx="298">
                  <c:v>460.66703397176713</c:v>
                </c:pt>
                <c:pt idx="299">
                  <c:v>461.72931662140513</c:v>
                </c:pt>
                <c:pt idx="300">
                  <c:v>462.78820066442699</c:v>
                </c:pt>
                <c:pt idx="301">
                  <c:v>463.84371044693785</c:v>
                </c:pt>
                <c:pt idx="302">
                  <c:v>464.89587083663031</c:v>
                </c:pt>
                <c:pt idx="303">
                  <c:v>465.94470722278339</c:v>
                </c:pt>
                <c:pt idx="304">
                  <c:v>466.99024551626218</c:v>
                </c:pt>
                <c:pt idx="305">
                  <c:v>468.03251214952024</c:v>
                </c:pt>
                <c:pt idx="306">
                  <c:v>469.07153407659587</c:v>
                </c:pt>
                <c:pt idx="307">
                  <c:v>470.10733877311549</c:v>
                </c:pt>
                <c:pt idx="308">
                  <c:v>471.13995423629183</c:v>
                </c:pt>
                <c:pt idx="309">
                  <c:v>472.16940898492425</c:v>
                </c:pt>
                <c:pt idx="310">
                  <c:v>473.1957320593994</c:v>
                </c:pt>
                <c:pt idx="311">
                  <c:v>474.2189530216898</c:v>
                </c:pt>
                <c:pt idx="312">
                  <c:v>475.23910195535581</c:v>
                </c:pt>
                <c:pt idx="313">
                  <c:v>476.25620946554352</c:v>
                </c:pt>
                <c:pt idx="314">
                  <c:v>477.27030667898629</c:v>
                </c:pt>
                <c:pt idx="315">
                  <c:v>478.28142524400414</c:v>
                </c:pt>
                <c:pt idx="316">
                  <c:v>479.28959733050442</c:v>
                </c:pt>
                <c:pt idx="317">
                  <c:v>480.29485562997979</c:v>
                </c:pt>
                <c:pt idx="318">
                  <c:v>481.29723335551159</c:v>
                </c:pt>
                <c:pt idx="319">
                  <c:v>482.29676424176586</c:v>
                </c:pt>
                <c:pt idx="320">
                  <c:v>483.29348254499712</c:v>
                </c:pt>
                <c:pt idx="321">
                  <c:v>484.28742304304586</c:v>
                </c:pt>
                <c:pt idx="322">
                  <c:v>485.27862103533909</c:v>
                </c:pt>
                <c:pt idx="323">
                  <c:v>486.26711234289132</c:v>
                </c:pt>
                <c:pt idx="324">
                  <c:v>487.25293330830289</c:v>
                </c:pt>
                <c:pt idx="325">
                  <c:v>488.23612079576213</c:v>
                </c:pt>
                <c:pt idx="326">
                  <c:v>489.21671219104263</c:v>
                </c:pt>
                <c:pt idx="327">
                  <c:v>490.194745401506</c:v>
                </c:pt>
                <c:pt idx="328">
                  <c:v>491.17025885609974</c:v>
                </c:pt>
                <c:pt idx="329">
                  <c:v>492.14329150535923</c:v>
                </c:pt>
                <c:pt idx="330">
                  <c:v>493.1138828214049</c:v>
                </c:pt>
                <c:pt idx="331">
                  <c:v>494.08207279794522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C-457E-98D2-5859EEE70C70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kvie'!$G$3:$G$335</c:f>
              <c:numCache>
                <c:formatCode>0.0</c:formatCode>
                <c:ptCount val="333"/>
                <c:pt idx="0">
                  <c:v>68.659984725233073</c:v>
                </c:pt>
                <c:pt idx="1">
                  <c:v>69.331415902771667</c:v>
                </c:pt>
                <c:pt idx="2">
                  <c:v>70.014172103551431</c:v>
                </c:pt>
                <c:pt idx="3">
                  <c:v>70.70813237822486</c:v>
                </c:pt>
                <c:pt idx="4">
                  <c:v>71.413176257161396</c:v>
                </c:pt>
                <c:pt idx="5">
                  <c:v>72.129183750447353</c:v>
                </c:pt>
                <c:pt idx="6">
                  <c:v>72.856035347885964</c:v>
                </c:pt>
                <c:pt idx="7">
                  <c:v>73.593612018997305</c:v>
                </c:pt>
                <c:pt idx="8">
                  <c:v>74.341795213018401</c:v>
                </c:pt>
                <c:pt idx="9">
                  <c:v>75.100466858903175</c:v>
                </c:pt>
                <c:pt idx="10">
                  <c:v>75.869509365322358</c:v>
                </c:pt>
                <c:pt idx="11">
                  <c:v>76.648805620663708</c:v>
                </c:pt>
                <c:pt idx="12">
                  <c:v>77.438238993031788</c:v>
                </c:pt>
                <c:pt idx="13">
                  <c:v>78.237693330248064</c:v>
                </c:pt>
                <c:pt idx="14">
                  <c:v>79.047052959850973</c:v>
                </c:pt>
                <c:pt idx="15">
                  <c:v>79.866202689095715</c:v>
                </c:pt>
                <c:pt idx="16">
                  <c:v>80.69502780495452</c:v>
                </c:pt>
                <c:pt idx="17">
                  <c:v>81.533414074116422</c:v>
                </c:pt>
                <c:pt idx="18">
                  <c:v>82.381247742987384</c:v>
                </c:pt>
                <c:pt idx="19">
                  <c:v>83.238415537690287</c:v>
                </c:pt>
                <c:pt idx="20">
                  <c:v>84.104804664064858</c:v>
                </c:pt>
                <c:pt idx="21">
                  <c:v>84.980302807667769</c:v>
                </c:pt>
                <c:pt idx="22">
                  <c:v>85.864798133772538</c:v>
                </c:pt>
                <c:pt idx="23">
                  <c:v>86.758179287369643</c:v>
                </c:pt>
                <c:pt idx="24">
                  <c:v>87.660335393166392</c:v>
                </c:pt>
                <c:pt idx="25">
                  <c:v>88.571156055587011</c:v>
                </c:pt>
                <c:pt idx="26">
                  <c:v>89.490531358772643</c:v>
                </c:pt>
                <c:pt idx="27">
                  <c:v>90.418351866581318</c:v>
                </c:pt>
                <c:pt idx="28">
                  <c:v>91.392563775271128</c:v>
                </c:pt>
                <c:pt idx="29">
                  <c:v>92.375337917706375</c:v>
                </c:pt>
                <c:pt idx="30">
                  <c:v>93.366561906774223</c:v>
                </c:pt>
                <c:pt idx="31">
                  <c:v>94.3661238545793</c:v>
                </c:pt>
                <c:pt idx="32">
                  <c:v>95.373912372443925</c:v>
                </c:pt>
                <c:pt idx="33">
                  <c:v>96.389816570907911</c:v>
                </c:pt>
                <c:pt idx="34">
                  <c:v>97.413726059728759</c:v>
                </c:pt>
                <c:pt idx="35">
                  <c:v>98.445530947881466</c:v>
                </c:pt>
                <c:pt idx="36">
                  <c:v>99.485121843558659</c:v>
                </c:pt>
                <c:pt idx="37">
                  <c:v>100.53238985417049</c:v>
                </c:pt>
                <c:pt idx="38">
                  <c:v>101.58722658634477</c:v>
                </c:pt>
                <c:pt idx="39">
                  <c:v>102.64952414592682</c:v>
                </c:pt>
                <c:pt idx="40">
                  <c:v>103.71917513797962</c:v>
                </c:pt>
                <c:pt idx="41">
                  <c:v>104.79607266678364</c:v>
                </c:pt>
                <c:pt idx="42">
                  <c:v>105.88011033583706</c:v>
                </c:pt>
                <c:pt idx="43">
                  <c:v>106.97118224785547</c:v>
                </c:pt>
                <c:pt idx="44">
                  <c:v>108.0691830047722</c:v>
                </c:pt>
                <c:pt idx="45">
                  <c:v>109.17400770773806</c:v>
                </c:pt>
                <c:pt idx="46">
                  <c:v>110.28555195712156</c:v>
                </c:pt>
                <c:pt idx="47">
                  <c:v>111.40371185250862</c:v>
                </c:pt>
                <c:pt idx="48">
                  <c:v>112.55035024544105</c:v>
                </c:pt>
                <c:pt idx="49">
                  <c:v>113.70352316367899</c:v>
                </c:pt>
                <c:pt idx="50">
                  <c:v>114.86312620440722</c:v>
                </c:pt>
                <c:pt idx="51">
                  <c:v>116.02905547377857</c:v>
                </c:pt>
                <c:pt idx="52">
                  <c:v>117.20120758691371</c:v>
                </c:pt>
                <c:pt idx="53">
                  <c:v>118.37947966790119</c:v>
                </c:pt>
                <c:pt idx="54">
                  <c:v>119.56376934979761</c:v>
                </c:pt>
                <c:pt idx="55">
                  <c:v>120.75397477462738</c:v>
                </c:pt>
                <c:pt idx="56">
                  <c:v>121.94999459338294</c:v>
                </c:pt>
                <c:pt idx="57">
                  <c:v>123.15172796602458</c:v>
                </c:pt>
                <c:pt idx="58">
                  <c:v>124.35907456148051</c:v>
                </c:pt>
                <c:pt idx="59">
                  <c:v>125.57193455764698</c:v>
                </c:pt>
                <c:pt idx="60">
                  <c:v>126.79020864138796</c:v>
                </c:pt>
                <c:pt idx="61">
                  <c:v>128.01379800853562</c:v>
                </c:pt>
                <c:pt idx="62">
                  <c:v>129.24260436388971</c:v>
                </c:pt>
                <c:pt idx="63">
                  <c:v>130.47652992121832</c:v>
                </c:pt>
                <c:pt idx="64">
                  <c:v>131.71547740325701</c:v>
                </c:pt>
                <c:pt idx="65">
                  <c:v>132.95935004170965</c:v>
                </c:pt>
                <c:pt idx="66">
                  <c:v>134.20805157724789</c:v>
                </c:pt>
                <c:pt idx="67">
                  <c:v>135.46148625951128</c:v>
                </c:pt>
                <c:pt idx="68">
                  <c:v>136.71955884710724</c:v>
                </c:pt>
                <c:pt idx="69">
                  <c:v>137.98217460761131</c:v>
                </c:pt>
                <c:pt idx="70">
                  <c:v>139.24923931756678</c:v>
                </c:pt>
                <c:pt idx="71">
                  <c:v>140.52065926248497</c:v>
                </c:pt>
                <c:pt idx="72">
                  <c:v>141.79634123684497</c:v>
                </c:pt>
                <c:pt idx="73">
                  <c:v>143.07619254409406</c:v>
                </c:pt>
                <c:pt idx="74">
                  <c:v>144.36012099664717</c:v>
                </c:pt>
                <c:pt idx="75">
                  <c:v>145.64803491588734</c:v>
                </c:pt>
                <c:pt idx="76">
                  <c:v>146.93984313216546</c:v>
                </c:pt>
                <c:pt idx="77">
                  <c:v>148.23545498480044</c:v>
                </c:pt>
                <c:pt idx="78">
                  <c:v>149.53478032207889</c:v>
                </c:pt>
                <c:pt idx="79">
                  <c:v>150.83772950125555</c:v>
                </c:pt>
                <c:pt idx="80">
                  <c:v>152.14421338855306</c:v>
                </c:pt>
                <c:pt idx="81">
                  <c:v>153.45414335916198</c:v>
                </c:pt>
                <c:pt idx="82">
                  <c:v>154.76743129724073</c:v>
                </c:pt>
                <c:pt idx="83">
                  <c:v>156.08398959591563</c:v>
                </c:pt>
                <c:pt idx="84">
                  <c:v>157.4037311572811</c:v>
                </c:pt>
                <c:pt idx="85">
                  <c:v>158.72656939239937</c:v>
                </c:pt>
                <c:pt idx="86">
                  <c:v>160.05241822130054</c:v>
                </c:pt>
                <c:pt idx="87">
                  <c:v>161.38119207298274</c:v>
                </c:pt>
                <c:pt idx="88">
                  <c:v>162.712805885412</c:v>
                </c:pt>
                <c:pt idx="89">
                  <c:v>164.0471751055222</c:v>
                </c:pt>
                <c:pt idx="90">
                  <c:v>165.38421568921524</c:v>
                </c:pt>
                <c:pt idx="91">
                  <c:v>166.72384410136101</c:v>
                </c:pt>
                <c:pt idx="92">
                  <c:v>168.06597731579706</c:v>
                </c:pt>
                <c:pt idx="93">
                  <c:v>169.41053281532913</c:v>
                </c:pt>
                <c:pt idx="94">
                  <c:v>170.75742859173081</c:v>
                </c:pt>
                <c:pt idx="95">
                  <c:v>172.10658314574354</c:v>
                </c:pt>
                <c:pt idx="96">
                  <c:v>173.4579154870768</c:v>
                </c:pt>
                <c:pt idx="97">
                  <c:v>174.82690179702089</c:v>
                </c:pt>
                <c:pt idx="98">
                  <c:v>176.19792862835121</c:v>
                </c:pt>
                <c:pt idx="99">
                  <c:v>177.57091560430848</c:v>
                </c:pt>
                <c:pt idx="100">
                  <c:v>178.94578286295194</c:v>
                </c:pt>
                <c:pt idx="101">
                  <c:v>180.32245105715882</c:v>
                </c:pt>
                <c:pt idx="102">
                  <c:v>181.70084135462437</c:v>
                </c:pt>
                <c:pt idx="103">
                  <c:v>183.08087543786209</c:v>
                </c:pt>
                <c:pt idx="104">
                  <c:v>184.46247550420355</c:v>
                </c:pt>
                <c:pt idx="105">
                  <c:v>185.84556426579852</c:v>
                </c:pt>
                <c:pt idx="106">
                  <c:v>187.23006494961484</c:v>
                </c:pt>
                <c:pt idx="107">
                  <c:v>188.61590129743848</c:v>
                </c:pt>
                <c:pt idx="108">
                  <c:v>190.00299756587364</c:v>
                </c:pt>
                <c:pt idx="109">
                  <c:v>191.39127852634255</c:v>
                </c:pt>
                <c:pt idx="110">
                  <c:v>192.78066946508559</c:v>
                </c:pt>
                <c:pt idx="111">
                  <c:v>194.17109618316118</c:v>
                </c:pt>
                <c:pt idx="112">
                  <c:v>195.56248499644613</c:v>
                </c:pt>
                <c:pt idx="113">
                  <c:v>196.95476273563514</c:v>
                </c:pt>
                <c:pt idx="114">
                  <c:v>198.34785674624118</c:v>
                </c:pt>
                <c:pt idx="115">
                  <c:v>199.74169488859533</c:v>
                </c:pt>
                <c:pt idx="116">
                  <c:v>201.13620553784665</c:v>
                </c:pt>
                <c:pt idx="117">
                  <c:v>202.53131758396253</c:v>
                </c:pt>
                <c:pt idx="118">
                  <c:v>203.92696043172845</c:v>
                </c:pt>
                <c:pt idx="119">
                  <c:v>205.32306400074785</c:v>
                </c:pt>
                <c:pt idx="120">
                  <c:v>206.7195587254426</c:v>
                </c:pt>
                <c:pt idx="121">
                  <c:v>208.11637555505246</c:v>
                </c:pt>
                <c:pt idx="122">
                  <c:v>209.51344595363537</c:v>
                </c:pt>
                <c:pt idx="123">
                  <c:v>210.91070190006752</c:v>
                </c:pt>
                <c:pt idx="124">
                  <c:v>212.30807588804308</c:v>
                </c:pt>
                <c:pt idx="125">
                  <c:v>213.70550092607451</c:v>
                </c:pt>
                <c:pt idx="126">
                  <c:v>215.10291053749225</c:v>
                </c:pt>
                <c:pt idx="127">
                  <c:v>216.50023876044489</c:v>
                </c:pt>
                <c:pt idx="128">
                  <c:v>217.89742014789925</c:v>
                </c:pt>
                <c:pt idx="129">
                  <c:v>219.2943897676403</c:v>
                </c:pt>
                <c:pt idx="130">
                  <c:v>220.69108320227079</c:v>
                </c:pt>
                <c:pt idx="131">
                  <c:v>222.0980149836588</c:v>
                </c:pt>
                <c:pt idx="132">
                  <c:v>223.50454023296459</c:v>
                </c:pt>
                <c:pt idx="133">
                  <c:v>224.91059560093552</c:v>
                </c:pt>
                <c:pt idx="134">
                  <c:v>226.31611825703717</c:v>
                </c:pt>
                <c:pt idx="135">
                  <c:v>227.72104588945328</c:v>
                </c:pt>
                <c:pt idx="136">
                  <c:v>229.12531670508585</c:v>
                </c:pt>
                <c:pt idx="137">
                  <c:v>230.52886942955539</c:v>
                </c:pt>
                <c:pt idx="138">
                  <c:v>231.93164330720029</c:v>
                </c:pt>
                <c:pt idx="139">
                  <c:v>233.33357810107748</c:v>
                </c:pt>
                <c:pt idx="140">
                  <c:v>234.73461409296223</c:v>
                </c:pt>
                <c:pt idx="141">
                  <c:v>236.18118049214996</c:v>
                </c:pt>
                <c:pt idx="142">
                  <c:v>237.63283809002624</c:v>
                </c:pt>
                <c:pt idx="143">
                  <c:v>239.08338043586235</c:v>
                </c:pt>
                <c:pt idx="144">
                  <c:v>240.53274771926326</c:v>
                </c:pt>
                <c:pt idx="145">
                  <c:v>241.98088066805283</c:v>
                </c:pt>
                <c:pt idx="146">
                  <c:v>243.42772054827392</c:v>
                </c:pt>
                <c:pt idx="147">
                  <c:v>244.87320916418832</c:v>
                </c:pt>
                <c:pt idx="148">
                  <c:v>246.31728885827675</c:v>
                </c:pt>
                <c:pt idx="149">
                  <c:v>247.75990251123886</c:v>
                </c:pt>
                <c:pt idx="150">
                  <c:v>249.20099354199331</c:v>
                </c:pt>
                <c:pt idx="151">
                  <c:v>250.64050590767781</c:v>
                </c:pt>
                <c:pt idx="152">
                  <c:v>252.0783841036488</c:v>
                </c:pt>
                <c:pt idx="153">
                  <c:v>253.51457316348186</c:v>
                </c:pt>
                <c:pt idx="154">
                  <c:v>254.94901865897145</c:v>
                </c:pt>
                <c:pt idx="155">
                  <c:v>256.38166670013106</c:v>
                </c:pt>
                <c:pt idx="156">
                  <c:v>257.81246393519302</c:v>
                </c:pt>
                <c:pt idx="157">
                  <c:v>259.24135755060865</c:v>
                </c:pt>
                <c:pt idx="158">
                  <c:v>260.66829527104841</c:v>
                </c:pt>
                <c:pt idx="159">
                  <c:v>262.09322535940129</c:v>
                </c:pt>
                <c:pt idx="160">
                  <c:v>263.51609661677571</c:v>
                </c:pt>
                <c:pt idx="161">
                  <c:v>264.93685838249883</c:v>
                </c:pt>
                <c:pt idx="162">
                  <c:v>266.35546053411667</c:v>
                </c:pt>
                <c:pt idx="163">
                  <c:v>267.77185348739437</c:v>
                </c:pt>
                <c:pt idx="164">
                  <c:v>269.18598819631603</c:v>
                </c:pt>
                <c:pt idx="165">
                  <c:v>270.59781615308452</c:v>
                </c:pt>
                <c:pt idx="166">
                  <c:v>272.00728938812188</c:v>
                </c:pt>
                <c:pt idx="167">
                  <c:v>273.41436047006897</c:v>
                </c:pt>
                <c:pt idx="168">
                  <c:v>274.8189825057857</c:v>
                </c:pt>
                <c:pt idx="169">
                  <c:v>276.22110914035085</c:v>
                </c:pt>
                <c:pt idx="170">
                  <c:v>277.62069455706222</c:v>
                </c:pt>
                <c:pt idx="171">
                  <c:v>279.01769347743652</c:v>
                </c:pt>
                <c:pt idx="172">
                  <c:v>280.41206116120935</c:v>
                </c:pt>
                <c:pt idx="173">
                  <c:v>281.80375340633555</c:v>
                </c:pt>
                <c:pt idx="174">
                  <c:v>283.19272654898856</c:v>
                </c:pt>
                <c:pt idx="175">
                  <c:v>284.57893746356103</c:v>
                </c:pt>
                <c:pt idx="176">
                  <c:v>285.96234356266456</c:v>
                </c:pt>
                <c:pt idx="177">
                  <c:v>287.34290279712923</c:v>
                </c:pt>
                <c:pt idx="178">
                  <c:v>288.72057365600483</c:v>
                </c:pt>
                <c:pt idx="179">
                  <c:v>290.09531516655971</c:v>
                </c:pt>
                <c:pt idx="180">
                  <c:v>291.46708689428101</c:v>
                </c:pt>
                <c:pt idx="181">
                  <c:v>292.83584894287526</c:v>
                </c:pt>
                <c:pt idx="182">
                  <c:v>294.20156195426762</c:v>
                </c:pt>
                <c:pt idx="183">
                  <c:v>295.5641871086022</c:v>
                </c:pt>
                <c:pt idx="184">
                  <c:v>296.92368612424212</c:v>
                </c:pt>
                <c:pt idx="185">
                  <c:v>298.2800212577697</c:v>
                </c:pt>
                <c:pt idx="186">
                  <c:v>299.63315530398597</c:v>
                </c:pt>
                <c:pt idx="187">
                  <c:v>300.98305159591075</c:v>
                </c:pt>
                <c:pt idx="188">
                  <c:v>302.32967400478327</c:v>
                </c:pt>
                <c:pt idx="189">
                  <c:v>303.67298694006143</c:v>
                </c:pt>
                <c:pt idx="190">
                  <c:v>305.01295534942204</c:v>
                </c:pt>
                <c:pt idx="191">
                  <c:v>306.34954471876097</c:v>
                </c:pt>
                <c:pt idx="192">
                  <c:v>307.68272107219303</c:v>
                </c:pt>
                <c:pt idx="193">
                  <c:v>309.01245097205202</c:v>
                </c:pt>
                <c:pt idx="194">
                  <c:v>310.33870151889067</c:v>
                </c:pt>
                <c:pt idx="195">
                  <c:v>311.66144035148062</c:v>
                </c:pt>
                <c:pt idx="196">
                  <c:v>312.98063564681252</c:v>
                </c:pt>
                <c:pt idx="197">
                  <c:v>314.29625612009602</c:v>
                </c:pt>
                <c:pt idx="198">
                  <c:v>315.60827102475952</c:v>
                </c:pt>
                <c:pt idx="199">
                  <c:v>316.91665015245076</c:v>
                </c:pt>
                <c:pt idx="200">
                  <c:v>318.22136383303581</c:v>
                </c:pt>
                <c:pt idx="201">
                  <c:v>319.5223829346005</c:v>
                </c:pt>
                <c:pt idx="202">
                  <c:v>320.81967886344898</c:v>
                </c:pt>
                <c:pt idx="203">
                  <c:v>322.11322356410449</c:v>
                </c:pt>
                <c:pt idx="204">
                  <c:v>323.40298951930953</c:v>
                </c:pt>
                <c:pt idx="205">
                  <c:v>324.68894975002524</c:v>
                </c:pt>
                <c:pt idx="206">
                  <c:v>325.9710778154319</c:v>
                </c:pt>
                <c:pt idx="207">
                  <c:v>327.24934781292853</c:v>
                </c:pt>
                <c:pt idx="208">
                  <c:v>328.52373437813333</c:v>
                </c:pt>
                <c:pt idx="209">
                  <c:v>329.79421268488323</c:v>
                </c:pt>
                <c:pt idx="210">
                  <c:v>331.06075844523446</c:v>
                </c:pt>
                <c:pt idx="211">
                  <c:v>332.32334790946186</c:v>
                </c:pt>
                <c:pt idx="212">
                  <c:v>333.58195786605927</c:v>
                </c:pt>
                <c:pt idx="213">
                  <c:v>334.83656564173987</c:v>
                </c:pt>
                <c:pt idx="214">
                  <c:v>336.0871491014351</c:v>
                </c:pt>
                <c:pt idx="215">
                  <c:v>337.33368664829607</c:v>
                </c:pt>
                <c:pt idx="216">
                  <c:v>338.57615722369258</c:v>
                </c:pt>
                <c:pt idx="217">
                  <c:v>339.81454030721301</c:v>
                </c:pt>
                <c:pt idx="218">
                  <c:v>341.04881591666549</c:v>
                </c:pt>
                <c:pt idx="219">
                  <c:v>342.27896460807614</c:v>
                </c:pt>
                <c:pt idx="220">
                  <c:v>343.50496747569088</c:v>
                </c:pt>
                <c:pt idx="221">
                  <c:v>344.72680615197413</c:v>
                </c:pt>
                <c:pt idx="222">
                  <c:v>345.94446280760945</c:v>
                </c:pt>
                <c:pt idx="223">
                  <c:v>347.15792015149924</c:v>
                </c:pt>
                <c:pt idx="224">
                  <c:v>348.36716143076484</c:v>
                </c:pt>
                <c:pt idx="225">
                  <c:v>349.57217043074672</c:v>
                </c:pt>
                <c:pt idx="226">
                  <c:v>350.77293147500421</c:v>
                </c:pt>
                <c:pt idx="227">
                  <c:v>351.96942942531547</c:v>
                </c:pt>
                <c:pt idx="228">
                  <c:v>353.16164968167772</c:v>
                </c:pt>
                <c:pt idx="229">
                  <c:v>354.34957818230731</c:v>
                </c:pt>
                <c:pt idx="230">
                  <c:v>355.53320140363923</c:v>
                </c:pt>
                <c:pt idx="231">
                  <c:v>356.71250636032778</c:v>
                </c:pt>
                <c:pt idx="232">
                  <c:v>357.88748060524586</c:v>
                </c:pt>
                <c:pt idx="233">
                  <c:v>359.05811222948557</c:v>
                </c:pt>
                <c:pt idx="234">
                  <c:v>360.22438986235755</c:v>
                </c:pt>
                <c:pt idx="235">
                  <c:v>361.38630267139189</c:v>
                </c:pt>
                <c:pt idx="236">
                  <c:v>362.54384036233785</c:v>
                </c:pt>
                <c:pt idx="237">
                  <c:v>363.69699317916275</c:v>
                </c:pt>
                <c:pt idx="238">
                  <c:v>364.84575190405366</c:v>
                </c:pt>
                <c:pt idx="239">
                  <c:v>365.99010785741626</c:v>
                </c:pt>
                <c:pt idx="240">
                  <c:v>367.13005289787549</c:v>
                </c:pt>
                <c:pt idx="241">
                  <c:v>368.26557942227436</c:v>
                </c:pt>
                <c:pt idx="242">
                  <c:v>369.39668036567622</c:v>
                </c:pt>
                <c:pt idx="243">
                  <c:v>370.52334920136212</c:v>
                </c:pt>
                <c:pt idx="244">
                  <c:v>371.64557994083287</c:v>
                </c:pt>
                <c:pt idx="245">
                  <c:v>372.76336713380772</c:v>
                </c:pt>
                <c:pt idx="246">
                  <c:v>373.87670586822554</c:v>
                </c:pt>
                <c:pt idx="247">
                  <c:v>374.98559177024322</c:v>
                </c:pt>
                <c:pt idx="248">
                  <c:v>376.09002100423749</c:v>
                </c:pt>
                <c:pt idx="249">
                  <c:v>377.18999027280336</c:v>
                </c:pt>
                <c:pt idx="250">
                  <c:v>378.28549681675537</c:v>
                </c:pt>
                <c:pt idx="251">
                  <c:v>379.37653841512656</c:v>
                </c:pt>
                <c:pt idx="252">
                  <c:v>380.46311338516909</c:v>
                </c:pt>
                <c:pt idx="253">
                  <c:v>381.54522058235415</c:v>
                </c:pt>
                <c:pt idx="254">
                  <c:v>382.62285940037196</c:v>
                </c:pt>
                <c:pt idx="255">
                  <c:v>383.69602977113141</c:v>
                </c:pt>
                <c:pt idx="256">
                  <c:v>384.76473216476052</c:v>
                </c:pt>
                <c:pt idx="257">
                  <c:v>385.82896758960618</c:v>
                </c:pt>
                <c:pt idx="258">
                  <c:v>386.88873759223441</c:v>
                </c:pt>
                <c:pt idx="259">
                  <c:v>387.94404425743005</c:v>
                </c:pt>
                <c:pt idx="260">
                  <c:v>388.99489020819698</c:v>
                </c:pt>
                <c:pt idx="261">
                  <c:v>390.04127860575801</c:v>
                </c:pt>
                <c:pt idx="262">
                  <c:v>391.08321314955464</c:v>
                </c:pt>
                <c:pt idx="263">
                  <c:v>392.12069807724765</c:v>
                </c:pt>
                <c:pt idx="264">
                  <c:v>393.15373816471708</c:v>
                </c:pt>
                <c:pt idx="265">
                  <c:v>394.18233872606095</c:v>
                </c:pt>
                <c:pt idx="266">
                  <c:v>395.20650561359713</c:v>
                </c:pt>
                <c:pt idx="267">
                  <c:v>396.22624521786219</c:v>
                </c:pt>
                <c:pt idx="268">
                  <c:v>397.2415644676114</c:v>
                </c:pt>
                <c:pt idx="269">
                  <c:v>398.25247082981929</c:v>
                </c:pt>
                <c:pt idx="270">
                  <c:v>399.25897230967928</c:v>
                </c:pt>
                <c:pt idx="271">
                  <c:v>400.26107745060364</c:v>
                </c:pt>
                <c:pt idx="272">
                  <c:v>401.25879533422381</c:v>
                </c:pt>
                <c:pt idx="273">
                  <c:v>402.2521355803899</c:v>
                </c:pt>
                <c:pt idx="274">
                  <c:v>403.24110834717135</c:v>
                </c:pt>
                <c:pt idx="275">
                  <c:v>404.22572433085577</c:v>
                </c:pt>
                <c:pt idx="276">
                  <c:v>405.20599476595083</c:v>
                </c:pt>
                <c:pt idx="277">
                  <c:v>406.18193142518271</c:v>
                </c:pt>
                <c:pt idx="278">
                  <c:v>407.15354661949584</c:v>
                </c:pt>
                <c:pt idx="279">
                  <c:v>408.1208531980547</c:v>
                </c:pt>
                <c:pt idx="280">
                  <c:v>409.08386454824216</c:v>
                </c:pt>
                <c:pt idx="281">
                  <c:v>410.04259459565998</c:v>
                </c:pt>
                <c:pt idx="282">
                  <c:v>410.99705780412899</c:v>
                </c:pt>
                <c:pt idx="283">
                  <c:v>411.94726917568903</c:v>
                </c:pt>
                <c:pt idx="284">
                  <c:v>412.8932442505992</c:v>
                </c:pt>
                <c:pt idx="285">
                  <c:v>413.83499910733678</c:v>
                </c:pt>
                <c:pt idx="286">
                  <c:v>414.77255036259891</c:v>
                </c:pt>
                <c:pt idx="287">
                  <c:v>415.70591517130049</c:v>
                </c:pt>
                <c:pt idx="288">
                  <c:v>416.63511122657712</c:v>
                </c:pt>
                <c:pt idx="289">
                  <c:v>417.56015675978153</c:v>
                </c:pt>
                <c:pt idx="290">
                  <c:v>418.48107054048666</c:v>
                </c:pt>
                <c:pt idx="291">
                  <c:v>419.39787187648375</c:v>
                </c:pt>
                <c:pt idx="292">
                  <c:v>420.31058061378337</c:v>
                </c:pt>
                <c:pt idx="293">
                  <c:v>421.21921713661487</c:v>
                </c:pt>
                <c:pt idx="294">
                  <c:v>422.12380236742649</c:v>
                </c:pt>
                <c:pt idx="295">
                  <c:v>423.02435776688571</c:v>
                </c:pt>
                <c:pt idx="296">
                  <c:v>423.92090533387835</c:v>
                </c:pt>
                <c:pt idx="297">
                  <c:v>424.81346760551008</c:v>
                </c:pt>
                <c:pt idx="298">
                  <c:v>425.70206765710492</c:v>
                </c:pt>
                <c:pt idx="299">
                  <c:v>426.58672910220599</c:v>
                </c:pt>
                <c:pt idx="300">
                  <c:v>427.46747609257523</c:v>
                </c:pt>
                <c:pt idx="301">
                  <c:v>428.34433331819383</c:v>
                </c:pt>
                <c:pt idx="302">
                  <c:v>429.21732600726176</c:v>
                </c:pt>
                <c:pt idx="303">
                  <c:v>430.08647992619763</c:v>
                </c:pt>
                <c:pt idx="304">
                  <c:v>430.95182137963997</c:v>
                </c:pt>
                <c:pt idx="305">
                  <c:v>431.81337721044497</c:v>
                </c:pt>
                <c:pt idx="306">
                  <c:v>432.67117479968869</c:v>
                </c:pt>
                <c:pt idx="307">
                  <c:v>433.52524206666624</c:v>
                </c:pt>
                <c:pt idx="308">
                  <c:v>434.37560746889085</c:v>
                </c:pt>
                <c:pt idx="309">
                  <c:v>435.22230000209515</c:v>
                </c:pt>
                <c:pt idx="310">
                  <c:v>436.06534920023154</c:v>
                </c:pt>
                <c:pt idx="311">
                  <c:v>436.90478513546952</c:v>
                </c:pt>
                <c:pt idx="312">
                  <c:v>437.74063841819935</c:v>
                </c:pt>
                <c:pt idx="313">
                  <c:v>438.57294019702965</c:v>
                </c:pt>
                <c:pt idx="314">
                  <c:v>439.40172215878721</c:v>
                </c:pt>
                <c:pt idx="315">
                  <c:v>440.22701652851902</c:v>
                </c:pt>
                <c:pt idx="316">
                  <c:v>441.04885606948994</c:v>
                </c:pt>
                <c:pt idx="317">
                  <c:v>441.86727408318512</c:v>
                </c:pt>
                <c:pt idx="318">
                  <c:v>442.68230440930682</c:v>
                </c:pt>
                <c:pt idx="319">
                  <c:v>443.49398142577814</c:v>
                </c:pt>
                <c:pt idx="320">
                  <c:v>444.30234004873944</c:v>
                </c:pt>
                <c:pt idx="321">
                  <c:v>445.10741573255171</c:v>
                </c:pt>
                <c:pt idx="322">
                  <c:v>445.90924446979369</c:v>
                </c:pt>
                <c:pt idx="323">
                  <c:v>446.70786279126332</c:v>
                </c:pt>
                <c:pt idx="324">
                  <c:v>447.50330776597787</c:v>
                </c:pt>
                <c:pt idx="325">
                  <c:v>448.29561700117267</c:v>
                </c:pt>
                <c:pt idx="326">
                  <c:v>449.08482864230376</c:v>
                </c:pt>
                <c:pt idx="327">
                  <c:v>449.87098137304406</c:v>
                </c:pt>
                <c:pt idx="328">
                  <c:v>450.65411441528687</c:v>
                </c:pt>
                <c:pt idx="329">
                  <c:v>451.43426752914365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C-457E-98D2-5859EEE7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576528"/>
        <c:axId val="1131148032"/>
      </c:lineChart>
      <c:catAx>
        <c:axId val="1142576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31148032"/>
        <c:crosses val="autoZero"/>
        <c:auto val="1"/>
        <c:lblAlgn val="ctr"/>
        <c:lblOffset val="100"/>
        <c:noMultiLvlLbl val="0"/>
      </c:catAx>
      <c:valAx>
        <c:axId val="113114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425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/>
              <a:t>Dækningsbidrag</a:t>
            </a:r>
            <a:r>
              <a:rPr lang="da-DK" sz="2000" baseline="0"/>
              <a:t> minus arbejdsomkostninger, kr. pr. produceret kalv</a:t>
            </a:r>
            <a:endParaRPr lang="da-DK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146675420978683E-2"/>
          <c:y val="0.22422550873557609"/>
          <c:w val="0.91156218615478979"/>
          <c:h val="0.57311991301321363"/>
        </c:manualLayout>
      </c:layout>
      <c:lineChart>
        <c:grouping val="standard"/>
        <c:varyColors val="0"/>
        <c:ser>
          <c:idx val="3"/>
          <c:order val="0"/>
          <c:tx>
            <c:v>Holstein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hol'!$AN$184:$AN$327</c15:sqref>
                  </c15:fullRef>
                </c:ext>
              </c:extLst>
              <c:f>'Vækstfunktion, hol'!$AN$184:$AN$327</c:f>
              <c:numCache>
                <c:formatCode>#,##0</c:formatCode>
                <c:ptCount val="144"/>
                <c:pt idx="0">
                  <c:v>-19.793979671684582</c:v>
                </c:pt>
                <c:pt idx="1">
                  <c:v>-17.444658335444416</c:v>
                </c:pt>
                <c:pt idx="2">
                  <c:v>-15.136601352184556</c:v>
                </c:pt>
                <c:pt idx="3">
                  <c:v>-12.870976110874864</c:v>
                </c:pt>
                <c:pt idx="4">
                  <c:v>-10.648957592078858</c:v>
                </c:pt>
                <c:pt idx="5">
                  <c:v>-8.4717283006115451</c:v>
                </c:pt>
                <c:pt idx="6">
                  <c:v>-6.3552553657887927</c:v>
                </c:pt>
                <c:pt idx="7">
                  <c:v>-4.2859405781394173</c:v>
                </c:pt>
                <c:pt idx="8">
                  <c:v>-2.2649925060822795</c:v>
                </c:pt>
                <c:pt idx="9">
                  <c:v>-0.29362695909927083</c:v>
                </c:pt>
                <c:pt idx="10">
                  <c:v>1.6269330863989637</c:v>
                </c:pt>
                <c:pt idx="11">
                  <c:v>3.4807320784125011</c:v>
                </c:pt>
                <c:pt idx="12">
                  <c:v>5.281253351711058</c:v>
                </c:pt>
                <c:pt idx="13">
                  <c:v>7.0272489780564626</c:v>
                </c:pt>
                <c:pt idx="14">
                  <c:v>8.7174641716341341</c:v>
                </c:pt>
                <c:pt idx="15">
                  <c:v>10.350637369466057</c:v>
                </c:pt>
                <c:pt idx="16">
                  <c:v>11.925500313009735</c:v>
                </c:pt>
                <c:pt idx="17">
                  <c:v>13.425935094793516</c:v>
                </c:pt>
                <c:pt idx="18">
                  <c:v>14.865470922309811</c:v>
                </c:pt>
                <c:pt idx="19">
                  <c:v>16.242816042622934</c:v>
                </c:pt>
                <c:pt idx="20">
                  <c:v>17.556672345029966</c:v>
                </c:pt>
                <c:pt idx="21">
                  <c:v>18.805735448215813</c:v>
                </c:pt>
                <c:pt idx="22">
                  <c:v>19.988694788496929</c:v>
                </c:pt>
                <c:pt idx="23">
                  <c:v>21.089081588978132</c:v>
                </c:pt>
                <c:pt idx="24">
                  <c:v>22.594926991006588</c:v>
                </c:pt>
                <c:pt idx="25">
                  <c:v>24.185772518240668</c:v>
                </c:pt>
                <c:pt idx="26">
                  <c:v>25.706246278449868</c:v>
                </c:pt>
                <c:pt idx="27">
                  <c:v>27.155883064693597</c:v>
                </c:pt>
                <c:pt idx="28">
                  <c:v>28.518658702863178</c:v>
                </c:pt>
                <c:pt idx="29">
                  <c:v>29.80961532291721</c:v>
                </c:pt>
                <c:pt idx="30">
                  <c:v>31.02831549156636</c:v>
                </c:pt>
                <c:pt idx="31">
                  <c:v>32.174332403603074</c:v>
                </c:pt>
                <c:pt idx="32">
                  <c:v>33.247249913116804</c:v>
                </c:pt>
                <c:pt idx="33">
                  <c:v>34.24666256322493</c:v>
                </c:pt>
                <c:pt idx="34">
                  <c:v>35.155941335486801</c:v>
                </c:pt>
                <c:pt idx="35">
                  <c:v>35.990825908741925</c:v>
                </c:pt>
                <c:pt idx="36">
                  <c:v>36.750939148510753</c:v>
                </c:pt>
                <c:pt idx="37">
                  <c:v>37.435914714064978</c:v>
                </c:pt>
                <c:pt idx="38">
                  <c:v>38.045397081135349</c:v>
                </c:pt>
                <c:pt idx="39">
                  <c:v>38.579041563243862</c:v>
                </c:pt>
                <c:pt idx="40">
                  <c:v>991.14835335711268</c:v>
                </c:pt>
                <c:pt idx="41">
                  <c:v>1003.4601036529</c:v>
                </c:pt>
                <c:pt idx="42">
                  <c:v>1015.7714036511816</c:v>
                </c:pt>
                <c:pt idx="43">
                  <c:v>1028.0817559264624</c:v>
                </c:pt>
                <c:pt idx="44">
                  <c:v>1040.3906741032258</c:v>
                </c:pt>
                <c:pt idx="45">
                  <c:v>1052.6976830868266</c:v>
                </c:pt>
                <c:pt idx="46">
                  <c:v>1065.0023192943399</c:v>
                </c:pt>
                <c:pt idx="47">
                  <c:v>1077.3041308853187</c:v>
                </c:pt>
                <c:pt idx="48">
                  <c:v>1089.6026779924255</c:v>
                </c:pt>
                <c:pt idx="49">
                  <c:v>1101.8788867946832</c:v>
                </c:pt>
                <c:pt idx="50">
                  <c:v>1114.1508111650262</c:v>
                </c:pt>
                <c:pt idx="51">
                  <c:v>1126.418044628967</c:v>
                </c:pt>
                <c:pt idx="52">
                  <c:v>1138.6801936060501</c:v>
                </c:pt>
                <c:pt idx="53">
                  <c:v>1150.9368776396218</c:v>
                </c:pt>
                <c:pt idx="54">
                  <c:v>1163.1877296263067</c:v>
                </c:pt>
                <c:pt idx="55">
                  <c:v>1175.4323960452834</c:v>
                </c:pt>
                <c:pt idx="56">
                  <c:v>1187.6705371872472</c:v>
                </c:pt>
                <c:pt idx="57">
                  <c:v>1199.9018273831362</c:v>
                </c:pt>
                <c:pt idx="58">
                  <c:v>1212.125955232543</c:v>
                </c:pt>
                <c:pt idx="59">
                  <c:v>1224.3426238318493</c:v>
                </c:pt>
                <c:pt idx="60">
                  <c:v>1236.5305222087163</c:v>
                </c:pt>
                <c:pt idx="61">
                  <c:v>1248.710187969245</c:v>
                </c:pt>
                <c:pt idx="62">
                  <c:v>1260.8813651569919</c:v>
                </c:pt>
                <c:pt idx="63">
                  <c:v>1273.043813221665</c:v>
                </c:pt>
                <c:pt idx="64">
                  <c:v>1285.1973072456631</c:v>
                </c:pt>
                <c:pt idx="65">
                  <c:v>1297.3416381702687</c:v>
                </c:pt>
                <c:pt idx="66">
                  <c:v>1309.4766130215587</c:v>
                </c:pt>
                <c:pt idx="67">
                  <c:v>1321.6020551359225</c:v>
                </c:pt>
                <c:pt idx="68">
                  <c:v>1332.532438081183</c:v>
                </c:pt>
                <c:pt idx="69">
                  <c:v>1338.6852148869712</c:v>
                </c:pt>
                <c:pt idx="70">
                  <c:v>1344.8418612450334</c:v>
                </c:pt>
                <c:pt idx="71">
                  <c:v>1350.9158377839317</c:v>
                </c:pt>
                <c:pt idx="72">
                  <c:v>1356.9070726761856</c:v>
                </c:pt>
                <c:pt idx="73">
                  <c:v>1362.8155210239006</c:v>
                </c:pt>
                <c:pt idx="74">
                  <c:v>1368.6411648978153</c:v>
                </c:pt>
                <c:pt idx="75">
                  <c:v>1374.3840133746726</c:v>
                </c:pt>
                <c:pt idx="76">
                  <c:v>1380.0441025729019</c:v>
                </c:pt>
                <c:pt idx="77">
                  <c:v>1385.6214956867634</c:v>
                </c:pt>
                <c:pt idx="78">
                  <c:v>1391.116283018888</c:v>
                </c:pt>
                <c:pt idx="79">
                  <c:v>1396.528582011339</c:v>
                </c:pt>
                <c:pt idx="80">
                  <c:v>1401.8585372752859</c:v>
                </c:pt>
                <c:pt idx="81">
                  <c:v>1407.1063206192052</c:v>
                </c:pt>
                <c:pt idx="82">
                  <c:v>1412.2721310758259</c:v>
                </c:pt>
                <c:pt idx="83">
                  <c:v>1417.3561949277409</c:v>
                </c:pt>
                <c:pt idx="84">
                  <c:v>1422.3587657318481</c:v>
                </c:pt>
                <c:pt idx="85">
                  <c:v>1426.7830561941682</c:v>
                </c:pt>
                <c:pt idx="86">
                  <c:v>1429.4289570864923</c:v>
                </c:pt>
                <c:pt idx="87">
                  <c:v>1431.9865490013649</c:v>
                </c:pt>
                <c:pt idx="88">
                  <c:v>1434.455513949646</c:v>
                </c:pt>
                <c:pt idx="89">
                  <c:v>1436.835548139687</c:v>
                </c:pt>
                <c:pt idx="90">
                  <c:v>1439.1263620233492</c:v>
                </c:pt>
                <c:pt idx="91">
                  <c:v>1441.3276803416393</c:v>
                </c:pt>
                <c:pt idx="92">
                  <c:v>1443.4392421702582</c:v>
                </c:pt>
                <c:pt idx="93">
                  <c:v>1445.4608009647091</c:v>
                </c:pt>
                <c:pt idx="94">
                  <c:v>1447.3921246052971</c:v>
                </c:pt>
                <c:pt idx="95">
                  <c:v>1449.2329954417532</c:v>
                </c:pt>
                <c:pt idx="96">
                  <c:v>1450.9832103376521</c:v>
                </c:pt>
                <c:pt idx="97">
                  <c:v>1452.6425807145756</c:v>
                </c:pt>
                <c:pt idx="98">
                  <c:v>1454.2109325959752</c:v>
                </c:pt>
                <c:pt idx="99">
                  <c:v>1455.688106650764</c:v>
                </c:pt>
                <c:pt idx="100">
                  <c:v>1457.0739582366864</c:v>
                </c:pt>
                <c:pt idx="101">
                  <c:v>1458.3683574433817</c:v>
                </c:pt>
                <c:pt idx="102">
                  <c:v>1459.5711891351887</c:v>
                </c:pt>
                <c:pt idx="103">
                  <c:v>1460.6823529936942</c:v>
                </c:pt>
                <c:pt idx="104">
                  <c:v>1461.7318582504777</c:v>
                </c:pt>
                <c:pt idx="105">
                  <c:v>1462.6896674818177</c:v>
                </c:pt>
                <c:pt idx="106">
                  <c:v>1463.5557212001029</c:v>
                </c:pt>
                <c:pt idx="107">
                  <c:v>1464.3299749024181</c:v>
                </c:pt>
                <c:pt idx="108">
                  <c:v>1465.0123991117348</c:v>
                </c:pt>
                <c:pt idx="109">
                  <c:v>1465.602979417843</c:v>
                </c:pt>
                <c:pt idx="110">
                  <c:v>1466.1017165180103</c:v>
                </c:pt>
                <c:pt idx="111">
                  <c:v>1466.50862625736</c:v>
                </c:pt>
                <c:pt idx="112">
                  <c:v>1466.8237396689574</c:v>
                </c:pt>
                <c:pt idx="113">
                  <c:v>1467.0471030137282</c:v>
                </c:pt>
                <c:pt idx="114">
                  <c:v>1467.209883483473</c:v>
                </c:pt>
                <c:pt idx="115">
                  <c:v>1467.2811452127553</c:v>
                </c:pt>
                <c:pt idx="116">
                  <c:v>1467.2609765089187</c:v>
                </c:pt>
                <c:pt idx="117">
                  <c:v>1467.1494810638505</c:v>
                </c:pt>
                <c:pt idx="118">
                  <c:v>1466.9467779925237</c:v>
                </c:pt>
                <c:pt idx="119">
                  <c:v>1466.653001871256</c:v>
                </c:pt>
                <c:pt idx="120">
                  <c:v>1466.2683027757021</c:v>
                </c:pt>
                <c:pt idx="121">
                  <c:v>1465.7928463185913</c:v>
                </c:pt>
                <c:pt idx="122">
                  <c:v>1465.2584887492992</c:v>
                </c:pt>
                <c:pt idx="123">
                  <c:v>1464.6338176536583</c:v>
                </c:pt>
                <c:pt idx="124">
                  <c:v>1463.9190416060815</c:v>
                </c:pt>
                <c:pt idx="125">
                  <c:v>1463.1143848664296</c:v>
                </c:pt>
                <c:pt idx="126">
                  <c:v>1462.2200874165703</c:v>
                </c:pt>
                <c:pt idx="127">
                  <c:v>1461.2364049964831</c:v>
                </c:pt>
                <c:pt idx="128">
                  <c:v>1460.1636091403607</c:v>
                </c:pt>
                <c:pt idx="129">
                  <c:v>1459.0339992653039</c:v>
                </c:pt>
                <c:pt idx="130">
                  <c:v>1457.8159091557015</c:v>
                </c:pt>
                <c:pt idx="131">
                  <c:v>1456.5096540681125</c:v>
                </c:pt>
                <c:pt idx="132">
                  <c:v>1455.1155651947424</c:v>
                </c:pt>
                <c:pt idx="133">
                  <c:v>1453.6339896981654</c:v>
                </c:pt>
                <c:pt idx="134">
                  <c:v>1452.0652907459419</c:v>
                </c:pt>
                <c:pt idx="135">
                  <c:v>1450.4420339036392</c:v>
                </c:pt>
                <c:pt idx="136">
                  <c:v>1448.7324513334261</c:v>
                </c:pt>
                <c:pt idx="137">
                  <c:v>1446.9369505492646</c:v>
                </c:pt>
                <c:pt idx="138">
                  <c:v>1445.0559552059701</c:v>
                </c:pt>
                <c:pt idx="139">
                  <c:v>1443.0899051327115</c:v>
                </c:pt>
                <c:pt idx="140">
                  <c:v>1441.0392563661931</c:v>
                </c:pt>
                <c:pt idx="141">
                  <c:v>1438.9367450116179</c:v>
                </c:pt>
                <c:pt idx="142">
                  <c:v>1436.7505996651419</c:v>
                </c:pt>
                <c:pt idx="143">
                  <c:v>1434.481321309931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C-425F-86F7-42EC0DF996F0}"/>
            </c:ext>
          </c:extLst>
        </c:ser>
        <c:ser>
          <c:idx val="0"/>
          <c:order val="1"/>
          <c:tx>
            <c:v>Krydsningstyr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tyr'!$AN$184:$AN$367</c15:sqref>
                  </c15:fullRef>
                </c:ext>
              </c:extLst>
              <c:f>'Vækstfunktion, kry tyr'!$AN$184:$AN$327</c:f>
              <c:numCache>
                <c:formatCode>#,##0.00</c:formatCode>
                <c:ptCount val="144"/>
                <c:pt idx="0">
                  <c:v>196.39245241232888</c:v>
                </c:pt>
                <c:pt idx="1">
                  <c:v>204.26337282811997</c:v>
                </c:pt>
                <c:pt idx="2">
                  <c:v>212.074363787794</c:v>
                </c:pt>
                <c:pt idx="3">
                  <c:v>219.82364264370861</c:v>
                </c:pt>
                <c:pt idx="4">
                  <c:v>227.49464862148952</c:v>
                </c:pt>
                <c:pt idx="5">
                  <c:v>235.10035049140552</c:v>
                </c:pt>
                <c:pt idx="6">
                  <c:v>242.63891881448828</c:v>
                </c:pt>
                <c:pt idx="7">
                  <c:v>250.09377107025787</c:v>
                </c:pt>
                <c:pt idx="8">
                  <c:v>257.47778262272448</c:v>
                </c:pt>
                <c:pt idx="9">
                  <c:v>264.78907830614764</c:v>
                </c:pt>
                <c:pt idx="10">
                  <c:v>272.02576984177313</c:v>
                </c:pt>
                <c:pt idx="11">
                  <c:v>279.17111996357448</c:v>
                </c:pt>
                <c:pt idx="12">
                  <c:v>286.23801429257003</c:v>
                </c:pt>
                <c:pt idx="13">
                  <c:v>293.22452030660395</c:v>
                </c:pt>
                <c:pt idx="14">
                  <c:v>300.12869287619856</c:v>
                </c:pt>
                <c:pt idx="15">
                  <c:v>306.93350059745956</c:v>
                </c:pt>
                <c:pt idx="16">
                  <c:v>313.65198278530704</c:v>
                </c:pt>
                <c:pt idx="17">
                  <c:v>320.28215161514493</c:v>
                </c:pt>
                <c:pt idx="18">
                  <c:v>326.82200718091917</c:v>
                </c:pt>
                <c:pt idx="19">
                  <c:v>333.25408463055771</c:v>
                </c:pt>
                <c:pt idx="20">
                  <c:v>339.59172048883613</c:v>
                </c:pt>
                <c:pt idx="21">
                  <c:v>345.83287375874795</c:v>
                </c:pt>
                <c:pt idx="22">
                  <c:v>351.97549190479754</c:v>
                </c:pt>
                <c:pt idx="23">
                  <c:v>358.00153738642632</c:v>
                </c:pt>
                <c:pt idx="24">
                  <c:v>363.92478752116392</c:v>
                </c:pt>
                <c:pt idx="25">
                  <c:v>369.7431503335257</c:v>
                </c:pt>
                <c:pt idx="26">
                  <c:v>375.45452286655518</c:v>
                </c:pt>
                <c:pt idx="27">
                  <c:v>381.05679132292096</c:v>
                </c:pt>
                <c:pt idx="28">
                  <c:v>386.53104622204967</c:v>
                </c:pt>
                <c:pt idx="29">
                  <c:v>391.89209589854215</c:v>
                </c:pt>
                <c:pt idx="30">
                  <c:v>397.13936663838854</c:v>
                </c:pt>
                <c:pt idx="31">
                  <c:v>402.27261603277896</c:v>
                </c:pt>
                <c:pt idx="32">
                  <c:v>407.27400541141685</c:v>
                </c:pt>
                <c:pt idx="33">
                  <c:v>1273.1555499093747</c:v>
                </c:pt>
                <c:pt idx="34">
                  <c:v>1290.6362326061487</c:v>
                </c:pt>
                <c:pt idx="35">
                  <c:v>1308.095699801491</c:v>
                </c:pt>
                <c:pt idx="36">
                  <c:v>1325.5335380901656</c:v>
                </c:pt>
                <c:pt idx="37">
                  <c:v>1342.9305552433991</c:v>
                </c:pt>
                <c:pt idx="38">
                  <c:v>1360.3049674527676</c:v>
                </c:pt>
                <c:pt idx="39">
                  <c:v>1377.7488606915663</c:v>
                </c:pt>
                <c:pt idx="40">
                  <c:v>1395.6965425314709</c:v>
                </c:pt>
                <c:pt idx="41">
                  <c:v>1413.5891449479191</c:v>
                </c:pt>
                <c:pt idx="42">
                  <c:v>1431.4262036255752</c:v>
                </c:pt>
                <c:pt idx="43">
                  <c:v>1449.1868446012543</c:v>
                </c:pt>
                <c:pt idx="44">
                  <c:v>1466.8908502337517</c:v>
                </c:pt>
                <c:pt idx="45">
                  <c:v>1484.5378449049961</c:v>
                </c:pt>
                <c:pt idx="46">
                  <c:v>1502.1274849325689</c:v>
                </c:pt>
                <c:pt idx="47">
                  <c:v>1519.6594588066469</c:v>
                </c:pt>
                <c:pt idx="48">
                  <c:v>1537.1334874238225</c:v>
                </c:pt>
                <c:pt idx="49">
                  <c:v>1554.5269668242825</c:v>
                </c:pt>
                <c:pt idx="50">
                  <c:v>1571.8617444700685</c:v>
                </c:pt>
                <c:pt idx="51">
                  <c:v>1589.1376341935918</c:v>
                </c:pt>
                <c:pt idx="52">
                  <c:v>1605.6511641040395</c:v>
                </c:pt>
                <c:pt idx="53">
                  <c:v>1620.2429605994223</c:v>
                </c:pt>
                <c:pt idx="54">
                  <c:v>1634.7420430699995</c:v>
                </c:pt>
                <c:pt idx="55">
                  <c:v>1649.1483741068043</c:v>
                </c:pt>
                <c:pt idx="56">
                  <c:v>1663.4619479651508</c:v>
                </c:pt>
                <c:pt idx="57">
                  <c:v>1677.6575615929848</c:v>
                </c:pt>
                <c:pt idx="58">
                  <c:v>1691.7601542730322</c:v>
                </c:pt>
                <c:pt idx="59">
                  <c:v>1705.7698096843276</c:v>
                </c:pt>
                <c:pt idx="60">
                  <c:v>1719.6866432186582</c:v>
                </c:pt>
                <c:pt idx="61">
                  <c:v>1733.5108019951056</c:v>
                </c:pt>
                <c:pt idx="62">
                  <c:v>1747.2424678105667</c:v>
                </c:pt>
                <c:pt idx="63">
                  <c:v>1760.8818642742301</c:v>
                </c:pt>
                <c:pt idx="64">
                  <c:v>1774.4292578634324</c:v>
                </c:pt>
                <c:pt idx="65">
                  <c:v>1787.8849579192649</c:v>
                </c:pt>
                <c:pt idx="66">
                  <c:v>1801.2205395284268</c:v>
                </c:pt>
                <c:pt idx="67">
                  <c:v>1814.4648397576018</c:v>
                </c:pt>
                <c:pt idx="68">
                  <c:v>1827.6183019852854</c:v>
                </c:pt>
                <c:pt idx="69">
                  <c:v>1840.6814124158416</c:v>
                </c:pt>
                <c:pt idx="70">
                  <c:v>1853.6547000654753</c:v>
                </c:pt>
                <c:pt idx="71">
                  <c:v>1866.5387367466712</c:v>
                </c:pt>
                <c:pt idx="72">
                  <c:v>1879.3341370509768</c:v>
                </c:pt>
                <c:pt idx="73">
                  <c:v>1890.9540599685317</c:v>
                </c:pt>
                <c:pt idx="74">
                  <c:v>1898.1212468165211</c:v>
                </c:pt>
                <c:pt idx="75">
                  <c:v>1905.1762265253681</c:v>
                </c:pt>
                <c:pt idx="76">
                  <c:v>1912.1199207240591</c:v>
                </c:pt>
                <c:pt idx="77">
                  <c:v>1918.9532903126753</c:v>
                </c:pt>
                <c:pt idx="78">
                  <c:v>1925.6773353957722</c:v>
                </c:pt>
                <c:pt idx="79">
                  <c:v>1932.2930952147492</c:v>
                </c:pt>
                <c:pt idx="80">
                  <c:v>1938.7684213864238</c:v>
                </c:pt>
                <c:pt idx="81">
                  <c:v>1945.1374052203585</c:v>
                </c:pt>
                <c:pt idx="82">
                  <c:v>1951.4012084480034</c:v>
                </c:pt>
                <c:pt idx="83">
                  <c:v>1957.561031659641</c:v>
                </c:pt>
                <c:pt idx="84">
                  <c:v>1963.618114233501</c:v>
                </c:pt>
                <c:pt idx="85">
                  <c:v>1969.5737342646087</c:v>
                </c:pt>
                <c:pt idx="86">
                  <c:v>1975.4292084933702</c:v>
                </c:pt>
                <c:pt idx="87">
                  <c:v>1981.1858922340709</c:v>
                </c:pt>
                <c:pt idx="88">
                  <c:v>1986.8451793033635</c:v>
                </c:pt>
                <c:pt idx="89">
                  <c:v>1992.4085019488969</c:v>
                </c:pt>
                <c:pt idx="90">
                  <c:v>1997.8770411189987</c:v>
                </c:pt>
                <c:pt idx="91">
                  <c:v>2003.2508496846647</c:v>
                </c:pt>
                <c:pt idx="92">
                  <c:v>2008.5297078748829</c:v>
                </c:pt>
                <c:pt idx="93">
                  <c:v>2013.7134110506374</c:v>
                </c:pt>
                <c:pt idx="94">
                  <c:v>2018.801769758448</c:v>
                </c:pt>
                <c:pt idx="95">
                  <c:v>2023.7946097839451</c:v>
                </c:pt>
                <c:pt idx="96">
                  <c:v>2028.6917722054184</c:v>
                </c:pt>
                <c:pt idx="97">
                  <c:v>2033.4931134473693</c:v>
                </c:pt>
                <c:pt idx="98">
                  <c:v>2038.1985053340748</c:v>
                </c:pt>
                <c:pt idx="99">
                  <c:v>2042.8078351430729</c:v>
                </c:pt>
                <c:pt idx="100">
                  <c:v>2047.321005658717</c:v>
                </c:pt>
                <c:pt idx="101">
                  <c:v>2051.7379352255502</c:v>
                </c:pt>
                <c:pt idx="102">
                  <c:v>2056.0585578017581</c:v>
                </c:pt>
                <c:pt idx="103">
                  <c:v>2060.2828230124928</c:v>
                </c:pt>
                <c:pt idx="104">
                  <c:v>2064.4106962031647</c:v>
                </c:pt>
                <c:pt idx="105">
                  <c:v>2068.4421584926508</c:v>
                </c:pt>
                <c:pt idx="106">
                  <c:v>2072.3772068264043</c:v>
                </c:pt>
                <c:pt idx="107">
                  <c:v>2076.2539752619205</c:v>
                </c:pt>
                <c:pt idx="108">
                  <c:v>2080.0344756973423</c:v>
                </c:pt>
                <c:pt idx="109">
                  <c:v>2083.7187473824388</c:v>
                </c:pt>
                <c:pt idx="110">
                  <c:v>2085.895460734685</c:v>
                </c:pt>
                <c:pt idx="111">
                  <c:v>2086.4446784414117</c:v>
                </c:pt>
                <c:pt idx="112">
                  <c:v>2086.8902943734975</c:v>
                </c:pt>
                <c:pt idx="113">
                  <c:v>2087.2324915680015</c:v>
                </c:pt>
                <c:pt idx="114">
                  <c:v>2087.4714673064145</c:v>
                </c:pt>
                <c:pt idx="115">
                  <c:v>2087.6074331398904</c:v>
                </c:pt>
                <c:pt idx="116">
                  <c:v>2087.6406149144027</c:v>
                </c:pt>
                <c:pt idx="117">
                  <c:v>2087.5712527958103</c:v>
                </c:pt>
                <c:pt idx="118">
                  <c:v>2087.3996012948483</c:v>
                </c:pt>
                <c:pt idx="119">
                  <c:v>2087.1259292920445</c:v>
                </c:pt>
                <c:pt idx="120">
                  <c:v>2086.7505200624846</c:v>
                </c:pt>
                <c:pt idx="121">
                  <c:v>2086.2736713005256</c:v>
                </c:pt>
                <c:pt idx="122">
                  <c:v>2085.7347777060459</c:v>
                </c:pt>
                <c:pt idx="123">
                  <c:v>2085.0951107903284</c:v>
                </c:pt>
                <c:pt idx="124">
                  <c:v>2084.3550061591209</c:v>
                </c:pt>
                <c:pt idx="125">
                  <c:v>2083.5148139348721</c:v>
                </c:pt>
                <c:pt idx="126">
                  <c:v>743.46893251939412</c:v>
                </c:pt>
                <c:pt idx="127">
                  <c:v>742.92350596917959</c:v>
                </c:pt>
                <c:pt idx="128">
                  <c:v>742.29104771193022</c:v>
                </c:pt>
                <c:pt idx="129">
                  <c:v>741.61101980882745</c:v>
                </c:pt>
                <c:pt idx="130">
                  <c:v>740.8837302244898</c:v>
                </c:pt>
                <c:pt idx="131">
                  <c:v>740.10949782568514</c:v>
                </c:pt>
                <c:pt idx="132">
                  <c:v>739.28865241830169</c:v>
                </c:pt>
                <c:pt idx="133">
                  <c:v>738.42153478401974</c:v>
                </c:pt>
                <c:pt idx="134">
                  <c:v>737.50849671656954</c:v>
                </c:pt>
                <c:pt idx="135">
                  <c:v>736.54990105768275</c:v>
                </c:pt>
                <c:pt idx="136">
                  <c:v>735.54612173259545</c:v>
                </c:pt>
                <c:pt idx="137">
                  <c:v>734.49754378526836</c:v>
                </c:pt>
                <c:pt idx="138">
                  <c:v>733.40456341312404</c:v>
                </c:pt>
                <c:pt idx="139">
                  <c:v>732.26758800151674</c:v>
                </c:pt>
                <c:pt idx="140">
                  <c:v>731.08703615769298</c:v>
                </c:pt>
                <c:pt idx="141">
                  <c:v>729.86333774443733</c:v>
                </c:pt>
                <c:pt idx="142">
                  <c:v>728.59693391328994</c:v>
                </c:pt>
                <c:pt idx="143">
                  <c:v>727.28827713736291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C-425F-86F7-42EC0DF996F0}"/>
            </c:ext>
          </c:extLst>
        </c:ser>
        <c:ser>
          <c:idx val="1"/>
          <c:order val="2"/>
          <c:tx>
            <c:v>Krydsningskvie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hol'!$B$184:$B$327</c:f>
              <c:numCache>
                <c:formatCode>0.0</c:formatCode>
                <c:ptCount val="144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7.6</c:v>
                </c:pt>
                <c:pt idx="11">
                  <c:v>7.6</c:v>
                </c:pt>
                <c:pt idx="12">
                  <c:v>7.7</c:v>
                </c:pt>
                <c:pt idx="13">
                  <c:v>7.7</c:v>
                </c:pt>
                <c:pt idx="14">
                  <c:v>7.7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7.9</c:v>
                </c:pt>
                <c:pt idx="20">
                  <c:v>7.9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8.1</c:v>
                </c:pt>
                <c:pt idx="25">
                  <c:v>8.1</c:v>
                </c:pt>
                <c:pt idx="26">
                  <c:v>8.1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8.4</c:v>
                </c:pt>
                <c:pt idx="34">
                  <c:v>8.4</c:v>
                </c:pt>
                <c:pt idx="35">
                  <c:v>8.4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8.6999999999999993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8.8000000000000007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9.1</c:v>
                </c:pt>
                <c:pt idx="56">
                  <c:v>9.1</c:v>
                </c:pt>
                <c:pt idx="57">
                  <c:v>9.1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9.1999999999999993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9.3000000000000007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9.6</c:v>
                </c:pt>
                <c:pt idx="71">
                  <c:v>9.6</c:v>
                </c:pt>
                <c:pt idx="72">
                  <c:v>9.6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9.8000000000000007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10.1</c:v>
                </c:pt>
                <c:pt idx="86">
                  <c:v>10.1</c:v>
                </c:pt>
                <c:pt idx="87">
                  <c:v>10.1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10.199999999999999</c:v>
                </c:pt>
                <c:pt idx="91">
                  <c:v>10.3</c:v>
                </c:pt>
                <c:pt idx="92">
                  <c:v>10.3</c:v>
                </c:pt>
                <c:pt idx="93">
                  <c:v>10.3</c:v>
                </c:pt>
                <c:pt idx="94">
                  <c:v>10.4</c:v>
                </c:pt>
                <c:pt idx="95">
                  <c:v>10.4</c:v>
                </c:pt>
                <c:pt idx="96">
                  <c:v>10.4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10.6</c:v>
                </c:pt>
                <c:pt idx="101">
                  <c:v>10.6</c:v>
                </c:pt>
                <c:pt idx="102">
                  <c:v>10.6</c:v>
                </c:pt>
                <c:pt idx="103">
                  <c:v>10.7</c:v>
                </c:pt>
                <c:pt idx="104">
                  <c:v>10.7</c:v>
                </c:pt>
                <c:pt idx="105">
                  <c:v>10.7</c:v>
                </c:pt>
                <c:pt idx="106">
                  <c:v>10.8</c:v>
                </c:pt>
                <c:pt idx="107">
                  <c:v>10.8</c:v>
                </c:pt>
                <c:pt idx="108">
                  <c:v>10.8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11.1</c:v>
                </c:pt>
                <c:pt idx="117">
                  <c:v>11.1</c:v>
                </c:pt>
                <c:pt idx="118">
                  <c:v>11.2</c:v>
                </c:pt>
                <c:pt idx="119">
                  <c:v>11.2</c:v>
                </c:pt>
                <c:pt idx="120">
                  <c:v>11.2</c:v>
                </c:pt>
                <c:pt idx="121">
                  <c:v>11.3</c:v>
                </c:pt>
                <c:pt idx="122">
                  <c:v>11.3</c:v>
                </c:pt>
                <c:pt idx="123">
                  <c:v>11.3</c:v>
                </c:pt>
                <c:pt idx="124">
                  <c:v>11.3</c:v>
                </c:pt>
                <c:pt idx="125">
                  <c:v>11.4</c:v>
                </c:pt>
                <c:pt idx="126">
                  <c:v>11.4</c:v>
                </c:pt>
                <c:pt idx="127">
                  <c:v>11.4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11.6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11.8</c:v>
                </c:pt>
                <c:pt idx="138">
                  <c:v>11.8</c:v>
                </c:pt>
                <c:pt idx="139">
                  <c:v>11.8</c:v>
                </c:pt>
                <c:pt idx="140">
                  <c:v>11.9</c:v>
                </c:pt>
                <c:pt idx="141">
                  <c:v>11.9</c:v>
                </c:pt>
                <c:pt idx="142">
                  <c:v>11.9</c:v>
                </c:pt>
                <c:pt idx="143">
                  <c:v>12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kvie'!$AN$184:$AN$327</c15:sqref>
                  </c15:fullRef>
                </c:ext>
              </c:extLst>
              <c:f>'Vækstfunktion, kry kvie'!$AN$184:$AN$327</c:f>
              <c:numCache>
                <c:formatCode>#,##0.00</c:formatCode>
                <c:ptCount val="144"/>
                <c:pt idx="0">
                  <c:v>390.7042915874664</c:v>
                </c:pt>
                <c:pt idx="1">
                  <c:v>395.06651681513938</c:v>
                </c:pt>
                <c:pt idx="2">
                  <c:v>399.31489301150646</c:v>
                </c:pt>
                <c:pt idx="3">
                  <c:v>403.48169131196721</c:v>
                </c:pt>
                <c:pt idx="4">
                  <c:v>407.56619375731441</c:v>
                </c:pt>
                <c:pt idx="5">
                  <c:v>411.56768931395948</c:v>
                </c:pt>
                <c:pt idx="6">
                  <c:v>415.48547394846855</c:v>
                </c:pt>
                <c:pt idx="7">
                  <c:v>419.31885070295209</c:v>
                </c:pt>
                <c:pt idx="8">
                  <c:v>423.03818983404346</c:v>
                </c:pt>
                <c:pt idx="9">
                  <c:v>426.67228399683097</c:v>
                </c:pt>
                <c:pt idx="10">
                  <c:v>430.22046420776292</c:v>
                </c:pt>
                <c:pt idx="11">
                  <c:v>433.68206886807786</c:v>
                </c:pt>
                <c:pt idx="12">
                  <c:v>437.05644384294089</c:v>
                </c:pt>
                <c:pt idx="13">
                  <c:v>440.34294254123336</c:v>
                </c:pt>
                <c:pt idx="14">
                  <c:v>443.51586516682892</c:v>
                </c:pt>
                <c:pt idx="15">
                  <c:v>446.60022059595019</c:v>
                </c:pt>
                <c:pt idx="16">
                  <c:v>449.59539164141609</c:v>
                </c:pt>
                <c:pt idx="17">
                  <c:v>452.5007689851808</c:v>
                </c:pt>
                <c:pt idx="18">
                  <c:v>455.31575126112352</c:v>
                </c:pt>
                <c:pt idx="19">
                  <c:v>458.03974513831838</c:v>
                </c:pt>
                <c:pt idx="20">
                  <c:v>460.67216540484003</c:v>
                </c:pt>
                <c:pt idx="21">
                  <c:v>463.19218474599359</c:v>
                </c:pt>
                <c:pt idx="22">
                  <c:v>465.62011432141071</c:v>
                </c:pt>
                <c:pt idx="23">
                  <c:v>467.95539446933969</c:v>
                </c:pt>
                <c:pt idx="24">
                  <c:v>470.19745691757919</c:v>
                </c:pt>
                <c:pt idx="25">
                  <c:v>472.34572343504703</c:v>
                </c:pt>
                <c:pt idx="26">
                  <c:v>474.39960591793283</c:v>
                </c:pt>
                <c:pt idx="27">
                  <c:v>476.3586475783178</c:v>
                </c:pt>
                <c:pt idx="28">
                  <c:v>478.22295083649522</c:v>
                </c:pt>
                <c:pt idx="29">
                  <c:v>479.99276193119169</c:v>
                </c:pt>
                <c:pt idx="30">
                  <c:v>481.66833093645664</c:v>
                </c:pt>
                <c:pt idx="31">
                  <c:v>483.23605718364786</c:v>
                </c:pt>
                <c:pt idx="32">
                  <c:v>484.71056252171059</c:v>
                </c:pt>
                <c:pt idx="33">
                  <c:v>486.09209623989398</c:v>
                </c:pt>
                <c:pt idx="34">
                  <c:v>487.3809114087328</c:v>
                </c:pt>
                <c:pt idx="35">
                  <c:v>488.57726486361355</c:v>
                </c:pt>
                <c:pt idx="36">
                  <c:v>1233.8206555604906</c:v>
                </c:pt>
                <c:pt idx="37">
                  <c:v>1245.318672844455</c:v>
                </c:pt>
                <c:pt idx="38">
                  <c:v>1256.7988346400746</c:v>
                </c:pt>
                <c:pt idx="39">
                  <c:v>1268.2611434992591</c:v>
                </c:pt>
                <c:pt idx="40">
                  <c:v>1279.705603681449</c:v>
                </c:pt>
                <c:pt idx="41">
                  <c:v>1291.13222136798</c:v>
                </c:pt>
                <c:pt idx="42">
                  <c:v>1302.541004876967</c:v>
                </c:pt>
                <c:pt idx="43">
                  <c:v>1313.9319648786607</c:v>
                </c:pt>
                <c:pt idx="44">
                  <c:v>1325.3051146112871</c:v>
                </c:pt>
                <c:pt idx="45">
                  <c:v>1336.6529765128068</c:v>
                </c:pt>
                <c:pt idx="46">
                  <c:v>1347.9833895318468</c:v>
                </c:pt>
                <c:pt idx="47">
                  <c:v>1359.296363693798</c:v>
                </c:pt>
                <c:pt idx="48">
                  <c:v>1370.5919124590812</c:v>
                </c:pt>
                <c:pt idx="49">
                  <c:v>1381.8700529406649</c:v>
                </c:pt>
                <c:pt idx="50">
                  <c:v>1393.1308061218861</c:v>
                </c:pt>
                <c:pt idx="51">
                  <c:v>1404.3741970744279</c:v>
                </c:pt>
                <c:pt idx="52">
                  <c:v>1415.600255176558</c:v>
                </c:pt>
                <c:pt idx="53">
                  <c:v>1426.8090143314687</c:v>
                </c:pt>
                <c:pt idx="54">
                  <c:v>1438.0005131857997</c:v>
                </c:pt>
                <c:pt idx="55">
                  <c:v>1449.1747953482597</c:v>
                </c:pt>
                <c:pt idx="56">
                  <c:v>1460.3319096083126</c:v>
                </c:pt>
                <c:pt idx="57">
                  <c:v>1471.4719101549647</c:v>
                </c:pt>
                <c:pt idx="58">
                  <c:v>1482.5948567955975</c:v>
                </c:pt>
                <c:pt idx="59">
                  <c:v>1493.7008151748021</c:v>
                </c:pt>
                <c:pt idx="60">
                  <c:v>1504.7898569932274</c:v>
                </c:pt>
                <c:pt idx="61">
                  <c:v>1515.8620602264789</c:v>
                </c:pt>
                <c:pt idx="62">
                  <c:v>1526.9175093438889</c:v>
                </c:pt>
                <c:pt idx="63">
                  <c:v>1537.9562955273539</c:v>
                </c:pt>
                <c:pt idx="64">
                  <c:v>1548.9785168900428</c:v>
                </c:pt>
                <c:pt idx="65">
                  <c:v>1559.9842786951338</c:v>
                </c:pt>
                <c:pt idx="66">
                  <c:v>1570.9836766298727</c:v>
                </c:pt>
                <c:pt idx="67">
                  <c:v>1582.074126744016</c:v>
                </c:pt>
                <c:pt idx="68">
                  <c:v>1593.1213532692188</c:v>
                </c:pt>
                <c:pt idx="69">
                  <c:v>1604.1254432675662</c:v>
                </c:pt>
                <c:pt idx="70">
                  <c:v>1615.0864950441378</c:v>
                </c:pt>
                <c:pt idx="71">
                  <c:v>1625.0106546648738</c:v>
                </c:pt>
                <c:pt idx="72">
                  <c:v>1630.8914970700378</c:v>
                </c:pt>
                <c:pt idx="73">
                  <c:v>1636.6886410462055</c:v>
                </c:pt>
                <c:pt idx="74">
                  <c:v>1642.4023245724534</c:v>
                </c:pt>
                <c:pt idx="75">
                  <c:v>1648.0327973480305</c:v>
                </c:pt>
                <c:pt idx="76">
                  <c:v>1653.5803208084565</c:v>
                </c:pt>
                <c:pt idx="77">
                  <c:v>1659.0451681400434</c:v>
                </c:pt>
                <c:pt idx="78">
                  <c:v>1664.427624292869</c:v>
                </c:pt>
                <c:pt idx="79">
                  <c:v>1669.7279859922485</c:v>
                </c:pt>
                <c:pt idx="80">
                  <c:v>1674.9465617487847</c:v>
                </c:pt>
                <c:pt idx="81">
                  <c:v>1680.0870117753395</c:v>
                </c:pt>
                <c:pt idx="82">
                  <c:v>1685.1464294730936</c:v>
                </c:pt>
                <c:pt idx="83">
                  <c:v>1688.5839915208833</c:v>
                </c:pt>
                <c:pt idx="84">
                  <c:v>1691.2937538847439</c:v>
                </c:pt>
                <c:pt idx="85">
                  <c:v>1693.91946542236</c:v>
                </c:pt>
                <c:pt idx="86">
                  <c:v>1696.4615846095458</c:v>
                </c:pt>
                <c:pt idx="87">
                  <c:v>1698.9205780969899</c:v>
                </c:pt>
                <c:pt idx="88">
                  <c:v>1701.2968086244653</c:v>
                </c:pt>
                <c:pt idx="89">
                  <c:v>1703.5901960421418</c:v>
                </c:pt>
                <c:pt idx="90">
                  <c:v>1705.8050402117756</c:v>
                </c:pt>
                <c:pt idx="91">
                  <c:v>1707.9368566203218</c:v>
                </c:pt>
                <c:pt idx="92">
                  <c:v>1709.9854654992971</c:v>
                </c:pt>
                <c:pt idx="93">
                  <c:v>1711.9506870055127</c:v>
                </c:pt>
                <c:pt idx="94">
                  <c:v>1713.8323412618629</c:v>
                </c:pt>
                <c:pt idx="95">
                  <c:v>1715.6302483979073</c:v>
                </c:pt>
                <c:pt idx="96">
                  <c:v>1717.3442285901017</c:v>
                </c:pt>
                <c:pt idx="97">
                  <c:v>1718.9799704766522</c:v>
                </c:pt>
                <c:pt idx="98">
                  <c:v>1720.5316983002717</c:v>
                </c:pt>
                <c:pt idx="99">
                  <c:v>1721.9992489085232</c:v>
                </c:pt>
                <c:pt idx="100">
                  <c:v>1723.3824745163422</c:v>
                </c:pt>
                <c:pt idx="101">
                  <c:v>1724.6812446202327</c:v>
                </c:pt>
                <c:pt idx="102">
                  <c:v>1725.8954460368795</c:v>
                </c:pt>
                <c:pt idx="103">
                  <c:v>1727.0321513209967</c:v>
                </c:pt>
                <c:pt idx="104">
                  <c:v>1728.0843595768163</c:v>
                </c:pt>
                <c:pt idx="105">
                  <c:v>1729.0520049889367</c:v>
                </c:pt>
                <c:pt idx="106">
                  <c:v>1729.9350392139618</c:v>
                </c:pt>
                <c:pt idx="107">
                  <c:v>1730.7334314178268</c:v>
                </c:pt>
                <c:pt idx="108">
                  <c:v>1731.4552914085964</c:v>
                </c:pt>
                <c:pt idx="109">
                  <c:v>1732.0927270103582</c:v>
                </c:pt>
                <c:pt idx="110">
                  <c:v>1732.6457553161254</c:v>
                </c:pt>
                <c:pt idx="111">
                  <c:v>1733.1144110746593</c:v>
                </c:pt>
                <c:pt idx="112">
                  <c:v>1733.4987467263797</c:v>
                </c:pt>
                <c:pt idx="113">
                  <c:v>1733.807833102411</c:v>
                </c:pt>
                <c:pt idx="114">
                  <c:v>1734.0329648072025</c:v>
                </c:pt>
                <c:pt idx="115">
                  <c:v>1734.1742427472398</c:v>
                </c:pt>
                <c:pt idx="116">
                  <c:v>1734.2317856617549</c:v>
                </c:pt>
                <c:pt idx="117">
                  <c:v>1734.2057301572911</c:v>
                </c:pt>
                <c:pt idx="118">
                  <c:v>1734.1060318242398</c:v>
                </c:pt>
                <c:pt idx="119">
                  <c:v>1733.9232500745941</c:v>
                </c:pt>
                <c:pt idx="120">
                  <c:v>1733.6575705001312</c:v>
                </c:pt>
                <c:pt idx="121">
                  <c:v>1733.3091966957857</c:v>
                </c:pt>
                <c:pt idx="122">
                  <c:v>1732.8887010603398</c:v>
                </c:pt>
                <c:pt idx="123">
                  <c:v>1732.3861461122412</c:v>
                </c:pt>
                <c:pt idx="124">
                  <c:v>1731.8017848330539</c:v>
                </c:pt>
                <c:pt idx="125">
                  <c:v>1731.1358883393311</c:v>
                </c:pt>
                <c:pt idx="126">
                  <c:v>1730.3996029712771</c:v>
                </c:pt>
                <c:pt idx="127">
                  <c:v>1729.5825382751748</c:v>
                </c:pt>
                <c:pt idx="128">
                  <c:v>1728.6850151437154</c:v>
                </c:pt>
                <c:pt idx="129">
                  <c:v>1727.7185432058225</c:v>
                </c:pt>
                <c:pt idx="130">
                  <c:v>1726.6724589137598</c:v>
                </c:pt>
                <c:pt idx="131">
                  <c:v>1725.5471332209861</c:v>
                </c:pt>
                <c:pt idx="132">
                  <c:v>1724.3429554373135</c:v>
                </c:pt>
                <c:pt idx="133">
                  <c:v>1723.0719376949135</c:v>
                </c:pt>
                <c:pt idx="134">
                  <c:v>1721.7230366833019</c:v>
                </c:pt>
                <c:pt idx="135">
                  <c:v>1720.2966921429409</c:v>
                </c:pt>
                <c:pt idx="136">
                  <c:v>1718.7933622922144</c:v>
                </c:pt>
                <c:pt idx="137">
                  <c:v>1717.2255188583533</c:v>
                </c:pt>
                <c:pt idx="138">
                  <c:v>1715.5817826488251</c:v>
                </c:pt>
                <c:pt idx="139">
                  <c:v>1713.8626626722496</c:v>
                </c:pt>
                <c:pt idx="140">
                  <c:v>1712.0809178027296</c:v>
                </c:pt>
                <c:pt idx="141">
                  <c:v>1710.2249739023507</c:v>
                </c:pt>
                <c:pt idx="142">
                  <c:v>1708.2953910334072</c:v>
                </c:pt>
                <c:pt idx="143">
                  <c:v>1706.3051961913045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C-425F-86F7-42EC0DF99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400"/>
                  <a:t>Alder</a:t>
                </a:r>
              </a:p>
            </c:rich>
          </c:tx>
          <c:layout>
            <c:manualLayout>
              <c:xMode val="edge"/>
              <c:yMode val="edge"/>
              <c:x val="0.50126010479953387"/>
              <c:y val="0.885158174748017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/>
                  <a:t>kr. pr kalv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Kr. pr. anvendt m2, Zoom</a:t>
            </a:r>
            <a:endParaRPr lang="da-D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3507961136153358E-2"/>
          <c:y val="0.21492873874636639"/>
          <c:w val="0.88712934592026715"/>
          <c:h val="0.6413498715886321"/>
        </c:manualLayout>
      </c:layout>
      <c:lineChart>
        <c:grouping val="standard"/>
        <c:varyColors val="0"/>
        <c:ser>
          <c:idx val="3"/>
          <c:order val="0"/>
          <c:tx>
            <c:strRef>
              <c:f>'Vækstfunktion, hol'!$AP$2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hol'!$B$212:$B$302</c:f>
              <c:numCache>
                <c:formatCode>0.0</c:formatCode>
                <c:ptCount val="91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8.4</c:v>
                </c:pt>
                <c:pt idx="6">
                  <c:v>8.4</c:v>
                </c:pt>
                <c:pt idx="7">
                  <c:v>8.4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8.8000000000000007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8.9</c:v>
                </c:pt>
                <c:pt idx="22">
                  <c:v>8.9</c:v>
                </c:pt>
                <c:pt idx="23">
                  <c:v>8.9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9.1</c:v>
                </c:pt>
                <c:pt idx="29">
                  <c:v>9.1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9.3000000000000007</c:v>
                </c:pt>
                <c:pt idx="34">
                  <c:v>9.3000000000000007</c:v>
                </c:pt>
                <c:pt idx="35">
                  <c:v>9.3000000000000007</c:v>
                </c:pt>
                <c:pt idx="36">
                  <c:v>9.4</c:v>
                </c:pt>
                <c:pt idx="37">
                  <c:v>9.4</c:v>
                </c:pt>
                <c:pt idx="38">
                  <c:v>9.4</c:v>
                </c:pt>
                <c:pt idx="39">
                  <c:v>9.5</c:v>
                </c:pt>
                <c:pt idx="40">
                  <c:v>9.5</c:v>
                </c:pt>
                <c:pt idx="41">
                  <c:v>9.5</c:v>
                </c:pt>
                <c:pt idx="42">
                  <c:v>9.6</c:v>
                </c:pt>
                <c:pt idx="43">
                  <c:v>9.6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9.6999999999999993</c:v>
                </c:pt>
                <c:pt idx="47">
                  <c:v>9.6999999999999993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9.8000000000000007</c:v>
                </c:pt>
                <c:pt idx="51">
                  <c:v>9.9</c:v>
                </c:pt>
                <c:pt idx="52">
                  <c:v>9.9</c:v>
                </c:pt>
                <c:pt idx="53">
                  <c:v>9.9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</c:v>
                </c:pt>
                <c:pt idx="60">
                  <c:v>10.199999999999999</c:v>
                </c:pt>
                <c:pt idx="61">
                  <c:v>10.199999999999999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10.4</c:v>
                </c:pt>
                <c:pt idx="67">
                  <c:v>10.4</c:v>
                </c:pt>
                <c:pt idx="68">
                  <c:v>10.4</c:v>
                </c:pt>
                <c:pt idx="69">
                  <c:v>10.5</c:v>
                </c:pt>
                <c:pt idx="70">
                  <c:v>10.5</c:v>
                </c:pt>
                <c:pt idx="71">
                  <c:v>10.5</c:v>
                </c:pt>
                <c:pt idx="72">
                  <c:v>10.6</c:v>
                </c:pt>
                <c:pt idx="73">
                  <c:v>10.6</c:v>
                </c:pt>
                <c:pt idx="74">
                  <c:v>10.6</c:v>
                </c:pt>
                <c:pt idx="75">
                  <c:v>10.7</c:v>
                </c:pt>
                <c:pt idx="76">
                  <c:v>10.7</c:v>
                </c:pt>
                <c:pt idx="77">
                  <c:v>10.7</c:v>
                </c:pt>
                <c:pt idx="78">
                  <c:v>10.8</c:v>
                </c:pt>
                <c:pt idx="79">
                  <c:v>10.8</c:v>
                </c:pt>
                <c:pt idx="80">
                  <c:v>10.8</c:v>
                </c:pt>
                <c:pt idx="81">
                  <c:v>10.9</c:v>
                </c:pt>
                <c:pt idx="82">
                  <c:v>10.9</c:v>
                </c:pt>
                <c:pt idx="83">
                  <c:v>10.9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11.1</c:v>
                </c:pt>
                <c:pt idx="88">
                  <c:v>11.1</c:v>
                </c:pt>
                <c:pt idx="89">
                  <c:v>11.1</c:v>
                </c:pt>
                <c:pt idx="90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hol'!$AP$184:$AP$327</c15:sqref>
                  </c15:fullRef>
                </c:ext>
              </c:extLst>
              <c:f>'Vækstfunktion, hol'!$AP$212:$AP$302</c:f>
              <c:numCache>
                <c:formatCode>#,##0.00</c:formatCode>
                <c:ptCount val="91"/>
                <c:pt idx="0">
                  <c:v>16.727158005053983</c:v>
                </c:pt>
                <c:pt idx="1">
                  <c:v>17.358545002257166</c:v>
                </c:pt>
                <c:pt idx="2">
                  <c:v>17.939135706807569</c:v>
                </c:pt>
                <c:pt idx="3">
                  <c:v>18.469766018141893</c:v>
                </c:pt>
                <c:pt idx="4">
                  <c:v>18.951254362194572</c:v>
                </c:pt>
                <c:pt idx="5">
                  <c:v>19.384402319263607</c:v>
                </c:pt>
                <c:pt idx="6">
                  <c:v>19.760870068148211</c:v>
                </c:pt>
                <c:pt idx="7">
                  <c:v>20.090616570099321</c:v>
                </c:pt>
                <c:pt idx="8">
                  <c:v>20.374392887400084</c:v>
                </c:pt>
                <c:pt idx="9">
                  <c:v>20.612935586045591</c:v>
                </c:pt>
                <c:pt idx="10">
                  <c:v>20.806967237959913</c:v>
                </c:pt>
                <c:pt idx="11">
                  <c:v>20.957196902239964</c:v>
                </c:pt>
                <c:pt idx="12">
                  <c:v>534.82917266690413</c:v>
                </c:pt>
                <c:pt idx="13">
                  <c:v>537.88632874643463</c:v>
                </c:pt>
                <c:pt idx="14">
                  <c:v>540.90301460767171</c:v>
                </c:pt>
                <c:pt idx="15">
                  <c:v>543.8797607263715</c:v>
                </c:pt>
                <c:pt idx="16">
                  <c:v>546.81708960585013</c:v>
                </c:pt>
                <c:pt idx="17">
                  <c:v>549.71551615476062</c:v>
                </c:pt>
                <c:pt idx="18">
                  <c:v>552.57554805031475</c:v>
                </c:pt>
                <c:pt idx="19">
                  <c:v>555.39768608757572</c:v>
                </c:pt>
                <c:pt idx="20">
                  <c:v>558.18242451541983</c:v>
                </c:pt>
                <c:pt idx="21">
                  <c:v>560.92075937582558</c:v>
                </c:pt>
                <c:pt idx="22">
                  <c:v>563.62269386189701</c:v>
                </c:pt>
                <c:pt idx="23">
                  <c:v>566.28870196765183</c:v>
                </c:pt>
                <c:pt idx="24">
                  <c:v>568.91925242452123</c:v>
                </c:pt>
                <c:pt idx="25">
                  <c:v>571.51480897689044</c:v>
                </c:pt>
                <c:pt idx="26">
                  <c:v>574.07583064741652</c:v>
                </c:pt>
                <c:pt idx="27">
                  <c:v>576.60277199259463</c:v>
                </c:pt>
                <c:pt idx="28">
                  <c:v>579.0960833489363</c:v>
                </c:pt>
                <c:pt idx="29">
                  <c:v>581.55621107018567</c:v>
                </c:pt>
                <c:pt idx="30">
                  <c:v>583.98359775591302</c:v>
                </c:pt>
                <c:pt idx="31">
                  <c:v>586.37868247185645</c:v>
                </c:pt>
                <c:pt idx="32">
                  <c:v>588.7318888186885</c:v>
                </c:pt>
                <c:pt idx="33">
                  <c:v>591.05367267357769</c:v>
                </c:pt>
                <c:pt idx="34">
                  <c:v>593.34446171201034</c:v>
                </c:pt>
                <c:pt idx="35">
                  <c:v>595.60468092791052</c:v>
                </c:pt>
                <c:pt idx="36">
                  <c:v>597.83475281608423</c:v>
                </c:pt>
                <c:pt idx="37">
                  <c:v>600.03509754824654</c:v>
                </c:pt>
                <c:pt idx="38">
                  <c:v>602.20613314291734</c:v>
                </c:pt>
                <c:pt idx="39">
                  <c:v>604.34827562937824</c:v>
                </c:pt>
                <c:pt idx="40">
                  <c:v>605.92293496902141</c:v>
                </c:pt>
                <c:pt idx="41">
                  <c:v>605.31968562548309</c:v>
                </c:pt>
                <c:pt idx="42">
                  <c:v>604.72487970536508</c:v>
                </c:pt>
                <c:pt idx="43">
                  <c:v>604.09967875615553</c:v>
                </c:pt>
                <c:pt idx="44">
                  <c:v>603.44455190049155</c:v>
                </c:pt>
                <c:pt idx="45">
                  <c:v>602.75996991666216</c:v>
                </c:pt>
                <c:pt idx="46">
                  <c:v>602.04640521078909</c:v>
                </c:pt>
                <c:pt idx="47">
                  <c:v>601.3043317891777</c:v>
                </c:pt>
                <c:pt idx="48">
                  <c:v>600.53422523082463</c:v>
                </c:pt>
                <c:pt idx="49">
                  <c:v>599.7365626601412</c:v>
                </c:pt>
                <c:pt idx="50">
                  <c:v>598.91182271985838</c:v>
                </c:pt>
                <c:pt idx="51">
                  <c:v>598.06048554415725</c:v>
                </c:pt>
                <c:pt idx="52">
                  <c:v>597.1830327320572</c:v>
                </c:pt>
                <c:pt idx="53">
                  <c:v>596.27994732101718</c:v>
                </c:pt>
                <c:pt idx="54">
                  <c:v>595.35171376083144</c:v>
                </c:pt>
                <c:pt idx="55">
                  <c:v>594.39881788777757</c:v>
                </c:pt>
                <c:pt idx="56">
                  <c:v>593.42174689907688</c:v>
                </c:pt>
                <c:pt idx="57">
                  <c:v>592.21467131113559</c:v>
                </c:pt>
                <c:pt idx="58">
                  <c:v>590.28552443382762</c:v>
                </c:pt>
                <c:pt idx="59">
                  <c:v>588.33968233039559</c:v>
                </c:pt>
                <c:pt idx="60">
                  <c:v>586.37726799375378</c:v>
                </c:pt>
                <c:pt idx="61">
                  <c:v>584.39840771886622</c:v>
                </c:pt>
                <c:pt idx="62">
                  <c:v>582.40323103881099</c:v>
                </c:pt>
                <c:pt idx="63">
                  <c:v>580.39187066259979</c:v>
                </c:pt>
                <c:pt idx="64">
                  <c:v>578.36446241480917</c:v>
                </c:pt>
                <c:pt idx="65">
                  <c:v>576.32114517682101</c:v>
                </c:pt>
                <c:pt idx="66">
                  <c:v>574.26206082974852</c:v>
                </c:pt>
                <c:pt idx="67">
                  <c:v>572.18735419888355</c:v>
                </c:pt>
                <c:pt idx="68">
                  <c:v>570.09717299968247</c:v>
                </c:pt>
                <c:pt idx="69">
                  <c:v>567.99166778521692</c:v>
                </c:pt>
                <c:pt idx="70">
                  <c:v>565.87099189502442</c:v>
                </c:pt>
                <c:pt idx="71">
                  <c:v>563.73530140532284</c:v>
                </c:pt>
                <c:pt idx="72">
                  <c:v>561.58475508056063</c:v>
                </c:pt>
                <c:pt idx="73">
                  <c:v>559.41951432622864</c:v>
                </c:pt>
                <c:pt idx="74">
                  <c:v>557.23974314290808</c:v>
                </c:pt>
                <c:pt idx="75">
                  <c:v>555.04560808151621</c:v>
                </c:pt>
                <c:pt idx="76">
                  <c:v>552.84866045782269</c:v>
                </c:pt>
                <c:pt idx="77">
                  <c:v>550.63763176548923</c:v>
                </c:pt>
                <c:pt idx="78">
                  <c:v>548.41269530022134</c:v>
                </c:pt>
                <c:pt idx="79">
                  <c:v>546.17402675214817</c:v>
                </c:pt>
                <c:pt idx="80">
                  <c:v>543.92180416619385</c:v>
                </c:pt>
                <c:pt idx="81">
                  <c:v>541.65620790343837</c:v>
                </c:pt>
                <c:pt idx="82">
                  <c:v>539.37742060343089</c:v>
                </c:pt>
                <c:pt idx="83">
                  <c:v>537.08562714742527</c:v>
                </c:pt>
                <c:pt idx="84">
                  <c:v>534.78101462250186</c:v>
                </c:pt>
                <c:pt idx="85">
                  <c:v>532.46377228659355</c:v>
                </c:pt>
                <c:pt idx="86">
                  <c:v>530.14533090942984</c:v>
                </c:pt>
                <c:pt idx="87">
                  <c:v>527.81457814132455</c:v>
                </c:pt>
                <c:pt idx="88">
                  <c:v>525.47170904625034</c:v>
                </c:pt>
                <c:pt idx="89">
                  <c:v>523.11692073607003</c:v>
                </c:pt>
                <c:pt idx="90">
                  <c:v>520.75041233930483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9-4176-8A44-C9FEF96302F5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hol'!$B$212:$B$302</c:f>
              <c:numCache>
                <c:formatCode>0.0</c:formatCode>
                <c:ptCount val="91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8.4</c:v>
                </c:pt>
                <c:pt idx="6">
                  <c:v>8.4</c:v>
                </c:pt>
                <c:pt idx="7">
                  <c:v>8.4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8.8000000000000007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8.9</c:v>
                </c:pt>
                <c:pt idx="22">
                  <c:v>8.9</c:v>
                </c:pt>
                <c:pt idx="23">
                  <c:v>8.9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9.1</c:v>
                </c:pt>
                <c:pt idx="29">
                  <c:v>9.1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9.3000000000000007</c:v>
                </c:pt>
                <c:pt idx="34">
                  <c:v>9.3000000000000007</c:v>
                </c:pt>
                <c:pt idx="35">
                  <c:v>9.3000000000000007</c:v>
                </c:pt>
                <c:pt idx="36">
                  <c:v>9.4</c:v>
                </c:pt>
                <c:pt idx="37">
                  <c:v>9.4</c:v>
                </c:pt>
                <c:pt idx="38">
                  <c:v>9.4</c:v>
                </c:pt>
                <c:pt idx="39">
                  <c:v>9.5</c:v>
                </c:pt>
                <c:pt idx="40">
                  <c:v>9.5</c:v>
                </c:pt>
                <c:pt idx="41">
                  <c:v>9.5</c:v>
                </c:pt>
                <c:pt idx="42">
                  <c:v>9.6</c:v>
                </c:pt>
                <c:pt idx="43">
                  <c:v>9.6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9.6999999999999993</c:v>
                </c:pt>
                <c:pt idx="47">
                  <c:v>9.6999999999999993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9.8000000000000007</c:v>
                </c:pt>
                <c:pt idx="51">
                  <c:v>9.9</c:v>
                </c:pt>
                <c:pt idx="52">
                  <c:v>9.9</c:v>
                </c:pt>
                <c:pt idx="53">
                  <c:v>9.9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</c:v>
                </c:pt>
                <c:pt idx="60">
                  <c:v>10.199999999999999</c:v>
                </c:pt>
                <c:pt idx="61">
                  <c:v>10.199999999999999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10.4</c:v>
                </c:pt>
                <c:pt idx="67">
                  <c:v>10.4</c:v>
                </c:pt>
                <c:pt idx="68">
                  <c:v>10.4</c:v>
                </c:pt>
                <c:pt idx="69">
                  <c:v>10.5</c:v>
                </c:pt>
                <c:pt idx="70">
                  <c:v>10.5</c:v>
                </c:pt>
                <c:pt idx="71">
                  <c:v>10.5</c:v>
                </c:pt>
                <c:pt idx="72">
                  <c:v>10.6</c:v>
                </c:pt>
                <c:pt idx="73">
                  <c:v>10.6</c:v>
                </c:pt>
                <c:pt idx="74">
                  <c:v>10.6</c:v>
                </c:pt>
                <c:pt idx="75">
                  <c:v>10.7</c:v>
                </c:pt>
                <c:pt idx="76">
                  <c:v>10.7</c:v>
                </c:pt>
                <c:pt idx="77">
                  <c:v>10.7</c:v>
                </c:pt>
                <c:pt idx="78">
                  <c:v>10.8</c:v>
                </c:pt>
                <c:pt idx="79">
                  <c:v>10.8</c:v>
                </c:pt>
                <c:pt idx="80">
                  <c:v>10.8</c:v>
                </c:pt>
                <c:pt idx="81">
                  <c:v>10.9</c:v>
                </c:pt>
                <c:pt idx="82">
                  <c:v>10.9</c:v>
                </c:pt>
                <c:pt idx="83">
                  <c:v>10.9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11.1</c:v>
                </c:pt>
                <c:pt idx="88">
                  <c:v>11.1</c:v>
                </c:pt>
                <c:pt idx="89">
                  <c:v>11.1</c:v>
                </c:pt>
                <c:pt idx="90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tyr'!$AP$184:$AP$327</c15:sqref>
                  </c15:fullRef>
                </c:ext>
              </c:extLst>
              <c:f>'Vækstfunktion, kry tyr'!$AP$212:$AP$302</c:f>
              <c:numCache>
                <c:formatCode>#,##0.00</c:formatCode>
                <c:ptCount val="91"/>
                <c:pt idx="0">
                  <c:v>223.48143809765338</c:v>
                </c:pt>
                <c:pt idx="1">
                  <c:v>224.97383652815833</c:v>
                </c:pt>
                <c:pt idx="2">
                  <c:v>226.38035485852743</c:v>
                </c:pt>
                <c:pt idx="3">
                  <c:v>227.7026578353439</c:v>
                </c:pt>
                <c:pt idx="4">
                  <c:v>228.93247293431429</c:v>
                </c:pt>
                <c:pt idx="5">
                  <c:v>710.7161821777521</c:v>
                </c:pt>
                <c:pt idx="6">
                  <c:v>715.53895270254247</c:v>
                </c:pt>
                <c:pt idx="7">
                  <c:v>720.28441538694733</c:v>
                </c:pt>
                <c:pt idx="8">
                  <c:v>724.95391141914956</c:v>
                </c:pt>
                <c:pt idx="9">
                  <c:v>729.53854449960909</c:v>
                </c:pt>
                <c:pt idx="10">
                  <c:v>734.04984198737702</c:v>
                </c:pt>
                <c:pt idx="11">
                  <c:v>738.53862353677187</c:v>
                </c:pt>
                <c:pt idx="12">
                  <c:v>743.23661116394123</c:v>
                </c:pt>
                <c:pt idx="13">
                  <c:v>747.84403911410175</c:v>
                </c:pt>
                <c:pt idx="14">
                  <c:v>752.36242774514244</c:v>
                </c:pt>
                <c:pt idx="15">
                  <c:v>756.78260001353408</c:v>
                </c:pt>
                <c:pt idx="16">
                  <c:v>761.11670931584047</c:v>
                </c:pt>
                <c:pt idx="17">
                  <c:v>765.36620674650828</c:v>
                </c:pt>
                <c:pt idx="18">
                  <c:v>769.5325230187367</c:v>
                </c:pt>
                <c:pt idx="19">
                  <c:v>773.61706922610927</c:v>
                </c:pt>
                <c:pt idx="20">
                  <c:v>777.62123757407778</c:v>
                </c:pt>
                <c:pt idx="21">
                  <c:v>781.53516189978779</c:v>
                </c:pt>
                <c:pt idx="22">
                  <c:v>785.3714295728754</c:v>
                </c:pt>
                <c:pt idx="23">
                  <c:v>789.13137760453719</c:v>
                </c:pt>
                <c:pt idx="24">
                  <c:v>792.46920369145198</c:v>
                </c:pt>
                <c:pt idx="25">
                  <c:v>794.82384331535673</c:v>
                </c:pt>
                <c:pt idx="26">
                  <c:v>797.1049023732927</c:v>
                </c:pt>
                <c:pt idx="27">
                  <c:v>799.31368471587734</c:v>
                </c:pt>
                <c:pt idx="28">
                  <c:v>801.45147840133347</c:v>
                </c:pt>
                <c:pt idx="29">
                  <c:v>803.50747284630631</c:v>
                </c:pt>
                <c:pt idx="30">
                  <c:v>805.49498605486417</c:v>
                </c:pt>
                <c:pt idx="31">
                  <c:v>807.41525921694927</c:v>
                </c:pt>
                <c:pt idx="32">
                  <c:v>809.26951957764425</c:v>
                </c:pt>
                <c:pt idx="33">
                  <c:v>811.05898084705859</c:v>
                </c:pt>
                <c:pt idx="34">
                  <c:v>812.78484496184137</c:v>
                </c:pt>
                <c:pt idx="35">
                  <c:v>814.44830572146782</c:v>
                </c:pt>
                <c:pt idx="36">
                  <c:v>816.05054950502131</c:v>
                </c:pt>
                <c:pt idx="37">
                  <c:v>817.59275547882544</c:v>
                </c:pt>
                <c:pt idx="38">
                  <c:v>819.06301007609284</c:v>
                </c:pt>
                <c:pt idx="39">
                  <c:v>820.47555905242518</c:v>
                </c:pt>
                <c:pt idx="40">
                  <c:v>821.83156366222943</c:v>
                </c:pt>
                <c:pt idx="41">
                  <c:v>823.13217864493777</c:v>
                </c:pt>
                <c:pt idx="42">
                  <c:v>824.37855239777377</c:v>
                </c:pt>
                <c:pt idx="43">
                  <c:v>825.57182714217561</c:v>
                </c:pt>
                <c:pt idx="44">
                  <c:v>826.71313908406114</c:v>
                </c:pt>
                <c:pt idx="45">
                  <c:v>827.32781766678659</c:v>
                </c:pt>
                <c:pt idx="46">
                  <c:v>825.99820578953791</c:v>
                </c:pt>
                <c:pt idx="47">
                  <c:v>824.63424843971916</c:v>
                </c:pt>
                <c:pt idx="48">
                  <c:v>823.23689054269289</c:v>
                </c:pt>
                <c:pt idx="49">
                  <c:v>821.80707384121501</c:v>
                </c:pt>
                <c:pt idx="50">
                  <c:v>820.34573695081633</c:v>
                </c:pt>
                <c:pt idx="51">
                  <c:v>818.85381541301751</c:v>
                </c:pt>
                <c:pt idx="52">
                  <c:v>817.31823451300193</c:v>
                </c:pt>
                <c:pt idx="53">
                  <c:v>815.7539702244361</c:v>
                </c:pt>
                <c:pt idx="54">
                  <c:v>814.16195085218317</c:v>
                </c:pt>
                <c:pt idx="55">
                  <c:v>812.54310178628714</c:v>
                </c:pt>
                <c:pt idx="56">
                  <c:v>810.89834554706692</c:v>
                </c:pt>
                <c:pt idx="57">
                  <c:v>809.22860182872557</c:v>
                </c:pt>
                <c:pt idx="58">
                  <c:v>807.53478754153161</c:v>
                </c:pt>
                <c:pt idx="59">
                  <c:v>805.81781685269345</c:v>
                </c:pt>
                <c:pt idx="60">
                  <c:v>804.07860122600107</c:v>
                </c:pt>
                <c:pt idx="61">
                  <c:v>802.31804946034367</c:v>
                </c:pt>
                <c:pt idx="62">
                  <c:v>800.5369516625359</c:v>
                </c:pt>
                <c:pt idx="63">
                  <c:v>798.73563258239869</c:v>
                </c:pt>
                <c:pt idx="64">
                  <c:v>796.91430242660954</c:v>
                </c:pt>
                <c:pt idx="65">
                  <c:v>795.07317327436374</c:v>
                </c:pt>
                <c:pt idx="66">
                  <c:v>793.21245905295859</c:v>
                </c:pt>
                <c:pt idx="67">
                  <c:v>791.3323755140957</c:v>
                </c:pt>
                <c:pt idx="68">
                  <c:v>789.43314021085803</c:v>
                </c:pt>
                <c:pt idx="69">
                  <c:v>787.51497247534996</c:v>
                </c:pt>
                <c:pt idx="70">
                  <c:v>785.57809339698008</c:v>
                </c:pt>
                <c:pt idx="71">
                  <c:v>783.62272580133106</c:v>
                </c:pt>
                <c:pt idx="72">
                  <c:v>781.64909422965491</c:v>
                </c:pt>
                <c:pt idx="73">
                  <c:v>779.65742491887681</c:v>
                </c:pt>
                <c:pt idx="74">
                  <c:v>777.64794578218994</c:v>
                </c:pt>
                <c:pt idx="75">
                  <c:v>775.62088639014257</c:v>
                </c:pt>
                <c:pt idx="76">
                  <c:v>773.57647795223909</c:v>
                </c:pt>
                <c:pt idx="77">
                  <c:v>771.51495329901843</c:v>
                </c:pt>
                <c:pt idx="78">
                  <c:v>769.43654686458933</c:v>
                </c:pt>
                <c:pt idx="79">
                  <c:v>767.35558376512915</c:v>
                </c:pt>
                <c:pt idx="80">
                  <c:v>765.25812279964998</c:v>
                </c:pt>
                <c:pt idx="81">
                  <c:v>763.14440231845265</c:v>
                </c:pt>
                <c:pt idx="82">
                  <c:v>760.50008307511894</c:v>
                </c:pt>
                <c:pt idx="83">
                  <c:v>757.28877184562748</c:v>
                </c:pt>
                <c:pt idx="84">
                  <c:v>754.06870082001456</c:v>
                </c:pt>
                <c:pt idx="85">
                  <c:v>750.84005265098654</c:v>
                </c:pt>
                <c:pt idx="86">
                  <c:v>747.60301185961407</c:v>
                </c:pt>
                <c:pt idx="87">
                  <c:v>744.3577648031719</c:v>
                </c:pt>
                <c:pt idx="88">
                  <c:v>741.10449964379779</c:v>
                </c:pt>
                <c:pt idx="89">
                  <c:v>737.84340631794032</c:v>
                </c:pt>
                <c:pt idx="90">
                  <c:v>734.57467650657782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9-4176-8A44-C9FEF96302F5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hol'!$B$184:$B$327</c15:sqref>
                  </c15:fullRef>
                </c:ext>
              </c:extLst>
              <c:f>'Vækstfunktion, hol'!$B$212:$B$302</c:f>
              <c:numCache>
                <c:formatCode>0.0</c:formatCode>
                <c:ptCount val="91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8.4</c:v>
                </c:pt>
                <c:pt idx="6">
                  <c:v>8.4</c:v>
                </c:pt>
                <c:pt idx="7">
                  <c:v>8.4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8.8000000000000007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8.9</c:v>
                </c:pt>
                <c:pt idx="22">
                  <c:v>8.9</c:v>
                </c:pt>
                <c:pt idx="23">
                  <c:v>8.9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9.1</c:v>
                </c:pt>
                <c:pt idx="29">
                  <c:v>9.1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9.3000000000000007</c:v>
                </c:pt>
                <c:pt idx="34">
                  <c:v>9.3000000000000007</c:v>
                </c:pt>
                <c:pt idx="35">
                  <c:v>9.3000000000000007</c:v>
                </c:pt>
                <c:pt idx="36">
                  <c:v>9.4</c:v>
                </c:pt>
                <c:pt idx="37">
                  <c:v>9.4</c:v>
                </c:pt>
                <c:pt idx="38">
                  <c:v>9.4</c:v>
                </c:pt>
                <c:pt idx="39">
                  <c:v>9.5</c:v>
                </c:pt>
                <c:pt idx="40">
                  <c:v>9.5</c:v>
                </c:pt>
                <c:pt idx="41">
                  <c:v>9.5</c:v>
                </c:pt>
                <c:pt idx="42">
                  <c:v>9.6</c:v>
                </c:pt>
                <c:pt idx="43">
                  <c:v>9.6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9.6999999999999993</c:v>
                </c:pt>
                <c:pt idx="47">
                  <c:v>9.6999999999999993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9.8000000000000007</c:v>
                </c:pt>
                <c:pt idx="51">
                  <c:v>9.9</c:v>
                </c:pt>
                <c:pt idx="52">
                  <c:v>9.9</c:v>
                </c:pt>
                <c:pt idx="53">
                  <c:v>9.9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10.1</c:v>
                </c:pt>
                <c:pt idx="58">
                  <c:v>10.1</c:v>
                </c:pt>
                <c:pt idx="59">
                  <c:v>10.1</c:v>
                </c:pt>
                <c:pt idx="60">
                  <c:v>10.199999999999999</c:v>
                </c:pt>
                <c:pt idx="61">
                  <c:v>10.199999999999999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10.4</c:v>
                </c:pt>
                <c:pt idx="67">
                  <c:v>10.4</c:v>
                </c:pt>
                <c:pt idx="68">
                  <c:v>10.4</c:v>
                </c:pt>
                <c:pt idx="69">
                  <c:v>10.5</c:v>
                </c:pt>
                <c:pt idx="70">
                  <c:v>10.5</c:v>
                </c:pt>
                <c:pt idx="71">
                  <c:v>10.5</c:v>
                </c:pt>
                <c:pt idx="72">
                  <c:v>10.6</c:v>
                </c:pt>
                <c:pt idx="73">
                  <c:v>10.6</c:v>
                </c:pt>
                <c:pt idx="74">
                  <c:v>10.6</c:v>
                </c:pt>
                <c:pt idx="75">
                  <c:v>10.7</c:v>
                </c:pt>
                <c:pt idx="76">
                  <c:v>10.7</c:v>
                </c:pt>
                <c:pt idx="77">
                  <c:v>10.7</c:v>
                </c:pt>
                <c:pt idx="78">
                  <c:v>10.8</c:v>
                </c:pt>
                <c:pt idx="79">
                  <c:v>10.8</c:v>
                </c:pt>
                <c:pt idx="80">
                  <c:v>10.8</c:v>
                </c:pt>
                <c:pt idx="81">
                  <c:v>10.9</c:v>
                </c:pt>
                <c:pt idx="82">
                  <c:v>10.9</c:v>
                </c:pt>
                <c:pt idx="83">
                  <c:v>10.9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11.1</c:v>
                </c:pt>
                <c:pt idx="88">
                  <c:v>11.1</c:v>
                </c:pt>
                <c:pt idx="89">
                  <c:v>11.1</c:v>
                </c:pt>
                <c:pt idx="90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kvie'!$AP$184:$AP$327</c15:sqref>
                  </c15:fullRef>
                </c:ext>
              </c:extLst>
              <c:f>'Vækstfunktion, kry kvie'!$AP$212:$AP$302</c:f>
              <c:numCache>
                <c:formatCode>#,##0.00</c:formatCode>
                <c:ptCount val="91"/>
                <c:pt idx="0">
                  <c:v>287.70624205591116</c:v>
                </c:pt>
                <c:pt idx="1">
                  <c:v>286.64020239342534</c:v>
                </c:pt>
                <c:pt idx="2">
                  <c:v>285.5339128042084</c:v>
                </c:pt>
                <c:pt idx="3">
                  <c:v>284.38024744374184</c:v>
                </c:pt>
                <c:pt idx="4">
                  <c:v>283.18877504309779</c:v>
                </c:pt>
                <c:pt idx="5">
                  <c:v>281.9604531228635</c:v>
                </c:pt>
                <c:pt idx="6">
                  <c:v>280.6962141255176</c:v>
                </c:pt>
                <c:pt idx="7">
                  <c:v>279.3969662920386</c:v>
                </c:pt>
                <c:pt idx="8">
                  <c:v>700.62002439338562</c:v>
                </c:pt>
                <c:pt idx="9">
                  <c:v>702.22205748308716</c:v>
                </c:pt>
                <c:pt idx="10">
                  <c:v>703.79192182207532</c:v>
                </c:pt>
                <c:pt idx="11">
                  <c:v>705.33028199666467</c:v>
                </c:pt>
                <c:pt idx="12">
                  <c:v>706.83778539349657</c:v>
                </c:pt>
                <c:pt idx="13">
                  <c:v>708.31506290008599</c:v>
                </c:pt>
                <c:pt idx="14">
                  <c:v>709.76272957735353</c:v>
                </c:pt>
                <c:pt idx="15">
                  <c:v>711.18138530542399</c:v>
                </c:pt>
                <c:pt idx="16">
                  <c:v>712.57161540394395</c:v>
                </c:pt>
                <c:pt idx="17">
                  <c:v>713.9299887720797</c:v>
                </c:pt>
                <c:pt idx="18">
                  <c:v>715.26129147398638</c:v>
                </c:pt>
                <c:pt idx="19">
                  <c:v>716.56605778280721</c:v>
                </c:pt>
                <c:pt idx="20">
                  <c:v>717.84480994054559</c:v>
                </c:pt>
                <c:pt idx="21">
                  <c:v>719.09805865805208</c:v>
                </c:pt>
                <c:pt idx="22">
                  <c:v>720.3263035960025</c:v>
                </c:pt>
                <c:pt idx="23">
                  <c:v>721.53003382763666</c:v>
                </c:pt>
                <c:pt idx="24">
                  <c:v>722.70972828411527</c:v>
                </c:pt>
                <c:pt idx="25">
                  <c:v>723.86585618317849</c:v>
                </c:pt>
                <c:pt idx="26">
                  <c:v>724.99887744187333</c:v>
                </c:pt>
                <c:pt idx="27">
                  <c:v>726.10924307399978</c:v>
                </c:pt>
                <c:pt idx="28">
                  <c:v>727.19739557291587</c:v>
                </c:pt>
                <c:pt idx="29">
                  <c:v>728.26376928034813</c:v>
                </c:pt>
                <c:pt idx="30">
                  <c:v>729.3087907417721</c:v>
                </c:pt>
                <c:pt idx="31">
                  <c:v>730.33287904891358</c:v>
                </c:pt>
                <c:pt idx="32">
                  <c:v>731.33644616991535</c:v>
                </c:pt>
                <c:pt idx="33">
                  <c:v>732.31989726770166</c:v>
                </c:pt>
                <c:pt idx="34">
                  <c:v>733.28363100694878</c:v>
                </c:pt>
                <c:pt idx="35">
                  <c:v>734.22803985022051</c:v>
                </c:pt>
                <c:pt idx="36">
                  <c:v>735.15351034362402</c:v>
                </c:pt>
                <c:pt idx="37">
                  <c:v>736.06042339248654</c:v>
                </c:pt>
                <c:pt idx="38">
                  <c:v>736.95383761297751</c:v>
                </c:pt>
                <c:pt idx="39">
                  <c:v>737.87942123151049</c:v>
                </c:pt>
                <c:pt idx="40">
                  <c:v>738.77435388548713</c:v>
                </c:pt>
                <c:pt idx="41">
                  <c:v>739.63919959659893</c:v>
                </c:pt>
                <c:pt idx="42">
                  <c:v>740.47451476047877</c:v>
                </c:pt>
                <c:pt idx="43">
                  <c:v>740.8277093697227</c:v>
                </c:pt>
                <c:pt idx="44">
                  <c:v>739.34396059140738</c:v>
                </c:pt>
                <c:pt idx="45">
                  <c:v>737.83900942613127</c:v>
                </c:pt>
                <c:pt idx="46">
                  <c:v>736.31331491223784</c:v>
                </c:pt>
                <c:pt idx="47">
                  <c:v>734.76733119820346</c:v>
                </c:pt>
                <c:pt idx="48">
                  <c:v>733.20150768372503</c:v>
                </c:pt>
                <c:pt idx="49">
                  <c:v>731.61628915550273</c:v>
                </c:pt>
                <c:pt idx="50">
                  <c:v>730.01211591792753</c:v>
                </c:pt>
                <c:pt idx="51">
                  <c:v>728.38942391888804</c:v>
                </c:pt>
                <c:pt idx="52">
                  <c:v>726.74864487091202</c:v>
                </c:pt>
                <c:pt idx="53">
                  <c:v>725.09164780485639</c:v>
                </c:pt>
                <c:pt idx="54">
                  <c:v>723.41744302512382</c:v>
                </c:pt>
                <c:pt idx="55">
                  <c:v>721.06833214989717</c:v>
                </c:pt>
                <c:pt idx="56">
                  <c:v>718.43472309654089</c:v>
                </c:pt>
                <c:pt idx="57">
                  <c:v>715.79309871744056</c:v>
                </c:pt>
                <c:pt idx="58">
                  <c:v>713.14377664173583</c:v>
                </c:pt>
                <c:pt idx="59">
                  <c:v>710.48707135210486</c:v>
                </c:pt>
                <c:pt idx="60">
                  <c:v>707.8232476324315</c:v>
                </c:pt>
                <c:pt idx="61">
                  <c:v>705.15238152820223</c:v>
                </c:pt>
                <c:pt idx="62">
                  <c:v>702.47635129219736</c:v>
                </c:pt>
                <c:pt idx="63">
                  <c:v>699.7933979170208</c:v>
                </c:pt>
                <c:pt idx="64">
                  <c:v>697.10355273666505</c:v>
                </c:pt>
                <c:pt idx="65">
                  <c:v>694.40684642664269</c:v>
                </c:pt>
                <c:pt idx="66">
                  <c:v>691.7033090368684</c:v>
                </c:pt>
                <c:pt idx="67">
                  <c:v>688.99297002347805</c:v>
                </c:pt>
                <c:pt idx="68">
                  <c:v>686.27585827956534</c:v>
                </c:pt>
                <c:pt idx="69">
                  <c:v>683.55433573083963</c:v>
                </c:pt>
                <c:pt idx="70">
                  <c:v>680.82618156938588</c:v>
                </c:pt>
                <c:pt idx="71">
                  <c:v>678.09142834969225</c:v>
                </c:pt>
                <c:pt idx="72">
                  <c:v>675.35011401780855</c:v>
                </c:pt>
                <c:pt idx="73">
                  <c:v>672.60228252795332</c:v>
                </c:pt>
                <c:pt idx="74">
                  <c:v>669.8479837134355</c:v>
                </c:pt>
                <c:pt idx="75">
                  <c:v>667.09004204684493</c:v>
                </c:pt>
                <c:pt idx="76">
                  <c:v>664.32581809190526</c:v>
                </c:pt>
                <c:pt idx="77">
                  <c:v>661.55537576754432</c:v>
                </c:pt>
                <c:pt idx="78">
                  <c:v>658.77878444317935</c:v>
                </c:pt>
                <c:pt idx="79">
                  <c:v>655.99611882523095</c:v>
                </c:pt>
                <c:pt idx="80">
                  <c:v>653.21052337378819</c:v>
                </c:pt>
                <c:pt idx="81">
                  <c:v>650.41907527575142</c:v>
                </c:pt>
                <c:pt idx="82">
                  <c:v>647.62186201039208</c:v>
                </c:pt>
                <c:pt idx="83">
                  <c:v>644.81897601730122</c:v>
                </c:pt>
                <c:pt idx="84">
                  <c:v>642.01051459619191</c:v>
                </c:pt>
                <c:pt idx="85">
                  <c:v>639.19989806816056</c:v>
                </c:pt>
                <c:pt idx="86">
                  <c:v>636.38396090193783</c:v>
                </c:pt>
                <c:pt idx="87">
                  <c:v>633.56281201792149</c:v>
                </c:pt>
                <c:pt idx="88">
                  <c:v>630.73656486432867</c:v>
                </c:pt>
                <c:pt idx="89">
                  <c:v>627.90533732842687</c:v>
                </c:pt>
                <c:pt idx="90">
                  <c:v>625.07278453076231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9-4176-8A44-C9FEF963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46126016186683672"/>
              <c:y val="0.931164733440578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Kr. pr. foderdag, Zoom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104474352645535E-2"/>
          <c:y val="0.23444951659523569"/>
          <c:w val="0.91156218615478979"/>
          <c:h val="0.63787155719459121"/>
        </c:manualLayout>
      </c:layout>
      <c:lineChart>
        <c:grouping val="standard"/>
        <c:varyColors val="0"/>
        <c:ser>
          <c:idx val="3"/>
          <c:order val="0"/>
          <c:tx>
            <c:v>hol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hol'!$B$212:$B$302</c15:sqref>
                  </c15:fullRef>
                </c:ext>
              </c:extLst>
              <c:f>('Vækstfunktion, hol'!$B$217:$B$218,'Vækstfunktion, hol'!$B$240:$B$302)</c:f>
              <c:numCache>
                <c:formatCode>0.0</c:formatCode>
                <c:ptCount val="65"/>
                <c:pt idx="0">
                  <c:v>8.4</c:v>
                </c:pt>
                <c:pt idx="1">
                  <c:v>8.4</c:v>
                </c:pt>
                <c:pt idx="2">
                  <c:v>9.1</c:v>
                </c:pt>
                <c:pt idx="3">
                  <c:v>9.1</c:v>
                </c:pt>
                <c:pt idx="4">
                  <c:v>9.1999999999999993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9.3000000000000007</c:v>
                </c:pt>
                <c:pt idx="8">
                  <c:v>9.3000000000000007</c:v>
                </c:pt>
                <c:pt idx="9">
                  <c:v>9.3000000000000007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9.6</c:v>
                </c:pt>
                <c:pt idx="17">
                  <c:v>9.6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9.8000000000000007</c:v>
                </c:pt>
                <c:pt idx="23">
                  <c:v>9.8000000000000007</c:v>
                </c:pt>
                <c:pt idx="24">
                  <c:v>9.8000000000000007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10.1</c:v>
                </c:pt>
                <c:pt idx="32">
                  <c:v>10.1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10.199999999999999</c:v>
                </c:pt>
                <c:pt idx="36">
                  <c:v>10.199999999999999</c:v>
                </c:pt>
                <c:pt idx="37">
                  <c:v>10.3</c:v>
                </c:pt>
                <c:pt idx="38">
                  <c:v>10.3</c:v>
                </c:pt>
                <c:pt idx="39">
                  <c:v>10.3</c:v>
                </c:pt>
                <c:pt idx="40">
                  <c:v>10.4</c:v>
                </c:pt>
                <c:pt idx="41">
                  <c:v>10.4</c:v>
                </c:pt>
                <c:pt idx="42">
                  <c:v>10.4</c:v>
                </c:pt>
                <c:pt idx="43">
                  <c:v>10.5</c:v>
                </c:pt>
                <c:pt idx="44">
                  <c:v>10.5</c:v>
                </c:pt>
                <c:pt idx="45">
                  <c:v>10.5</c:v>
                </c:pt>
                <c:pt idx="46">
                  <c:v>10.6</c:v>
                </c:pt>
                <c:pt idx="47">
                  <c:v>10.6</c:v>
                </c:pt>
                <c:pt idx="48">
                  <c:v>10.6</c:v>
                </c:pt>
                <c:pt idx="49">
                  <c:v>10.7</c:v>
                </c:pt>
                <c:pt idx="50">
                  <c:v>10.7</c:v>
                </c:pt>
                <c:pt idx="51">
                  <c:v>10.7</c:v>
                </c:pt>
                <c:pt idx="52">
                  <c:v>10.8</c:v>
                </c:pt>
                <c:pt idx="53">
                  <c:v>10.8</c:v>
                </c:pt>
                <c:pt idx="54">
                  <c:v>10.8</c:v>
                </c:pt>
                <c:pt idx="55">
                  <c:v>10.9</c:v>
                </c:pt>
                <c:pt idx="56">
                  <c:v>10.9</c:v>
                </c:pt>
                <c:pt idx="57">
                  <c:v>10.9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11.1</c:v>
                </c:pt>
                <c:pt idx="62">
                  <c:v>11.1</c:v>
                </c:pt>
                <c:pt idx="63">
                  <c:v>11.1</c:v>
                </c:pt>
                <c:pt idx="64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hol'!$AO$212:$AO$302</c15:sqref>
                  </c15:fullRef>
                </c:ext>
              </c:extLst>
              <c:f>('Vækstfunktion, hol'!$AO$217:$AO$218,'Vækstfunktion, hol'!$AO$240:$AO$302)</c:f>
              <c:numCache>
                <c:formatCode>#,##0.00</c:formatCode>
                <c:ptCount val="65"/>
                <c:pt idx="0">
                  <c:v>0.15928680261965084</c:v>
                </c:pt>
                <c:pt idx="1">
                  <c:v>0.16275898766429076</c:v>
                </c:pt>
                <c:pt idx="2">
                  <c:v>4.9902123411228869</c:v>
                </c:pt>
                <c:pt idx="3">
                  <c:v>5.0205097380047539</c:v>
                </c:pt>
                <c:pt idx="4">
                  <c:v>5.0505248134689289</c:v>
                </c:pt>
                <c:pt idx="5">
                  <c:v>5.080259849924686</c:v>
                </c:pt>
                <c:pt idx="6">
                  <c:v>5.109630257060811</c:v>
                </c:pt>
                <c:pt idx="7">
                  <c:v>5.1387250533713784</c:v>
                </c:pt>
                <c:pt idx="8">
                  <c:v>5.1675465785122618</c:v>
                </c:pt>
                <c:pt idx="9">
                  <c:v>5.1960971968231222</c:v>
                </c:pt>
                <c:pt idx="10">
                  <c:v>5.2243792977465979</c:v>
                </c:pt>
                <c:pt idx="11">
                  <c:v>5.2523952962359051</c:v>
                </c:pt>
                <c:pt idx="12">
                  <c:v>5.2801476331514463</c:v>
                </c:pt>
                <c:pt idx="13">
                  <c:v>5.3076387756462751</c:v>
                </c:pt>
                <c:pt idx="14">
                  <c:v>5.3301297523247317</c:v>
                </c:pt>
                <c:pt idx="15">
                  <c:v>5.333407230625383</c:v>
                </c:pt>
                <c:pt idx="16">
                  <c:v>5.3366740525596565</c:v>
                </c:pt>
                <c:pt idx="17">
                  <c:v>5.3395882916360939</c:v>
                </c:pt>
                <c:pt idx="18">
                  <c:v>5.3421538294338013</c:v>
                </c:pt>
                <c:pt idx="19">
                  <c:v>5.344374592250591</c:v>
                </c:pt>
                <c:pt idx="20">
                  <c:v>5.3462545503820911</c:v>
                </c:pt>
                <c:pt idx="21">
                  <c:v>5.3477977174111775</c:v>
                </c:pt>
                <c:pt idx="22">
                  <c:v>5.3490081495073714</c:v>
                </c:pt>
                <c:pt idx="23">
                  <c:v>5.349889944736538</c:v>
                </c:pt>
                <c:pt idx="24">
                  <c:v>5.3504472423803389</c:v>
                </c:pt>
                <c:pt idx="25">
                  <c:v>5.3506842222656665</c:v>
                </c:pt>
                <c:pt idx="26">
                  <c:v>5.3506051041041447</c:v>
                </c:pt>
                <c:pt idx="27">
                  <c:v>5.3502141468410844</c:v>
                </c:pt>
                <c:pt idx="28">
                  <c:v>5.3495156480144921</c:v>
                </c:pt>
                <c:pt idx="29">
                  <c:v>5.3485139431235504</c:v>
                </c:pt>
                <c:pt idx="30">
                  <c:v>5.347213405006948</c:v>
                </c:pt>
                <c:pt idx="31">
                  <c:v>5.3437567647721655</c:v>
                </c:pt>
                <c:pt idx="32">
                  <c:v>5.3336901383824342</c:v>
                </c:pt>
                <c:pt idx="33">
                  <c:v>5.3233700706370444</c:v>
                </c:pt>
                <c:pt idx="34">
                  <c:v>5.3127981998135043</c:v>
                </c:pt>
                <c:pt idx="35">
                  <c:v>5.3019761923973689</c:v>
                </c:pt>
                <c:pt idx="36">
                  <c:v>5.2909057427329014</c:v>
                </c:pt>
                <c:pt idx="37">
                  <c:v>5.2795885726799971</c:v>
                </c:pt>
                <c:pt idx="38">
                  <c:v>5.2680264312783152</c:v>
                </c:pt>
                <c:pt idx="39">
                  <c:v>5.2562210944171239</c:v>
                </c:pt>
                <c:pt idx="40">
                  <c:v>5.2441743645119461</c:v>
                </c:pt>
                <c:pt idx="41">
                  <c:v>5.2318880701868347</c:v>
                </c:pt>
                <c:pt idx="42">
                  <c:v>5.2193640659627771</c:v>
                </c:pt>
                <c:pt idx="43">
                  <c:v>5.2066042319518839</c:v>
                </c:pt>
                <c:pt idx="44">
                  <c:v>5.1936104735570545</c:v>
                </c:pt>
                <c:pt idx="45">
                  <c:v>5.1803847211770959</c:v>
                </c:pt>
                <c:pt idx="46">
                  <c:v>5.1669289299173276</c:v>
                </c:pt>
                <c:pt idx="47">
                  <c:v>5.1532450793052353</c:v>
                </c:pt>
                <c:pt idx="48">
                  <c:v>5.1393351730112276</c:v>
                </c:pt>
                <c:pt idx="49">
                  <c:v>5.1252012385743653</c:v>
                </c:pt>
                <c:pt idx="50">
                  <c:v>5.1109505533233488</c:v>
                </c:pt>
                <c:pt idx="51">
                  <c:v>5.0964796776369949</c:v>
                </c:pt>
                <c:pt idx="52">
                  <c:v>5.081790698611468</c:v>
                </c:pt>
                <c:pt idx="53">
                  <c:v>5.0668857263059452</c:v>
                </c:pt>
                <c:pt idx="54">
                  <c:v>5.0517668934887405</c:v>
                </c:pt>
                <c:pt idx="55">
                  <c:v>5.0364363553877771</c:v>
                </c:pt>
                <c:pt idx="56">
                  <c:v>5.0208962894452407</c:v>
                </c:pt>
                <c:pt idx="57">
                  <c:v>5.0051488950763137</c:v>
                </c:pt>
                <c:pt idx="58">
                  <c:v>4.9891963934318282</c:v>
                </c:pt>
                <c:pt idx="59">
                  <c:v>4.9730410271651806</c:v>
                </c:pt>
                <c:pt idx="60">
                  <c:v>4.9567901469036251</c:v>
                </c:pt>
                <c:pt idx="61">
                  <c:v>4.9403405562719032</c:v>
                </c:pt>
                <c:pt idx="62">
                  <c:v>4.9236945520433517</c:v>
                </c:pt>
                <c:pt idx="63">
                  <c:v>4.9068544517185639</c:v>
                </c:pt>
                <c:pt idx="64">
                  <c:v>4.8898225933084127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8-4371-B216-B17E72375250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hol'!$B$212:$B$302</c15:sqref>
                  </c15:fullRef>
                </c:ext>
              </c:extLst>
              <c:f>('Vækstfunktion, hol'!$B$217:$B$218,'Vækstfunktion, hol'!$B$240:$B$302)</c:f>
              <c:numCache>
                <c:formatCode>0.0</c:formatCode>
                <c:ptCount val="65"/>
                <c:pt idx="0">
                  <c:v>8.4</c:v>
                </c:pt>
                <c:pt idx="1">
                  <c:v>8.4</c:v>
                </c:pt>
                <c:pt idx="2">
                  <c:v>9.1</c:v>
                </c:pt>
                <c:pt idx="3">
                  <c:v>9.1</c:v>
                </c:pt>
                <c:pt idx="4">
                  <c:v>9.1999999999999993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9.3000000000000007</c:v>
                </c:pt>
                <c:pt idx="8">
                  <c:v>9.3000000000000007</c:v>
                </c:pt>
                <c:pt idx="9">
                  <c:v>9.3000000000000007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9.6</c:v>
                </c:pt>
                <c:pt idx="17">
                  <c:v>9.6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9.8000000000000007</c:v>
                </c:pt>
                <c:pt idx="23">
                  <c:v>9.8000000000000007</c:v>
                </c:pt>
                <c:pt idx="24">
                  <c:v>9.8000000000000007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10.1</c:v>
                </c:pt>
                <c:pt idx="32">
                  <c:v>10.1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10.199999999999999</c:v>
                </c:pt>
                <c:pt idx="36">
                  <c:v>10.199999999999999</c:v>
                </c:pt>
                <c:pt idx="37">
                  <c:v>10.3</c:v>
                </c:pt>
                <c:pt idx="38">
                  <c:v>10.3</c:v>
                </c:pt>
                <c:pt idx="39">
                  <c:v>10.3</c:v>
                </c:pt>
                <c:pt idx="40">
                  <c:v>10.4</c:v>
                </c:pt>
                <c:pt idx="41">
                  <c:v>10.4</c:v>
                </c:pt>
                <c:pt idx="42">
                  <c:v>10.4</c:v>
                </c:pt>
                <c:pt idx="43">
                  <c:v>10.5</c:v>
                </c:pt>
                <c:pt idx="44">
                  <c:v>10.5</c:v>
                </c:pt>
                <c:pt idx="45">
                  <c:v>10.5</c:v>
                </c:pt>
                <c:pt idx="46">
                  <c:v>10.6</c:v>
                </c:pt>
                <c:pt idx="47">
                  <c:v>10.6</c:v>
                </c:pt>
                <c:pt idx="48">
                  <c:v>10.6</c:v>
                </c:pt>
                <c:pt idx="49">
                  <c:v>10.7</c:v>
                </c:pt>
                <c:pt idx="50">
                  <c:v>10.7</c:v>
                </c:pt>
                <c:pt idx="51">
                  <c:v>10.7</c:v>
                </c:pt>
                <c:pt idx="52">
                  <c:v>10.8</c:v>
                </c:pt>
                <c:pt idx="53">
                  <c:v>10.8</c:v>
                </c:pt>
                <c:pt idx="54">
                  <c:v>10.8</c:v>
                </c:pt>
                <c:pt idx="55">
                  <c:v>10.9</c:v>
                </c:pt>
                <c:pt idx="56">
                  <c:v>10.9</c:v>
                </c:pt>
                <c:pt idx="57">
                  <c:v>10.9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11.1</c:v>
                </c:pt>
                <c:pt idx="62">
                  <c:v>11.1</c:v>
                </c:pt>
                <c:pt idx="63">
                  <c:v>11.1</c:v>
                </c:pt>
                <c:pt idx="64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tyr'!$AO$212:$AO$302</c15:sqref>
                  </c15:fullRef>
                </c:ext>
              </c:extLst>
              <c:f>('Vækstfunktion, kry tyr'!$AO$217:$AO$218,'Vækstfunktion, kry tyr'!$AO$240:$AO$302)</c:f>
              <c:numCache>
                <c:formatCode>#,##0.000</c:formatCode>
                <c:ptCount val="65"/>
                <c:pt idx="0">
                  <c:v>5.9216537205087194</c:v>
                </c:pt>
                <c:pt idx="1">
                  <c:v>5.9751677435469848</c:v>
                </c:pt>
                <c:pt idx="2">
                  <c:v>6.9893359158199617</c:v>
                </c:pt>
                <c:pt idx="3">
                  <c:v>7.0194877054099782</c:v>
                </c:pt>
                <c:pt idx="4">
                  <c:v>7.0490006428043008</c:v>
                </c:pt>
                <c:pt idx="5">
                  <c:v>7.0778830277357994</c:v>
                </c:pt>
                <c:pt idx="6">
                  <c:v>7.1061431537961086</c:v>
                </c:pt>
                <c:pt idx="7">
                  <c:v>7.133789308621834</c:v>
                </c:pt>
                <c:pt idx="8">
                  <c:v>7.1608297861088799</c:v>
                </c:pt>
                <c:pt idx="9">
                  <c:v>7.1872729154050212</c:v>
                </c:pt>
                <c:pt idx="10">
                  <c:v>7.2131270644854979</c:v>
                </c:pt>
                <c:pt idx="11">
                  <c:v>7.2384006393492504</c:v>
                </c:pt>
                <c:pt idx="12">
                  <c:v>7.262986046485592</c:v>
                </c:pt>
                <c:pt idx="13">
                  <c:v>7.2870073885847457</c:v>
                </c:pt>
                <c:pt idx="14">
                  <c:v>7.3104732079411416</c:v>
                </c:pt>
                <c:pt idx="15">
                  <c:v>7.3333920813380145</c:v>
                </c:pt>
                <c:pt idx="16">
                  <c:v>7.3557726193074418</c:v>
                </c:pt>
                <c:pt idx="17">
                  <c:v>7.3776234654018626</c:v>
                </c:pt>
                <c:pt idx="18">
                  <c:v>7.3989532954762867</c:v>
                </c:pt>
                <c:pt idx="19">
                  <c:v>7.4155061175236536</c:v>
                </c:pt>
                <c:pt idx="20">
                  <c:v>7.4145361203770355</c:v>
                </c:pt>
                <c:pt idx="21">
                  <c:v>7.4131370681920936</c:v>
                </c:pt>
                <c:pt idx="22">
                  <c:v>7.411317522186275</c:v>
                </c:pt>
                <c:pt idx="23">
                  <c:v>7.4090860629833024</c:v>
                </c:pt>
                <c:pt idx="24">
                  <c:v>7.4064512899837389</c:v>
                </c:pt>
                <c:pt idx="25">
                  <c:v>7.4034218207461659</c:v>
                </c:pt>
                <c:pt idx="26">
                  <c:v>7.3998794709405491</c:v>
                </c:pt>
                <c:pt idx="27">
                  <c:v>7.3959597156667618</c:v>
                </c:pt>
                <c:pt idx="28">
                  <c:v>7.3916712441212251</c:v>
                </c:pt>
                <c:pt idx="29">
                  <c:v>7.3870227609797769</c:v>
                </c:pt>
                <c:pt idx="30">
                  <c:v>7.3820229858402291</c:v>
                </c:pt>
                <c:pt idx="31">
                  <c:v>7.3766806526764368</c:v>
                </c:pt>
                <c:pt idx="32">
                  <c:v>7.3710045093036198</c:v>
                </c:pt>
                <c:pt idx="33">
                  <c:v>7.3650033168552822</c:v>
                </c:pt>
                <c:pt idx="34">
                  <c:v>7.3586858492717164</c:v>
                </c:pt>
                <c:pt idx="35">
                  <c:v>7.352060892800357</c:v>
                </c:pt>
                <c:pt idx="36">
                  <c:v>7.3451361805845536</c:v>
                </c:pt>
                <c:pt idx="37">
                  <c:v>7.3379152003101273</c:v>
                </c:pt>
                <c:pt idx="38">
                  <c:v>7.3304003937039521</c:v>
                </c:pt>
                <c:pt idx="39">
                  <c:v>7.3225942220023184</c:v>
                </c:pt>
                <c:pt idx="40">
                  <c:v>7.314499165791478</c:v>
                </c:pt>
                <c:pt idx="41">
                  <c:v>7.3061177248517879</c:v>
                </c:pt>
                <c:pt idx="42">
                  <c:v>7.2974524180051024</c:v>
                </c:pt>
                <c:pt idx="43">
                  <c:v>7.2885057829654816</c:v>
                </c:pt>
                <c:pt idx="44">
                  <c:v>7.2792803761931237</c:v>
                </c:pt>
                <c:pt idx="45">
                  <c:v>7.2697787727511489</c:v>
                </c:pt>
                <c:pt idx="46">
                  <c:v>7.260003566165663</c:v>
                </c:pt>
                <c:pt idx="47">
                  <c:v>7.2499573682881637</c:v>
                </c:pt>
                <c:pt idx="48">
                  <c:v>7.2396428091611202</c:v>
                </c:pt>
                <c:pt idx="49">
                  <c:v>7.22906253688594</c:v>
                </c:pt>
                <c:pt idx="50">
                  <c:v>7.2182192174935826</c:v>
                </c:pt>
                <c:pt idx="51">
                  <c:v>7.207115534817599</c:v>
                </c:pt>
                <c:pt idx="52">
                  <c:v>7.1957541903694597</c:v>
                </c:pt>
                <c:pt idx="53">
                  <c:v>7.1842698105948806</c:v>
                </c:pt>
                <c:pt idx="54">
                  <c:v>7.1725326748184219</c:v>
                </c:pt>
                <c:pt idx="55">
                  <c:v>7.1605455236509927</c:v>
                </c:pt>
                <c:pt idx="56">
                  <c:v>7.1434776052557707</c:v>
                </c:pt>
                <c:pt idx="57">
                  <c:v>7.1209715987761495</c:v>
                </c:pt>
                <c:pt idx="58">
                  <c:v>7.0982663073928487</c:v>
                </c:pt>
                <c:pt idx="59">
                  <c:v>7.0753643781966149</c:v>
                </c:pt>
                <c:pt idx="60">
                  <c:v>7.0522684706297785</c:v>
                </c:pt>
                <c:pt idx="61">
                  <c:v>7.0289812563632674</c:v>
                </c:pt>
                <c:pt idx="62">
                  <c:v>7.0055054191758481</c:v>
                </c:pt>
                <c:pt idx="63">
                  <c:v>6.9818436548354859</c:v>
                </c:pt>
                <c:pt idx="64">
                  <c:v>6.9579986709828274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8-4371-B216-B17E72375250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hol'!$B$212:$B$302</c15:sqref>
                  </c15:fullRef>
                </c:ext>
              </c:extLst>
              <c:f>('Vækstfunktion, hol'!$B$217:$B$218,'Vækstfunktion, hol'!$B$240:$B$302)</c:f>
              <c:numCache>
                <c:formatCode>0.0</c:formatCode>
                <c:ptCount val="65"/>
                <c:pt idx="0">
                  <c:v>8.4</c:v>
                </c:pt>
                <c:pt idx="1">
                  <c:v>8.4</c:v>
                </c:pt>
                <c:pt idx="2">
                  <c:v>9.1</c:v>
                </c:pt>
                <c:pt idx="3">
                  <c:v>9.1</c:v>
                </c:pt>
                <c:pt idx="4">
                  <c:v>9.1999999999999993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9.3000000000000007</c:v>
                </c:pt>
                <c:pt idx="8">
                  <c:v>9.3000000000000007</c:v>
                </c:pt>
                <c:pt idx="9">
                  <c:v>9.3000000000000007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9.6</c:v>
                </c:pt>
                <c:pt idx="17">
                  <c:v>9.6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9.8000000000000007</c:v>
                </c:pt>
                <c:pt idx="23">
                  <c:v>9.8000000000000007</c:v>
                </c:pt>
                <c:pt idx="24">
                  <c:v>9.8000000000000007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10.1</c:v>
                </c:pt>
                <c:pt idx="32">
                  <c:v>10.1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10.199999999999999</c:v>
                </c:pt>
                <c:pt idx="36">
                  <c:v>10.199999999999999</c:v>
                </c:pt>
                <c:pt idx="37">
                  <c:v>10.3</c:v>
                </c:pt>
                <c:pt idx="38">
                  <c:v>10.3</c:v>
                </c:pt>
                <c:pt idx="39">
                  <c:v>10.3</c:v>
                </c:pt>
                <c:pt idx="40">
                  <c:v>10.4</c:v>
                </c:pt>
                <c:pt idx="41">
                  <c:v>10.4</c:v>
                </c:pt>
                <c:pt idx="42">
                  <c:v>10.4</c:v>
                </c:pt>
                <c:pt idx="43">
                  <c:v>10.5</c:v>
                </c:pt>
                <c:pt idx="44">
                  <c:v>10.5</c:v>
                </c:pt>
                <c:pt idx="45">
                  <c:v>10.5</c:v>
                </c:pt>
                <c:pt idx="46">
                  <c:v>10.6</c:v>
                </c:pt>
                <c:pt idx="47">
                  <c:v>10.6</c:v>
                </c:pt>
                <c:pt idx="48">
                  <c:v>10.6</c:v>
                </c:pt>
                <c:pt idx="49">
                  <c:v>10.7</c:v>
                </c:pt>
                <c:pt idx="50">
                  <c:v>10.7</c:v>
                </c:pt>
                <c:pt idx="51">
                  <c:v>10.7</c:v>
                </c:pt>
                <c:pt idx="52">
                  <c:v>10.8</c:v>
                </c:pt>
                <c:pt idx="53">
                  <c:v>10.8</c:v>
                </c:pt>
                <c:pt idx="54">
                  <c:v>10.8</c:v>
                </c:pt>
                <c:pt idx="55">
                  <c:v>10.9</c:v>
                </c:pt>
                <c:pt idx="56">
                  <c:v>10.9</c:v>
                </c:pt>
                <c:pt idx="57">
                  <c:v>10.9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11.1</c:v>
                </c:pt>
                <c:pt idx="62">
                  <c:v>11.1</c:v>
                </c:pt>
                <c:pt idx="63">
                  <c:v>11.1</c:v>
                </c:pt>
                <c:pt idx="64">
                  <c:v>11.2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kvie'!$AO$212:$AO$302</c15:sqref>
                  </c15:fullRef>
                </c:ext>
              </c:extLst>
              <c:f>('Vækstfunktion, kry kvie'!$AO$217:$AO$218,'Vækstfunktion, kry kvie'!$AO$240:$AO$302)</c:f>
              <c:numCache>
                <c:formatCode>#,##0.00</c:formatCode>
                <c:ptCount val="65"/>
                <c:pt idx="0">
                  <c:v>2.2608934708832278</c:v>
                </c:pt>
                <c:pt idx="1">
                  <c:v>2.2563931083737629</c:v>
                </c:pt>
                <c:pt idx="2">
                  <c:v>6.1358483596987927</c:v>
                </c:pt>
                <c:pt idx="3">
                  <c:v>6.1567862349580116</c:v>
                </c:pt>
                <c:pt idx="4">
                  <c:v>6.1774785699816563</c:v>
                </c:pt>
                <c:pt idx="5">
                  <c:v>6.1979286936713782</c:v>
                </c:pt>
                <c:pt idx="6">
                  <c:v>6.218139904930692</c:v>
                </c:pt>
                <c:pt idx="7">
                  <c:v>6.2381154741830409</c:v>
                </c:pt>
                <c:pt idx="8">
                  <c:v>6.2578586448520035</c:v>
                </c:pt>
                <c:pt idx="9">
                  <c:v>6.2773726348055261</c:v>
                </c:pt>
                <c:pt idx="10">
                  <c:v>6.2966606377644014</c:v>
                </c:pt>
                <c:pt idx="11">
                  <c:v>6.3157258246766546</c:v>
                </c:pt>
                <c:pt idx="12">
                  <c:v>6.3346115993140026</c:v>
                </c:pt>
                <c:pt idx="13">
                  <c:v>6.3537113523856066</c:v>
                </c:pt>
                <c:pt idx="14">
                  <c:v>6.3724854130768751</c:v>
                </c:pt>
                <c:pt idx="15">
                  <c:v>6.3909380209863196</c:v>
                </c:pt>
                <c:pt idx="16">
                  <c:v>6.4090733930322932</c:v>
                </c:pt>
                <c:pt idx="17">
                  <c:v>6.4229670144856668</c:v>
                </c:pt>
                <c:pt idx="18">
                  <c:v>6.42083266563007</c:v>
                </c:pt>
                <c:pt idx="19">
                  <c:v>6.4183868276321787</c:v>
                </c:pt>
                <c:pt idx="20">
                  <c:v>6.415634080361146</c:v>
                </c:pt>
                <c:pt idx="21">
                  <c:v>6.4125789780079003</c:v>
                </c:pt>
                <c:pt idx="22">
                  <c:v>6.4092260496451798</c:v>
                </c:pt>
                <c:pt idx="23">
                  <c:v>6.4055797997685078</c:v>
                </c:pt>
                <c:pt idx="24">
                  <c:v>6.4016447088187274</c:v>
                </c:pt>
                <c:pt idx="25">
                  <c:v>6.3974252336867758</c:v>
                </c:pt>
                <c:pt idx="26">
                  <c:v>6.3929258082014684</c:v>
                </c:pt>
                <c:pt idx="27">
                  <c:v>6.3881635428720136</c:v>
                </c:pt>
                <c:pt idx="28">
                  <c:v>6.3831304146708092</c:v>
                </c:pt>
                <c:pt idx="29">
                  <c:v>6.3720150623429559</c:v>
                </c:pt>
                <c:pt idx="30">
                  <c:v>6.3582471950554282</c:v>
                </c:pt>
                <c:pt idx="31">
                  <c:v>6.344267660757902</c:v>
                </c:pt>
                <c:pt idx="32">
                  <c:v>6.3300805395878577</c:v>
                </c:pt>
                <c:pt idx="33">
                  <c:v>6.3156898814014495</c:v>
                </c:pt>
                <c:pt idx="34">
                  <c:v>6.301099291201723</c:v>
                </c:pt>
                <c:pt idx="35">
                  <c:v>6.2863106865023681</c:v>
                </c:pt>
                <c:pt idx="36">
                  <c:v>6.2713420596021159</c:v>
                </c:pt>
                <c:pt idx="37">
                  <c:v>6.2561789619792005</c:v>
                </c:pt>
                <c:pt idx="38">
                  <c:v>6.2408228667857557</c:v>
                </c:pt>
                <c:pt idx="39">
                  <c:v>6.2252752254745918</c:v>
                </c:pt>
                <c:pt idx="40">
                  <c:v>6.2095374683400832</c:v>
                </c:pt>
                <c:pt idx="41">
                  <c:v>6.1936110050465967</c:v>
                </c:pt>
                <c:pt idx="42">
                  <c:v>6.1774972251442506</c:v>
                </c:pt>
                <c:pt idx="43">
                  <c:v>6.1612185321743809</c:v>
                </c:pt>
                <c:pt idx="44">
                  <c:v>6.1447560653581137</c:v>
                </c:pt>
                <c:pt idx="45">
                  <c:v>6.1281112060801535</c:v>
                </c:pt>
                <c:pt idx="46">
                  <c:v>6.1112853706253265</c:v>
                </c:pt>
                <c:pt idx="47">
                  <c:v>6.0942800163259108</c:v>
                </c:pt>
                <c:pt idx="48">
                  <c:v>6.0770966409749283</c:v>
                </c:pt>
                <c:pt idx="49">
                  <c:v>6.0597619344596376</c:v>
                </c:pt>
                <c:pt idx="50">
                  <c:v>6.0422530055133432</c:v>
                </c:pt>
                <c:pt idx="51">
                  <c:v>6.024571445954483</c:v>
                </c:pt>
                <c:pt idx="52">
                  <c:v>6.0067188861595895</c:v>
                </c:pt>
                <c:pt idx="53">
                  <c:v>5.9886969945253519</c:v>
                </c:pt>
                <c:pt idx="54">
                  <c:v>5.9705354876158498</c:v>
                </c:pt>
                <c:pt idx="55">
                  <c:v>5.9522086838843924</c:v>
                </c:pt>
                <c:pt idx="56">
                  <c:v>5.9337183401237166</c:v>
                </c:pt>
                <c:pt idx="57">
                  <c:v>5.9150662494015673</c:v>
                </c:pt>
                <c:pt idx="58">
                  <c:v>5.8962542405659173</c:v>
                </c:pt>
                <c:pt idx="59">
                  <c:v>5.8773146884827492</c:v>
                </c:pt>
                <c:pt idx="60">
                  <c:v>5.8582194757000083</c:v>
                </c:pt>
                <c:pt idx="61">
                  <c:v>5.8389705143004704</c:v>
                </c:pt>
                <c:pt idx="62">
                  <c:v>5.8195697505428017</c:v>
                </c:pt>
                <c:pt idx="63">
                  <c:v>5.800019164405656</c:v>
                </c:pt>
                <c:pt idx="64">
                  <c:v>5.7803534394141325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8-4371-B216-B17E72375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Model</a:t>
            </a:r>
            <a:r>
              <a:rPr lang="da-DK" baseline="0"/>
              <a:t> m2 til dyr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3882929326065805E-2"/>
          <c:y val="0.17516254555964872"/>
          <c:w val="0.95400586886125915"/>
          <c:h val="0.61388943925182793"/>
        </c:manualLayout>
      </c:layout>
      <c:lineChart>
        <c:grouping val="standard"/>
        <c:varyColors val="0"/>
        <c:ser>
          <c:idx val="0"/>
          <c:order val="0"/>
          <c:tx>
            <c:v>hol tyr, gns m2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hol'!$AI$3:$AI$335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2.1999999999999957</c:v>
                </c:pt>
                <c:pt idx="108">
                  <c:v>2.1999999999999957</c:v>
                </c:pt>
                <c:pt idx="109">
                  <c:v>2.1999999999999957</c:v>
                </c:pt>
                <c:pt idx="110">
                  <c:v>2.2090090090090047</c:v>
                </c:pt>
                <c:pt idx="111">
                  <c:v>2.2178571428571385</c:v>
                </c:pt>
                <c:pt idx="112">
                  <c:v>2.2265486725663672</c:v>
                </c:pt>
                <c:pt idx="113">
                  <c:v>2.235087719298241</c:v>
                </c:pt>
                <c:pt idx="114">
                  <c:v>2.2434782608695607</c:v>
                </c:pt>
                <c:pt idx="115">
                  <c:v>2.25172413793103</c:v>
                </c:pt>
                <c:pt idx="116">
                  <c:v>2.2598290598290554</c:v>
                </c:pt>
                <c:pt idx="117">
                  <c:v>2.2677966101694871</c:v>
                </c:pt>
                <c:pt idx="118">
                  <c:v>2.2756302521008358</c:v>
                </c:pt>
                <c:pt idx="119">
                  <c:v>2.2833333333333288</c:v>
                </c:pt>
                <c:pt idx="120">
                  <c:v>2.2909090909090861</c:v>
                </c:pt>
                <c:pt idx="121">
                  <c:v>2.2983606557376999</c:v>
                </c:pt>
                <c:pt idx="122">
                  <c:v>2.3056910569105642</c:v>
                </c:pt>
                <c:pt idx="123">
                  <c:v>2.3129032258064468</c:v>
                </c:pt>
                <c:pt idx="124">
                  <c:v>2.319999999999995</c:v>
                </c:pt>
                <c:pt idx="125">
                  <c:v>2.3269841269841218</c:v>
                </c:pt>
                <c:pt idx="126">
                  <c:v>2.3338582677165305</c:v>
                </c:pt>
                <c:pt idx="127">
                  <c:v>2.3406249999999948</c:v>
                </c:pt>
                <c:pt idx="128">
                  <c:v>2.347286821705421</c:v>
                </c:pt>
                <c:pt idx="129">
                  <c:v>2.3538461538461486</c:v>
                </c:pt>
                <c:pt idx="130">
                  <c:v>2.3603053435114449</c:v>
                </c:pt>
                <c:pt idx="131">
                  <c:v>2.3666666666666614</c:v>
                </c:pt>
                <c:pt idx="132">
                  <c:v>2.3729323308270622</c:v>
                </c:pt>
                <c:pt idx="133">
                  <c:v>2.3791044776119348</c:v>
                </c:pt>
                <c:pt idx="134">
                  <c:v>2.3851851851851795</c:v>
                </c:pt>
                <c:pt idx="135">
                  <c:v>2.3911764705882299</c:v>
                </c:pt>
                <c:pt idx="136">
                  <c:v>2.3970802919707972</c:v>
                </c:pt>
                <c:pt idx="137">
                  <c:v>2.4028985507246321</c:v>
                </c:pt>
                <c:pt idx="138">
                  <c:v>2.4086330935251743</c:v>
                </c:pt>
                <c:pt idx="139">
                  <c:v>2.4142857142857088</c:v>
                </c:pt>
                <c:pt idx="140">
                  <c:v>2.4198581560283632</c:v>
                </c:pt>
                <c:pt idx="141">
                  <c:v>2.4253521126760504</c:v>
                </c:pt>
                <c:pt idx="142">
                  <c:v>2.4307692307692248</c:v>
                </c:pt>
                <c:pt idx="143">
                  <c:v>2.4361111111111051</c:v>
                </c:pt>
                <c:pt idx="144">
                  <c:v>2.4413793103448218</c:v>
                </c:pt>
                <c:pt idx="145">
                  <c:v>2.4465753424657475</c:v>
                </c:pt>
                <c:pt idx="146">
                  <c:v>2.4517006802721029</c:v>
                </c:pt>
                <c:pt idx="147">
                  <c:v>2.456756756756751</c:v>
                </c:pt>
                <c:pt idx="148">
                  <c:v>2.4617449664429469</c:v>
                </c:pt>
                <c:pt idx="149">
                  <c:v>2.4666666666666606</c:v>
                </c:pt>
                <c:pt idx="150">
                  <c:v>2.4715231788079408</c:v>
                </c:pt>
                <c:pt idx="151">
                  <c:v>2.476315789473678</c:v>
                </c:pt>
                <c:pt idx="152">
                  <c:v>2.4810457516339808</c:v>
                </c:pt>
                <c:pt idx="153">
                  <c:v>2.4857142857142795</c:v>
                </c:pt>
                <c:pt idx="154">
                  <c:v>2.490322580645155</c:v>
                </c:pt>
                <c:pt idx="155">
                  <c:v>2.4948717948717887</c:v>
                </c:pt>
                <c:pt idx="156">
                  <c:v>2.4993630573248344</c:v>
                </c:pt>
                <c:pt idx="157">
                  <c:v>2.5037974683544242</c:v>
                </c:pt>
                <c:pt idx="158">
                  <c:v>2.5081761006289245</c:v>
                </c:pt>
                <c:pt idx="159">
                  <c:v>2.5124999999999935</c:v>
                </c:pt>
                <c:pt idx="160">
                  <c:v>2.5167701863353975</c:v>
                </c:pt>
                <c:pt idx="161">
                  <c:v>2.5209876543209813</c:v>
                </c:pt>
                <c:pt idx="162">
                  <c:v>2.5251533742331222</c:v>
                </c:pt>
                <c:pt idx="163">
                  <c:v>2.5292682926829202</c:v>
                </c:pt>
                <c:pt idx="164">
                  <c:v>2.533333333333327</c:v>
                </c:pt>
                <c:pt idx="165">
                  <c:v>2.5373493975903547</c:v>
                </c:pt>
                <c:pt idx="166">
                  <c:v>2.5413173652694545</c:v>
                </c:pt>
                <c:pt idx="167">
                  <c:v>2.5452380952380884</c:v>
                </c:pt>
                <c:pt idx="168">
                  <c:v>2.5491124260354963</c:v>
                </c:pt>
                <c:pt idx="169">
                  <c:v>2.5529411764705814</c:v>
                </c:pt>
                <c:pt idx="170">
                  <c:v>2.5567251461988239</c:v>
                </c:pt>
                <c:pt idx="171">
                  <c:v>2.560465116279063</c:v>
                </c:pt>
                <c:pt idx="172">
                  <c:v>2.5641618497109757</c:v>
                </c:pt>
                <c:pt idx="173">
                  <c:v>2.5678160919540161</c:v>
                </c:pt>
                <c:pt idx="174">
                  <c:v>2.5714285714285645</c:v>
                </c:pt>
                <c:pt idx="175">
                  <c:v>2.5749999999999931</c:v>
                </c:pt>
                <c:pt idx="176">
                  <c:v>2.5785310734463209</c:v>
                </c:pt>
                <c:pt idx="177">
                  <c:v>2.5820224719101055</c:v>
                </c:pt>
                <c:pt idx="178">
                  <c:v>2.5854748603351885</c:v>
                </c:pt>
                <c:pt idx="179">
                  <c:v>2.5955555555555487</c:v>
                </c:pt>
                <c:pt idx="180">
                  <c:v>2.6055248618784459</c:v>
                </c:pt>
                <c:pt idx="181">
                  <c:v>2.6153846153846083</c:v>
                </c:pt>
                <c:pt idx="182">
                  <c:v>2.6251366120218504</c:v>
                </c:pt>
                <c:pt idx="183">
                  <c:v>2.634782608695645</c:v>
                </c:pt>
                <c:pt idx="184">
                  <c:v>2.6443243243243169</c:v>
                </c:pt>
                <c:pt idx="185">
                  <c:v>2.6537634408602075</c:v>
                </c:pt>
                <c:pt idx="186">
                  <c:v>2.6631016042780673</c:v>
                </c:pt>
                <c:pt idx="187">
                  <c:v>2.6723404255319072</c:v>
                </c:pt>
                <c:pt idx="188">
                  <c:v>2.6814814814814736</c:v>
                </c:pt>
                <c:pt idx="189">
                  <c:v>2.6905263157894659</c:v>
                </c:pt>
                <c:pt idx="190">
                  <c:v>2.6994764397905682</c:v>
                </c:pt>
                <c:pt idx="191">
                  <c:v>2.7083333333333255</c:v>
                </c:pt>
                <c:pt idx="192">
                  <c:v>2.7170984455958473</c:v>
                </c:pt>
                <c:pt idx="193">
                  <c:v>2.7257731958762808</c:v>
                </c:pt>
                <c:pt idx="194">
                  <c:v>2.7343589743589662</c:v>
                </c:pt>
                <c:pt idx="195">
                  <c:v>2.7428571428571349</c:v>
                </c:pt>
                <c:pt idx="196">
                  <c:v>2.751269035532987</c:v>
                </c:pt>
                <c:pt idx="197">
                  <c:v>2.7595959595959516</c:v>
                </c:pt>
                <c:pt idx="198">
                  <c:v>2.7678391959798914</c:v>
                </c:pt>
                <c:pt idx="199">
                  <c:v>2.7759999999999918</c:v>
                </c:pt>
                <c:pt idx="200">
                  <c:v>2.7840796019900416</c:v>
                </c:pt>
                <c:pt idx="201">
                  <c:v>2.7920792079207835</c:v>
                </c:pt>
                <c:pt idx="202">
                  <c:v>2.7999999999999914</c:v>
                </c:pt>
                <c:pt idx="203">
                  <c:v>2.8078431372548933</c:v>
                </c:pt>
                <c:pt idx="204">
                  <c:v>2.8156097560975524</c:v>
                </c:pt>
                <c:pt idx="205">
                  <c:v>2.8233009708737775</c:v>
                </c:pt>
                <c:pt idx="206">
                  <c:v>2.8309178743961265</c:v>
                </c:pt>
                <c:pt idx="207">
                  <c:v>2.8384615384615297</c:v>
                </c:pt>
                <c:pt idx="208">
                  <c:v>2.845933014354058</c:v>
                </c:pt>
                <c:pt idx="209">
                  <c:v>2.8533333333333242</c:v>
                </c:pt>
                <c:pt idx="210">
                  <c:v>2.8606635071089959</c:v>
                </c:pt>
                <c:pt idx="211">
                  <c:v>2.8679245283018777</c:v>
                </c:pt>
                <c:pt idx="212">
                  <c:v>2.8751173708920095</c:v>
                </c:pt>
                <c:pt idx="213">
                  <c:v>2.8822429906541962</c:v>
                </c:pt>
                <c:pt idx="214">
                  <c:v>2.8893023255813861</c:v>
                </c:pt>
                <c:pt idx="215">
                  <c:v>2.896296296296287</c:v>
                </c:pt>
                <c:pt idx="216">
                  <c:v>2.9032258064516037</c:v>
                </c:pt>
                <c:pt idx="217">
                  <c:v>2.9100917431192568</c:v>
                </c:pt>
                <c:pt idx="218">
                  <c:v>2.9168949771689401</c:v>
                </c:pt>
                <c:pt idx="219">
                  <c:v>2.923636363636354</c:v>
                </c:pt>
                <c:pt idx="220">
                  <c:v>2.9303167420814384</c:v>
                </c:pt>
                <c:pt idx="221">
                  <c:v>2.9369369369369274</c:v>
                </c:pt>
                <c:pt idx="222">
                  <c:v>2.9434977578475237</c:v>
                </c:pt>
                <c:pt idx="223">
                  <c:v>2.94999999999999</c:v>
                </c:pt>
                <c:pt idx="224">
                  <c:v>2.9564444444444344</c:v>
                </c:pt>
                <c:pt idx="225">
                  <c:v>2.9628318584070699</c:v>
                </c:pt>
                <c:pt idx="226">
                  <c:v>2.9691629955947034</c:v>
                </c:pt>
                <c:pt idx="227">
                  <c:v>2.9754385964912178</c:v>
                </c:pt>
                <c:pt idx="228">
                  <c:v>2.9816593886462779</c:v>
                </c:pt>
                <c:pt idx="229">
                  <c:v>2.9878260869565114</c:v>
                </c:pt>
                <c:pt idx="230">
                  <c:v>2.9939393939393839</c:v>
                </c:pt>
                <c:pt idx="231">
                  <c:v>2.9999999999999898</c:v>
                </c:pt>
                <c:pt idx="232">
                  <c:v>3.0060085836909769</c:v>
                </c:pt>
                <c:pt idx="233">
                  <c:v>3.0119658119658017</c:v>
                </c:pt>
                <c:pt idx="234">
                  <c:v>3.0178723404255217</c:v>
                </c:pt>
                <c:pt idx="235">
                  <c:v>3.0237288135593117</c:v>
                </c:pt>
                <c:pt idx="236">
                  <c:v>3.0295358649788926</c:v>
                </c:pt>
                <c:pt idx="237">
                  <c:v>3.035294117647048</c:v>
                </c:pt>
                <c:pt idx="238">
                  <c:v>3.0410041841004078</c:v>
                </c:pt>
                <c:pt idx="239">
                  <c:v>3.0466666666666558</c:v>
                </c:pt>
                <c:pt idx="240">
                  <c:v>3.0522821576763377</c:v>
                </c:pt>
                <c:pt idx="241">
                  <c:v>3.0578512396694109</c:v>
                </c:pt>
                <c:pt idx="242">
                  <c:v>3.0633744855966971</c:v>
                </c:pt>
                <c:pt idx="243">
                  <c:v>3.0688524590163824</c:v>
                </c:pt>
                <c:pt idx="244">
                  <c:v>3.0742857142857032</c:v>
                </c:pt>
                <c:pt idx="245">
                  <c:v>3.0796747967479563</c:v>
                </c:pt>
                <c:pt idx="246">
                  <c:v>3.0850202429149687</c:v>
                </c:pt>
                <c:pt idx="247">
                  <c:v>3.0903225806451502</c:v>
                </c:pt>
                <c:pt idx="248">
                  <c:v>3.0955823293172577</c:v>
                </c:pt>
                <c:pt idx="249">
                  <c:v>3.1007999999999889</c:v>
                </c:pt>
                <c:pt idx="250">
                  <c:v>3.1059760956175189</c:v>
                </c:pt>
                <c:pt idx="251">
                  <c:v>3.1111111111110996</c:v>
                </c:pt>
                <c:pt idx="252">
                  <c:v>3.1162055335968266</c:v>
                </c:pt>
                <c:pt idx="253">
                  <c:v>3.1212598425196738</c:v>
                </c:pt>
                <c:pt idx="254">
                  <c:v>3.1262745098039102</c:v>
                </c:pt>
                <c:pt idx="255">
                  <c:v>3.1312499999999885</c:v>
                </c:pt>
                <c:pt idx="256">
                  <c:v>3.136186770428004</c:v>
                </c:pt>
                <c:pt idx="257">
                  <c:v>3.1410852713178179</c:v>
                </c:pt>
                <c:pt idx="258">
                  <c:v>3.1459459459459342</c:v>
                </c:pt>
                <c:pt idx="259">
                  <c:v>3.1507692307692192</c:v>
                </c:pt>
                <c:pt idx="260">
                  <c:v>3.1555555555555439</c:v>
                </c:pt>
                <c:pt idx="261">
                  <c:v>3.1603053435114385</c:v>
                </c:pt>
                <c:pt idx="262">
                  <c:v>3.1650190114068324</c:v>
                </c:pt>
                <c:pt idx="263">
                  <c:v>3.1696969696969579</c:v>
                </c:pt>
                <c:pt idx="264">
                  <c:v>3.1743396226414977</c:v>
                </c:pt>
                <c:pt idx="265">
                  <c:v>3.1789473684210408</c:v>
                </c:pt>
                <c:pt idx="266">
                  <c:v>3.1835205992509246</c:v>
                </c:pt>
                <c:pt idx="267">
                  <c:v>3.1880597014925254</c:v>
                </c:pt>
                <c:pt idx="268">
                  <c:v>3.1925650557620697</c:v>
                </c:pt>
                <c:pt idx="269">
                  <c:v>3.1970370370370249</c:v>
                </c:pt>
                <c:pt idx="270">
                  <c:v>3.2014760147601353</c:v>
                </c:pt>
                <c:pt idx="271">
                  <c:v>3.2058823529411642</c:v>
                </c:pt>
                <c:pt idx="272">
                  <c:v>3.210256410256398</c:v>
                </c:pt>
                <c:pt idx="273">
                  <c:v>3.2145985401459733</c:v>
                </c:pt>
                <c:pt idx="274">
                  <c:v>3.2189090909090785</c:v>
                </c:pt>
                <c:pt idx="275">
                  <c:v>3.2231884057970892</c:v>
                </c:pt>
                <c:pt idx="276">
                  <c:v>3.2274368231046808</c:v>
                </c:pt>
                <c:pt idx="277">
                  <c:v>3.2316546762589806</c:v>
                </c:pt>
                <c:pt idx="278">
                  <c:v>3.2358422939067975</c:v>
                </c:pt>
                <c:pt idx="279">
                  <c:v>3.2399999999999878</c:v>
                </c:pt>
                <c:pt idx="280">
                  <c:v>3.244128113878991</c:v>
                </c:pt>
                <c:pt idx="281">
                  <c:v>3.2482269503545975</c:v>
                </c:pt>
                <c:pt idx="282">
                  <c:v>3.2522968197879734</c:v>
                </c:pt>
                <c:pt idx="283">
                  <c:v>3.2563380281690013</c:v>
                </c:pt>
                <c:pt idx="284">
                  <c:v>3.2603508771929697</c:v>
                </c:pt>
                <c:pt idx="285">
                  <c:v>3.2643356643356518</c:v>
                </c:pt>
                <c:pt idx="286">
                  <c:v>3.2682926829268166</c:v>
                </c:pt>
                <c:pt idx="287">
                  <c:v>3.2722222222222097</c:v>
                </c:pt>
                <c:pt idx="288">
                  <c:v>3.2761245674740356</c:v>
                </c:pt>
                <c:pt idx="289">
                  <c:v>3.2799999999999874</c:v>
                </c:pt>
                <c:pt idx="290">
                  <c:v>3.2838487972508461</c:v>
                </c:pt>
                <c:pt idx="291">
                  <c:v>3.2876712328766993</c:v>
                </c:pt>
                <c:pt idx="292">
                  <c:v>3.291467576791796</c:v>
                </c:pt>
                <c:pt idx="293">
                  <c:v>3.2952380952380822</c:v>
                </c:pt>
                <c:pt idx="294">
                  <c:v>3.2989830508474447</c:v>
                </c:pt>
                <c:pt idx="295">
                  <c:v>3.3027027027026898</c:v>
                </c:pt>
                <c:pt idx="296">
                  <c:v>3.3063973063972933</c:v>
                </c:pt>
                <c:pt idx="297">
                  <c:v>3.3100671140939468</c:v>
                </c:pt>
                <c:pt idx="298">
                  <c:v>3.3137123745819266</c:v>
                </c:pt>
                <c:pt idx="299">
                  <c:v>3.3173333333333201</c:v>
                </c:pt>
                <c:pt idx="300">
                  <c:v>3.3209302325581262</c:v>
                </c:pt>
                <c:pt idx="301">
                  <c:v>3.3245033112582649</c:v>
                </c:pt>
                <c:pt idx="302">
                  <c:v>3.3280528052805147</c:v>
                </c:pt>
                <c:pt idx="303">
                  <c:v>3.3315789473684077</c:v>
                </c:pt>
                <c:pt idx="304">
                  <c:v>3.3350819672131014</c:v>
                </c:pt>
                <c:pt idx="305">
                  <c:v>3.3385620915032548</c:v>
                </c:pt>
                <c:pt idx="306">
                  <c:v>3.3420195439739282</c:v>
                </c:pt>
                <c:pt idx="307">
                  <c:v>3.3454545454545324</c:v>
                </c:pt>
                <c:pt idx="308">
                  <c:v>3.3488673139158451</c:v>
                </c:pt>
                <c:pt idx="309">
                  <c:v>3.3522580645161169</c:v>
                </c:pt>
                <c:pt idx="310">
                  <c:v>3.3556270096462901</c:v>
                </c:pt>
                <c:pt idx="311">
                  <c:v>3.3589743589743475</c:v>
                </c:pt>
                <c:pt idx="312">
                  <c:v>3.3623003194888064</c:v>
                </c:pt>
                <c:pt idx="313">
                  <c:v>3.3656050955413903</c:v>
                </c:pt>
                <c:pt idx="314">
                  <c:v>3.3688888888888782</c:v>
                </c:pt>
                <c:pt idx="315">
                  <c:v>3.3721518987341668</c:v>
                </c:pt>
                <c:pt idx="316">
                  <c:v>3.3753943217665516</c:v>
                </c:pt>
                <c:pt idx="317">
                  <c:v>3.3786163522012482</c:v>
                </c:pt>
                <c:pt idx="318">
                  <c:v>3.3818181818181725</c:v>
                </c:pt>
                <c:pt idx="319">
                  <c:v>3.3849999999999909</c:v>
                </c:pt>
                <c:pt idx="320">
                  <c:v>3.3881619937694616</c:v>
                </c:pt>
                <c:pt idx="321">
                  <c:v>3.3913043478260785</c:v>
                </c:pt>
                <c:pt idx="322">
                  <c:v>3.3944272445820354</c:v>
                </c:pt>
                <c:pt idx="323">
                  <c:v>3.397530864197523</c:v>
                </c:pt>
                <c:pt idx="324">
                  <c:v>3.400615384615377</c:v>
                </c:pt>
                <c:pt idx="325">
                  <c:v>3.4036809815950848</c:v>
                </c:pt>
                <c:pt idx="326">
                  <c:v>3.4067278287461704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8-4288-9218-E79480ACE551}"/>
            </c:ext>
          </c:extLst>
        </c:ser>
        <c:ser>
          <c:idx val="1"/>
          <c:order val="1"/>
          <c:tx>
            <c:v>Kryds tyr gns m2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tyr'!$AI$3:$AI$335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2.2092592592592548</c:v>
                </c:pt>
                <c:pt idx="108">
                  <c:v>2.2183486238532066</c:v>
                </c:pt>
                <c:pt idx="109">
                  <c:v>2.2272727272727231</c:v>
                </c:pt>
                <c:pt idx="110">
                  <c:v>2.2360360360360314</c:v>
                </c:pt>
                <c:pt idx="111">
                  <c:v>2.2446428571428525</c:v>
                </c:pt>
                <c:pt idx="112">
                  <c:v>2.2530973451327387</c:v>
                </c:pt>
                <c:pt idx="113">
                  <c:v>2.2614035087719255</c:v>
                </c:pt>
                <c:pt idx="114">
                  <c:v>2.2695652173912997</c:v>
                </c:pt>
                <c:pt idx="115">
                  <c:v>2.2775862068965473</c:v>
                </c:pt>
                <c:pt idx="116">
                  <c:v>2.2854700854700809</c:v>
                </c:pt>
                <c:pt idx="117">
                  <c:v>2.2932203389830463</c:v>
                </c:pt>
                <c:pt idx="118">
                  <c:v>2.3008403361344492</c:v>
                </c:pt>
                <c:pt idx="119">
                  <c:v>2.3083333333333287</c:v>
                </c:pt>
                <c:pt idx="120">
                  <c:v>2.3157024793388383</c:v>
                </c:pt>
                <c:pt idx="121">
                  <c:v>2.3229508196721262</c:v>
                </c:pt>
                <c:pt idx="122">
                  <c:v>2.3300813008130032</c:v>
                </c:pt>
                <c:pt idx="123">
                  <c:v>2.3370967741935433</c:v>
                </c:pt>
                <c:pt idx="124">
                  <c:v>2.343999999999995</c:v>
                </c:pt>
                <c:pt idx="125">
                  <c:v>2.3507936507936456</c:v>
                </c:pt>
                <c:pt idx="126">
                  <c:v>2.3574803149606249</c:v>
                </c:pt>
                <c:pt idx="127">
                  <c:v>2.3640624999999948</c:v>
                </c:pt>
                <c:pt idx="128">
                  <c:v>2.3705426356589094</c:v>
                </c:pt>
                <c:pt idx="129">
                  <c:v>2.3769230769230716</c:v>
                </c:pt>
                <c:pt idx="130">
                  <c:v>2.3832061068702237</c:v>
                </c:pt>
                <c:pt idx="131">
                  <c:v>2.3893939393939339</c:v>
                </c:pt>
                <c:pt idx="132">
                  <c:v>2.3954887218045058</c:v>
                </c:pt>
                <c:pt idx="133">
                  <c:v>2.4014925373134273</c:v>
                </c:pt>
                <c:pt idx="134">
                  <c:v>2.4074074074074021</c:v>
                </c:pt>
                <c:pt idx="135">
                  <c:v>2.4132352941176416</c:v>
                </c:pt>
                <c:pt idx="136">
                  <c:v>2.4189781021897754</c:v>
                </c:pt>
                <c:pt idx="137">
                  <c:v>2.4246376811594148</c:v>
                </c:pt>
                <c:pt idx="138">
                  <c:v>2.4302158273381238</c:v>
                </c:pt>
                <c:pt idx="139">
                  <c:v>2.4357142857142802</c:v>
                </c:pt>
                <c:pt idx="140">
                  <c:v>2.4411347517730437</c:v>
                </c:pt>
                <c:pt idx="141">
                  <c:v>2.4464788732394309</c:v>
                </c:pt>
                <c:pt idx="142">
                  <c:v>2.4517482517482461</c:v>
                </c:pt>
                <c:pt idx="143">
                  <c:v>2.4569444444444386</c:v>
                </c:pt>
                <c:pt idx="144">
                  <c:v>2.4620689655172354</c:v>
                </c:pt>
                <c:pt idx="145">
                  <c:v>2.4671232876712268</c:v>
                </c:pt>
                <c:pt idx="146">
                  <c:v>2.4721088435374092</c:v>
                </c:pt>
                <c:pt idx="147">
                  <c:v>2.4770270270270212</c:v>
                </c:pt>
                <c:pt idx="148">
                  <c:v>2.4818791946308663</c:v>
                </c:pt>
                <c:pt idx="149">
                  <c:v>2.4866666666666606</c:v>
                </c:pt>
                <c:pt idx="150">
                  <c:v>2.4913907284768153</c:v>
                </c:pt>
                <c:pt idx="151">
                  <c:v>2.4960526315789413</c:v>
                </c:pt>
                <c:pt idx="152">
                  <c:v>2.5006535947712356</c:v>
                </c:pt>
                <c:pt idx="153">
                  <c:v>2.5051948051947992</c:v>
                </c:pt>
                <c:pt idx="154">
                  <c:v>2.5096774193548326</c:v>
                </c:pt>
                <c:pt idx="155">
                  <c:v>2.5141025641025578</c:v>
                </c:pt>
                <c:pt idx="156">
                  <c:v>2.5184713375796117</c:v>
                </c:pt>
                <c:pt idx="157">
                  <c:v>2.5227848101265757</c:v>
                </c:pt>
                <c:pt idx="158">
                  <c:v>2.5270440251572261</c:v>
                </c:pt>
                <c:pt idx="159">
                  <c:v>2.5312499999999938</c:v>
                </c:pt>
                <c:pt idx="160">
                  <c:v>2.535403726708068</c:v>
                </c:pt>
                <c:pt idx="161">
                  <c:v>2.5395061728394999</c:v>
                </c:pt>
                <c:pt idx="162">
                  <c:v>2.5435582822085823</c:v>
                </c:pt>
                <c:pt idx="163">
                  <c:v>2.5475609756097497</c:v>
                </c:pt>
                <c:pt idx="164">
                  <c:v>2.5515151515151451</c:v>
                </c:pt>
                <c:pt idx="165">
                  <c:v>2.5554216867469814</c:v>
                </c:pt>
                <c:pt idx="166">
                  <c:v>2.5592814371257417</c:v>
                </c:pt>
                <c:pt idx="167">
                  <c:v>2.5630952380952317</c:v>
                </c:pt>
                <c:pt idx="168">
                  <c:v>2.566863905325437</c:v>
                </c:pt>
                <c:pt idx="169">
                  <c:v>2.5705882352941112</c:v>
                </c:pt>
                <c:pt idx="170">
                  <c:v>2.5742690058479467</c:v>
                </c:pt>
                <c:pt idx="171">
                  <c:v>2.5779069767441793</c:v>
                </c:pt>
                <c:pt idx="172">
                  <c:v>2.5815028901734038</c:v>
                </c:pt>
                <c:pt idx="173">
                  <c:v>2.5850574712643608</c:v>
                </c:pt>
                <c:pt idx="174">
                  <c:v>2.5954285714285645</c:v>
                </c:pt>
                <c:pt idx="175">
                  <c:v>2.6056818181818113</c:v>
                </c:pt>
                <c:pt idx="176">
                  <c:v>2.6158192090395409</c:v>
                </c:pt>
                <c:pt idx="177">
                  <c:v>2.6258426966292063</c:v>
                </c:pt>
                <c:pt idx="178">
                  <c:v>2.635754189944127</c:v>
                </c:pt>
                <c:pt idx="179">
                  <c:v>2.6455555555555481</c:v>
                </c:pt>
                <c:pt idx="180">
                  <c:v>2.655248618784523</c:v>
                </c:pt>
                <c:pt idx="181">
                  <c:v>2.6648351648351571</c:v>
                </c:pt>
                <c:pt idx="182">
                  <c:v>2.6743169398907027</c:v>
                </c:pt>
                <c:pt idx="183">
                  <c:v>2.6836956521739053</c:v>
                </c:pt>
                <c:pt idx="184">
                  <c:v>2.6929729729729655</c:v>
                </c:pt>
                <c:pt idx="185">
                  <c:v>2.7021505376344006</c:v>
                </c:pt>
                <c:pt idx="186">
                  <c:v>2.7112299465240564</c:v>
                </c:pt>
                <c:pt idx="187">
                  <c:v>2.7202127659574389</c:v>
                </c:pt>
                <c:pt idx="188">
                  <c:v>2.729100529100521</c:v>
                </c:pt>
                <c:pt idx="189">
                  <c:v>2.7378947368420969</c:v>
                </c:pt>
                <c:pt idx="190">
                  <c:v>2.746596858638735</c:v>
                </c:pt>
                <c:pt idx="191">
                  <c:v>2.755208333333325</c:v>
                </c:pt>
                <c:pt idx="192">
                  <c:v>2.7637305699481782</c:v>
                </c:pt>
                <c:pt idx="193">
                  <c:v>2.7721649484535997</c:v>
                </c:pt>
                <c:pt idx="194">
                  <c:v>2.7805128205128118</c:v>
                </c:pt>
                <c:pt idx="195">
                  <c:v>2.788775510204073</c:v>
                </c:pt>
                <c:pt idx="196">
                  <c:v>2.7969543147208036</c:v>
                </c:pt>
                <c:pt idx="197">
                  <c:v>2.8050505050504961</c:v>
                </c:pt>
                <c:pt idx="198">
                  <c:v>2.8130653266331569</c:v>
                </c:pt>
                <c:pt idx="199">
                  <c:v>2.8209999999999913</c:v>
                </c:pt>
                <c:pt idx="200">
                  <c:v>2.8288557213930261</c:v>
                </c:pt>
                <c:pt idx="201">
                  <c:v>2.8366336633663276</c:v>
                </c:pt>
                <c:pt idx="202">
                  <c:v>2.8443349753694491</c:v>
                </c:pt>
                <c:pt idx="203">
                  <c:v>2.8519607843137162</c:v>
                </c:pt>
                <c:pt idx="204">
                  <c:v>2.8595121951219422</c:v>
                </c:pt>
                <c:pt idx="205">
                  <c:v>2.8669902912621268</c:v>
                </c:pt>
                <c:pt idx="206">
                  <c:v>2.874396135265691</c:v>
                </c:pt>
                <c:pt idx="207">
                  <c:v>2.8817307692307597</c:v>
                </c:pt>
                <c:pt idx="208">
                  <c:v>2.8889952153109952</c:v>
                </c:pt>
                <c:pt idx="209">
                  <c:v>2.8961904761904669</c:v>
                </c:pt>
                <c:pt idx="210">
                  <c:v>2.903317535545014</c:v>
                </c:pt>
                <c:pt idx="211">
                  <c:v>2.9103773584905563</c:v>
                </c:pt>
                <c:pt idx="212">
                  <c:v>2.9173708920187695</c:v>
                </c:pt>
                <c:pt idx="213">
                  <c:v>2.9242990654205512</c:v>
                </c:pt>
                <c:pt idx="214">
                  <c:v>2.9311627906976647</c:v>
                </c:pt>
                <c:pt idx="215">
                  <c:v>2.9379629629629531</c:v>
                </c:pt>
                <c:pt idx="216">
                  <c:v>2.9447004608294831</c:v>
                </c:pt>
                <c:pt idx="217">
                  <c:v>2.9513761467889807</c:v>
                </c:pt>
                <c:pt idx="218">
                  <c:v>2.9579908675798987</c:v>
                </c:pt>
                <c:pt idx="219">
                  <c:v>2.9645454545454446</c:v>
                </c:pt>
                <c:pt idx="220">
                  <c:v>2.9710407239818903</c:v>
                </c:pt>
                <c:pt idx="221">
                  <c:v>2.9774774774774673</c:v>
                </c:pt>
                <c:pt idx="222">
                  <c:v>2.9838565022421424</c:v>
                </c:pt>
                <c:pt idx="223">
                  <c:v>2.9901785714285611</c:v>
                </c:pt>
                <c:pt idx="224">
                  <c:v>2.996444444444434</c:v>
                </c:pt>
                <c:pt idx="225">
                  <c:v>3.0026548672566267</c:v>
                </c:pt>
                <c:pt idx="226">
                  <c:v>3.0088105726872141</c:v>
                </c:pt>
                <c:pt idx="227">
                  <c:v>3.0149122807017439</c:v>
                </c:pt>
                <c:pt idx="228">
                  <c:v>3.0209606986899455</c:v>
                </c:pt>
                <c:pt idx="229">
                  <c:v>3.0269565217391197</c:v>
                </c:pt>
                <c:pt idx="230">
                  <c:v>3.0329004329004223</c:v>
                </c:pt>
                <c:pt idx="231">
                  <c:v>3.0387931034482651</c:v>
                </c:pt>
                <c:pt idx="232">
                  <c:v>3.0446351931330362</c:v>
                </c:pt>
                <c:pt idx="233">
                  <c:v>3.0504273504273396</c:v>
                </c:pt>
                <c:pt idx="234">
                  <c:v>3.0561702127659465</c:v>
                </c:pt>
                <c:pt idx="235">
                  <c:v>3.0618644067796499</c:v>
                </c:pt>
                <c:pt idx="236">
                  <c:v>3.0675105485231957</c:v>
                </c:pt>
                <c:pt idx="237">
                  <c:v>3.0731092436974681</c:v>
                </c:pt>
                <c:pt idx="238">
                  <c:v>3.0786610878660978</c:v>
                </c:pt>
                <c:pt idx="239">
                  <c:v>3.0841666666666554</c:v>
                </c:pt>
                <c:pt idx="240">
                  <c:v>3.0896265560165861</c:v>
                </c:pt>
                <c:pt idx="241">
                  <c:v>3.0950413223140383</c:v>
                </c:pt>
                <c:pt idx="242">
                  <c:v>3.1004115226337334</c:v>
                </c:pt>
                <c:pt idx="243">
                  <c:v>3.1057377049180213</c:v>
                </c:pt>
                <c:pt idx="244">
                  <c:v>3.1110204081632538</c:v>
                </c:pt>
                <c:pt idx="245">
                  <c:v>3.1162601626016144</c:v>
                </c:pt>
                <c:pt idx="246">
                  <c:v>3.121457489878531</c:v>
                </c:pt>
                <c:pt idx="247">
                  <c:v>3.1266129032257948</c:v>
                </c:pt>
                <c:pt idx="248">
                  <c:v>3.1317269076305103</c:v>
                </c:pt>
                <c:pt idx="249">
                  <c:v>3.1367999999999885</c:v>
                </c:pt>
                <c:pt idx="250">
                  <c:v>3.1418326693226977</c:v>
                </c:pt>
                <c:pt idx="251">
                  <c:v>3.1468253968253852</c:v>
                </c:pt>
                <c:pt idx="252">
                  <c:v>3.1517786561264702</c:v>
                </c:pt>
                <c:pt idx="253">
                  <c:v>3.156692913385815</c:v>
                </c:pt>
                <c:pt idx="254">
                  <c:v>3.1615686274509684</c:v>
                </c:pt>
                <c:pt idx="255">
                  <c:v>3.1664062499999881</c:v>
                </c:pt>
                <c:pt idx="256">
                  <c:v>3.1712062256809217</c:v>
                </c:pt>
                <c:pt idx="257">
                  <c:v>3.1759689922480501</c:v>
                </c:pt>
                <c:pt idx="258">
                  <c:v>3.1806949806949687</c:v>
                </c:pt>
                <c:pt idx="259">
                  <c:v>3.1853846153846033</c:v>
                </c:pt>
                <c:pt idx="260">
                  <c:v>3.190038314176233</c:v>
                </c:pt>
                <c:pt idx="261">
                  <c:v>3.1946564885496063</c:v>
                </c:pt>
                <c:pt idx="262">
                  <c:v>3.1992395437262235</c:v>
                </c:pt>
                <c:pt idx="263">
                  <c:v>3.2037878787878666</c:v>
                </c:pt>
                <c:pt idx="264">
                  <c:v>3.2083018867924404</c:v>
                </c:pt>
                <c:pt idx="265">
                  <c:v>3.2127819548872059</c:v>
                </c:pt>
                <c:pt idx="266">
                  <c:v>3.2172284644194633</c:v>
                </c:pt>
                <c:pt idx="267">
                  <c:v>3.2216417910447639</c:v>
                </c:pt>
                <c:pt idx="268">
                  <c:v>3.2260223048327012</c:v>
                </c:pt>
                <c:pt idx="269">
                  <c:v>3.2303703703703581</c:v>
                </c:pt>
                <c:pt idx="270">
                  <c:v>3.2346863468634561</c:v>
                </c:pt>
                <c:pt idx="271">
                  <c:v>3.2389705882352815</c:v>
                </c:pt>
                <c:pt idx="272">
                  <c:v>3.2432234432234308</c:v>
                </c:pt>
                <c:pt idx="273">
                  <c:v>3.2474452554744397</c:v>
                </c:pt>
                <c:pt idx="274">
                  <c:v>3.2516363636363508</c:v>
                </c:pt>
                <c:pt idx="275">
                  <c:v>3.2557971014492626</c:v>
                </c:pt>
                <c:pt idx="276">
                  <c:v>3.2599277978339223</c:v>
                </c:pt>
                <c:pt idx="277">
                  <c:v>3.2640287769784044</c:v>
                </c:pt>
                <c:pt idx="278">
                  <c:v>3.2681003584229265</c:v>
                </c:pt>
                <c:pt idx="279">
                  <c:v>3.2721428571428444</c:v>
                </c:pt>
                <c:pt idx="280">
                  <c:v>3.2761565836298803</c:v>
                </c:pt>
                <c:pt idx="281">
                  <c:v>3.2801418439716183</c:v>
                </c:pt>
                <c:pt idx="282">
                  <c:v>3.2840989399293159</c:v>
                </c:pt>
                <c:pt idx="283">
                  <c:v>3.2880281690140714</c:v>
                </c:pt>
                <c:pt idx="284">
                  <c:v>3.2919298245613904</c:v>
                </c:pt>
                <c:pt idx="285">
                  <c:v>3.2958041958041826</c:v>
                </c:pt>
                <c:pt idx="286">
                  <c:v>3.2996515679442378</c:v>
                </c:pt>
                <c:pt idx="287">
                  <c:v>3.3034722222222093</c:v>
                </c:pt>
                <c:pt idx="288">
                  <c:v>3.3072664359861461</c:v>
                </c:pt>
                <c:pt idx="289">
                  <c:v>3.3110344827586076</c:v>
                </c:pt>
                <c:pt idx="290">
                  <c:v>3.3147766323023924</c:v>
                </c:pt>
                <c:pt idx="291">
                  <c:v>3.3184931506849185</c:v>
                </c:pt>
                <c:pt idx="292">
                  <c:v>3.3221843003412839</c:v>
                </c:pt>
                <c:pt idx="293">
                  <c:v>3.3258503401360411</c:v>
                </c:pt>
                <c:pt idx="294">
                  <c:v>3.3294915254237156</c:v>
                </c:pt>
                <c:pt idx="295">
                  <c:v>3.3331081081080947</c:v>
                </c:pt>
                <c:pt idx="296">
                  <c:v>3.3367003367003232</c:v>
                </c:pt>
                <c:pt idx="297">
                  <c:v>3.3402684563758256</c:v>
                </c:pt>
                <c:pt idx="298">
                  <c:v>3.3438127090300869</c:v>
                </c:pt>
                <c:pt idx="299">
                  <c:v>3.3473333333333199</c:v>
                </c:pt>
                <c:pt idx="300">
                  <c:v>3.3508305647840397</c:v>
                </c:pt>
                <c:pt idx="301">
                  <c:v>3.3543046357615758</c:v>
                </c:pt>
                <c:pt idx="302">
                  <c:v>3.357755775577544</c:v>
                </c:pt>
                <c:pt idx="303">
                  <c:v>3.3611842105263023</c:v>
                </c:pt>
                <c:pt idx="304">
                  <c:v>3.3645901639344129</c:v>
                </c:pt>
                <c:pt idx="305">
                  <c:v>3.3679738562091375</c:v>
                </c:pt>
                <c:pt idx="306">
                  <c:v>3.3713355048859808</c:v>
                </c:pt>
                <c:pt idx="307">
                  <c:v>3.3746753246753123</c:v>
                </c:pt>
                <c:pt idx="308">
                  <c:v>3.3779935275080786</c:v>
                </c:pt>
                <c:pt idx="309">
                  <c:v>3.3812903225806337</c:v>
                </c:pt>
                <c:pt idx="310">
                  <c:v>3.3845659163987025</c:v>
                </c:pt>
                <c:pt idx="311">
                  <c:v>3.3878205128205017</c:v>
                </c:pt>
                <c:pt idx="312">
                  <c:v>3.3910543130990307</c:v>
                </c:pt>
                <c:pt idx="313">
                  <c:v>3.3942675159235565</c:v>
                </c:pt>
                <c:pt idx="314">
                  <c:v>3.3974603174603075</c:v>
                </c:pt>
                <c:pt idx="315">
                  <c:v>3.4006329113923952</c:v>
                </c:pt>
                <c:pt idx="316">
                  <c:v>3.4037854889589814</c:v>
                </c:pt>
                <c:pt idx="317">
                  <c:v>3.4069182389937018</c:v>
                </c:pt>
                <c:pt idx="318">
                  <c:v>3.4100313479623736</c:v>
                </c:pt>
                <c:pt idx="319">
                  <c:v>3.4131249999999915</c:v>
                </c:pt>
                <c:pt idx="320">
                  <c:v>3.4161993769470325</c:v>
                </c:pt>
                <c:pt idx="321">
                  <c:v>3.4192546583850856</c:v>
                </c:pt>
                <c:pt idx="322">
                  <c:v>3.422291021671819</c:v>
                </c:pt>
                <c:pt idx="323">
                  <c:v>3.4253086419753016</c:v>
                </c:pt>
                <c:pt idx="324">
                  <c:v>3.4283076923076856</c:v>
                </c:pt>
                <c:pt idx="325">
                  <c:v>3.4312883435582755</c:v>
                </c:pt>
                <c:pt idx="326">
                  <c:v>3.4342507645259874</c:v>
                </c:pt>
                <c:pt idx="327">
                  <c:v>3.4371951219512136</c:v>
                </c:pt>
                <c:pt idx="328">
                  <c:v>3.4401215805471068</c:v>
                </c:pt>
                <c:pt idx="329">
                  <c:v>3.4430303030302976</c:v>
                </c:pt>
                <c:pt idx="330">
                  <c:v>3.4459214501510522</c:v>
                </c:pt>
                <c:pt idx="331">
                  <c:v>3.4487951807228869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8-4288-9218-E79480ACE551}"/>
            </c:ext>
          </c:extLst>
        </c:ser>
        <c:ser>
          <c:idx val="2"/>
          <c:order val="2"/>
          <c:tx>
            <c:v>kryds kvie, gns m2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kvie'!$AI$3:$AI$335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2.1999999999999997</c:v>
                </c:pt>
                <c:pt idx="6">
                  <c:v>2.1999999999999997</c:v>
                </c:pt>
                <c:pt idx="7">
                  <c:v>2.1999999999999997</c:v>
                </c:pt>
                <c:pt idx="8">
                  <c:v>2.1999999999999997</c:v>
                </c:pt>
                <c:pt idx="9">
                  <c:v>2.1999999999999997</c:v>
                </c:pt>
                <c:pt idx="10">
                  <c:v>2.1999999999999997</c:v>
                </c:pt>
                <c:pt idx="11">
                  <c:v>2.1999999999999997</c:v>
                </c:pt>
                <c:pt idx="12">
                  <c:v>2.1999999999999997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2.1999999999999997</c:v>
                </c:pt>
                <c:pt idx="16">
                  <c:v>2.1999999999999997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2.2000000000000006</c:v>
                </c:pt>
                <c:pt idx="21">
                  <c:v>2.2000000000000006</c:v>
                </c:pt>
                <c:pt idx="22">
                  <c:v>2.2000000000000006</c:v>
                </c:pt>
                <c:pt idx="23">
                  <c:v>2.2000000000000006</c:v>
                </c:pt>
                <c:pt idx="24">
                  <c:v>2.2000000000000011</c:v>
                </c:pt>
                <c:pt idx="25">
                  <c:v>2.2000000000000011</c:v>
                </c:pt>
                <c:pt idx="26">
                  <c:v>2.2000000000000011</c:v>
                </c:pt>
                <c:pt idx="27">
                  <c:v>2.2000000000000011</c:v>
                </c:pt>
                <c:pt idx="28">
                  <c:v>2.2000000000000011</c:v>
                </c:pt>
                <c:pt idx="29">
                  <c:v>2.2000000000000011</c:v>
                </c:pt>
                <c:pt idx="30">
                  <c:v>2.2000000000000011</c:v>
                </c:pt>
                <c:pt idx="31">
                  <c:v>2.2000000000000011</c:v>
                </c:pt>
                <c:pt idx="32">
                  <c:v>2.2000000000000011</c:v>
                </c:pt>
                <c:pt idx="33">
                  <c:v>2.2000000000000011</c:v>
                </c:pt>
                <c:pt idx="34">
                  <c:v>2.2000000000000011</c:v>
                </c:pt>
                <c:pt idx="35">
                  <c:v>2.2000000000000011</c:v>
                </c:pt>
                <c:pt idx="36">
                  <c:v>2.2000000000000015</c:v>
                </c:pt>
                <c:pt idx="37">
                  <c:v>2.2000000000000015</c:v>
                </c:pt>
                <c:pt idx="38">
                  <c:v>2.2000000000000015</c:v>
                </c:pt>
                <c:pt idx="39">
                  <c:v>2.2000000000000015</c:v>
                </c:pt>
                <c:pt idx="40">
                  <c:v>2.2000000000000015</c:v>
                </c:pt>
                <c:pt idx="41">
                  <c:v>2.2000000000000015</c:v>
                </c:pt>
                <c:pt idx="42">
                  <c:v>2.2000000000000015</c:v>
                </c:pt>
                <c:pt idx="43">
                  <c:v>2.2000000000000015</c:v>
                </c:pt>
                <c:pt idx="44">
                  <c:v>2.2000000000000015</c:v>
                </c:pt>
                <c:pt idx="45">
                  <c:v>2.2000000000000015</c:v>
                </c:pt>
                <c:pt idx="46">
                  <c:v>2.2000000000000015</c:v>
                </c:pt>
                <c:pt idx="47">
                  <c:v>2.2000000000000015</c:v>
                </c:pt>
                <c:pt idx="48">
                  <c:v>2.2000000000000015</c:v>
                </c:pt>
                <c:pt idx="49">
                  <c:v>2.2000000000000015</c:v>
                </c:pt>
                <c:pt idx="50">
                  <c:v>2.2000000000000015</c:v>
                </c:pt>
                <c:pt idx="51">
                  <c:v>2.200000000000002</c:v>
                </c:pt>
                <c:pt idx="52">
                  <c:v>2.200000000000002</c:v>
                </c:pt>
                <c:pt idx="53">
                  <c:v>2.200000000000002</c:v>
                </c:pt>
                <c:pt idx="54">
                  <c:v>2.200000000000002</c:v>
                </c:pt>
                <c:pt idx="55">
                  <c:v>2.200000000000002</c:v>
                </c:pt>
                <c:pt idx="56">
                  <c:v>2.200000000000002</c:v>
                </c:pt>
                <c:pt idx="57">
                  <c:v>2.200000000000002</c:v>
                </c:pt>
                <c:pt idx="58">
                  <c:v>2.2000000000000015</c:v>
                </c:pt>
                <c:pt idx="59">
                  <c:v>2.2000000000000015</c:v>
                </c:pt>
                <c:pt idx="60">
                  <c:v>2.2000000000000011</c:v>
                </c:pt>
                <c:pt idx="61">
                  <c:v>2.2000000000000011</c:v>
                </c:pt>
                <c:pt idx="62">
                  <c:v>2.2000000000000006</c:v>
                </c:pt>
                <c:pt idx="63">
                  <c:v>2.2000000000000006</c:v>
                </c:pt>
                <c:pt idx="64">
                  <c:v>2.2000000000000006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2.1999999999999997</c:v>
                </c:pt>
                <c:pt idx="68">
                  <c:v>2.1999999999999997</c:v>
                </c:pt>
                <c:pt idx="69">
                  <c:v>2.1999999999999997</c:v>
                </c:pt>
                <c:pt idx="70">
                  <c:v>2.1999999999999993</c:v>
                </c:pt>
                <c:pt idx="71">
                  <c:v>2.1999999999999993</c:v>
                </c:pt>
                <c:pt idx="72">
                  <c:v>2.1999999999999993</c:v>
                </c:pt>
                <c:pt idx="73">
                  <c:v>2.1999999999999988</c:v>
                </c:pt>
                <c:pt idx="74">
                  <c:v>2.1999999999999988</c:v>
                </c:pt>
                <c:pt idx="75">
                  <c:v>2.1999999999999988</c:v>
                </c:pt>
                <c:pt idx="76">
                  <c:v>2.1999999999999984</c:v>
                </c:pt>
                <c:pt idx="77">
                  <c:v>2.1999999999999984</c:v>
                </c:pt>
                <c:pt idx="78">
                  <c:v>2.1999999999999984</c:v>
                </c:pt>
                <c:pt idx="79">
                  <c:v>2.1999999999999984</c:v>
                </c:pt>
                <c:pt idx="80">
                  <c:v>2.199999999999998</c:v>
                </c:pt>
                <c:pt idx="81">
                  <c:v>2.199999999999998</c:v>
                </c:pt>
                <c:pt idx="82">
                  <c:v>2.199999999999998</c:v>
                </c:pt>
                <c:pt idx="83">
                  <c:v>2.199999999999998</c:v>
                </c:pt>
                <c:pt idx="84">
                  <c:v>2.1999999999999975</c:v>
                </c:pt>
                <c:pt idx="85">
                  <c:v>2.1999999999999975</c:v>
                </c:pt>
                <c:pt idx="86">
                  <c:v>2.1999999999999975</c:v>
                </c:pt>
                <c:pt idx="87">
                  <c:v>2.1999999999999975</c:v>
                </c:pt>
                <c:pt idx="88">
                  <c:v>2.1999999999999971</c:v>
                </c:pt>
                <c:pt idx="89">
                  <c:v>2.1999999999999971</c:v>
                </c:pt>
                <c:pt idx="90">
                  <c:v>2.1999999999999971</c:v>
                </c:pt>
                <c:pt idx="91">
                  <c:v>2.1999999999999971</c:v>
                </c:pt>
                <c:pt idx="92">
                  <c:v>2.1999999999999971</c:v>
                </c:pt>
                <c:pt idx="93">
                  <c:v>2.1999999999999966</c:v>
                </c:pt>
                <c:pt idx="94">
                  <c:v>2.1999999999999966</c:v>
                </c:pt>
                <c:pt idx="95">
                  <c:v>2.1999999999999966</c:v>
                </c:pt>
                <c:pt idx="96">
                  <c:v>2.1999999999999966</c:v>
                </c:pt>
                <c:pt idx="97">
                  <c:v>2.1999999999999966</c:v>
                </c:pt>
                <c:pt idx="98">
                  <c:v>2.1999999999999962</c:v>
                </c:pt>
                <c:pt idx="99">
                  <c:v>2.1999999999999962</c:v>
                </c:pt>
                <c:pt idx="100">
                  <c:v>2.1999999999999962</c:v>
                </c:pt>
                <c:pt idx="101">
                  <c:v>2.1999999999999962</c:v>
                </c:pt>
                <c:pt idx="102">
                  <c:v>2.1999999999999962</c:v>
                </c:pt>
                <c:pt idx="103">
                  <c:v>2.1999999999999962</c:v>
                </c:pt>
                <c:pt idx="104">
                  <c:v>2.1999999999999957</c:v>
                </c:pt>
                <c:pt idx="105">
                  <c:v>2.1999999999999957</c:v>
                </c:pt>
                <c:pt idx="106">
                  <c:v>2.1999999999999957</c:v>
                </c:pt>
                <c:pt idx="107">
                  <c:v>2.1999999999999957</c:v>
                </c:pt>
                <c:pt idx="108">
                  <c:v>2.1999999999999957</c:v>
                </c:pt>
                <c:pt idx="109">
                  <c:v>2.1999999999999957</c:v>
                </c:pt>
                <c:pt idx="110">
                  <c:v>2.1999999999999957</c:v>
                </c:pt>
                <c:pt idx="111">
                  <c:v>2.1999999999999953</c:v>
                </c:pt>
                <c:pt idx="112">
                  <c:v>2.1999999999999953</c:v>
                </c:pt>
                <c:pt idx="113">
                  <c:v>2.1999999999999953</c:v>
                </c:pt>
                <c:pt idx="114">
                  <c:v>2.1999999999999953</c:v>
                </c:pt>
                <c:pt idx="115">
                  <c:v>2.1999999999999953</c:v>
                </c:pt>
                <c:pt idx="116">
                  <c:v>2.2085470085470038</c:v>
                </c:pt>
                <c:pt idx="117">
                  <c:v>2.2169491525423681</c:v>
                </c:pt>
                <c:pt idx="118">
                  <c:v>2.2252100840336086</c:v>
                </c:pt>
                <c:pt idx="119">
                  <c:v>2.2333333333333285</c:v>
                </c:pt>
                <c:pt idx="120">
                  <c:v>2.2413223140495822</c:v>
                </c:pt>
                <c:pt idx="121">
                  <c:v>2.2491803278688476</c:v>
                </c:pt>
                <c:pt idx="122">
                  <c:v>2.2569105691056861</c:v>
                </c:pt>
                <c:pt idx="123">
                  <c:v>2.2645161290322533</c:v>
                </c:pt>
                <c:pt idx="124">
                  <c:v>2.2719999999999949</c:v>
                </c:pt>
                <c:pt idx="125">
                  <c:v>2.2793650793650744</c:v>
                </c:pt>
                <c:pt idx="126">
                  <c:v>2.2866141732283412</c:v>
                </c:pt>
                <c:pt idx="127">
                  <c:v>2.2937499999999948</c:v>
                </c:pt>
                <c:pt idx="128">
                  <c:v>2.3007751937984442</c:v>
                </c:pt>
                <c:pt idx="129">
                  <c:v>2.3076923076923026</c:v>
                </c:pt>
                <c:pt idx="130">
                  <c:v>2.3145038167938878</c:v>
                </c:pt>
                <c:pt idx="131">
                  <c:v>2.321212121212116</c:v>
                </c:pt>
                <c:pt idx="132">
                  <c:v>2.3278195488721751</c:v>
                </c:pt>
                <c:pt idx="133">
                  <c:v>2.3343283582089498</c:v>
                </c:pt>
                <c:pt idx="134">
                  <c:v>2.3407407407407352</c:v>
                </c:pt>
                <c:pt idx="135">
                  <c:v>2.3470588235294061</c:v>
                </c:pt>
                <c:pt idx="136">
                  <c:v>2.3532846715328413</c:v>
                </c:pt>
                <c:pt idx="137">
                  <c:v>2.3594202898550667</c:v>
                </c:pt>
                <c:pt idx="138">
                  <c:v>2.3654676258992748</c:v>
                </c:pt>
                <c:pt idx="139">
                  <c:v>2.3714285714285657</c:v>
                </c:pt>
                <c:pt idx="140">
                  <c:v>2.3773049645390012</c:v>
                </c:pt>
                <c:pt idx="141">
                  <c:v>2.3830985915492899</c:v>
                </c:pt>
                <c:pt idx="142">
                  <c:v>2.3888111888111832</c:v>
                </c:pt>
                <c:pt idx="143">
                  <c:v>2.3944444444444386</c:v>
                </c:pt>
                <c:pt idx="144">
                  <c:v>2.3999999999999941</c:v>
                </c:pt>
                <c:pt idx="145">
                  <c:v>2.4054794520547884</c:v>
                </c:pt>
                <c:pt idx="146">
                  <c:v>2.4108843537414906</c:v>
                </c:pt>
                <c:pt idx="147">
                  <c:v>2.4162162162162102</c:v>
                </c:pt>
                <c:pt idx="148">
                  <c:v>2.4214765100671078</c:v>
                </c:pt>
                <c:pt idx="149">
                  <c:v>2.4266666666666605</c:v>
                </c:pt>
                <c:pt idx="150">
                  <c:v>2.4317880794701927</c:v>
                </c:pt>
                <c:pt idx="151">
                  <c:v>2.4368421052631519</c:v>
                </c:pt>
                <c:pt idx="152">
                  <c:v>2.4418300653594711</c:v>
                </c:pt>
                <c:pt idx="153">
                  <c:v>2.4467532467532407</c:v>
                </c:pt>
                <c:pt idx="154">
                  <c:v>2.4516129032258003</c:v>
                </c:pt>
                <c:pt idx="155">
                  <c:v>2.4564102564102503</c:v>
                </c:pt>
                <c:pt idx="156">
                  <c:v>2.4611464968152803</c:v>
                </c:pt>
                <c:pt idx="157">
                  <c:v>2.4658227848101202</c:v>
                </c:pt>
                <c:pt idx="158">
                  <c:v>2.4704402515723207</c:v>
                </c:pt>
                <c:pt idx="159">
                  <c:v>2.4749999999999934</c:v>
                </c:pt>
                <c:pt idx="160">
                  <c:v>2.4795031055900556</c:v>
                </c:pt>
                <c:pt idx="161">
                  <c:v>2.4839506172839441</c:v>
                </c:pt>
                <c:pt idx="162">
                  <c:v>2.4883435582822022</c:v>
                </c:pt>
                <c:pt idx="163">
                  <c:v>2.4926829268292616</c:v>
                </c:pt>
                <c:pt idx="164">
                  <c:v>2.4969696969696904</c:v>
                </c:pt>
                <c:pt idx="165">
                  <c:v>2.5012048192771017</c:v>
                </c:pt>
                <c:pt idx="166">
                  <c:v>2.5053892215568796</c:v>
                </c:pt>
                <c:pt idx="167">
                  <c:v>2.5095238095238028</c:v>
                </c:pt>
                <c:pt idx="168">
                  <c:v>2.5136094674556144</c:v>
                </c:pt>
                <c:pt idx="169">
                  <c:v>2.5176470588235227</c:v>
                </c:pt>
                <c:pt idx="170">
                  <c:v>2.5216374269005781</c:v>
                </c:pt>
                <c:pt idx="171">
                  <c:v>2.5255813953488304</c:v>
                </c:pt>
                <c:pt idx="172">
                  <c:v>2.5294797687861204</c:v>
                </c:pt>
                <c:pt idx="173">
                  <c:v>2.5333333333333266</c:v>
                </c:pt>
                <c:pt idx="174">
                  <c:v>2.5371428571428503</c:v>
                </c:pt>
                <c:pt idx="175">
                  <c:v>2.5409090909090839</c:v>
                </c:pt>
                <c:pt idx="176">
                  <c:v>2.5446327683615753</c:v>
                </c:pt>
                <c:pt idx="177">
                  <c:v>2.5483146067415663</c:v>
                </c:pt>
                <c:pt idx="178">
                  <c:v>2.5519553072625629</c:v>
                </c:pt>
                <c:pt idx="179">
                  <c:v>2.5555555555555487</c:v>
                </c:pt>
                <c:pt idx="180">
                  <c:v>2.5591160220994404</c:v>
                </c:pt>
                <c:pt idx="181">
                  <c:v>2.5626373626373558</c:v>
                </c:pt>
                <c:pt idx="182">
                  <c:v>2.5661202185792278</c:v>
                </c:pt>
                <c:pt idx="183">
                  <c:v>2.5695652173912973</c:v>
                </c:pt>
                <c:pt idx="184">
                  <c:v>2.5729729729729658</c:v>
                </c:pt>
                <c:pt idx="185">
                  <c:v>2.5763440860214981</c:v>
                </c:pt>
                <c:pt idx="186">
                  <c:v>2.5796791443850196</c:v>
                </c:pt>
                <c:pt idx="187">
                  <c:v>2.5893617021276523</c:v>
                </c:pt>
                <c:pt idx="188">
                  <c:v>2.5989417989417918</c:v>
                </c:pt>
                <c:pt idx="189">
                  <c:v>2.6084210526315714</c:v>
                </c:pt>
                <c:pt idx="190">
                  <c:v>2.6178010471204116</c:v>
                </c:pt>
                <c:pt idx="191">
                  <c:v>2.6270833333333257</c:v>
                </c:pt>
                <c:pt idx="192">
                  <c:v>2.6362694300518057</c:v>
                </c:pt>
                <c:pt idx="193">
                  <c:v>2.6453608247422609</c:v>
                </c:pt>
                <c:pt idx="194">
                  <c:v>2.6543589743589671</c:v>
                </c:pt>
                <c:pt idx="195">
                  <c:v>2.6632653061224416</c:v>
                </c:pt>
                <c:pt idx="196">
                  <c:v>2.6720812182741041</c:v>
                </c:pt>
                <c:pt idx="197">
                  <c:v>2.680808080808073</c:v>
                </c:pt>
                <c:pt idx="198">
                  <c:v>2.6894472361808965</c:v>
                </c:pt>
                <c:pt idx="199">
                  <c:v>2.697999999999992</c:v>
                </c:pt>
                <c:pt idx="200">
                  <c:v>2.7064676616915344</c:v>
                </c:pt>
                <c:pt idx="201">
                  <c:v>2.714851485148507</c:v>
                </c:pt>
                <c:pt idx="202">
                  <c:v>2.723152709359598</c:v>
                </c:pt>
                <c:pt idx="203">
                  <c:v>2.7313725490195999</c:v>
                </c:pt>
                <c:pt idx="204">
                  <c:v>2.739512195121943</c:v>
                </c:pt>
                <c:pt idx="205">
                  <c:v>2.7475728155339723</c:v>
                </c:pt>
                <c:pt idx="206">
                  <c:v>2.7555555555555471</c:v>
                </c:pt>
                <c:pt idx="207">
                  <c:v>2.76346153846153</c:v>
                </c:pt>
                <c:pt idx="208">
                  <c:v>2.7712918660286996</c:v>
                </c:pt>
                <c:pt idx="209">
                  <c:v>2.7790476190476103</c:v>
                </c:pt>
                <c:pt idx="210">
                  <c:v>2.7867298578198967</c:v>
                </c:pt>
                <c:pt idx="211">
                  <c:v>2.7943396226415009</c:v>
                </c:pt>
                <c:pt idx="212">
                  <c:v>2.8018779342722917</c:v>
                </c:pt>
                <c:pt idx="213">
                  <c:v>2.8093457943925144</c:v>
                </c:pt>
                <c:pt idx="214">
                  <c:v>2.8167441860465026</c:v>
                </c:pt>
                <c:pt idx="215">
                  <c:v>2.8240740740740651</c:v>
                </c:pt>
                <c:pt idx="216">
                  <c:v>2.831336405529945</c:v>
                </c:pt>
                <c:pt idx="217">
                  <c:v>2.8385321100917342</c:v>
                </c:pt>
                <c:pt idx="218">
                  <c:v>2.8456621004566118</c:v>
                </c:pt>
                <c:pt idx="219">
                  <c:v>2.8527272727272637</c:v>
                </c:pt>
                <c:pt idx="220">
                  <c:v>2.859728506787321</c:v>
                </c:pt>
                <c:pt idx="221">
                  <c:v>2.8666666666666574</c:v>
                </c:pt>
                <c:pt idx="222">
                  <c:v>2.8735426008968514</c:v>
                </c:pt>
                <c:pt idx="223">
                  <c:v>2.8803571428571333</c:v>
                </c:pt>
                <c:pt idx="224">
                  <c:v>2.8871111111111016</c:v>
                </c:pt>
                <c:pt idx="225">
                  <c:v>2.8938053097345038</c:v>
                </c:pt>
                <c:pt idx="226">
                  <c:v>2.9004405286343515</c:v>
                </c:pt>
                <c:pt idx="227">
                  <c:v>2.9070175438596393</c:v>
                </c:pt>
                <c:pt idx="228">
                  <c:v>2.9135371179039202</c:v>
                </c:pt>
                <c:pt idx="229">
                  <c:v>2.9199999999999902</c:v>
                </c:pt>
                <c:pt idx="230">
                  <c:v>2.9264069264069166</c:v>
                </c:pt>
                <c:pt idx="231">
                  <c:v>2.9327586206896452</c:v>
                </c:pt>
                <c:pt idx="232">
                  <c:v>2.9390557939914062</c:v>
                </c:pt>
                <c:pt idx="233">
                  <c:v>2.9452991452991353</c:v>
                </c:pt>
                <c:pt idx="234">
                  <c:v>2.9514893617021176</c:v>
                </c:pt>
                <c:pt idx="235">
                  <c:v>2.9576271186440577</c:v>
                </c:pt>
                <c:pt idx="236">
                  <c:v>2.9637130801687661</c:v>
                </c:pt>
                <c:pt idx="237">
                  <c:v>2.9697478991596538</c:v>
                </c:pt>
                <c:pt idx="238">
                  <c:v>2.9757322175732113</c:v>
                </c:pt>
                <c:pt idx="239">
                  <c:v>2.9816666666666563</c:v>
                </c:pt>
                <c:pt idx="240">
                  <c:v>2.9875518672199068</c:v>
                </c:pt>
                <c:pt idx="241">
                  <c:v>2.9933884297520557</c:v>
                </c:pt>
                <c:pt idx="242">
                  <c:v>2.9991769547325</c:v>
                </c:pt>
                <c:pt idx="243">
                  <c:v>3.0049180327868745</c:v>
                </c:pt>
                <c:pt idx="244">
                  <c:v>3.0106122448979487</c:v>
                </c:pt>
                <c:pt idx="245">
                  <c:v>3.0162601626016152</c:v>
                </c:pt>
                <c:pt idx="246">
                  <c:v>3.0218623481781268</c:v>
                </c:pt>
                <c:pt idx="247">
                  <c:v>3.027419354838699</c:v>
                </c:pt>
                <c:pt idx="248">
                  <c:v>3.0329317269076199</c:v>
                </c:pt>
                <c:pt idx="249">
                  <c:v>3.0383999999999891</c:v>
                </c:pt>
                <c:pt idx="250">
                  <c:v>3.0438247011952084</c:v>
                </c:pt>
                <c:pt idx="251">
                  <c:v>3.0492063492063384</c:v>
                </c:pt>
                <c:pt idx="252">
                  <c:v>3.0545454545454436</c:v>
                </c:pt>
                <c:pt idx="253">
                  <c:v>3.0598425196850285</c:v>
                </c:pt>
                <c:pt idx="254">
                  <c:v>3.065098039215675</c:v>
                </c:pt>
                <c:pt idx="255">
                  <c:v>3.0703124999999889</c:v>
                </c:pt>
                <c:pt idx="256">
                  <c:v>3.0754863813229463</c:v>
                </c:pt>
                <c:pt idx="257">
                  <c:v>3.0806201550387486</c:v>
                </c:pt>
                <c:pt idx="258">
                  <c:v>3.0857142857142743</c:v>
                </c:pt>
                <c:pt idx="259">
                  <c:v>3.0907692307692196</c:v>
                </c:pt>
                <c:pt idx="260">
                  <c:v>3.0957854406130156</c:v>
                </c:pt>
                <c:pt idx="261">
                  <c:v>3.1007633587786145</c:v>
                </c:pt>
                <c:pt idx="262">
                  <c:v>3.1057034220532205</c:v>
                </c:pt>
                <c:pt idx="263">
                  <c:v>3.1106060606060493</c:v>
                </c:pt>
                <c:pt idx="264">
                  <c:v>3.115471698113196</c:v>
                </c:pt>
                <c:pt idx="265">
                  <c:v>3.1203007518796877</c:v>
                </c:pt>
                <c:pt idx="266">
                  <c:v>3.1250936329587899</c:v>
                </c:pt>
                <c:pt idx="267">
                  <c:v>3.1298507462686449</c:v>
                </c:pt>
                <c:pt idx="268">
                  <c:v>3.1345724907063079</c:v>
                </c:pt>
                <c:pt idx="269">
                  <c:v>3.1392592592592474</c:v>
                </c:pt>
                <c:pt idx="270">
                  <c:v>3.1439114391143792</c:v>
                </c:pt>
                <c:pt idx="271">
                  <c:v>3.1485294117646943</c:v>
                </c:pt>
                <c:pt idx="272">
                  <c:v>3.1531135531135415</c:v>
                </c:pt>
                <c:pt idx="273">
                  <c:v>3.1576642335766305</c:v>
                </c:pt>
                <c:pt idx="274">
                  <c:v>3.1621818181818062</c:v>
                </c:pt>
                <c:pt idx="275">
                  <c:v>3.1666666666666545</c:v>
                </c:pt>
                <c:pt idx="276">
                  <c:v>3.1711191335739954</c:v>
                </c:pt>
                <c:pt idx="277">
                  <c:v>3.1755395683453118</c:v>
                </c:pt>
                <c:pt idx="278">
                  <c:v>3.1799283154121745</c:v>
                </c:pt>
                <c:pt idx="279">
                  <c:v>3.1842857142857022</c:v>
                </c:pt>
                <c:pt idx="280">
                  <c:v>3.1886120996441161</c:v>
                </c:pt>
                <c:pt idx="281">
                  <c:v>3.1929078014184276</c:v>
                </c:pt>
                <c:pt idx="282">
                  <c:v>3.197173144876313</c:v>
                </c:pt>
                <c:pt idx="283">
                  <c:v>3.2014084507042133</c:v>
                </c:pt>
                <c:pt idx="284">
                  <c:v>3.2056140350877071</c:v>
                </c:pt>
                <c:pt idx="285">
                  <c:v>3.2097902097901976</c:v>
                </c:pt>
                <c:pt idx="286">
                  <c:v>3.2139372822299528</c:v>
                </c:pt>
                <c:pt idx="287">
                  <c:v>3.218055555555543</c:v>
                </c:pt>
                <c:pt idx="288">
                  <c:v>3.2221453287197108</c:v>
                </c:pt>
                <c:pt idx="289">
                  <c:v>3.2262068965517119</c:v>
                </c:pt>
                <c:pt idx="290">
                  <c:v>3.2302405498281663</c:v>
                </c:pt>
                <c:pt idx="291">
                  <c:v>3.2342465753424534</c:v>
                </c:pt>
                <c:pt idx="292">
                  <c:v>3.2382252559726838</c:v>
                </c:pt>
                <c:pt idx="293">
                  <c:v>3.2421768707482865</c:v>
                </c:pt>
                <c:pt idx="294">
                  <c:v>3.2461016949152417</c:v>
                </c:pt>
                <c:pt idx="295">
                  <c:v>3.2499999999999871</c:v>
                </c:pt>
                <c:pt idx="296">
                  <c:v>3.2538720538720414</c:v>
                </c:pt>
                <c:pt idx="297">
                  <c:v>3.2577181208053565</c:v>
                </c:pt>
                <c:pt idx="298">
                  <c:v>3.2615384615384486</c:v>
                </c:pt>
                <c:pt idx="299">
                  <c:v>3.2653333333333205</c:v>
                </c:pt>
                <c:pt idx="300">
                  <c:v>3.2691029900332098</c:v>
                </c:pt>
                <c:pt idx="301">
                  <c:v>3.2728476821191923</c:v>
                </c:pt>
                <c:pt idx="302">
                  <c:v>3.2765676567656636</c:v>
                </c:pt>
                <c:pt idx="303">
                  <c:v>3.2802631578947241</c:v>
                </c:pt>
                <c:pt idx="304">
                  <c:v>3.2839344262294952</c:v>
                </c:pt>
                <c:pt idx="305">
                  <c:v>3.2875816993463922</c:v>
                </c:pt>
                <c:pt idx="306">
                  <c:v>3.2912052117263713</c:v>
                </c:pt>
                <c:pt idx="307">
                  <c:v>3.2948051948051815</c:v>
                </c:pt>
                <c:pt idx="308">
                  <c:v>3.2983818770226407</c:v>
                </c:pt>
                <c:pt idx="309">
                  <c:v>3.3019354838709547</c:v>
                </c:pt>
                <c:pt idx="310">
                  <c:v>3.3054662379421091</c:v>
                </c:pt>
                <c:pt idx="311">
                  <c:v>3.3089743589743463</c:v>
                </c:pt>
                <c:pt idx="312">
                  <c:v>3.3124600638977513</c:v>
                </c:pt>
                <c:pt idx="313">
                  <c:v>3.3159235668789688</c:v>
                </c:pt>
                <c:pt idx="314">
                  <c:v>3.3193650793650673</c:v>
                </c:pt>
                <c:pt idx="315">
                  <c:v>3.3227848101265707</c:v>
                </c:pt>
                <c:pt idx="316">
                  <c:v>3.3261829652996733</c:v>
                </c:pt>
                <c:pt idx="317">
                  <c:v>3.3295597484276622</c:v>
                </c:pt>
                <c:pt idx="318">
                  <c:v>3.3329153605015569</c:v>
                </c:pt>
                <c:pt idx="319">
                  <c:v>3.3362499999999899</c:v>
                </c:pt>
                <c:pt idx="320">
                  <c:v>3.3395638629283391</c:v>
                </c:pt>
                <c:pt idx="321">
                  <c:v>3.3428571428571332</c:v>
                </c:pt>
                <c:pt idx="322">
                  <c:v>3.3461300309597428</c:v>
                </c:pt>
                <c:pt idx="323">
                  <c:v>3.3493827160493739</c:v>
                </c:pt>
                <c:pt idx="324">
                  <c:v>3.3526153846153761</c:v>
                </c:pt>
                <c:pt idx="325">
                  <c:v>3.3558282208588874</c:v>
                </c:pt>
                <c:pt idx="326">
                  <c:v>3.3590214067278206</c:v>
                </c:pt>
                <c:pt idx="327">
                  <c:v>3.3621951219512116</c:v>
                </c:pt>
                <c:pt idx="328">
                  <c:v>3.3653495440729411</c:v>
                </c:pt>
                <c:pt idx="329">
                  <c:v>3.3684848484848415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8-4288-9218-E79480ACE551}"/>
            </c:ext>
          </c:extLst>
        </c:ser>
        <c:ser>
          <c:idx val="3"/>
          <c:order val="3"/>
          <c:tx>
            <c:v>hol tyr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hol'!$AG$3:$AG$335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4.4000000000000004</c:v>
                </c:pt>
                <c:pt idx="180">
                  <c:v>4.4000000000000004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4.4000000000000004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E8-4288-9218-E79480ACE551}"/>
            </c:ext>
          </c:extLst>
        </c:ser>
        <c:ser>
          <c:idx val="4"/>
          <c:order val="4"/>
          <c:tx>
            <c:v>kryds tyr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tyr'!$AG$3:$AG$335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4.4000000000000004</c:v>
                </c:pt>
                <c:pt idx="175">
                  <c:v>4.4000000000000004</c:v>
                </c:pt>
                <c:pt idx="176">
                  <c:v>4.4000000000000004</c:v>
                </c:pt>
                <c:pt idx="177">
                  <c:v>4.4000000000000004</c:v>
                </c:pt>
                <c:pt idx="178">
                  <c:v>4.4000000000000004</c:v>
                </c:pt>
                <c:pt idx="179">
                  <c:v>4.4000000000000004</c:v>
                </c:pt>
                <c:pt idx="180">
                  <c:v>4.4000000000000004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4.4000000000000004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4.4000000000000004</c:v>
                </c:pt>
                <c:pt idx="328">
                  <c:v>4.4000000000000004</c:v>
                </c:pt>
                <c:pt idx="329">
                  <c:v>4.4000000000000004</c:v>
                </c:pt>
                <c:pt idx="330">
                  <c:v>4.4000000000000004</c:v>
                </c:pt>
                <c:pt idx="331">
                  <c:v>4.4000000000000004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E8-4288-9218-E79480ACE551}"/>
            </c:ext>
          </c:extLst>
        </c:ser>
        <c:ser>
          <c:idx val="5"/>
          <c:order val="5"/>
          <c:tx>
            <c:v>kryds kvie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hol'!$B$3:$B$335</c:f>
              <c:numCache>
                <c:formatCode>0.0</c:formatCode>
                <c:ptCount val="333"/>
                <c:pt idx="0">
                  <c:v>1.3</c:v>
                </c:pt>
                <c:pt idx="1">
                  <c:v>1.3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1.7</c:v>
                </c:pt>
                <c:pt idx="12">
                  <c:v>1.7</c:v>
                </c:pt>
                <c:pt idx="13">
                  <c:v>1.7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2.1</c:v>
                </c:pt>
                <c:pt idx="24">
                  <c:v>2.1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2.2999999999999998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2.6</c:v>
                </c:pt>
                <c:pt idx="39">
                  <c:v>2.6</c:v>
                </c:pt>
                <c:pt idx="40">
                  <c:v>2.6</c:v>
                </c:pt>
                <c:pt idx="41">
                  <c:v>2.7</c:v>
                </c:pt>
                <c:pt idx="42">
                  <c:v>2.7</c:v>
                </c:pt>
                <c:pt idx="43">
                  <c:v>2.7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2.9</c:v>
                </c:pt>
                <c:pt idx="48">
                  <c:v>2.9</c:v>
                </c:pt>
                <c:pt idx="49">
                  <c:v>2.9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3.1</c:v>
                </c:pt>
                <c:pt idx="54">
                  <c:v>3.1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3.4</c:v>
                </c:pt>
                <c:pt idx="63">
                  <c:v>3.4</c:v>
                </c:pt>
                <c:pt idx="64">
                  <c:v>3.4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3.7</c:v>
                </c:pt>
                <c:pt idx="72">
                  <c:v>3.7</c:v>
                </c:pt>
                <c:pt idx="73">
                  <c:v>3.7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3.9</c:v>
                </c:pt>
                <c:pt idx="79">
                  <c:v>3.9</c:v>
                </c:pt>
                <c:pt idx="80">
                  <c:v>3.9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4.0999999999999996</c:v>
                </c:pt>
                <c:pt idx="87">
                  <c:v>4.2</c:v>
                </c:pt>
                <c:pt idx="88">
                  <c:v>4.2</c:v>
                </c:pt>
                <c:pt idx="89">
                  <c:v>4.2</c:v>
                </c:pt>
                <c:pt idx="90">
                  <c:v>4.3</c:v>
                </c:pt>
                <c:pt idx="91">
                  <c:v>4.3</c:v>
                </c:pt>
                <c:pt idx="92">
                  <c:v>4.3</c:v>
                </c:pt>
                <c:pt idx="93">
                  <c:v>4.4000000000000004</c:v>
                </c:pt>
                <c:pt idx="94">
                  <c:v>4.4000000000000004</c:v>
                </c:pt>
                <c:pt idx="95">
                  <c:v>4.4000000000000004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4.7</c:v>
                </c:pt>
                <c:pt idx="103">
                  <c:v>4.7</c:v>
                </c:pt>
                <c:pt idx="104">
                  <c:v>4.7</c:v>
                </c:pt>
                <c:pt idx="105">
                  <c:v>4.8</c:v>
                </c:pt>
                <c:pt idx="106">
                  <c:v>4.8</c:v>
                </c:pt>
                <c:pt idx="107">
                  <c:v>4.8</c:v>
                </c:pt>
                <c:pt idx="108">
                  <c:v>4.9000000000000004</c:v>
                </c:pt>
                <c:pt idx="109">
                  <c:v>4.9000000000000004</c:v>
                </c:pt>
                <c:pt idx="110">
                  <c:v>4.9000000000000004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5.0999999999999996</c:v>
                </c:pt>
                <c:pt idx="115">
                  <c:v>5.0999999999999996</c:v>
                </c:pt>
                <c:pt idx="116">
                  <c:v>5.0999999999999996</c:v>
                </c:pt>
                <c:pt idx="117">
                  <c:v>5.2</c:v>
                </c:pt>
                <c:pt idx="118">
                  <c:v>5.2</c:v>
                </c:pt>
                <c:pt idx="119">
                  <c:v>5.2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5.6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5.7</c:v>
                </c:pt>
                <c:pt idx="134">
                  <c:v>5.7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5.9</c:v>
                </c:pt>
                <c:pt idx="139">
                  <c:v>5.9</c:v>
                </c:pt>
                <c:pt idx="140">
                  <c:v>5.9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6.1</c:v>
                </c:pt>
                <c:pt idx="145">
                  <c:v>6.1</c:v>
                </c:pt>
                <c:pt idx="146">
                  <c:v>6.1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6.3</c:v>
                </c:pt>
                <c:pt idx="151">
                  <c:v>6.3</c:v>
                </c:pt>
                <c:pt idx="152">
                  <c:v>6.3</c:v>
                </c:pt>
                <c:pt idx="153">
                  <c:v>6.3</c:v>
                </c:pt>
                <c:pt idx="154">
                  <c:v>6.4</c:v>
                </c:pt>
                <c:pt idx="155">
                  <c:v>6.4</c:v>
                </c:pt>
                <c:pt idx="156">
                  <c:v>6.4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6.8</c:v>
                </c:pt>
                <c:pt idx="167">
                  <c:v>6.8</c:v>
                </c:pt>
                <c:pt idx="168">
                  <c:v>6.8</c:v>
                </c:pt>
                <c:pt idx="169">
                  <c:v>6.9</c:v>
                </c:pt>
                <c:pt idx="170">
                  <c:v>6.9</c:v>
                </c:pt>
                <c:pt idx="171">
                  <c:v>6.9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7.1</c:v>
                </c:pt>
                <c:pt idx="176">
                  <c:v>7.1</c:v>
                </c:pt>
                <c:pt idx="177">
                  <c:v>7.1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7.3</c:v>
                </c:pt>
                <c:pt idx="182">
                  <c:v>7.3</c:v>
                </c:pt>
                <c:pt idx="183">
                  <c:v>7.3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7.6</c:v>
                </c:pt>
                <c:pt idx="191">
                  <c:v>7.6</c:v>
                </c:pt>
                <c:pt idx="192">
                  <c:v>7.6</c:v>
                </c:pt>
                <c:pt idx="193">
                  <c:v>7.7</c:v>
                </c:pt>
                <c:pt idx="194">
                  <c:v>7.7</c:v>
                </c:pt>
                <c:pt idx="195">
                  <c:v>7.7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7.9</c:v>
                </c:pt>
                <c:pt idx="200">
                  <c:v>7.9</c:v>
                </c:pt>
                <c:pt idx="201">
                  <c:v>7.9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8.1</c:v>
                </c:pt>
                <c:pt idx="206">
                  <c:v>8.1</c:v>
                </c:pt>
                <c:pt idx="207">
                  <c:v>8.1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8.3000000000000007</c:v>
                </c:pt>
                <c:pt idx="212">
                  <c:v>8.3000000000000007</c:v>
                </c:pt>
                <c:pt idx="213">
                  <c:v>8.3000000000000007</c:v>
                </c:pt>
                <c:pt idx="214">
                  <c:v>8.4</c:v>
                </c:pt>
                <c:pt idx="215">
                  <c:v>8.4</c:v>
                </c:pt>
                <c:pt idx="216">
                  <c:v>8.4</c:v>
                </c:pt>
                <c:pt idx="217">
                  <c:v>8.5</c:v>
                </c:pt>
                <c:pt idx="218">
                  <c:v>8.5</c:v>
                </c:pt>
                <c:pt idx="219">
                  <c:v>8.5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8.6999999999999993</c:v>
                </c:pt>
                <c:pt idx="224">
                  <c:v>8.6999999999999993</c:v>
                </c:pt>
                <c:pt idx="225">
                  <c:v>8.6999999999999993</c:v>
                </c:pt>
                <c:pt idx="226">
                  <c:v>8.8000000000000007</c:v>
                </c:pt>
                <c:pt idx="227">
                  <c:v>8.8000000000000007</c:v>
                </c:pt>
                <c:pt idx="228">
                  <c:v>8.8000000000000007</c:v>
                </c:pt>
                <c:pt idx="229">
                  <c:v>8.8000000000000007</c:v>
                </c:pt>
                <c:pt idx="230">
                  <c:v>8.9</c:v>
                </c:pt>
                <c:pt idx="231">
                  <c:v>8.9</c:v>
                </c:pt>
                <c:pt idx="232">
                  <c:v>8.9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9.1</c:v>
                </c:pt>
                <c:pt idx="237">
                  <c:v>9.1</c:v>
                </c:pt>
                <c:pt idx="238">
                  <c:v>9.1</c:v>
                </c:pt>
                <c:pt idx="239">
                  <c:v>9.1999999999999993</c:v>
                </c:pt>
                <c:pt idx="240">
                  <c:v>9.1999999999999993</c:v>
                </c:pt>
                <c:pt idx="241">
                  <c:v>9.1999999999999993</c:v>
                </c:pt>
                <c:pt idx="242">
                  <c:v>9.3000000000000007</c:v>
                </c:pt>
                <c:pt idx="243">
                  <c:v>9.3000000000000007</c:v>
                </c:pt>
                <c:pt idx="244">
                  <c:v>9.3000000000000007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9.5</c:v>
                </c:pt>
                <c:pt idx="249">
                  <c:v>9.5</c:v>
                </c:pt>
                <c:pt idx="250">
                  <c:v>9.5</c:v>
                </c:pt>
                <c:pt idx="251">
                  <c:v>9.6</c:v>
                </c:pt>
                <c:pt idx="252">
                  <c:v>9.6</c:v>
                </c:pt>
                <c:pt idx="253">
                  <c:v>9.6</c:v>
                </c:pt>
                <c:pt idx="254">
                  <c:v>9.6999999999999993</c:v>
                </c:pt>
                <c:pt idx="255">
                  <c:v>9.6999999999999993</c:v>
                </c:pt>
                <c:pt idx="256">
                  <c:v>9.6999999999999993</c:v>
                </c:pt>
                <c:pt idx="257">
                  <c:v>9.8000000000000007</c:v>
                </c:pt>
                <c:pt idx="258">
                  <c:v>9.8000000000000007</c:v>
                </c:pt>
                <c:pt idx="259">
                  <c:v>9.8000000000000007</c:v>
                </c:pt>
                <c:pt idx="260">
                  <c:v>9.9</c:v>
                </c:pt>
                <c:pt idx="261">
                  <c:v>9.9</c:v>
                </c:pt>
                <c:pt idx="262">
                  <c:v>9.9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10.1</c:v>
                </c:pt>
                <c:pt idx="267">
                  <c:v>10.1</c:v>
                </c:pt>
                <c:pt idx="268">
                  <c:v>10.1</c:v>
                </c:pt>
                <c:pt idx="269">
                  <c:v>10.199999999999999</c:v>
                </c:pt>
                <c:pt idx="270">
                  <c:v>10.199999999999999</c:v>
                </c:pt>
                <c:pt idx="271">
                  <c:v>10.199999999999999</c:v>
                </c:pt>
                <c:pt idx="272">
                  <c:v>10.3</c:v>
                </c:pt>
                <c:pt idx="273">
                  <c:v>10.3</c:v>
                </c:pt>
                <c:pt idx="274">
                  <c:v>10.3</c:v>
                </c:pt>
                <c:pt idx="275">
                  <c:v>10.4</c:v>
                </c:pt>
                <c:pt idx="276">
                  <c:v>10.4</c:v>
                </c:pt>
                <c:pt idx="277">
                  <c:v>10.4</c:v>
                </c:pt>
                <c:pt idx="278">
                  <c:v>10.5</c:v>
                </c:pt>
                <c:pt idx="279">
                  <c:v>10.5</c:v>
                </c:pt>
                <c:pt idx="280">
                  <c:v>10.5</c:v>
                </c:pt>
                <c:pt idx="281">
                  <c:v>10.6</c:v>
                </c:pt>
                <c:pt idx="282">
                  <c:v>10.6</c:v>
                </c:pt>
                <c:pt idx="283">
                  <c:v>10.6</c:v>
                </c:pt>
                <c:pt idx="284">
                  <c:v>10.7</c:v>
                </c:pt>
                <c:pt idx="285">
                  <c:v>10.7</c:v>
                </c:pt>
                <c:pt idx="286">
                  <c:v>10.7</c:v>
                </c:pt>
                <c:pt idx="287">
                  <c:v>10.8</c:v>
                </c:pt>
                <c:pt idx="288">
                  <c:v>10.8</c:v>
                </c:pt>
                <c:pt idx="289">
                  <c:v>10.8</c:v>
                </c:pt>
                <c:pt idx="290">
                  <c:v>10.9</c:v>
                </c:pt>
                <c:pt idx="291">
                  <c:v>10.9</c:v>
                </c:pt>
                <c:pt idx="292">
                  <c:v>10.9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11.1</c:v>
                </c:pt>
                <c:pt idx="297">
                  <c:v>11.1</c:v>
                </c:pt>
                <c:pt idx="298">
                  <c:v>11.1</c:v>
                </c:pt>
                <c:pt idx="299">
                  <c:v>11.2</c:v>
                </c:pt>
                <c:pt idx="300">
                  <c:v>11.2</c:v>
                </c:pt>
                <c:pt idx="301">
                  <c:v>11.2</c:v>
                </c:pt>
                <c:pt idx="302">
                  <c:v>11.3</c:v>
                </c:pt>
                <c:pt idx="303">
                  <c:v>11.3</c:v>
                </c:pt>
                <c:pt idx="304">
                  <c:v>11.3</c:v>
                </c:pt>
                <c:pt idx="305">
                  <c:v>11.3</c:v>
                </c:pt>
                <c:pt idx="306">
                  <c:v>11.4</c:v>
                </c:pt>
                <c:pt idx="307">
                  <c:v>11.4</c:v>
                </c:pt>
                <c:pt idx="308">
                  <c:v>11.4</c:v>
                </c:pt>
                <c:pt idx="309">
                  <c:v>11.5</c:v>
                </c:pt>
                <c:pt idx="310">
                  <c:v>11.5</c:v>
                </c:pt>
                <c:pt idx="311">
                  <c:v>11.5</c:v>
                </c:pt>
                <c:pt idx="312">
                  <c:v>11.6</c:v>
                </c:pt>
                <c:pt idx="313">
                  <c:v>11.6</c:v>
                </c:pt>
                <c:pt idx="314">
                  <c:v>11.6</c:v>
                </c:pt>
                <c:pt idx="315">
                  <c:v>11.7</c:v>
                </c:pt>
                <c:pt idx="316">
                  <c:v>11.7</c:v>
                </c:pt>
                <c:pt idx="317">
                  <c:v>11.7</c:v>
                </c:pt>
                <c:pt idx="318">
                  <c:v>11.8</c:v>
                </c:pt>
                <c:pt idx="319">
                  <c:v>11.8</c:v>
                </c:pt>
                <c:pt idx="320">
                  <c:v>11.8</c:v>
                </c:pt>
                <c:pt idx="321">
                  <c:v>11.9</c:v>
                </c:pt>
                <c:pt idx="322">
                  <c:v>11.9</c:v>
                </c:pt>
                <c:pt idx="323">
                  <c:v>11.9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12.1</c:v>
                </c:pt>
                <c:pt idx="328">
                  <c:v>12.1</c:v>
                </c:pt>
                <c:pt idx="329">
                  <c:v>12.1</c:v>
                </c:pt>
                <c:pt idx="330">
                  <c:v>12.2</c:v>
                </c:pt>
                <c:pt idx="331">
                  <c:v>12.2</c:v>
                </c:pt>
                <c:pt idx="332">
                  <c:v>12.2</c:v>
                </c:pt>
              </c:numCache>
            </c:numRef>
          </c:cat>
          <c:val>
            <c:numRef>
              <c:f>'Vækstfunktion, kry kvie'!$AG$3:$AG$335</c:f>
              <c:numCache>
                <c:formatCode>0.0</c:formatCode>
                <c:ptCount val="333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4.4000000000000004</c:v>
                </c:pt>
                <c:pt idx="188">
                  <c:v>4.4000000000000004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4.4000000000000004</c:v>
                </c:pt>
                <c:pt idx="198">
                  <c:v>4.4000000000000004</c:v>
                </c:pt>
                <c:pt idx="199">
                  <c:v>4.4000000000000004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4.4000000000000004</c:v>
                </c:pt>
                <c:pt idx="203">
                  <c:v>4.4000000000000004</c:v>
                </c:pt>
                <c:pt idx="204">
                  <c:v>4.4000000000000004</c:v>
                </c:pt>
                <c:pt idx="205">
                  <c:v>4.4000000000000004</c:v>
                </c:pt>
                <c:pt idx="206">
                  <c:v>4.4000000000000004</c:v>
                </c:pt>
                <c:pt idx="207">
                  <c:v>4.4000000000000004</c:v>
                </c:pt>
                <c:pt idx="208">
                  <c:v>4.4000000000000004</c:v>
                </c:pt>
                <c:pt idx="209">
                  <c:v>4.4000000000000004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4.4000000000000004</c:v>
                </c:pt>
                <c:pt idx="213">
                  <c:v>4.4000000000000004</c:v>
                </c:pt>
                <c:pt idx="214">
                  <c:v>4.4000000000000004</c:v>
                </c:pt>
                <c:pt idx="215">
                  <c:v>4.4000000000000004</c:v>
                </c:pt>
                <c:pt idx="216">
                  <c:v>4.4000000000000004</c:v>
                </c:pt>
                <c:pt idx="217">
                  <c:v>4.4000000000000004</c:v>
                </c:pt>
                <c:pt idx="218">
                  <c:v>4.4000000000000004</c:v>
                </c:pt>
                <c:pt idx="219">
                  <c:v>4.4000000000000004</c:v>
                </c:pt>
                <c:pt idx="220">
                  <c:v>4.4000000000000004</c:v>
                </c:pt>
                <c:pt idx="221">
                  <c:v>4.4000000000000004</c:v>
                </c:pt>
                <c:pt idx="222">
                  <c:v>4.4000000000000004</c:v>
                </c:pt>
                <c:pt idx="223">
                  <c:v>4.4000000000000004</c:v>
                </c:pt>
                <c:pt idx="224">
                  <c:v>4.4000000000000004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4.4000000000000004</c:v>
                </c:pt>
                <c:pt idx="228">
                  <c:v>4.4000000000000004</c:v>
                </c:pt>
                <c:pt idx="229">
                  <c:v>4.4000000000000004</c:v>
                </c:pt>
                <c:pt idx="230">
                  <c:v>4.4000000000000004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4.4000000000000004</c:v>
                </c:pt>
                <c:pt idx="235">
                  <c:v>4.4000000000000004</c:v>
                </c:pt>
                <c:pt idx="236">
                  <c:v>4.4000000000000004</c:v>
                </c:pt>
                <c:pt idx="237">
                  <c:v>4.4000000000000004</c:v>
                </c:pt>
                <c:pt idx="238">
                  <c:v>4.4000000000000004</c:v>
                </c:pt>
                <c:pt idx="239">
                  <c:v>4.4000000000000004</c:v>
                </c:pt>
                <c:pt idx="240">
                  <c:v>4.4000000000000004</c:v>
                </c:pt>
                <c:pt idx="241">
                  <c:v>4.4000000000000004</c:v>
                </c:pt>
                <c:pt idx="242">
                  <c:v>4.4000000000000004</c:v>
                </c:pt>
                <c:pt idx="243">
                  <c:v>4.4000000000000004</c:v>
                </c:pt>
                <c:pt idx="244">
                  <c:v>4.4000000000000004</c:v>
                </c:pt>
                <c:pt idx="245">
                  <c:v>4.4000000000000004</c:v>
                </c:pt>
                <c:pt idx="246">
                  <c:v>4.4000000000000004</c:v>
                </c:pt>
                <c:pt idx="247">
                  <c:v>4.4000000000000004</c:v>
                </c:pt>
                <c:pt idx="248">
                  <c:v>4.4000000000000004</c:v>
                </c:pt>
                <c:pt idx="249">
                  <c:v>4.4000000000000004</c:v>
                </c:pt>
                <c:pt idx="250">
                  <c:v>4.4000000000000004</c:v>
                </c:pt>
                <c:pt idx="251">
                  <c:v>4.4000000000000004</c:v>
                </c:pt>
                <c:pt idx="252">
                  <c:v>4.4000000000000004</c:v>
                </c:pt>
                <c:pt idx="253">
                  <c:v>4.4000000000000004</c:v>
                </c:pt>
                <c:pt idx="254">
                  <c:v>4.4000000000000004</c:v>
                </c:pt>
                <c:pt idx="255">
                  <c:v>4.4000000000000004</c:v>
                </c:pt>
                <c:pt idx="256">
                  <c:v>4.4000000000000004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4.4000000000000004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4.4000000000000004</c:v>
                </c:pt>
                <c:pt idx="269">
                  <c:v>4.4000000000000004</c:v>
                </c:pt>
                <c:pt idx="270">
                  <c:v>4.4000000000000004</c:v>
                </c:pt>
                <c:pt idx="271">
                  <c:v>4.4000000000000004</c:v>
                </c:pt>
                <c:pt idx="272">
                  <c:v>4.4000000000000004</c:v>
                </c:pt>
                <c:pt idx="273">
                  <c:v>4.4000000000000004</c:v>
                </c:pt>
                <c:pt idx="274">
                  <c:v>4.4000000000000004</c:v>
                </c:pt>
                <c:pt idx="275">
                  <c:v>4.4000000000000004</c:v>
                </c:pt>
                <c:pt idx="276">
                  <c:v>4.4000000000000004</c:v>
                </c:pt>
                <c:pt idx="277">
                  <c:v>4.4000000000000004</c:v>
                </c:pt>
                <c:pt idx="278">
                  <c:v>4.4000000000000004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4.4000000000000004</c:v>
                </c:pt>
                <c:pt idx="282">
                  <c:v>4.4000000000000004</c:v>
                </c:pt>
                <c:pt idx="283">
                  <c:v>4.4000000000000004</c:v>
                </c:pt>
                <c:pt idx="284">
                  <c:v>4.4000000000000004</c:v>
                </c:pt>
                <c:pt idx="285">
                  <c:v>4.4000000000000004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4.4000000000000004</c:v>
                </c:pt>
                <c:pt idx="289">
                  <c:v>4.4000000000000004</c:v>
                </c:pt>
                <c:pt idx="290">
                  <c:v>4.4000000000000004</c:v>
                </c:pt>
                <c:pt idx="291">
                  <c:v>4.4000000000000004</c:v>
                </c:pt>
                <c:pt idx="292">
                  <c:v>4.4000000000000004</c:v>
                </c:pt>
                <c:pt idx="293">
                  <c:v>4.4000000000000004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4.4000000000000004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4.4000000000000004</c:v>
                </c:pt>
                <c:pt idx="300">
                  <c:v>4.4000000000000004</c:v>
                </c:pt>
                <c:pt idx="301">
                  <c:v>4.4000000000000004</c:v>
                </c:pt>
                <c:pt idx="302">
                  <c:v>4.4000000000000004</c:v>
                </c:pt>
                <c:pt idx="303">
                  <c:v>4.4000000000000004</c:v>
                </c:pt>
                <c:pt idx="304">
                  <c:v>4.4000000000000004</c:v>
                </c:pt>
                <c:pt idx="305">
                  <c:v>4.4000000000000004</c:v>
                </c:pt>
                <c:pt idx="306">
                  <c:v>4.4000000000000004</c:v>
                </c:pt>
                <c:pt idx="307">
                  <c:v>4.4000000000000004</c:v>
                </c:pt>
                <c:pt idx="308">
                  <c:v>4.4000000000000004</c:v>
                </c:pt>
                <c:pt idx="309">
                  <c:v>4.4000000000000004</c:v>
                </c:pt>
                <c:pt idx="310">
                  <c:v>4.4000000000000004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4.4000000000000004</c:v>
                </c:pt>
                <c:pt idx="314">
                  <c:v>4.4000000000000004</c:v>
                </c:pt>
                <c:pt idx="315">
                  <c:v>4.4000000000000004</c:v>
                </c:pt>
                <c:pt idx="316">
                  <c:v>4.4000000000000004</c:v>
                </c:pt>
                <c:pt idx="317">
                  <c:v>4.4000000000000004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4.4000000000000004</c:v>
                </c:pt>
                <c:pt idx="321">
                  <c:v>4.4000000000000004</c:v>
                </c:pt>
                <c:pt idx="322">
                  <c:v>4.4000000000000004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4.4000000000000004</c:v>
                </c:pt>
                <c:pt idx="327">
                  <c:v>4.4000000000000004</c:v>
                </c:pt>
                <c:pt idx="328">
                  <c:v>4.4000000000000004</c:v>
                </c:pt>
                <c:pt idx="329">
                  <c:v>4.4000000000000004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8-4288-9218-E79480ACE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533632"/>
        <c:axId val="726640304"/>
      </c:lineChart>
      <c:catAx>
        <c:axId val="143653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0304"/>
        <c:crosses val="autoZero"/>
        <c:auto val="1"/>
        <c:lblAlgn val="ctr"/>
        <c:lblOffset val="100"/>
        <c:noMultiLvlLbl val="0"/>
      </c:catAx>
      <c:valAx>
        <c:axId val="72664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43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Hol tyr, kr. pr dag</a:t>
            </a:r>
            <a:endParaRPr lang="da-D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3507961136153358E-2"/>
          <c:y val="0.21492873874636639"/>
          <c:w val="0.88712934592026715"/>
          <c:h val="0.60224604804542203"/>
        </c:manualLayout>
      </c:layout>
      <c:lineChart>
        <c:grouping val="standard"/>
        <c:varyColors val="0"/>
        <c:ser>
          <c:idx val="3"/>
          <c:order val="0"/>
          <c:tx>
            <c:strRef>
              <c:f>'Vækstfunktion, hol'!$AT$2</c:f>
              <c:strCache>
                <c:ptCount val="1"/>
                <c:pt idx="0">
                  <c:v>Total resultat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hol'!$AS$185:$AS$300</c:f>
              <c:numCache>
                <c:formatCode>#,##0.0</c:formatCode>
                <c:ptCount val="116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7.6</c:v>
                </c:pt>
                <c:pt idx="9">
                  <c:v>7.6</c:v>
                </c:pt>
                <c:pt idx="10">
                  <c:v>7.6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7.9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8.1</c:v>
                </c:pt>
                <c:pt idx="24">
                  <c:v>8.1</c:v>
                </c:pt>
                <c:pt idx="25">
                  <c:v>8.1</c:v>
                </c:pt>
                <c:pt idx="26">
                  <c:v>8.1999999999999993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8.3000000000000007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8.4</c:v>
                </c:pt>
                <c:pt idx="34">
                  <c:v>8.4</c:v>
                </c:pt>
                <c:pt idx="35">
                  <c:v>8.5</c:v>
                </c:pt>
                <c:pt idx="36">
                  <c:v>8.5</c:v>
                </c:pt>
                <c:pt idx="37">
                  <c:v>8.5</c:v>
                </c:pt>
                <c:pt idx="38">
                  <c:v>8.6</c:v>
                </c:pt>
                <c:pt idx="39">
                  <c:v>8.6</c:v>
                </c:pt>
                <c:pt idx="40">
                  <c:v>8.6</c:v>
                </c:pt>
                <c:pt idx="41">
                  <c:v>8.6999999999999993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8.8000000000000007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8.9</c:v>
                </c:pt>
                <c:pt idx="49">
                  <c:v>8.9</c:v>
                </c:pt>
                <c:pt idx="50">
                  <c:v>8.9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9.1</c:v>
                </c:pt>
                <c:pt idx="55">
                  <c:v>9.1</c:v>
                </c:pt>
                <c:pt idx="56">
                  <c:v>9.1</c:v>
                </c:pt>
                <c:pt idx="57">
                  <c:v>9.1999999999999993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9.3000000000000007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9.4</c:v>
                </c:pt>
                <c:pt idx="64">
                  <c:v>9.4</c:v>
                </c:pt>
                <c:pt idx="65">
                  <c:v>9.4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9.6</c:v>
                </c:pt>
                <c:pt idx="70">
                  <c:v>9.6</c:v>
                </c:pt>
                <c:pt idx="71">
                  <c:v>9.6</c:v>
                </c:pt>
                <c:pt idx="72">
                  <c:v>9.6999999999999993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9.8000000000000007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9.9</c:v>
                </c:pt>
                <c:pt idx="79">
                  <c:v>9.9</c:v>
                </c:pt>
                <c:pt idx="80">
                  <c:v>9.9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10.1</c:v>
                </c:pt>
                <c:pt idx="85">
                  <c:v>10.1</c:v>
                </c:pt>
                <c:pt idx="86">
                  <c:v>10.1</c:v>
                </c:pt>
                <c:pt idx="87">
                  <c:v>10.199999999999999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10.3</c:v>
                </c:pt>
                <c:pt idx="91">
                  <c:v>10.3</c:v>
                </c:pt>
                <c:pt idx="92">
                  <c:v>10.3</c:v>
                </c:pt>
                <c:pt idx="93">
                  <c:v>10.4</c:v>
                </c:pt>
                <c:pt idx="94">
                  <c:v>10.4</c:v>
                </c:pt>
                <c:pt idx="95">
                  <c:v>10.4</c:v>
                </c:pt>
                <c:pt idx="96">
                  <c:v>10.5</c:v>
                </c:pt>
                <c:pt idx="97">
                  <c:v>10.5</c:v>
                </c:pt>
                <c:pt idx="98">
                  <c:v>10.5</c:v>
                </c:pt>
                <c:pt idx="99">
                  <c:v>10.6</c:v>
                </c:pt>
                <c:pt idx="100">
                  <c:v>10.6</c:v>
                </c:pt>
                <c:pt idx="101">
                  <c:v>10.6</c:v>
                </c:pt>
                <c:pt idx="102">
                  <c:v>10.7</c:v>
                </c:pt>
                <c:pt idx="103">
                  <c:v>10.7</c:v>
                </c:pt>
                <c:pt idx="104">
                  <c:v>10.7</c:v>
                </c:pt>
                <c:pt idx="105">
                  <c:v>10.8</c:v>
                </c:pt>
                <c:pt idx="106">
                  <c:v>10.8</c:v>
                </c:pt>
                <c:pt idx="107">
                  <c:v>10.8</c:v>
                </c:pt>
                <c:pt idx="108">
                  <c:v>10.9</c:v>
                </c:pt>
                <c:pt idx="109">
                  <c:v>10.9</c:v>
                </c:pt>
                <c:pt idx="110">
                  <c:v>10.9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11.1</c:v>
                </c:pt>
                <c:pt idx="115">
                  <c:v>11.1</c:v>
                </c:pt>
              </c:numCache>
            </c:numRef>
          </c:cat>
          <c:val>
            <c:numRef>
              <c:f>'Vækstfunktion, hol'!$AT$185:$AT$300</c:f>
              <c:numCache>
                <c:formatCode>#,##0.00</c:formatCode>
                <c:ptCount val="116"/>
                <c:pt idx="0">
                  <c:v>2.3493213362401661</c:v>
                </c:pt>
                <c:pt idx="1">
                  <c:v>2.3080569832598599</c:v>
                </c:pt>
                <c:pt idx="2">
                  <c:v>2.2656252413096922</c:v>
                </c:pt>
                <c:pt idx="3">
                  <c:v>2.2220185187960055</c:v>
                </c:pt>
                <c:pt idx="4">
                  <c:v>2.177229291467313</c:v>
                </c:pt>
                <c:pt idx="5">
                  <c:v>2.1164729348227524</c:v>
                </c:pt>
                <c:pt idx="6">
                  <c:v>2.0693147876493754</c:v>
                </c:pt>
                <c:pt idx="7">
                  <c:v>2.0209480720571378</c:v>
                </c:pt>
                <c:pt idx="8">
                  <c:v>1.9713655469830087</c:v>
                </c:pt>
                <c:pt idx="9">
                  <c:v>1.9205600454982346</c:v>
                </c:pt>
                <c:pt idx="10">
                  <c:v>1.8537989920135374</c:v>
                </c:pt>
                <c:pt idx="11">
                  <c:v>1.8005212732985569</c:v>
                </c:pt>
                <c:pt idx="12">
                  <c:v>1.7459956263454046</c:v>
                </c:pt>
                <c:pt idx="13">
                  <c:v>1.6902151935776715</c:v>
                </c:pt>
                <c:pt idx="14">
                  <c:v>1.6331731978319226</c:v>
                </c:pt>
                <c:pt idx="15">
                  <c:v>1.5748629435436783</c:v>
                </c:pt>
                <c:pt idx="16">
                  <c:v>1.5004347817837811</c:v>
                </c:pt>
                <c:pt idx="17">
                  <c:v>1.4395358275162948</c:v>
                </c:pt>
                <c:pt idx="18">
                  <c:v>1.3773451203131231</c:v>
                </c:pt>
                <c:pt idx="19">
                  <c:v>1.3138563024070322</c:v>
                </c:pt>
                <c:pt idx="20">
                  <c:v>1.249063103185847</c:v>
                </c:pt>
                <c:pt idx="21">
                  <c:v>1.1829593402811156</c:v>
                </c:pt>
                <c:pt idx="22">
                  <c:v>1.1003868004812034</c:v>
                </c:pt>
                <c:pt idx="23">
                  <c:v>1.5058454020284557</c:v>
                </c:pt>
                <c:pt idx="24">
                  <c:v>1.5908455272340802</c:v>
                </c:pt>
                <c:pt idx="25">
                  <c:v>1.5204737602091996</c:v>
                </c:pt>
                <c:pt idx="26">
                  <c:v>1.4496367862437296</c:v>
                </c:pt>
                <c:pt idx="27">
                  <c:v>1.3627756381695804</c:v>
                </c:pt>
                <c:pt idx="28">
                  <c:v>1.2909566200540326</c:v>
                </c:pt>
                <c:pt idx="29">
                  <c:v>1.2187001686491499</c:v>
                </c:pt>
                <c:pt idx="30">
                  <c:v>1.1460169120367141</c:v>
                </c:pt>
                <c:pt idx="31">
                  <c:v>1.0729175095137293</c:v>
                </c:pt>
                <c:pt idx="32">
                  <c:v>0.99941265010812685</c:v>
                </c:pt>
                <c:pt idx="33">
                  <c:v>0.90927877226187093</c:v>
                </c:pt>
                <c:pt idx="34">
                  <c:v>0.834884573255124</c:v>
                </c:pt>
                <c:pt idx="35">
                  <c:v>0.7601132397688275</c:v>
                </c:pt>
                <c:pt idx="36">
                  <c:v>0.68497556555422534</c:v>
                </c:pt>
                <c:pt idx="37">
                  <c:v>0.6094823670703704</c:v>
                </c:pt>
                <c:pt idx="38">
                  <c:v>0.53364448210851378</c:v>
                </c:pt>
                <c:pt idx="39">
                  <c:v>952.56931179386879</c:v>
                </c:pt>
                <c:pt idx="40">
                  <c:v>12.311750295787306</c:v>
                </c:pt>
                <c:pt idx="41">
                  <c:v>12.311299998281584</c:v>
                </c:pt>
                <c:pt idx="42">
                  <c:v>12.31035227528082</c:v>
                </c:pt>
                <c:pt idx="43">
                  <c:v>12.308918176763427</c:v>
                </c:pt>
                <c:pt idx="44">
                  <c:v>12.307008983600781</c:v>
                </c:pt>
                <c:pt idx="45">
                  <c:v>12.30463620751334</c:v>
                </c:pt>
                <c:pt idx="46">
                  <c:v>12.301811590978787</c:v>
                </c:pt>
                <c:pt idx="47">
                  <c:v>12.298547107106742</c:v>
                </c:pt>
                <c:pt idx="48">
                  <c:v>12.27620880225777</c:v>
                </c:pt>
                <c:pt idx="49">
                  <c:v>12.271924370342958</c:v>
                </c:pt>
                <c:pt idx="50">
                  <c:v>12.267233463940784</c:v>
                </c:pt>
                <c:pt idx="51">
                  <c:v>12.262148977083143</c:v>
                </c:pt>
                <c:pt idx="52">
                  <c:v>12.256684033571673</c:v>
                </c:pt>
                <c:pt idx="53">
                  <c:v>12.250851986684893</c:v>
                </c:pt>
                <c:pt idx="54">
                  <c:v>12.244666418976749</c:v>
                </c:pt>
                <c:pt idx="55">
                  <c:v>12.238141141963752</c:v>
                </c:pt>
                <c:pt idx="56">
                  <c:v>12.23129019588896</c:v>
                </c:pt>
                <c:pt idx="57">
                  <c:v>12.224127849406841</c:v>
                </c:pt>
                <c:pt idx="58">
                  <c:v>12.216668599306331</c:v>
                </c:pt>
                <c:pt idx="59">
                  <c:v>12.187898376866997</c:v>
                </c:pt>
                <c:pt idx="60">
                  <c:v>12.179665760528678</c:v>
                </c:pt>
                <c:pt idx="61">
                  <c:v>12.171177187746935</c:v>
                </c:pt>
                <c:pt idx="62">
                  <c:v>12.162448064673072</c:v>
                </c:pt>
                <c:pt idx="63">
                  <c:v>12.153494023998064</c:v>
                </c:pt>
                <c:pt idx="64">
                  <c:v>12.144330924605583</c:v>
                </c:pt>
                <c:pt idx="65">
                  <c:v>12.134974851290053</c:v>
                </c:pt>
                <c:pt idx="66">
                  <c:v>12.12544211436375</c:v>
                </c:pt>
                <c:pt idx="67">
                  <c:v>10.93038294526059</c:v>
                </c:pt>
                <c:pt idx="68">
                  <c:v>6.1527768057881076</c:v>
                </c:pt>
                <c:pt idx="69">
                  <c:v>6.1566463580622894</c:v>
                </c:pt>
                <c:pt idx="70">
                  <c:v>6.0739765388982505</c:v>
                </c:pt>
                <c:pt idx="71">
                  <c:v>5.9912348922539422</c:v>
                </c:pt>
                <c:pt idx="72">
                  <c:v>5.9084483477149661</c:v>
                </c:pt>
                <c:pt idx="73">
                  <c:v>5.8256438739147143</c:v>
                </c:pt>
                <c:pt idx="74">
                  <c:v>5.7428484768572616</c:v>
                </c:pt>
                <c:pt idx="75">
                  <c:v>5.6600891982293433</c:v>
                </c:pt>
                <c:pt idx="76">
                  <c:v>5.5773931138614898</c:v>
                </c:pt>
                <c:pt idx="77">
                  <c:v>5.4947873321245879</c:v>
                </c:pt>
                <c:pt idx="78">
                  <c:v>5.4122989924510421</c:v>
                </c:pt>
                <c:pt idx="79">
                  <c:v>5.3299552639468857</c:v>
                </c:pt>
                <c:pt idx="80">
                  <c:v>5.2477833439193091</c:v>
                </c:pt>
                <c:pt idx="81">
                  <c:v>5.1658104566206475</c:v>
                </c:pt>
                <c:pt idx="82">
                  <c:v>5.0840638519150616</c:v>
                </c:pt>
                <c:pt idx="83">
                  <c:v>5.0025708041071084</c:v>
                </c:pt>
                <c:pt idx="84">
                  <c:v>4.4242904623201866</c:v>
                </c:pt>
                <c:pt idx="85">
                  <c:v>2.6459008923241072</c:v>
                </c:pt>
                <c:pt idx="86">
                  <c:v>2.5575919148725461</c:v>
                </c:pt>
                <c:pt idx="87">
                  <c:v>2.4689649482811546</c:v>
                </c:pt>
                <c:pt idx="88">
                  <c:v>2.3800341900409876</c:v>
                </c:pt>
                <c:pt idx="89">
                  <c:v>2.2908138836621674</c:v>
                </c:pt>
                <c:pt idx="90">
                  <c:v>2.2013183182900775</c:v>
                </c:pt>
                <c:pt idx="91">
                  <c:v>2.1115618286189601</c:v>
                </c:pt>
                <c:pt idx="92">
                  <c:v>2.0215587944508115</c:v>
                </c:pt>
                <c:pt idx="93">
                  <c:v>1.9313236405880616</c:v>
                </c:pt>
                <c:pt idx="94">
                  <c:v>1.8408708364561335</c:v>
                </c:pt>
                <c:pt idx="95">
                  <c:v>1.7502148958988073</c:v>
                </c:pt>
                <c:pt idx="96">
                  <c:v>1.6593703769235617</c:v>
                </c:pt>
                <c:pt idx="97">
                  <c:v>1.5683518813996216</c:v>
                </c:pt>
                <c:pt idx="98">
                  <c:v>1.4771740547887475</c:v>
                </c:pt>
                <c:pt idx="99">
                  <c:v>1.3858515859224099</c:v>
                </c:pt>
                <c:pt idx="100">
                  <c:v>1.2943992066952887</c:v>
                </c:pt>
                <c:pt idx="101">
                  <c:v>1.2028316918069777</c:v>
                </c:pt>
                <c:pt idx="102">
                  <c:v>1.1111638585055061</c:v>
                </c:pt>
                <c:pt idx="103">
                  <c:v>1.0495052567835046</c:v>
                </c:pt>
                <c:pt idx="104">
                  <c:v>0.95780923133997931</c:v>
                </c:pt>
                <c:pt idx="105">
                  <c:v>0.86605371828522948</c:v>
                </c:pt>
                <c:pt idx="106">
                  <c:v>0.77425370231526358</c:v>
                </c:pt>
                <c:pt idx="107">
                  <c:v>0.68242420931665038</c:v>
                </c:pt>
                <c:pt idx="108">
                  <c:v>0.59058030610822243</c:v>
                </c:pt>
                <c:pt idx="109">
                  <c:v>0.4987371001673182</c:v>
                </c:pt>
                <c:pt idx="110">
                  <c:v>0.40690973934965768</c:v>
                </c:pt>
                <c:pt idx="111">
                  <c:v>0.31511341159739459</c:v>
                </c:pt>
                <c:pt idx="112">
                  <c:v>0.22336334477085984</c:v>
                </c:pt>
                <c:pt idx="113">
                  <c:v>0.16278046974480276</c:v>
                </c:pt>
                <c:pt idx="114">
                  <c:v>7.1261729282241504E-2</c:v>
                </c:pt>
                <c:pt idx="115">
                  <c:v>-2.0168703836588975E-2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D-459D-A679-E46359319A3D}"/>
            </c:ext>
          </c:extLst>
        </c:ser>
        <c:ser>
          <c:idx val="1"/>
          <c:order val="2"/>
          <c:tx>
            <c:strRef>
              <c:f>'Vækstfunktion, hol'!$AV$2</c:f>
              <c:strCache>
                <c:ptCount val="1"/>
                <c:pt idx="0">
                  <c:v>Total res. Pr. m3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hol'!$AV$185:$AV$300</c:f>
              <c:numCache>
                <c:formatCode>#,##0.00</c:formatCode>
                <c:ptCount val="116"/>
                <c:pt idx="0">
                  <c:v>1.8444307120626835</c:v>
                </c:pt>
                <c:pt idx="1">
                  <c:v>1.7816668639306226</c:v>
                </c:pt>
                <c:pt idx="2">
                  <c:v>1.7197333521565739</c:v>
                </c:pt>
                <c:pt idx="3">
                  <c:v>1.6585956473089931</c:v>
                </c:pt>
                <c:pt idx="4">
                  <c:v>1.5982207688669314</c:v>
                </c:pt>
                <c:pt idx="5">
                  <c:v>1.5282658451259277</c:v>
                </c:pt>
                <c:pt idx="6">
                  <c:v>1.469512491875641</c:v>
                </c:pt>
                <c:pt idx="7">
                  <c:v>1.4114240613778304</c:v>
                </c:pt>
                <c:pt idx="8">
                  <c:v>1.353973274613355</c:v>
                </c:pt>
                <c:pt idx="9">
                  <c:v>1.2971340393624771</c:v>
                </c:pt>
                <c:pt idx="10">
                  <c:v>1.231030757730301</c:v>
                </c:pt>
                <c:pt idx="11">
                  <c:v>1.1754989571600913</c:v>
                </c:pt>
                <c:pt idx="12">
                  <c:v>1.1205005586538541</c:v>
                </c:pt>
                <c:pt idx="13">
                  <c:v>1.0660138768467142</c:v>
                </c:pt>
                <c:pt idx="14">
                  <c:v>1.0120181459822781</c:v>
                </c:pt>
                <c:pt idx="15">
                  <c:v>0.95849347687747333</c:v>
                </c:pt>
                <c:pt idx="16">
                  <c:v>0.89596071010348055</c:v>
                </c:pt>
                <c:pt idx="17">
                  <c:v>0.84344913021303292</c:v>
                </c:pt>
                <c:pt idx="18">
                  <c:v>0.79134839396356327</c:v>
                </c:pt>
                <c:pt idx="19">
                  <c:v>0.73964189973055561</c:v>
                </c:pt>
                <c:pt idx="20">
                  <c:v>0.68831373347642355</c:v>
                </c:pt>
                <c:pt idx="21">
                  <c:v>0.63734863815994025</c:v>
                </c:pt>
                <c:pt idx="22">
                  <c:v>0.57751060273989552</c:v>
                </c:pt>
                <c:pt idx="23">
                  <c:v>0.81380498583332361</c:v>
                </c:pt>
                <c:pt idx="24">
                  <c:v>0.85271052442398343</c:v>
                </c:pt>
                <c:pt idx="25">
                  <c:v>0.79828653555366813</c:v>
                </c:pt>
                <c:pt idx="26">
                  <c:v>0.74477961564870299</c:v>
                </c:pt>
                <c:pt idx="27">
                  <c:v>0.68303731903900555</c:v>
                </c:pt>
                <c:pt idx="28">
                  <c:v>0.63138699720318314</c:v>
                </c:pt>
                <c:pt idx="29">
                  <c:v>0.58059070455040285</c:v>
                </c:pt>
                <c:pt idx="30">
                  <c:v>0.53063031133432403</c:v>
                </c:pt>
                <c:pt idx="31">
                  <c:v>0.48148834405267849</c:v>
                </c:pt>
                <c:pt idx="32">
                  <c:v>0.43314795706903553</c:v>
                </c:pt>
                <c:pt idx="33">
                  <c:v>0.37646774888460399</c:v>
                </c:pt>
                <c:pt idx="34">
                  <c:v>0.3297465019511101</c:v>
                </c:pt>
                <c:pt idx="35">
                  <c:v>0.28377631730076303</c:v>
                </c:pt>
                <c:pt idx="36">
                  <c:v>0.23854269864550659</c:v>
                </c:pt>
                <c:pt idx="37">
                  <c:v>0.19403165191432237</c:v>
                </c:pt>
                <c:pt idx="38">
                  <c:v>0.15022966428005091</c:v>
                </c:pt>
                <c:pt idx="39">
                  <c:v>513.87197576466417</c:v>
                </c:pt>
                <c:pt idx="40">
                  <c:v>3.0571560795305004</c:v>
                </c:pt>
                <c:pt idx="41">
                  <c:v>3.0166858612370788</c:v>
                </c:pt>
                <c:pt idx="42">
                  <c:v>2.9767461186997934</c:v>
                </c:pt>
                <c:pt idx="43">
                  <c:v>2.9373288794786276</c:v>
                </c:pt>
                <c:pt idx="44">
                  <c:v>2.8984265489104928</c:v>
                </c:pt>
                <c:pt idx="45">
                  <c:v>2.8600318955541297</c:v>
                </c:pt>
                <c:pt idx="46">
                  <c:v>2.8221380372609701</c:v>
                </c:pt>
                <c:pt idx="47">
                  <c:v>2.7847384278441041</c:v>
                </c:pt>
                <c:pt idx="48">
                  <c:v>2.7383348604057574</c:v>
                </c:pt>
                <c:pt idx="49">
                  <c:v>2.7019344860714227</c:v>
                </c:pt>
                <c:pt idx="50">
                  <c:v>2.6660081057548268</c:v>
                </c:pt>
                <c:pt idx="51">
                  <c:v>2.6305504568694005</c:v>
                </c:pt>
                <c:pt idx="52">
                  <c:v>2.595556552369203</c:v>
                </c:pt>
                <c:pt idx="53">
                  <c:v>2.5610216705260882</c:v>
                </c:pt>
                <c:pt idx="54">
                  <c:v>2.526941345178102</c:v>
                </c:pt>
                <c:pt idx="55">
                  <c:v>2.4933113563416782</c:v>
                </c:pt>
                <c:pt idx="56">
                  <c:v>2.4601277212493642</c:v>
                </c:pt>
                <c:pt idx="57">
                  <c:v>2.4273866857273561</c:v>
                </c:pt>
                <c:pt idx="58">
                  <c:v>2.3950847159434261</c:v>
                </c:pt>
                <c:pt idx="59">
                  <c:v>2.353206346832053</c:v>
                </c:pt>
                <c:pt idx="60">
                  <c:v>2.3217838548891905</c:v>
                </c:pt>
                <c:pt idx="61">
                  <c:v>2.2907890384326492</c:v>
                </c:pt>
                <c:pt idx="62">
                  <c:v>2.2602192159001788</c:v>
                </c:pt>
                <c:pt idx="63">
                  <c:v>2.2300718881737112</c:v>
                </c:pt>
                <c:pt idx="64">
                  <c:v>2.2003447321623071</c:v>
                </c:pt>
                <c:pt idx="65">
                  <c:v>2.1710355946707978</c:v>
                </c:pt>
                <c:pt idx="66">
                  <c:v>2.142142486460898</c:v>
                </c:pt>
                <c:pt idx="67">
                  <c:v>1.5746593396431763</c:v>
                </c:pt>
                <c:pt idx="68">
                  <c:v>-0.60324934353832305</c:v>
                </c:pt>
                <c:pt idx="69">
                  <c:v>-0.59480592011800582</c:v>
                </c:pt>
                <c:pt idx="70">
                  <c:v>-0.62520094920955671</c:v>
                </c:pt>
                <c:pt idx="71">
                  <c:v>-0.65512685566397977</c:v>
                </c:pt>
                <c:pt idx="72">
                  <c:v>-0.68458198382938917</c:v>
                </c:pt>
                <c:pt idx="73">
                  <c:v>-0.71356470587306831</c:v>
                </c:pt>
                <c:pt idx="74">
                  <c:v>-0.74207342161139422</c:v>
                </c:pt>
                <c:pt idx="75">
                  <c:v>-0.77010655835306352</c:v>
                </c:pt>
                <c:pt idx="76">
                  <c:v>-0.79766257068342838</c:v>
                </c:pt>
                <c:pt idx="77">
                  <c:v>-0.82473994028282505</c:v>
                </c:pt>
                <c:pt idx="78">
                  <c:v>-0.85133717570113276</c:v>
                </c:pt>
                <c:pt idx="79">
                  <c:v>-0.87745281210004578</c:v>
                </c:pt>
                <c:pt idx="80">
                  <c:v>-0.90308541104002416</c:v>
                </c:pt>
                <c:pt idx="81">
                  <c:v>-0.92823356018573122</c:v>
                </c:pt>
                <c:pt idx="82">
                  <c:v>-0.95289587305387613</c:v>
                </c:pt>
                <c:pt idx="83">
                  <c:v>-0.97707098870068876</c:v>
                </c:pt>
                <c:pt idx="84">
                  <c:v>-1.20707558794129</c:v>
                </c:pt>
                <c:pt idx="85">
                  <c:v>-1.9291468773079714</c:v>
                </c:pt>
                <c:pt idx="86">
                  <c:v>-1.9458421034320281</c:v>
                </c:pt>
                <c:pt idx="87">
                  <c:v>-1.9624143366418139</c:v>
                </c:pt>
                <c:pt idx="88">
                  <c:v>-1.9788602748875519</c:v>
                </c:pt>
                <c:pt idx="89">
                  <c:v>-1.9951766800552377</c:v>
                </c:pt>
                <c:pt idx="90">
                  <c:v>-2.0113603762112007</c:v>
                </c:pt>
                <c:pt idx="91">
                  <c:v>-2.0274082477906177</c:v>
                </c:pt>
                <c:pt idx="92">
                  <c:v>-2.0433172379881626</c:v>
                </c:pt>
                <c:pt idx="93">
                  <c:v>-2.0590843470724849</c:v>
                </c:pt>
                <c:pt idx="94">
                  <c:v>-2.0747066308649664</c:v>
                </c:pt>
                <c:pt idx="95">
                  <c:v>-2.0901811992010835</c:v>
                </c:pt>
                <c:pt idx="96">
                  <c:v>-2.1055052144655519</c:v>
                </c:pt>
                <c:pt idx="97">
                  <c:v>-2.1206758901925014</c:v>
                </c:pt>
                <c:pt idx="98">
                  <c:v>-2.1356904897015738</c:v>
                </c:pt>
                <c:pt idx="99">
                  <c:v>-2.1505463247622174</c:v>
                </c:pt>
                <c:pt idx="100">
                  <c:v>-2.1652407543319896</c:v>
                </c:pt>
                <c:pt idx="101">
                  <c:v>-2.179771183320554</c:v>
                </c:pt>
                <c:pt idx="102">
                  <c:v>-2.1941350613918758</c:v>
                </c:pt>
                <c:pt idx="103">
                  <c:v>-2.1969476236935179</c:v>
                </c:pt>
                <c:pt idx="104">
                  <c:v>-2.211028692333457</c:v>
                </c:pt>
                <c:pt idx="105">
                  <c:v>-2.2249364652678878</c:v>
                </c:pt>
                <c:pt idx="106">
                  <c:v>-2.2386685480731785</c:v>
                </c:pt>
                <c:pt idx="107">
                  <c:v>-2.2522225859543141</c:v>
                </c:pt>
                <c:pt idx="108">
                  <c:v>-2.26559626275548</c:v>
                </c:pt>
                <c:pt idx="109">
                  <c:v>-2.2787873000074796</c:v>
                </c:pt>
                <c:pt idx="110">
                  <c:v>-2.291793456005621</c:v>
                </c:pt>
                <c:pt idx="111">
                  <c:v>-2.3046125249234137</c:v>
                </c:pt>
                <c:pt idx="112">
                  <c:v>-2.3172423359083041</c:v>
                </c:pt>
                <c:pt idx="113">
                  <c:v>-2.3184413771637082</c:v>
                </c:pt>
                <c:pt idx="114">
                  <c:v>-2.3307527681052989</c:v>
                </c:pt>
                <c:pt idx="115">
                  <c:v>-2.3428690950742066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D-459D-A679-E4635931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862592"/>
        <c:axId val="769170576"/>
      </c:lineChart>
      <c:lineChart>
        <c:grouping val="standard"/>
        <c:varyColors val="0"/>
        <c:ser>
          <c:idx val="0"/>
          <c:order val="1"/>
          <c:tx>
            <c:strRef>
              <c:f>'Vækstfunktion, hol'!$AU$2</c:f>
              <c:strCache>
                <c:ptCount val="1"/>
                <c:pt idx="0">
                  <c:v>Total res./foderdag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hol'!$AU$185:$AU$300</c:f>
              <c:numCache>
                <c:formatCode>#,##0.00</c:formatCode>
                <c:ptCount val="116"/>
                <c:pt idx="0">
                  <c:v>1.3432128231171403E-2</c:v>
                </c:pt>
                <c:pt idx="1">
                  <c:v>1.3061864049417879E-2</c:v>
                </c:pt>
                <c:pt idx="2">
                  <c:v>1.2691293941044887E-2</c:v>
                </c:pt>
                <c:pt idx="3">
                  <c:v>1.2320383670099855E-2</c:v>
                </c:pt>
                <c:pt idx="4">
                  <c:v>1.1949100276148553E-2</c:v>
                </c:pt>
                <c:pt idx="5">
                  <c:v>1.1498810078292933E-2</c:v>
                </c:pt>
                <c:pt idx="6">
                  <c:v>1.1127615542155557E-2</c:v>
                </c:pt>
                <c:pt idx="7">
                  <c:v>1.07559210859632E-2</c:v>
                </c:pt>
                <c:pt idx="8">
                  <c:v>1.0383699267921022E-2</c:v>
                </c:pt>
                <c:pt idx="9">
                  <c:v>1.0010923746980312E-2</c:v>
                </c:pt>
                <c:pt idx="10">
                  <c:v>9.5612714103033309E-3</c:v>
                </c:pt>
                <c:pt idx="11">
                  <c:v>9.1880741858930866E-3</c:v>
                </c:pt>
                <c:pt idx="12">
                  <c:v>8.814218825252379E-3</c:v>
                </c:pt>
                <c:pt idx="13">
                  <c:v>8.4396837720981041E-3</c:v>
                </c:pt>
                <c:pt idx="14">
                  <c:v>8.0644484254486296E-3</c:v>
                </c:pt>
                <c:pt idx="15">
                  <c:v>7.6884931166650919E-3</c:v>
                </c:pt>
                <c:pt idx="16">
                  <c:v>7.2372109659453523E-3</c:v>
                </c:pt>
                <c:pt idx="17">
                  <c:v>6.8603440849484831E-3</c:v>
                </c:pt>
                <c:pt idx="18">
                  <c:v>6.4826754512516127E-3</c:v>
                </c:pt>
                <c:pt idx="19">
                  <c:v>6.1041894670506441E-3</c:v>
                </c:pt>
                <c:pt idx="20">
                  <c:v>5.7248713480590879E-3</c:v>
                </c:pt>
                <c:pt idx="21">
                  <c:v>5.3447071049176759E-3</c:v>
                </c:pt>
                <c:pt idx="22">
                  <c:v>4.889770743894517E-3</c:v>
                </c:pt>
                <c:pt idx="23">
                  <c:v>6.8105428801055051E-3</c:v>
                </c:pt>
                <c:pt idx="24">
                  <c:v>7.1553691576195649E-3</c:v>
                </c:pt>
                <c:pt idx="25">
                  <c:v>6.748241728099777E-3</c:v>
                </c:pt>
                <c:pt idx="26">
                  <c:v>6.3447323624458568E-3</c:v>
                </c:pt>
                <c:pt idx="27">
                  <c:v>5.8706818253075332E-3</c:v>
                </c:pt>
                <c:pt idx="28">
                  <c:v>5.4746610586432765E-3</c:v>
                </c:pt>
                <c:pt idx="29">
                  <c:v>5.0821809948594643E-3</c:v>
                </c:pt>
                <c:pt idx="30">
                  <c:v>4.6932250389808139E-3</c:v>
                </c:pt>
                <c:pt idx="31">
                  <c:v>4.3077771296305689E-3</c:v>
                </c:pt>
                <c:pt idx="32">
                  <c:v>3.9258217172358778E-3</c:v>
                </c:pt>
                <c:pt idx="33">
                  <c:v>3.4721850446399194E-3</c:v>
                </c:pt>
                <c:pt idx="34">
                  <c:v>3.0973529289899937E-3</c:v>
                </c:pt>
                <c:pt idx="35">
                  <c:v>2.7259490787869267E-3</c:v>
                </c:pt>
                <c:pt idx="36">
                  <c:v>2.3579601638454573E-3</c:v>
                </c:pt>
                <c:pt idx="37">
                  <c:v>1.993373260156639E-3</c:v>
                </c:pt>
                <c:pt idx="38">
                  <c:v>1.6321758326354741E-3</c:v>
                </c:pt>
                <c:pt idx="39">
                  <c:v>4.2900664234006314</c:v>
                </c:pt>
                <c:pt idx="40">
                  <c:v>3.5188870284565077E-2</c:v>
                </c:pt>
                <c:pt idx="41">
                  <c:v>3.487267368601632E-2</c:v>
                </c:pt>
                <c:pt idx="42">
                  <c:v>3.4558482262137424E-2</c:v>
                </c:pt>
                <c:pt idx="43">
                  <c:v>3.4246309416820608E-2</c:v>
                </c:pt>
                <c:pt idx="44">
                  <c:v>3.3936169275866845E-2</c:v>
                </c:pt>
                <c:pt idx="45">
                  <c:v>3.362807666780121E-2</c:v>
                </c:pt>
                <c:pt idx="46">
                  <c:v>3.3322047105048824E-2</c:v>
                </c:pt>
                <c:pt idx="47">
                  <c:v>3.3018096765561999E-2</c:v>
                </c:pt>
                <c:pt idx="48">
                  <c:v>3.2635523179500581E-2</c:v>
                </c:pt>
                <c:pt idx="49">
                  <c:v>3.2335715083492644E-2</c:v>
                </c:pt>
                <c:pt idx="50">
                  <c:v>3.2038022651865283E-2</c:v>
                </c:pt>
                <c:pt idx="51">
                  <c:v>3.1742464822115402E-2</c:v>
                </c:pt>
                <c:pt idx="52">
                  <c:v>3.1449061106560094E-2</c:v>
                </c:pt>
                <c:pt idx="53">
                  <c:v>3.1157831576475559E-2</c:v>
                </c:pt>
                <c:pt idx="54">
                  <c:v>3.0868796847103752E-2</c:v>
                </c:pt>
                <c:pt idx="55">
                  <c:v>3.0581978062619086E-2</c:v>
                </c:pt>
                <c:pt idx="56">
                  <c:v>3.0297396881866945E-2</c:v>
                </c:pt>
                <c:pt idx="57">
                  <c:v>3.0015075464175034E-2</c:v>
                </c:pt>
                <c:pt idx="58">
                  <c:v>2.9735036455757147E-2</c:v>
                </c:pt>
                <c:pt idx="59">
                  <c:v>2.9370407136124932E-2</c:v>
                </c:pt>
                <c:pt idx="60">
                  <c:v>2.9094796310567439E-2</c:v>
                </c:pt>
                <c:pt idx="61">
                  <c:v>2.8821525140883431E-2</c:v>
                </c:pt>
                <c:pt idx="62">
                  <c:v>2.8550618310860365E-2</c:v>
                </c:pt>
                <c:pt idx="63">
                  <c:v>2.8282100923475717E-2</c:v>
                </c:pt>
                <c:pt idx="64">
                  <c:v>2.8015998489307137E-2</c:v>
                </c:pt>
                <c:pt idx="65">
                  <c:v>2.7752336915541242E-2</c:v>
                </c:pt>
                <c:pt idx="66">
                  <c:v>2.7491142494828757E-2</c:v>
                </c:pt>
                <c:pt idx="67">
                  <c:v>2.2490976678456676E-2</c:v>
                </c:pt>
                <c:pt idx="68">
                  <c:v>3.277478300651282E-3</c:v>
                </c:pt>
                <c:pt idx="69">
                  <c:v>3.2668219342735227E-3</c:v>
                </c:pt>
                <c:pt idx="70">
                  <c:v>2.9142390764373971E-3</c:v>
                </c:pt>
                <c:pt idx="71">
                  <c:v>2.5655377977074068E-3</c:v>
                </c:pt>
                <c:pt idx="72">
                  <c:v>2.2207628167896232E-3</c:v>
                </c:pt>
                <c:pt idx="73">
                  <c:v>1.8799581315001035E-3</c:v>
                </c:pt>
                <c:pt idx="74">
                  <c:v>1.5431670290864119E-3</c:v>
                </c:pt>
                <c:pt idx="75">
                  <c:v>1.2104320961938697E-3</c:v>
                </c:pt>
                <c:pt idx="76">
                  <c:v>8.8179522916664865E-4</c:v>
                </c:pt>
                <c:pt idx="77">
                  <c:v>5.5729764380085811E-4</c:v>
                </c:pt>
                <c:pt idx="78">
                  <c:v>2.3697988532767056E-4</c:v>
                </c:pt>
                <c:pt idx="79">
                  <c:v>-7.9118161521840591E-5</c:v>
                </c:pt>
                <c:pt idx="80">
                  <c:v>-3.9095726306026535E-4</c:v>
                </c:pt>
                <c:pt idx="81">
                  <c:v>-6.9849882659234197E-4</c:v>
                </c:pt>
                <c:pt idx="82">
                  <c:v>-1.0017048909416459E-3</c:v>
                </c:pt>
                <c:pt idx="83">
                  <c:v>-1.3005381166024677E-3</c:v>
                </c:pt>
                <c:pt idx="84">
                  <c:v>-3.4566402347824265E-3</c:v>
                </c:pt>
                <c:pt idx="85">
                  <c:v>-1.0066626389731326E-2</c:v>
                </c:pt>
                <c:pt idx="86">
                  <c:v>-1.0320067745389849E-2</c:v>
                </c:pt>
                <c:pt idx="87">
                  <c:v>-1.0571870823540053E-2</c:v>
                </c:pt>
                <c:pt idx="88">
                  <c:v>-1.0822007416135371E-2</c:v>
                </c:pt>
                <c:pt idx="89">
                  <c:v>-1.1070449664467574E-2</c:v>
                </c:pt>
                <c:pt idx="90">
                  <c:v>-1.1317170052904224E-2</c:v>
                </c:pt>
                <c:pt idx="91">
                  <c:v>-1.1562141401681991E-2</c:v>
                </c:pt>
                <c:pt idx="92">
                  <c:v>-1.1805336861191229E-2</c:v>
                </c:pt>
                <c:pt idx="93">
                  <c:v>-1.2046729905177855E-2</c:v>
                </c:pt>
                <c:pt idx="94">
                  <c:v>-1.2286294325111413E-2</c:v>
                </c:pt>
                <c:pt idx="95">
                  <c:v>-1.2524004224057528E-2</c:v>
                </c:pt>
                <c:pt idx="96">
                  <c:v>-1.2759834010893201E-2</c:v>
                </c:pt>
                <c:pt idx="97">
                  <c:v>-1.2993758394829413E-2</c:v>
                </c:pt>
                <c:pt idx="98">
                  <c:v>-1.32257523799586E-2</c:v>
                </c:pt>
                <c:pt idx="99">
                  <c:v>-1.3455791259768368E-2</c:v>
                </c:pt>
                <c:pt idx="100">
                  <c:v>-1.3683850612092208E-2</c:v>
                </c:pt>
                <c:pt idx="101">
                  <c:v>-1.390990629400779E-2</c:v>
                </c:pt>
                <c:pt idx="102">
                  <c:v>-1.4133934436862283E-2</c:v>
                </c:pt>
                <c:pt idx="103">
                  <c:v>-1.4250685251016471E-2</c:v>
                </c:pt>
                <c:pt idx="104">
                  <c:v>-1.4470875686353857E-2</c:v>
                </c:pt>
                <c:pt idx="105">
                  <c:v>-1.4688979025526905E-2</c:v>
                </c:pt>
                <c:pt idx="106">
                  <c:v>-1.490497230552279E-2</c:v>
                </c:pt>
                <c:pt idx="107">
                  <c:v>-1.5118832817204719E-2</c:v>
                </c:pt>
                <c:pt idx="108">
                  <c:v>-1.5330538100963409E-2</c:v>
                </c:pt>
                <c:pt idx="109">
                  <c:v>-1.554006594253643E-2</c:v>
                </c:pt>
                <c:pt idx="110">
                  <c:v>-1.5747394368927026E-2</c:v>
                </c:pt>
                <c:pt idx="111">
                  <c:v>-1.5952501644485473E-2</c:v>
                </c:pt>
                <c:pt idx="112">
                  <c:v>-1.6155366266647597E-2</c:v>
                </c:pt>
                <c:pt idx="113">
                  <c:v>-1.6250880261555523E-2</c:v>
                </c:pt>
                <c:pt idx="114">
                  <c:v>-1.6449590631721911E-2</c:v>
                </c:pt>
                <c:pt idx="115">
                  <c:v>-1.6646004228551448E-2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FD-459D-A679-E4635931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373368"/>
        <c:axId val="8223769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46126020803433032"/>
              <c:y val="0.85784490695125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  <c:max val="16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valAx>
        <c:axId val="822376976"/>
        <c:scaling>
          <c:orientation val="minMax"/>
          <c:max val="0.4"/>
          <c:min val="-0.1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22373368"/>
        <c:crosses val="max"/>
        <c:crossBetween val="between"/>
      </c:valAx>
      <c:catAx>
        <c:axId val="822373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22376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430337311715474"/>
          <c:y val="0.92942943752001361"/>
          <c:w val="0.34983959574437723"/>
          <c:h val="4.121467461957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400" b="0" i="0" u="none" strike="noStrike" baseline="0">
                <a:effectLst/>
              </a:rPr>
              <a:t>Dækningsbidrag minus arbejdsomkostninger, </a:t>
            </a:r>
            <a:r>
              <a:rPr lang="da-DK"/>
              <a:t>Kr. pr. foderdag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104474352645535E-2"/>
          <c:y val="0.23444951659523569"/>
          <c:w val="0.91156218615478979"/>
          <c:h val="0.63787155719459121"/>
        </c:manualLayout>
      </c:layout>
      <c:lineChart>
        <c:grouping val="standard"/>
        <c:varyColors val="0"/>
        <c:ser>
          <c:idx val="3"/>
          <c:order val="0"/>
          <c:tx>
            <c:v>hol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hol'!$AO$184:$AO$327</c:f>
              <c:numCache>
                <c:formatCode>#,##0.00</c:formatCode>
                <c:ptCount val="144"/>
                <c:pt idx="0">
                  <c:v>-0.108758130064201</c:v>
                </c:pt>
                <c:pt idx="1">
                  <c:v>-9.5326001833029597E-2</c:v>
                </c:pt>
                <c:pt idx="2">
                  <c:v>-8.2264137783611718E-2</c:v>
                </c:pt>
                <c:pt idx="3">
                  <c:v>-6.9572843842566831E-2</c:v>
                </c:pt>
                <c:pt idx="4">
                  <c:v>-5.7252460172466976E-2</c:v>
                </c:pt>
                <c:pt idx="5">
                  <c:v>-4.5303359896318424E-2</c:v>
                </c:pt>
                <c:pt idx="6">
                  <c:v>-3.3804549818025491E-2</c:v>
                </c:pt>
                <c:pt idx="7">
                  <c:v>-2.2676934275869934E-2</c:v>
                </c:pt>
                <c:pt idx="8">
                  <c:v>-1.1921013189906734E-2</c:v>
                </c:pt>
                <c:pt idx="9">
                  <c:v>-1.5373139219857111E-3</c:v>
                </c:pt>
                <c:pt idx="10">
                  <c:v>8.4736098249946021E-3</c:v>
                </c:pt>
                <c:pt idx="11">
                  <c:v>1.8034881235297933E-2</c:v>
                </c:pt>
                <c:pt idx="12">
                  <c:v>2.722295542119102E-2</c:v>
                </c:pt>
                <c:pt idx="13">
                  <c:v>3.6037174246443399E-2</c:v>
                </c:pt>
                <c:pt idx="14">
                  <c:v>4.4476858018541503E-2</c:v>
                </c:pt>
                <c:pt idx="15">
                  <c:v>5.2541306443990132E-2</c:v>
                </c:pt>
                <c:pt idx="16">
                  <c:v>6.0229799560655224E-2</c:v>
                </c:pt>
                <c:pt idx="17">
                  <c:v>6.7467010526600577E-2</c:v>
                </c:pt>
                <c:pt idx="18">
                  <c:v>7.432735461154906E-2</c:v>
                </c:pt>
                <c:pt idx="19">
                  <c:v>8.0810030062800672E-2</c:v>
                </c:pt>
                <c:pt idx="20">
                  <c:v>8.6914219529851316E-2</c:v>
                </c:pt>
                <c:pt idx="21">
                  <c:v>9.2639090877910404E-2</c:v>
                </c:pt>
                <c:pt idx="22">
                  <c:v>9.798379798282808E-2</c:v>
                </c:pt>
                <c:pt idx="23">
                  <c:v>0.1028735687267226</c:v>
                </c:pt>
                <c:pt idx="24">
                  <c:v>0.1096841116068281</c:v>
                </c:pt>
                <c:pt idx="25">
                  <c:v>0.11683948076444767</c:v>
                </c:pt>
                <c:pt idx="26">
                  <c:v>0.12358772249254744</c:v>
                </c:pt>
                <c:pt idx="27">
                  <c:v>0.1299324548549933</c:v>
                </c:pt>
                <c:pt idx="28">
                  <c:v>0.13580313668030083</c:v>
                </c:pt>
                <c:pt idx="29">
                  <c:v>0.14127779773894411</c:v>
                </c:pt>
                <c:pt idx="30">
                  <c:v>0.14635997873380358</c:v>
                </c:pt>
                <c:pt idx="31">
                  <c:v>0.15105320377278439</c:v>
                </c:pt>
                <c:pt idx="32">
                  <c:v>0.15536098090241496</c:v>
                </c:pt>
                <c:pt idx="33">
                  <c:v>0.15928680261965084</c:v>
                </c:pt>
                <c:pt idx="34">
                  <c:v>0.16275898766429076</c:v>
                </c:pt>
                <c:pt idx="35">
                  <c:v>0.16585634059328075</c:v>
                </c:pt>
                <c:pt idx="36">
                  <c:v>0.16858228967206768</c:v>
                </c:pt>
                <c:pt idx="37">
                  <c:v>0.17094024983591313</c:v>
                </c:pt>
                <c:pt idx="38">
                  <c:v>0.17293362309606977</c:v>
                </c:pt>
                <c:pt idx="39">
                  <c:v>0.17456579892870525</c:v>
                </c:pt>
                <c:pt idx="40">
                  <c:v>4.4646322223293362</c:v>
                </c:pt>
                <c:pt idx="41">
                  <c:v>4.4998210926139013</c:v>
                </c:pt>
                <c:pt idx="42">
                  <c:v>4.5346937662999176</c:v>
                </c:pt>
                <c:pt idx="43">
                  <c:v>4.569252248562055</c:v>
                </c:pt>
                <c:pt idx="44">
                  <c:v>4.6034985579788756</c:v>
                </c:pt>
                <c:pt idx="45">
                  <c:v>4.6374347272547425</c:v>
                </c:pt>
                <c:pt idx="46">
                  <c:v>4.6710628039225437</c:v>
                </c:pt>
                <c:pt idx="47">
                  <c:v>4.7043848510275925</c:v>
                </c:pt>
                <c:pt idx="48">
                  <c:v>4.7374029477931545</c:v>
                </c:pt>
                <c:pt idx="49">
                  <c:v>4.7700384709726551</c:v>
                </c:pt>
                <c:pt idx="50">
                  <c:v>4.8023741860561477</c:v>
                </c:pt>
                <c:pt idx="51">
                  <c:v>4.834412208708013</c:v>
                </c:pt>
                <c:pt idx="52">
                  <c:v>4.8661546735301284</c:v>
                </c:pt>
                <c:pt idx="53">
                  <c:v>4.8976037346366885</c:v>
                </c:pt>
                <c:pt idx="54">
                  <c:v>4.9287615662131641</c:v>
                </c:pt>
                <c:pt idx="55">
                  <c:v>4.9596303630602678</c:v>
                </c:pt>
                <c:pt idx="56">
                  <c:v>4.9902123411228869</c:v>
                </c:pt>
                <c:pt idx="57">
                  <c:v>5.0205097380047539</c:v>
                </c:pt>
                <c:pt idx="58">
                  <c:v>5.0505248134689289</c:v>
                </c:pt>
                <c:pt idx="59">
                  <c:v>5.080259849924686</c:v>
                </c:pt>
                <c:pt idx="60">
                  <c:v>5.109630257060811</c:v>
                </c:pt>
                <c:pt idx="61">
                  <c:v>5.1387250533713784</c:v>
                </c:pt>
                <c:pt idx="62">
                  <c:v>5.1675465785122618</c:v>
                </c:pt>
                <c:pt idx="63">
                  <c:v>5.1960971968231222</c:v>
                </c:pt>
                <c:pt idx="64">
                  <c:v>5.2243792977465979</c:v>
                </c:pt>
                <c:pt idx="65">
                  <c:v>5.2523952962359051</c:v>
                </c:pt>
                <c:pt idx="66">
                  <c:v>5.2801476331514463</c:v>
                </c:pt>
                <c:pt idx="67">
                  <c:v>5.3076387756462751</c:v>
                </c:pt>
                <c:pt idx="68">
                  <c:v>5.3301297523247317</c:v>
                </c:pt>
                <c:pt idx="69">
                  <c:v>5.333407230625383</c:v>
                </c:pt>
                <c:pt idx="70">
                  <c:v>5.3366740525596565</c:v>
                </c:pt>
                <c:pt idx="71">
                  <c:v>5.3395882916360939</c:v>
                </c:pt>
                <c:pt idx="72">
                  <c:v>5.3421538294338013</c:v>
                </c:pt>
                <c:pt idx="73">
                  <c:v>5.344374592250591</c:v>
                </c:pt>
                <c:pt idx="74">
                  <c:v>5.3462545503820911</c:v>
                </c:pt>
                <c:pt idx="75">
                  <c:v>5.3477977174111775</c:v>
                </c:pt>
                <c:pt idx="76">
                  <c:v>5.3490081495073714</c:v>
                </c:pt>
                <c:pt idx="77">
                  <c:v>5.349889944736538</c:v>
                </c:pt>
                <c:pt idx="78">
                  <c:v>5.3504472423803389</c:v>
                </c:pt>
                <c:pt idx="79">
                  <c:v>5.3506842222656665</c:v>
                </c:pt>
                <c:pt idx="80">
                  <c:v>5.3506051041041447</c:v>
                </c:pt>
                <c:pt idx="81">
                  <c:v>5.3502141468410844</c:v>
                </c:pt>
                <c:pt idx="82">
                  <c:v>5.3495156480144921</c:v>
                </c:pt>
                <c:pt idx="83">
                  <c:v>5.3485139431235504</c:v>
                </c:pt>
                <c:pt idx="84">
                  <c:v>5.347213405006948</c:v>
                </c:pt>
                <c:pt idx="85">
                  <c:v>5.3437567647721655</c:v>
                </c:pt>
                <c:pt idx="86">
                  <c:v>5.3336901383824342</c:v>
                </c:pt>
                <c:pt idx="87">
                  <c:v>5.3233700706370444</c:v>
                </c:pt>
                <c:pt idx="88">
                  <c:v>5.3127981998135043</c:v>
                </c:pt>
                <c:pt idx="89">
                  <c:v>5.3019761923973689</c:v>
                </c:pt>
                <c:pt idx="90">
                  <c:v>5.2909057427329014</c:v>
                </c:pt>
                <c:pt idx="91">
                  <c:v>5.2795885726799971</c:v>
                </c:pt>
                <c:pt idx="92">
                  <c:v>5.2680264312783152</c:v>
                </c:pt>
                <c:pt idx="93">
                  <c:v>5.2562210944171239</c:v>
                </c:pt>
                <c:pt idx="94">
                  <c:v>5.2441743645119461</c:v>
                </c:pt>
                <c:pt idx="95">
                  <c:v>5.2318880701868347</c:v>
                </c:pt>
                <c:pt idx="96">
                  <c:v>5.2193640659627771</c:v>
                </c:pt>
                <c:pt idx="97">
                  <c:v>5.2066042319518839</c:v>
                </c:pt>
                <c:pt idx="98">
                  <c:v>5.1936104735570545</c:v>
                </c:pt>
                <c:pt idx="99">
                  <c:v>5.1803847211770959</c:v>
                </c:pt>
                <c:pt idx="100">
                  <c:v>5.1669289299173276</c:v>
                </c:pt>
                <c:pt idx="101">
                  <c:v>5.1532450793052353</c:v>
                </c:pt>
                <c:pt idx="102">
                  <c:v>5.1393351730112276</c:v>
                </c:pt>
                <c:pt idx="103">
                  <c:v>5.1252012385743653</c:v>
                </c:pt>
                <c:pt idx="104">
                  <c:v>5.1109505533233488</c:v>
                </c:pt>
                <c:pt idx="105">
                  <c:v>5.0964796776369949</c:v>
                </c:pt>
                <c:pt idx="106">
                  <c:v>5.081790698611468</c:v>
                </c:pt>
                <c:pt idx="107">
                  <c:v>5.0668857263059452</c:v>
                </c:pt>
                <c:pt idx="108">
                  <c:v>5.0517668934887405</c:v>
                </c:pt>
                <c:pt idx="109">
                  <c:v>5.0364363553877771</c:v>
                </c:pt>
                <c:pt idx="110">
                  <c:v>5.0208962894452407</c:v>
                </c:pt>
                <c:pt idx="111">
                  <c:v>5.0051488950763137</c:v>
                </c:pt>
                <c:pt idx="112">
                  <c:v>4.9891963934318282</c:v>
                </c:pt>
                <c:pt idx="113">
                  <c:v>4.9730410271651806</c:v>
                </c:pt>
                <c:pt idx="114">
                  <c:v>4.9567901469036251</c:v>
                </c:pt>
                <c:pt idx="115">
                  <c:v>4.9403405562719032</c:v>
                </c:pt>
                <c:pt idx="116">
                  <c:v>4.9236945520433517</c:v>
                </c:pt>
                <c:pt idx="117">
                  <c:v>4.9068544517185639</c:v>
                </c:pt>
                <c:pt idx="118">
                  <c:v>4.8898225933084127</c:v>
                </c:pt>
                <c:pt idx="119">
                  <c:v>4.8726013351204518</c:v>
                </c:pt>
                <c:pt idx="120">
                  <c:v>4.855193055548682</c:v>
                </c:pt>
                <c:pt idx="121">
                  <c:v>4.8376001528666377</c:v>
                </c:pt>
                <c:pt idx="122">
                  <c:v>4.8199292393069051</c:v>
                </c:pt>
                <c:pt idx="123">
                  <c:v>4.8020780906677318</c:v>
                </c:pt>
                <c:pt idx="124">
                  <c:v>4.7840491555754294</c:v>
                </c:pt>
                <c:pt idx="125">
                  <c:v>4.7658449018450479</c:v>
                </c:pt>
                <c:pt idx="126">
                  <c:v>4.7474678162875659</c:v>
                </c:pt>
                <c:pt idx="127">
                  <c:v>4.7289204045193625</c:v>
                </c:pt>
                <c:pt idx="128">
                  <c:v>4.7102051907753566</c:v>
                </c:pt>
                <c:pt idx="129">
                  <c:v>4.6914276503707519</c:v>
                </c:pt>
                <c:pt idx="130">
                  <c:v>4.6724868883195558</c:v>
                </c:pt>
                <c:pt idx="131">
                  <c:v>4.6533854762559503</c:v>
                </c:pt>
                <c:pt idx="132">
                  <c:v>4.6341260038049121</c:v>
                </c:pt>
                <c:pt idx="133">
                  <c:v>4.6147110784068746</c:v>
                </c:pt>
                <c:pt idx="134">
                  <c:v>4.5951433251453855</c:v>
                </c:pt>
                <c:pt idx="135">
                  <c:v>4.5755269208316696</c:v>
                </c:pt>
                <c:pt idx="136">
                  <c:v>4.5557624255768117</c:v>
                </c:pt>
                <c:pt idx="137">
                  <c:v>4.5358525095588229</c:v>
                </c:pt>
                <c:pt idx="138">
                  <c:v>4.5157998600186566</c:v>
                </c:pt>
                <c:pt idx="139">
                  <c:v>4.4956071810987899</c:v>
                </c:pt>
                <c:pt idx="140">
                  <c:v>4.4752771936838291</c:v>
                </c:pt>
                <c:pt idx="141">
                  <c:v>4.4549125232557829</c:v>
                </c:pt>
                <c:pt idx="142">
                  <c:v>4.4344154310652524</c:v>
                </c:pt>
                <c:pt idx="143">
                  <c:v>4.4137886809536342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1-41BD-8AD6-8948AA342445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kry tyr'!$AO$184:$AO$327</c:f>
              <c:numCache>
                <c:formatCode>#,##0.000</c:formatCode>
                <c:ptCount val="144"/>
                <c:pt idx="0">
                  <c:v>1.0790794088589499</c:v>
                </c:pt>
                <c:pt idx="1">
                  <c:v>1.1161932941427322</c:v>
                </c:pt>
                <c:pt idx="2">
                  <c:v>1.1525780640640979</c:v>
                </c:pt>
                <c:pt idx="3">
                  <c:v>1.1882359061822088</c:v>
                </c:pt>
                <c:pt idx="4">
                  <c:v>1.2230895087176856</c:v>
                </c:pt>
                <c:pt idx="5">
                  <c:v>1.2572211256224894</c:v>
                </c:pt>
                <c:pt idx="6">
                  <c:v>1.2906325468855759</c:v>
                </c:pt>
                <c:pt idx="7">
                  <c:v>1.3232474659802005</c:v>
                </c:pt>
                <c:pt idx="8">
                  <c:v>1.3551462243301289</c:v>
                </c:pt>
                <c:pt idx="9">
                  <c:v>1.3863302529117678</c:v>
                </c:pt>
                <c:pt idx="10">
                  <c:v>1.4168008845925684</c:v>
                </c:pt>
                <c:pt idx="11">
                  <c:v>1.4464824868578989</c:v>
                </c:pt>
                <c:pt idx="12">
                  <c:v>1.475453681920464</c:v>
                </c:pt>
                <c:pt idx="13">
                  <c:v>1.5037154887518152</c:v>
                </c:pt>
                <c:pt idx="14">
                  <c:v>1.5312688412050948</c:v>
                </c:pt>
                <c:pt idx="15">
                  <c:v>1.5580380740987794</c:v>
                </c:pt>
                <c:pt idx="16">
                  <c:v>1.5841009231581165</c:v>
                </c:pt>
                <c:pt idx="17">
                  <c:v>1.6094580483173111</c:v>
                </c:pt>
                <c:pt idx="18">
                  <c:v>1.6341100359045959</c:v>
                </c:pt>
                <c:pt idx="19">
                  <c:v>1.6579805205500384</c:v>
                </c:pt>
                <c:pt idx="20">
                  <c:v>1.6811471311328521</c:v>
                </c:pt>
                <c:pt idx="21">
                  <c:v>1.7036102155603348</c:v>
                </c:pt>
                <c:pt idx="22">
                  <c:v>1.7253700583568508</c:v>
                </c:pt>
                <c:pt idx="23">
                  <c:v>1.7463489628606161</c:v>
                </c:pt>
                <c:pt idx="24">
                  <c:v>1.7666251821415724</c:v>
                </c:pt>
                <c:pt idx="25">
                  <c:v>1.7861987938817667</c:v>
                </c:pt>
                <c:pt idx="26">
                  <c:v>1.805069821473823</c:v>
                </c:pt>
                <c:pt idx="27">
                  <c:v>1.8232382359948371</c:v>
                </c:pt>
                <c:pt idx="28">
                  <c:v>1.8406240296288079</c:v>
                </c:pt>
                <c:pt idx="29">
                  <c:v>1.8573085113674983</c:v>
                </c:pt>
                <c:pt idx="30">
                  <c:v>1.8732988992376818</c:v>
                </c:pt>
                <c:pt idx="31">
                  <c:v>1.8886038311398072</c:v>
                </c:pt>
                <c:pt idx="32">
                  <c:v>1.903149557997275</c:v>
                </c:pt>
                <c:pt idx="33">
                  <c:v>5.9216537205087194</c:v>
                </c:pt>
                <c:pt idx="34">
                  <c:v>5.9751677435469848</c:v>
                </c:pt>
                <c:pt idx="35">
                  <c:v>6.02809078249535</c:v>
                </c:pt>
                <c:pt idx="36">
                  <c:v>6.0804290738080988</c:v>
                </c:pt>
                <c:pt idx="37">
                  <c:v>6.1321029919789911</c:v>
                </c:pt>
                <c:pt idx="38">
                  <c:v>6.1832043975125801</c:v>
                </c:pt>
                <c:pt idx="39">
                  <c:v>6.23415774068582</c:v>
                </c:pt>
                <c:pt idx="40">
                  <c:v>6.2869213627543736</c:v>
                </c:pt>
                <c:pt idx="41">
                  <c:v>6.3389647755512062</c:v>
                </c:pt>
                <c:pt idx="42">
                  <c:v>6.3902955518998894</c:v>
                </c:pt>
                <c:pt idx="43">
                  <c:v>6.4408304204500189</c:v>
                </c:pt>
                <c:pt idx="44">
                  <c:v>6.4906674789104057</c:v>
                </c:pt>
                <c:pt idx="45">
                  <c:v>6.5398142947356659</c:v>
                </c:pt>
                <c:pt idx="46">
                  <c:v>6.5882784426867058</c:v>
                </c:pt>
                <c:pt idx="47">
                  <c:v>6.6360675057058813</c:v>
                </c:pt>
                <c:pt idx="48">
                  <c:v>6.6831890757557506</c:v>
                </c:pt>
                <c:pt idx="49">
                  <c:v>6.7295539689362878</c:v>
                </c:pt>
                <c:pt idx="50">
                  <c:v>6.7752661399571918</c:v>
                </c:pt>
                <c:pt idx="51">
                  <c:v>6.8203331939639131</c:v>
                </c:pt>
                <c:pt idx="52">
                  <c:v>6.8617571115557245</c:v>
                </c:pt>
                <c:pt idx="53">
                  <c:v>6.8946508961677546</c:v>
                </c:pt>
                <c:pt idx="54">
                  <c:v>6.9268730638559299</c:v>
                </c:pt>
                <c:pt idx="55">
                  <c:v>6.9584319582565586</c:v>
                </c:pt>
                <c:pt idx="56">
                  <c:v>6.9893359158199617</c:v>
                </c:pt>
                <c:pt idx="57">
                  <c:v>7.0194877054099782</c:v>
                </c:pt>
                <c:pt idx="58">
                  <c:v>7.0490006428043008</c:v>
                </c:pt>
                <c:pt idx="59">
                  <c:v>7.0778830277357994</c:v>
                </c:pt>
                <c:pt idx="60">
                  <c:v>7.1061431537961086</c:v>
                </c:pt>
                <c:pt idx="61">
                  <c:v>7.133789308621834</c:v>
                </c:pt>
                <c:pt idx="62">
                  <c:v>7.1608297861088799</c:v>
                </c:pt>
                <c:pt idx="63">
                  <c:v>7.1872729154050212</c:v>
                </c:pt>
                <c:pt idx="64">
                  <c:v>7.2131270644854979</c:v>
                </c:pt>
                <c:pt idx="65">
                  <c:v>7.2384006393492504</c:v>
                </c:pt>
                <c:pt idx="66">
                  <c:v>7.262986046485592</c:v>
                </c:pt>
                <c:pt idx="67">
                  <c:v>7.2870073885847457</c:v>
                </c:pt>
                <c:pt idx="68">
                  <c:v>7.3104732079411416</c:v>
                </c:pt>
                <c:pt idx="69">
                  <c:v>7.3333920813380145</c:v>
                </c:pt>
                <c:pt idx="70">
                  <c:v>7.3557726193074418</c:v>
                </c:pt>
                <c:pt idx="71">
                  <c:v>7.3776234654018626</c:v>
                </c:pt>
                <c:pt idx="72">
                  <c:v>7.3989532954762867</c:v>
                </c:pt>
                <c:pt idx="73">
                  <c:v>7.4155061175236536</c:v>
                </c:pt>
                <c:pt idx="74">
                  <c:v>7.4145361203770355</c:v>
                </c:pt>
                <c:pt idx="75">
                  <c:v>7.4131370681920936</c:v>
                </c:pt>
                <c:pt idx="76">
                  <c:v>7.411317522186275</c:v>
                </c:pt>
                <c:pt idx="77">
                  <c:v>7.4090860629833024</c:v>
                </c:pt>
                <c:pt idx="78">
                  <c:v>7.4064512899837389</c:v>
                </c:pt>
                <c:pt idx="79">
                  <c:v>7.4034218207461659</c:v>
                </c:pt>
                <c:pt idx="80">
                  <c:v>7.3998794709405491</c:v>
                </c:pt>
                <c:pt idx="81">
                  <c:v>7.3959597156667618</c:v>
                </c:pt>
                <c:pt idx="82">
                  <c:v>7.3916712441212251</c:v>
                </c:pt>
                <c:pt idx="83">
                  <c:v>7.3870227609797769</c:v>
                </c:pt>
                <c:pt idx="84">
                  <c:v>7.3820229858402291</c:v>
                </c:pt>
                <c:pt idx="85">
                  <c:v>7.3766806526764368</c:v>
                </c:pt>
                <c:pt idx="86">
                  <c:v>7.3710045093036198</c:v>
                </c:pt>
                <c:pt idx="87">
                  <c:v>7.3650033168552822</c:v>
                </c:pt>
                <c:pt idx="88">
                  <c:v>7.3586858492717164</c:v>
                </c:pt>
                <c:pt idx="89">
                  <c:v>7.352060892800357</c:v>
                </c:pt>
                <c:pt idx="90">
                  <c:v>7.3451361805845536</c:v>
                </c:pt>
                <c:pt idx="91">
                  <c:v>7.3379152003101273</c:v>
                </c:pt>
                <c:pt idx="92">
                  <c:v>7.3304003937039521</c:v>
                </c:pt>
                <c:pt idx="93">
                  <c:v>7.3225942220023184</c:v>
                </c:pt>
                <c:pt idx="94">
                  <c:v>7.314499165791478</c:v>
                </c:pt>
                <c:pt idx="95">
                  <c:v>7.3061177248517879</c:v>
                </c:pt>
                <c:pt idx="96">
                  <c:v>7.2974524180051024</c:v>
                </c:pt>
                <c:pt idx="97">
                  <c:v>7.2885057829654816</c:v>
                </c:pt>
                <c:pt idx="98">
                  <c:v>7.2792803761931237</c:v>
                </c:pt>
                <c:pt idx="99">
                  <c:v>7.2697787727511489</c:v>
                </c:pt>
                <c:pt idx="100">
                  <c:v>7.260003566165663</c:v>
                </c:pt>
                <c:pt idx="101">
                  <c:v>7.2499573682881637</c:v>
                </c:pt>
                <c:pt idx="102">
                  <c:v>7.2396428091611202</c:v>
                </c:pt>
                <c:pt idx="103">
                  <c:v>7.22906253688594</c:v>
                </c:pt>
                <c:pt idx="104">
                  <c:v>7.2182192174935826</c:v>
                </c:pt>
                <c:pt idx="105">
                  <c:v>7.207115534817599</c:v>
                </c:pt>
                <c:pt idx="106">
                  <c:v>7.1957541903694597</c:v>
                </c:pt>
                <c:pt idx="107">
                  <c:v>7.1842698105948806</c:v>
                </c:pt>
                <c:pt idx="108">
                  <c:v>7.1725326748184219</c:v>
                </c:pt>
                <c:pt idx="109">
                  <c:v>7.1605455236509927</c:v>
                </c:pt>
                <c:pt idx="110">
                  <c:v>7.1434776052557707</c:v>
                </c:pt>
                <c:pt idx="111">
                  <c:v>7.1209715987761495</c:v>
                </c:pt>
                <c:pt idx="112">
                  <c:v>7.0982663073928487</c:v>
                </c:pt>
                <c:pt idx="113">
                  <c:v>7.0753643781966149</c:v>
                </c:pt>
                <c:pt idx="114">
                  <c:v>7.0522684706297785</c:v>
                </c:pt>
                <c:pt idx="115">
                  <c:v>7.0289812563632674</c:v>
                </c:pt>
                <c:pt idx="116">
                  <c:v>7.0055054191758481</c:v>
                </c:pt>
                <c:pt idx="117">
                  <c:v>6.9818436548354859</c:v>
                </c:pt>
                <c:pt idx="118">
                  <c:v>6.9579986709828274</c:v>
                </c:pt>
                <c:pt idx="119">
                  <c:v>6.9339731870167594</c:v>
                </c:pt>
                <c:pt idx="120">
                  <c:v>6.9097699339817371</c:v>
                </c:pt>
                <c:pt idx="121">
                  <c:v>6.8853916544571803</c:v>
                </c:pt>
                <c:pt idx="122">
                  <c:v>6.8609696635067294</c:v>
                </c:pt>
                <c:pt idx="123">
                  <c:v>6.8363774124273062</c:v>
                </c:pt>
                <c:pt idx="124">
                  <c:v>6.8116176671866695</c:v>
                </c:pt>
                <c:pt idx="125">
                  <c:v>6.7866932049995832</c:v>
                </c:pt>
                <c:pt idx="126">
                  <c:v>2.4138601705175136</c:v>
                </c:pt>
                <c:pt idx="127">
                  <c:v>2.4042831908387687</c:v>
                </c:pt>
                <c:pt idx="128">
                  <c:v>2.3944872506836457</c:v>
                </c:pt>
                <c:pt idx="129">
                  <c:v>2.3846013498676122</c:v>
                </c:pt>
                <c:pt idx="130">
                  <c:v>2.3746273404631082</c:v>
                </c:pt>
                <c:pt idx="131">
                  <c:v>2.3645670857050645</c:v>
                </c:pt>
                <c:pt idx="132">
                  <c:v>2.3544224599308969</c:v>
                </c:pt>
                <c:pt idx="133">
                  <c:v>2.3441953485206977</c:v>
                </c:pt>
                <c:pt idx="134">
                  <c:v>2.3338876478372454</c:v>
                </c:pt>
                <c:pt idx="135">
                  <c:v>2.3235012651661915</c:v>
                </c:pt>
                <c:pt idx="136">
                  <c:v>2.3130381186559608</c:v>
                </c:pt>
                <c:pt idx="137">
                  <c:v>2.3025001372578946</c:v>
                </c:pt>
                <c:pt idx="138">
                  <c:v>2.2918892606660126</c:v>
                </c:pt>
                <c:pt idx="139">
                  <c:v>2.2812074392570616</c:v>
                </c:pt>
                <c:pt idx="140">
                  <c:v>2.2704566340301024</c:v>
                </c:pt>
                <c:pt idx="141">
                  <c:v>2.2596388165462455</c:v>
                </c:pt>
                <c:pt idx="142">
                  <c:v>2.2487559688681786</c:v>
                </c:pt>
                <c:pt idx="143">
                  <c:v>2.237810083499578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A-4B37-9AE4-74A4A27606BD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kry kvie'!$AO$184:$AO$327</c:f>
              <c:numCache>
                <c:formatCode>#,##0.00</c:formatCode>
                <c:ptCount val="144"/>
                <c:pt idx="0">
                  <c:v>2.1467268768542112</c:v>
                </c:pt>
                <c:pt idx="1">
                  <c:v>2.1588334252193411</c:v>
                </c:pt>
                <c:pt idx="2">
                  <c:v>2.1701896359321005</c:v>
                </c:pt>
                <c:pt idx="3">
                  <c:v>2.1809821151998228</c:v>
                </c:pt>
                <c:pt idx="4">
                  <c:v>2.1912160954694322</c:v>
                </c:pt>
                <c:pt idx="5">
                  <c:v>2.2008967342992487</c:v>
                </c:pt>
                <c:pt idx="6">
                  <c:v>2.2100291167471733</c:v>
                </c:pt>
                <c:pt idx="7">
                  <c:v>2.2186182576875773</c:v>
                </c:pt>
                <c:pt idx="8">
                  <c:v>2.2265167886002288</c:v>
                </c:pt>
                <c:pt idx="9">
                  <c:v>2.2338863036483296</c:v>
                </c:pt>
                <c:pt idx="10">
                  <c:v>2.2407315844154319</c:v>
                </c:pt>
                <c:pt idx="11">
                  <c:v>2.2470573516480719</c:v>
                </c:pt>
                <c:pt idx="12">
                  <c:v>2.252868267231654</c:v>
                </c:pt>
                <c:pt idx="13">
                  <c:v>2.258168936108889</c:v>
                </c:pt>
                <c:pt idx="14">
                  <c:v>2.2628360467695354</c:v>
                </c:pt>
                <c:pt idx="15">
                  <c:v>2.2670061959185288</c:v>
                </c:pt>
                <c:pt idx="16">
                  <c:v>2.2706837961687683</c:v>
                </c:pt>
                <c:pt idx="17">
                  <c:v>2.273873210980808</c:v>
                </c:pt>
                <c:pt idx="18">
                  <c:v>2.2765787563056175</c:v>
                </c:pt>
                <c:pt idx="19">
                  <c:v>2.2788047021806883</c:v>
                </c:pt>
                <c:pt idx="20">
                  <c:v>2.2805552742813862</c:v>
                </c:pt>
                <c:pt idx="21">
                  <c:v>2.2817349002265694</c:v>
                </c:pt>
                <c:pt idx="22">
                  <c:v>2.2824515407912291</c:v>
                </c:pt>
                <c:pt idx="23">
                  <c:v>2.2827092413138521</c:v>
                </c:pt>
                <c:pt idx="24">
                  <c:v>2.2825119267843652</c:v>
                </c:pt>
                <c:pt idx="25">
                  <c:v>2.2818633982369421</c:v>
                </c:pt>
                <c:pt idx="26">
                  <c:v>2.2807673361439078</c:v>
                </c:pt>
                <c:pt idx="27">
                  <c:v>2.2792279788436258</c:v>
                </c:pt>
                <c:pt idx="28">
                  <c:v>2.2772521468404534</c:v>
                </c:pt>
                <c:pt idx="29">
                  <c:v>2.2748472129440365</c:v>
                </c:pt>
                <c:pt idx="30">
                  <c:v>2.2720204289455501</c:v>
                </c:pt>
                <c:pt idx="31">
                  <c:v>2.2687138834913045</c:v>
                </c:pt>
                <c:pt idx="32">
                  <c:v>2.2650026286061244</c:v>
                </c:pt>
                <c:pt idx="33">
                  <c:v>2.2608934708832278</c:v>
                </c:pt>
                <c:pt idx="34">
                  <c:v>2.2563931083737629</c:v>
                </c:pt>
                <c:pt idx="35">
                  <c:v>2.2515081330120439</c:v>
                </c:pt>
                <c:pt idx="36">
                  <c:v>5.6597277778004162</c:v>
                </c:pt>
                <c:pt idx="37">
                  <c:v>5.686386633992945</c:v>
                </c:pt>
                <c:pt idx="38">
                  <c:v>5.7127219756367023</c:v>
                </c:pt>
                <c:pt idx="39">
                  <c:v>5.7387382058790006</c:v>
                </c:pt>
                <c:pt idx="40">
                  <c:v>5.7644396562227431</c:v>
                </c:pt>
                <c:pt idx="41">
                  <c:v>5.7898305890940813</c:v>
                </c:pt>
                <c:pt idx="42">
                  <c:v>5.8149152003436031</c:v>
                </c:pt>
                <c:pt idx="43">
                  <c:v>5.8396976216829364</c:v>
                </c:pt>
                <c:pt idx="44">
                  <c:v>5.8641819230587924</c:v>
                </c:pt>
                <c:pt idx="45">
                  <c:v>5.8883391035806465</c:v>
                </c:pt>
                <c:pt idx="46">
                  <c:v>5.9122078488238898</c:v>
                </c:pt>
                <c:pt idx="47">
                  <c:v>5.9357919811956243</c:v>
                </c:pt>
                <c:pt idx="48">
                  <c:v>5.9590952715612229</c:v>
                </c:pt>
                <c:pt idx="49">
                  <c:v>5.9821214413015795</c:v>
                </c:pt>
                <c:pt idx="50">
                  <c:v>6.0048741643184744</c:v>
                </c:pt>
                <c:pt idx="51">
                  <c:v>6.0273570689889606</c:v>
                </c:pt>
                <c:pt idx="52">
                  <c:v>6.0495737400707608</c:v>
                </c:pt>
                <c:pt idx="53">
                  <c:v>6.0715277205594411</c:v>
                </c:pt>
                <c:pt idx="54">
                  <c:v>6.0932225134991516</c:v>
                </c:pt>
                <c:pt idx="55">
                  <c:v>6.1146615837479317</c:v>
                </c:pt>
                <c:pt idx="56">
                  <c:v>6.1358483596987927</c:v>
                </c:pt>
                <c:pt idx="57">
                  <c:v>6.1567862349580116</c:v>
                </c:pt>
                <c:pt idx="58">
                  <c:v>6.1774785699816563</c:v>
                </c:pt>
                <c:pt idx="59">
                  <c:v>6.1979286936713782</c:v>
                </c:pt>
                <c:pt idx="60">
                  <c:v>6.218139904930692</c:v>
                </c:pt>
                <c:pt idx="61">
                  <c:v>6.2381154741830409</c:v>
                </c:pt>
                <c:pt idx="62">
                  <c:v>6.2578586448520035</c:v>
                </c:pt>
                <c:pt idx="63">
                  <c:v>6.2773726348055261</c:v>
                </c:pt>
                <c:pt idx="64">
                  <c:v>6.2966606377644014</c:v>
                </c:pt>
                <c:pt idx="65">
                  <c:v>6.3157258246766546</c:v>
                </c:pt>
                <c:pt idx="66">
                  <c:v>6.3346115993140026</c:v>
                </c:pt>
                <c:pt idx="67">
                  <c:v>6.3537113523856066</c:v>
                </c:pt>
                <c:pt idx="68">
                  <c:v>6.3724854130768751</c:v>
                </c:pt>
                <c:pt idx="69">
                  <c:v>6.3909380209863196</c:v>
                </c:pt>
                <c:pt idx="70">
                  <c:v>6.4090733930322932</c:v>
                </c:pt>
                <c:pt idx="71">
                  <c:v>6.4229670144856668</c:v>
                </c:pt>
                <c:pt idx="72">
                  <c:v>6.42083266563007</c:v>
                </c:pt>
                <c:pt idx="73">
                  <c:v>6.4183868276321787</c:v>
                </c:pt>
                <c:pt idx="74">
                  <c:v>6.415634080361146</c:v>
                </c:pt>
                <c:pt idx="75">
                  <c:v>6.4125789780079003</c:v>
                </c:pt>
                <c:pt idx="76">
                  <c:v>6.4092260496451798</c:v>
                </c:pt>
                <c:pt idx="77">
                  <c:v>6.4055797997685078</c:v>
                </c:pt>
                <c:pt idx="78">
                  <c:v>6.4016447088187274</c:v>
                </c:pt>
                <c:pt idx="79">
                  <c:v>6.3974252336867758</c:v>
                </c:pt>
                <c:pt idx="80">
                  <c:v>6.3929258082014684</c:v>
                </c:pt>
                <c:pt idx="81">
                  <c:v>6.3881635428720136</c:v>
                </c:pt>
                <c:pt idx="82">
                  <c:v>6.3831304146708092</c:v>
                </c:pt>
                <c:pt idx="83">
                  <c:v>6.3720150623429559</c:v>
                </c:pt>
                <c:pt idx="84">
                  <c:v>6.3582471950554282</c:v>
                </c:pt>
                <c:pt idx="85">
                  <c:v>6.344267660757902</c:v>
                </c:pt>
                <c:pt idx="86">
                  <c:v>6.3300805395878577</c:v>
                </c:pt>
                <c:pt idx="87">
                  <c:v>6.3156898814014495</c:v>
                </c:pt>
                <c:pt idx="88">
                  <c:v>6.301099291201723</c:v>
                </c:pt>
                <c:pt idx="89">
                  <c:v>6.2863106865023681</c:v>
                </c:pt>
                <c:pt idx="90">
                  <c:v>6.2713420596021159</c:v>
                </c:pt>
                <c:pt idx="91">
                  <c:v>6.2561789619792005</c:v>
                </c:pt>
                <c:pt idx="92">
                  <c:v>6.2408228667857557</c:v>
                </c:pt>
                <c:pt idx="93">
                  <c:v>6.2252752254745918</c:v>
                </c:pt>
                <c:pt idx="94">
                  <c:v>6.2095374683400832</c:v>
                </c:pt>
                <c:pt idx="95">
                  <c:v>6.1936110050465967</c:v>
                </c:pt>
                <c:pt idx="96">
                  <c:v>6.1774972251442506</c:v>
                </c:pt>
                <c:pt idx="97">
                  <c:v>6.1612185321743809</c:v>
                </c:pt>
                <c:pt idx="98">
                  <c:v>6.1447560653581137</c:v>
                </c:pt>
                <c:pt idx="99">
                  <c:v>6.1281112060801535</c:v>
                </c:pt>
                <c:pt idx="100">
                  <c:v>6.1112853706253265</c:v>
                </c:pt>
                <c:pt idx="101">
                  <c:v>6.0942800163259108</c:v>
                </c:pt>
                <c:pt idx="102">
                  <c:v>6.0770966409749283</c:v>
                </c:pt>
                <c:pt idx="103">
                  <c:v>6.0597619344596376</c:v>
                </c:pt>
                <c:pt idx="104">
                  <c:v>6.0422530055133432</c:v>
                </c:pt>
                <c:pt idx="105">
                  <c:v>6.024571445954483</c:v>
                </c:pt>
                <c:pt idx="106">
                  <c:v>6.0067188861595895</c:v>
                </c:pt>
                <c:pt idx="107">
                  <c:v>5.9886969945253519</c:v>
                </c:pt>
                <c:pt idx="108">
                  <c:v>5.9705354876158498</c:v>
                </c:pt>
                <c:pt idx="109">
                  <c:v>5.9522086838843924</c:v>
                </c:pt>
                <c:pt idx="110">
                  <c:v>5.9337183401237166</c:v>
                </c:pt>
                <c:pt idx="111">
                  <c:v>5.9150662494015673</c:v>
                </c:pt>
                <c:pt idx="112">
                  <c:v>5.8962542405659173</c:v>
                </c:pt>
                <c:pt idx="113">
                  <c:v>5.8773146884827492</c:v>
                </c:pt>
                <c:pt idx="114">
                  <c:v>5.8582194757000083</c:v>
                </c:pt>
                <c:pt idx="115">
                  <c:v>5.8389705143004704</c:v>
                </c:pt>
                <c:pt idx="116">
                  <c:v>5.8195697505428017</c:v>
                </c:pt>
                <c:pt idx="117">
                  <c:v>5.800019164405656</c:v>
                </c:pt>
                <c:pt idx="118">
                  <c:v>5.7803534394141325</c:v>
                </c:pt>
                <c:pt idx="119">
                  <c:v>5.7605423590518079</c:v>
                </c:pt>
                <c:pt idx="120">
                  <c:v>5.7405879817885141</c:v>
                </c:pt>
                <c:pt idx="121">
                  <c:v>5.7204923983359262</c:v>
                </c:pt>
                <c:pt idx="122">
                  <c:v>5.7002917798037496</c:v>
                </c:pt>
                <c:pt idx="123">
                  <c:v>5.6799545774171847</c:v>
                </c:pt>
                <c:pt idx="124">
                  <c:v>5.6594829569707645</c:v>
                </c:pt>
                <c:pt idx="125">
                  <c:v>5.6388791151118278</c:v>
                </c:pt>
                <c:pt idx="126">
                  <c:v>5.6181805291275229</c:v>
                </c:pt>
                <c:pt idx="127">
                  <c:v>5.5973544927999184</c:v>
                </c:pt>
                <c:pt idx="128">
                  <c:v>5.5764032746571468</c:v>
                </c:pt>
                <c:pt idx="129">
                  <c:v>5.5553650906939627</c:v>
                </c:pt>
                <c:pt idx="130">
                  <c:v>5.5342065990825633</c:v>
                </c:pt>
                <c:pt idx="131">
                  <c:v>5.5129301380862179</c:v>
                </c:pt>
                <c:pt idx="132">
                  <c:v>5.4915380746411255</c:v>
                </c:pt>
                <c:pt idx="133">
                  <c:v>5.4700696434759157</c:v>
                </c:pt>
                <c:pt idx="134">
                  <c:v>5.4484906224155125</c:v>
                </c:pt>
                <c:pt idx="135">
                  <c:v>5.42680344524587</c:v>
                </c:pt>
                <c:pt idx="136">
                  <c:v>5.4050105732459572</c:v>
                </c:pt>
                <c:pt idx="137">
                  <c:v>5.3831520967346496</c:v>
                </c:pt>
                <c:pt idx="138">
                  <c:v>5.3611930707775786</c:v>
                </c:pt>
                <c:pt idx="139">
                  <c:v>5.3391360207858245</c:v>
                </c:pt>
                <c:pt idx="140">
                  <c:v>5.317021483859409</c:v>
                </c:pt>
                <c:pt idx="141">
                  <c:v>5.2948141606883921</c:v>
                </c:pt>
                <c:pt idx="142">
                  <c:v>5.2725166389919975</c:v>
                </c:pt>
                <c:pt idx="143">
                  <c:v>5.2501698344347831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A-4B37-9AE4-74A4A276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krydsningstyr, kr. pr dag</a:t>
            </a:r>
            <a:endParaRPr lang="da-D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3507961136153358E-2"/>
          <c:y val="0.21492873874636639"/>
          <c:w val="0.88712934592026715"/>
          <c:h val="0.60224604804542203"/>
        </c:manualLayout>
      </c:layout>
      <c:lineChart>
        <c:grouping val="standard"/>
        <c:varyColors val="0"/>
        <c:ser>
          <c:idx val="3"/>
          <c:order val="0"/>
          <c:tx>
            <c:strRef>
              <c:f>'Vækstfunktion, kry tyr'!$AT$2</c:f>
              <c:strCache>
                <c:ptCount val="1"/>
                <c:pt idx="0">
                  <c:v>Total resultat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hol'!$AS$185:$AS$300</c:f>
              <c:numCache>
                <c:formatCode>#,##0.0</c:formatCode>
                <c:ptCount val="116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7.6</c:v>
                </c:pt>
                <c:pt idx="9">
                  <c:v>7.6</c:v>
                </c:pt>
                <c:pt idx="10">
                  <c:v>7.6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7.9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8.1</c:v>
                </c:pt>
                <c:pt idx="24">
                  <c:v>8.1</c:v>
                </c:pt>
                <c:pt idx="25">
                  <c:v>8.1</c:v>
                </c:pt>
                <c:pt idx="26">
                  <c:v>8.1999999999999993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8.3000000000000007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8.4</c:v>
                </c:pt>
                <c:pt idx="34">
                  <c:v>8.4</c:v>
                </c:pt>
                <c:pt idx="35">
                  <c:v>8.5</c:v>
                </c:pt>
                <c:pt idx="36">
                  <c:v>8.5</c:v>
                </c:pt>
                <c:pt idx="37">
                  <c:v>8.5</c:v>
                </c:pt>
                <c:pt idx="38">
                  <c:v>8.6</c:v>
                </c:pt>
                <c:pt idx="39">
                  <c:v>8.6</c:v>
                </c:pt>
                <c:pt idx="40">
                  <c:v>8.6</c:v>
                </c:pt>
                <c:pt idx="41">
                  <c:v>8.6999999999999993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8.8000000000000007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8.9</c:v>
                </c:pt>
                <c:pt idx="49">
                  <c:v>8.9</c:v>
                </c:pt>
                <c:pt idx="50">
                  <c:v>8.9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9.1</c:v>
                </c:pt>
                <c:pt idx="55">
                  <c:v>9.1</c:v>
                </c:pt>
                <c:pt idx="56">
                  <c:v>9.1</c:v>
                </c:pt>
                <c:pt idx="57">
                  <c:v>9.1999999999999993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9.3000000000000007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9.4</c:v>
                </c:pt>
                <c:pt idx="64">
                  <c:v>9.4</c:v>
                </c:pt>
                <c:pt idx="65">
                  <c:v>9.4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9.6</c:v>
                </c:pt>
                <c:pt idx="70">
                  <c:v>9.6</c:v>
                </c:pt>
                <c:pt idx="71">
                  <c:v>9.6</c:v>
                </c:pt>
                <c:pt idx="72">
                  <c:v>9.6999999999999993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9.8000000000000007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9.9</c:v>
                </c:pt>
                <c:pt idx="79">
                  <c:v>9.9</c:v>
                </c:pt>
                <c:pt idx="80">
                  <c:v>9.9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10.1</c:v>
                </c:pt>
                <c:pt idx="85">
                  <c:v>10.1</c:v>
                </c:pt>
                <c:pt idx="86">
                  <c:v>10.1</c:v>
                </c:pt>
                <c:pt idx="87">
                  <c:v>10.199999999999999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10.3</c:v>
                </c:pt>
                <c:pt idx="91">
                  <c:v>10.3</c:v>
                </c:pt>
                <c:pt idx="92">
                  <c:v>10.3</c:v>
                </c:pt>
                <c:pt idx="93">
                  <c:v>10.4</c:v>
                </c:pt>
                <c:pt idx="94">
                  <c:v>10.4</c:v>
                </c:pt>
                <c:pt idx="95">
                  <c:v>10.4</c:v>
                </c:pt>
                <c:pt idx="96">
                  <c:v>10.5</c:v>
                </c:pt>
                <c:pt idx="97">
                  <c:v>10.5</c:v>
                </c:pt>
                <c:pt idx="98">
                  <c:v>10.5</c:v>
                </c:pt>
                <c:pt idx="99">
                  <c:v>10.6</c:v>
                </c:pt>
                <c:pt idx="100">
                  <c:v>10.6</c:v>
                </c:pt>
                <c:pt idx="101">
                  <c:v>10.6</c:v>
                </c:pt>
                <c:pt idx="102">
                  <c:v>10.7</c:v>
                </c:pt>
                <c:pt idx="103">
                  <c:v>10.7</c:v>
                </c:pt>
                <c:pt idx="104">
                  <c:v>10.7</c:v>
                </c:pt>
                <c:pt idx="105">
                  <c:v>10.8</c:v>
                </c:pt>
                <c:pt idx="106">
                  <c:v>10.8</c:v>
                </c:pt>
                <c:pt idx="107">
                  <c:v>10.8</c:v>
                </c:pt>
                <c:pt idx="108">
                  <c:v>10.9</c:v>
                </c:pt>
                <c:pt idx="109">
                  <c:v>10.9</c:v>
                </c:pt>
                <c:pt idx="110">
                  <c:v>10.9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11.1</c:v>
                </c:pt>
                <c:pt idx="115">
                  <c:v>11.1</c:v>
                </c:pt>
              </c:numCache>
            </c:numRef>
          </c:cat>
          <c:val>
            <c:numRef>
              <c:f>'Vækstfunktion, kry tyr'!$AT$185:$AT$300</c:f>
              <c:numCache>
                <c:formatCode>#,##0.00</c:formatCode>
                <c:ptCount val="116"/>
                <c:pt idx="0">
                  <c:v>7.8709204157910904</c:v>
                </c:pt>
                <c:pt idx="1">
                  <c:v>7.8109909596740295</c:v>
                </c:pt>
                <c:pt idx="2">
                  <c:v>7.7492788559146106</c:v>
                </c:pt>
                <c:pt idx="3">
                  <c:v>7.6710059777809079</c:v>
                </c:pt>
                <c:pt idx="4">
                  <c:v>7.6057018699160039</c:v>
                </c:pt>
                <c:pt idx="5">
                  <c:v>7.5385683230827567</c:v>
                </c:pt>
                <c:pt idx="6">
                  <c:v>7.4548522557695946</c:v>
                </c:pt>
                <c:pt idx="7">
                  <c:v>7.3840115524666032</c:v>
                </c:pt>
                <c:pt idx="8">
                  <c:v>7.3112956834231682</c:v>
                </c:pt>
                <c:pt idx="9">
                  <c:v>7.2366915356254822</c:v>
                </c:pt>
                <c:pt idx="10">
                  <c:v>7.1453501218013571</c:v>
                </c:pt>
                <c:pt idx="11">
                  <c:v>7.066894328995545</c:v>
                </c:pt>
                <c:pt idx="12">
                  <c:v>6.986506014033921</c:v>
                </c:pt>
                <c:pt idx="13">
                  <c:v>6.904172569594607</c:v>
                </c:pt>
                <c:pt idx="14">
                  <c:v>6.8048077212609996</c:v>
                </c:pt>
                <c:pt idx="15">
                  <c:v>6.718482187847485</c:v>
                </c:pt>
                <c:pt idx="16">
                  <c:v>6.6301688298378849</c:v>
                </c:pt>
                <c:pt idx="17">
                  <c:v>6.5398555657742463</c:v>
                </c:pt>
                <c:pt idx="18">
                  <c:v>6.4320774496385411</c:v>
                </c:pt>
                <c:pt idx="19">
                  <c:v>6.3376358582784178</c:v>
                </c:pt>
                <c:pt idx="20">
                  <c:v>6.2411532699118197</c:v>
                </c:pt>
                <c:pt idx="21">
                  <c:v>6.1426181460495854</c:v>
                </c:pt>
                <c:pt idx="22">
                  <c:v>6.0260454816287847</c:v>
                </c:pt>
                <c:pt idx="23">
                  <c:v>5.9232501347376001</c:v>
                </c:pt>
                <c:pt idx="24">
                  <c:v>5.8183628123617837</c:v>
                </c:pt>
                <c:pt idx="25">
                  <c:v>5.7113725330294756</c:v>
                </c:pt>
                <c:pt idx="26">
                  <c:v>5.6022684563657776</c:v>
                </c:pt>
                <c:pt idx="27">
                  <c:v>5.4742548991287094</c:v>
                </c:pt>
                <c:pt idx="28">
                  <c:v>5.3610496764924847</c:v>
                </c:pt>
                <c:pt idx="29">
                  <c:v>5.2472707398463854</c:v>
                </c:pt>
                <c:pt idx="30">
                  <c:v>5.1332493943904183</c:v>
                </c:pt>
                <c:pt idx="31">
                  <c:v>5.0013893786378958</c:v>
                </c:pt>
                <c:pt idx="32">
                  <c:v>865.88154449795786</c:v>
                </c:pt>
                <c:pt idx="33">
                  <c:v>17.480682696774011</c:v>
                </c:pt>
                <c:pt idx="34">
                  <c:v>17.459467195342313</c:v>
                </c:pt>
                <c:pt idx="35">
                  <c:v>17.437838288674584</c:v>
                </c:pt>
                <c:pt idx="36">
                  <c:v>17.397017153233492</c:v>
                </c:pt>
                <c:pt idx="37">
                  <c:v>17.374412209368529</c:v>
                </c:pt>
                <c:pt idx="38">
                  <c:v>17.443893238798637</c:v>
                </c:pt>
                <c:pt idx="39">
                  <c:v>17.94768183990459</c:v>
                </c:pt>
                <c:pt idx="40">
                  <c:v>17.892602416448199</c:v>
                </c:pt>
                <c:pt idx="41">
                  <c:v>17.837058677656159</c:v>
                </c:pt>
                <c:pt idx="42">
                  <c:v>17.760640975679053</c:v>
                </c:pt>
                <c:pt idx="43">
                  <c:v>17.704005632497456</c:v>
                </c:pt>
                <c:pt idx="44">
                  <c:v>17.646994671244329</c:v>
                </c:pt>
                <c:pt idx="45">
                  <c:v>17.589640027572841</c:v>
                </c:pt>
                <c:pt idx="46">
                  <c:v>17.531973874077948</c:v>
                </c:pt>
                <c:pt idx="47">
                  <c:v>17.474028617175691</c:v>
                </c:pt>
                <c:pt idx="48">
                  <c:v>17.39347940045991</c:v>
                </c:pt>
                <c:pt idx="49">
                  <c:v>17.334777645786062</c:v>
                </c:pt>
                <c:pt idx="50">
                  <c:v>17.275889723523278</c:v>
                </c:pt>
                <c:pt idx="51">
                  <c:v>16.513529910447687</c:v>
                </c:pt>
                <c:pt idx="52">
                  <c:v>14.591796495382823</c:v>
                </c:pt>
                <c:pt idx="53">
                  <c:v>14.49908247057715</c:v>
                </c:pt>
                <c:pt idx="54">
                  <c:v>14.406331036804886</c:v>
                </c:pt>
                <c:pt idx="55">
                  <c:v>14.313573858346444</c:v>
                </c:pt>
                <c:pt idx="56">
                  <c:v>14.195613627834064</c:v>
                </c:pt>
                <c:pt idx="57">
                  <c:v>14.102592680047337</c:v>
                </c:pt>
                <c:pt idx="58">
                  <c:v>14.009655411295398</c:v>
                </c:pt>
                <c:pt idx="59">
                  <c:v>13.916833534330635</c:v>
                </c:pt>
                <c:pt idx="60">
                  <c:v>13.824158776447348</c:v>
                </c:pt>
                <c:pt idx="61">
                  <c:v>13.731665815461156</c:v>
                </c:pt>
                <c:pt idx="62">
                  <c:v>13.639396463663388</c:v>
                </c:pt>
                <c:pt idx="63">
                  <c:v>13.547393589202329</c:v>
                </c:pt>
                <c:pt idx="64">
                  <c:v>13.455700055832494</c:v>
                </c:pt>
                <c:pt idx="65">
                  <c:v>13.335581609161864</c:v>
                </c:pt>
                <c:pt idx="66">
                  <c:v>13.244300229174996</c:v>
                </c:pt>
                <c:pt idx="67">
                  <c:v>13.153462227683576</c:v>
                </c:pt>
                <c:pt idx="68">
                  <c:v>13.063110430556208</c:v>
                </c:pt>
                <c:pt idx="69">
                  <c:v>12.973287649633676</c:v>
                </c:pt>
                <c:pt idx="70">
                  <c:v>12.884036681195994</c:v>
                </c:pt>
                <c:pt idx="71">
                  <c:v>12.795400304305531</c:v>
                </c:pt>
                <c:pt idx="72">
                  <c:v>11.619922917554959</c:v>
                </c:pt>
                <c:pt idx="73">
                  <c:v>7.1671868479893419</c:v>
                </c:pt>
                <c:pt idx="74">
                  <c:v>7.0549797088469859</c:v>
                </c:pt>
                <c:pt idx="75">
                  <c:v>6.9436941986909915</c:v>
                </c:pt>
                <c:pt idx="76">
                  <c:v>6.8333695886162786</c:v>
                </c:pt>
                <c:pt idx="77">
                  <c:v>6.7240450830968257</c:v>
                </c:pt>
                <c:pt idx="78">
                  <c:v>6.6157598189770397</c:v>
                </c:pt>
                <c:pt idx="79">
                  <c:v>6.4753261716746238</c:v>
                </c:pt>
                <c:pt idx="80">
                  <c:v>6.3689838339346352</c:v>
                </c:pt>
                <c:pt idx="81">
                  <c:v>6.2638032276449849</c:v>
                </c:pt>
                <c:pt idx="82">
                  <c:v>6.1598232116375584</c:v>
                </c:pt>
                <c:pt idx="83">
                  <c:v>6.0570825738600433</c:v>
                </c:pt>
                <c:pt idx="84">
                  <c:v>5.9556200311076282</c:v>
                </c:pt>
                <c:pt idx="85">
                  <c:v>5.8554742287615227</c:v>
                </c:pt>
                <c:pt idx="86">
                  <c:v>5.756683740700737</c:v>
                </c:pt>
                <c:pt idx="87">
                  <c:v>5.6592870692925317</c:v>
                </c:pt>
                <c:pt idx="88">
                  <c:v>5.5633226455333897</c:v>
                </c:pt>
                <c:pt idx="89">
                  <c:v>5.4685391701018489</c:v>
                </c:pt>
                <c:pt idx="90">
                  <c:v>5.3738085656659678</c:v>
                </c:pt>
                <c:pt idx="91">
                  <c:v>5.2788581902182159</c:v>
                </c:pt>
                <c:pt idx="92">
                  <c:v>5.1837031757545446</c:v>
                </c:pt>
                <c:pt idx="93">
                  <c:v>5.0883587078105847</c:v>
                </c:pt>
                <c:pt idx="94">
                  <c:v>4.9928400254971166</c:v>
                </c:pt>
                <c:pt idx="95">
                  <c:v>4.8971624214732401</c:v>
                </c:pt>
                <c:pt idx="96">
                  <c:v>4.8013412419509223</c:v>
                </c:pt>
                <c:pt idx="97">
                  <c:v>4.7053918867054563</c:v>
                </c:pt>
                <c:pt idx="98">
                  <c:v>4.6093298089981545</c:v>
                </c:pt>
                <c:pt idx="99">
                  <c:v>4.5131705156441058</c:v>
                </c:pt>
                <c:pt idx="100">
                  <c:v>4.4169295668332325</c:v>
                </c:pt>
                <c:pt idx="101">
                  <c:v>4.3206225762078247</c:v>
                </c:pt>
                <c:pt idx="102">
                  <c:v>4.2242652107347567</c:v>
                </c:pt>
                <c:pt idx="103">
                  <c:v>4.1278731906718349</c:v>
                </c:pt>
                <c:pt idx="104">
                  <c:v>4.0314622894861714</c:v>
                </c:pt>
                <c:pt idx="105">
                  <c:v>3.935048333753457</c:v>
                </c:pt>
                <c:pt idx="106">
                  <c:v>3.8767684355161691</c:v>
                </c:pt>
                <c:pt idx="107">
                  <c:v>3.7805004354217999</c:v>
                </c:pt>
                <c:pt idx="108">
                  <c:v>3.6842716850965189</c:v>
                </c:pt>
                <c:pt idx="109">
                  <c:v>2.1767133522462245</c:v>
                </c:pt>
                <c:pt idx="110">
                  <c:v>0.5492177067267221</c:v>
                </c:pt>
                <c:pt idx="111">
                  <c:v>0.44561593208572958</c:v>
                </c:pt>
                <c:pt idx="112">
                  <c:v>0.34219719450402408</c:v>
                </c:pt>
                <c:pt idx="113">
                  <c:v>0.2389757384130462</c:v>
                </c:pt>
                <c:pt idx="114">
                  <c:v>0.13596583347589331</c:v>
                </c:pt>
                <c:pt idx="115">
                  <c:v>3.3181774512286211E-2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F-4A08-856C-901FF52854EA}"/>
            </c:ext>
          </c:extLst>
        </c:ser>
        <c:ser>
          <c:idx val="1"/>
          <c:order val="2"/>
          <c:tx>
            <c:strRef>
              <c:f>'Vækstfunktion, kry tyr'!$AV$2</c:f>
              <c:strCache>
                <c:ptCount val="1"/>
                <c:pt idx="0">
                  <c:v>Total res. Pr. m3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tyr'!$AV$185:$AV$300</c:f>
              <c:numCache>
                <c:formatCode>#,##0.00</c:formatCode>
                <c:ptCount val="116"/>
                <c:pt idx="0">
                  <c:v>4.3819406982761677</c:v>
                </c:pt>
                <c:pt idx="1">
                  <c:v>4.2624959924533812</c:v>
                </c:pt>
                <c:pt idx="2">
                  <c:v>4.1449130559493597</c:v>
                </c:pt>
                <c:pt idx="3">
                  <c:v>4.0188152540080466</c:v>
                </c:pt>
                <c:pt idx="4">
                  <c:v>3.9049238027089359</c:v>
                </c:pt>
                <c:pt idx="5">
                  <c:v>3.7926734694985669</c:v>
                </c:pt>
                <c:pt idx="6">
                  <c:v>3.6719737187313797</c:v>
                </c:pt>
                <c:pt idx="7">
                  <c:v>3.5629771198614151</c:v>
                </c:pt>
                <c:pt idx="8">
                  <c:v>3.4554289704103098</c:v>
                </c:pt>
                <c:pt idx="9">
                  <c:v>3.3492730712260368</c:v>
                </c:pt>
                <c:pt idx="10">
                  <c:v>3.2346920728157897</c:v>
                </c:pt>
                <c:pt idx="11">
                  <c:v>3.1312952726030971</c:v>
                </c:pt>
                <c:pt idx="12">
                  <c:v>3.0291290021873181</c:v>
                </c:pt>
                <c:pt idx="13">
                  <c:v>2.9281460910001726</c:v>
                </c:pt>
                <c:pt idx="14">
                  <c:v>2.818693793197582</c:v>
                </c:pt>
                <c:pt idx="15">
                  <c:v>2.7200530958232321</c:v>
                </c:pt>
                <c:pt idx="16">
                  <c:v>2.6224594383805311</c:v>
                </c:pt>
                <c:pt idx="17">
                  <c:v>2.5258730761876507</c:v>
                </c:pt>
                <c:pt idx="18">
                  <c:v>2.420707449168134</c:v>
                </c:pt>
                <c:pt idx="19">
                  <c:v>2.3261105571988878</c:v>
                </c:pt>
                <c:pt idx="20">
                  <c:v>2.2324056200108373</c:v>
                </c:pt>
                <c:pt idx="21">
                  <c:v>2.1395590376889686</c:v>
                </c:pt>
                <c:pt idx="22">
                  <c:v>2.037960934964417</c:v>
                </c:pt>
                <c:pt idx="23">
                  <c:v>1.9468043142021543</c:v>
                </c:pt>
                <c:pt idx="24">
                  <c:v>1.8564081350719732</c:v>
                </c:pt>
                <c:pt idx="25">
                  <c:v>1.766743911033501</c:v>
                </c:pt>
                <c:pt idx="26">
                  <c:v>1.6777842625710662</c:v>
                </c:pt>
                <c:pt idx="27">
                  <c:v>1.5797982615574142</c:v>
                </c:pt>
                <c:pt idx="28">
                  <c:v>1.4923984305049487</c:v>
                </c:pt>
                <c:pt idx="29">
                  <c:v>1.4065183303690958</c:v>
                </c:pt>
                <c:pt idx="30">
                  <c:v>1.3223029768164736</c:v>
                </c:pt>
                <c:pt idx="31">
                  <c:v>1.2298150989703913</c:v>
                </c:pt>
                <c:pt idx="32">
                  <c:v>481.78370924343778</c:v>
                </c:pt>
                <c:pt idx="33">
                  <c:v>4.8227705247903714</c:v>
                </c:pt>
                <c:pt idx="34">
                  <c:v>4.7454626844048562</c:v>
                </c:pt>
                <c:pt idx="35">
                  <c:v>4.6694960322022325</c:v>
                </c:pt>
                <c:pt idx="36">
                  <c:v>4.5846330804595254</c:v>
                </c:pt>
                <c:pt idx="37">
                  <c:v>4.5112974877679335</c:v>
                </c:pt>
                <c:pt idx="38">
                  <c:v>4.4887815493948438</c:v>
                </c:pt>
                <c:pt idx="39">
                  <c:v>4.6979876271693684</c:v>
                </c:pt>
                <c:pt idx="40">
                  <c:v>4.6074279501605133</c:v>
                </c:pt>
                <c:pt idx="41">
                  <c:v>4.5183886310406933</c:v>
                </c:pt>
                <c:pt idx="42">
                  <c:v>4.4201722683916387</c:v>
                </c:pt>
                <c:pt idx="43">
                  <c:v>4.3341093023063877</c:v>
                </c:pt>
                <c:pt idx="44">
                  <c:v>4.2494974306678159</c:v>
                </c:pt>
                <c:pt idx="45">
                  <c:v>4.1663162722284142</c:v>
                </c:pt>
                <c:pt idx="46">
                  <c:v>4.0845462073725685</c:v>
                </c:pt>
                <c:pt idx="47">
                  <c:v>4.0041683479685162</c:v>
                </c:pt>
                <c:pt idx="48">
                  <c:v>3.9139243257100134</c:v>
                </c:pt>
                <c:pt idx="49">
                  <c:v>3.8362676730876046</c:v>
                </c:pt>
                <c:pt idx="50">
                  <c:v>3.7599480316617928</c:v>
                </c:pt>
                <c:pt idx="51">
                  <c:v>3.337826086914788</c:v>
                </c:pt>
                <c:pt idx="52">
                  <c:v>2.3546396239047453</c:v>
                </c:pt>
                <c:pt idx="53">
                  <c:v>2.2810590579359769</c:v>
                </c:pt>
                <c:pt idx="54">
                  <c:v>2.2087823425846409</c:v>
                </c:pt>
                <c:pt idx="55">
                  <c:v>2.1377936854561312</c:v>
                </c:pt>
                <c:pt idx="56">
                  <c:v>2.0559944449728391</c:v>
                </c:pt>
                <c:pt idx="57">
                  <c:v>1.9875132085578571</c:v>
                </c:pt>
                <c:pt idx="58">
                  <c:v>1.9202731620850955</c:v>
                </c:pt>
                <c:pt idx="59">
                  <c:v>1.8542603606949797</c:v>
                </c:pt>
                <c:pt idx="60">
                  <c:v>1.7894612694143461</c:v>
                </c:pt>
                <c:pt idx="61">
                  <c:v>1.7258641147827802</c:v>
                </c:pt>
                <c:pt idx="62">
                  <c:v>1.6634607596264459</c:v>
                </c:pt>
                <c:pt idx="63">
                  <c:v>1.6022437835534902</c:v>
                </c:pt>
                <c:pt idx="64">
                  <c:v>1.5422059738041298</c:v>
                </c:pt>
                <c:pt idx="65">
                  <c:v>1.4702545972673988</c:v>
                </c:pt>
                <c:pt idx="66">
                  <c:v>1.4125489763323458</c:v>
                </c:pt>
                <c:pt idx="67">
                  <c:v>1.3560046098042449</c:v>
                </c:pt>
                <c:pt idx="68">
                  <c:v>1.3006149827083391</c:v>
                </c:pt>
                <c:pt idx="69">
                  <c:v>1.246373752836007</c:v>
                </c:pt>
                <c:pt idx="70">
                  <c:v>1.1932747444018332</c:v>
                </c:pt>
                <c:pt idx="71">
                  <c:v>1.1413119418855331</c:v>
                </c:pt>
                <c:pt idx="72">
                  <c:v>0.61467858272544618</c:v>
                </c:pt>
                <c:pt idx="73">
                  <c:v>-1.3296118772486807</c:v>
                </c:pt>
                <c:pt idx="74">
                  <c:v>-1.3639573498187474</c:v>
                </c:pt>
                <c:pt idx="75">
                  <c:v>-1.3973578970262679</c:v>
                </c:pt>
                <c:pt idx="76">
                  <c:v>-1.4298167014778755</c:v>
                </c:pt>
                <c:pt idx="77">
                  <c:v>-1.4613368903986839</c:v>
                </c:pt>
                <c:pt idx="78">
                  <c:v>-1.4919215377988166</c:v>
                </c:pt>
                <c:pt idx="79">
                  <c:v>-1.5355809000155887</c:v>
                </c:pt>
                <c:pt idx="80">
                  <c:v>-1.5642642885658233</c:v>
                </c:pt>
                <c:pt idx="81">
                  <c:v>-1.5920193722529348</c:v>
                </c:pt>
                <c:pt idx="82">
                  <c:v>-1.6188490658960291</c:v>
                </c:pt>
                <c:pt idx="83">
                  <c:v>-1.6447562392202144</c:v>
                </c:pt>
                <c:pt idx="84">
                  <c:v>-1.6697437183413513</c:v>
                </c:pt>
                <c:pt idx="85">
                  <c:v>-1.693814287193959</c:v>
                </c:pt>
                <c:pt idx="86">
                  <c:v>-1.7169706888381597</c:v>
                </c:pt>
                <c:pt idx="87">
                  <c:v>-1.7392156266923848</c:v>
                </c:pt>
                <c:pt idx="88">
                  <c:v>-1.7605517656573966</c:v>
                </c:pt>
                <c:pt idx="89">
                  <c:v>-1.7810977978077744</c:v>
                </c:pt>
                <c:pt idx="90">
                  <c:v>-1.8013190801372048</c:v>
                </c:pt>
                <c:pt idx="91">
                  <c:v>-1.8213301557891555</c:v>
                </c:pt>
                <c:pt idx="92">
                  <c:v>-1.8411291522457987</c:v>
                </c:pt>
                <c:pt idx="93">
                  <c:v>-1.8607142214051464</c:v>
                </c:pt>
                <c:pt idx="94">
                  <c:v>-1.8800835388628911</c:v>
                </c:pt>
                <c:pt idx="95">
                  <c:v>-1.8992353032376741</c:v>
                </c:pt>
                <c:pt idx="96">
                  <c:v>-1.9181677355080637</c:v>
                </c:pt>
                <c:pt idx="97">
                  <c:v>-1.9368790783698842</c:v>
                </c:pt>
                <c:pt idx="98">
                  <c:v>-1.9553675956490224</c:v>
                </c:pt>
                <c:pt idx="99">
                  <c:v>-1.973631571676151</c:v>
                </c:pt>
                <c:pt idx="100">
                  <c:v>-1.9916693107780929</c:v>
                </c:pt>
                <c:pt idx="101">
                  <c:v>-2.0094791366868776</c:v>
                </c:pt>
                <c:pt idx="102">
                  <c:v>-2.027059392047363</c:v>
                </c:pt>
                <c:pt idx="103">
                  <c:v>-2.0444084379034848</c:v>
                </c:pt>
                <c:pt idx="104">
                  <c:v>-2.0615246532206584</c:v>
                </c:pt>
                <c:pt idx="105">
                  <c:v>-2.0784064344290982</c:v>
                </c:pt>
                <c:pt idx="106">
                  <c:v>-2.0809630994601775</c:v>
                </c:pt>
                <c:pt idx="107">
                  <c:v>-2.097460965479172</c:v>
                </c:pt>
                <c:pt idx="108">
                  <c:v>-2.1137204811973334</c:v>
                </c:pt>
                <c:pt idx="109">
                  <c:v>-2.6443192433337117</c:v>
                </c:pt>
                <c:pt idx="110">
                  <c:v>-3.2113112294914572</c:v>
                </c:pt>
                <c:pt idx="111">
                  <c:v>-3.2200710256129241</c:v>
                </c:pt>
                <c:pt idx="112">
                  <c:v>-3.2286481690280198</c:v>
                </c:pt>
                <c:pt idx="113">
                  <c:v>-3.2370407913724648</c:v>
                </c:pt>
                <c:pt idx="114">
                  <c:v>-3.2452470564421674</c:v>
                </c:pt>
                <c:pt idx="115">
                  <c:v>-3.2532651593741093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F-4A08-856C-901FF528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862592"/>
        <c:axId val="769170576"/>
      </c:lineChart>
      <c:lineChart>
        <c:grouping val="standard"/>
        <c:varyColors val="0"/>
        <c:ser>
          <c:idx val="0"/>
          <c:order val="1"/>
          <c:tx>
            <c:strRef>
              <c:f>'Vækstfunktion, kry tyr'!$AU$2</c:f>
              <c:strCache>
                <c:ptCount val="1"/>
                <c:pt idx="0">
                  <c:v>Total res./foderdag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tyr'!$AU$185:$AU$300</c:f>
              <c:numCache>
                <c:formatCode>#,##0.00</c:formatCode>
                <c:ptCount val="116"/>
                <c:pt idx="0">
                  <c:v>3.7113885283782233E-2</c:v>
                </c:pt>
                <c:pt idx="1">
                  <c:v>3.6384769921365745E-2</c:v>
                </c:pt>
                <c:pt idx="2">
                  <c:v>3.565784211811085E-2</c:v>
                </c:pt>
                <c:pt idx="3">
                  <c:v>3.4853602535476869E-2</c:v>
                </c:pt>
                <c:pt idx="4">
                  <c:v>3.4131616904803819E-2</c:v>
                </c:pt>
                <c:pt idx="5">
                  <c:v>3.3411421263086494E-2</c:v>
                </c:pt>
                <c:pt idx="6">
                  <c:v>3.261491909462455E-2</c:v>
                </c:pt>
                <c:pt idx="7">
                  <c:v>3.1898758349928391E-2</c:v>
                </c:pt>
                <c:pt idx="8">
                  <c:v>3.1184028581638934E-2</c:v>
                </c:pt>
                <c:pt idx="9">
                  <c:v>3.0470631680800553E-2</c:v>
                </c:pt>
                <c:pt idx="10">
                  <c:v>2.9681602265330564E-2</c:v>
                </c:pt>
                <c:pt idx="11">
                  <c:v>2.8971195062565069E-2</c:v>
                </c:pt>
                <c:pt idx="12">
                  <c:v>2.8261806831351155E-2</c:v>
                </c:pt>
                <c:pt idx="13">
                  <c:v>2.7553352453279611E-2</c:v>
                </c:pt>
                <c:pt idx="14">
                  <c:v>2.6769232893684602E-2</c:v>
                </c:pt>
                <c:pt idx="15">
                  <c:v>2.606284905933709E-2</c:v>
                </c:pt>
                <c:pt idx="16">
                  <c:v>2.5357125159194638E-2</c:v>
                </c:pt>
                <c:pt idx="17">
                  <c:v>2.4651987587284818E-2</c:v>
                </c:pt>
                <c:pt idx="18">
                  <c:v>2.3870484645442502E-2</c:v>
                </c:pt>
                <c:pt idx="19">
                  <c:v>2.3166610582813663E-2</c:v>
                </c:pt>
                <c:pt idx="20">
                  <c:v>2.2463084427482682E-2</c:v>
                </c:pt>
                <c:pt idx="21">
                  <c:v>2.1759842796515994E-2</c:v>
                </c:pt>
                <c:pt idx="22">
                  <c:v>2.0978904503765383E-2</c:v>
                </c:pt>
                <c:pt idx="23">
                  <c:v>2.0276219280956242E-2</c:v>
                </c:pt>
                <c:pt idx="24">
                  <c:v>1.9573611740194341E-2</c:v>
                </c:pt>
                <c:pt idx="25">
                  <c:v>1.8871027592056278E-2</c:v>
                </c:pt>
                <c:pt idx="26">
                  <c:v>1.8168414521014142E-2</c:v>
                </c:pt>
                <c:pt idx="27">
                  <c:v>1.7385793633970748E-2</c:v>
                </c:pt>
                <c:pt idx="28">
                  <c:v>1.6684481738690415E-2</c:v>
                </c:pt>
                <c:pt idx="29">
                  <c:v>1.5990387870183476E-2</c:v>
                </c:pt>
                <c:pt idx="30">
                  <c:v>1.5304931902125452E-2</c:v>
                </c:pt>
                <c:pt idx="31">
                  <c:v>1.45457268574678E-2</c:v>
                </c:pt>
                <c:pt idx="32">
                  <c:v>4.0185041625114444</c:v>
                </c:pt>
                <c:pt idx="33">
                  <c:v>5.3514023038265357E-2</c:v>
                </c:pt>
                <c:pt idx="34">
                  <c:v>5.2923038948365253E-2</c:v>
                </c:pt>
                <c:pt idx="35">
                  <c:v>5.2338291312748808E-2</c:v>
                </c:pt>
                <c:pt idx="36">
                  <c:v>5.1673918170892286E-2</c:v>
                </c:pt>
                <c:pt idx="37">
                  <c:v>5.1101405533588995E-2</c:v>
                </c:pt>
                <c:pt idx="38">
                  <c:v>5.0953343173239851E-2</c:v>
                </c:pt>
                <c:pt idx="39">
                  <c:v>5.2763622068553673E-2</c:v>
                </c:pt>
                <c:pt idx="40">
                  <c:v>5.2043412796832556E-2</c:v>
                </c:pt>
                <c:pt idx="41">
                  <c:v>5.1330776348683216E-2</c:v>
                </c:pt>
                <c:pt idx="42">
                  <c:v>5.0534868550129453E-2</c:v>
                </c:pt>
                <c:pt idx="43">
                  <c:v>4.9837058460386885E-2</c:v>
                </c:pt>
                <c:pt idx="44">
                  <c:v>4.9146815825260148E-2</c:v>
                </c:pt>
                <c:pt idx="45">
                  <c:v>4.8464147951039926E-2</c:v>
                </c:pt>
                <c:pt idx="46">
                  <c:v>4.7789063019175515E-2</c:v>
                </c:pt>
                <c:pt idx="47">
                  <c:v>4.7121570049869277E-2</c:v>
                </c:pt>
                <c:pt idx="48">
                  <c:v>4.6364893180537159E-2</c:v>
                </c:pt>
                <c:pt idx="49">
                  <c:v>4.571217102090408E-2</c:v>
                </c:pt>
                <c:pt idx="50">
                  <c:v>4.5067054006721285E-2</c:v>
                </c:pt>
                <c:pt idx="51">
                  <c:v>4.142391759181141E-2</c:v>
                </c:pt>
                <c:pt idx="52">
                  <c:v>3.2893784612030075E-2</c:v>
                </c:pt>
                <c:pt idx="53">
                  <c:v>3.2222167688175318E-2</c:v>
                </c:pt>
                <c:pt idx="54">
                  <c:v>3.1558894400628645E-2</c:v>
                </c:pt>
                <c:pt idx="55">
                  <c:v>3.0903957563403139E-2</c:v>
                </c:pt>
                <c:pt idx="56">
                  <c:v>3.015178959001652E-2</c:v>
                </c:pt>
                <c:pt idx="57">
                  <c:v>2.9512937394322591E-2</c:v>
                </c:pt>
                <c:pt idx="58">
                  <c:v>2.8882384931498528E-2</c:v>
                </c:pt>
                <c:pt idx="59">
                  <c:v>2.8260126060309254E-2</c:v>
                </c:pt>
                <c:pt idx="60">
                  <c:v>2.7646154825725411E-2</c:v>
                </c:pt>
                <c:pt idx="61">
                  <c:v>2.7040477487045855E-2</c:v>
                </c:pt>
                <c:pt idx="62">
                  <c:v>2.6443129296141343E-2</c:v>
                </c:pt>
                <c:pt idx="63">
                  <c:v>2.5854149080476674E-2</c:v>
                </c:pt>
                <c:pt idx="64">
                  <c:v>2.5273574863752479E-2</c:v>
                </c:pt>
                <c:pt idx="65">
                  <c:v>2.4585407136341608E-2</c:v>
                </c:pt>
                <c:pt idx="66">
                  <c:v>2.4021342099153742E-2</c:v>
                </c:pt>
                <c:pt idx="67">
                  <c:v>2.3465819356395912E-2</c:v>
                </c:pt>
                <c:pt idx="68">
                  <c:v>2.2918873396872819E-2</c:v>
                </c:pt>
                <c:pt idx="69">
                  <c:v>2.2380537969427294E-2</c:v>
                </c:pt>
                <c:pt idx="70">
                  <c:v>2.1850846094420895E-2</c:v>
                </c:pt>
                <c:pt idx="71">
                  <c:v>2.1329830074424017E-2</c:v>
                </c:pt>
                <c:pt idx="72">
                  <c:v>1.6552822047366966E-2</c:v>
                </c:pt>
                <c:pt idx="73">
                  <c:v>-9.6999714661816228E-4</c:v>
                </c:pt>
                <c:pt idx="74">
                  <c:v>-1.3990521849418514E-3</c:v>
                </c:pt>
                <c:pt idx="75">
                  <c:v>-1.8195460058185731E-3</c:v>
                </c:pt>
                <c:pt idx="76">
                  <c:v>-2.2314592029726299E-3</c:v>
                </c:pt>
                <c:pt idx="77">
                  <c:v>-2.634772999563495E-3</c:v>
                </c:pt>
                <c:pt idx="78">
                  <c:v>-3.0294692375729682E-3</c:v>
                </c:pt>
                <c:pt idx="79">
                  <c:v>-3.5423498056168512E-3</c:v>
                </c:pt>
                <c:pt idx="80">
                  <c:v>-3.9197552737872954E-3</c:v>
                </c:pt>
                <c:pt idx="81">
                  <c:v>-4.2884715455366873E-3</c:v>
                </c:pt>
                <c:pt idx="82">
                  <c:v>-4.6484831414481675E-3</c:v>
                </c:pt>
                <c:pt idx="83">
                  <c:v>-4.9997751395478573E-3</c:v>
                </c:pt>
                <c:pt idx="84">
                  <c:v>-5.34233316379229E-3</c:v>
                </c:pt>
                <c:pt idx="85">
                  <c:v>-5.6761433728169663E-3</c:v>
                </c:pt>
                <c:pt idx="86">
                  <c:v>-6.0011924483376333E-3</c:v>
                </c:pt>
                <c:pt idx="87">
                  <c:v>-6.3174675835657723E-3</c:v>
                </c:pt>
                <c:pt idx="88">
                  <c:v>-6.6249564713594111E-3</c:v>
                </c:pt>
                <c:pt idx="89">
                  <c:v>-6.9247122158033747E-3</c:v>
                </c:pt>
                <c:pt idx="90">
                  <c:v>-7.220980274426303E-3</c:v>
                </c:pt>
                <c:pt idx="91">
                  <c:v>-7.5148066061752061E-3</c:v>
                </c:pt>
                <c:pt idx="92">
                  <c:v>-7.8061717016337795E-3</c:v>
                </c:pt>
                <c:pt idx="93">
                  <c:v>-8.0950562108403901E-3</c:v>
                </c:pt>
                <c:pt idx="94">
                  <c:v>-8.3814409396900658E-3</c:v>
                </c:pt>
                <c:pt idx="95">
                  <c:v>-8.6653068466855387E-3</c:v>
                </c:pt>
                <c:pt idx="96">
                  <c:v>-8.9466350396207872E-3</c:v>
                </c:pt>
                <c:pt idx="97">
                  <c:v>-9.2254067723578359E-3</c:v>
                </c:pt>
                <c:pt idx="98">
                  <c:v>-9.5016034419748152E-3</c:v>
                </c:pt>
                <c:pt idx="99">
                  <c:v>-9.7752065854859183E-3</c:v>
                </c:pt>
                <c:pt idx="100">
                  <c:v>-1.0046197877499274E-2</c:v>
                </c:pt>
                <c:pt idx="101">
                  <c:v>-1.0314559127043488E-2</c:v>
                </c:pt>
                <c:pt idx="102">
                  <c:v>-1.0580272275180214E-2</c:v>
                </c:pt>
                <c:pt idx="103">
                  <c:v>-1.0843319392357387E-2</c:v>
                </c:pt>
                <c:pt idx="104">
                  <c:v>-1.1103682675983606E-2</c:v>
                </c:pt>
                <c:pt idx="105">
                  <c:v>-1.1361344448139299E-2</c:v>
                </c:pt>
                <c:pt idx="106">
                  <c:v>-1.1484379774579168E-2</c:v>
                </c:pt>
                <c:pt idx="107">
                  <c:v>-1.1737135776458629E-2</c:v>
                </c:pt>
                <c:pt idx="108">
                  <c:v>-1.1987151167429211E-2</c:v>
                </c:pt>
                <c:pt idx="109">
                  <c:v>-1.7067918395222037E-2</c:v>
                </c:pt>
                <c:pt idx="110">
                  <c:v>-2.2506006479621199E-2</c:v>
                </c:pt>
                <c:pt idx="111">
                  <c:v>-2.2705291383300796E-2</c:v>
                </c:pt>
                <c:pt idx="112">
                  <c:v>-2.2901929196233795E-2</c:v>
                </c:pt>
                <c:pt idx="113">
                  <c:v>-2.3095907566836438E-2</c:v>
                </c:pt>
                <c:pt idx="114">
                  <c:v>-2.3287214266511036E-2</c:v>
                </c:pt>
                <c:pt idx="115">
                  <c:v>-2.3475837187419302E-2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F-4A08-856C-901FF528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447760"/>
        <c:axId val="106144841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46126020803433032"/>
              <c:y val="0.85784490695125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  <c:max val="16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valAx>
        <c:axId val="1061448416"/>
        <c:scaling>
          <c:orientation val="minMax"/>
          <c:max val="0.4"/>
          <c:min val="-0.1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1447760"/>
        <c:crosses val="max"/>
        <c:crossBetween val="between"/>
      </c:valAx>
      <c:catAx>
        <c:axId val="106144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61448416"/>
        <c:crossesAt val="-0.5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430337311715474"/>
          <c:y val="0.92942943752001361"/>
          <c:w val="0.34983959574437723"/>
          <c:h val="4.121467461957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krydsningskvie, kr. pr dag</a:t>
            </a:r>
            <a:endParaRPr lang="da-D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0059594396235917E-2"/>
          <c:y val="0.21981781040263451"/>
          <c:w val="0.88712934592026715"/>
          <c:h val="0.60224604804542203"/>
        </c:manualLayout>
      </c:layout>
      <c:lineChart>
        <c:grouping val="standard"/>
        <c:varyColors val="0"/>
        <c:ser>
          <c:idx val="3"/>
          <c:order val="0"/>
          <c:tx>
            <c:strRef>
              <c:f>'Vækstfunktion, kry kvie'!$AT$2</c:f>
              <c:strCache>
                <c:ptCount val="1"/>
                <c:pt idx="0">
                  <c:v>Total resultat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hol'!$AS$185:$AS$300</c:f>
              <c:numCache>
                <c:formatCode>#,##0.0</c:formatCode>
                <c:ptCount val="116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7.6</c:v>
                </c:pt>
                <c:pt idx="9">
                  <c:v>7.6</c:v>
                </c:pt>
                <c:pt idx="10">
                  <c:v>7.6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7.9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8.1</c:v>
                </c:pt>
                <c:pt idx="24">
                  <c:v>8.1</c:v>
                </c:pt>
                <c:pt idx="25">
                  <c:v>8.1</c:v>
                </c:pt>
                <c:pt idx="26">
                  <c:v>8.1999999999999993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8.3000000000000007</c:v>
                </c:pt>
                <c:pt idx="30">
                  <c:v>8.3000000000000007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8.4</c:v>
                </c:pt>
                <c:pt idx="34">
                  <c:v>8.4</c:v>
                </c:pt>
                <c:pt idx="35">
                  <c:v>8.5</c:v>
                </c:pt>
                <c:pt idx="36">
                  <c:v>8.5</c:v>
                </c:pt>
                <c:pt idx="37">
                  <c:v>8.5</c:v>
                </c:pt>
                <c:pt idx="38">
                  <c:v>8.6</c:v>
                </c:pt>
                <c:pt idx="39">
                  <c:v>8.6</c:v>
                </c:pt>
                <c:pt idx="40">
                  <c:v>8.6</c:v>
                </c:pt>
                <c:pt idx="41">
                  <c:v>8.6999999999999993</c:v>
                </c:pt>
                <c:pt idx="42">
                  <c:v>8.6999999999999993</c:v>
                </c:pt>
                <c:pt idx="43">
                  <c:v>8.6999999999999993</c:v>
                </c:pt>
                <c:pt idx="44">
                  <c:v>8.8000000000000007</c:v>
                </c:pt>
                <c:pt idx="45">
                  <c:v>8.8000000000000007</c:v>
                </c:pt>
                <c:pt idx="46">
                  <c:v>8.8000000000000007</c:v>
                </c:pt>
                <c:pt idx="47">
                  <c:v>8.8000000000000007</c:v>
                </c:pt>
                <c:pt idx="48">
                  <c:v>8.9</c:v>
                </c:pt>
                <c:pt idx="49">
                  <c:v>8.9</c:v>
                </c:pt>
                <c:pt idx="50">
                  <c:v>8.9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9.1</c:v>
                </c:pt>
                <c:pt idx="55">
                  <c:v>9.1</c:v>
                </c:pt>
                <c:pt idx="56">
                  <c:v>9.1</c:v>
                </c:pt>
                <c:pt idx="57">
                  <c:v>9.1999999999999993</c:v>
                </c:pt>
                <c:pt idx="58">
                  <c:v>9.1999999999999993</c:v>
                </c:pt>
                <c:pt idx="59">
                  <c:v>9.1999999999999993</c:v>
                </c:pt>
                <c:pt idx="60">
                  <c:v>9.3000000000000007</c:v>
                </c:pt>
                <c:pt idx="61">
                  <c:v>9.3000000000000007</c:v>
                </c:pt>
                <c:pt idx="62">
                  <c:v>9.3000000000000007</c:v>
                </c:pt>
                <c:pt idx="63">
                  <c:v>9.4</c:v>
                </c:pt>
                <c:pt idx="64">
                  <c:v>9.4</c:v>
                </c:pt>
                <c:pt idx="65">
                  <c:v>9.4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9.6</c:v>
                </c:pt>
                <c:pt idx="70">
                  <c:v>9.6</c:v>
                </c:pt>
                <c:pt idx="71">
                  <c:v>9.6</c:v>
                </c:pt>
                <c:pt idx="72">
                  <c:v>9.6999999999999993</c:v>
                </c:pt>
                <c:pt idx="73">
                  <c:v>9.6999999999999993</c:v>
                </c:pt>
                <c:pt idx="74">
                  <c:v>9.6999999999999993</c:v>
                </c:pt>
                <c:pt idx="75">
                  <c:v>9.8000000000000007</c:v>
                </c:pt>
                <c:pt idx="76">
                  <c:v>9.8000000000000007</c:v>
                </c:pt>
                <c:pt idx="77">
                  <c:v>9.8000000000000007</c:v>
                </c:pt>
                <c:pt idx="78">
                  <c:v>9.9</c:v>
                </c:pt>
                <c:pt idx="79">
                  <c:v>9.9</c:v>
                </c:pt>
                <c:pt idx="80">
                  <c:v>9.9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10.1</c:v>
                </c:pt>
                <c:pt idx="85">
                  <c:v>10.1</c:v>
                </c:pt>
                <c:pt idx="86">
                  <c:v>10.1</c:v>
                </c:pt>
                <c:pt idx="87">
                  <c:v>10.199999999999999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10.3</c:v>
                </c:pt>
                <c:pt idx="91">
                  <c:v>10.3</c:v>
                </c:pt>
                <c:pt idx="92">
                  <c:v>10.3</c:v>
                </c:pt>
                <c:pt idx="93">
                  <c:v>10.4</c:v>
                </c:pt>
                <c:pt idx="94">
                  <c:v>10.4</c:v>
                </c:pt>
                <c:pt idx="95">
                  <c:v>10.4</c:v>
                </c:pt>
                <c:pt idx="96">
                  <c:v>10.5</c:v>
                </c:pt>
                <c:pt idx="97">
                  <c:v>10.5</c:v>
                </c:pt>
                <c:pt idx="98">
                  <c:v>10.5</c:v>
                </c:pt>
                <c:pt idx="99">
                  <c:v>10.6</c:v>
                </c:pt>
                <c:pt idx="100">
                  <c:v>10.6</c:v>
                </c:pt>
                <c:pt idx="101">
                  <c:v>10.6</c:v>
                </c:pt>
                <c:pt idx="102">
                  <c:v>10.7</c:v>
                </c:pt>
                <c:pt idx="103">
                  <c:v>10.7</c:v>
                </c:pt>
                <c:pt idx="104">
                  <c:v>10.7</c:v>
                </c:pt>
                <c:pt idx="105">
                  <c:v>10.8</c:v>
                </c:pt>
                <c:pt idx="106">
                  <c:v>10.8</c:v>
                </c:pt>
                <c:pt idx="107">
                  <c:v>10.8</c:v>
                </c:pt>
                <c:pt idx="108">
                  <c:v>10.9</c:v>
                </c:pt>
                <c:pt idx="109">
                  <c:v>10.9</c:v>
                </c:pt>
                <c:pt idx="110">
                  <c:v>10.9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11.1</c:v>
                </c:pt>
                <c:pt idx="115">
                  <c:v>11.1</c:v>
                </c:pt>
              </c:numCache>
            </c:numRef>
          </c:cat>
          <c:val>
            <c:numRef>
              <c:f>'Vækstfunktion, kry kvie'!$AT$185:$AT$300</c:f>
              <c:numCache>
                <c:formatCode>#,##0.00</c:formatCode>
                <c:ptCount val="116"/>
                <c:pt idx="0">
                  <c:v>4.3622252276729796</c:v>
                </c:pt>
                <c:pt idx="1">
                  <c:v>4.2483761963670759</c:v>
                </c:pt>
                <c:pt idx="2">
                  <c:v>4.1667983004607549</c:v>
                </c:pt>
                <c:pt idx="3">
                  <c:v>4.0845024453471979</c:v>
                </c:pt>
                <c:pt idx="4">
                  <c:v>4.0014955566450681</c:v>
                </c:pt>
                <c:pt idx="5">
                  <c:v>3.9177846345090757</c:v>
                </c:pt>
                <c:pt idx="6">
                  <c:v>3.8333767544835382</c:v>
                </c:pt>
                <c:pt idx="7">
                  <c:v>3.7193391310913739</c:v>
                </c:pt>
                <c:pt idx="8">
                  <c:v>3.6340941627875054</c:v>
                </c:pt>
                <c:pt idx="9">
                  <c:v>3.548180210931946</c:v>
                </c:pt>
                <c:pt idx="10">
                  <c:v>3.4616046603149471</c:v>
                </c:pt>
                <c:pt idx="11">
                  <c:v>3.3743749748630307</c:v>
                </c:pt>
                <c:pt idx="12">
                  <c:v>3.286498698292462</c:v>
                </c:pt>
                <c:pt idx="13">
                  <c:v>3.1729226255955609</c:v>
                </c:pt>
                <c:pt idx="14">
                  <c:v>3.084355429121274</c:v>
                </c:pt>
                <c:pt idx="15">
                  <c:v>2.9951710454658951</c:v>
                </c:pt>
                <c:pt idx="16">
                  <c:v>2.9053773437647124</c:v>
                </c:pt>
                <c:pt idx="17">
                  <c:v>2.8149822759427252</c:v>
                </c:pt>
                <c:pt idx="18">
                  <c:v>2.7239938771948573</c:v>
                </c:pt>
                <c:pt idx="19">
                  <c:v>2.632420266521649</c:v>
                </c:pt>
                <c:pt idx="20">
                  <c:v>2.5200193411535565</c:v>
                </c:pt>
                <c:pt idx="21">
                  <c:v>2.4279295754171244</c:v>
                </c:pt>
                <c:pt idx="22">
                  <c:v>2.3352801479289838</c:v>
                </c:pt>
                <c:pt idx="23">
                  <c:v>2.2420624482394942</c:v>
                </c:pt>
                <c:pt idx="24">
                  <c:v>2.1482665174678459</c:v>
                </c:pt>
                <c:pt idx="25">
                  <c:v>2.0538824828857969</c:v>
                </c:pt>
                <c:pt idx="26">
                  <c:v>1.959041660384969</c:v>
                </c:pt>
                <c:pt idx="27">
                  <c:v>1.864303258177415</c:v>
                </c:pt>
                <c:pt idx="28">
                  <c:v>1.7698110946964789</c:v>
                </c:pt>
                <c:pt idx="29">
                  <c:v>1.675569005264947</c:v>
                </c:pt>
                <c:pt idx="30">
                  <c:v>1.5677262471912172</c:v>
                </c:pt>
                <c:pt idx="31">
                  <c:v>1.4745053380627269</c:v>
                </c:pt>
                <c:pt idx="32">
                  <c:v>1.3815337181833911</c:v>
                </c:pt>
                <c:pt idx="33">
                  <c:v>1.2888151688388234</c:v>
                </c:pt>
                <c:pt idx="34">
                  <c:v>1.1963534548807502</c:v>
                </c:pt>
                <c:pt idx="35">
                  <c:v>745.2433906968771</c:v>
                </c:pt>
                <c:pt idx="36">
                  <c:v>11.498017283964373</c:v>
                </c:pt>
                <c:pt idx="37">
                  <c:v>11.480161795619551</c:v>
                </c:pt>
                <c:pt idx="38">
                  <c:v>11.462308859184532</c:v>
                </c:pt>
                <c:pt idx="39">
                  <c:v>11.444460182189914</c:v>
                </c:pt>
                <c:pt idx="40">
                  <c:v>11.426617686531017</c:v>
                </c:pt>
                <c:pt idx="41">
                  <c:v>11.408783508986971</c:v>
                </c:pt>
                <c:pt idx="42">
                  <c:v>11.390960001693657</c:v>
                </c:pt>
                <c:pt idx="43">
                  <c:v>11.373149732626416</c:v>
                </c:pt>
                <c:pt idx="44">
                  <c:v>11.347861901519764</c:v>
                </c:pt>
                <c:pt idx="45">
                  <c:v>11.330413019039952</c:v>
                </c:pt>
                <c:pt idx="46">
                  <c:v>11.312974161951161</c:v>
                </c:pt>
                <c:pt idx="47">
                  <c:v>11.295548765283229</c:v>
                </c:pt>
                <c:pt idx="48">
                  <c:v>11.278140481583705</c:v>
                </c:pt>
                <c:pt idx="49">
                  <c:v>11.260753181221162</c:v>
                </c:pt>
                <c:pt idx="50">
                  <c:v>11.243390952541858</c:v>
                </c:pt>
                <c:pt idx="51">
                  <c:v>11.226058102130082</c:v>
                </c:pt>
                <c:pt idx="52">
                  <c:v>11.208759154910695</c:v>
                </c:pt>
                <c:pt idx="53">
                  <c:v>11.19149885433103</c:v>
                </c:pt>
                <c:pt idx="54">
                  <c:v>11.174282162460031</c:v>
                </c:pt>
                <c:pt idx="55">
                  <c:v>11.157114260052822</c:v>
                </c:pt>
                <c:pt idx="56">
                  <c:v>11.140000546652118</c:v>
                </c:pt>
                <c:pt idx="57">
                  <c:v>11.12294664063279</c:v>
                </c:pt>
                <c:pt idx="58">
                  <c:v>11.105958379204594</c:v>
                </c:pt>
                <c:pt idx="59">
                  <c:v>11.089041818425358</c:v>
                </c:pt>
                <c:pt idx="60">
                  <c:v>11.072203233251457</c:v>
                </c:pt>
                <c:pt idx="61">
                  <c:v>11.055449117410035</c:v>
                </c:pt>
                <c:pt idx="62">
                  <c:v>11.038786183464936</c:v>
                </c:pt>
                <c:pt idx="63">
                  <c:v>11.022221362688924</c:v>
                </c:pt>
                <c:pt idx="64">
                  <c:v>11.00576180509097</c:v>
                </c:pt>
                <c:pt idx="65">
                  <c:v>10.999397934738909</c:v>
                </c:pt>
                <c:pt idx="66">
                  <c:v>11.090450114143323</c:v>
                </c:pt>
                <c:pt idx="67">
                  <c:v>11.047226525202859</c:v>
                </c:pt>
                <c:pt idx="68">
                  <c:v>11.004089998347354</c:v>
                </c:pt>
                <c:pt idx="69">
                  <c:v>10.961051776571594</c:v>
                </c:pt>
                <c:pt idx="70">
                  <c:v>9.9241596207359635</c:v>
                </c:pt>
                <c:pt idx="71">
                  <c:v>5.8808424051640031</c:v>
                </c:pt>
                <c:pt idx="72">
                  <c:v>5.7971439761677175</c:v>
                </c:pt>
                <c:pt idx="73">
                  <c:v>5.7136835262479053</c:v>
                </c:pt>
                <c:pt idx="74">
                  <c:v>5.6304727755771182</c:v>
                </c:pt>
                <c:pt idx="75">
                  <c:v>5.547523460425964</c:v>
                </c:pt>
                <c:pt idx="76">
                  <c:v>5.4648473315869524</c:v>
                </c:pt>
                <c:pt idx="77">
                  <c:v>5.3824561528256254</c:v>
                </c:pt>
                <c:pt idx="78">
                  <c:v>5.3003616993794367</c:v>
                </c:pt>
                <c:pt idx="79">
                  <c:v>5.218575756536211</c:v>
                </c:pt>
                <c:pt idx="80">
                  <c:v>5.140450026554845</c:v>
                </c:pt>
                <c:pt idx="81">
                  <c:v>5.0594176977540428</c:v>
                </c:pt>
                <c:pt idx="82">
                  <c:v>3.4375620477896973</c:v>
                </c:pt>
                <c:pt idx="83">
                  <c:v>2.709762363860591</c:v>
                </c:pt>
                <c:pt idx="84">
                  <c:v>2.6257115376160982</c:v>
                </c:pt>
                <c:pt idx="85">
                  <c:v>2.54211918718579</c:v>
                </c:pt>
                <c:pt idx="86">
                  <c:v>2.4589934874441042</c:v>
                </c:pt>
                <c:pt idx="87">
                  <c:v>2.3762305274753999</c:v>
                </c:pt>
                <c:pt idx="88">
                  <c:v>2.293387417676513</c:v>
                </c:pt>
                <c:pt idx="89">
                  <c:v>2.2148441696338068</c:v>
                </c:pt>
                <c:pt idx="90">
                  <c:v>2.1318164085462286</c:v>
                </c:pt>
                <c:pt idx="91">
                  <c:v>2.0486088789753012</c:v>
                </c:pt>
                <c:pt idx="92">
                  <c:v>1.9652215062155847</c:v>
                </c:pt>
                <c:pt idx="93">
                  <c:v>1.8816542563502026</c:v>
                </c:pt>
                <c:pt idx="94">
                  <c:v>1.7979071360443868</c:v>
                </c:pt>
                <c:pt idx="95">
                  <c:v>1.7139801921944127</c:v>
                </c:pt>
                <c:pt idx="96">
                  <c:v>1.6357418865504769</c:v>
                </c:pt>
                <c:pt idx="97">
                  <c:v>1.551727823619558</c:v>
                </c:pt>
                <c:pt idx="98">
                  <c:v>1.4675506082514858</c:v>
                </c:pt>
                <c:pt idx="99">
                  <c:v>1.3832256078189857</c:v>
                </c:pt>
                <c:pt idx="100">
                  <c:v>1.298770103890547</c:v>
                </c:pt>
                <c:pt idx="101">
                  <c:v>1.2142014166468016</c:v>
                </c:pt>
                <c:pt idx="102">
                  <c:v>1.1367052841171699</c:v>
                </c:pt>
                <c:pt idx="103">
                  <c:v>1.0522082558195507</c:v>
                </c:pt>
                <c:pt idx="104">
                  <c:v>0.96764541212041877</c:v>
                </c:pt>
                <c:pt idx="105">
                  <c:v>0.88303422502508511</c:v>
                </c:pt>
                <c:pt idx="106">
                  <c:v>0.798392203864978</c:v>
                </c:pt>
                <c:pt idx="107">
                  <c:v>0.72185999076964436</c:v>
                </c:pt>
                <c:pt idx="108">
                  <c:v>0.63743560176180836</c:v>
                </c:pt>
                <c:pt idx="109">
                  <c:v>0.55302830576715678</c:v>
                </c:pt>
                <c:pt idx="110">
                  <c:v>0.46865575853394148</c:v>
                </c:pt>
                <c:pt idx="111">
                  <c:v>0.38433565172044837</c:v>
                </c:pt>
                <c:pt idx="112">
                  <c:v>0.30908637603124589</c:v>
                </c:pt>
                <c:pt idx="113">
                  <c:v>0.22513170479146538</c:v>
                </c:pt>
                <c:pt idx="114">
                  <c:v>0.14127794003729832</c:v>
                </c:pt>
                <c:pt idx="115">
                  <c:v>5.7542914515124721E-2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8-4C2B-A398-5DCF328905F1}"/>
            </c:ext>
          </c:extLst>
        </c:ser>
        <c:ser>
          <c:idx val="1"/>
          <c:order val="2"/>
          <c:tx>
            <c:strRef>
              <c:f>'Vækstfunktion, kry kvie'!$AV$2</c:f>
              <c:strCache>
                <c:ptCount val="1"/>
                <c:pt idx="0">
                  <c:v>Total res. Pr. m3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kvie'!$AV$185:$AV$300</c:f>
              <c:numCache>
                <c:formatCode>#,##0.00</c:formatCode>
                <c:ptCount val="116"/>
                <c:pt idx="0">
                  <c:v>1.2696729829208948</c:v>
                </c:pt>
                <c:pt idx="1">
                  <c:v>1.1683421952086519</c:v>
                </c:pt>
                <c:pt idx="2">
                  <c:v>1.0927698020625485</c:v>
                </c:pt>
                <c:pt idx="3">
                  <c:v>1.0181748310700414</c:v>
                </c:pt>
                <c:pt idx="4">
                  <c:v>0.94453657877278374</c:v>
                </c:pt>
                <c:pt idx="5">
                  <c:v>0.16353016180278246</c:v>
                </c:pt>
                <c:pt idx="6">
                  <c:v>0.10047440237622141</c:v>
                </c:pt>
                <c:pt idx="7">
                  <c:v>1.8131688634582588E-2</c:v>
                </c:pt>
                <c:pt idx="8">
                  <c:v>-4.1901633686336481E-2</c:v>
                </c:pt>
                <c:pt idx="9">
                  <c:v>-0.10085398505515286</c:v>
                </c:pt>
                <c:pt idx="10">
                  <c:v>-0.15875707172966713</c:v>
                </c:pt>
                <c:pt idx="11">
                  <c:v>-0.2156412083760415</c:v>
                </c:pt>
                <c:pt idx="12">
                  <c:v>-0.2715353874850166</c:v>
                </c:pt>
                <c:pt idx="13">
                  <c:v>-0.34329566664325739</c:v>
                </c:pt>
                <c:pt idx="14">
                  <c:v>-0.3966291820700576</c:v>
                </c:pt>
                <c:pt idx="15">
                  <c:v>-0.44906449426366635</c:v>
                </c:pt>
                <c:pt idx="16">
                  <c:v>-0.50062553356190165</c:v>
                </c:pt>
                <c:pt idx="17">
                  <c:v>-0.55133521561742782</c:v>
                </c:pt>
                <c:pt idx="18">
                  <c:v>-0.60121548958898074</c:v>
                </c:pt>
                <c:pt idx="19">
                  <c:v>-0.65028738363344019</c:v>
                </c:pt>
                <c:pt idx="20">
                  <c:v>-0.71142268445061063</c:v>
                </c:pt>
                <c:pt idx="21">
                  <c:v>-0.75834099905972607</c:v>
                </c:pt>
                <c:pt idx="22">
                  <c:v>-0.80452229705110767</c:v>
                </c:pt>
                <c:pt idx="23">
                  <c:v>-0.84999450387215347</c:v>
                </c:pt>
                <c:pt idx="24">
                  <c:v>-0.89478531309498521</c:v>
                </c:pt>
                <c:pt idx="25">
                  <c:v>-0.93892132082208946</c:v>
                </c:pt>
                <c:pt idx="26">
                  <c:v>-0.98234254983452729</c:v>
                </c:pt>
                <c:pt idx="27">
                  <c:v>-1.0247338255988439</c:v>
                </c:pt>
                <c:pt idx="28">
                  <c:v>-1.0660396624858208</c:v>
                </c:pt>
                <c:pt idx="29">
                  <c:v>-1.1062895892169422</c:v>
                </c:pt>
                <c:pt idx="30">
                  <c:v>-1.1536653604665617</c:v>
                </c:pt>
                <c:pt idx="31">
                  <c:v>-1.1914724006440451</c:v>
                </c:pt>
                <c:pt idx="32">
                  <c:v>-1.2283219202342934</c:v>
                </c:pt>
                <c:pt idx="33">
                  <c:v>-1.264238997345899</c:v>
                </c:pt>
                <c:pt idx="34">
                  <c:v>-1.2992478334790007</c:v>
                </c:pt>
                <c:pt idx="35">
                  <c:v>421.22305810134702</c:v>
                </c:pt>
                <c:pt idx="36">
                  <c:v>1.6020330897015356</c:v>
                </c:pt>
                <c:pt idx="37">
                  <c:v>1.5698643389881681</c:v>
                </c:pt>
                <c:pt idx="38">
                  <c:v>1.5383601745893429</c:v>
                </c:pt>
                <c:pt idx="39">
                  <c:v>1.5075033968319076</c:v>
                </c:pt>
                <c:pt idx="40">
                  <c:v>1.4772775065894166</c:v>
                </c:pt>
                <c:pt idx="41">
                  <c:v>1.4476666772675344</c:v>
                </c:pt>
                <c:pt idx="42">
                  <c:v>1.4186557280704619</c:v>
                </c:pt>
                <c:pt idx="43">
                  <c:v>1.3902300985199645</c:v>
                </c:pt>
                <c:pt idx="44">
                  <c:v>1.3583733681357444</c:v>
                </c:pt>
                <c:pt idx="45">
                  <c:v>1.3313027019066794</c:v>
                </c:pt>
                <c:pt idx="46">
                  <c:v>1.304766308820831</c:v>
                </c:pt>
                <c:pt idx="47">
                  <c:v>1.2787521577383814</c:v>
                </c:pt>
                <c:pt idx="48">
                  <c:v>1.2532487175064944</c:v>
                </c:pt>
                <c:pt idx="49">
                  <c:v>1.2282449379504214</c:v>
                </c:pt>
                <c:pt idx="50">
                  <c:v>1.2037302316341538</c:v>
                </c:pt>
                <c:pt idx="51">
                  <c:v>1.1796944564786145</c:v>
                </c:pt>
                <c:pt idx="52">
                  <c:v>1.1561278990632218</c:v>
                </c:pt>
                <c:pt idx="53">
                  <c:v>1.1330212586948392</c:v>
                </c:pt>
                <c:pt idx="54">
                  <c:v>1.1103656321264452</c:v>
                </c:pt>
                <c:pt idx="55">
                  <c:v>1.088152498916088</c:v>
                </c:pt>
                <c:pt idx="56">
                  <c:v>1.0663737074322626</c:v>
                </c:pt>
                <c:pt idx="57">
                  <c:v>1.0450214614239712</c:v>
                </c:pt>
                <c:pt idx="58">
                  <c:v>1.0240883071414828</c:v>
                </c:pt>
                <c:pt idx="59">
                  <c:v>1.0035671210017654</c:v>
                </c:pt>
                <c:pt idx="60">
                  <c:v>0.98345109778631468</c:v>
                </c:pt>
                <c:pt idx="61">
                  <c:v>0.96373373924711814</c:v>
                </c:pt>
                <c:pt idx="62">
                  <c:v>0.9444088432717308</c:v>
                </c:pt>
                <c:pt idx="63">
                  <c:v>0.92547049340350895</c:v>
                </c:pt>
                <c:pt idx="64">
                  <c:v>0.90691304886252055</c:v>
                </c:pt>
                <c:pt idx="65">
                  <c:v>0.89341422049096764</c:v>
                </c:pt>
                <c:pt idx="66">
                  <c:v>0.92558361853298265</c:v>
                </c:pt>
                <c:pt idx="67">
                  <c:v>0.8949326539766389</c:v>
                </c:pt>
                <c:pt idx="68">
                  <c:v>0.86484571111179775</c:v>
                </c:pt>
                <c:pt idx="69">
                  <c:v>0.83531516387984084</c:v>
                </c:pt>
                <c:pt idx="70">
                  <c:v>0.35319460924392843</c:v>
                </c:pt>
                <c:pt idx="71">
                  <c:v>-1.4837487783153165</c:v>
                </c:pt>
                <c:pt idx="72">
                  <c:v>-1.5049511652761112</c:v>
                </c:pt>
                <c:pt idx="73">
                  <c:v>-1.525694513893427</c:v>
                </c:pt>
                <c:pt idx="74">
                  <c:v>-1.545983714034378</c:v>
                </c:pt>
                <c:pt idx="75">
                  <c:v>-1.5658235144784385</c:v>
                </c:pt>
                <c:pt idx="76">
                  <c:v>-1.585218528222299</c:v>
                </c:pt>
                <c:pt idx="77">
                  <c:v>-1.6041732375751963</c:v>
                </c:pt>
                <c:pt idx="78">
                  <c:v>-1.622691999039489</c:v>
                </c:pt>
                <c:pt idx="79">
                  <c:v>-1.6407790479760251</c:v>
                </c:pt>
                <c:pt idx="80">
                  <c:v>-1.6569970660556237</c:v>
                </c:pt>
                <c:pt idx="81">
                  <c:v>-1.6742047797325768</c:v>
                </c:pt>
                <c:pt idx="82">
                  <c:v>-2.3491108752266427</c:v>
                </c:pt>
                <c:pt idx="83">
                  <c:v>-2.633609053356281</c:v>
                </c:pt>
                <c:pt idx="84">
                  <c:v>-2.6416243791003353</c:v>
                </c:pt>
                <c:pt idx="85">
                  <c:v>-2.6493220757047311</c:v>
                </c:pt>
                <c:pt idx="86">
                  <c:v>-2.6567052896309633</c:v>
                </c:pt>
                <c:pt idx="87">
                  <c:v>-2.6638237196733598</c:v>
                </c:pt>
                <c:pt idx="88">
                  <c:v>-2.6708661042292761</c:v>
                </c:pt>
                <c:pt idx="89">
                  <c:v>-2.6760302360048627</c:v>
                </c:pt>
                <c:pt idx="90">
                  <c:v>-2.6829533751765666</c:v>
                </c:pt>
                <c:pt idx="91">
                  <c:v>-2.6898451803557464</c:v>
                </c:pt>
                <c:pt idx="92">
                  <c:v>-2.6967063100223641</c:v>
                </c:pt>
                <c:pt idx="93">
                  <c:v>-2.7035373897742829</c:v>
                </c:pt>
                <c:pt idx="94">
                  <c:v>-2.7103390133903531</c:v>
                </c:pt>
                <c:pt idx="95">
                  <c:v>-2.7171117439127102</c:v>
                </c:pt>
                <c:pt idx="96">
                  <c:v>-2.7215225487257158</c:v>
                </c:pt>
                <c:pt idx="97">
                  <c:v>-2.7281541614537446</c:v>
                </c:pt>
                <c:pt idx="98">
                  <c:v>-2.7347532196936299</c:v>
                </c:pt>
                <c:pt idx="99">
                  <c:v>-2.7413143318837001</c:v>
                </c:pt>
                <c:pt idx="100">
                  <c:v>-2.7478314898552298</c:v>
                </c:pt>
                <c:pt idx="101">
                  <c:v>-2.7542988145178242</c:v>
                </c:pt>
                <c:pt idx="102">
                  <c:v>-2.7579416665905683</c:v>
                </c:pt>
                <c:pt idx="103">
                  <c:v>-2.7642239549396663</c:v>
                </c:pt>
                <c:pt idx="104">
                  <c:v>-2.7704423243609426</c:v>
                </c:pt>
                <c:pt idx="105">
                  <c:v>-2.776591324364972</c:v>
                </c:pt>
                <c:pt idx="106">
                  <c:v>-2.7826656179483962</c:v>
                </c:pt>
                <c:pt idx="107">
                  <c:v>-2.7855954514427594</c:v>
                </c:pt>
                <c:pt idx="108">
                  <c:v>-2.7914480980367671</c:v>
                </c:pt>
                <c:pt idx="109">
                  <c:v>-2.7972132653593462</c:v>
                </c:pt>
                <c:pt idx="110">
                  <c:v>-2.8028859930908538</c:v>
                </c:pt>
                <c:pt idx="111">
                  <c:v>-2.808461421109314</c:v>
                </c:pt>
                <c:pt idx="112">
                  <c:v>-2.8106165280313462</c:v>
                </c:pt>
                <c:pt idx="113">
                  <c:v>-2.8159371662227386</c:v>
                </c:pt>
                <c:pt idx="114">
                  <c:v>-2.8211488840163383</c:v>
                </c:pt>
                <c:pt idx="115">
                  <c:v>-2.8262471535928171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8-4C2B-A398-5DCF32890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862592"/>
        <c:axId val="769170576"/>
      </c:lineChart>
      <c:lineChart>
        <c:grouping val="standard"/>
        <c:varyColors val="0"/>
        <c:ser>
          <c:idx val="0"/>
          <c:order val="1"/>
          <c:tx>
            <c:strRef>
              <c:f>'Vækstfunktion, kry kvie'!$AU$2</c:f>
              <c:strCache>
                <c:ptCount val="1"/>
                <c:pt idx="0">
                  <c:v>Total res./foderdag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kvie'!$AU$185:$AU$300</c:f>
              <c:numCache>
                <c:formatCode>#,##0.00</c:formatCode>
                <c:ptCount val="116"/>
                <c:pt idx="0">
                  <c:v>1.2106548365129921E-2</c:v>
                </c:pt>
                <c:pt idx="1">
                  <c:v>1.1356210712759385E-2</c:v>
                </c:pt>
                <c:pt idx="2">
                  <c:v>1.079247926772231E-2</c:v>
                </c:pt>
                <c:pt idx="3">
                  <c:v>1.0233980269609422E-2</c:v>
                </c:pt>
                <c:pt idx="4">
                  <c:v>9.6806388298165125E-3</c:v>
                </c:pt>
                <c:pt idx="5">
                  <c:v>9.1323824479245808E-3</c:v>
                </c:pt>
                <c:pt idx="6">
                  <c:v>8.589140940403972E-3</c:v>
                </c:pt>
                <c:pt idx="7">
                  <c:v>7.8985309126515801E-3</c:v>
                </c:pt>
                <c:pt idx="8">
                  <c:v>7.3695150481007943E-3</c:v>
                </c:pt>
                <c:pt idx="9">
                  <c:v>6.8452807671022242E-3</c:v>
                </c:pt>
                <c:pt idx="10">
                  <c:v>6.3257672326400005E-3</c:v>
                </c:pt>
                <c:pt idx="11">
                  <c:v>5.8109155835821547E-3</c:v>
                </c:pt>
                <c:pt idx="12">
                  <c:v>5.3006688772350152E-3</c:v>
                </c:pt>
                <c:pt idx="13">
                  <c:v>4.6671106606464008E-3</c:v>
                </c:pt>
                <c:pt idx="14">
                  <c:v>4.1701491489933851E-3</c:v>
                </c:pt>
                <c:pt idx="15">
                  <c:v>3.6776002502394434E-3</c:v>
                </c:pt>
                <c:pt idx="16">
                  <c:v>3.1894148120397148E-3</c:v>
                </c:pt>
                <c:pt idx="17">
                  <c:v>2.7055453248094885E-3</c:v>
                </c:pt>
                <c:pt idx="18">
                  <c:v>2.2259458750708561E-3</c:v>
                </c:pt>
                <c:pt idx="19">
                  <c:v>1.7505721006978447E-3</c:v>
                </c:pt>
                <c:pt idx="20">
                  <c:v>1.1796259451832825E-3</c:v>
                </c:pt>
                <c:pt idx="21">
                  <c:v>7.166405646596985E-4</c:v>
                </c:pt>
                <c:pt idx="22">
                  <c:v>2.5770052262297227E-4</c:v>
                </c:pt>
                <c:pt idx="23">
                  <c:v>-1.9731452948690276E-4</c:v>
                </c:pt>
                <c:pt idx="24">
                  <c:v>-6.4852854742314392E-4</c:v>
                </c:pt>
                <c:pt idx="25">
                  <c:v>-1.0960620930342557E-3</c:v>
                </c:pt>
                <c:pt idx="26">
                  <c:v>-1.5393573002819849E-3</c:v>
                </c:pt>
                <c:pt idx="27">
                  <c:v>-1.9758320031724175E-3</c:v>
                </c:pt>
                <c:pt idx="28">
                  <c:v>-2.4049338964169387E-3</c:v>
                </c:pt>
                <c:pt idx="29">
                  <c:v>-2.8267839984863485E-3</c:v>
                </c:pt>
                <c:pt idx="30">
                  <c:v>-3.3065454542455797E-3</c:v>
                </c:pt>
                <c:pt idx="31">
                  <c:v>-3.7112548851800931E-3</c:v>
                </c:pt>
                <c:pt idx="32">
                  <c:v>-4.1091577228966614E-3</c:v>
                </c:pt>
                <c:pt idx="33">
                  <c:v>-4.5003625094648392E-3</c:v>
                </c:pt>
                <c:pt idx="34">
                  <c:v>-4.8849753617190572E-3</c:v>
                </c:pt>
                <c:pt idx="35">
                  <c:v>3.4082196447883724</c:v>
                </c:pt>
                <c:pt idx="36">
                  <c:v>2.6658856192528724E-2</c:v>
                </c:pt>
                <c:pt idx="37">
                  <c:v>2.6335341643757282E-2</c:v>
                </c:pt>
                <c:pt idx="38">
                  <c:v>2.6016230242298377E-2</c:v>
                </c:pt>
                <c:pt idx="39">
                  <c:v>2.5701450343742493E-2</c:v>
                </c:pt>
                <c:pt idx="40">
                  <c:v>2.5390932871338201E-2</c:v>
                </c:pt>
                <c:pt idx="41">
                  <c:v>2.5084611249521771E-2</c:v>
                </c:pt>
                <c:pt idx="42">
                  <c:v>2.4782421339333283E-2</c:v>
                </c:pt>
                <c:pt idx="43">
                  <c:v>2.4484301375855999E-2</c:v>
                </c:pt>
                <c:pt idx="44">
                  <c:v>2.4157180521854116E-2</c:v>
                </c:pt>
                <c:pt idx="45">
                  <c:v>2.3868745243243339E-2</c:v>
                </c:pt>
                <c:pt idx="46">
                  <c:v>2.3584132371734512E-2</c:v>
                </c:pt>
                <c:pt idx="47">
                  <c:v>2.3303290365598528E-2</c:v>
                </c:pt>
                <c:pt idx="48">
                  <c:v>2.302616974035665E-2</c:v>
                </c:pt>
                <c:pt idx="49">
                  <c:v>2.2752723016894905E-2</c:v>
                </c:pt>
                <c:pt idx="50">
                  <c:v>2.2482904670486192E-2</c:v>
                </c:pt>
                <c:pt idx="51">
                  <c:v>2.2216671081800143E-2</c:v>
                </c:pt>
                <c:pt idx="52">
                  <c:v>2.1953980488680358E-2</c:v>
                </c:pt>
                <c:pt idx="53">
                  <c:v>2.1694792939710439E-2</c:v>
                </c:pt>
                <c:pt idx="54">
                  <c:v>2.1439070248780112E-2</c:v>
                </c:pt>
                <c:pt idx="55">
                  <c:v>2.1186775950861048E-2</c:v>
                </c:pt>
                <c:pt idx="56">
                  <c:v>2.0937875259218863E-2</c:v>
                </c:pt>
                <c:pt idx="57">
                  <c:v>2.0692335023644759E-2</c:v>
                </c:pt>
                <c:pt idx="58">
                  <c:v>2.0450123689721877E-2</c:v>
                </c:pt>
                <c:pt idx="59">
                  <c:v>2.0211211259313799E-2</c:v>
                </c:pt>
                <c:pt idx="60">
                  <c:v>1.997556925234889E-2</c:v>
                </c:pt>
                <c:pt idx="61">
                  <c:v>1.9743170668962584E-2</c:v>
                </c:pt>
                <c:pt idx="62">
                  <c:v>1.9513989953522604E-2</c:v>
                </c:pt>
                <c:pt idx="63">
                  <c:v>1.9288002958875339E-2</c:v>
                </c:pt>
                <c:pt idx="64">
                  <c:v>1.9065186912253118E-2</c:v>
                </c:pt>
                <c:pt idx="65">
                  <c:v>1.8885774637348085E-2</c:v>
                </c:pt>
                <c:pt idx="66">
                  <c:v>1.9099753071603942E-2</c:v>
                </c:pt>
                <c:pt idx="67">
                  <c:v>1.8774060691268524E-2</c:v>
                </c:pt>
                <c:pt idx="68">
                  <c:v>1.8452607909444474E-2</c:v>
                </c:pt>
                <c:pt idx="69">
                  <c:v>1.8135372045973597E-2</c:v>
                </c:pt>
                <c:pt idx="70">
                  <c:v>1.3893621453373584E-2</c:v>
                </c:pt>
                <c:pt idx="71">
                  <c:v>-2.1343488555967127E-3</c:v>
                </c:pt>
                <c:pt idx="72">
                  <c:v>-2.4458379978913314E-3</c:v>
                </c:pt>
                <c:pt idx="73">
                  <c:v>-2.7527472710326961E-3</c:v>
                </c:pt>
                <c:pt idx="74">
                  <c:v>-3.0551023532456867E-3</c:v>
                </c:pt>
                <c:pt idx="75">
                  <c:v>-3.3529283627204975E-3</c:v>
                </c:pt>
                <c:pt idx="76">
                  <c:v>-3.6462498766720586E-3</c:v>
                </c:pt>
                <c:pt idx="77">
                  <c:v>-3.9350909497803954E-3</c:v>
                </c:pt>
                <c:pt idx="78">
                  <c:v>-4.2194751319515333E-3</c:v>
                </c:pt>
                <c:pt idx="79">
                  <c:v>-4.4994254853074622E-3</c:v>
                </c:pt>
                <c:pt idx="80">
                  <c:v>-4.7622653294547845E-3</c:v>
                </c:pt>
                <c:pt idx="81">
                  <c:v>-5.0331282012043843E-3</c:v>
                </c:pt>
                <c:pt idx="82">
                  <c:v>-1.1115352327853323E-2</c:v>
                </c:pt>
                <c:pt idx="83">
                  <c:v>-1.3767867287527658E-2</c:v>
                </c:pt>
                <c:pt idx="84">
                  <c:v>-1.3979534297526186E-2</c:v>
                </c:pt>
                <c:pt idx="85">
                  <c:v>-1.4187121170044392E-2</c:v>
                </c:pt>
                <c:pt idx="86">
                  <c:v>-1.4390658186408167E-2</c:v>
                </c:pt>
                <c:pt idx="87">
                  <c:v>-1.4590590199726527E-2</c:v>
                </c:pt>
                <c:pt idx="88">
                  <c:v>-1.4788604699354835E-2</c:v>
                </c:pt>
                <c:pt idx="89">
                  <c:v>-1.4968626900252247E-2</c:v>
                </c:pt>
                <c:pt idx="90">
                  <c:v>-1.5163097622915345E-2</c:v>
                </c:pt>
                <c:pt idx="91">
                  <c:v>-1.535609519344483E-2</c:v>
                </c:pt>
                <c:pt idx="92">
                  <c:v>-1.5547641311163929E-2</c:v>
                </c:pt>
                <c:pt idx="93">
                  <c:v>-1.5737757134508534E-2</c:v>
                </c:pt>
                <c:pt idx="94">
                  <c:v>-1.592646329348657E-2</c:v>
                </c:pt>
                <c:pt idx="95">
                  <c:v>-1.6113779902346081E-2</c:v>
                </c:pt>
                <c:pt idx="96">
                  <c:v>-1.6278692969869724E-2</c:v>
                </c:pt>
                <c:pt idx="97">
                  <c:v>-1.6462466816267174E-2</c:v>
                </c:pt>
                <c:pt idx="98">
                  <c:v>-1.6644859277960222E-2</c:v>
                </c:pt>
                <c:pt idx="99">
                  <c:v>-1.6825835454826965E-2</c:v>
                </c:pt>
                <c:pt idx="100">
                  <c:v>-1.7005354299415743E-2</c:v>
                </c:pt>
                <c:pt idx="101">
                  <c:v>-1.7183375350982466E-2</c:v>
                </c:pt>
                <c:pt idx="102">
                  <c:v>-1.7334706515290677E-2</c:v>
                </c:pt>
                <c:pt idx="103">
                  <c:v>-1.7508928946294411E-2</c:v>
                </c:pt>
                <c:pt idx="104">
                  <c:v>-1.7681559558860194E-2</c:v>
                </c:pt>
                <c:pt idx="105">
                  <c:v>-1.785255979489353E-2</c:v>
                </c:pt>
                <c:pt idx="106">
                  <c:v>-1.8021891634237619E-2</c:v>
                </c:pt>
                <c:pt idx="107">
                  <c:v>-1.8161506909502023E-2</c:v>
                </c:pt>
                <c:pt idx="108">
                  <c:v>-1.8326803731457453E-2</c:v>
                </c:pt>
                <c:pt idx="109">
                  <c:v>-1.849034376067582E-2</c:v>
                </c:pt>
                <c:pt idx="110">
                  <c:v>-1.8652090722149239E-2</c:v>
                </c:pt>
                <c:pt idx="111">
                  <c:v>-1.881200883565004E-2</c:v>
                </c:pt>
                <c:pt idx="112">
                  <c:v>-1.893955208316811E-2</c:v>
                </c:pt>
                <c:pt idx="113">
                  <c:v>-1.9095212782740845E-2</c:v>
                </c:pt>
                <c:pt idx="114">
                  <c:v>-1.9248961399537912E-2</c:v>
                </c:pt>
                <c:pt idx="115">
                  <c:v>-1.9400763757668749E-2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8-4C2B-A398-5DCF32890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598824"/>
        <c:axId val="1067603088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46126020803433032"/>
              <c:y val="0.85784490695125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noMultiLvlLbl val="0"/>
      </c:catAx>
      <c:valAx>
        <c:axId val="769170576"/>
        <c:scaling>
          <c:orientation val="minMax"/>
          <c:max val="16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valAx>
        <c:axId val="1067603088"/>
        <c:scaling>
          <c:orientation val="minMax"/>
          <c:max val="0.4"/>
          <c:min val="-0.1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7598824"/>
        <c:crosses val="max"/>
        <c:crossBetween val="between"/>
      </c:valAx>
      <c:catAx>
        <c:axId val="1067598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6760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430337311715474"/>
          <c:y val="0.92942943752001361"/>
          <c:w val="0.3467246853540305"/>
          <c:h val="4.1251063208938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'Vækstfunktion, kry kvie'!$L$1</c:f>
              <c:strCache>
                <c:ptCount val="1"/>
                <c:pt idx="0">
                  <c:v>Nettotilvækst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kvie'!$L$2:$L$367</c:f>
              <c:numCache>
                <c:formatCode>#,##0.0</c:formatCode>
                <c:ptCount val="366"/>
                <c:pt idx="0">
                  <c:v>0</c:v>
                </c:pt>
                <c:pt idx="1">
                  <c:v>335.680156486589</c:v>
                </c:pt>
                <c:pt idx="2">
                  <c:v>341.7176863586846</c:v>
                </c:pt>
                <c:pt idx="3">
                  <c:v>347.6963984750725</c:v>
                </c:pt>
                <c:pt idx="4">
                  <c:v>353.61607188627886</c:v>
                </c:pt>
                <c:pt idx="5">
                  <c:v>359.47646236141395</c:v>
                </c:pt>
                <c:pt idx="6">
                  <c:v>365.27730285465765</c:v>
                </c:pt>
                <c:pt idx="7">
                  <c:v>371.01830396890989</c:v>
                </c:pt>
                <c:pt idx="8">
                  <c:v>376.699154416265</c:v>
                </c:pt>
                <c:pt idx="9">
                  <c:v>382.31952147529569</c:v>
                </c:pt>
                <c:pt idx="10">
                  <c:v>387.87905144517509</c:v>
                </c:pt>
                <c:pt idx="11">
                  <c:v>393.37737009672225</c:v>
                </c:pt>
                <c:pt idx="12">
                  <c:v>398.81408312039213</c:v>
                </c:pt>
                <c:pt idx="13">
                  <c:v>404.18877657099728</c:v>
                </c:pt>
                <c:pt idx="14">
                  <c:v>409.5010173091822</c:v>
                </c:pt>
                <c:pt idx="15">
                  <c:v>414.75035344028299</c:v>
                </c:pt>
                <c:pt idx="16">
                  <c:v>419.93631474927895</c:v>
                </c:pt>
                <c:pt idx="17">
                  <c:v>425.0584131333639</c:v>
                </c:pt>
                <c:pt idx="18">
                  <c:v>430.11614303085111</c:v>
                </c:pt>
                <c:pt idx="19">
                  <c:v>435.10898184714364</c:v>
                </c:pt>
                <c:pt idx="20">
                  <c:v>440.03639037773468</c:v>
                </c:pt>
                <c:pt idx="21">
                  <c:v>444.8978132276693</c:v>
                </c:pt>
                <c:pt idx="22">
                  <c:v>449.69267922827783</c:v>
                </c:pt>
                <c:pt idx="23">
                  <c:v>454.42040185051269</c:v>
                </c:pt>
                <c:pt idx="24">
                  <c:v>459.08037961534376</c:v>
                </c:pt>
                <c:pt idx="25">
                  <c:v>463.6719965007785</c:v>
                </c:pt>
                <c:pt idx="26">
                  <c:v>468.19791501061303</c:v>
                </c:pt>
                <c:pt idx="27">
                  <c:v>472.67093532956039</c:v>
                </c:pt>
                <c:pt idx="28">
                  <c:v>477.09445327839717</c:v>
                </c:pt>
                <c:pt idx="29">
                  <c:v>500.18499813434403</c:v>
                </c:pt>
                <c:pt idx="30">
                  <c:v>504.69220319077124</c:v>
                </c:pt>
                <c:pt idx="31">
                  <c:v>509.14832715641012</c:v>
                </c:pt>
                <c:pt idx="32">
                  <c:v>513.55357045719074</c:v>
                </c:pt>
                <c:pt idx="33">
                  <c:v>517.90813901641991</c:v>
                </c:pt>
                <c:pt idx="34">
                  <c:v>522.21224416119583</c:v>
                </c:pt>
                <c:pt idx="35">
                  <c:v>526.46610252933351</c:v>
                </c:pt>
                <c:pt idx="36">
                  <c:v>530.66993597692408</c:v>
                </c:pt>
                <c:pt idx="37">
                  <c:v>534.82397148680866</c:v>
                </c:pt>
                <c:pt idx="38">
                  <c:v>538.92844107725318</c:v>
                </c:pt>
                <c:pt idx="39">
                  <c:v>542.98358171171662</c:v>
                </c:pt>
                <c:pt idx="40">
                  <c:v>546.98963520873895</c:v>
                </c:pt>
                <c:pt idx="41">
                  <c:v>550.9468481530746</c:v>
                </c:pt>
                <c:pt idx="42">
                  <c:v>554.8554718068317</c:v>
                </c:pt>
                <c:pt idx="43">
                  <c:v>558.71576202184065</c:v>
                </c:pt>
                <c:pt idx="44">
                  <c:v>562.52797915202996</c:v>
                </c:pt>
                <c:pt idx="45">
                  <c:v>566.29238796723052</c:v>
                </c:pt>
                <c:pt idx="46">
                  <c:v>570.00925756667448</c:v>
                </c:pt>
                <c:pt idx="47">
                  <c:v>573.67886129407702</c:v>
                </c:pt>
                <c:pt idx="48">
                  <c:v>577.30147665241566</c:v>
                </c:pt>
                <c:pt idx="49">
                  <c:v>591.77622995390777</c:v>
                </c:pt>
                <c:pt idx="50">
                  <c:v>595.3768235245675</c:v>
                </c:pt>
                <c:pt idx="51">
                  <c:v>598.93030515092255</c:v>
                </c:pt>
                <c:pt idx="52">
                  <c:v>602.43697386826511</c:v>
                </c:pt>
                <c:pt idx="53">
                  <c:v>605.89713253025229</c:v>
                </c:pt>
                <c:pt idx="54">
                  <c:v>609.31108772665971</c:v>
                </c:pt>
                <c:pt idx="55">
                  <c:v>612.67914970137122</c:v>
                </c:pt>
                <c:pt idx="56">
                  <c:v>616.00163227127064</c:v>
                </c:pt>
                <c:pt idx="57">
                  <c:v>619.27885274563005</c:v>
                </c:pt>
                <c:pt idx="58">
                  <c:v>622.51113184617429</c:v>
                </c:pt>
                <c:pt idx="59">
                  <c:v>625.69879362787617</c:v>
                </c:pt>
                <c:pt idx="60">
                  <c:v>628.84216540037846</c:v>
                </c:pt>
                <c:pt idx="61">
                  <c:v>631.94157764983311</c:v>
                </c:pt>
                <c:pt idx="62">
                  <c:v>634.99736396189383</c:v>
                </c:pt>
                <c:pt idx="63">
                  <c:v>638.0098609446776</c:v>
                </c:pt>
                <c:pt idx="64">
                  <c:v>640.97940815321408</c:v>
                </c:pt>
                <c:pt idx="65">
                  <c:v>643.90634801350188</c:v>
                </c:pt>
                <c:pt idx="66">
                  <c:v>646.79102574829983</c:v>
                </c:pt>
                <c:pt idx="67">
                  <c:v>649.63378930279703</c:v>
                </c:pt>
                <c:pt idx="68">
                  <c:v>652.43498927114274</c:v>
                </c:pt>
                <c:pt idx="69">
                  <c:v>655.19497882382893</c:v>
                </c:pt>
                <c:pt idx="70">
                  <c:v>657.91411363552754</c:v>
                </c:pt>
                <c:pt idx="71">
                  <c:v>660.59275181341093</c:v>
                </c:pt>
                <c:pt idx="72">
                  <c:v>663.23125382673709</c:v>
                </c:pt>
                <c:pt idx="73">
                  <c:v>665.82998243602276</c:v>
                </c:pt>
                <c:pt idx="74">
                  <c:v>668.3893026242913</c:v>
                </c:pt>
                <c:pt idx="75">
                  <c:v>670.90958152746794</c:v>
                </c:pt>
                <c:pt idx="76">
                  <c:v>673.39118836670764</c:v>
                </c:pt>
                <c:pt idx="77">
                  <c:v>675.83449438032517</c:v>
                </c:pt>
                <c:pt idx="78">
                  <c:v>678.23987275720299</c:v>
                </c:pt>
                <c:pt idx="79">
                  <c:v>680.60769857029868</c:v>
                </c:pt>
                <c:pt idx="80">
                  <c:v>682.93834871118975</c:v>
                </c:pt>
                <c:pt idx="81">
                  <c:v>685.23220182478894</c:v>
                </c:pt>
                <c:pt idx="82">
                  <c:v>687.48963824535281</c:v>
                </c:pt>
                <c:pt idx="83">
                  <c:v>689.71103993239069</c:v>
                </c:pt>
                <c:pt idx="84">
                  <c:v>691.89679040788121</c:v>
                </c:pt>
                <c:pt idx="85">
                  <c:v>694.04727469394345</c:v>
                </c:pt>
                <c:pt idx="86">
                  <c:v>696.16287925076392</c:v>
                </c:pt>
                <c:pt idx="87">
                  <c:v>698.24307637473737</c:v>
                </c:pt>
                <c:pt idx="88">
                  <c:v>700.28453224904297</c:v>
                </c:pt>
                <c:pt idx="89">
                  <c:v>702.28655408466523</c:v>
                </c:pt>
                <c:pt idx="90">
                  <c:v>704.24934973419795</c:v>
                </c:pt>
                <c:pt idx="91">
                  <c:v>706.17312730161075</c:v>
                </c:pt>
                <c:pt idx="92">
                  <c:v>708.05809514108375</c:v>
                </c:pt>
                <c:pt idx="93">
                  <c:v>709.90446185642497</c:v>
                </c:pt>
                <c:pt idx="94">
                  <c:v>711.71243630041658</c:v>
                </c:pt>
                <c:pt idx="95">
                  <c:v>713.48222757414703</c:v>
                </c:pt>
                <c:pt idx="96">
                  <c:v>715.21404502607311</c:v>
                </c:pt>
                <c:pt idx="97">
                  <c:v>716.90809825184942</c:v>
                </c:pt>
                <c:pt idx="98">
                  <c:v>726.43156483140103</c:v>
                </c:pt>
                <c:pt idx="99">
                  <c:v>728.06858500827332</c:v>
                </c:pt>
                <c:pt idx="100">
                  <c:v>729.66804025806198</c:v>
                </c:pt>
                <c:pt idx="101">
                  <c:v>731.23014357963712</c:v>
                </c:pt>
                <c:pt idx="102">
                  <c:v>732.75510821903822</c:v>
                </c:pt>
                <c:pt idx="103">
                  <c:v>734.24314766931786</c:v>
                </c:pt>
                <c:pt idx="104">
                  <c:v>735.69447567005852</c:v>
                </c:pt>
                <c:pt idx="105">
                  <c:v>737.10930620731574</c:v>
                </c:pt>
                <c:pt idx="106">
                  <c:v>738.4878535130639</c:v>
                </c:pt>
                <c:pt idx="107">
                  <c:v>739.83033206511095</c:v>
                </c:pt>
                <c:pt idx="108">
                  <c:v>741.13695658684264</c:v>
                </c:pt>
                <c:pt idx="109">
                  <c:v>742.40794204716565</c:v>
                </c:pt>
                <c:pt idx="110">
                  <c:v>743.64350366020915</c:v>
                </c:pt>
                <c:pt idx="111">
                  <c:v>744.84385688538168</c:v>
                </c:pt>
                <c:pt idx="112">
                  <c:v>746.00921742721482</c:v>
                </c:pt>
                <c:pt idx="113">
                  <c:v>747.13980123563317</c:v>
                </c:pt>
                <c:pt idx="114">
                  <c:v>748.23582450554227</c:v>
                </c:pt>
                <c:pt idx="115">
                  <c:v>749.29750367711279</c:v>
                </c:pt>
                <c:pt idx="116">
                  <c:v>750.32505543609318</c:v>
                </c:pt>
                <c:pt idx="117">
                  <c:v>751.31869671341178</c:v>
                </c:pt>
                <c:pt idx="118">
                  <c:v>752.27864468597261</c:v>
                </c:pt>
                <c:pt idx="119">
                  <c:v>753.20511677649904</c:v>
                </c:pt>
                <c:pt idx="120">
                  <c:v>754.09833065371856</c:v>
                </c:pt>
                <c:pt idx="121">
                  <c:v>754.95850423313016</c:v>
                </c:pt>
                <c:pt idx="122">
                  <c:v>755.78585567653533</c:v>
                </c:pt>
                <c:pt idx="123">
                  <c:v>756.58060339317501</c:v>
                </c:pt>
                <c:pt idx="124">
                  <c:v>757.34296603981477</c:v>
                </c:pt>
                <c:pt idx="125">
                  <c:v>758.07316252101486</c:v>
                </c:pt>
                <c:pt idx="126">
                  <c:v>758.77141198999709</c:v>
                </c:pt>
                <c:pt idx="127">
                  <c:v>759.43793384861635</c:v>
                </c:pt>
                <c:pt idx="128">
                  <c:v>760.07294774859702</c:v>
                </c:pt>
                <c:pt idx="129">
                  <c:v>760.67667359150448</c:v>
                </c:pt>
                <c:pt idx="130">
                  <c:v>761.2493315296831</c:v>
                </c:pt>
                <c:pt idx="131">
                  <c:v>761.79114196675357</c:v>
                </c:pt>
                <c:pt idx="132">
                  <c:v>767.72509797856969</c:v>
                </c:pt>
                <c:pt idx="133">
                  <c:v>768.20877492467332</c:v>
                </c:pt>
                <c:pt idx="134">
                  <c:v>768.66203495492869</c:v>
                </c:pt>
                <c:pt idx="135">
                  <c:v>769.08510116321338</c:v>
                </c:pt>
                <c:pt idx="136">
                  <c:v>769.47819690070673</c:v>
                </c:pt>
                <c:pt idx="137">
                  <c:v>769.84154577657193</c:v>
                </c:pt>
                <c:pt idx="138">
                  <c:v>770.17537165934868</c:v>
                </c:pt>
                <c:pt idx="139">
                  <c:v>770.47989867691058</c:v>
                </c:pt>
                <c:pt idx="140">
                  <c:v>770.75535121879568</c:v>
                </c:pt>
                <c:pt idx="141">
                  <c:v>771.00195393613546</c:v>
                </c:pt>
                <c:pt idx="142">
                  <c:v>795.15015950559587</c:v>
                </c:pt>
                <c:pt idx="143">
                  <c:v>798.50518261227421</c:v>
                </c:pt>
                <c:pt idx="144">
                  <c:v>798.66852842229719</c:v>
                </c:pt>
                <c:pt idx="145">
                  <c:v>798.80285663365669</c:v>
                </c:pt>
                <c:pt idx="146">
                  <c:v>798.90840172005539</c:v>
                </c:pt>
                <c:pt idx="147">
                  <c:v>798.98539843460981</c:v>
                </c:pt>
                <c:pt idx="148">
                  <c:v>799.03217297758999</c:v>
                </c:pt>
                <c:pt idx="149">
                  <c:v>799.0412352771159</c:v>
                </c:pt>
                <c:pt idx="150">
                  <c:v>799.01066475622429</c:v>
                </c:pt>
                <c:pt idx="151">
                  <c:v>798.94042812186683</c:v>
                </c:pt>
                <c:pt idx="152">
                  <c:v>798.83049313184529</c:v>
                </c:pt>
                <c:pt idx="153">
                  <c:v>798.68082864797429</c:v>
                </c:pt>
                <c:pt idx="154">
                  <c:v>798.49140468846258</c:v>
                </c:pt>
                <c:pt idx="155">
                  <c:v>798.26219247900099</c:v>
                </c:pt>
                <c:pt idx="156">
                  <c:v>797.99316450370839</c:v>
                </c:pt>
                <c:pt idx="157">
                  <c:v>797.68429455458545</c:v>
                </c:pt>
                <c:pt idx="158">
                  <c:v>797.3355577805421</c:v>
                </c:pt>
                <c:pt idx="159">
                  <c:v>796.94693073551548</c:v>
                </c:pt>
                <c:pt idx="160">
                  <c:v>796.51839142493941</c:v>
                </c:pt>
                <c:pt idx="161">
                  <c:v>796.04991935372027</c:v>
                </c:pt>
                <c:pt idx="162">
                  <c:v>795.54149556994957</c:v>
                </c:pt>
                <c:pt idx="163">
                  <c:v>794.9931027106345</c:v>
                </c:pt>
                <c:pt idx="164">
                  <c:v>794.40472504532522</c:v>
                </c:pt>
                <c:pt idx="165">
                  <c:v>793.77634851903167</c:v>
                </c:pt>
                <c:pt idx="166">
                  <c:v>793.10796079431611</c:v>
                </c:pt>
                <c:pt idx="167">
                  <c:v>792.39955129273199</c:v>
                </c:pt>
                <c:pt idx="168">
                  <c:v>791.65111123535326</c:v>
                </c:pt>
                <c:pt idx="169">
                  <c:v>790.86263368196796</c:v>
                </c:pt>
                <c:pt idx="170">
                  <c:v>790.0341135705844</c:v>
                </c:pt>
                <c:pt idx="171">
                  <c:v>789.16554775460668</c:v>
                </c:pt>
                <c:pt idx="172">
                  <c:v>788.25693504049354</c:v>
                </c:pt>
                <c:pt idx="173">
                  <c:v>787.3082762237118</c:v>
                </c:pt>
                <c:pt idx="174">
                  <c:v>786.31957412443398</c:v>
                </c:pt>
                <c:pt idx="175">
                  <c:v>785.29083362155916</c:v>
                </c:pt>
                <c:pt idx="176">
                  <c:v>784.22206168701791</c:v>
                </c:pt>
                <c:pt idx="177">
                  <c:v>783.11326741876996</c:v>
                </c:pt>
                <c:pt idx="178">
                  <c:v>781.9644620716133</c:v>
                </c:pt>
                <c:pt idx="179">
                  <c:v>780.77565909040914</c:v>
                </c:pt>
                <c:pt idx="180">
                  <c:v>779.54687413864576</c:v>
                </c:pt>
                <c:pt idx="181">
                  <c:v>778.27812512859396</c:v>
                </c:pt>
                <c:pt idx="182">
                  <c:v>776.96943225058135</c:v>
                </c:pt>
                <c:pt idx="183">
                  <c:v>775.62081799985094</c:v>
                </c:pt>
                <c:pt idx="184">
                  <c:v>774.23230720390279</c:v>
                </c:pt>
                <c:pt idx="185">
                  <c:v>772.80392704909673</c:v>
                </c:pt>
                <c:pt idx="186">
                  <c:v>771.33570710552135</c:v>
                </c:pt>
                <c:pt idx="187">
                  <c:v>769.82767935137986</c:v>
                </c:pt>
                <c:pt idx="188">
                  <c:v>768.27987819658006</c:v>
                </c:pt>
                <c:pt idx="189">
                  <c:v>766.69234050643809</c:v>
                </c:pt>
                <c:pt idx="190">
                  <c:v>765.06510562208518</c:v>
                </c:pt>
                <c:pt idx="191">
                  <c:v>763.39821538286401</c:v>
                </c:pt>
                <c:pt idx="192">
                  <c:v>761.69171414588277</c:v>
                </c:pt>
                <c:pt idx="193">
                  <c:v>759.94564880573989</c:v>
                </c:pt>
                <c:pt idx="194">
                  <c:v>758.16006881314024</c:v>
                </c:pt>
                <c:pt idx="195">
                  <c:v>756.3350261921471</c:v>
                </c:pt>
                <c:pt idx="196">
                  <c:v>754.47057555777519</c:v>
                </c:pt>
                <c:pt idx="197">
                  <c:v>752.5667741314237</c:v>
                </c:pt>
                <c:pt idx="198">
                  <c:v>750.62368175659344</c:v>
                </c:pt>
                <c:pt idx="199">
                  <c:v>748.64136091258615</c:v>
                </c:pt>
                <c:pt idx="200">
                  <c:v>746.61987672908481</c:v>
                </c:pt>
                <c:pt idx="201">
                  <c:v>744.55929699743706</c:v>
                </c:pt>
                <c:pt idx="202">
                  <c:v>742.45969218401342</c:v>
                </c:pt>
                <c:pt idx="203">
                  <c:v>740.32113543970013</c:v>
                </c:pt>
                <c:pt idx="204">
                  <c:v>738.14370261126783</c:v>
                </c:pt>
                <c:pt idx="205">
                  <c:v>735.92747225021071</c:v>
                </c:pt>
                <c:pt idx="206">
                  <c:v>733.67252562090357</c:v>
                </c:pt>
                <c:pt idx="207">
                  <c:v>731.37894670884407</c:v>
                </c:pt>
                <c:pt idx="208">
                  <c:v>729.04682222687711</c:v>
                </c:pt>
                <c:pt idx="209">
                  <c:v>726.68083819706908</c:v>
                </c:pt>
                <c:pt idx="210">
                  <c:v>724.29961531511822</c:v>
                </c:pt>
                <c:pt idx="211">
                  <c:v>721.90823467161636</c:v>
                </c:pt>
                <c:pt idx="212">
                  <c:v>719.50721592267541</c:v>
                </c:pt>
                <c:pt idx="213">
                  <c:v>717.09707811305634</c:v>
                </c:pt>
                <c:pt idx="214">
                  <c:v>714.67833964075567</c:v>
                </c:pt>
                <c:pt idx="215">
                  <c:v>712.25151822125099</c:v>
                </c:pt>
                <c:pt idx="216">
                  <c:v>709.81713085487286</c:v>
                </c:pt>
                <c:pt idx="217">
                  <c:v>707.37569379167553</c:v>
                </c:pt>
                <c:pt idx="218">
                  <c:v>704.92772249957625</c:v>
                </c:pt>
                <c:pt idx="219">
                  <c:v>702.4737316330345</c:v>
                </c:pt>
                <c:pt idx="220">
                  <c:v>700.01423499994075</c:v>
                </c:pt>
                <c:pt idx="221">
                  <c:v>697.54974553356419</c:v>
                </c:pt>
                <c:pt idx="222">
                  <c:v>695.08077526072043</c:v>
                </c:pt>
                <c:pt idx="223">
                  <c:v>692.6078352738898</c:v>
                </c:pt>
                <c:pt idx="224">
                  <c:v>690.13143570276725</c:v>
                </c:pt>
                <c:pt idx="225">
                  <c:v>687.65208568635217</c:v>
                </c:pt>
                <c:pt idx="226">
                  <c:v>685.17029334705626</c:v>
                </c:pt>
                <c:pt idx="227">
                  <c:v>682.68656576341868</c:v>
                </c:pt>
                <c:pt idx="228">
                  <c:v>680.20140894583392</c:v>
                </c:pt>
                <c:pt idx="229">
                  <c:v>677.71532781142696</c:v>
                </c:pt>
                <c:pt idx="230">
                  <c:v>675.22882616077595</c:v>
                </c:pt>
                <c:pt idx="231">
                  <c:v>672.74240665389584</c:v>
                </c:pt>
                <c:pt idx="232">
                  <c:v>670.25657078912104</c:v>
                </c:pt>
                <c:pt idx="233">
                  <c:v>667.7718188801407</c:v>
                </c:pt>
                <c:pt idx="234">
                  <c:v>665.28865003635929</c:v>
                </c:pt>
                <c:pt idx="235">
                  <c:v>662.80756214192138</c:v>
                </c:pt>
                <c:pt idx="236">
                  <c:v>660.32905183692492</c:v>
                </c:pt>
                <c:pt idx="237">
                  <c:v>657.85361449846391</c:v>
                </c:pt>
                <c:pt idx="238">
                  <c:v>655.38174422235329</c:v>
                </c:pt>
                <c:pt idx="239">
                  <c:v>652.91393380672957</c:v>
                </c:pt>
                <c:pt idx="240">
                  <c:v>650.45067473525364</c:v>
                </c:pt>
                <c:pt idx="241">
                  <c:v>647.99245716130827</c:v>
                </c:pt>
                <c:pt idx="242">
                  <c:v>645.53976989256512</c:v>
                </c:pt>
                <c:pt idx="243">
                  <c:v>643.09310037890555</c:v>
                </c:pt>
                <c:pt idx="244">
                  <c:v>640.65293469565177</c:v>
                </c:pt>
                <c:pt idx="245">
                  <c:v>638.21975753376137</c:v>
                </c:pt>
                <c:pt idx="246">
                  <c:v>635.79405218573015</c:v>
                </c:pt>
                <c:pt idx="247">
                  <c:v>633.37630053663929</c:v>
                </c:pt>
                <c:pt idx="248">
                  <c:v>630.96698305042764</c:v>
                </c:pt>
                <c:pt idx="249">
                  <c:v>628.56657876358213</c:v>
                </c:pt>
                <c:pt idx="250">
                  <c:v>626.17556527342799</c:v>
                </c:pt>
                <c:pt idx="251">
                  <c:v>623.7944187314497</c:v>
                </c:pt>
                <c:pt idx="252">
                  <c:v>621.42361383479283</c:v>
                </c:pt>
                <c:pt idx="253">
                  <c:v>619.06362381998292</c:v>
                </c:pt>
                <c:pt idx="254">
                  <c:v>616.71492045690002</c:v>
                </c:pt>
                <c:pt idx="255">
                  <c:v>614.37797404275329</c:v>
                </c:pt>
                <c:pt idx="256">
                  <c:v>612.05325339810202</c:v>
                </c:pt>
                <c:pt idx="257">
                  <c:v>609.74122586310386</c:v>
                </c:pt>
                <c:pt idx="258">
                  <c:v>607.44235729376328</c:v>
                </c:pt>
                <c:pt idx="259">
                  <c:v>605.15711206022615</c:v>
                </c:pt>
                <c:pt idx="260">
                  <c:v>602.8859530446482</c:v>
                </c:pt>
                <c:pt idx="261">
                  <c:v>600.62934164048443</c:v>
                </c:pt>
                <c:pt idx="262">
                  <c:v>598.38773775226173</c:v>
                </c:pt>
                <c:pt idx="263">
                  <c:v>596.16159979637473</c:v>
                </c:pt>
                <c:pt idx="264">
                  <c:v>593.9513847021658</c:v>
                </c:pt>
                <c:pt idx="265">
                  <c:v>591.75754791414192</c:v>
                </c:pt>
                <c:pt idx="266">
                  <c:v>589.58054339419164</c:v>
                </c:pt>
                <c:pt idx="267">
                  <c:v>587.42082362641668</c:v>
                </c:pt>
                <c:pt idx="268">
                  <c:v>585.27883961997418</c:v>
                </c:pt>
                <c:pt idx="269">
                  <c:v>583.15504091490311</c:v>
                </c:pt>
                <c:pt idx="270">
                  <c:v>581.04711398038944</c:v>
                </c:pt>
                <c:pt idx="271">
                  <c:v>578.94440317133444</c:v>
                </c:pt>
                <c:pt idx="272">
                  <c:v>576.8444393262655</c:v>
                </c:pt>
                <c:pt idx="273">
                  <c:v>574.74750122457863</c:v>
                </c:pt>
                <c:pt idx="274">
                  <c:v>572.65386802885132</c:v>
                </c:pt>
                <c:pt idx="275">
                  <c:v>570.56381928765632</c:v>
                </c:pt>
                <c:pt idx="276">
                  <c:v>568.47763493374259</c:v>
                </c:pt>
                <c:pt idx="277">
                  <c:v>566.39559528753125</c:v>
                </c:pt>
                <c:pt idx="278">
                  <c:v>564.31798105458597</c:v>
                </c:pt>
                <c:pt idx="279">
                  <c:v>562.24507332791518</c:v>
                </c:pt>
                <c:pt idx="280">
                  <c:v>560.17715358839837</c:v>
                </c:pt>
                <c:pt idx="281">
                  <c:v>558.11450370464399</c:v>
                </c:pt>
                <c:pt idx="282">
                  <c:v>556.0574059329042</c:v>
                </c:pt>
                <c:pt idx="283">
                  <c:v>554.00614291892225</c:v>
                </c:pt>
                <c:pt idx="284">
                  <c:v>551.9609976966251</c:v>
                </c:pt>
                <c:pt idx="285">
                  <c:v>549.92225368920344</c:v>
                </c:pt>
                <c:pt idx="286">
                  <c:v>547.89019470877065</c:v>
                </c:pt>
                <c:pt idx="287">
                  <c:v>545.86510495727225</c:v>
                </c:pt>
                <c:pt idx="288">
                  <c:v>543.84726902534908</c:v>
                </c:pt>
                <c:pt idx="289">
                  <c:v>541.83697189401414</c:v>
                </c:pt>
                <c:pt idx="290">
                  <c:v>539.8344989327768</c:v>
                </c:pt>
                <c:pt idx="291">
                  <c:v>537.84013590143331</c:v>
                </c:pt>
                <c:pt idx="292">
                  <c:v>535.85416894816262</c:v>
                </c:pt>
                <c:pt idx="293">
                  <c:v>533.87688461126004</c:v>
                </c:pt>
                <c:pt idx="294">
                  <c:v>531.90856981746037</c:v>
                </c:pt>
                <c:pt idx="295">
                  <c:v>529.94951188219375</c:v>
                </c:pt>
                <c:pt idx="296">
                  <c:v>527.99999850998347</c:v>
                </c:pt>
                <c:pt idx="297">
                  <c:v>526.06031779254181</c:v>
                </c:pt>
                <c:pt idx="298">
                  <c:v>524.13075821073107</c:v>
                </c:pt>
                <c:pt idx="299">
                  <c:v>522.21160863172145</c:v>
                </c:pt>
                <c:pt idx="300">
                  <c:v>520.3031583101847</c:v>
                </c:pt>
                <c:pt idx="301">
                  <c:v>518.40569688695837</c:v>
                </c:pt>
                <c:pt idx="302">
                  <c:v>516.51951438952892</c:v>
                </c:pt>
                <c:pt idx="303">
                  <c:v>514.64490122992856</c:v>
                </c:pt>
                <c:pt idx="304">
                  <c:v>512.78214820516155</c:v>
                </c:pt>
                <c:pt idx="305">
                  <c:v>510.9315464972326</c:v>
                </c:pt>
                <c:pt idx="306">
                  <c:v>509.09338766970791</c:v>
                </c:pt>
                <c:pt idx="307">
                  <c:v>507.26796367052884</c:v>
                </c:pt>
                <c:pt idx="308">
                  <c:v>505.45556682882875</c:v>
                </c:pt>
                <c:pt idx="309">
                  <c:v>503.65648985399503</c:v>
                </c:pt>
                <c:pt idx="310">
                  <c:v>501.87102583660703</c:v>
                </c:pt>
                <c:pt idx="311">
                  <c:v>500.09946824619078</c:v>
                </c:pt>
                <c:pt idx="312">
                  <c:v>498.34211092925784</c:v>
                </c:pt>
                <c:pt idx="313">
                  <c:v>496.5992481113517</c:v>
                </c:pt>
                <c:pt idx="314">
                  <c:v>494.87117439286976</c:v>
                </c:pt>
                <c:pt idx="315">
                  <c:v>493.15818474889284</c:v>
                </c:pt>
                <c:pt idx="316">
                  <c:v>491.46057452961145</c:v>
                </c:pt>
                <c:pt idx="317">
                  <c:v>489.77863945663103</c:v>
                </c:pt>
                <c:pt idx="318">
                  <c:v>488.11267562385297</c:v>
                </c:pt>
                <c:pt idx="319">
                  <c:v>486.46297949400719</c:v>
                </c:pt>
                <c:pt idx="320">
                  <c:v>484.82984790047112</c:v>
                </c:pt>
                <c:pt idx="321">
                  <c:v>483.21357804178433</c:v>
                </c:pt>
                <c:pt idx="322">
                  <c:v>481.61446748449066</c:v>
                </c:pt>
                <c:pt idx="323">
                  <c:v>480.03281415810761</c:v>
                </c:pt>
                <c:pt idx="324">
                  <c:v>478.46891635592215</c:v>
                </c:pt>
                <c:pt idx="325">
                  <c:v>476.92307273246115</c:v>
                </c:pt>
                <c:pt idx="326">
                  <c:v>475.39558230172929</c:v>
                </c:pt>
                <c:pt idx="327">
                  <c:v>473.88674443709533</c:v>
                </c:pt>
                <c:pt idx="328">
                  <c:v>472.39685886640359</c:v>
                </c:pt>
                <c:pt idx="329">
                  <c:v>470.92622567441822</c:v>
                </c:pt>
                <c:pt idx="330">
                  <c:v>469.47514529716727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B-4C08-BF78-F2A71DC73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26000"/>
        <c:axId val="384326656"/>
      </c:lineChart>
      <c:catAx>
        <c:axId val="384326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4326656"/>
        <c:crosses val="autoZero"/>
        <c:auto val="1"/>
        <c:lblAlgn val="ctr"/>
        <c:lblOffset val="100"/>
        <c:noMultiLvlLbl val="0"/>
      </c:catAx>
      <c:valAx>
        <c:axId val="38432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432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FE</a:t>
            </a:r>
            <a:r>
              <a:rPr lang="da-DK" baseline="0"/>
              <a:t> pr. kg bruttotilvækst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tilvækst, slagteform, fe'!$N$8</c:f>
              <c:strCache>
                <c:ptCount val="1"/>
                <c:pt idx="0">
                  <c:v>hol_tyr_fe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fe'!$M$9:$M$375</c:f>
              <c:numCache>
                <c:formatCode>#,##0.0</c:formatCode>
                <c:ptCount val="367"/>
                <c:pt idx="0">
                  <c:v>50.481116096890617</c:v>
                </c:pt>
                <c:pt idx="1">
                  <c:v>51.633848151960933</c:v>
                </c:pt>
                <c:pt idx="2">
                  <c:v>52.78658020703125</c:v>
                </c:pt>
                <c:pt idx="3">
                  <c:v>53.939312262101559</c:v>
                </c:pt>
                <c:pt idx="4">
                  <c:v>55.092044317171883</c:v>
                </c:pt>
                <c:pt idx="5">
                  <c:v>56.244776372242193</c:v>
                </c:pt>
                <c:pt idx="6">
                  <c:v>57.397508427312502</c:v>
                </c:pt>
                <c:pt idx="7">
                  <c:v>58.550240482382812</c:v>
                </c:pt>
                <c:pt idx="8">
                  <c:v>59.702972537453121</c:v>
                </c:pt>
                <c:pt idx="9">
                  <c:v>60.855704592523438</c:v>
                </c:pt>
                <c:pt idx="10">
                  <c:v>62.008436647593747</c:v>
                </c:pt>
                <c:pt idx="11">
                  <c:v>63.161168702664057</c:v>
                </c:pt>
                <c:pt idx="12">
                  <c:v>64.313900757734373</c:v>
                </c:pt>
                <c:pt idx="13">
                  <c:v>65.46663281280469</c:v>
                </c:pt>
                <c:pt idx="14">
                  <c:v>66.619364867874992</c:v>
                </c:pt>
                <c:pt idx="15">
                  <c:v>67.772096922945309</c:v>
                </c:pt>
                <c:pt idx="16">
                  <c:v>68.924828978015626</c:v>
                </c:pt>
                <c:pt idx="17">
                  <c:v>70.077561033085942</c:v>
                </c:pt>
                <c:pt idx="18">
                  <c:v>71.230293088156259</c:v>
                </c:pt>
                <c:pt idx="19">
                  <c:v>72.383025143226561</c:v>
                </c:pt>
                <c:pt idx="20">
                  <c:v>73.535757198296878</c:v>
                </c:pt>
                <c:pt idx="21">
                  <c:v>74.68848925336718</c:v>
                </c:pt>
                <c:pt idx="22">
                  <c:v>75.841221308437497</c:v>
                </c:pt>
                <c:pt idx="23">
                  <c:v>76.993953363507813</c:v>
                </c:pt>
                <c:pt idx="24">
                  <c:v>78.14668541857813</c:v>
                </c:pt>
                <c:pt idx="25">
                  <c:v>79.299417473648447</c:v>
                </c:pt>
                <c:pt idx="26">
                  <c:v>80.452149528718749</c:v>
                </c:pt>
                <c:pt idx="27">
                  <c:v>81.604881583789066</c:v>
                </c:pt>
                <c:pt idx="28">
                  <c:v>82.757613638859368</c:v>
                </c:pt>
                <c:pt idx="29">
                  <c:v>83.910345693929685</c:v>
                </c:pt>
                <c:pt idx="30">
                  <c:v>85.063077749000001</c:v>
                </c:pt>
                <c:pt idx="31">
                  <c:v>86.215809804070318</c:v>
                </c:pt>
                <c:pt idx="32">
                  <c:v>87.368541859140635</c:v>
                </c:pt>
                <c:pt idx="33">
                  <c:v>88.521273914210937</c:v>
                </c:pt>
                <c:pt idx="34">
                  <c:v>89.674005969281254</c:v>
                </c:pt>
                <c:pt idx="35">
                  <c:v>90.826738024351556</c:v>
                </c:pt>
                <c:pt idx="36">
                  <c:v>91.979470079421873</c:v>
                </c:pt>
                <c:pt idx="37">
                  <c:v>93.132202134492189</c:v>
                </c:pt>
                <c:pt idx="38">
                  <c:v>94.284934189562506</c:v>
                </c:pt>
                <c:pt idx="39">
                  <c:v>95.437666244632823</c:v>
                </c:pt>
                <c:pt idx="40">
                  <c:v>96.590398299703139</c:v>
                </c:pt>
                <c:pt idx="41">
                  <c:v>97.743130354773442</c:v>
                </c:pt>
                <c:pt idx="42">
                  <c:v>98.895862409843744</c:v>
                </c:pt>
                <c:pt idx="43">
                  <c:v>100.0485944649141</c:v>
                </c:pt>
                <c:pt idx="44">
                  <c:v>101.20132651998441</c:v>
                </c:pt>
                <c:pt idx="45">
                  <c:v>102.35405857505469</c:v>
                </c:pt>
                <c:pt idx="46">
                  <c:v>103.506790630125</c:v>
                </c:pt>
                <c:pt idx="47">
                  <c:v>104.6595226851953</c:v>
                </c:pt>
                <c:pt idx="48">
                  <c:v>105.8122547402656</c:v>
                </c:pt>
                <c:pt idx="49">
                  <c:v>106.9649867953359</c:v>
                </c:pt>
                <c:pt idx="50">
                  <c:v>108.11771885040631</c:v>
                </c:pt>
                <c:pt idx="51">
                  <c:v>109.27045090547659</c:v>
                </c:pt>
                <c:pt idx="52">
                  <c:v>110.4231829605469</c:v>
                </c:pt>
                <c:pt idx="53">
                  <c:v>111.5759150156172</c:v>
                </c:pt>
                <c:pt idx="54">
                  <c:v>112.7286470706875</c:v>
                </c:pt>
                <c:pt idx="55">
                  <c:v>113.8813791257578</c:v>
                </c:pt>
                <c:pt idx="56">
                  <c:v>115.03411118082811</c:v>
                </c:pt>
                <c:pt idx="57">
                  <c:v>116.18684323589839</c:v>
                </c:pt>
                <c:pt idx="58">
                  <c:v>117.3395752909688</c:v>
                </c:pt>
                <c:pt idx="59">
                  <c:v>118.4923073460391</c:v>
                </c:pt>
                <c:pt idx="60">
                  <c:v>119.6450394011094</c:v>
                </c:pt>
                <c:pt idx="61">
                  <c:v>120.7977714561797</c:v>
                </c:pt>
                <c:pt idx="62">
                  <c:v>121.95050351125001</c:v>
                </c:pt>
                <c:pt idx="63">
                  <c:v>123.10323556632029</c:v>
                </c:pt>
                <c:pt idx="64">
                  <c:v>124.2559676213906</c:v>
                </c:pt>
                <c:pt idx="65">
                  <c:v>125.4086996764609</c:v>
                </c:pt>
                <c:pt idx="66">
                  <c:v>126.5614317315313</c:v>
                </c:pt>
                <c:pt idx="67">
                  <c:v>127.7141637866016</c:v>
                </c:pt>
                <c:pt idx="68">
                  <c:v>128.86689584167189</c:v>
                </c:pt>
                <c:pt idx="69">
                  <c:v>130.01962789674221</c:v>
                </c:pt>
                <c:pt idx="70">
                  <c:v>131.1723599518125</c:v>
                </c:pt>
                <c:pt idx="71">
                  <c:v>132.32509200688281</c:v>
                </c:pt>
                <c:pt idx="72">
                  <c:v>133.4778240619531</c:v>
                </c:pt>
                <c:pt idx="73">
                  <c:v>134.6305561170235</c:v>
                </c:pt>
                <c:pt idx="74">
                  <c:v>135.78328817209379</c:v>
                </c:pt>
                <c:pt idx="75">
                  <c:v>136.93602022716411</c:v>
                </c:pt>
                <c:pt idx="76">
                  <c:v>138.0887522822344</c:v>
                </c:pt>
                <c:pt idx="77">
                  <c:v>139.24148433730471</c:v>
                </c:pt>
                <c:pt idx="78">
                  <c:v>140.394216392375</c:v>
                </c:pt>
                <c:pt idx="79">
                  <c:v>141.54694844744529</c:v>
                </c:pt>
                <c:pt idx="80">
                  <c:v>142.6996805025156</c:v>
                </c:pt>
                <c:pt idx="81">
                  <c:v>143.85241255758601</c:v>
                </c:pt>
                <c:pt idx="82">
                  <c:v>145.0051446126563</c:v>
                </c:pt>
                <c:pt idx="83">
                  <c:v>146.15787666772661</c:v>
                </c:pt>
                <c:pt idx="84">
                  <c:v>147.3106087227969</c:v>
                </c:pt>
                <c:pt idx="85">
                  <c:v>148.46334077786719</c:v>
                </c:pt>
                <c:pt idx="86">
                  <c:v>149.6160728329375</c:v>
                </c:pt>
                <c:pt idx="87">
                  <c:v>150.76880488800779</c:v>
                </c:pt>
                <c:pt idx="88">
                  <c:v>151.92153694307811</c:v>
                </c:pt>
                <c:pt idx="89">
                  <c:v>153.07426899814851</c:v>
                </c:pt>
                <c:pt idx="90">
                  <c:v>154.2270010532188</c:v>
                </c:pt>
                <c:pt idx="91">
                  <c:v>155.37973310828909</c:v>
                </c:pt>
                <c:pt idx="92">
                  <c:v>156.5324651633594</c:v>
                </c:pt>
                <c:pt idx="93">
                  <c:v>157.68519721842969</c:v>
                </c:pt>
                <c:pt idx="94">
                  <c:v>158.83792927350001</c:v>
                </c:pt>
                <c:pt idx="95">
                  <c:v>159.9906613285703</c:v>
                </c:pt>
                <c:pt idx="96">
                  <c:v>161.14339338364061</c:v>
                </c:pt>
                <c:pt idx="97">
                  <c:v>162.29612543871099</c:v>
                </c:pt>
                <c:pt idx="98">
                  <c:v>163.4488574937813</c:v>
                </c:pt>
                <c:pt idx="99">
                  <c:v>164.60158954885159</c:v>
                </c:pt>
                <c:pt idx="100">
                  <c:v>165.75432160392191</c:v>
                </c:pt>
                <c:pt idx="101">
                  <c:v>166.9070536589922</c:v>
                </c:pt>
                <c:pt idx="102">
                  <c:v>168.05978571406251</c:v>
                </c:pt>
                <c:pt idx="103">
                  <c:v>169.2125177691328</c:v>
                </c:pt>
                <c:pt idx="104">
                  <c:v>170.3652498242032</c:v>
                </c:pt>
                <c:pt idx="105">
                  <c:v>171.51798187927341</c:v>
                </c:pt>
                <c:pt idx="106">
                  <c:v>172.67071393434381</c:v>
                </c:pt>
                <c:pt idx="107">
                  <c:v>173.8234459894141</c:v>
                </c:pt>
                <c:pt idx="108">
                  <c:v>174.97617804448441</c:v>
                </c:pt>
                <c:pt idx="109">
                  <c:v>176.1289100995547</c:v>
                </c:pt>
                <c:pt idx="110">
                  <c:v>177.28164215462499</c:v>
                </c:pt>
                <c:pt idx="111">
                  <c:v>178.43437420969531</c:v>
                </c:pt>
                <c:pt idx="112">
                  <c:v>179.58710626476559</c:v>
                </c:pt>
                <c:pt idx="113">
                  <c:v>180.73983831983591</c:v>
                </c:pt>
                <c:pt idx="114">
                  <c:v>181.89257037490631</c:v>
                </c:pt>
                <c:pt idx="115">
                  <c:v>183.0453024299766</c:v>
                </c:pt>
                <c:pt idx="116">
                  <c:v>184.19803448504689</c:v>
                </c:pt>
                <c:pt idx="117">
                  <c:v>185.35076654011721</c:v>
                </c:pt>
                <c:pt idx="118">
                  <c:v>186.50349859518749</c:v>
                </c:pt>
                <c:pt idx="119">
                  <c:v>187.65623065025781</c:v>
                </c:pt>
                <c:pt idx="120">
                  <c:v>188.8089627053281</c:v>
                </c:pt>
                <c:pt idx="121">
                  <c:v>189.96169476039839</c:v>
                </c:pt>
                <c:pt idx="122">
                  <c:v>191.11442681546879</c:v>
                </c:pt>
                <c:pt idx="123">
                  <c:v>192.26715887053911</c:v>
                </c:pt>
                <c:pt idx="124">
                  <c:v>193.41989092560939</c:v>
                </c:pt>
                <c:pt idx="125">
                  <c:v>194.57262298067971</c:v>
                </c:pt>
                <c:pt idx="126">
                  <c:v>195.72535503575</c:v>
                </c:pt>
                <c:pt idx="127">
                  <c:v>196.87808709082029</c:v>
                </c:pt>
                <c:pt idx="128">
                  <c:v>198.0308191458906</c:v>
                </c:pt>
                <c:pt idx="129">
                  <c:v>199.18355120096101</c:v>
                </c:pt>
                <c:pt idx="130">
                  <c:v>200.33628325603129</c:v>
                </c:pt>
                <c:pt idx="131">
                  <c:v>201.48901531110161</c:v>
                </c:pt>
                <c:pt idx="132">
                  <c:v>202.6417473661719</c:v>
                </c:pt>
                <c:pt idx="133">
                  <c:v>203.79447942124219</c:v>
                </c:pt>
                <c:pt idx="134">
                  <c:v>204.9472114763125</c:v>
                </c:pt>
                <c:pt idx="135">
                  <c:v>206.09994353138279</c:v>
                </c:pt>
                <c:pt idx="136">
                  <c:v>207.25267558645311</c:v>
                </c:pt>
                <c:pt idx="137">
                  <c:v>208.40540764152351</c:v>
                </c:pt>
                <c:pt idx="138">
                  <c:v>209.5581396965938</c:v>
                </c:pt>
                <c:pt idx="139">
                  <c:v>210.71087175166409</c:v>
                </c:pt>
                <c:pt idx="140">
                  <c:v>211.8636038067344</c:v>
                </c:pt>
                <c:pt idx="141">
                  <c:v>213.01633586180469</c:v>
                </c:pt>
                <c:pt idx="142">
                  <c:v>214.16906791687501</c:v>
                </c:pt>
                <c:pt idx="143">
                  <c:v>215.3217999719453</c:v>
                </c:pt>
                <c:pt idx="144">
                  <c:v>216.47453202701561</c:v>
                </c:pt>
                <c:pt idx="145">
                  <c:v>217.62726408208599</c:v>
                </c:pt>
                <c:pt idx="146">
                  <c:v>218.7799961371563</c:v>
                </c:pt>
                <c:pt idx="147">
                  <c:v>219.93272819222659</c:v>
                </c:pt>
                <c:pt idx="148">
                  <c:v>221.08546024729691</c:v>
                </c:pt>
                <c:pt idx="149">
                  <c:v>222.2381923023672</c:v>
                </c:pt>
                <c:pt idx="150">
                  <c:v>223.39092435743751</c:v>
                </c:pt>
                <c:pt idx="151">
                  <c:v>224.5436564125078</c:v>
                </c:pt>
                <c:pt idx="152">
                  <c:v>225.6963884675782</c:v>
                </c:pt>
                <c:pt idx="153">
                  <c:v>226.84912052264841</c:v>
                </c:pt>
                <c:pt idx="154">
                  <c:v>228.00185257771881</c:v>
                </c:pt>
                <c:pt idx="155">
                  <c:v>229.1545846327891</c:v>
                </c:pt>
                <c:pt idx="156">
                  <c:v>230.30731668785941</c:v>
                </c:pt>
                <c:pt idx="157">
                  <c:v>231.4600487429297</c:v>
                </c:pt>
                <c:pt idx="158">
                  <c:v>232.61278079799999</c:v>
                </c:pt>
                <c:pt idx="159">
                  <c:v>233.76551285307031</c:v>
                </c:pt>
                <c:pt idx="160">
                  <c:v>234.91824490814071</c:v>
                </c:pt>
                <c:pt idx="161">
                  <c:v>236.07097696321091</c:v>
                </c:pt>
                <c:pt idx="162">
                  <c:v>237.22370901828131</c:v>
                </c:pt>
                <c:pt idx="163">
                  <c:v>238.3764410733516</c:v>
                </c:pt>
                <c:pt idx="164">
                  <c:v>239.52917312842189</c:v>
                </c:pt>
                <c:pt idx="165">
                  <c:v>240.6819051834922</c:v>
                </c:pt>
                <c:pt idx="166">
                  <c:v>241.83463723856249</c:v>
                </c:pt>
                <c:pt idx="167">
                  <c:v>242.98736929363281</c:v>
                </c:pt>
                <c:pt idx="168">
                  <c:v>244.1401013487031</c:v>
                </c:pt>
                <c:pt idx="169">
                  <c:v>245.29283340377339</c:v>
                </c:pt>
                <c:pt idx="170">
                  <c:v>246.44556545884379</c:v>
                </c:pt>
                <c:pt idx="171">
                  <c:v>247.5982975139141</c:v>
                </c:pt>
                <c:pt idx="172">
                  <c:v>248.75102956898439</c:v>
                </c:pt>
                <c:pt idx="173">
                  <c:v>249.90376162405471</c:v>
                </c:pt>
                <c:pt idx="174">
                  <c:v>251.056493679125</c:v>
                </c:pt>
                <c:pt idx="175">
                  <c:v>252.20922573419529</c:v>
                </c:pt>
                <c:pt idx="176">
                  <c:v>253.3619577892656</c:v>
                </c:pt>
                <c:pt idx="177">
                  <c:v>254.514689844336</c:v>
                </c:pt>
                <c:pt idx="178">
                  <c:v>255.66742189940629</c:v>
                </c:pt>
                <c:pt idx="179">
                  <c:v>256.82015395447661</c:v>
                </c:pt>
                <c:pt idx="180">
                  <c:v>257.97288600954693</c:v>
                </c:pt>
                <c:pt idx="181">
                  <c:v>259.12561806461719</c:v>
                </c:pt>
                <c:pt idx="182">
                  <c:v>260.2783501196875</c:v>
                </c:pt>
                <c:pt idx="183">
                  <c:v>261.43108217475782</c:v>
                </c:pt>
                <c:pt idx="184">
                  <c:v>262.58381422982808</c:v>
                </c:pt>
                <c:pt idx="185">
                  <c:v>263.73654628489851</c:v>
                </c:pt>
                <c:pt idx="186">
                  <c:v>264.88927833996883</c:v>
                </c:pt>
                <c:pt idx="187">
                  <c:v>266.04201039503909</c:v>
                </c:pt>
                <c:pt idx="188">
                  <c:v>267.1947424501094</c:v>
                </c:pt>
                <c:pt idx="189">
                  <c:v>268.34747450517972</c:v>
                </c:pt>
                <c:pt idx="190">
                  <c:v>269.50020656024998</c:v>
                </c:pt>
                <c:pt idx="191">
                  <c:v>270.65293861532041</c:v>
                </c:pt>
                <c:pt idx="192">
                  <c:v>271.80567067039073</c:v>
                </c:pt>
                <c:pt idx="193">
                  <c:v>272.95840272546099</c:v>
                </c:pt>
                <c:pt idx="194">
                  <c:v>274.1111347805313</c:v>
                </c:pt>
                <c:pt idx="195">
                  <c:v>275.26386683560162</c:v>
                </c:pt>
                <c:pt idx="196">
                  <c:v>276.41659889067188</c:v>
                </c:pt>
                <c:pt idx="197">
                  <c:v>277.56933094574219</c:v>
                </c:pt>
                <c:pt idx="198">
                  <c:v>278.72206300081251</c:v>
                </c:pt>
                <c:pt idx="199">
                  <c:v>279.87479505588283</c:v>
                </c:pt>
                <c:pt idx="200">
                  <c:v>281.02752711095309</c:v>
                </c:pt>
                <c:pt idx="201">
                  <c:v>282.18025916602352</c:v>
                </c:pt>
                <c:pt idx="202">
                  <c:v>283.33299122109378</c:v>
                </c:pt>
                <c:pt idx="203">
                  <c:v>284.48572327616409</c:v>
                </c:pt>
                <c:pt idx="204">
                  <c:v>285.63845533123441</c:v>
                </c:pt>
                <c:pt idx="205">
                  <c:v>286.79118738630473</c:v>
                </c:pt>
                <c:pt idx="206">
                  <c:v>287.94391944137499</c:v>
                </c:pt>
                <c:pt idx="207">
                  <c:v>289.09665149644542</c:v>
                </c:pt>
                <c:pt idx="208">
                  <c:v>290.24938355151568</c:v>
                </c:pt>
                <c:pt idx="209">
                  <c:v>291.40211560658599</c:v>
                </c:pt>
                <c:pt idx="210">
                  <c:v>292.55484766165631</c:v>
                </c:pt>
                <c:pt idx="211">
                  <c:v>293.70757971672663</c:v>
                </c:pt>
                <c:pt idx="212">
                  <c:v>294.86031177179689</c:v>
                </c:pt>
                <c:pt idx="213">
                  <c:v>296.0130438268672</c:v>
                </c:pt>
                <c:pt idx="214">
                  <c:v>297.16577588193752</c:v>
                </c:pt>
                <c:pt idx="215">
                  <c:v>298.31850793700778</c:v>
                </c:pt>
                <c:pt idx="216">
                  <c:v>299.47123999207821</c:v>
                </c:pt>
                <c:pt idx="217">
                  <c:v>300.62397204714853</c:v>
                </c:pt>
                <c:pt idx="218">
                  <c:v>301.77670410221879</c:v>
                </c:pt>
                <c:pt idx="219">
                  <c:v>302.9294361572891</c:v>
                </c:pt>
                <c:pt idx="220">
                  <c:v>304.08216821235942</c:v>
                </c:pt>
                <c:pt idx="221">
                  <c:v>305.23490026742968</c:v>
                </c:pt>
                <c:pt idx="222">
                  <c:v>306.38763232250011</c:v>
                </c:pt>
                <c:pt idx="223">
                  <c:v>307.54036437757031</c:v>
                </c:pt>
                <c:pt idx="224">
                  <c:v>308.69309643264057</c:v>
                </c:pt>
                <c:pt idx="225">
                  <c:v>309.845828487711</c:v>
                </c:pt>
                <c:pt idx="226">
                  <c:v>310.99856054278132</c:v>
                </c:pt>
                <c:pt idx="227">
                  <c:v>312.15129259785158</c:v>
                </c:pt>
                <c:pt idx="228">
                  <c:v>313.3040246529219</c:v>
                </c:pt>
                <c:pt idx="229">
                  <c:v>314.45675670799221</c:v>
                </c:pt>
                <c:pt idx="230">
                  <c:v>315.60948876306247</c:v>
                </c:pt>
                <c:pt idx="231">
                  <c:v>316.7622208181329</c:v>
                </c:pt>
                <c:pt idx="232">
                  <c:v>317.91495287320322</c:v>
                </c:pt>
                <c:pt idx="233">
                  <c:v>319.06768492827348</c:v>
                </c:pt>
                <c:pt idx="234">
                  <c:v>320.2204169833438</c:v>
                </c:pt>
                <c:pt idx="235">
                  <c:v>321.37314903841411</c:v>
                </c:pt>
                <c:pt idx="236">
                  <c:v>322.52588109348437</c:v>
                </c:pt>
                <c:pt idx="237">
                  <c:v>323.67861314855469</c:v>
                </c:pt>
                <c:pt idx="238">
                  <c:v>324.83134520362501</c:v>
                </c:pt>
                <c:pt idx="239">
                  <c:v>325.98407725869532</c:v>
                </c:pt>
                <c:pt idx="240">
                  <c:v>327.13680931376558</c:v>
                </c:pt>
                <c:pt idx="241">
                  <c:v>328.28954136883601</c:v>
                </c:pt>
                <c:pt idx="242">
                  <c:v>329.44227342390627</c:v>
                </c:pt>
                <c:pt idx="243">
                  <c:v>330.59500547897659</c:v>
                </c:pt>
                <c:pt idx="244">
                  <c:v>331.74773753404691</c:v>
                </c:pt>
                <c:pt idx="245">
                  <c:v>332.90046958911722</c:v>
                </c:pt>
                <c:pt idx="246">
                  <c:v>334.05320164418748</c:v>
                </c:pt>
                <c:pt idx="247">
                  <c:v>335.20593369925791</c:v>
                </c:pt>
                <c:pt idx="248">
                  <c:v>336.35866575432817</c:v>
                </c:pt>
                <c:pt idx="249">
                  <c:v>337.51139780939837</c:v>
                </c:pt>
                <c:pt idx="250">
                  <c:v>338.6641298644688</c:v>
                </c:pt>
                <c:pt idx="251">
                  <c:v>339.81686191953912</c:v>
                </c:pt>
                <c:pt idx="252">
                  <c:v>340.96959397460938</c:v>
                </c:pt>
                <c:pt idx="253">
                  <c:v>342.1223260296797</c:v>
                </c:pt>
                <c:pt idx="254">
                  <c:v>343.27505808475001</c:v>
                </c:pt>
                <c:pt idx="255">
                  <c:v>344.42779013982027</c:v>
                </c:pt>
                <c:pt idx="256">
                  <c:v>345.5805221948907</c:v>
                </c:pt>
                <c:pt idx="257">
                  <c:v>346.73325424996102</c:v>
                </c:pt>
                <c:pt idx="258">
                  <c:v>347.88598630503128</c:v>
                </c:pt>
                <c:pt idx="259">
                  <c:v>349.0387183601016</c:v>
                </c:pt>
                <c:pt idx="260">
                  <c:v>350.19145041517191</c:v>
                </c:pt>
                <c:pt idx="261">
                  <c:v>351.34418247024217</c:v>
                </c:pt>
                <c:pt idx="262">
                  <c:v>352.4969145253126</c:v>
                </c:pt>
                <c:pt idx="263">
                  <c:v>353.64964658038292</c:v>
                </c:pt>
                <c:pt idx="264">
                  <c:v>354.80237863545312</c:v>
                </c:pt>
                <c:pt idx="265">
                  <c:v>355.95511069052338</c:v>
                </c:pt>
                <c:pt idx="266">
                  <c:v>357.10784274559381</c:v>
                </c:pt>
                <c:pt idx="267">
                  <c:v>358.26057480066407</c:v>
                </c:pt>
                <c:pt idx="268">
                  <c:v>359.41330685573439</c:v>
                </c:pt>
                <c:pt idx="269">
                  <c:v>360.56603891080471</c:v>
                </c:pt>
                <c:pt idx="270">
                  <c:v>361.71877096587502</c:v>
                </c:pt>
                <c:pt idx="271">
                  <c:v>362.87150302094528</c:v>
                </c:pt>
                <c:pt idx="272">
                  <c:v>364.02423507601571</c:v>
                </c:pt>
                <c:pt idx="273">
                  <c:v>365.17696713108597</c:v>
                </c:pt>
                <c:pt idx="274">
                  <c:v>366.32969918615629</c:v>
                </c:pt>
                <c:pt idx="275">
                  <c:v>367.48243124122661</c:v>
                </c:pt>
                <c:pt idx="276">
                  <c:v>368.63516329629692</c:v>
                </c:pt>
                <c:pt idx="277">
                  <c:v>369.78789535136718</c:v>
                </c:pt>
                <c:pt idx="278">
                  <c:v>370.9406274064375</c:v>
                </c:pt>
                <c:pt idx="279">
                  <c:v>372.09335946150782</c:v>
                </c:pt>
                <c:pt idx="280">
                  <c:v>373.24609151657808</c:v>
                </c:pt>
                <c:pt idx="281">
                  <c:v>374.39882357164851</c:v>
                </c:pt>
                <c:pt idx="282">
                  <c:v>375.55155562671882</c:v>
                </c:pt>
                <c:pt idx="283">
                  <c:v>376.70428768178908</c:v>
                </c:pt>
                <c:pt idx="284">
                  <c:v>377.8570197368594</c:v>
                </c:pt>
                <c:pt idx="285">
                  <c:v>379.00975179192972</c:v>
                </c:pt>
                <c:pt idx="286">
                  <c:v>380.16248384699998</c:v>
                </c:pt>
                <c:pt idx="287">
                  <c:v>381.31521590207041</c:v>
                </c:pt>
                <c:pt idx="288">
                  <c:v>382.46794795714072</c:v>
                </c:pt>
                <c:pt idx="289">
                  <c:v>383.62068001221098</c:v>
                </c:pt>
                <c:pt idx="290">
                  <c:v>384.7734120672813</c:v>
                </c:pt>
                <c:pt idx="291">
                  <c:v>385.92614412235162</c:v>
                </c:pt>
                <c:pt idx="292">
                  <c:v>387.07887617742188</c:v>
                </c:pt>
                <c:pt idx="293">
                  <c:v>388.23160823249219</c:v>
                </c:pt>
                <c:pt idx="294">
                  <c:v>389.38434028756251</c:v>
                </c:pt>
                <c:pt idx="295">
                  <c:v>390.53707234263283</c:v>
                </c:pt>
                <c:pt idx="296">
                  <c:v>391.68980439770309</c:v>
                </c:pt>
                <c:pt idx="297">
                  <c:v>392.84253645277352</c:v>
                </c:pt>
                <c:pt idx="298">
                  <c:v>393.99526850784378</c:v>
                </c:pt>
                <c:pt idx="299">
                  <c:v>395.14800056291409</c:v>
                </c:pt>
                <c:pt idx="300">
                  <c:v>396.30073261798441</c:v>
                </c:pt>
                <c:pt idx="301">
                  <c:v>397.45346467305473</c:v>
                </c:pt>
                <c:pt idx="302">
                  <c:v>398.60619672812498</c:v>
                </c:pt>
                <c:pt idx="303">
                  <c:v>399.75892878319542</c:v>
                </c:pt>
                <c:pt idx="304">
                  <c:v>400.91166083826568</c:v>
                </c:pt>
                <c:pt idx="305">
                  <c:v>402.06439289333599</c:v>
                </c:pt>
                <c:pt idx="306">
                  <c:v>403.21712494840631</c:v>
                </c:pt>
                <c:pt idx="307">
                  <c:v>404.36985700347662</c:v>
                </c:pt>
                <c:pt idx="308">
                  <c:v>405.52258905854688</c:v>
                </c:pt>
                <c:pt idx="309">
                  <c:v>406.6753211136172</c:v>
                </c:pt>
                <c:pt idx="310">
                  <c:v>407.82805316868752</c:v>
                </c:pt>
                <c:pt idx="311">
                  <c:v>408.98078522375778</c:v>
                </c:pt>
                <c:pt idx="312">
                  <c:v>410.13351727882821</c:v>
                </c:pt>
                <c:pt idx="313">
                  <c:v>411.28624933389852</c:v>
                </c:pt>
                <c:pt idx="314">
                  <c:v>412.43898138896878</c:v>
                </c:pt>
                <c:pt idx="315">
                  <c:v>413.5917134440391</c:v>
                </c:pt>
                <c:pt idx="316">
                  <c:v>414.74444549910942</c:v>
                </c:pt>
                <c:pt idx="317">
                  <c:v>415.89717755417968</c:v>
                </c:pt>
                <c:pt idx="318">
                  <c:v>417.04990960925011</c:v>
                </c:pt>
                <c:pt idx="319">
                  <c:v>418.20264166432042</c:v>
                </c:pt>
                <c:pt idx="320">
                  <c:v>419.35537371939068</c:v>
                </c:pt>
                <c:pt idx="321">
                  <c:v>420.50810577446089</c:v>
                </c:pt>
                <c:pt idx="322">
                  <c:v>421.66083782953132</c:v>
                </c:pt>
                <c:pt idx="323">
                  <c:v>422.81356988460158</c:v>
                </c:pt>
                <c:pt idx="324">
                  <c:v>423.96630193967189</c:v>
                </c:pt>
                <c:pt idx="325">
                  <c:v>425.11903399474221</c:v>
                </c:pt>
                <c:pt idx="326">
                  <c:v>426.27176604981253</c:v>
                </c:pt>
                <c:pt idx="327">
                  <c:v>427.42449810488279</c:v>
                </c:pt>
                <c:pt idx="328">
                  <c:v>428.57723015995322</c:v>
                </c:pt>
                <c:pt idx="329">
                  <c:v>429.72996221502348</c:v>
                </c:pt>
                <c:pt idx="330">
                  <c:v>430.88269427009379</c:v>
                </c:pt>
                <c:pt idx="331">
                  <c:v>432.03542632516411</c:v>
                </c:pt>
                <c:pt idx="332">
                  <c:v>433.18815838023443</c:v>
                </c:pt>
                <c:pt idx="333">
                  <c:v>434.34089043530469</c:v>
                </c:pt>
                <c:pt idx="334">
                  <c:v>435.49362249037512</c:v>
                </c:pt>
                <c:pt idx="335">
                  <c:v>436.64635454544532</c:v>
                </c:pt>
                <c:pt idx="336">
                  <c:v>437.79908660051558</c:v>
                </c:pt>
                <c:pt idx="337">
                  <c:v>438.95181865558601</c:v>
                </c:pt>
                <c:pt idx="338">
                  <c:v>440.10455071065633</c:v>
                </c:pt>
                <c:pt idx="339">
                  <c:v>441.25728276572659</c:v>
                </c:pt>
                <c:pt idx="340">
                  <c:v>442.4100148207969</c:v>
                </c:pt>
                <c:pt idx="341">
                  <c:v>443.56274687586722</c:v>
                </c:pt>
                <c:pt idx="342">
                  <c:v>444.71547893093748</c:v>
                </c:pt>
                <c:pt idx="343">
                  <c:v>445.86821098600791</c:v>
                </c:pt>
                <c:pt idx="344">
                  <c:v>447.02094304107823</c:v>
                </c:pt>
                <c:pt idx="345">
                  <c:v>448.17367509614849</c:v>
                </c:pt>
                <c:pt idx="346">
                  <c:v>449.3264071512188</c:v>
                </c:pt>
                <c:pt idx="347">
                  <c:v>450.47913920628912</c:v>
                </c:pt>
                <c:pt idx="348">
                  <c:v>451.63187126135938</c:v>
                </c:pt>
                <c:pt idx="349">
                  <c:v>452.7846033164297</c:v>
                </c:pt>
                <c:pt idx="350">
                  <c:v>453.93733537150001</c:v>
                </c:pt>
                <c:pt idx="351">
                  <c:v>455.09006742657027</c:v>
                </c:pt>
                <c:pt idx="352">
                  <c:v>456.2427994816407</c:v>
                </c:pt>
                <c:pt idx="353">
                  <c:v>457.39553153671102</c:v>
                </c:pt>
                <c:pt idx="354">
                  <c:v>458.54826359178128</c:v>
                </c:pt>
                <c:pt idx="355">
                  <c:v>459.7009956468516</c:v>
                </c:pt>
                <c:pt idx="356">
                  <c:v>460.85372770192191</c:v>
                </c:pt>
                <c:pt idx="357">
                  <c:v>462.00645975699217</c:v>
                </c:pt>
                <c:pt idx="358">
                  <c:v>463.1591918120626</c:v>
                </c:pt>
                <c:pt idx="359">
                  <c:v>464.31192386713292</c:v>
                </c:pt>
                <c:pt idx="360">
                  <c:v>465.46465592220318</c:v>
                </c:pt>
                <c:pt idx="361">
                  <c:v>466.61738797727349</c:v>
                </c:pt>
                <c:pt idx="362">
                  <c:v>467.77012003234381</c:v>
                </c:pt>
                <c:pt idx="363">
                  <c:v>468.92285208741413</c:v>
                </c:pt>
                <c:pt idx="364">
                  <c:v>470.07558414248439</c:v>
                </c:pt>
                <c:pt idx="365">
                  <c:v>471.2283161975547</c:v>
                </c:pt>
                <c:pt idx="366">
                  <c:v>472.38104825262502</c:v>
                </c:pt>
              </c:numCache>
            </c:numRef>
          </c:cat>
          <c:val>
            <c:numRef>
              <c:f>'Model tilvækst, slagteform, fe'!$N$9:$N$375</c:f>
              <c:numCache>
                <c:formatCode>#,##0.0</c:formatCode>
                <c:ptCount val="367"/>
                <c:pt idx="0">
                  <c:v>1.33</c:v>
                </c:pt>
                <c:pt idx="1">
                  <c:v>1.3665153908543299</c:v>
                </c:pt>
                <c:pt idx="2">
                  <c:v>1.403034574560525</c:v>
                </c:pt>
                <c:pt idx="3">
                  <c:v>1.439561343970448</c:v>
                </c:pt>
                <c:pt idx="4">
                  <c:v>1.4760994919359649</c:v>
                </c:pt>
                <c:pt idx="5">
                  <c:v>1.5126528113089379</c:v>
                </c:pt>
                <c:pt idx="6">
                  <c:v>1.5492250949412321</c:v>
                </c:pt>
                <c:pt idx="7">
                  <c:v>1.5858201356847119</c:v>
                </c:pt>
                <c:pt idx="8">
                  <c:v>1.622441726391241</c:v>
                </c:pt>
                <c:pt idx="9">
                  <c:v>1.659093659912684</c:v>
                </c:pt>
                <c:pt idx="10">
                  <c:v>1.695779729100906</c:v>
                </c:pt>
                <c:pt idx="11">
                  <c:v>1.7325037268077701</c:v>
                </c:pt>
                <c:pt idx="12">
                  <c:v>1.769269445885141</c:v>
                </c:pt>
                <c:pt idx="13">
                  <c:v>1.8060806791848829</c:v>
                </c:pt>
                <c:pt idx="14">
                  <c:v>1.8429412195588599</c:v>
                </c:pt>
                <c:pt idx="15">
                  <c:v>1.8798548598589371</c:v>
                </c:pt>
                <c:pt idx="16">
                  <c:v>1.916825392936977</c:v>
                </c:pt>
                <c:pt idx="17">
                  <c:v>1.9538566116448459</c:v>
                </c:pt>
                <c:pt idx="18">
                  <c:v>1.9909523088344061</c:v>
                </c:pt>
                <c:pt idx="19">
                  <c:v>2.028116277357523</c:v>
                </c:pt>
                <c:pt idx="20">
                  <c:v>2.0653523100660611</c:v>
                </c:pt>
                <c:pt idx="21">
                  <c:v>2.1026641998118829</c:v>
                </c:pt>
                <c:pt idx="22">
                  <c:v>2.1400557394468551</c:v>
                </c:pt>
                <c:pt idx="23">
                  <c:v>2.177530721822841</c:v>
                </c:pt>
                <c:pt idx="24">
                  <c:v>2.215092939791703</c:v>
                </c:pt>
                <c:pt idx="25">
                  <c:v>2.2527461862053091</c:v>
                </c:pt>
                <c:pt idx="26">
                  <c:v>2.29049425391552</c:v>
                </c:pt>
                <c:pt idx="27">
                  <c:v>2.328340935774202</c:v>
                </c:pt>
                <c:pt idx="28">
                  <c:v>2.3662900246332179</c:v>
                </c:pt>
                <c:pt idx="29">
                  <c:v>2.4043453133444328</c:v>
                </c:pt>
                <c:pt idx="30">
                  <c:v>2.4425105947597121</c:v>
                </c:pt>
                <c:pt idx="31">
                  <c:v>2.4807896617309182</c:v>
                </c:pt>
                <c:pt idx="32">
                  <c:v>2.5191863071099161</c:v>
                </c:pt>
                <c:pt idx="33">
                  <c:v>2.557704323748569</c:v>
                </c:pt>
                <c:pt idx="34">
                  <c:v>2.596347504498743</c:v>
                </c:pt>
                <c:pt idx="35">
                  <c:v>2.6351196422123011</c:v>
                </c:pt>
                <c:pt idx="36">
                  <c:v>2.6740241737519801</c:v>
                </c:pt>
                <c:pt idx="37">
                  <c:v>2.713059554239349</c:v>
                </c:pt>
                <c:pt idx="38">
                  <c:v>2.752220572932023</c:v>
                </c:pt>
                <c:pt idx="39">
                  <c:v>2.791501934058803</c:v>
                </c:pt>
                <c:pt idx="40">
                  <c:v>2.8308983418484912</c:v>
                </c:pt>
                <c:pt idx="41">
                  <c:v>2.870404500529887</c:v>
                </c:pt>
                <c:pt idx="42">
                  <c:v>2.9100151143317921</c:v>
                </c:pt>
                <c:pt idx="43">
                  <c:v>2.9497248874830082</c:v>
                </c:pt>
                <c:pt idx="44">
                  <c:v>2.9895285242123348</c:v>
                </c:pt>
                <c:pt idx="45">
                  <c:v>3.0294207287485748</c:v>
                </c:pt>
                <c:pt idx="46">
                  <c:v>3.0693962053205288</c:v>
                </c:pt>
                <c:pt idx="47">
                  <c:v>3.109449658156997</c:v>
                </c:pt>
                <c:pt idx="48">
                  <c:v>3.1495757914867801</c:v>
                </c:pt>
                <c:pt idx="49">
                  <c:v>3.1897693095386792</c:v>
                </c:pt>
                <c:pt idx="50">
                  <c:v>3.2300249165414971</c:v>
                </c:pt>
                <c:pt idx="51">
                  <c:v>3.2703373167240328</c:v>
                </c:pt>
                <c:pt idx="52">
                  <c:v>3.3107012143150891</c:v>
                </c:pt>
                <c:pt idx="53">
                  <c:v>3.3511113135434649</c:v>
                </c:pt>
                <c:pt idx="54">
                  <c:v>3.3915623186379631</c:v>
                </c:pt>
                <c:pt idx="55">
                  <c:v>3.432048933827383</c:v>
                </c:pt>
                <c:pt idx="56">
                  <c:v>3.472565863340527</c:v>
                </c:pt>
                <c:pt idx="57">
                  <c:v>3.5131078114061962</c:v>
                </c:pt>
                <c:pt idx="58">
                  <c:v>3.5536694822531909</c:v>
                </c:pt>
                <c:pt idx="59">
                  <c:v>3.594245580110313</c:v>
                </c:pt>
                <c:pt idx="60">
                  <c:v>3.6348308092063619</c:v>
                </c:pt>
                <c:pt idx="61">
                  <c:v>3.67541987377014</c:v>
                </c:pt>
                <c:pt idx="62">
                  <c:v>3.716007478030448</c:v>
                </c:pt>
                <c:pt idx="63">
                  <c:v>3.7565883262160851</c:v>
                </c:pt>
                <c:pt idx="64">
                  <c:v>3.797157122555856</c:v>
                </c:pt>
                <c:pt idx="65">
                  <c:v>3.8377085712785588</c:v>
                </c:pt>
                <c:pt idx="66">
                  <c:v>3.8782373766129958</c:v>
                </c:pt>
                <c:pt idx="67">
                  <c:v>3.9187382427879678</c:v>
                </c:pt>
                <c:pt idx="68">
                  <c:v>3.9592058740322762</c:v>
                </c:pt>
                <c:pt idx="69">
                  <c:v>3.9996349745747208</c:v>
                </c:pt>
                <c:pt idx="70">
                  <c:v>4.0400202486441028</c:v>
                </c:pt>
                <c:pt idx="71">
                  <c:v>4.0803564004692241</c:v>
                </c:pt>
                <c:pt idx="72">
                  <c:v>4.1206381342788863</c:v>
                </c:pt>
                <c:pt idx="73">
                  <c:v>4.160860154301889</c:v>
                </c:pt>
                <c:pt idx="74">
                  <c:v>4.201017164767034</c:v>
                </c:pt>
                <c:pt idx="75">
                  <c:v>4.2411038699031218</c:v>
                </c:pt>
                <c:pt idx="76">
                  <c:v>4.2811149739389531</c:v>
                </c:pt>
                <c:pt idx="77">
                  <c:v>4.3210451811033304</c:v>
                </c:pt>
                <c:pt idx="78">
                  <c:v>4.3608891956250524</c:v>
                </c:pt>
                <c:pt idx="79">
                  <c:v>4.4006417217329226</c:v>
                </c:pt>
                <c:pt idx="80">
                  <c:v>4.4402974636557406</c:v>
                </c:pt>
                <c:pt idx="81">
                  <c:v>4.4798511256223081</c:v>
                </c:pt>
                <c:pt idx="82">
                  <c:v>4.5192974118614258</c:v>
                </c:pt>
                <c:pt idx="83">
                  <c:v>4.5586310266018941</c:v>
                </c:pt>
                <c:pt idx="84">
                  <c:v>4.5978466740725148</c:v>
                </c:pt>
                <c:pt idx="85">
                  <c:v>4.6369390585020893</c:v>
                </c:pt>
                <c:pt idx="86">
                  <c:v>4.6759028841194183</c:v>
                </c:pt>
                <c:pt idx="87">
                  <c:v>4.7147328551533008</c:v>
                </c:pt>
                <c:pt idx="88">
                  <c:v>4.7534236758325417</c:v>
                </c:pt>
                <c:pt idx="89">
                  <c:v>4.7919700503859382</c:v>
                </c:pt>
                <c:pt idx="90">
                  <c:v>4.8303666830422944</c:v>
                </c:pt>
                <c:pt idx="91">
                  <c:v>4.8686082780304094</c:v>
                </c:pt>
                <c:pt idx="92">
                  <c:v>4.9066895395790837</c:v>
                </c:pt>
                <c:pt idx="93">
                  <c:v>4.9446051719171207</c:v>
                </c:pt>
                <c:pt idx="94">
                  <c:v>4.9823498792733201</c:v>
                </c:pt>
                <c:pt idx="95">
                  <c:v>5.0199183658764834</c:v>
                </c:pt>
                <c:pt idx="96">
                  <c:v>5.0573053359554097</c:v>
                </c:pt>
                <c:pt idx="97">
                  <c:v>5.094505493738902</c:v>
                </c:pt>
                <c:pt idx="98">
                  <c:v>5.1315135434557604</c:v>
                </c:pt>
                <c:pt idx="99">
                  <c:v>5.1683241893347862</c:v>
                </c:pt>
                <c:pt idx="100">
                  <c:v>5.204932135604782</c:v>
                </c:pt>
                <c:pt idx="101">
                  <c:v>5.2413320864945456</c:v>
                </c:pt>
                <c:pt idx="102">
                  <c:v>5.2775187462328814</c:v>
                </c:pt>
                <c:pt idx="103">
                  <c:v>5.3134868190485873</c:v>
                </c:pt>
                <c:pt idx="104">
                  <c:v>5.3492310091704667</c:v>
                </c:pt>
                <c:pt idx="105">
                  <c:v>5.3847460208273183</c:v>
                </c:pt>
                <c:pt idx="106">
                  <c:v>5.4200265582479457</c:v>
                </c:pt>
                <c:pt idx="107">
                  <c:v>5.4550673256611493</c:v>
                </c:pt>
                <c:pt idx="108">
                  <c:v>5.4898630272957289</c:v>
                </c:pt>
                <c:pt idx="109">
                  <c:v>5.5244083673804862</c:v>
                </c:pt>
                <c:pt idx="110">
                  <c:v>5.5586980501442227</c:v>
                </c:pt>
                <c:pt idx="111">
                  <c:v>5.5927267798157381</c:v>
                </c:pt>
                <c:pt idx="112">
                  <c:v>5.6264892606238348</c:v>
                </c:pt>
                <c:pt idx="113">
                  <c:v>5.6599801967973136</c:v>
                </c:pt>
                <c:pt idx="114">
                  <c:v>5.6931942925649732</c:v>
                </c:pt>
                <c:pt idx="115">
                  <c:v>5.7261262521556189</c:v>
                </c:pt>
                <c:pt idx="116">
                  <c:v>5.7587707797980494</c:v>
                </c:pt>
                <c:pt idx="117">
                  <c:v>5.7911225797210637</c:v>
                </c:pt>
                <c:pt idx="118">
                  <c:v>5.823176356153466</c:v>
                </c:pt>
                <c:pt idx="119">
                  <c:v>5.854926813324056</c:v>
                </c:pt>
                <c:pt idx="120">
                  <c:v>5.8863686554616361</c:v>
                </c:pt>
                <c:pt idx="121">
                  <c:v>5.9174965867950053</c:v>
                </c:pt>
                <c:pt idx="122">
                  <c:v>5.9483053115529652</c:v>
                </c:pt>
                <c:pt idx="123">
                  <c:v>5.9787895339643171</c:v>
                </c:pt>
                <c:pt idx="124">
                  <c:v>6.0089439582578628</c:v>
                </c:pt>
                <c:pt idx="125">
                  <c:v>6.0387632886624001</c:v>
                </c:pt>
                <c:pt idx="126">
                  <c:v>6.0682422294067351</c:v>
                </c:pt>
                <c:pt idx="127">
                  <c:v>6.0973754847196648</c:v>
                </c:pt>
                <c:pt idx="128">
                  <c:v>6.1261577588299918</c:v>
                </c:pt>
                <c:pt idx="129">
                  <c:v>6.1545837559665184</c:v>
                </c:pt>
                <c:pt idx="130">
                  <c:v>6.1826481803580418</c:v>
                </c:pt>
                <c:pt idx="131">
                  <c:v>6.2103457362333661</c:v>
                </c:pt>
                <c:pt idx="132">
                  <c:v>6.2376711278212911</c:v>
                </c:pt>
                <c:pt idx="133">
                  <c:v>6.2646190593506184</c:v>
                </c:pt>
                <c:pt idx="134">
                  <c:v>6.2911842350501503</c:v>
                </c:pt>
                <c:pt idx="135">
                  <c:v>6.3173613591486841</c:v>
                </c:pt>
                <c:pt idx="136">
                  <c:v>6.3431451358750248</c:v>
                </c:pt>
                <c:pt idx="137">
                  <c:v>6.3685302694579704</c:v>
                </c:pt>
                <c:pt idx="138">
                  <c:v>6.3935114641263251</c:v>
                </c:pt>
                <c:pt idx="139">
                  <c:v>6.418083424108886</c:v>
                </c:pt>
                <c:pt idx="140">
                  <c:v>6.4422421802701804</c:v>
                </c:pt>
                <c:pt idx="141">
                  <c:v>6.4659904890688331</c:v>
                </c:pt>
                <c:pt idx="142">
                  <c:v>6.4893332331738067</c:v>
                </c:pt>
                <c:pt idx="143">
                  <c:v>6.5122752960814072</c:v>
                </c:pt>
                <c:pt idx="144">
                  <c:v>6.5348215612879406</c:v>
                </c:pt>
                <c:pt idx="145">
                  <c:v>6.5569769122897128</c:v>
                </c:pt>
                <c:pt idx="146">
                  <c:v>6.5787462325830282</c:v>
                </c:pt>
                <c:pt idx="147">
                  <c:v>6.6001344056641944</c:v>
                </c:pt>
                <c:pt idx="148">
                  <c:v>6.6211463150295158</c:v>
                </c:pt>
                <c:pt idx="149">
                  <c:v>6.6417868441752992</c:v>
                </c:pt>
                <c:pt idx="150">
                  <c:v>6.6620608765978506</c:v>
                </c:pt>
                <c:pt idx="151">
                  <c:v>6.6819732957934752</c:v>
                </c:pt>
                <c:pt idx="152">
                  <c:v>6.7015289852584798</c:v>
                </c:pt>
                <c:pt idx="153">
                  <c:v>6.7207328284891688</c:v>
                </c:pt>
                <c:pt idx="154">
                  <c:v>6.7395897089818488</c:v>
                </c:pt>
                <c:pt idx="155">
                  <c:v>6.7581045102328261</c:v>
                </c:pt>
                <c:pt idx="156">
                  <c:v>6.7762821157384057</c:v>
                </c:pt>
                <c:pt idx="157">
                  <c:v>6.7941274089948944</c:v>
                </c:pt>
                <c:pt idx="158">
                  <c:v>6.8116452734985984</c:v>
                </c:pt>
                <c:pt idx="159">
                  <c:v>6.8288405927458209</c:v>
                </c:pt>
                <c:pt idx="160">
                  <c:v>6.8457182502328706</c:v>
                </c:pt>
                <c:pt idx="161">
                  <c:v>6.8622831294560518</c:v>
                </c:pt>
                <c:pt idx="162">
                  <c:v>6.8785401139116713</c:v>
                </c:pt>
                <c:pt idx="163">
                  <c:v>6.8944940870960343</c:v>
                </c:pt>
                <c:pt idx="164">
                  <c:v>6.9101499325054476</c:v>
                </c:pt>
                <c:pt idx="165">
                  <c:v>6.9255125336362164</c:v>
                </c:pt>
                <c:pt idx="166">
                  <c:v>6.940586773984645</c:v>
                </c:pt>
                <c:pt idx="167">
                  <c:v>6.9553775370470419</c:v>
                </c:pt>
                <c:pt idx="168">
                  <c:v>6.9698897063197114</c:v>
                </c:pt>
                <c:pt idx="169">
                  <c:v>6.9841281652989604</c:v>
                </c:pt>
                <c:pt idx="170">
                  <c:v>6.9980977974810923</c:v>
                </c:pt>
                <c:pt idx="171">
                  <c:v>7.0118034863624157</c:v>
                </c:pt>
                <c:pt idx="172">
                  <c:v>7.0252501154392366</c:v>
                </c:pt>
                <c:pt idx="173">
                  <c:v>7.0384425682078584</c:v>
                </c:pt>
                <c:pt idx="174">
                  <c:v>7.0513857281645889</c:v>
                </c:pt>
                <c:pt idx="175">
                  <c:v>7.0640844788057331</c:v>
                </c:pt>
                <c:pt idx="176">
                  <c:v>7.0765437036275971</c:v>
                </c:pt>
                <c:pt idx="177">
                  <c:v>7.0887682861264869</c:v>
                </c:pt>
                <c:pt idx="178">
                  <c:v>7.1007631097987094</c:v>
                </c:pt>
                <c:pt idx="179">
                  <c:v>7.112533058140567</c:v>
                </c:pt>
                <c:pt idx="180">
                  <c:v>7.1240830146483693</c:v>
                </c:pt>
                <c:pt idx="181">
                  <c:v>7.1354178628184206</c:v>
                </c:pt>
                <c:pt idx="182">
                  <c:v>7.1465424861470259</c:v>
                </c:pt>
                <c:pt idx="183">
                  <c:v>7.1574617681304922</c:v>
                </c:pt>
                <c:pt idx="184">
                  <c:v>7.1681805922651254</c:v>
                </c:pt>
                <c:pt idx="185">
                  <c:v>7.1787038420472324</c:v>
                </c:pt>
                <c:pt idx="186">
                  <c:v>7.1890364009731158</c:v>
                </c:pt>
                <c:pt idx="187">
                  <c:v>7.1991831525390841</c:v>
                </c:pt>
                <c:pt idx="188">
                  <c:v>7.2091489802414426</c:v>
                </c:pt>
                <c:pt idx="189">
                  <c:v>7.2189387675764962</c:v>
                </c:pt>
                <c:pt idx="190">
                  <c:v>7.2285573980405529</c:v>
                </c:pt>
                <c:pt idx="191">
                  <c:v>7.2380097551299158</c:v>
                </c:pt>
                <c:pt idx="192">
                  <c:v>7.247300722340893</c:v>
                </c:pt>
                <c:pt idx="193">
                  <c:v>7.2564351831697893</c:v>
                </c:pt>
                <c:pt idx="194">
                  <c:v>7.2654180211129109</c:v>
                </c:pt>
                <c:pt idx="195">
                  <c:v>7.2742541196665638</c:v>
                </c:pt>
                <c:pt idx="196">
                  <c:v>7.2829483623270521</c:v>
                </c:pt>
                <c:pt idx="197">
                  <c:v>7.2915056325906846</c:v>
                </c:pt>
                <c:pt idx="198">
                  <c:v>7.2999308139537664</c:v>
                </c:pt>
                <c:pt idx="199">
                  <c:v>7.3082287899125999</c:v>
                </c:pt>
                <c:pt idx="200">
                  <c:v>7.3164044439634957</c:v>
                </c:pt>
                <c:pt idx="201">
                  <c:v>7.3244626596027569</c:v>
                </c:pt>
                <c:pt idx="202">
                  <c:v>7.3324083203266914</c:v>
                </c:pt>
                <c:pt idx="203">
                  <c:v>7.3402463096316017</c:v>
                </c:pt>
                <c:pt idx="204">
                  <c:v>7.3479815110137974</c:v>
                </c:pt>
                <c:pt idx="205">
                  <c:v>7.3556188079695808</c:v>
                </c:pt>
                <c:pt idx="206">
                  <c:v>7.3631630839952624</c:v>
                </c:pt>
                <c:pt idx="207">
                  <c:v>7.3706192225871421</c:v>
                </c:pt>
                <c:pt idx="208">
                  <c:v>7.3779921072415302</c:v>
                </c:pt>
                <c:pt idx="209">
                  <c:v>7.3852866214547319</c:v>
                </c:pt>
                <c:pt idx="210">
                  <c:v>7.3925076487230514</c:v>
                </c:pt>
                <c:pt idx="211">
                  <c:v>7.3996600725427957</c:v>
                </c:pt>
                <c:pt idx="212">
                  <c:v>7.4067487764102706</c:v>
                </c:pt>
                <c:pt idx="213">
                  <c:v>7.4137786438217823</c:v>
                </c:pt>
                <c:pt idx="214">
                  <c:v>7.4207545582736358</c:v>
                </c:pt>
                <c:pt idx="215">
                  <c:v>7.4276814032621381</c:v>
                </c:pt>
                <c:pt idx="216">
                  <c:v>7.4345640622835933</c:v>
                </c:pt>
                <c:pt idx="217">
                  <c:v>7.4414074188343093</c:v>
                </c:pt>
                <c:pt idx="218">
                  <c:v>7.4482163564105894</c:v>
                </c:pt>
                <c:pt idx="219">
                  <c:v>7.4549957585087423</c:v>
                </c:pt>
                <c:pt idx="220">
                  <c:v>7.4617504995271329</c:v>
                </c:pt>
                <c:pt idx="221">
                  <c:v>7.4684844496776037</c:v>
                </c:pt>
                <c:pt idx="222">
                  <c:v>7.4751995788352943</c:v>
                </c:pt>
                <c:pt idx="223">
                  <c:v>7.4818976453511583</c:v>
                </c:pt>
                <c:pt idx="224">
                  <c:v>7.4885804075761504</c:v>
                </c:pt>
                <c:pt idx="225">
                  <c:v>7.4952496238612234</c:v>
                </c:pt>
                <c:pt idx="226">
                  <c:v>7.5019070525573293</c:v>
                </c:pt>
                <c:pt idx="227">
                  <c:v>7.5085544520154244</c:v>
                </c:pt>
                <c:pt idx="228">
                  <c:v>7.5151935805864598</c:v>
                </c:pt>
                <c:pt idx="229">
                  <c:v>7.5218261966213902</c:v>
                </c:pt>
                <c:pt idx="230">
                  <c:v>7.5284540584711701</c:v>
                </c:pt>
                <c:pt idx="231">
                  <c:v>7.5350789244867524</c:v>
                </c:pt>
                <c:pt idx="232">
                  <c:v>7.5417025530190891</c:v>
                </c:pt>
                <c:pt idx="233">
                  <c:v>7.5483267024191356</c:v>
                </c:pt>
                <c:pt idx="234">
                  <c:v>7.5549531310378448</c:v>
                </c:pt>
                <c:pt idx="235">
                  <c:v>7.5615835972261713</c:v>
                </c:pt>
                <c:pt idx="236">
                  <c:v>7.5682198593350662</c:v>
                </c:pt>
                <c:pt idx="237">
                  <c:v>7.5748636757154859</c:v>
                </c:pt>
                <c:pt idx="238">
                  <c:v>7.5815168047183832</c:v>
                </c:pt>
                <c:pt idx="239">
                  <c:v>7.5881810046947109</c:v>
                </c:pt>
                <c:pt idx="240">
                  <c:v>7.5948580339954228</c:v>
                </c:pt>
                <c:pt idx="241">
                  <c:v>7.6015496509714744</c:v>
                </c:pt>
                <c:pt idx="242">
                  <c:v>7.6082576139738149</c:v>
                </c:pt>
                <c:pt idx="243">
                  <c:v>7.6149836813534018</c:v>
                </c:pt>
                <c:pt idx="244">
                  <c:v>7.6217296114611868</c:v>
                </c:pt>
                <c:pt idx="245">
                  <c:v>7.6284971626481246</c:v>
                </c:pt>
                <c:pt idx="246">
                  <c:v>7.6352880932651681</c:v>
                </c:pt>
                <c:pt idx="247">
                  <c:v>7.642104161663271</c:v>
                </c:pt>
                <c:pt idx="248">
                  <c:v>7.648947126193387</c:v>
                </c:pt>
                <c:pt idx="249">
                  <c:v>7.6558187452064699</c:v>
                </c:pt>
                <c:pt idx="250">
                  <c:v>7.6627207770534724</c:v>
                </c:pt>
                <c:pt idx="251">
                  <c:v>7.6696549800853493</c:v>
                </c:pt>
                <c:pt idx="252">
                  <c:v>7.6766231126530533</c:v>
                </c:pt>
                <c:pt idx="253">
                  <c:v>7.6836269331075382</c:v>
                </c:pt>
                <c:pt idx="254">
                  <c:v>7.6906681997997568</c:v>
                </c:pt>
                <c:pt idx="255">
                  <c:v>7.6977486710806646</c:v>
                </c:pt>
                <c:pt idx="256">
                  <c:v>7.7048701053012136</c:v>
                </c:pt>
                <c:pt idx="257">
                  <c:v>7.7120342608123584</c:v>
                </c:pt>
                <c:pt idx="258">
                  <c:v>7.719242895965051</c:v>
                </c:pt>
                <c:pt idx="259">
                  <c:v>7.7264977691102468</c:v>
                </c:pt>
                <c:pt idx="260">
                  <c:v>7.7338006385988978</c:v>
                </c:pt>
                <c:pt idx="261">
                  <c:v>7.7411532627819604</c:v>
                </c:pt>
                <c:pt idx="262">
                  <c:v>7.748557400010383</c:v>
                </c:pt>
                <c:pt idx="263">
                  <c:v>7.7560148086351237</c:v>
                </c:pt>
                <c:pt idx="264">
                  <c:v>7.7635272470071346</c:v>
                </c:pt>
                <c:pt idx="265">
                  <c:v>7.7710964734773702</c:v>
                </c:pt>
                <c:pt idx="266">
                  <c:v>7.7787242463967834</c:v>
                </c:pt>
                <c:pt idx="267">
                  <c:v>7.7864123241163261</c:v>
                </c:pt>
                <c:pt idx="268">
                  <c:v>7.7941624649869548</c:v>
                </c:pt>
                <c:pt idx="269">
                  <c:v>7.8019764273596204</c:v>
                </c:pt>
                <c:pt idx="270">
                  <c:v>7.8098559695852794</c:v>
                </c:pt>
                <c:pt idx="271">
                  <c:v>7.817802850014882</c:v>
                </c:pt>
                <c:pt idx="272">
                  <c:v>7.8258188269993854</c:v>
                </c:pt>
                <c:pt idx="273">
                  <c:v>7.8339056588897398</c:v>
                </c:pt>
                <c:pt idx="274">
                  <c:v>7.8420651040369007</c:v>
                </c:pt>
                <c:pt idx="275">
                  <c:v>7.8502989207918219</c:v>
                </c:pt>
                <c:pt idx="276">
                  <c:v>7.8586088675054553</c:v>
                </c:pt>
                <c:pt idx="277">
                  <c:v>7.8669967025287564</c:v>
                </c:pt>
                <c:pt idx="278">
                  <c:v>7.8754641842126771</c:v>
                </c:pt>
                <c:pt idx="279">
                  <c:v>7.8840130709081722</c:v>
                </c:pt>
                <c:pt idx="280">
                  <c:v>7.8926451209661952</c:v>
                </c:pt>
                <c:pt idx="281">
                  <c:v>7.9013620927376991</c:v>
                </c:pt>
                <c:pt idx="282">
                  <c:v>7.9101657445736384</c:v>
                </c:pt>
                <c:pt idx="283">
                  <c:v>7.9190578348249652</c:v>
                </c:pt>
                <c:pt idx="284">
                  <c:v>7.928040121842634</c:v>
                </c:pt>
                <c:pt idx="285">
                  <c:v>7.9371143639775976</c:v>
                </c:pt>
                <c:pt idx="286">
                  <c:v>7.9462823195808117</c:v>
                </c:pt>
                <c:pt idx="287">
                  <c:v>7.9555457470032271</c:v>
                </c:pt>
                <c:pt idx="288">
                  <c:v>7.9649064045957996</c:v>
                </c:pt>
                <c:pt idx="289">
                  <c:v>7.9743660507094818</c:v>
                </c:pt>
                <c:pt idx="290">
                  <c:v>7.9839264436952284</c:v>
                </c:pt>
                <c:pt idx="291">
                  <c:v>7.9935893419039896</c:v>
                </c:pt>
                <c:pt idx="292">
                  <c:v>8.0033565036867227</c:v>
                </c:pt>
                <c:pt idx="293">
                  <c:v>8.0132296873943787</c:v>
                </c:pt>
                <c:pt idx="294">
                  <c:v>8.023210651377914</c:v>
                </c:pt>
                <c:pt idx="295">
                  <c:v>8.0333011539882797</c:v>
                </c:pt>
                <c:pt idx="296">
                  <c:v>8.0435029535764304</c:v>
                </c:pt>
                <c:pt idx="297">
                  <c:v>8.0538178084933207</c:v>
                </c:pt>
                <c:pt idx="298">
                  <c:v>8.0642474770899017</c:v>
                </c:pt>
                <c:pt idx="299">
                  <c:v>8.0747936634198627</c:v>
                </c:pt>
                <c:pt idx="300">
                  <c:v>8.0854564982914923</c:v>
                </c:pt>
                <c:pt idx="301">
                  <c:v>8.0962343346670025</c:v>
                </c:pt>
                <c:pt idx="302">
                  <c:v>8.107125430099364</c:v>
                </c:pt>
                <c:pt idx="303">
                  <c:v>8.1181280421415529</c:v>
                </c:pt>
                <c:pt idx="304">
                  <c:v>8.1292404283465345</c:v>
                </c:pt>
                <c:pt idx="305">
                  <c:v>8.1404608462672847</c:v>
                </c:pt>
                <c:pt idx="306">
                  <c:v>8.1517875534567743</c:v>
                </c:pt>
                <c:pt idx="307">
                  <c:v>8.1632188074679739</c:v>
                </c:pt>
                <c:pt idx="308">
                  <c:v>8.1747528658538542</c:v>
                </c:pt>
                <c:pt idx="309">
                  <c:v>8.1863879861673876</c:v>
                </c:pt>
                <c:pt idx="310">
                  <c:v>8.1981224259615466</c:v>
                </c:pt>
                <c:pt idx="311">
                  <c:v>8.2099544427893019</c:v>
                </c:pt>
                <c:pt idx="312">
                  <c:v>8.2218822942036258</c:v>
                </c:pt>
                <c:pt idx="313">
                  <c:v>8.2339042377574874</c:v>
                </c:pt>
                <c:pt idx="314">
                  <c:v>8.2460185310038607</c:v>
                </c:pt>
                <c:pt idx="315">
                  <c:v>8.2582234314957148</c:v>
                </c:pt>
                <c:pt idx="316">
                  <c:v>8.2705171967860238</c:v>
                </c:pt>
                <c:pt idx="317">
                  <c:v>8.2828980844277584</c:v>
                </c:pt>
                <c:pt idx="318">
                  <c:v>8.2953643519738893</c:v>
                </c:pt>
                <c:pt idx="319">
                  <c:v>8.3079142569773872</c:v>
                </c:pt>
                <c:pt idx="320">
                  <c:v>8.3205460569912262</c:v>
                </c:pt>
                <c:pt idx="321">
                  <c:v>8.3332580095683753</c:v>
                </c:pt>
                <c:pt idx="322">
                  <c:v>8.3460483722618086</c:v>
                </c:pt>
                <c:pt idx="323">
                  <c:v>8.3589154026244952</c:v>
                </c:pt>
                <c:pt idx="324">
                  <c:v>8.3718573582094074</c:v>
                </c:pt>
                <c:pt idx="325">
                  <c:v>8.3848724965695158</c:v>
                </c:pt>
                <c:pt idx="326">
                  <c:v>8.3979590752577948</c:v>
                </c:pt>
                <c:pt idx="327">
                  <c:v>8.4111153518272133</c:v>
                </c:pt>
                <c:pt idx="328">
                  <c:v>8.4243395838307435</c:v>
                </c:pt>
                <c:pt idx="329">
                  <c:v>8.4376300288213564</c:v>
                </c:pt>
                <c:pt idx="330">
                  <c:v>8.4509849443520242</c:v>
                </c:pt>
                <c:pt idx="331">
                  <c:v>8.4644025879757177</c:v>
                </c:pt>
                <c:pt idx="332">
                  <c:v>8.4778812172454092</c:v>
                </c:pt>
                <c:pt idx="333">
                  <c:v>8.4914190897140696</c:v>
                </c:pt>
                <c:pt idx="334">
                  <c:v>8.5050144629346711</c:v>
                </c:pt>
                <c:pt idx="335">
                  <c:v>8.5186655944601846</c:v>
                </c:pt>
                <c:pt idx="336">
                  <c:v>8.5323707418435806</c:v>
                </c:pt>
                <c:pt idx="337">
                  <c:v>8.5461281626378334</c:v>
                </c:pt>
                <c:pt idx="338">
                  <c:v>8.5599361143959118</c:v>
                </c:pt>
                <c:pt idx="339">
                  <c:v>8.5737928546707884</c:v>
                </c:pt>
                <c:pt idx="340">
                  <c:v>8.5876966410154356</c:v>
                </c:pt>
                <c:pt idx="341">
                  <c:v>8.601645730982824</c:v>
                </c:pt>
                <c:pt idx="342">
                  <c:v>8.6156383821259244</c:v>
                </c:pt>
                <c:pt idx="343">
                  <c:v>8.6296728519977073</c:v>
                </c:pt>
                <c:pt idx="344">
                  <c:v>8.6437473981511488</c:v>
                </c:pt>
                <c:pt idx="345">
                  <c:v>8.6578602781392142</c:v>
                </c:pt>
                <c:pt idx="346">
                  <c:v>8.6720097495148813</c:v>
                </c:pt>
                <c:pt idx="347">
                  <c:v>8.6861940698311173</c:v>
                </c:pt>
                <c:pt idx="348">
                  <c:v>8.7004114966408945</c:v>
                </c:pt>
                <c:pt idx="349">
                  <c:v>8.7146602874971837</c:v>
                </c:pt>
                <c:pt idx="350">
                  <c:v>8.728938699952959</c:v>
                </c:pt>
                <c:pt idx="351">
                  <c:v>8.7432449915611894</c:v>
                </c:pt>
                <c:pt idx="352">
                  <c:v>8.7575774198748473</c:v>
                </c:pt>
                <c:pt idx="353">
                  <c:v>8.7719342424469051</c:v>
                </c:pt>
                <c:pt idx="354">
                  <c:v>8.7863137168303336</c:v>
                </c:pt>
                <c:pt idx="355">
                  <c:v>8.8007141005781033</c:v>
                </c:pt>
                <c:pt idx="356">
                  <c:v>8.8151336512431886</c:v>
                </c:pt>
                <c:pt idx="357">
                  <c:v>8.8295706263785565</c:v>
                </c:pt>
                <c:pt idx="358">
                  <c:v>8.8440232835371813</c:v>
                </c:pt>
                <c:pt idx="359">
                  <c:v>8.8584898802720353</c:v>
                </c:pt>
                <c:pt idx="360">
                  <c:v>8.8729686741360876</c:v>
                </c:pt>
                <c:pt idx="361">
                  <c:v>8.8874579226823123</c:v>
                </c:pt>
                <c:pt idx="362">
                  <c:v>8.9019558834636783</c:v>
                </c:pt>
                <c:pt idx="363">
                  <c:v>8.916460814033158</c:v>
                </c:pt>
                <c:pt idx="364">
                  <c:v>8.930970971943724</c:v>
                </c:pt>
                <c:pt idx="365">
                  <c:v>8.9454846147483469</c:v>
                </c:pt>
                <c:pt idx="366">
                  <c:v>8.9599999999999991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1-4FD0-89BF-5232DD562CC4}"/>
            </c:ext>
          </c:extLst>
        </c:ser>
        <c:ser>
          <c:idx val="1"/>
          <c:order val="1"/>
          <c:tx>
            <c:strRef>
              <c:f>'Model tilvækst, slagteform, fe'!$O$8</c:f>
              <c:strCache>
                <c:ptCount val="1"/>
                <c:pt idx="0">
                  <c:v>kryds_tyr_fe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fe'!$M$9:$M$375</c:f>
              <c:numCache>
                <c:formatCode>#,##0.0</c:formatCode>
                <c:ptCount val="367"/>
                <c:pt idx="0">
                  <c:v>50.481116096890617</c:v>
                </c:pt>
                <c:pt idx="1">
                  <c:v>51.633848151960933</c:v>
                </c:pt>
                <c:pt idx="2">
                  <c:v>52.78658020703125</c:v>
                </c:pt>
                <c:pt idx="3">
                  <c:v>53.939312262101559</c:v>
                </c:pt>
                <c:pt idx="4">
                  <c:v>55.092044317171883</c:v>
                </c:pt>
                <c:pt idx="5">
                  <c:v>56.244776372242193</c:v>
                </c:pt>
                <c:pt idx="6">
                  <c:v>57.397508427312502</c:v>
                </c:pt>
                <c:pt idx="7">
                  <c:v>58.550240482382812</c:v>
                </c:pt>
                <c:pt idx="8">
                  <c:v>59.702972537453121</c:v>
                </c:pt>
                <c:pt idx="9">
                  <c:v>60.855704592523438</c:v>
                </c:pt>
                <c:pt idx="10">
                  <c:v>62.008436647593747</c:v>
                </c:pt>
                <c:pt idx="11">
                  <c:v>63.161168702664057</c:v>
                </c:pt>
                <c:pt idx="12">
                  <c:v>64.313900757734373</c:v>
                </c:pt>
                <c:pt idx="13">
                  <c:v>65.46663281280469</c:v>
                </c:pt>
                <c:pt idx="14">
                  <c:v>66.619364867874992</c:v>
                </c:pt>
                <c:pt idx="15">
                  <c:v>67.772096922945309</c:v>
                </c:pt>
                <c:pt idx="16">
                  <c:v>68.924828978015626</c:v>
                </c:pt>
                <c:pt idx="17">
                  <c:v>70.077561033085942</c:v>
                </c:pt>
                <c:pt idx="18">
                  <c:v>71.230293088156259</c:v>
                </c:pt>
                <c:pt idx="19">
                  <c:v>72.383025143226561</c:v>
                </c:pt>
                <c:pt idx="20">
                  <c:v>73.535757198296878</c:v>
                </c:pt>
                <c:pt idx="21">
                  <c:v>74.68848925336718</c:v>
                </c:pt>
                <c:pt idx="22">
                  <c:v>75.841221308437497</c:v>
                </c:pt>
                <c:pt idx="23">
                  <c:v>76.993953363507813</c:v>
                </c:pt>
                <c:pt idx="24">
                  <c:v>78.14668541857813</c:v>
                </c:pt>
                <c:pt idx="25">
                  <c:v>79.299417473648447</c:v>
                </c:pt>
                <c:pt idx="26">
                  <c:v>80.452149528718749</c:v>
                </c:pt>
                <c:pt idx="27">
                  <c:v>81.604881583789066</c:v>
                </c:pt>
                <c:pt idx="28">
                  <c:v>82.757613638859368</c:v>
                </c:pt>
                <c:pt idx="29">
                  <c:v>83.910345693929685</c:v>
                </c:pt>
                <c:pt idx="30">
                  <c:v>85.063077749000001</c:v>
                </c:pt>
                <c:pt idx="31">
                  <c:v>86.215809804070318</c:v>
                </c:pt>
                <c:pt idx="32">
                  <c:v>87.368541859140635</c:v>
                </c:pt>
                <c:pt idx="33">
                  <c:v>88.521273914210937</c:v>
                </c:pt>
                <c:pt idx="34">
                  <c:v>89.674005969281254</c:v>
                </c:pt>
                <c:pt idx="35">
                  <c:v>90.826738024351556</c:v>
                </c:pt>
                <c:pt idx="36">
                  <c:v>91.979470079421873</c:v>
                </c:pt>
                <c:pt idx="37">
                  <c:v>93.132202134492189</c:v>
                </c:pt>
                <c:pt idx="38">
                  <c:v>94.284934189562506</c:v>
                </c:pt>
                <c:pt idx="39">
                  <c:v>95.437666244632823</c:v>
                </c:pt>
                <c:pt idx="40">
                  <c:v>96.590398299703139</c:v>
                </c:pt>
                <c:pt idx="41">
                  <c:v>97.743130354773442</c:v>
                </c:pt>
                <c:pt idx="42">
                  <c:v>98.895862409843744</c:v>
                </c:pt>
                <c:pt idx="43">
                  <c:v>100.0485944649141</c:v>
                </c:pt>
                <c:pt idx="44">
                  <c:v>101.20132651998441</c:v>
                </c:pt>
                <c:pt idx="45">
                  <c:v>102.35405857505469</c:v>
                </c:pt>
                <c:pt idx="46">
                  <c:v>103.506790630125</c:v>
                </c:pt>
                <c:pt idx="47">
                  <c:v>104.6595226851953</c:v>
                </c:pt>
                <c:pt idx="48">
                  <c:v>105.8122547402656</c:v>
                </c:pt>
                <c:pt idx="49">
                  <c:v>106.9649867953359</c:v>
                </c:pt>
                <c:pt idx="50">
                  <c:v>108.11771885040631</c:v>
                </c:pt>
                <c:pt idx="51">
                  <c:v>109.27045090547659</c:v>
                </c:pt>
                <c:pt idx="52">
                  <c:v>110.4231829605469</c:v>
                </c:pt>
                <c:pt idx="53">
                  <c:v>111.5759150156172</c:v>
                </c:pt>
                <c:pt idx="54">
                  <c:v>112.7286470706875</c:v>
                </c:pt>
                <c:pt idx="55">
                  <c:v>113.8813791257578</c:v>
                </c:pt>
                <c:pt idx="56">
                  <c:v>115.03411118082811</c:v>
                </c:pt>
                <c:pt idx="57">
                  <c:v>116.18684323589839</c:v>
                </c:pt>
                <c:pt idx="58">
                  <c:v>117.3395752909688</c:v>
                </c:pt>
                <c:pt idx="59">
                  <c:v>118.4923073460391</c:v>
                </c:pt>
                <c:pt idx="60">
                  <c:v>119.6450394011094</c:v>
                </c:pt>
                <c:pt idx="61">
                  <c:v>120.7977714561797</c:v>
                </c:pt>
                <c:pt idx="62">
                  <c:v>121.95050351125001</c:v>
                </c:pt>
                <c:pt idx="63">
                  <c:v>123.10323556632029</c:v>
                </c:pt>
                <c:pt idx="64">
                  <c:v>124.2559676213906</c:v>
                </c:pt>
                <c:pt idx="65">
                  <c:v>125.4086996764609</c:v>
                </c:pt>
                <c:pt idx="66">
                  <c:v>126.5614317315313</c:v>
                </c:pt>
                <c:pt idx="67">
                  <c:v>127.7141637866016</c:v>
                </c:pt>
                <c:pt idx="68">
                  <c:v>128.86689584167189</c:v>
                </c:pt>
                <c:pt idx="69">
                  <c:v>130.01962789674221</c:v>
                </c:pt>
                <c:pt idx="70">
                  <c:v>131.1723599518125</c:v>
                </c:pt>
                <c:pt idx="71">
                  <c:v>132.32509200688281</c:v>
                </c:pt>
                <c:pt idx="72">
                  <c:v>133.4778240619531</c:v>
                </c:pt>
                <c:pt idx="73">
                  <c:v>134.6305561170235</c:v>
                </c:pt>
                <c:pt idx="74">
                  <c:v>135.78328817209379</c:v>
                </c:pt>
                <c:pt idx="75">
                  <c:v>136.93602022716411</c:v>
                </c:pt>
                <c:pt idx="76">
                  <c:v>138.0887522822344</c:v>
                </c:pt>
                <c:pt idx="77">
                  <c:v>139.24148433730471</c:v>
                </c:pt>
                <c:pt idx="78">
                  <c:v>140.394216392375</c:v>
                </c:pt>
                <c:pt idx="79">
                  <c:v>141.54694844744529</c:v>
                </c:pt>
                <c:pt idx="80">
                  <c:v>142.6996805025156</c:v>
                </c:pt>
                <c:pt idx="81">
                  <c:v>143.85241255758601</c:v>
                </c:pt>
                <c:pt idx="82">
                  <c:v>145.0051446126563</c:v>
                </c:pt>
                <c:pt idx="83">
                  <c:v>146.15787666772661</c:v>
                </c:pt>
                <c:pt idx="84">
                  <c:v>147.3106087227969</c:v>
                </c:pt>
                <c:pt idx="85">
                  <c:v>148.46334077786719</c:v>
                </c:pt>
                <c:pt idx="86">
                  <c:v>149.6160728329375</c:v>
                </c:pt>
                <c:pt idx="87">
                  <c:v>150.76880488800779</c:v>
                </c:pt>
                <c:pt idx="88">
                  <c:v>151.92153694307811</c:v>
                </c:pt>
                <c:pt idx="89">
                  <c:v>153.07426899814851</c:v>
                </c:pt>
                <c:pt idx="90">
                  <c:v>154.2270010532188</c:v>
                </c:pt>
                <c:pt idx="91">
                  <c:v>155.37973310828909</c:v>
                </c:pt>
                <c:pt idx="92">
                  <c:v>156.5324651633594</c:v>
                </c:pt>
                <c:pt idx="93">
                  <c:v>157.68519721842969</c:v>
                </c:pt>
                <c:pt idx="94">
                  <c:v>158.83792927350001</c:v>
                </c:pt>
                <c:pt idx="95">
                  <c:v>159.9906613285703</c:v>
                </c:pt>
                <c:pt idx="96">
                  <c:v>161.14339338364061</c:v>
                </c:pt>
                <c:pt idx="97">
                  <c:v>162.29612543871099</c:v>
                </c:pt>
                <c:pt idx="98">
                  <c:v>163.4488574937813</c:v>
                </c:pt>
                <c:pt idx="99">
                  <c:v>164.60158954885159</c:v>
                </c:pt>
                <c:pt idx="100">
                  <c:v>165.75432160392191</c:v>
                </c:pt>
                <c:pt idx="101">
                  <c:v>166.9070536589922</c:v>
                </c:pt>
                <c:pt idx="102">
                  <c:v>168.05978571406251</c:v>
                </c:pt>
                <c:pt idx="103">
                  <c:v>169.2125177691328</c:v>
                </c:pt>
                <c:pt idx="104">
                  <c:v>170.3652498242032</c:v>
                </c:pt>
                <c:pt idx="105">
                  <c:v>171.51798187927341</c:v>
                </c:pt>
                <c:pt idx="106">
                  <c:v>172.67071393434381</c:v>
                </c:pt>
                <c:pt idx="107">
                  <c:v>173.8234459894141</c:v>
                </c:pt>
                <c:pt idx="108">
                  <c:v>174.97617804448441</c:v>
                </c:pt>
                <c:pt idx="109">
                  <c:v>176.1289100995547</c:v>
                </c:pt>
                <c:pt idx="110">
                  <c:v>177.28164215462499</c:v>
                </c:pt>
                <c:pt idx="111">
                  <c:v>178.43437420969531</c:v>
                </c:pt>
                <c:pt idx="112">
                  <c:v>179.58710626476559</c:v>
                </c:pt>
                <c:pt idx="113">
                  <c:v>180.73983831983591</c:v>
                </c:pt>
                <c:pt idx="114">
                  <c:v>181.89257037490631</c:v>
                </c:pt>
                <c:pt idx="115">
                  <c:v>183.0453024299766</c:v>
                </c:pt>
                <c:pt idx="116">
                  <c:v>184.19803448504689</c:v>
                </c:pt>
                <c:pt idx="117">
                  <c:v>185.35076654011721</c:v>
                </c:pt>
                <c:pt idx="118">
                  <c:v>186.50349859518749</c:v>
                </c:pt>
                <c:pt idx="119">
                  <c:v>187.65623065025781</c:v>
                </c:pt>
                <c:pt idx="120">
                  <c:v>188.8089627053281</c:v>
                </c:pt>
                <c:pt idx="121">
                  <c:v>189.96169476039839</c:v>
                </c:pt>
                <c:pt idx="122">
                  <c:v>191.11442681546879</c:v>
                </c:pt>
                <c:pt idx="123">
                  <c:v>192.26715887053911</c:v>
                </c:pt>
                <c:pt idx="124">
                  <c:v>193.41989092560939</c:v>
                </c:pt>
                <c:pt idx="125">
                  <c:v>194.57262298067971</c:v>
                </c:pt>
                <c:pt idx="126">
                  <c:v>195.72535503575</c:v>
                </c:pt>
                <c:pt idx="127">
                  <c:v>196.87808709082029</c:v>
                </c:pt>
                <c:pt idx="128">
                  <c:v>198.0308191458906</c:v>
                </c:pt>
                <c:pt idx="129">
                  <c:v>199.18355120096101</c:v>
                </c:pt>
                <c:pt idx="130">
                  <c:v>200.33628325603129</c:v>
                </c:pt>
                <c:pt idx="131">
                  <c:v>201.48901531110161</c:v>
                </c:pt>
                <c:pt idx="132">
                  <c:v>202.6417473661719</c:v>
                </c:pt>
                <c:pt idx="133">
                  <c:v>203.79447942124219</c:v>
                </c:pt>
                <c:pt idx="134">
                  <c:v>204.9472114763125</c:v>
                </c:pt>
                <c:pt idx="135">
                  <c:v>206.09994353138279</c:v>
                </c:pt>
                <c:pt idx="136">
                  <c:v>207.25267558645311</c:v>
                </c:pt>
                <c:pt idx="137">
                  <c:v>208.40540764152351</c:v>
                </c:pt>
                <c:pt idx="138">
                  <c:v>209.5581396965938</c:v>
                </c:pt>
                <c:pt idx="139">
                  <c:v>210.71087175166409</c:v>
                </c:pt>
                <c:pt idx="140">
                  <c:v>211.8636038067344</c:v>
                </c:pt>
                <c:pt idx="141">
                  <c:v>213.01633586180469</c:v>
                </c:pt>
                <c:pt idx="142">
                  <c:v>214.16906791687501</c:v>
                </c:pt>
                <c:pt idx="143">
                  <c:v>215.3217999719453</c:v>
                </c:pt>
                <c:pt idx="144">
                  <c:v>216.47453202701561</c:v>
                </c:pt>
                <c:pt idx="145">
                  <c:v>217.62726408208599</c:v>
                </c:pt>
                <c:pt idx="146">
                  <c:v>218.7799961371563</c:v>
                </c:pt>
                <c:pt idx="147">
                  <c:v>219.93272819222659</c:v>
                </c:pt>
                <c:pt idx="148">
                  <c:v>221.08546024729691</c:v>
                </c:pt>
                <c:pt idx="149">
                  <c:v>222.2381923023672</c:v>
                </c:pt>
                <c:pt idx="150">
                  <c:v>223.39092435743751</c:v>
                </c:pt>
                <c:pt idx="151">
                  <c:v>224.5436564125078</c:v>
                </c:pt>
                <c:pt idx="152">
                  <c:v>225.6963884675782</c:v>
                </c:pt>
                <c:pt idx="153">
                  <c:v>226.84912052264841</c:v>
                </c:pt>
                <c:pt idx="154">
                  <c:v>228.00185257771881</c:v>
                </c:pt>
                <c:pt idx="155">
                  <c:v>229.1545846327891</c:v>
                </c:pt>
                <c:pt idx="156">
                  <c:v>230.30731668785941</c:v>
                </c:pt>
                <c:pt idx="157">
                  <c:v>231.4600487429297</c:v>
                </c:pt>
                <c:pt idx="158">
                  <c:v>232.61278079799999</c:v>
                </c:pt>
                <c:pt idx="159">
                  <c:v>233.76551285307031</c:v>
                </c:pt>
                <c:pt idx="160">
                  <c:v>234.91824490814071</c:v>
                </c:pt>
                <c:pt idx="161">
                  <c:v>236.07097696321091</c:v>
                </c:pt>
                <c:pt idx="162">
                  <c:v>237.22370901828131</c:v>
                </c:pt>
                <c:pt idx="163">
                  <c:v>238.3764410733516</c:v>
                </c:pt>
                <c:pt idx="164">
                  <c:v>239.52917312842189</c:v>
                </c:pt>
                <c:pt idx="165">
                  <c:v>240.6819051834922</c:v>
                </c:pt>
                <c:pt idx="166">
                  <c:v>241.83463723856249</c:v>
                </c:pt>
                <c:pt idx="167">
                  <c:v>242.98736929363281</c:v>
                </c:pt>
                <c:pt idx="168">
                  <c:v>244.1401013487031</c:v>
                </c:pt>
                <c:pt idx="169">
                  <c:v>245.29283340377339</c:v>
                </c:pt>
                <c:pt idx="170">
                  <c:v>246.44556545884379</c:v>
                </c:pt>
                <c:pt idx="171">
                  <c:v>247.5982975139141</c:v>
                </c:pt>
                <c:pt idx="172">
                  <c:v>248.75102956898439</c:v>
                </c:pt>
                <c:pt idx="173">
                  <c:v>249.90376162405471</c:v>
                </c:pt>
                <c:pt idx="174">
                  <c:v>251.056493679125</c:v>
                </c:pt>
                <c:pt idx="175">
                  <c:v>252.20922573419529</c:v>
                </c:pt>
                <c:pt idx="176">
                  <c:v>253.3619577892656</c:v>
                </c:pt>
                <c:pt idx="177">
                  <c:v>254.514689844336</c:v>
                </c:pt>
                <c:pt idx="178">
                  <c:v>255.66742189940629</c:v>
                </c:pt>
                <c:pt idx="179">
                  <c:v>256.82015395447661</c:v>
                </c:pt>
                <c:pt idx="180">
                  <c:v>257.97288600954693</c:v>
                </c:pt>
                <c:pt idx="181">
                  <c:v>259.12561806461719</c:v>
                </c:pt>
                <c:pt idx="182">
                  <c:v>260.2783501196875</c:v>
                </c:pt>
                <c:pt idx="183">
                  <c:v>261.43108217475782</c:v>
                </c:pt>
                <c:pt idx="184">
                  <c:v>262.58381422982808</c:v>
                </c:pt>
                <c:pt idx="185">
                  <c:v>263.73654628489851</c:v>
                </c:pt>
                <c:pt idx="186">
                  <c:v>264.88927833996883</c:v>
                </c:pt>
                <c:pt idx="187">
                  <c:v>266.04201039503909</c:v>
                </c:pt>
                <c:pt idx="188">
                  <c:v>267.1947424501094</c:v>
                </c:pt>
                <c:pt idx="189">
                  <c:v>268.34747450517972</c:v>
                </c:pt>
                <c:pt idx="190">
                  <c:v>269.50020656024998</c:v>
                </c:pt>
                <c:pt idx="191">
                  <c:v>270.65293861532041</c:v>
                </c:pt>
                <c:pt idx="192">
                  <c:v>271.80567067039073</c:v>
                </c:pt>
                <c:pt idx="193">
                  <c:v>272.95840272546099</c:v>
                </c:pt>
                <c:pt idx="194">
                  <c:v>274.1111347805313</c:v>
                </c:pt>
                <c:pt idx="195">
                  <c:v>275.26386683560162</c:v>
                </c:pt>
                <c:pt idx="196">
                  <c:v>276.41659889067188</c:v>
                </c:pt>
                <c:pt idx="197">
                  <c:v>277.56933094574219</c:v>
                </c:pt>
                <c:pt idx="198">
                  <c:v>278.72206300081251</c:v>
                </c:pt>
                <c:pt idx="199">
                  <c:v>279.87479505588283</c:v>
                </c:pt>
                <c:pt idx="200">
                  <c:v>281.02752711095309</c:v>
                </c:pt>
                <c:pt idx="201">
                  <c:v>282.18025916602352</c:v>
                </c:pt>
                <c:pt idx="202">
                  <c:v>283.33299122109378</c:v>
                </c:pt>
                <c:pt idx="203">
                  <c:v>284.48572327616409</c:v>
                </c:pt>
                <c:pt idx="204">
                  <c:v>285.63845533123441</c:v>
                </c:pt>
                <c:pt idx="205">
                  <c:v>286.79118738630473</c:v>
                </c:pt>
                <c:pt idx="206">
                  <c:v>287.94391944137499</c:v>
                </c:pt>
                <c:pt idx="207">
                  <c:v>289.09665149644542</c:v>
                </c:pt>
                <c:pt idx="208">
                  <c:v>290.24938355151568</c:v>
                </c:pt>
                <c:pt idx="209">
                  <c:v>291.40211560658599</c:v>
                </c:pt>
                <c:pt idx="210">
                  <c:v>292.55484766165631</c:v>
                </c:pt>
                <c:pt idx="211">
                  <c:v>293.70757971672663</c:v>
                </c:pt>
                <c:pt idx="212">
                  <c:v>294.86031177179689</c:v>
                </c:pt>
                <c:pt idx="213">
                  <c:v>296.0130438268672</c:v>
                </c:pt>
                <c:pt idx="214">
                  <c:v>297.16577588193752</c:v>
                </c:pt>
                <c:pt idx="215">
                  <c:v>298.31850793700778</c:v>
                </c:pt>
                <c:pt idx="216">
                  <c:v>299.47123999207821</c:v>
                </c:pt>
                <c:pt idx="217">
                  <c:v>300.62397204714853</c:v>
                </c:pt>
                <c:pt idx="218">
                  <c:v>301.77670410221879</c:v>
                </c:pt>
                <c:pt idx="219">
                  <c:v>302.9294361572891</c:v>
                </c:pt>
                <c:pt idx="220">
                  <c:v>304.08216821235942</c:v>
                </c:pt>
                <c:pt idx="221">
                  <c:v>305.23490026742968</c:v>
                </c:pt>
                <c:pt idx="222">
                  <c:v>306.38763232250011</c:v>
                </c:pt>
                <c:pt idx="223">
                  <c:v>307.54036437757031</c:v>
                </c:pt>
                <c:pt idx="224">
                  <c:v>308.69309643264057</c:v>
                </c:pt>
                <c:pt idx="225">
                  <c:v>309.845828487711</c:v>
                </c:pt>
                <c:pt idx="226">
                  <c:v>310.99856054278132</c:v>
                </c:pt>
                <c:pt idx="227">
                  <c:v>312.15129259785158</c:v>
                </c:pt>
                <c:pt idx="228">
                  <c:v>313.3040246529219</c:v>
                </c:pt>
                <c:pt idx="229">
                  <c:v>314.45675670799221</c:v>
                </c:pt>
                <c:pt idx="230">
                  <c:v>315.60948876306247</c:v>
                </c:pt>
                <c:pt idx="231">
                  <c:v>316.7622208181329</c:v>
                </c:pt>
                <c:pt idx="232">
                  <c:v>317.91495287320322</c:v>
                </c:pt>
                <c:pt idx="233">
                  <c:v>319.06768492827348</c:v>
                </c:pt>
                <c:pt idx="234">
                  <c:v>320.2204169833438</c:v>
                </c:pt>
                <c:pt idx="235">
                  <c:v>321.37314903841411</c:v>
                </c:pt>
                <c:pt idx="236">
                  <c:v>322.52588109348437</c:v>
                </c:pt>
                <c:pt idx="237">
                  <c:v>323.67861314855469</c:v>
                </c:pt>
                <c:pt idx="238">
                  <c:v>324.83134520362501</c:v>
                </c:pt>
                <c:pt idx="239">
                  <c:v>325.98407725869532</c:v>
                </c:pt>
                <c:pt idx="240">
                  <c:v>327.13680931376558</c:v>
                </c:pt>
                <c:pt idx="241">
                  <c:v>328.28954136883601</c:v>
                </c:pt>
                <c:pt idx="242">
                  <c:v>329.44227342390627</c:v>
                </c:pt>
                <c:pt idx="243">
                  <c:v>330.59500547897659</c:v>
                </c:pt>
                <c:pt idx="244">
                  <c:v>331.74773753404691</c:v>
                </c:pt>
                <c:pt idx="245">
                  <c:v>332.90046958911722</c:v>
                </c:pt>
                <c:pt idx="246">
                  <c:v>334.05320164418748</c:v>
                </c:pt>
                <c:pt idx="247">
                  <c:v>335.20593369925791</c:v>
                </c:pt>
                <c:pt idx="248">
                  <c:v>336.35866575432817</c:v>
                </c:pt>
                <c:pt idx="249">
                  <c:v>337.51139780939837</c:v>
                </c:pt>
                <c:pt idx="250">
                  <c:v>338.6641298644688</c:v>
                </c:pt>
                <c:pt idx="251">
                  <c:v>339.81686191953912</c:v>
                </c:pt>
                <c:pt idx="252">
                  <c:v>340.96959397460938</c:v>
                </c:pt>
                <c:pt idx="253">
                  <c:v>342.1223260296797</c:v>
                </c:pt>
                <c:pt idx="254">
                  <c:v>343.27505808475001</c:v>
                </c:pt>
                <c:pt idx="255">
                  <c:v>344.42779013982027</c:v>
                </c:pt>
                <c:pt idx="256">
                  <c:v>345.5805221948907</c:v>
                </c:pt>
                <c:pt idx="257">
                  <c:v>346.73325424996102</c:v>
                </c:pt>
                <c:pt idx="258">
                  <c:v>347.88598630503128</c:v>
                </c:pt>
                <c:pt idx="259">
                  <c:v>349.0387183601016</c:v>
                </c:pt>
                <c:pt idx="260">
                  <c:v>350.19145041517191</c:v>
                </c:pt>
                <c:pt idx="261">
                  <c:v>351.34418247024217</c:v>
                </c:pt>
                <c:pt idx="262">
                  <c:v>352.4969145253126</c:v>
                </c:pt>
                <c:pt idx="263">
                  <c:v>353.64964658038292</c:v>
                </c:pt>
                <c:pt idx="264">
                  <c:v>354.80237863545312</c:v>
                </c:pt>
                <c:pt idx="265">
                  <c:v>355.95511069052338</c:v>
                </c:pt>
                <c:pt idx="266">
                  <c:v>357.10784274559381</c:v>
                </c:pt>
                <c:pt idx="267">
                  <c:v>358.26057480066407</c:v>
                </c:pt>
                <c:pt idx="268">
                  <c:v>359.41330685573439</c:v>
                </c:pt>
                <c:pt idx="269">
                  <c:v>360.56603891080471</c:v>
                </c:pt>
                <c:pt idx="270">
                  <c:v>361.71877096587502</c:v>
                </c:pt>
                <c:pt idx="271">
                  <c:v>362.87150302094528</c:v>
                </c:pt>
                <c:pt idx="272">
                  <c:v>364.02423507601571</c:v>
                </c:pt>
                <c:pt idx="273">
                  <c:v>365.17696713108597</c:v>
                </c:pt>
                <c:pt idx="274">
                  <c:v>366.32969918615629</c:v>
                </c:pt>
                <c:pt idx="275">
                  <c:v>367.48243124122661</c:v>
                </c:pt>
                <c:pt idx="276">
                  <c:v>368.63516329629692</c:v>
                </c:pt>
                <c:pt idx="277">
                  <c:v>369.78789535136718</c:v>
                </c:pt>
                <c:pt idx="278">
                  <c:v>370.9406274064375</c:v>
                </c:pt>
                <c:pt idx="279">
                  <c:v>372.09335946150782</c:v>
                </c:pt>
                <c:pt idx="280">
                  <c:v>373.24609151657808</c:v>
                </c:pt>
                <c:pt idx="281">
                  <c:v>374.39882357164851</c:v>
                </c:pt>
                <c:pt idx="282">
                  <c:v>375.55155562671882</c:v>
                </c:pt>
                <c:pt idx="283">
                  <c:v>376.70428768178908</c:v>
                </c:pt>
                <c:pt idx="284">
                  <c:v>377.8570197368594</c:v>
                </c:pt>
                <c:pt idx="285">
                  <c:v>379.00975179192972</c:v>
                </c:pt>
                <c:pt idx="286">
                  <c:v>380.16248384699998</c:v>
                </c:pt>
                <c:pt idx="287">
                  <c:v>381.31521590207041</c:v>
                </c:pt>
                <c:pt idx="288">
                  <c:v>382.46794795714072</c:v>
                </c:pt>
                <c:pt idx="289">
                  <c:v>383.62068001221098</c:v>
                </c:pt>
                <c:pt idx="290">
                  <c:v>384.7734120672813</c:v>
                </c:pt>
                <c:pt idx="291">
                  <c:v>385.92614412235162</c:v>
                </c:pt>
                <c:pt idx="292">
                  <c:v>387.07887617742188</c:v>
                </c:pt>
                <c:pt idx="293">
                  <c:v>388.23160823249219</c:v>
                </c:pt>
                <c:pt idx="294">
                  <c:v>389.38434028756251</c:v>
                </c:pt>
                <c:pt idx="295">
                  <c:v>390.53707234263283</c:v>
                </c:pt>
                <c:pt idx="296">
                  <c:v>391.68980439770309</c:v>
                </c:pt>
                <c:pt idx="297">
                  <c:v>392.84253645277352</c:v>
                </c:pt>
                <c:pt idx="298">
                  <c:v>393.99526850784378</c:v>
                </c:pt>
                <c:pt idx="299">
                  <c:v>395.14800056291409</c:v>
                </c:pt>
                <c:pt idx="300">
                  <c:v>396.30073261798441</c:v>
                </c:pt>
                <c:pt idx="301">
                  <c:v>397.45346467305473</c:v>
                </c:pt>
                <c:pt idx="302">
                  <c:v>398.60619672812498</c:v>
                </c:pt>
                <c:pt idx="303">
                  <c:v>399.75892878319542</c:v>
                </c:pt>
                <c:pt idx="304">
                  <c:v>400.91166083826568</c:v>
                </c:pt>
                <c:pt idx="305">
                  <c:v>402.06439289333599</c:v>
                </c:pt>
                <c:pt idx="306">
                  <c:v>403.21712494840631</c:v>
                </c:pt>
                <c:pt idx="307">
                  <c:v>404.36985700347662</c:v>
                </c:pt>
                <c:pt idx="308">
                  <c:v>405.52258905854688</c:v>
                </c:pt>
                <c:pt idx="309">
                  <c:v>406.6753211136172</c:v>
                </c:pt>
                <c:pt idx="310">
                  <c:v>407.82805316868752</c:v>
                </c:pt>
                <c:pt idx="311">
                  <c:v>408.98078522375778</c:v>
                </c:pt>
                <c:pt idx="312">
                  <c:v>410.13351727882821</c:v>
                </c:pt>
                <c:pt idx="313">
                  <c:v>411.28624933389852</c:v>
                </c:pt>
                <c:pt idx="314">
                  <c:v>412.43898138896878</c:v>
                </c:pt>
                <c:pt idx="315">
                  <c:v>413.5917134440391</c:v>
                </c:pt>
                <c:pt idx="316">
                  <c:v>414.74444549910942</c:v>
                </c:pt>
                <c:pt idx="317">
                  <c:v>415.89717755417968</c:v>
                </c:pt>
                <c:pt idx="318">
                  <c:v>417.04990960925011</c:v>
                </c:pt>
                <c:pt idx="319">
                  <c:v>418.20264166432042</c:v>
                </c:pt>
                <c:pt idx="320">
                  <c:v>419.35537371939068</c:v>
                </c:pt>
                <c:pt idx="321">
                  <c:v>420.50810577446089</c:v>
                </c:pt>
                <c:pt idx="322">
                  <c:v>421.66083782953132</c:v>
                </c:pt>
                <c:pt idx="323">
                  <c:v>422.81356988460158</c:v>
                </c:pt>
                <c:pt idx="324">
                  <c:v>423.96630193967189</c:v>
                </c:pt>
                <c:pt idx="325">
                  <c:v>425.11903399474221</c:v>
                </c:pt>
                <c:pt idx="326">
                  <c:v>426.27176604981253</c:v>
                </c:pt>
                <c:pt idx="327">
                  <c:v>427.42449810488279</c:v>
                </c:pt>
                <c:pt idx="328">
                  <c:v>428.57723015995322</c:v>
                </c:pt>
                <c:pt idx="329">
                  <c:v>429.72996221502348</c:v>
                </c:pt>
                <c:pt idx="330">
                  <c:v>430.88269427009379</c:v>
                </c:pt>
                <c:pt idx="331">
                  <c:v>432.03542632516411</c:v>
                </c:pt>
                <c:pt idx="332">
                  <c:v>433.18815838023443</c:v>
                </c:pt>
                <c:pt idx="333">
                  <c:v>434.34089043530469</c:v>
                </c:pt>
                <c:pt idx="334">
                  <c:v>435.49362249037512</c:v>
                </c:pt>
                <c:pt idx="335">
                  <c:v>436.64635454544532</c:v>
                </c:pt>
                <c:pt idx="336">
                  <c:v>437.79908660051558</c:v>
                </c:pt>
                <c:pt idx="337">
                  <c:v>438.95181865558601</c:v>
                </c:pt>
                <c:pt idx="338">
                  <c:v>440.10455071065633</c:v>
                </c:pt>
                <c:pt idx="339">
                  <c:v>441.25728276572659</c:v>
                </c:pt>
                <c:pt idx="340">
                  <c:v>442.4100148207969</c:v>
                </c:pt>
                <c:pt idx="341">
                  <c:v>443.56274687586722</c:v>
                </c:pt>
                <c:pt idx="342">
                  <c:v>444.71547893093748</c:v>
                </c:pt>
                <c:pt idx="343">
                  <c:v>445.86821098600791</c:v>
                </c:pt>
                <c:pt idx="344">
                  <c:v>447.02094304107823</c:v>
                </c:pt>
                <c:pt idx="345">
                  <c:v>448.17367509614849</c:v>
                </c:pt>
                <c:pt idx="346">
                  <c:v>449.3264071512188</c:v>
                </c:pt>
                <c:pt idx="347">
                  <c:v>450.47913920628912</c:v>
                </c:pt>
                <c:pt idx="348">
                  <c:v>451.63187126135938</c:v>
                </c:pt>
                <c:pt idx="349">
                  <c:v>452.7846033164297</c:v>
                </c:pt>
                <c:pt idx="350">
                  <c:v>453.93733537150001</c:v>
                </c:pt>
                <c:pt idx="351">
                  <c:v>455.09006742657027</c:v>
                </c:pt>
                <c:pt idx="352">
                  <c:v>456.2427994816407</c:v>
                </c:pt>
                <c:pt idx="353">
                  <c:v>457.39553153671102</c:v>
                </c:pt>
                <c:pt idx="354">
                  <c:v>458.54826359178128</c:v>
                </c:pt>
                <c:pt idx="355">
                  <c:v>459.7009956468516</c:v>
                </c:pt>
                <c:pt idx="356">
                  <c:v>460.85372770192191</c:v>
                </c:pt>
                <c:pt idx="357">
                  <c:v>462.00645975699217</c:v>
                </c:pt>
                <c:pt idx="358">
                  <c:v>463.1591918120626</c:v>
                </c:pt>
                <c:pt idx="359">
                  <c:v>464.31192386713292</c:v>
                </c:pt>
                <c:pt idx="360">
                  <c:v>465.46465592220318</c:v>
                </c:pt>
                <c:pt idx="361">
                  <c:v>466.61738797727349</c:v>
                </c:pt>
                <c:pt idx="362">
                  <c:v>467.77012003234381</c:v>
                </c:pt>
                <c:pt idx="363">
                  <c:v>468.92285208741413</c:v>
                </c:pt>
                <c:pt idx="364">
                  <c:v>470.07558414248439</c:v>
                </c:pt>
                <c:pt idx="365">
                  <c:v>471.2283161975547</c:v>
                </c:pt>
                <c:pt idx="366">
                  <c:v>472.38104825262502</c:v>
                </c:pt>
              </c:numCache>
            </c:numRef>
          </c:cat>
          <c:val>
            <c:numRef>
              <c:f>'Model tilvækst, slagteform, fe'!$O$9:$O$375</c:f>
              <c:numCache>
                <c:formatCode>#,##0.0</c:formatCode>
                <c:ptCount val="367"/>
                <c:pt idx="0">
                  <c:v>1.33</c:v>
                </c:pt>
                <c:pt idx="1">
                  <c:v>1.3726352637428449</c:v>
                </c:pt>
                <c:pt idx="2">
                  <c:v>1.4152705064321061</c:v>
                </c:pt>
                <c:pt idx="3">
                  <c:v>1.457905707014199</c:v>
                </c:pt>
                <c:pt idx="4">
                  <c:v>1.5005408444355399</c:v>
                </c:pt>
                <c:pt idx="5">
                  <c:v>1.543175897642546</c:v>
                </c:pt>
                <c:pt idx="6">
                  <c:v>1.5858108455816331</c:v>
                </c:pt>
                <c:pt idx="7">
                  <c:v>1.628445667199216</c:v>
                </c:pt>
                <c:pt idx="8">
                  <c:v>1.671080341441713</c:v>
                </c:pt>
                <c:pt idx="9">
                  <c:v>1.7137148472555379</c:v>
                </c:pt>
                <c:pt idx="10">
                  <c:v>1.7563491635871089</c:v>
                </c:pt>
                <c:pt idx="11">
                  <c:v>1.79898326938284</c:v>
                </c:pt>
                <c:pt idx="12">
                  <c:v>1.84161714358915</c:v>
                </c:pt>
                <c:pt idx="13">
                  <c:v>1.8842507651524529</c:v>
                </c:pt>
                <c:pt idx="14">
                  <c:v>1.926884113019165</c:v>
                </c:pt>
                <c:pt idx="15">
                  <c:v>1.969517166135704</c:v>
                </c:pt>
                <c:pt idx="16">
                  <c:v>2.012149903448484</c:v>
                </c:pt>
                <c:pt idx="17">
                  <c:v>2.0547823039039228</c:v>
                </c:pt>
                <c:pt idx="18">
                  <c:v>2.0974143464484349</c:v>
                </c:pt>
                <c:pt idx="19">
                  <c:v>2.140046010028438</c:v>
                </c:pt>
                <c:pt idx="20">
                  <c:v>2.1826772735903481</c:v>
                </c:pt>
                <c:pt idx="21">
                  <c:v>2.2253081160805799</c:v>
                </c:pt>
                <c:pt idx="22">
                  <c:v>2.2679385164455499</c:v>
                </c:pt>
                <c:pt idx="23">
                  <c:v>2.3105684536316762</c:v>
                </c:pt>
                <c:pt idx="24">
                  <c:v>2.3531979065853741</c:v>
                </c:pt>
                <c:pt idx="25">
                  <c:v>2.3958268542530572</c:v>
                </c:pt>
                <c:pt idx="26">
                  <c:v>2.4384552755811439</c:v>
                </c:pt>
                <c:pt idx="27">
                  <c:v>2.4810831495160501</c:v>
                </c:pt>
                <c:pt idx="28">
                  <c:v>2.5237104550041929</c:v>
                </c:pt>
                <c:pt idx="29">
                  <c:v>2.5663371709919871</c:v>
                </c:pt>
                <c:pt idx="30">
                  <c:v>2.6089632764258481</c:v>
                </c:pt>
                <c:pt idx="31">
                  <c:v>2.651588750252194</c:v>
                </c:pt>
                <c:pt idx="32">
                  <c:v>2.6942135714174391</c:v>
                </c:pt>
                <c:pt idx="33">
                  <c:v>2.7368377188680011</c:v>
                </c:pt>
                <c:pt idx="34">
                  <c:v>2.7794611715502948</c:v>
                </c:pt>
                <c:pt idx="35">
                  <c:v>2.822083908410737</c:v>
                </c:pt>
                <c:pt idx="36">
                  <c:v>2.8647059083957438</c:v>
                </c:pt>
                <c:pt idx="37">
                  <c:v>2.907327150451732</c:v>
                </c:pt>
                <c:pt idx="38">
                  <c:v>2.9499476135251159</c:v>
                </c:pt>
                <c:pt idx="39">
                  <c:v>2.99256727643415</c:v>
                </c:pt>
                <c:pt idx="40">
                  <c:v>3.035185415817589</c:v>
                </c:pt>
                <c:pt idx="41">
                  <c:v>3.0777989623731479</c:v>
                </c:pt>
                <c:pt idx="42">
                  <c:v>3.1204043574580531</c:v>
                </c:pt>
                <c:pt idx="43">
                  <c:v>3.1629980424295252</c:v>
                </c:pt>
                <c:pt idx="44">
                  <c:v>3.205576458644789</c:v>
                </c:pt>
                <c:pt idx="45">
                  <c:v>3.248136047461069</c:v>
                </c:pt>
                <c:pt idx="46">
                  <c:v>3.2906732502355882</c:v>
                </c:pt>
                <c:pt idx="47">
                  <c:v>3.3331845083255711</c:v>
                </c:pt>
                <c:pt idx="48">
                  <c:v>3.3756662630882408</c:v>
                </c:pt>
                <c:pt idx="49">
                  <c:v>3.4181149558808221</c:v>
                </c:pt>
                <c:pt idx="50">
                  <c:v>3.4605270280605378</c:v>
                </c:pt>
                <c:pt idx="51">
                  <c:v>3.5028989209846109</c:v>
                </c:pt>
                <c:pt idx="52">
                  <c:v>3.545227076010268</c:v>
                </c:pt>
                <c:pt idx="53">
                  <c:v>3.5875079344947292</c:v>
                </c:pt>
                <c:pt idx="54">
                  <c:v>3.6297379377952219</c:v>
                </c:pt>
                <c:pt idx="55">
                  <c:v>3.6719135272689671</c:v>
                </c:pt>
                <c:pt idx="56">
                  <c:v>3.7140311442731901</c:v>
                </c:pt>
                <c:pt idx="57">
                  <c:v>3.756087230165114</c:v>
                </c:pt>
                <c:pt idx="58">
                  <c:v>3.7980782263019628</c:v>
                </c:pt>
                <c:pt idx="59">
                  <c:v>3.8400005740409608</c:v>
                </c:pt>
                <c:pt idx="60">
                  <c:v>3.88185071473933</c:v>
                </c:pt>
                <c:pt idx="61">
                  <c:v>3.9236250897542968</c:v>
                </c:pt>
                <c:pt idx="62">
                  <c:v>3.9653201404430818</c:v>
                </c:pt>
                <c:pt idx="63">
                  <c:v>4.0069323081629129</c:v>
                </c:pt>
                <c:pt idx="64">
                  <c:v>4.0484580342710101</c:v>
                </c:pt>
                <c:pt idx="65">
                  <c:v>4.0898937601245997</c:v>
                </c:pt>
                <c:pt idx="66">
                  <c:v>4.1312359270809029</c:v>
                </c:pt>
                <c:pt idx="67">
                  <c:v>4.1724809764971464</c:v>
                </c:pt>
                <c:pt idx="68">
                  <c:v>4.2136253497305507</c:v>
                </c:pt>
                <c:pt idx="69">
                  <c:v>4.2546654881383432</c:v>
                </c:pt>
                <c:pt idx="70">
                  <c:v>4.2955978330777453</c:v>
                </c:pt>
                <c:pt idx="71">
                  <c:v>4.3364188259059819</c:v>
                </c:pt>
                <c:pt idx="72">
                  <c:v>4.3771249079802761</c:v>
                </c:pt>
                <c:pt idx="73">
                  <c:v>4.4177125206578518</c:v>
                </c:pt>
                <c:pt idx="74">
                  <c:v>4.4581781052959331</c:v>
                </c:pt>
                <c:pt idx="75">
                  <c:v>4.4985181032517421</c:v>
                </c:pt>
                <c:pt idx="76">
                  <c:v>4.5387289558825064</c:v>
                </c:pt>
                <c:pt idx="77">
                  <c:v>4.5788071045454446</c:v>
                </c:pt>
                <c:pt idx="78">
                  <c:v>4.6187489905977852</c:v>
                </c:pt>
                <c:pt idx="79">
                  <c:v>4.6585510553967504</c:v>
                </c:pt>
                <c:pt idx="80">
                  <c:v>4.6982097402995624</c:v>
                </c:pt>
                <c:pt idx="81">
                  <c:v>4.7377214866634461</c:v>
                </c:pt>
                <c:pt idx="82">
                  <c:v>4.7770827358456263</c:v>
                </c:pt>
                <c:pt idx="83">
                  <c:v>4.8162899292033243</c:v>
                </c:pt>
                <c:pt idx="84">
                  <c:v>4.8553395080937669</c:v>
                </c:pt>
                <c:pt idx="85">
                  <c:v>4.8942279138741762</c:v>
                </c:pt>
                <c:pt idx="86">
                  <c:v>4.9329515879017753</c:v>
                </c:pt>
                <c:pt idx="87">
                  <c:v>4.9715069715337901</c:v>
                </c:pt>
                <c:pt idx="88">
                  <c:v>5.0098905061274426</c:v>
                </c:pt>
                <c:pt idx="89">
                  <c:v>5.0480986330399578</c:v>
                </c:pt>
                <c:pt idx="90">
                  <c:v>5.0861277936285569</c:v>
                </c:pt>
                <c:pt idx="91">
                  <c:v>5.1239744292504668</c:v>
                </c:pt>
                <c:pt idx="92">
                  <c:v>5.1616349812629103</c:v>
                </c:pt>
                <c:pt idx="93">
                  <c:v>5.1991058910231107</c:v>
                </c:pt>
                <c:pt idx="94">
                  <c:v>5.2363835998882919</c:v>
                </c:pt>
                <c:pt idx="95">
                  <c:v>5.273464549215678</c:v>
                </c:pt>
                <c:pt idx="96">
                  <c:v>5.3103451803624928</c:v>
                </c:pt>
                <c:pt idx="97">
                  <c:v>5.3470219346859587</c:v>
                </c:pt>
                <c:pt idx="98">
                  <c:v>5.3834912535433013</c:v>
                </c:pt>
                <c:pt idx="99">
                  <c:v>5.4197495782917438</c:v>
                </c:pt>
                <c:pt idx="100">
                  <c:v>5.4557933502885101</c:v>
                </c:pt>
                <c:pt idx="101">
                  <c:v>5.4916190108908234</c:v>
                </c:pt>
                <c:pt idx="102">
                  <c:v>5.5272230014559094</c:v>
                </c:pt>
                <c:pt idx="103">
                  <c:v>5.5626017633409877</c:v>
                </c:pt>
                <c:pt idx="104">
                  <c:v>5.5977517379032857</c:v>
                </c:pt>
                <c:pt idx="105">
                  <c:v>5.6326693665000267</c:v>
                </c:pt>
                <c:pt idx="106">
                  <c:v>5.6673510904884328</c:v>
                </c:pt>
                <c:pt idx="107">
                  <c:v>5.7017933512257297</c:v>
                </c:pt>
                <c:pt idx="108">
                  <c:v>5.7359925900691406</c:v>
                </c:pt>
                <c:pt idx="109">
                  <c:v>5.7699452483758904</c:v>
                </c:pt>
                <c:pt idx="110">
                  <c:v>5.8036477675031994</c:v>
                </c:pt>
                <c:pt idx="111">
                  <c:v>5.8370965888082944</c:v>
                </c:pt>
                <c:pt idx="112">
                  <c:v>5.8702881536483984</c:v>
                </c:pt>
                <c:pt idx="113">
                  <c:v>5.9032189033807336</c:v>
                </c:pt>
                <c:pt idx="114">
                  <c:v>5.9358852793625259</c:v>
                </c:pt>
                <c:pt idx="115">
                  <c:v>5.968283722951</c:v>
                </c:pt>
                <c:pt idx="116">
                  <c:v>6.0004106755033773</c:v>
                </c:pt>
                <c:pt idx="117">
                  <c:v>6.0322625783768817</c:v>
                </c:pt>
                <c:pt idx="118">
                  <c:v>6.0638358729287383</c:v>
                </c:pt>
                <c:pt idx="119">
                  <c:v>6.09512700051617</c:v>
                </c:pt>
                <c:pt idx="120">
                  <c:v>6.1261324024964008</c:v>
                </c:pt>
                <c:pt idx="121">
                  <c:v>6.1568485202266547</c:v>
                </c:pt>
                <c:pt idx="122">
                  <c:v>6.1872717950641558</c:v>
                </c:pt>
                <c:pt idx="123">
                  <c:v>6.2173986683661262</c:v>
                </c:pt>
                <c:pt idx="124">
                  <c:v>6.2472255814897926</c:v>
                </c:pt>
                <c:pt idx="125">
                  <c:v>6.2767489757923753</c:v>
                </c:pt>
                <c:pt idx="126">
                  <c:v>6.3059652926311012</c:v>
                </c:pt>
                <c:pt idx="127">
                  <c:v>6.3348709733631914</c:v>
                </c:pt>
                <c:pt idx="128">
                  <c:v>6.3634624593458717</c:v>
                </c:pt>
                <c:pt idx="129">
                  <c:v>6.3917361919363653</c:v>
                </c:pt>
                <c:pt idx="130">
                  <c:v>6.4196886124918962</c:v>
                </c:pt>
                <c:pt idx="131">
                  <c:v>6.4473161623696864</c:v>
                </c:pt>
                <c:pt idx="132">
                  <c:v>6.4746152829269619</c:v>
                </c:pt>
                <c:pt idx="133">
                  <c:v>6.5015824155209474</c:v>
                </c:pt>
                <c:pt idx="134">
                  <c:v>6.5282140015088608</c:v>
                </c:pt>
                <c:pt idx="135">
                  <c:v>6.554506482247934</c:v>
                </c:pt>
                <c:pt idx="136">
                  <c:v>6.5804562990953839</c:v>
                </c:pt>
                <c:pt idx="137">
                  <c:v>6.6060598934084389</c:v>
                </c:pt>
                <c:pt idx="138">
                  <c:v>6.6313137065443204</c:v>
                </c:pt>
                <c:pt idx="139">
                  <c:v>6.6562141798602532</c:v>
                </c:pt>
                <c:pt idx="140">
                  <c:v>6.6807577547134596</c:v>
                </c:pt>
                <c:pt idx="141">
                  <c:v>6.7049408724611661</c:v>
                </c:pt>
                <c:pt idx="142">
                  <c:v>6.7287599744605942</c:v>
                </c:pt>
                <c:pt idx="143">
                  <c:v>6.7522115020689686</c:v>
                </c:pt>
                <c:pt idx="144">
                  <c:v>6.7752922822950987</c:v>
                </c:pt>
                <c:pt idx="145">
                  <c:v>6.7980036632548888</c:v>
                </c:pt>
                <c:pt idx="146">
                  <c:v>6.8203499280089117</c:v>
                </c:pt>
                <c:pt idx="147">
                  <c:v>6.8423354093532014</c:v>
                </c:pt>
                <c:pt idx="148">
                  <c:v>6.8639644400837954</c:v>
                </c:pt>
                <c:pt idx="149">
                  <c:v>6.8852413529967231</c:v>
                </c:pt>
                <c:pt idx="150">
                  <c:v>6.906170480888024</c:v>
                </c:pt>
                <c:pt idx="151">
                  <c:v>6.926756156553731</c:v>
                </c:pt>
                <c:pt idx="152">
                  <c:v>6.9470027127898799</c:v>
                </c:pt>
                <c:pt idx="153">
                  <c:v>6.9669144823925047</c:v>
                </c:pt>
                <c:pt idx="154">
                  <c:v>6.986495798157641</c:v>
                </c:pt>
                <c:pt idx="155">
                  <c:v>7.0057509928813237</c:v>
                </c:pt>
                <c:pt idx="156">
                  <c:v>7.0246843993595878</c:v>
                </c:pt>
                <c:pt idx="157">
                  <c:v>7.043300350388467</c:v>
                </c:pt>
                <c:pt idx="158">
                  <c:v>7.0616031787639963</c:v>
                </c:pt>
                <c:pt idx="159">
                  <c:v>7.0795972172822124</c:v>
                </c:pt>
                <c:pt idx="160">
                  <c:v>7.0972867987391481</c:v>
                </c:pt>
                <c:pt idx="161">
                  <c:v>7.1146762559308394</c:v>
                </c:pt>
                <c:pt idx="162">
                  <c:v>7.1317699216533192</c:v>
                </c:pt>
                <c:pt idx="163">
                  <c:v>7.148572128702626</c:v>
                </c:pt>
                <c:pt idx="164">
                  <c:v>7.165087209874792</c:v>
                </c:pt>
                <c:pt idx="165">
                  <c:v>7.1813194979658528</c:v>
                </c:pt>
                <c:pt idx="166">
                  <c:v>7.1972733257718424</c:v>
                </c:pt>
                <c:pt idx="167">
                  <c:v>7.2129530260887966</c:v>
                </c:pt>
                <c:pt idx="168">
                  <c:v>7.2283629317127502</c:v>
                </c:pt>
                <c:pt idx="169">
                  <c:v>7.2435073754397381</c:v>
                </c:pt>
                <c:pt idx="170">
                  <c:v>7.2583906900657951</c:v>
                </c:pt>
                <c:pt idx="171">
                  <c:v>7.2730172083869551</c:v>
                </c:pt>
                <c:pt idx="172">
                  <c:v>7.2873912631992548</c:v>
                </c:pt>
                <c:pt idx="173">
                  <c:v>7.3015171872987281</c:v>
                </c:pt>
                <c:pt idx="174">
                  <c:v>7.315399313481409</c:v>
                </c:pt>
                <c:pt idx="175">
                  <c:v>7.3290419745433333</c:v>
                </c:pt>
                <c:pt idx="176">
                  <c:v>7.3424495032805366</c:v>
                </c:pt>
                <c:pt idx="177">
                  <c:v>7.355626232489052</c:v>
                </c:pt>
                <c:pt idx="178">
                  <c:v>7.3685764949649162</c:v>
                </c:pt>
                <c:pt idx="179">
                  <c:v>7.3813046235041622</c:v>
                </c:pt>
                <c:pt idx="180">
                  <c:v>7.3938149509028257</c:v>
                </c:pt>
                <c:pt idx="181">
                  <c:v>7.4061118099569434</c:v>
                </c:pt>
                <c:pt idx="182">
                  <c:v>7.4181995334625457</c:v>
                </c:pt>
                <c:pt idx="183">
                  <c:v>7.4300824542156718</c:v>
                </c:pt>
                <c:pt idx="184">
                  <c:v>7.441764905012354</c:v>
                </c:pt>
                <c:pt idx="185">
                  <c:v>7.4532512186486288</c:v>
                </c:pt>
                <c:pt idx="186">
                  <c:v>7.4645457279205303</c:v>
                </c:pt>
                <c:pt idx="187">
                  <c:v>7.4756527656240941</c:v>
                </c:pt>
                <c:pt idx="188">
                  <c:v>7.4865766645553524</c:v>
                </c:pt>
                <c:pt idx="189">
                  <c:v>7.4973217575103437</c:v>
                </c:pt>
                <c:pt idx="190">
                  <c:v>7.5078923772851009</c:v>
                </c:pt>
                <c:pt idx="191">
                  <c:v>7.5182928566756591</c:v>
                </c:pt>
                <c:pt idx="192">
                  <c:v>7.5285275284780528</c:v>
                </c:pt>
                <c:pt idx="193">
                  <c:v>7.5386007254883181</c:v>
                </c:pt>
                <c:pt idx="194">
                  <c:v>7.5485167805024878</c:v>
                </c:pt>
                <c:pt idx="195">
                  <c:v>7.5582800263165986</c:v>
                </c:pt>
                <c:pt idx="196">
                  <c:v>7.5678947957266853</c:v>
                </c:pt>
                <c:pt idx="197">
                  <c:v>7.577365421528782</c:v>
                </c:pt>
                <c:pt idx="198">
                  <c:v>7.5866962365189234</c:v>
                </c:pt>
                <c:pt idx="199">
                  <c:v>7.5958915734931454</c:v>
                </c:pt>
                <c:pt idx="200">
                  <c:v>7.60495576524748</c:v>
                </c:pt>
                <c:pt idx="201">
                  <c:v>7.6138931445779674</c:v>
                </c:pt>
                <c:pt idx="202">
                  <c:v>7.6227080442806363</c:v>
                </c:pt>
                <c:pt idx="203">
                  <c:v>7.631404797151526</c:v>
                </c:pt>
                <c:pt idx="204">
                  <c:v>7.6399877359866704</c:v>
                </c:pt>
                <c:pt idx="205">
                  <c:v>7.6484611935821034</c:v>
                </c:pt>
                <c:pt idx="206">
                  <c:v>7.65682950273386</c:v>
                </c:pt>
                <c:pt idx="207">
                  <c:v>7.6650969962379758</c:v>
                </c:pt>
                <c:pt idx="208">
                  <c:v>7.6732680068904857</c:v>
                </c:pt>
                <c:pt idx="209">
                  <c:v>7.6813468674874237</c:v>
                </c:pt>
                <c:pt idx="210">
                  <c:v>7.6893379108248254</c:v>
                </c:pt>
                <c:pt idx="211">
                  <c:v>7.6972454696987249</c:v>
                </c:pt>
                <c:pt idx="212">
                  <c:v>7.705073876905157</c:v>
                </c:pt>
                <c:pt idx="213">
                  <c:v>7.7128274652401583</c:v>
                </c:pt>
                <c:pt idx="214">
                  <c:v>7.7205105674997618</c:v>
                </c:pt>
                <c:pt idx="215">
                  <c:v>7.7281275164800034</c:v>
                </c:pt>
                <c:pt idx="216">
                  <c:v>7.7356826449769169</c:v>
                </c:pt>
                <c:pt idx="217">
                  <c:v>7.7431802857865382</c:v>
                </c:pt>
                <c:pt idx="218">
                  <c:v>7.7506247717049011</c:v>
                </c:pt>
                <c:pt idx="219">
                  <c:v>7.7580204355280422</c:v>
                </c:pt>
                <c:pt idx="220">
                  <c:v>7.7653716100519947</c:v>
                </c:pt>
                <c:pt idx="221">
                  <c:v>7.7726826280727943</c:v>
                </c:pt>
                <c:pt idx="222">
                  <c:v>7.7799578223864758</c:v>
                </c:pt>
                <c:pt idx="223">
                  <c:v>7.7872012609782777</c:v>
                </c:pt>
                <c:pt idx="224">
                  <c:v>7.7944159339632293</c:v>
                </c:pt>
                <c:pt idx="225">
                  <c:v>7.8016045572504584</c:v>
                </c:pt>
                <c:pt idx="226">
                  <c:v>7.808769846749037</c:v>
                </c:pt>
                <c:pt idx="227">
                  <c:v>7.8159145183680376</c:v>
                </c:pt>
                <c:pt idx="228">
                  <c:v>7.8230412880165341</c:v>
                </c:pt>
                <c:pt idx="229">
                  <c:v>7.8301528716035991</c:v>
                </c:pt>
                <c:pt idx="230">
                  <c:v>7.8372519850383053</c:v>
                </c:pt>
                <c:pt idx="231">
                  <c:v>7.8443413442297274</c:v>
                </c:pt>
                <c:pt idx="232">
                  <c:v>7.8514236650869353</c:v>
                </c:pt>
                <c:pt idx="233">
                  <c:v>7.8585016635190019</c:v>
                </c:pt>
                <c:pt idx="234">
                  <c:v>7.8655780554350034</c:v>
                </c:pt>
                <c:pt idx="235">
                  <c:v>7.8726555567440109</c:v>
                </c:pt>
                <c:pt idx="236">
                  <c:v>7.8797368833550969</c:v>
                </c:pt>
                <c:pt idx="237">
                  <c:v>7.8868247511773353</c:v>
                </c:pt>
                <c:pt idx="238">
                  <c:v>7.8939218761197987</c:v>
                </c:pt>
                <c:pt idx="239">
                  <c:v>7.901030974091559</c:v>
                </c:pt>
                <c:pt idx="240">
                  <c:v>7.9081547610016907</c:v>
                </c:pt>
                <c:pt idx="241">
                  <c:v>7.9152959527592666</c:v>
                </c:pt>
                <c:pt idx="242">
                  <c:v>7.9224572652733594</c:v>
                </c:pt>
                <c:pt idx="243">
                  <c:v>7.92964141445304</c:v>
                </c:pt>
                <c:pt idx="244">
                  <c:v>7.936851116207384</c:v>
                </c:pt>
                <c:pt idx="245">
                  <c:v>7.9440890864454632</c:v>
                </c:pt>
                <c:pt idx="246">
                  <c:v>7.9513580410763511</c:v>
                </c:pt>
                <c:pt idx="247">
                  <c:v>7.9586606960091197</c:v>
                </c:pt>
                <c:pt idx="248">
                  <c:v>7.9659997671528444</c:v>
                </c:pt>
                <c:pt idx="249">
                  <c:v>7.9733779704165944</c:v>
                </c:pt>
                <c:pt idx="250">
                  <c:v>7.9807980217094441</c:v>
                </c:pt>
                <c:pt idx="251">
                  <c:v>7.9882626369404681</c:v>
                </c:pt>
                <c:pt idx="252">
                  <c:v>7.9957745320187366</c:v>
                </c:pt>
                <c:pt idx="253">
                  <c:v>8.0033364228533266</c:v>
                </c:pt>
                <c:pt idx="254">
                  <c:v>8.0109510253533074</c:v>
                </c:pt>
                <c:pt idx="255">
                  <c:v>8.0186210554277526</c:v>
                </c:pt>
                <c:pt idx="256">
                  <c:v>8.026349228985735</c:v>
                </c:pt>
                <c:pt idx="257">
                  <c:v>8.0341382619363291</c:v>
                </c:pt>
                <c:pt idx="258">
                  <c:v>8.0419908701886058</c:v>
                </c:pt>
                <c:pt idx="259">
                  <c:v>8.0499097696516397</c:v>
                </c:pt>
                <c:pt idx="260">
                  <c:v>8.0578976762345018</c:v>
                </c:pt>
                <c:pt idx="261">
                  <c:v>8.0659573058462684</c:v>
                </c:pt>
                <c:pt idx="262">
                  <c:v>8.0740913743960085</c:v>
                </c:pt>
                <c:pt idx="263">
                  <c:v>8.0823025977927987</c:v>
                </c:pt>
                <c:pt idx="264">
                  <c:v>8.090593691945708</c:v>
                </c:pt>
                <c:pt idx="265">
                  <c:v>8.0989673727638127</c:v>
                </c:pt>
                <c:pt idx="266">
                  <c:v>8.1074263561561857</c:v>
                </c:pt>
                <c:pt idx="267">
                  <c:v>8.115973358031896</c:v>
                </c:pt>
                <c:pt idx="268">
                  <c:v>8.1246110943000218</c:v>
                </c:pt>
                <c:pt idx="269">
                  <c:v>8.1333422808696323</c:v>
                </c:pt>
                <c:pt idx="270">
                  <c:v>8.142169633649802</c:v>
                </c:pt>
                <c:pt idx="271">
                  <c:v>8.1510958685496036</c:v>
                </c:pt>
                <c:pt idx="272">
                  <c:v>8.1601237014781081</c:v>
                </c:pt>
                <c:pt idx="273">
                  <c:v>8.1692558483443918</c:v>
                </c:pt>
                <c:pt idx="274">
                  <c:v>8.1784950250575257</c:v>
                </c:pt>
                <c:pt idx="275">
                  <c:v>8.1878439475265843</c:v>
                </c:pt>
                <c:pt idx="276">
                  <c:v>8.1973053316606368</c:v>
                </c:pt>
                <c:pt idx="277">
                  <c:v>8.2068818933687613</c:v>
                </c:pt>
                <c:pt idx="278">
                  <c:v>8.2165763485600269</c:v>
                </c:pt>
                <c:pt idx="279">
                  <c:v>8.2263914131435083</c:v>
                </c:pt>
                <c:pt idx="280">
                  <c:v>8.2363298030282763</c:v>
                </c:pt>
                <c:pt idx="281">
                  <c:v>8.2463942341234073</c:v>
                </c:pt>
                <c:pt idx="282">
                  <c:v>8.2565874223379723</c:v>
                </c:pt>
                <c:pt idx="283">
                  <c:v>8.2669120835810439</c:v>
                </c:pt>
                <c:pt idx="284">
                  <c:v>8.277370933761695</c:v>
                </c:pt>
                <c:pt idx="285">
                  <c:v>8.287966688789</c:v>
                </c:pt>
                <c:pt idx="286">
                  <c:v>8.29870206457203</c:v>
                </c:pt>
                <c:pt idx="287">
                  <c:v>8.3095797770198594</c:v>
                </c:pt>
                <c:pt idx="288">
                  <c:v>8.3206025420415592</c:v>
                </c:pt>
                <c:pt idx="289">
                  <c:v>8.3317730755462041</c:v>
                </c:pt>
                <c:pt idx="290">
                  <c:v>8.3430940934428666</c:v>
                </c:pt>
                <c:pt idx="291">
                  <c:v>8.3545683116406195</c:v>
                </c:pt>
                <c:pt idx="292">
                  <c:v>8.3661984460485375</c:v>
                </c:pt>
                <c:pt idx="293">
                  <c:v>8.3779872125756896</c:v>
                </c:pt>
                <c:pt idx="294">
                  <c:v>8.3899373271311521</c:v>
                </c:pt>
                <c:pt idx="295">
                  <c:v>8.4020515056239962</c:v>
                </c:pt>
                <c:pt idx="296">
                  <c:v>8.4143324639632961</c:v>
                </c:pt>
                <c:pt idx="297">
                  <c:v>8.4267829180581248</c:v>
                </c:pt>
                <c:pt idx="298">
                  <c:v>8.4394055838175532</c:v>
                </c:pt>
                <c:pt idx="299">
                  <c:v>8.4522031726752598</c:v>
                </c:pt>
                <c:pt idx="300">
                  <c:v>8.4651769805771604</c:v>
                </c:pt>
                <c:pt idx="301">
                  <c:v>8.4783248778278875</c:v>
                </c:pt>
                <c:pt idx="302">
                  <c:v>8.4916442267100312</c:v>
                </c:pt>
                <c:pt idx="303">
                  <c:v>8.5051323895061905</c:v>
                </c:pt>
                <c:pt idx="304">
                  <c:v>8.518786728498954</c:v>
                </c:pt>
                <c:pt idx="305">
                  <c:v>8.5326046059709189</c:v>
                </c:pt>
                <c:pt idx="306">
                  <c:v>8.5465833842046752</c:v>
                </c:pt>
                <c:pt idx="307">
                  <c:v>8.5607204254828186</c:v>
                </c:pt>
                <c:pt idx="308">
                  <c:v>8.5750130920879446</c:v>
                </c:pt>
                <c:pt idx="309">
                  <c:v>8.5894587463026415</c:v>
                </c:pt>
                <c:pt idx="310">
                  <c:v>8.6040547504095084</c:v>
                </c:pt>
                <c:pt idx="311">
                  <c:v>8.6187984666911355</c:v>
                </c:pt>
                <c:pt idx="312">
                  <c:v>8.6336872574301164</c:v>
                </c:pt>
                <c:pt idx="313">
                  <c:v>8.6487184849090468</c:v>
                </c:pt>
                <c:pt idx="314">
                  <c:v>8.6638895114105186</c:v>
                </c:pt>
                <c:pt idx="315">
                  <c:v>8.6791976992171254</c:v>
                </c:pt>
                <c:pt idx="316">
                  <c:v>8.694640410611461</c:v>
                </c:pt>
                <c:pt idx="317">
                  <c:v>8.7102150078761191</c:v>
                </c:pt>
                <c:pt idx="318">
                  <c:v>8.7259188532936918</c:v>
                </c:pt>
                <c:pt idx="319">
                  <c:v>8.7417493091467762</c:v>
                </c:pt>
                <c:pt idx="320">
                  <c:v>8.7577037377179625</c:v>
                </c:pt>
                <c:pt idx="321">
                  <c:v>8.7737795012898445</c:v>
                </c:pt>
                <c:pt idx="322">
                  <c:v>8.7899739621450177</c:v>
                </c:pt>
                <c:pt idx="323">
                  <c:v>8.8062844825660758</c:v>
                </c:pt>
                <c:pt idx="324">
                  <c:v>8.8227084248356089</c:v>
                </c:pt>
                <c:pt idx="325">
                  <c:v>8.8392431512362144</c:v>
                </c:pt>
                <c:pt idx="326">
                  <c:v>8.8558860240504824</c:v>
                </c:pt>
                <c:pt idx="327">
                  <c:v>8.8726344055610102</c:v>
                </c:pt>
                <c:pt idx="328">
                  <c:v>8.889485658050388</c:v>
                </c:pt>
                <c:pt idx="329">
                  <c:v>8.9064371438012113</c:v>
                </c:pt>
                <c:pt idx="330">
                  <c:v>8.9234862250960738</c:v>
                </c:pt>
                <c:pt idx="331">
                  <c:v>8.9406302642175692</c:v>
                </c:pt>
                <c:pt idx="332">
                  <c:v>8.9578666234482878</c:v>
                </c:pt>
                <c:pt idx="333">
                  <c:v>8.9751926650708267</c:v>
                </c:pt>
                <c:pt idx="334">
                  <c:v>8.9926057513677797</c:v>
                </c:pt>
                <c:pt idx="335">
                  <c:v>9.0101032446217371</c:v>
                </c:pt>
                <c:pt idx="336">
                  <c:v>9.027682507115296</c:v>
                </c:pt>
                <c:pt idx="337">
                  <c:v>9.0453409011310466</c:v>
                </c:pt>
                <c:pt idx="338">
                  <c:v>9.0630757889515863</c:v>
                </c:pt>
                <c:pt idx="339">
                  <c:v>9.0808845328595051</c:v>
                </c:pt>
                <c:pt idx="340">
                  <c:v>9.0987644951373987</c:v>
                </c:pt>
                <c:pt idx="341">
                  <c:v>9.1167130380678572</c:v>
                </c:pt>
                <c:pt idx="342">
                  <c:v>9.1347275239334795</c:v>
                </c:pt>
                <c:pt idx="343">
                  <c:v>9.152805315016856</c:v>
                </c:pt>
                <c:pt idx="344">
                  <c:v>9.1709437736005821</c:v>
                </c:pt>
                <c:pt idx="345">
                  <c:v>9.189140261967248</c:v>
                </c:pt>
                <c:pt idx="346">
                  <c:v>9.2073921423994491</c:v>
                </c:pt>
                <c:pt idx="347">
                  <c:v>9.2256967771797811</c:v>
                </c:pt>
                <c:pt idx="348">
                  <c:v>9.244051528590834</c:v>
                </c:pt>
                <c:pt idx="349">
                  <c:v>9.2624537589152052</c:v>
                </c:pt>
                <c:pt idx="350">
                  <c:v>9.2809008304354847</c:v>
                </c:pt>
                <c:pt idx="351">
                  <c:v>9.2993901054342665</c:v>
                </c:pt>
                <c:pt idx="352">
                  <c:v>9.3179189461941458</c:v>
                </c:pt>
                <c:pt idx="353">
                  <c:v>9.3364847149977148</c:v>
                </c:pt>
                <c:pt idx="354">
                  <c:v>9.3550847741275671</c:v>
                </c:pt>
                <c:pt idx="355">
                  <c:v>9.3737164858662982</c:v>
                </c:pt>
                <c:pt idx="356">
                  <c:v>9.3923772124965001</c:v>
                </c:pt>
                <c:pt idx="357">
                  <c:v>9.4110643163007666</c:v>
                </c:pt>
                <c:pt idx="358">
                  <c:v>9.4297751595616912</c:v>
                </c:pt>
                <c:pt idx="359">
                  <c:v>9.448507104561866</c:v>
                </c:pt>
                <c:pt idx="360">
                  <c:v>9.4672575135838866</c:v>
                </c:pt>
                <c:pt idx="361">
                  <c:v>9.4860237489103465</c:v>
                </c:pt>
                <c:pt idx="362">
                  <c:v>9.5048031728238378</c:v>
                </c:pt>
                <c:pt idx="363">
                  <c:v>9.523593147606956</c:v>
                </c:pt>
                <c:pt idx="364">
                  <c:v>9.5423910355422912</c:v>
                </c:pt>
                <c:pt idx="365">
                  <c:v>9.5611941989124425</c:v>
                </c:pt>
                <c:pt idx="366">
                  <c:v>9.5799999999999983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1-4FD0-89BF-5232DD562CC4}"/>
            </c:ext>
          </c:extLst>
        </c:ser>
        <c:ser>
          <c:idx val="2"/>
          <c:order val="2"/>
          <c:tx>
            <c:strRef>
              <c:f>'Model tilvækst, slagteform, fe'!$P$8</c:f>
              <c:strCache>
                <c:ptCount val="1"/>
                <c:pt idx="0">
                  <c:v>kryds_kvie_fe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fe'!$M$9:$M$375</c:f>
              <c:numCache>
                <c:formatCode>#,##0.0</c:formatCode>
                <c:ptCount val="367"/>
                <c:pt idx="0">
                  <c:v>50.481116096890617</c:v>
                </c:pt>
                <c:pt idx="1">
                  <c:v>51.633848151960933</c:v>
                </c:pt>
                <c:pt idx="2">
                  <c:v>52.78658020703125</c:v>
                </c:pt>
                <c:pt idx="3">
                  <c:v>53.939312262101559</c:v>
                </c:pt>
                <c:pt idx="4">
                  <c:v>55.092044317171883</c:v>
                </c:pt>
                <c:pt idx="5">
                  <c:v>56.244776372242193</c:v>
                </c:pt>
                <c:pt idx="6">
                  <c:v>57.397508427312502</c:v>
                </c:pt>
                <c:pt idx="7">
                  <c:v>58.550240482382812</c:v>
                </c:pt>
                <c:pt idx="8">
                  <c:v>59.702972537453121</c:v>
                </c:pt>
                <c:pt idx="9">
                  <c:v>60.855704592523438</c:v>
                </c:pt>
                <c:pt idx="10">
                  <c:v>62.008436647593747</c:v>
                </c:pt>
                <c:pt idx="11">
                  <c:v>63.161168702664057</c:v>
                </c:pt>
                <c:pt idx="12">
                  <c:v>64.313900757734373</c:v>
                </c:pt>
                <c:pt idx="13">
                  <c:v>65.46663281280469</c:v>
                </c:pt>
                <c:pt idx="14">
                  <c:v>66.619364867874992</c:v>
                </c:pt>
                <c:pt idx="15">
                  <c:v>67.772096922945309</c:v>
                </c:pt>
                <c:pt idx="16">
                  <c:v>68.924828978015626</c:v>
                </c:pt>
                <c:pt idx="17">
                  <c:v>70.077561033085942</c:v>
                </c:pt>
                <c:pt idx="18">
                  <c:v>71.230293088156259</c:v>
                </c:pt>
                <c:pt idx="19">
                  <c:v>72.383025143226561</c:v>
                </c:pt>
                <c:pt idx="20">
                  <c:v>73.535757198296878</c:v>
                </c:pt>
                <c:pt idx="21">
                  <c:v>74.68848925336718</c:v>
                </c:pt>
                <c:pt idx="22">
                  <c:v>75.841221308437497</c:v>
                </c:pt>
                <c:pt idx="23">
                  <c:v>76.993953363507813</c:v>
                </c:pt>
                <c:pt idx="24">
                  <c:v>78.14668541857813</c:v>
                </c:pt>
                <c:pt idx="25">
                  <c:v>79.299417473648447</c:v>
                </c:pt>
                <c:pt idx="26">
                  <c:v>80.452149528718749</c:v>
                </c:pt>
                <c:pt idx="27">
                  <c:v>81.604881583789066</c:v>
                </c:pt>
                <c:pt idx="28">
                  <c:v>82.757613638859368</c:v>
                </c:pt>
                <c:pt idx="29">
                  <c:v>83.910345693929685</c:v>
                </c:pt>
                <c:pt idx="30">
                  <c:v>85.063077749000001</c:v>
                </c:pt>
                <c:pt idx="31">
                  <c:v>86.215809804070318</c:v>
                </c:pt>
                <c:pt idx="32">
                  <c:v>87.368541859140635</c:v>
                </c:pt>
                <c:pt idx="33">
                  <c:v>88.521273914210937</c:v>
                </c:pt>
                <c:pt idx="34">
                  <c:v>89.674005969281254</c:v>
                </c:pt>
                <c:pt idx="35">
                  <c:v>90.826738024351556</c:v>
                </c:pt>
                <c:pt idx="36">
                  <c:v>91.979470079421873</c:v>
                </c:pt>
                <c:pt idx="37">
                  <c:v>93.132202134492189</c:v>
                </c:pt>
                <c:pt idx="38">
                  <c:v>94.284934189562506</c:v>
                </c:pt>
                <c:pt idx="39">
                  <c:v>95.437666244632823</c:v>
                </c:pt>
                <c:pt idx="40">
                  <c:v>96.590398299703139</c:v>
                </c:pt>
                <c:pt idx="41">
                  <c:v>97.743130354773442</c:v>
                </c:pt>
                <c:pt idx="42">
                  <c:v>98.895862409843744</c:v>
                </c:pt>
                <c:pt idx="43">
                  <c:v>100.0485944649141</c:v>
                </c:pt>
                <c:pt idx="44">
                  <c:v>101.20132651998441</c:v>
                </c:pt>
                <c:pt idx="45">
                  <c:v>102.35405857505469</c:v>
                </c:pt>
                <c:pt idx="46">
                  <c:v>103.506790630125</c:v>
                </c:pt>
                <c:pt idx="47">
                  <c:v>104.6595226851953</c:v>
                </c:pt>
                <c:pt idx="48">
                  <c:v>105.8122547402656</c:v>
                </c:pt>
                <c:pt idx="49">
                  <c:v>106.9649867953359</c:v>
                </c:pt>
                <c:pt idx="50">
                  <c:v>108.11771885040631</c:v>
                </c:pt>
                <c:pt idx="51">
                  <c:v>109.27045090547659</c:v>
                </c:pt>
                <c:pt idx="52">
                  <c:v>110.4231829605469</c:v>
                </c:pt>
                <c:pt idx="53">
                  <c:v>111.5759150156172</c:v>
                </c:pt>
                <c:pt idx="54">
                  <c:v>112.7286470706875</c:v>
                </c:pt>
                <c:pt idx="55">
                  <c:v>113.8813791257578</c:v>
                </c:pt>
                <c:pt idx="56">
                  <c:v>115.03411118082811</c:v>
                </c:pt>
                <c:pt idx="57">
                  <c:v>116.18684323589839</c:v>
                </c:pt>
                <c:pt idx="58">
                  <c:v>117.3395752909688</c:v>
                </c:pt>
                <c:pt idx="59">
                  <c:v>118.4923073460391</c:v>
                </c:pt>
                <c:pt idx="60">
                  <c:v>119.6450394011094</c:v>
                </c:pt>
                <c:pt idx="61">
                  <c:v>120.7977714561797</c:v>
                </c:pt>
                <c:pt idx="62">
                  <c:v>121.95050351125001</c:v>
                </c:pt>
                <c:pt idx="63">
                  <c:v>123.10323556632029</c:v>
                </c:pt>
                <c:pt idx="64">
                  <c:v>124.2559676213906</c:v>
                </c:pt>
                <c:pt idx="65">
                  <c:v>125.4086996764609</c:v>
                </c:pt>
                <c:pt idx="66">
                  <c:v>126.5614317315313</c:v>
                </c:pt>
                <c:pt idx="67">
                  <c:v>127.7141637866016</c:v>
                </c:pt>
                <c:pt idx="68">
                  <c:v>128.86689584167189</c:v>
                </c:pt>
                <c:pt idx="69">
                  <c:v>130.01962789674221</c:v>
                </c:pt>
                <c:pt idx="70">
                  <c:v>131.1723599518125</c:v>
                </c:pt>
                <c:pt idx="71">
                  <c:v>132.32509200688281</c:v>
                </c:pt>
                <c:pt idx="72">
                  <c:v>133.4778240619531</c:v>
                </c:pt>
                <c:pt idx="73">
                  <c:v>134.6305561170235</c:v>
                </c:pt>
                <c:pt idx="74">
                  <c:v>135.78328817209379</c:v>
                </c:pt>
                <c:pt idx="75">
                  <c:v>136.93602022716411</c:v>
                </c:pt>
                <c:pt idx="76">
                  <c:v>138.0887522822344</c:v>
                </c:pt>
                <c:pt idx="77">
                  <c:v>139.24148433730471</c:v>
                </c:pt>
                <c:pt idx="78">
                  <c:v>140.394216392375</c:v>
                </c:pt>
                <c:pt idx="79">
                  <c:v>141.54694844744529</c:v>
                </c:pt>
                <c:pt idx="80">
                  <c:v>142.6996805025156</c:v>
                </c:pt>
                <c:pt idx="81">
                  <c:v>143.85241255758601</c:v>
                </c:pt>
                <c:pt idx="82">
                  <c:v>145.0051446126563</c:v>
                </c:pt>
                <c:pt idx="83">
                  <c:v>146.15787666772661</c:v>
                </c:pt>
                <c:pt idx="84">
                  <c:v>147.3106087227969</c:v>
                </c:pt>
                <c:pt idx="85">
                  <c:v>148.46334077786719</c:v>
                </c:pt>
                <c:pt idx="86">
                  <c:v>149.6160728329375</c:v>
                </c:pt>
                <c:pt idx="87">
                  <c:v>150.76880488800779</c:v>
                </c:pt>
                <c:pt idx="88">
                  <c:v>151.92153694307811</c:v>
                </c:pt>
                <c:pt idx="89">
                  <c:v>153.07426899814851</c:v>
                </c:pt>
                <c:pt idx="90">
                  <c:v>154.2270010532188</c:v>
                </c:pt>
                <c:pt idx="91">
                  <c:v>155.37973310828909</c:v>
                </c:pt>
                <c:pt idx="92">
                  <c:v>156.5324651633594</c:v>
                </c:pt>
                <c:pt idx="93">
                  <c:v>157.68519721842969</c:v>
                </c:pt>
                <c:pt idx="94">
                  <c:v>158.83792927350001</c:v>
                </c:pt>
                <c:pt idx="95">
                  <c:v>159.9906613285703</c:v>
                </c:pt>
                <c:pt idx="96">
                  <c:v>161.14339338364061</c:v>
                </c:pt>
                <c:pt idx="97">
                  <c:v>162.29612543871099</c:v>
                </c:pt>
                <c:pt idx="98">
                  <c:v>163.4488574937813</c:v>
                </c:pt>
                <c:pt idx="99">
                  <c:v>164.60158954885159</c:v>
                </c:pt>
                <c:pt idx="100">
                  <c:v>165.75432160392191</c:v>
                </c:pt>
                <c:pt idx="101">
                  <c:v>166.9070536589922</c:v>
                </c:pt>
                <c:pt idx="102">
                  <c:v>168.05978571406251</c:v>
                </c:pt>
                <c:pt idx="103">
                  <c:v>169.2125177691328</c:v>
                </c:pt>
                <c:pt idx="104">
                  <c:v>170.3652498242032</c:v>
                </c:pt>
                <c:pt idx="105">
                  <c:v>171.51798187927341</c:v>
                </c:pt>
                <c:pt idx="106">
                  <c:v>172.67071393434381</c:v>
                </c:pt>
                <c:pt idx="107">
                  <c:v>173.8234459894141</c:v>
                </c:pt>
                <c:pt idx="108">
                  <c:v>174.97617804448441</c:v>
                </c:pt>
                <c:pt idx="109">
                  <c:v>176.1289100995547</c:v>
                </c:pt>
                <c:pt idx="110">
                  <c:v>177.28164215462499</c:v>
                </c:pt>
                <c:pt idx="111">
                  <c:v>178.43437420969531</c:v>
                </c:pt>
                <c:pt idx="112">
                  <c:v>179.58710626476559</c:v>
                </c:pt>
                <c:pt idx="113">
                  <c:v>180.73983831983591</c:v>
                </c:pt>
                <c:pt idx="114">
                  <c:v>181.89257037490631</c:v>
                </c:pt>
                <c:pt idx="115">
                  <c:v>183.0453024299766</c:v>
                </c:pt>
                <c:pt idx="116">
                  <c:v>184.19803448504689</c:v>
                </c:pt>
                <c:pt idx="117">
                  <c:v>185.35076654011721</c:v>
                </c:pt>
                <c:pt idx="118">
                  <c:v>186.50349859518749</c:v>
                </c:pt>
                <c:pt idx="119">
                  <c:v>187.65623065025781</c:v>
                </c:pt>
                <c:pt idx="120">
                  <c:v>188.8089627053281</c:v>
                </c:pt>
                <c:pt idx="121">
                  <c:v>189.96169476039839</c:v>
                </c:pt>
                <c:pt idx="122">
                  <c:v>191.11442681546879</c:v>
                </c:pt>
                <c:pt idx="123">
                  <c:v>192.26715887053911</c:v>
                </c:pt>
                <c:pt idx="124">
                  <c:v>193.41989092560939</c:v>
                </c:pt>
                <c:pt idx="125">
                  <c:v>194.57262298067971</c:v>
                </c:pt>
                <c:pt idx="126">
                  <c:v>195.72535503575</c:v>
                </c:pt>
                <c:pt idx="127">
                  <c:v>196.87808709082029</c:v>
                </c:pt>
                <c:pt idx="128">
                  <c:v>198.0308191458906</c:v>
                </c:pt>
                <c:pt idx="129">
                  <c:v>199.18355120096101</c:v>
                </c:pt>
                <c:pt idx="130">
                  <c:v>200.33628325603129</c:v>
                </c:pt>
                <c:pt idx="131">
                  <c:v>201.48901531110161</c:v>
                </c:pt>
                <c:pt idx="132">
                  <c:v>202.6417473661719</c:v>
                </c:pt>
                <c:pt idx="133">
                  <c:v>203.79447942124219</c:v>
                </c:pt>
                <c:pt idx="134">
                  <c:v>204.9472114763125</c:v>
                </c:pt>
                <c:pt idx="135">
                  <c:v>206.09994353138279</c:v>
                </c:pt>
                <c:pt idx="136">
                  <c:v>207.25267558645311</c:v>
                </c:pt>
                <c:pt idx="137">
                  <c:v>208.40540764152351</c:v>
                </c:pt>
                <c:pt idx="138">
                  <c:v>209.5581396965938</c:v>
                </c:pt>
                <c:pt idx="139">
                  <c:v>210.71087175166409</c:v>
                </c:pt>
                <c:pt idx="140">
                  <c:v>211.8636038067344</c:v>
                </c:pt>
                <c:pt idx="141">
                  <c:v>213.01633586180469</c:v>
                </c:pt>
                <c:pt idx="142">
                  <c:v>214.16906791687501</c:v>
                </c:pt>
                <c:pt idx="143">
                  <c:v>215.3217999719453</c:v>
                </c:pt>
                <c:pt idx="144">
                  <c:v>216.47453202701561</c:v>
                </c:pt>
                <c:pt idx="145">
                  <c:v>217.62726408208599</c:v>
                </c:pt>
                <c:pt idx="146">
                  <c:v>218.7799961371563</c:v>
                </c:pt>
                <c:pt idx="147">
                  <c:v>219.93272819222659</c:v>
                </c:pt>
                <c:pt idx="148">
                  <c:v>221.08546024729691</c:v>
                </c:pt>
                <c:pt idx="149">
                  <c:v>222.2381923023672</c:v>
                </c:pt>
                <c:pt idx="150">
                  <c:v>223.39092435743751</c:v>
                </c:pt>
                <c:pt idx="151">
                  <c:v>224.5436564125078</c:v>
                </c:pt>
                <c:pt idx="152">
                  <c:v>225.6963884675782</c:v>
                </c:pt>
                <c:pt idx="153">
                  <c:v>226.84912052264841</c:v>
                </c:pt>
                <c:pt idx="154">
                  <c:v>228.00185257771881</c:v>
                </c:pt>
                <c:pt idx="155">
                  <c:v>229.1545846327891</c:v>
                </c:pt>
                <c:pt idx="156">
                  <c:v>230.30731668785941</c:v>
                </c:pt>
                <c:pt idx="157">
                  <c:v>231.4600487429297</c:v>
                </c:pt>
                <c:pt idx="158">
                  <c:v>232.61278079799999</c:v>
                </c:pt>
                <c:pt idx="159">
                  <c:v>233.76551285307031</c:v>
                </c:pt>
                <c:pt idx="160">
                  <c:v>234.91824490814071</c:v>
                </c:pt>
                <c:pt idx="161">
                  <c:v>236.07097696321091</c:v>
                </c:pt>
                <c:pt idx="162">
                  <c:v>237.22370901828131</c:v>
                </c:pt>
                <c:pt idx="163">
                  <c:v>238.3764410733516</c:v>
                </c:pt>
                <c:pt idx="164">
                  <c:v>239.52917312842189</c:v>
                </c:pt>
                <c:pt idx="165">
                  <c:v>240.6819051834922</c:v>
                </c:pt>
                <c:pt idx="166">
                  <c:v>241.83463723856249</c:v>
                </c:pt>
                <c:pt idx="167">
                  <c:v>242.98736929363281</c:v>
                </c:pt>
                <c:pt idx="168">
                  <c:v>244.1401013487031</c:v>
                </c:pt>
                <c:pt idx="169">
                  <c:v>245.29283340377339</c:v>
                </c:pt>
                <c:pt idx="170">
                  <c:v>246.44556545884379</c:v>
                </c:pt>
                <c:pt idx="171">
                  <c:v>247.5982975139141</c:v>
                </c:pt>
                <c:pt idx="172">
                  <c:v>248.75102956898439</c:v>
                </c:pt>
                <c:pt idx="173">
                  <c:v>249.90376162405471</c:v>
                </c:pt>
                <c:pt idx="174">
                  <c:v>251.056493679125</c:v>
                </c:pt>
                <c:pt idx="175">
                  <c:v>252.20922573419529</c:v>
                </c:pt>
                <c:pt idx="176">
                  <c:v>253.3619577892656</c:v>
                </c:pt>
                <c:pt idx="177">
                  <c:v>254.514689844336</c:v>
                </c:pt>
                <c:pt idx="178">
                  <c:v>255.66742189940629</c:v>
                </c:pt>
                <c:pt idx="179">
                  <c:v>256.82015395447661</c:v>
                </c:pt>
                <c:pt idx="180">
                  <c:v>257.97288600954693</c:v>
                </c:pt>
                <c:pt idx="181">
                  <c:v>259.12561806461719</c:v>
                </c:pt>
                <c:pt idx="182">
                  <c:v>260.2783501196875</c:v>
                </c:pt>
                <c:pt idx="183">
                  <c:v>261.43108217475782</c:v>
                </c:pt>
                <c:pt idx="184">
                  <c:v>262.58381422982808</c:v>
                </c:pt>
                <c:pt idx="185">
                  <c:v>263.73654628489851</c:v>
                </c:pt>
                <c:pt idx="186">
                  <c:v>264.88927833996883</c:v>
                </c:pt>
                <c:pt idx="187">
                  <c:v>266.04201039503909</c:v>
                </c:pt>
                <c:pt idx="188">
                  <c:v>267.1947424501094</c:v>
                </c:pt>
                <c:pt idx="189">
                  <c:v>268.34747450517972</c:v>
                </c:pt>
                <c:pt idx="190">
                  <c:v>269.50020656024998</c:v>
                </c:pt>
                <c:pt idx="191">
                  <c:v>270.65293861532041</c:v>
                </c:pt>
                <c:pt idx="192">
                  <c:v>271.80567067039073</c:v>
                </c:pt>
                <c:pt idx="193">
                  <c:v>272.95840272546099</c:v>
                </c:pt>
                <c:pt idx="194">
                  <c:v>274.1111347805313</c:v>
                </c:pt>
                <c:pt idx="195">
                  <c:v>275.26386683560162</c:v>
                </c:pt>
                <c:pt idx="196">
                  <c:v>276.41659889067188</c:v>
                </c:pt>
                <c:pt idx="197">
                  <c:v>277.56933094574219</c:v>
                </c:pt>
                <c:pt idx="198">
                  <c:v>278.72206300081251</c:v>
                </c:pt>
                <c:pt idx="199">
                  <c:v>279.87479505588283</c:v>
                </c:pt>
                <c:pt idx="200">
                  <c:v>281.02752711095309</c:v>
                </c:pt>
                <c:pt idx="201">
                  <c:v>282.18025916602352</c:v>
                </c:pt>
                <c:pt idx="202">
                  <c:v>283.33299122109378</c:v>
                </c:pt>
                <c:pt idx="203">
                  <c:v>284.48572327616409</c:v>
                </c:pt>
                <c:pt idx="204">
                  <c:v>285.63845533123441</c:v>
                </c:pt>
                <c:pt idx="205">
                  <c:v>286.79118738630473</c:v>
                </c:pt>
                <c:pt idx="206">
                  <c:v>287.94391944137499</c:v>
                </c:pt>
                <c:pt idx="207">
                  <c:v>289.09665149644542</c:v>
                </c:pt>
                <c:pt idx="208">
                  <c:v>290.24938355151568</c:v>
                </c:pt>
                <c:pt idx="209">
                  <c:v>291.40211560658599</c:v>
                </c:pt>
                <c:pt idx="210">
                  <c:v>292.55484766165631</c:v>
                </c:pt>
                <c:pt idx="211">
                  <c:v>293.70757971672663</c:v>
                </c:pt>
                <c:pt idx="212">
                  <c:v>294.86031177179689</c:v>
                </c:pt>
                <c:pt idx="213">
                  <c:v>296.0130438268672</c:v>
                </c:pt>
                <c:pt idx="214">
                  <c:v>297.16577588193752</c:v>
                </c:pt>
                <c:pt idx="215">
                  <c:v>298.31850793700778</c:v>
                </c:pt>
                <c:pt idx="216">
                  <c:v>299.47123999207821</c:v>
                </c:pt>
                <c:pt idx="217">
                  <c:v>300.62397204714853</c:v>
                </c:pt>
                <c:pt idx="218">
                  <c:v>301.77670410221879</c:v>
                </c:pt>
                <c:pt idx="219">
                  <c:v>302.9294361572891</c:v>
                </c:pt>
                <c:pt idx="220">
                  <c:v>304.08216821235942</c:v>
                </c:pt>
                <c:pt idx="221">
                  <c:v>305.23490026742968</c:v>
                </c:pt>
                <c:pt idx="222">
                  <c:v>306.38763232250011</c:v>
                </c:pt>
                <c:pt idx="223">
                  <c:v>307.54036437757031</c:v>
                </c:pt>
                <c:pt idx="224">
                  <c:v>308.69309643264057</c:v>
                </c:pt>
                <c:pt idx="225">
                  <c:v>309.845828487711</c:v>
                </c:pt>
                <c:pt idx="226">
                  <c:v>310.99856054278132</c:v>
                </c:pt>
                <c:pt idx="227">
                  <c:v>312.15129259785158</c:v>
                </c:pt>
                <c:pt idx="228">
                  <c:v>313.3040246529219</c:v>
                </c:pt>
                <c:pt idx="229">
                  <c:v>314.45675670799221</c:v>
                </c:pt>
                <c:pt idx="230">
                  <c:v>315.60948876306247</c:v>
                </c:pt>
                <c:pt idx="231">
                  <c:v>316.7622208181329</c:v>
                </c:pt>
                <c:pt idx="232">
                  <c:v>317.91495287320322</c:v>
                </c:pt>
                <c:pt idx="233">
                  <c:v>319.06768492827348</c:v>
                </c:pt>
                <c:pt idx="234">
                  <c:v>320.2204169833438</c:v>
                </c:pt>
                <c:pt idx="235">
                  <c:v>321.37314903841411</c:v>
                </c:pt>
                <c:pt idx="236">
                  <c:v>322.52588109348437</c:v>
                </c:pt>
                <c:pt idx="237">
                  <c:v>323.67861314855469</c:v>
                </c:pt>
                <c:pt idx="238">
                  <c:v>324.83134520362501</c:v>
                </c:pt>
                <c:pt idx="239">
                  <c:v>325.98407725869532</c:v>
                </c:pt>
                <c:pt idx="240">
                  <c:v>327.13680931376558</c:v>
                </c:pt>
                <c:pt idx="241">
                  <c:v>328.28954136883601</c:v>
                </c:pt>
                <c:pt idx="242">
                  <c:v>329.44227342390627</c:v>
                </c:pt>
                <c:pt idx="243">
                  <c:v>330.59500547897659</c:v>
                </c:pt>
                <c:pt idx="244">
                  <c:v>331.74773753404691</c:v>
                </c:pt>
                <c:pt idx="245">
                  <c:v>332.90046958911722</c:v>
                </c:pt>
                <c:pt idx="246">
                  <c:v>334.05320164418748</c:v>
                </c:pt>
                <c:pt idx="247">
                  <c:v>335.20593369925791</c:v>
                </c:pt>
                <c:pt idx="248">
                  <c:v>336.35866575432817</c:v>
                </c:pt>
                <c:pt idx="249">
                  <c:v>337.51139780939837</c:v>
                </c:pt>
                <c:pt idx="250">
                  <c:v>338.6641298644688</c:v>
                </c:pt>
                <c:pt idx="251">
                  <c:v>339.81686191953912</c:v>
                </c:pt>
                <c:pt idx="252">
                  <c:v>340.96959397460938</c:v>
                </c:pt>
                <c:pt idx="253">
                  <c:v>342.1223260296797</c:v>
                </c:pt>
                <c:pt idx="254">
                  <c:v>343.27505808475001</c:v>
                </c:pt>
                <c:pt idx="255">
                  <c:v>344.42779013982027</c:v>
                </c:pt>
                <c:pt idx="256">
                  <c:v>345.5805221948907</c:v>
                </c:pt>
                <c:pt idx="257">
                  <c:v>346.73325424996102</c:v>
                </c:pt>
                <c:pt idx="258">
                  <c:v>347.88598630503128</c:v>
                </c:pt>
                <c:pt idx="259">
                  <c:v>349.0387183601016</c:v>
                </c:pt>
                <c:pt idx="260">
                  <c:v>350.19145041517191</c:v>
                </c:pt>
                <c:pt idx="261">
                  <c:v>351.34418247024217</c:v>
                </c:pt>
                <c:pt idx="262">
                  <c:v>352.4969145253126</c:v>
                </c:pt>
                <c:pt idx="263">
                  <c:v>353.64964658038292</c:v>
                </c:pt>
                <c:pt idx="264">
                  <c:v>354.80237863545312</c:v>
                </c:pt>
                <c:pt idx="265">
                  <c:v>355.95511069052338</c:v>
                </c:pt>
                <c:pt idx="266">
                  <c:v>357.10784274559381</c:v>
                </c:pt>
                <c:pt idx="267">
                  <c:v>358.26057480066407</c:v>
                </c:pt>
                <c:pt idx="268">
                  <c:v>359.41330685573439</c:v>
                </c:pt>
                <c:pt idx="269">
                  <c:v>360.56603891080471</c:v>
                </c:pt>
                <c:pt idx="270">
                  <c:v>361.71877096587502</c:v>
                </c:pt>
                <c:pt idx="271">
                  <c:v>362.87150302094528</c:v>
                </c:pt>
                <c:pt idx="272">
                  <c:v>364.02423507601571</c:v>
                </c:pt>
                <c:pt idx="273">
                  <c:v>365.17696713108597</c:v>
                </c:pt>
                <c:pt idx="274">
                  <c:v>366.32969918615629</c:v>
                </c:pt>
                <c:pt idx="275">
                  <c:v>367.48243124122661</c:v>
                </c:pt>
                <c:pt idx="276">
                  <c:v>368.63516329629692</c:v>
                </c:pt>
                <c:pt idx="277">
                  <c:v>369.78789535136718</c:v>
                </c:pt>
                <c:pt idx="278">
                  <c:v>370.9406274064375</c:v>
                </c:pt>
                <c:pt idx="279">
                  <c:v>372.09335946150782</c:v>
                </c:pt>
                <c:pt idx="280">
                  <c:v>373.24609151657808</c:v>
                </c:pt>
                <c:pt idx="281">
                  <c:v>374.39882357164851</c:v>
                </c:pt>
                <c:pt idx="282">
                  <c:v>375.55155562671882</c:v>
                </c:pt>
                <c:pt idx="283">
                  <c:v>376.70428768178908</c:v>
                </c:pt>
                <c:pt idx="284">
                  <c:v>377.8570197368594</c:v>
                </c:pt>
                <c:pt idx="285">
                  <c:v>379.00975179192972</c:v>
                </c:pt>
                <c:pt idx="286">
                  <c:v>380.16248384699998</c:v>
                </c:pt>
                <c:pt idx="287">
                  <c:v>381.31521590207041</c:v>
                </c:pt>
                <c:pt idx="288">
                  <c:v>382.46794795714072</c:v>
                </c:pt>
                <c:pt idx="289">
                  <c:v>383.62068001221098</c:v>
                </c:pt>
                <c:pt idx="290">
                  <c:v>384.7734120672813</c:v>
                </c:pt>
                <c:pt idx="291">
                  <c:v>385.92614412235162</c:v>
                </c:pt>
                <c:pt idx="292">
                  <c:v>387.07887617742188</c:v>
                </c:pt>
                <c:pt idx="293">
                  <c:v>388.23160823249219</c:v>
                </c:pt>
                <c:pt idx="294">
                  <c:v>389.38434028756251</c:v>
                </c:pt>
                <c:pt idx="295">
                  <c:v>390.53707234263283</c:v>
                </c:pt>
                <c:pt idx="296">
                  <c:v>391.68980439770309</c:v>
                </c:pt>
                <c:pt idx="297">
                  <c:v>392.84253645277352</c:v>
                </c:pt>
                <c:pt idx="298">
                  <c:v>393.99526850784378</c:v>
                </c:pt>
                <c:pt idx="299">
                  <c:v>395.14800056291409</c:v>
                </c:pt>
                <c:pt idx="300">
                  <c:v>396.30073261798441</c:v>
                </c:pt>
                <c:pt idx="301">
                  <c:v>397.45346467305473</c:v>
                </c:pt>
                <c:pt idx="302">
                  <c:v>398.60619672812498</c:v>
                </c:pt>
                <c:pt idx="303">
                  <c:v>399.75892878319542</c:v>
                </c:pt>
                <c:pt idx="304">
                  <c:v>400.91166083826568</c:v>
                </c:pt>
                <c:pt idx="305">
                  <c:v>402.06439289333599</c:v>
                </c:pt>
                <c:pt idx="306">
                  <c:v>403.21712494840631</c:v>
                </c:pt>
                <c:pt idx="307">
                  <c:v>404.36985700347662</c:v>
                </c:pt>
                <c:pt idx="308">
                  <c:v>405.52258905854688</c:v>
                </c:pt>
                <c:pt idx="309">
                  <c:v>406.6753211136172</c:v>
                </c:pt>
                <c:pt idx="310">
                  <c:v>407.82805316868752</c:v>
                </c:pt>
                <c:pt idx="311">
                  <c:v>408.98078522375778</c:v>
                </c:pt>
                <c:pt idx="312">
                  <c:v>410.13351727882821</c:v>
                </c:pt>
                <c:pt idx="313">
                  <c:v>411.28624933389852</c:v>
                </c:pt>
                <c:pt idx="314">
                  <c:v>412.43898138896878</c:v>
                </c:pt>
                <c:pt idx="315">
                  <c:v>413.5917134440391</c:v>
                </c:pt>
                <c:pt idx="316">
                  <c:v>414.74444549910942</c:v>
                </c:pt>
                <c:pt idx="317">
                  <c:v>415.89717755417968</c:v>
                </c:pt>
                <c:pt idx="318">
                  <c:v>417.04990960925011</c:v>
                </c:pt>
                <c:pt idx="319">
                  <c:v>418.20264166432042</c:v>
                </c:pt>
                <c:pt idx="320">
                  <c:v>419.35537371939068</c:v>
                </c:pt>
                <c:pt idx="321">
                  <c:v>420.50810577446089</c:v>
                </c:pt>
                <c:pt idx="322">
                  <c:v>421.66083782953132</c:v>
                </c:pt>
                <c:pt idx="323">
                  <c:v>422.81356988460158</c:v>
                </c:pt>
                <c:pt idx="324">
                  <c:v>423.96630193967189</c:v>
                </c:pt>
                <c:pt idx="325">
                  <c:v>425.11903399474221</c:v>
                </c:pt>
                <c:pt idx="326">
                  <c:v>426.27176604981253</c:v>
                </c:pt>
                <c:pt idx="327">
                  <c:v>427.42449810488279</c:v>
                </c:pt>
                <c:pt idx="328">
                  <c:v>428.57723015995322</c:v>
                </c:pt>
                <c:pt idx="329">
                  <c:v>429.72996221502348</c:v>
                </c:pt>
                <c:pt idx="330">
                  <c:v>430.88269427009379</c:v>
                </c:pt>
                <c:pt idx="331">
                  <c:v>432.03542632516411</c:v>
                </c:pt>
                <c:pt idx="332">
                  <c:v>433.18815838023443</c:v>
                </c:pt>
                <c:pt idx="333">
                  <c:v>434.34089043530469</c:v>
                </c:pt>
                <c:pt idx="334">
                  <c:v>435.49362249037512</c:v>
                </c:pt>
                <c:pt idx="335">
                  <c:v>436.64635454544532</c:v>
                </c:pt>
                <c:pt idx="336">
                  <c:v>437.79908660051558</c:v>
                </c:pt>
                <c:pt idx="337">
                  <c:v>438.95181865558601</c:v>
                </c:pt>
                <c:pt idx="338">
                  <c:v>440.10455071065633</c:v>
                </c:pt>
                <c:pt idx="339">
                  <c:v>441.25728276572659</c:v>
                </c:pt>
                <c:pt idx="340">
                  <c:v>442.4100148207969</c:v>
                </c:pt>
                <c:pt idx="341">
                  <c:v>443.56274687586722</c:v>
                </c:pt>
                <c:pt idx="342">
                  <c:v>444.71547893093748</c:v>
                </c:pt>
                <c:pt idx="343">
                  <c:v>445.86821098600791</c:v>
                </c:pt>
                <c:pt idx="344">
                  <c:v>447.02094304107823</c:v>
                </c:pt>
                <c:pt idx="345">
                  <c:v>448.17367509614849</c:v>
                </c:pt>
                <c:pt idx="346">
                  <c:v>449.3264071512188</c:v>
                </c:pt>
                <c:pt idx="347">
                  <c:v>450.47913920628912</c:v>
                </c:pt>
                <c:pt idx="348">
                  <c:v>451.63187126135938</c:v>
                </c:pt>
                <c:pt idx="349">
                  <c:v>452.7846033164297</c:v>
                </c:pt>
                <c:pt idx="350">
                  <c:v>453.93733537150001</c:v>
                </c:pt>
                <c:pt idx="351">
                  <c:v>455.09006742657027</c:v>
                </c:pt>
                <c:pt idx="352">
                  <c:v>456.2427994816407</c:v>
                </c:pt>
                <c:pt idx="353">
                  <c:v>457.39553153671102</c:v>
                </c:pt>
                <c:pt idx="354">
                  <c:v>458.54826359178128</c:v>
                </c:pt>
                <c:pt idx="355">
                  <c:v>459.7009956468516</c:v>
                </c:pt>
                <c:pt idx="356">
                  <c:v>460.85372770192191</c:v>
                </c:pt>
                <c:pt idx="357">
                  <c:v>462.00645975699217</c:v>
                </c:pt>
                <c:pt idx="358">
                  <c:v>463.1591918120626</c:v>
                </c:pt>
                <c:pt idx="359">
                  <c:v>464.31192386713292</c:v>
                </c:pt>
                <c:pt idx="360">
                  <c:v>465.46465592220318</c:v>
                </c:pt>
                <c:pt idx="361">
                  <c:v>466.61738797727349</c:v>
                </c:pt>
                <c:pt idx="362">
                  <c:v>467.77012003234381</c:v>
                </c:pt>
                <c:pt idx="363">
                  <c:v>468.92285208741413</c:v>
                </c:pt>
                <c:pt idx="364">
                  <c:v>470.07558414248439</c:v>
                </c:pt>
                <c:pt idx="365">
                  <c:v>471.2283161975547</c:v>
                </c:pt>
                <c:pt idx="366">
                  <c:v>472.38104825262502</c:v>
                </c:pt>
              </c:numCache>
            </c:numRef>
          </c:cat>
          <c:val>
            <c:numRef>
              <c:f>'Model tilvækst, slagteform, fe'!$P$9:$P$375</c:f>
              <c:numCache>
                <c:formatCode>#,##0.0</c:formatCode>
                <c:ptCount val="367"/>
                <c:pt idx="0">
                  <c:v>1.33</c:v>
                </c:pt>
                <c:pt idx="1">
                  <c:v>1.3704151164032581</c:v>
                </c:pt>
                <c:pt idx="2">
                  <c:v>1.4108254597869809</c:v>
                </c:pt>
                <c:pt idx="3">
                  <c:v>1.4512262571316361</c:v>
                </c:pt>
                <c:pt idx="4">
                  <c:v>1.491612735417688</c:v>
                </c:pt>
                <c:pt idx="5">
                  <c:v>1.5319801216256019</c:v>
                </c:pt>
                <c:pt idx="6">
                  <c:v>1.5723236427358449</c:v>
                </c:pt>
                <c:pt idx="7">
                  <c:v>1.612638525728882</c:v>
                </c:pt>
                <c:pt idx="8">
                  <c:v>1.6529199975851789</c:v>
                </c:pt>
                <c:pt idx="9">
                  <c:v>1.6931632852852001</c:v>
                </c:pt>
                <c:pt idx="10">
                  <c:v>1.733363615809413</c:v>
                </c:pt>
                <c:pt idx="11">
                  <c:v>1.7735162161382829</c:v>
                </c:pt>
                <c:pt idx="12">
                  <c:v>1.8136163132522749</c:v>
                </c:pt>
                <c:pt idx="13">
                  <c:v>1.8536591341318549</c:v>
                </c:pt>
                <c:pt idx="14">
                  <c:v>1.893639905757488</c:v>
                </c:pt>
                <c:pt idx="15">
                  <c:v>1.933553855109641</c:v>
                </c:pt>
                <c:pt idx="16">
                  <c:v>1.973396209168778</c:v>
                </c:pt>
                <c:pt idx="17">
                  <c:v>2.0131621949153669</c:v>
                </c:pt>
                <c:pt idx="18">
                  <c:v>2.0528470393298721</c:v>
                </c:pt>
                <c:pt idx="19">
                  <c:v>2.0924459693927591</c:v>
                </c:pt>
                <c:pt idx="20">
                  <c:v>2.131954212084493</c:v>
                </c:pt>
                <c:pt idx="21">
                  <c:v>2.1713669943855409</c:v>
                </c:pt>
                <c:pt idx="22">
                  <c:v>2.2106795432763682</c:v>
                </c:pt>
                <c:pt idx="23">
                  <c:v>2.2498870857374391</c:v>
                </c:pt>
                <c:pt idx="24">
                  <c:v>2.2889848487492199</c:v>
                </c:pt>
                <c:pt idx="25">
                  <c:v>2.327968059292179</c:v>
                </c:pt>
                <c:pt idx="26">
                  <c:v>2.3668319443467789</c:v>
                </c:pt>
                <c:pt idx="27">
                  <c:v>2.405571730893485</c:v>
                </c:pt>
                <c:pt idx="28">
                  <c:v>2.4441826459127651</c:v>
                </c:pt>
                <c:pt idx="29">
                  <c:v>2.4826599163850829</c:v>
                </c:pt>
                <c:pt idx="30">
                  <c:v>2.5209987692909062</c:v>
                </c:pt>
                <c:pt idx="31">
                  <c:v>2.5591944316106989</c:v>
                </c:pt>
                <c:pt idx="32">
                  <c:v>2.5972421303249269</c:v>
                </c:pt>
                <c:pt idx="33">
                  <c:v>2.635137092414058</c:v>
                </c:pt>
                <c:pt idx="34">
                  <c:v>2.672874544858554</c:v>
                </c:pt>
                <c:pt idx="35">
                  <c:v>2.7104497146388842</c:v>
                </c:pt>
                <c:pt idx="36">
                  <c:v>2.747857828735512</c:v>
                </c:pt>
                <c:pt idx="37">
                  <c:v>2.7850941141289032</c:v>
                </c:pt>
                <c:pt idx="38">
                  <c:v>2.8221537977995239</c:v>
                </c:pt>
                <c:pt idx="39">
                  <c:v>2.8590321067278421</c:v>
                </c:pt>
                <c:pt idx="40">
                  <c:v>2.89572426789432</c:v>
                </c:pt>
                <c:pt idx="41">
                  <c:v>2.9322255082794242</c:v>
                </c:pt>
                <c:pt idx="42">
                  <c:v>2.9685310548636208</c:v>
                </c:pt>
                <c:pt idx="43">
                  <c:v>3.004637029893988</c:v>
                </c:pt>
                <c:pt idx="44">
                  <c:v>3.0405436007168132</c:v>
                </c:pt>
                <c:pt idx="45">
                  <c:v>3.0762520766090011</c:v>
                </c:pt>
                <c:pt idx="46">
                  <c:v>3.1117637669153999</c:v>
                </c:pt>
                <c:pt idx="47">
                  <c:v>3.1470799809808581</c:v>
                </c:pt>
                <c:pt idx="48">
                  <c:v>3.1822020281502219</c:v>
                </c:pt>
                <c:pt idx="49">
                  <c:v>3.2171312177683409</c:v>
                </c:pt>
                <c:pt idx="50">
                  <c:v>3.2518688591800631</c:v>
                </c:pt>
                <c:pt idx="51">
                  <c:v>3.2864162617302339</c:v>
                </c:pt>
                <c:pt idx="52">
                  <c:v>3.3207747347637051</c:v>
                </c:pt>
                <c:pt idx="53">
                  <c:v>3.3549455876253211</c:v>
                </c:pt>
                <c:pt idx="54">
                  <c:v>3.3889301296599319</c:v>
                </c:pt>
                <c:pt idx="55">
                  <c:v>3.4227296702123842</c:v>
                </c:pt>
                <c:pt idx="56">
                  <c:v>3.4563455186275269</c:v>
                </c:pt>
                <c:pt idx="57">
                  <c:v>3.4897789842502069</c:v>
                </c:pt>
                <c:pt idx="58">
                  <c:v>3.5230313764252732</c:v>
                </c:pt>
                <c:pt idx="59">
                  <c:v>3.5561040044975729</c:v>
                </c:pt>
                <c:pt idx="60">
                  <c:v>3.5889981778119551</c:v>
                </c:pt>
                <c:pt idx="61">
                  <c:v>3.621715205713266</c:v>
                </c:pt>
                <c:pt idx="62">
                  <c:v>3.6542563975463538</c:v>
                </c:pt>
                <c:pt idx="63">
                  <c:v>3.6866230626560679</c:v>
                </c:pt>
                <c:pt idx="64">
                  <c:v>3.7188165103872559</c:v>
                </c:pt>
                <c:pt idx="65">
                  <c:v>3.7508380500847629</c:v>
                </c:pt>
                <c:pt idx="66">
                  <c:v>3.7826889910934409</c:v>
                </c:pt>
                <c:pt idx="67">
                  <c:v>3.814370642758135</c:v>
                </c:pt>
                <c:pt idx="68">
                  <c:v>3.8458843144236949</c:v>
                </c:pt>
                <c:pt idx="69">
                  <c:v>3.8772313154349658</c:v>
                </c:pt>
                <c:pt idx="70">
                  <c:v>3.9084129551367992</c:v>
                </c:pt>
                <c:pt idx="71">
                  <c:v>3.9394305428740402</c:v>
                </c:pt>
                <c:pt idx="72">
                  <c:v>3.9702853879915381</c:v>
                </c:pt>
                <c:pt idx="73">
                  <c:v>4.0009787998341402</c:v>
                </c:pt>
                <c:pt idx="74">
                  <c:v>4.0315120877466946</c:v>
                </c:pt>
                <c:pt idx="75">
                  <c:v>4.0618865610740498</c:v>
                </c:pt>
                <c:pt idx="76">
                  <c:v>4.0921035291610526</c:v>
                </c:pt>
                <c:pt idx="77">
                  <c:v>4.1221643013525524</c:v>
                </c:pt>
                <c:pt idx="78">
                  <c:v>4.1520701869933951</c:v>
                </c:pt>
                <c:pt idx="79">
                  <c:v>4.1818224954284302</c:v>
                </c:pt>
                <c:pt idx="80">
                  <c:v>4.2114225360025053</c:v>
                </c:pt>
                <c:pt idx="81">
                  <c:v>4.240871618060468</c:v>
                </c:pt>
                <c:pt idx="82">
                  <c:v>4.2701710509471669</c:v>
                </c:pt>
                <c:pt idx="83">
                  <c:v>4.2993221440074478</c:v>
                </c:pt>
                <c:pt idx="84">
                  <c:v>4.3283262065861621</c:v>
                </c:pt>
                <c:pt idx="85">
                  <c:v>4.3571845480281546</c:v>
                </c:pt>
                <c:pt idx="86">
                  <c:v>4.3858984776782739</c:v>
                </c:pt>
                <c:pt idx="87">
                  <c:v>4.4144693048813703</c:v>
                </c:pt>
                <c:pt idx="88">
                  <c:v>4.442898338982288</c:v>
                </c:pt>
                <c:pt idx="89">
                  <c:v>4.4711868893258773</c:v>
                </c:pt>
                <c:pt idx="90">
                  <c:v>4.4993362652569857</c:v>
                </c:pt>
                <c:pt idx="91">
                  <c:v>4.527347776120461</c:v>
                </c:pt>
                <c:pt idx="92">
                  <c:v>4.5552227312611508</c:v>
                </c:pt>
                <c:pt idx="93">
                  <c:v>4.5829624400239029</c:v>
                </c:pt>
                <c:pt idx="94">
                  <c:v>4.6105682117535673</c:v>
                </c:pt>
                <c:pt idx="95">
                  <c:v>4.6380413557949884</c:v>
                </c:pt>
                <c:pt idx="96">
                  <c:v>4.6653831814930156</c:v>
                </c:pt>
                <c:pt idx="97">
                  <c:v>4.6925949981924981</c:v>
                </c:pt>
                <c:pt idx="98">
                  <c:v>4.719678115238283</c:v>
                </c:pt>
                <c:pt idx="99">
                  <c:v>4.7466338419752176</c:v>
                </c:pt>
                <c:pt idx="100">
                  <c:v>4.7734634877481499</c:v>
                </c:pt>
                <c:pt idx="101">
                  <c:v>4.8001683619019291</c:v>
                </c:pt>
                <c:pt idx="102">
                  <c:v>4.8267497737814011</c:v>
                </c:pt>
                <c:pt idx="103">
                  <c:v>4.8532090327314164</c:v>
                </c:pt>
                <c:pt idx="104">
                  <c:v>4.8795474480968197</c:v>
                </c:pt>
                <c:pt idx="105">
                  <c:v>4.9057663292224616</c:v>
                </c:pt>
                <c:pt idx="106">
                  <c:v>4.9318669854531887</c:v>
                </c:pt>
                <c:pt idx="107">
                  <c:v>4.9578507261338487</c:v>
                </c:pt>
                <c:pt idx="108">
                  <c:v>4.9837188606092919</c:v>
                </c:pt>
                <c:pt idx="109">
                  <c:v>5.0094726982243634</c:v>
                </c:pt>
                <c:pt idx="110">
                  <c:v>5.0351135483239098</c:v>
                </c:pt>
                <c:pt idx="111">
                  <c:v>5.0606427202527842</c:v>
                </c:pt>
                <c:pt idx="112">
                  <c:v>5.0860615233558306</c:v>
                </c:pt>
                <c:pt idx="113">
                  <c:v>5.1113712669778977</c:v>
                </c:pt>
                <c:pt idx="114">
                  <c:v>5.1365732604638339</c:v>
                </c:pt>
                <c:pt idx="115">
                  <c:v>5.1616688131584869</c:v>
                </c:pt>
                <c:pt idx="116">
                  <c:v>5.1866592344067044</c:v>
                </c:pt>
                <c:pt idx="117">
                  <c:v>5.211545833553334</c:v>
                </c:pt>
                <c:pt idx="118">
                  <c:v>5.2363299199432243</c:v>
                </c:pt>
                <c:pt idx="119">
                  <c:v>5.2610128029212238</c:v>
                </c:pt>
                <c:pt idx="120">
                  <c:v>5.2855957918321774</c:v>
                </c:pt>
                <c:pt idx="121">
                  <c:v>5.3100801960209374</c:v>
                </c:pt>
                <c:pt idx="122">
                  <c:v>5.3344673248323486</c:v>
                </c:pt>
                <c:pt idx="123">
                  <c:v>5.3587584876112597</c:v>
                </c:pt>
                <c:pt idx="124">
                  <c:v>5.3829549937025192</c:v>
                </c:pt>
                <c:pt idx="125">
                  <c:v>5.4070581524509738</c:v>
                </c:pt>
                <c:pt idx="126">
                  <c:v>5.4310692732014729</c:v>
                </c:pt>
                <c:pt idx="127">
                  <c:v>5.4549896652988634</c:v>
                </c:pt>
                <c:pt idx="128">
                  <c:v>5.4788206380879938</c:v>
                </c:pt>
                <c:pt idx="129">
                  <c:v>5.5025635009137108</c:v>
                </c:pt>
                <c:pt idx="130">
                  <c:v>5.526219563120863</c:v>
                </c:pt>
                <c:pt idx="131">
                  <c:v>5.5497901340542999</c:v>
                </c:pt>
                <c:pt idx="132">
                  <c:v>5.5732765230588672</c:v>
                </c:pt>
                <c:pt idx="133">
                  <c:v>5.5966800394794127</c:v>
                </c:pt>
                <c:pt idx="134">
                  <c:v>5.6200019926607858</c:v>
                </c:pt>
                <c:pt idx="135">
                  <c:v>5.6432436919478342</c:v>
                </c:pt>
                <c:pt idx="136">
                  <c:v>5.6664064466854063</c:v>
                </c:pt>
                <c:pt idx="137">
                  <c:v>5.6894915662183472</c:v>
                </c:pt>
                <c:pt idx="138">
                  <c:v>5.7125003598915089</c:v>
                </c:pt>
                <c:pt idx="139">
                  <c:v>5.7354341370497366</c:v>
                </c:pt>
                <c:pt idx="140">
                  <c:v>5.7582942070378778</c:v>
                </c:pt>
                <c:pt idx="141">
                  <c:v>5.7810818792007819</c:v>
                </c:pt>
                <c:pt idx="142">
                  <c:v>5.8037984628832966</c:v>
                </c:pt>
                <c:pt idx="143">
                  <c:v>5.8264452674302687</c:v>
                </c:pt>
                <c:pt idx="144">
                  <c:v>5.8490236021865467</c:v>
                </c:pt>
                <c:pt idx="145">
                  <c:v>5.8715347764969801</c:v>
                </c:pt>
                <c:pt idx="146">
                  <c:v>5.8939800997064147</c:v>
                </c:pt>
                <c:pt idx="147">
                  <c:v>5.9163608811596999</c:v>
                </c:pt>
                <c:pt idx="148">
                  <c:v>5.9386784302016817</c:v>
                </c:pt>
                <c:pt idx="149">
                  <c:v>5.9609340561772104</c:v>
                </c:pt>
                <c:pt idx="150">
                  <c:v>5.9831290684311318</c:v>
                </c:pt>
                <c:pt idx="151">
                  <c:v>6.0052647763082954</c:v>
                </c:pt>
                <c:pt idx="152">
                  <c:v>6.027342489153547</c:v>
                </c:pt>
                <c:pt idx="153">
                  <c:v>6.0493635163117379</c:v>
                </c:pt>
                <c:pt idx="154">
                  <c:v>6.0713291671277112</c:v>
                </c:pt>
                <c:pt idx="155">
                  <c:v>6.093240601743422</c:v>
                </c:pt>
                <c:pt idx="156">
                  <c:v>6.1150967877166567</c:v>
                </c:pt>
                <c:pt idx="157">
                  <c:v>6.1368950249430467</c:v>
                </c:pt>
                <c:pt idx="158">
                  <c:v>6.1586325715705028</c:v>
                </c:pt>
                <c:pt idx="159">
                  <c:v>6.18030668574694</c:v>
                </c:pt>
                <c:pt idx="160">
                  <c:v>6.2019146256202697</c:v>
                </c:pt>
                <c:pt idx="161">
                  <c:v>6.2234536493384054</c:v>
                </c:pt>
                <c:pt idx="162">
                  <c:v>6.2449210150492576</c:v>
                </c:pt>
                <c:pt idx="163">
                  <c:v>6.2663139809007413</c:v>
                </c:pt>
                <c:pt idx="164">
                  <c:v>6.2876298050407691</c:v>
                </c:pt>
                <c:pt idx="165">
                  <c:v>6.3088657456172514</c:v>
                </c:pt>
                <c:pt idx="166">
                  <c:v>6.3300190607781044</c:v>
                </c:pt>
                <c:pt idx="167">
                  <c:v>6.3510870086712368</c:v>
                </c:pt>
                <c:pt idx="168">
                  <c:v>6.3720668474445636</c:v>
                </c:pt>
                <c:pt idx="169">
                  <c:v>6.3929558352459983</c:v>
                </c:pt>
                <c:pt idx="170">
                  <c:v>6.4137512302234514</c:v>
                </c:pt>
                <c:pt idx="171">
                  <c:v>6.434450290524838</c:v>
                </c:pt>
                <c:pt idx="172">
                  <c:v>6.4550502742980678</c:v>
                </c:pt>
                <c:pt idx="173">
                  <c:v>6.4755484396910559</c:v>
                </c:pt>
                <c:pt idx="174">
                  <c:v>6.4959420448517138</c:v>
                </c:pt>
                <c:pt idx="175">
                  <c:v>6.5162283479279539</c:v>
                </c:pt>
                <c:pt idx="176">
                  <c:v>6.5364046070676904</c:v>
                </c:pt>
                <c:pt idx="177">
                  <c:v>6.5564680804188349</c:v>
                </c:pt>
                <c:pt idx="178">
                  <c:v>6.5764160261292997</c:v>
                </c:pt>
                <c:pt idx="179">
                  <c:v>6.596245702346998</c:v>
                </c:pt>
                <c:pt idx="180">
                  <c:v>6.6159543672198433</c:v>
                </c:pt>
                <c:pt idx="181">
                  <c:v>6.635539278895747</c:v>
                </c:pt>
                <c:pt idx="182">
                  <c:v>6.6549976955226224</c:v>
                </c:pt>
                <c:pt idx="183">
                  <c:v>6.6743268752483811</c:v>
                </c:pt>
                <c:pt idx="184">
                  <c:v>6.6935240762209371</c:v>
                </c:pt>
                <c:pt idx="185">
                  <c:v>6.712586556588203</c:v>
                </c:pt>
                <c:pt idx="186">
                  <c:v>6.7315115744980911</c:v>
                </c:pt>
                <c:pt idx="187">
                  <c:v>6.750296388098513</c:v>
                </c:pt>
                <c:pt idx="188">
                  <c:v>6.7689382555373836</c:v>
                </c:pt>
                <c:pt idx="189">
                  <c:v>6.7874344349626146</c:v>
                </c:pt>
                <c:pt idx="190">
                  <c:v>6.8057821845221174</c:v>
                </c:pt>
                <c:pt idx="191">
                  <c:v>6.8239787623638071</c:v>
                </c:pt>
                <c:pt idx="192">
                  <c:v>6.8420214266355934</c:v>
                </c:pt>
                <c:pt idx="193">
                  <c:v>6.8599074354853924</c:v>
                </c:pt>
                <c:pt idx="194">
                  <c:v>6.8776340470611137</c:v>
                </c:pt>
                <c:pt idx="195">
                  <c:v>6.8951985195106706</c:v>
                </c:pt>
                <c:pt idx="196">
                  <c:v>6.9125981109819774</c:v>
                </c:pt>
                <c:pt idx="197">
                  <c:v>6.9298300796229464</c:v>
                </c:pt>
                <c:pt idx="198">
                  <c:v>6.9468916835814891</c:v>
                </c:pt>
                <c:pt idx="199">
                  <c:v>6.963780181005518</c:v>
                </c:pt>
                <c:pt idx="200">
                  <c:v>6.9804928300429481</c:v>
                </c:pt>
                <c:pt idx="201">
                  <c:v>6.9970268888416891</c:v>
                </c:pt>
                <c:pt idx="202">
                  <c:v>7.0133796155496562</c:v>
                </c:pt>
                <c:pt idx="203">
                  <c:v>7.0295482683147599</c:v>
                </c:pt>
                <c:pt idx="204">
                  <c:v>7.0455301052849144</c:v>
                </c:pt>
                <c:pt idx="205">
                  <c:v>7.0613223846080322</c:v>
                </c:pt>
                <c:pt idx="206">
                  <c:v>7.0769223644320256</c:v>
                </c:pt>
                <c:pt idx="207">
                  <c:v>7.0923273029048062</c:v>
                </c:pt>
                <c:pt idx="208">
                  <c:v>7.107534458174289</c:v>
                </c:pt>
                <c:pt idx="209">
                  <c:v>7.1225410883883864</c:v>
                </c:pt>
                <c:pt idx="210">
                  <c:v>7.1373444516950073</c:v>
                </c:pt>
                <c:pt idx="211">
                  <c:v>7.1519418062420694</c:v>
                </c:pt>
                <c:pt idx="212">
                  <c:v>7.1663304101774834</c:v>
                </c:pt>
                <c:pt idx="213">
                  <c:v>7.1805075216491598</c:v>
                </c:pt>
                <c:pt idx="214">
                  <c:v>7.1944703988050156</c:v>
                </c:pt>
                <c:pt idx="215">
                  <c:v>7.2082162997929604</c:v>
                </c:pt>
                <c:pt idx="216">
                  <c:v>7.2217424827609067</c:v>
                </c:pt>
                <c:pt idx="217">
                  <c:v>7.2350462058567686</c:v>
                </c:pt>
                <c:pt idx="218">
                  <c:v>7.2481247272284577</c:v>
                </c:pt>
                <c:pt idx="219">
                  <c:v>7.2609753050238881</c:v>
                </c:pt>
                <c:pt idx="220">
                  <c:v>7.2735951973909714</c:v>
                </c:pt>
                <c:pt idx="221">
                  <c:v>7.2859816624776199</c:v>
                </c:pt>
                <c:pt idx="222">
                  <c:v>7.2981319584317479</c:v>
                </c:pt>
                <c:pt idx="223">
                  <c:v>7.3100433434012659</c:v>
                </c:pt>
                <c:pt idx="224">
                  <c:v>7.3217130755340882</c:v>
                </c:pt>
                <c:pt idx="225">
                  <c:v>7.3331384129781272</c:v>
                </c:pt>
                <c:pt idx="226">
                  <c:v>7.3443166138812952</c:v>
                </c:pt>
                <c:pt idx="227">
                  <c:v>7.3552449363915047</c:v>
                </c:pt>
                <c:pt idx="228">
                  <c:v>7.3659206386566689</c:v>
                </c:pt>
                <c:pt idx="229">
                  <c:v>7.3763409788247003</c:v>
                </c:pt>
                <c:pt idx="230">
                  <c:v>7.3865032150435113</c:v>
                </c:pt>
                <c:pt idx="231">
                  <c:v>7.3964046054610151</c:v>
                </c:pt>
                <c:pt idx="232">
                  <c:v>7.4060424082251242</c:v>
                </c:pt>
                <c:pt idx="233">
                  <c:v>7.4154138814837509</c:v>
                </c:pt>
                <c:pt idx="234">
                  <c:v>7.4245162833848077</c:v>
                </c:pt>
                <c:pt idx="235">
                  <c:v>7.4333468720762079</c:v>
                </c:pt>
                <c:pt idx="236">
                  <c:v>7.4419029210690724</c:v>
                </c:pt>
                <c:pt idx="237">
                  <c:v>7.4501841158354507</c:v>
                </c:pt>
                <c:pt idx="238">
                  <c:v>7.4581951577968431</c:v>
                </c:pt>
                <c:pt idx="239">
                  <c:v>7.4659413738151796</c:v>
                </c:pt>
                <c:pt idx="240">
                  <c:v>7.4734280907523951</c:v>
                </c:pt>
                <c:pt idx="241">
                  <c:v>7.4806606354704241</c:v>
                </c:pt>
                <c:pt idx="242">
                  <c:v>7.4876443348311978</c:v>
                </c:pt>
                <c:pt idx="243">
                  <c:v>7.4943845156966509</c:v>
                </c:pt>
                <c:pt idx="244">
                  <c:v>7.5008865049287161</c:v>
                </c:pt>
                <c:pt idx="245">
                  <c:v>7.5071556293893273</c:v>
                </c:pt>
                <c:pt idx="246">
                  <c:v>7.5131972159404183</c:v>
                </c:pt>
                <c:pt idx="247">
                  <c:v>7.5190165914439202</c:v>
                </c:pt>
                <c:pt idx="248">
                  <c:v>7.5246190827617694</c:v>
                </c:pt>
                <c:pt idx="249">
                  <c:v>7.5300100167558961</c:v>
                </c:pt>
                <c:pt idx="250">
                  <c:v>7.5351947202882359</c:v>
                </c:pt>
                <c:pt idx="251">
                  <c:v>7.5401785202207208</c:v>
                </c:pt>
                <c:pt idx="252">
                  <c:v>7.5449667434152863</c:v>
                </c:pt>
                <c:pt idx="253">
                  <c:v>7.5495647167338644</c:v>
                </c:pt>
                <c:pt idx="254">
                  <c:v>7.5539777670383863</c:v>
                </c:pt>
                <c:pt idx="255">
                  <c:v>7.5582112211907893</c:v>
                </c:pt>
                <c:pt idx="256">
                  <c:v>7.5622704060530044</c:v>
                </c:pt>
                <c:pt idx="257">
                  <c:v>7.5661606484869663</c:v>
                </c:pt>
                <c:pt idx="258">
                  <c:v>7.5698872753546054</c:v>
                </c:pt>
                <c:pt idx="259">
                  <c:v>7.5734556135178579</c:v>
                </c:pt>
                <c:pt idx="260">
                  <c:v>7.5768709898386568</c:v>
                </c:pt>
                <c:pt idx="261">
                  <c:v>7.5801387311789341</c:v>
                </c:pt>
                <c:pt idx="262">
                  <c:v>7.5832641644006253</c:v>
                </c:pt>
                <c:pt idx="263">
                  <c:v>7.5862526163656616</c:v>
                </c:pt>
                <c:pt idx="264">
                  <c:v>7.5891094139359776</c:v>
                </c:pt>
                <c:pt idx="265">
                  <c:v>7.5918398839735062</c:v>
                </c:pt>
                <c:pt idx="266">
                  <c:v>7.5944493533401802</c:v>
                </c:pt>
                <c:pt idx="267">
                  <c:v>7.5969431488979344</c:v>
                </c:pt>
                <c:pt idx="268">
                  <c:v>7.5993265975087008</c:v>
                </c:pt>
                <c:pt idx="269">
                  <c:v>7.6016050260344139</c:v>
                </c:pt>
                <c:pt idx="270">
                  <c:v>7.6037837613370058</c:v>
                </c:pt>
                <c:pt idx="271">
                  <c:v>7.6058681302784112</c:v>
                </c:pt>
                <c:pt idx="272">
                  <c:v>7.6078634597205621</c:v>
                </c:pt>
                <c:pt idx="273">
                  <c:v>7.6097750765253922</c:v>
                </c:pt>
                <c:pt idx="274">
                  <c:v>7.6116083075548353</c:v>
                </c:pt>
                <c:pt idx="275">
                  <c:v>7.6133684796708252</c:v>
                </c:pt>
                <c:pt idx="276">
                  <c:v>7.6150609197352939</c:v>
                </c:pt>
                <c:pt idx="277">
                  <c:v>7.6166909546101751</c:v>
                </c:pt>
                <c:pt idx="278">
                  <c:v>7.6182639111574044</c:v>
                </c:pt>
                <c:pt idx="279">
                  <c:v>7.6197851162389103</c:v>
                </c:pt>
                <c:pt idx="280">
                  <c:v>7.621259896716631</c:v>
                </c:pt>
                <c:pt idx="281">
                  <c:v>7.6226935794524984</c:v>
                </c:pt>
                <c:pt idx="282">
                  <c:v>7.6240914913084437</c:v>
                </c:pt>
                <c:pt idx="283">
                  <c:v>7.6254589591464024</c:v>
                </c:pt>
                <c:pt idx="284">
                  <c:v>7.6268013098283083</c:v>
                </c:pt>
                <c:pt idx="285">
                  <c:v>7.6281238702160934</c:v>
                </c:pt>
                <c:pt idx="286">
                  <c:v>7.6294319671716906</c:v>
                </c:pt>
                <c:pt idx="287">
                  <c:v>7.6307309275570354</c:v>
                </c:pt>
                <c:pt idx="288">
                  <c:v>7.632026078234059</c:v>
                </c:pt>
                <c:pt idx="289">
                  <c:v>7.633322746064696</c:v>
                </c:pt>
                <c:pt idx="290">
                  <c:v>7.6346262579108792</c:v>
                </c:pt>
                <c:pt idx="291">
                  <c:v>7.6359419406345417</c:v>
                </c:pt>
                <c:pt idx="292">
                  <c:v>7.637275121097618</c:v>
                </c:pt>
                <c:pt idx="293">
                  <c:v>7.638631126162041</c:v>
                </c:pt>
                <c:pt idx="294">
                  <c:v>7.6400152826897427</c:v>
                </c:pt>
                <c:pt idx="295">
                  <c:v>7.6414329175426579</c:v>
                </c:pt>
                <c:pt idx="296">
                  <c:v>7.6428893575827193</c:v>
                </c:pt>
                <c:pt idx="297">
                  <c:v>7.6443899296718607</c:v>
                </c:pt>
                <c:pt idx="298">
                  <c:v>7.645939960672016</c:v>
                </c:pt>
                <c:pt idx="299">
                  <c:v>7.6475447774451171</c:v>
                </c:pt>
                <c:pt idx="300">
                  <c:v>7.6492097068530978</c:v>
                </c:pt>
                <c:pt idx="301">
                  <c:v>7.6509400757578918</c:v>
                </c:pt>
                <c:pt idx="302">
                  <c:v>7.6527412110214321</c:v>
                </c:pt>
                <c:pt idx="303">
                  <c:v>7.6546184395056533</c:v>
                </c:pt>
                <c:pt idx="304">
                  <c:v>7.6565770880724866</c:v>
                </c:pt>
                <c:pt idx="305">
                  <c:v>7.6586224835838674</c:v>
                </c:pt>
                <c:pt idx="306">
                  <c:v>7.660759952901727</c:v>
                </c:pt>
                <c:pt idx="307">
                  <c:v>7.6629948228880007</c:v>
                </c:pt>
                <c:pt idx="308">
                  <c:v>7.6653324204046207</c:v>
                </c:pt>
                <c:pt idx="309">
                  <c:v>7.6677780723135207</c:v>
                </c:pt>
                <c:pt idx="310">
                  <c:v>7.6703371028081717</c:v>
                </c:pt>
                <c:pt idx="311">
                  <c:v>7.6730130640351284</c:v>
                </c:pt>
                <c:pt idx="312">
                  <c:v>7.6758046710810834</c:v>
                </c:pt>
                <c:pt idx="313">
                  <c:v>7.6787098212947811</c:v>
                </c:pt>
                <c:pt idx="314">
                  <c:v>7.6817264120249682</c:v>
                </c:pt>
                <c:pt idx="315">
                  <c:v>7.6848523406203908</c:v>
                </c:pt>
                <c:pt idx="316">
                  <c:v>7.6880855044297931</c:v>
                </c:pt>
                <c:pt idx="317">
                  <c:v>7.691423800801922</c:v>
                </c:pt>
                <c:pt idx="318">
                  <c:v>7.6948651270855217</c:v>
                </c:pt>
                <c:pt idx="319">
                  <c:v>7.6984073806293374</c:v>
                </c:pt>
                <c:pt idx="320">
                  <c:v>7.7020484587821167</c:v>
                </c:pt>
                <c:pt idx="321">
                  <c:v>7.7057862588926032</c:v>
                </c:pt>
                <c:pt idx="322">
                  <c:v>7.7096186783095426</c:v>
                </c:pt>
                <c:pt idx="323">
                  <c:v>7.7135436143816802</c:v>
                </c:pt>
                <c:pt idx="324">
                  <c:v>7.7175589644577629</c:v>
                </c:pt>
                <c:pt idx="325">
                  <c:v>7.7216626258865348</c:v>
                </c:pt>
                <c:pt idx="326">
                  <c:v>7.7258524960167421</c:v>
                </c:pt>
                <c:pt idx="327">
                  <c:v>7.7301264721971297</c:v>
                </c:pt>
                <c:pt idx="328">
                  <c:v>7.7344824517764437</c:v>
                </c:pt>
                <c:pt idx="329">
                  <c:v>7.7389183321034292</c:v>
                </c:pt>
                <c:pt idx="330">
                  <c:v>7.7434320105268322</c:v>
                </c:pt>
                <c:pt idx="331">
                  <c:v>7.7480213843953969</c:v>
                </c:pt>
                <c:pt idx="332">
                  <c:v>7.7526843510578702</c:v>
                </c:pt>
                <c:pt idx="333">
                  <c:v>7.7574188078629964</c:v>
                </c:pt>
                <c:pt idx="334">
                  <c:v>7.7622226521595223</c:v>
                </c:pt>
                <c:pt idx="335">
                  <c:v>7.7670937812961922</c:v>
                </c:pt>
                <c:pt idx="336">
                  <c:v>7.7720300926217529</c:v>
                </c:pt>
                <c:pt idx="337">
                  <c:v>7.7770294834849487</c:v>
                </c:pt>
                <c:pt idx="338">
                  <c:v>7.7820898512345247</c:v>
                </c:pt>
                <c:pt idx="339">
                  <c:v>7.7872090932192277</c:v>
                </c:pt>
                <c:pt idx="340">
                  <c:v>7.7923851067878029</c:v>
                </c:pt>
                <c:pt idx="341">
                  <c:v>7.7976157892889963</c:v>
                </c:pt>
                <c:pt idx="342">
                  <c:v>7.8028990380715504</c:v>
                </c:pt>
                <c:pt idx="343">
                  <c:v>7.8082327504842137</c:v>
                </c:pt>
                <c:pt idx="344">
                  <c:v>7.8136148238757324</c:v>
                </c:pt>
                <c:pt idx="345">
                  <c:v>7.8190431555948479</c:v>
                </c:pt>
                <c:pt idx="346">
                  <c:v>7.8245156429903098</c:v>
                </c:pt>
                <c:pt idx="347">
                  <c:v>7.8300301834108614</c:v>
                </c:pt>
                <c:pt idx="348">
                  <c:v>7.8355846742052497</c:v>
                </c:pt>
                <c:pt idx="349">
                  <c:v>7.841177012722218</c:v>
                </c:pt>
                <c:pt idx="350">
                  <c:v>7.846805096310514</c:v>
                </c:pt>
                <c:pt idx="351">
                  <c:v>7.852466822318882</c:v>
                </c:pt>
                <c:pt idx="352">
                  <c:v>7.858160088096068</c:v>
                </c:pt>
                <c:pt idx="353">
                  <c:v>7.8638827909908162</c:v>
                </c:pt>
                <c:pt idx="354">
                  <c:v>7.8696328283518744</c:v>
                </c:pt>
                <c:pt idx="355">
                  <c:v>7.8754080975279859</c:v>
                </c:pt>
                <c:pt idx="356">
                  <c:v>7.8812064958678976</c:v>
                </c:pt>
                <c:pt idx="357">
                  <c:v>7.8870259207203546</c:v>
                </c:pt>
                <c:pt idx="358">
                  <c:v>7.8928642694341011</c:v>
                </c:pt>
                <c:pt idx="359">
                  <c:v>7.898719439357885</c:v>
                </c:pt>
                <c:pt idx="360">
                  <c:v>7.9045893278404504</c:v>
                </c:pt>
                <c:pt idx="361">
                  <c:v>7.9104718322305416</c:v>
                </c:pt>
                <c:pt idx="362">
                  <c:v>7.9163648498769064</c:v>
                </c:pt>
                <c:pt idx="363">
                  <c:v>7.9222662781282889</c:v>
                </c:pt>
                <c:pt idx="364">
                  <c:v>7.9281740143334352</c:v>
                </c:pt>
                <c:pt idx="365">
                  <c:v>7.9340859558410912</c:v>
                </c:pt>
                <c:pt idx="366">
                  <c:v>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F1-4FD0-89BF-5232DD56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204720"/>
        <c:axId val="1041208984"/>
      </c:lineChart>
      <c:catAx>
        <c:axId val="10412047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41208984"/>
        <c:crosses val="autoZero"/>
        <c:auto val="1"/>
        <c:lblAlgn val="ctr"/>
        <c:lblOffset val="100"/>
        <c:noMultiLvlLbl val="0"/>
      </c:catAx>
      <c:valAx>
        <c:axId val="1041208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4120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Levende vægt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'Model tilvækst, slagteform, fe'!$B$8</c:f>
              <c:strCache>
                <c:ptCount val="1"/>
                <c:pt idx="0">
                  <c:v>hol_tyr_vægt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fe'!$B$9:$B$375</c:f>
              <c:numCache>
                <c:formatCode>#,##0.0</c:formatCode>
                <c:ptCount val="367"/>
                <c:pt idx="0">
                  <c:v>45.437564507575317</c:v>
                </c:pt>
                <c:pt idx="1">
                  <c:v>45.609278541395319</c:v>
                </c:pt>
                <c:pt idx="2">
                  <c:v>45.800426328732641</c:v>
                </c:pt>
                <c:pt idx="3">
                  <c:v>46.010848758154729</c:v>
                </c:pt>
                <c:pt idx="4">
                  <c:v>46.240387252576461</c:v>
                </c:pt>
                <c:pt idx="5">
                  <c:v>46.488883769260148</c:v>
                </c:pt>
                <c:pt idx="6">
                  <c:v>46.756180799815468</c:v>
                </c:pt>
                <c:pt idx="7">
                  <c:v>47.042121370199567</c:v>
                </c:pt>
                <c:pt idx="8">
                  <c:v>47.346549040716994</c:v>
                </c:pt>
                <c:pt idx="9">
                  <c:v>47.669307906019732</c:v>
                </c:pt>
                <c:pt idx="10">
                  <c:v>48.010242595107165</c:v>
                </c:pt>
                <c:pt idx="11">
                  <c:v>48.369198271326113</c:v>
                </c:pt>
                <c:pt idx="12">
                  <c:v>48.746020632370801</c:v>
                </c:pt>
                <c:pt idx="13">
                  <c:v>49.140555910282885</c:v>
                </c:pt>
                <c:pt idx="14">
                  <c:v>49.552650871451441</c:v>
                </c:pt>
                <c:pt idx="15">
                  <c:v>49.98215281661296</c:v>
                </c:pt>
                <c:pt idx="16">
                  <c:v>50.428909580851382</c:v>
                </c:pt>
                <c:pt idx="17">
                  <c:v>50.892769533598013</c:v>
                </c:pt>
                <c:pt idx="18">
                  <c:v>51.373581578631608</c:v>
                </c:pt>
                <c:pt idx="19">
                  <c:v>51.871195154078364</c:v>
                </c:pt>
                <c:pt idx="20">
                  <c:v>52.385460232411873</c:v>
                </c:pt>
                <c:pt idx="21">
                  <c:v>52.916227320453132</c:v>
                </c:pt>
                <c:pt idx="22">
                  <c:v>53.463347459370603</c:v>
                </c:pt>
                <c:pt idx="23">
                  <c:v>54.026672224680134</c:v>
                </c:pt>
                <c:pt idx="24">
                  <c:v>54.606053726244994</c:v>
                </c:pt>
                <c:pt idx="25">
                  <c:v>55.201344608275896</c:v>
                </c:pt>
                <c:pt idx="26">
                  <c:v>55.812398049330952</c:v>
                </c:pt>
                <c:pt idx="27">
                  <c:v>56.439067762315716</c:v>
                </c:pt>
                <c:pt idx="28">
                  <c:v>57.081207994483108</c:v>
                </c:pt>
                <c:pt idx="29">
                  <c:v>57.738673527433548</c:v>
                </c:pt>
                <c:pt idx="30">
                  <c:v>58.411319677114818</c:v>
                </c:pt>
                <c:pt idx="31">
                  <c:v>59.09900229382216</c:v>
                </c:pt>
                <c:pt idx="32">
                  <c:v>59.801577762198185</c:v>
                </c:pt>
                <c:pt idx="33">
                  <c:v>60.518903001232971</c:v>
                </c:pt>
                <c:pt idx="34">
                  <c:v>61.250835464263993</c:v>
                </c:pt>
                <c:pt idx="35">
                  <c:v>61.997233138976156</c:v>
                </c:pt>
                <c:pt idx="36">
                  <c:v>62.757954547401788</c:v>
                </c:pt>
                <c:pt idx="37">
                  <c:v>63.53285874592062</c:v>
                </c:pt>
                <c:pt idx="38">
                  <c:v>64.321805325259831</c:v>
                </c:pt>
                <c:pt idx="39">
                  <c:v>65.124654410493989</c:v>
                </c:pt>
                <c:pt idx="40">
                  <c:v>65.94126666104512</c:v>
                </c:pt>
                <c:pt idx="41">
                  <c:v>66.771503270682615</c:v>
                </c:pt>
                <c:pt idx="42">
                  <c:v>67.615225967523358</c:v>
                </c:pt>
                <c:pt idx="43">
                  <c:v>68.472297014031568</c:v>
                </c:pt>
                <c:pt idx="44">
                  <c:v>69.342579207018957</c:v>
                </c:pt>
                <c:pt idx="45">
                  <c:v>70.225935877644659</c:v>
                </c:pt>
                <c:pt idx="46">
                  <c:v>71.122230891415143</c:v>
                </c:pt>
                <c:pt idx="47">
                  <c:v>72.031328648184385</c:v>
                </c:pt>
                <c:pt idx="48">
                  <c:v>72.953094082153768</c:v>
                </c:pt>
                <c:pt idx="49">
                  <c:v>73.887392661872042</c:v>
                </c:pt>
                <c:pt idx="50">
                  <c:v>74.83409039023546</c:v>
                </c:pt>
                <c:pt idx="51">
                  <c:v>75.793053804487585</c:v>
                </c:pt>
                <c:pt idx="52">
                  <c:v>76.764149976219542</c:v>
                </c:pt>
                <c:pt idx="53">
                  <c:v>77.747246511369738</c:v>
                </c:pt>
                <c:pt idx="54">
                  <c:v>78.742211550224113</c:v>
                </c:pt>
                <c:pt idx="55">
                  <c:v>79.748913767415914</c:v>
                </c:pt>
                <c:pt idx="56">
                  <c:v>80.767222371925925</c:v>
                </c:pt>
                <c:pt idx="57">
                  <c:v>81.79700710708228</c:v>
                </c:pt>
                <c:pt idx="58">
                  <c:v>82.838138250560576</c:v>
                </c:pt>
                <c:pt idx="59">
                  <c:v>83.890486614383747</c:v>
                </c:pt>
                <c:pt idx="60">
                  <c:v>84.953923544922233</c:v>
                </c:pt>
                <c:pt idx="61">
                  <c:v>86.028320922893855</c:v>
                </c:pt>
                <c:pt idx="62">
                  <c:v>87.113551163363894</c:v>
                </c:pt>
                <c:pt idx="63">
                  <c:v>88.209487215744986</c:v>
                </c:pt>
                <c:pt idx="64">
                  <c:v>89.316002563797269</c:v>
                </c:pt>
                <c:pt idx="65">
                  <c:v>90.432971225628208</c:v>
                </c:pt>
                <c:pt idx="66">
                  <c:v>91.560267753692756</c:v>
                </c:pt>
                <c:pt idx="67">
                  <c:v>92.697767234793275</c:v>
                </c:pt>
                <c:pt idx="68">
                  <c:v>93.84534529007955</c:v>
                </c:pt>
                <c:pt idx="69">
                  <c:v>95.002878075048741</c:v>
                </c:pt>
                <c:pt idx="70">
                  <c:v>96.170242279545477</c:v>
                </c:pt>
                <c:pt idx="71">
                  <c:v>97.347315127761803</c:v>
                </c:pt>
                <c:pt idx="72">
                  <c:v>98.533974378237176</c:v>
                </c:pt>
                <c:pt idx="73">
                  <c:v>99.730098323858456</c:v>
                </c:pt>
                <c:pt idx="74">
                  <c:v>100.93556579185996</c:v>
                </c:pt>
                <c:pt idx="75">
                  <c:v>102.15025614382337</c:v>
                </c:pt>
                <c:pt idx="76">
                  <c:v>103.37404927567788</c:v>
                </c:pt>
                <c:pt idx="77">
                  <c:v>104.60682561769997</c:v>
                </c:pt>
                <c:pt idx="78">
                  <c:v>105.8484661345137</c:v>
                </c:pt>
                <c:pt idx="79">
                  <c:v>107.09885232509042</c:v>
                </c:pt>
                <c:pt idx="80">
                  <c:v>108.35786622274895</c:v>
                </c:pt>
                <c:pt idx="81">
                  <c:v>109.62539039515553</c:v>
                </c:pt>
                <c:pt idx="82">
                  <c:v>110.90130794432383</c:v>
                </c:pt>
                <c:pt idx="83">
                  <c:v>112.18550250661495</c:v>
                </c:pt>
                <c:pt idx="84">
                  <c:v>113.47785825273736</c:v>
                </c:pt>
                <c:pt idx="85">
                  <c:v>114.77825988774698</c:v>
                </c:pt>
                <c:pt idx="86">
                  <c:v>116.08659265104716</c:v>
                </c:pt>
                <c:pt idx="87">
                  <c:v>117.40274231638865</c:v>
                </c:pt>
                <c:pt idx="88">
                  <c:v>118.72659519186966</c:v>
                </c:pt>
                <c:pt idx="89">
                  <c:v>120.05803811993576</c:v>
                </c:pt>
                <c:pt idx="90">
                  <c:v>121.39695847737997</c:v>
                </c:pt>
                <c:pt idx="91">
                  <c:v>122.74324417534277</c:v>
                </c:pt>
                <c:pt idx="92">
                  <c:v>124.09678365931201</c:v>
                </c:pt>
                <c:pt idx="93">
                  <c:v>125.45746590912294</c:v>
                </c:pt>
                <c:pt idx="94">
                  <c:v>126.8251804389583</c:v>
                </c:pt>
                <c:pt idx="95">
                  <c:v>128.1998172973482</c:v>
                </c:pt>
                <c:pt idx="96">
                  <c:v>129.58126706717019</c:v>
                </c:pt>
                <c:pt idx="97">
                  <c:v>130.96942086564923</c:v>
                </c:pt>
                <c:pt idx="98">
                  <c:v>132.36417034435772</c:v>
                </c:pt>
                <c:pt idx="99">
                  <c:v>133.76540768921541</c:v>
                </c:pt>
                <c:pt idx="100">
                  <c:v>135.17302562048962</c:v>
                </c:pt>
                <c:pt idx="101">
                  <c:v>136.58691739279493</c:v>
                </c:pt>
                <c:pt idx="102">
                  <c:v>138.00697679509341</c:v>
                </c:pt>
                <c:pt idx="103">
                  <c:v>139.43309815069458</c:v>
                </c:pt>
                <c:pt idx="104">
                  <c:v>140.86517631725528</c:v>
                </c:pt>
                <c:pt idx="105">
                  <c:v>142.3031066867799</c:v>
                </c:pt>
                <c:pt idx="106">
                  <c:v>143.74678518562021</c:v>
                </c:pt>
                <c:pt idx="107">
                  <c:v>145.19610827447534</c:v>
                </c:pt>
                <c:pt idx="108">
                  <c:v>146.65097294839182</c:v>
                </c:pt>
                <c:pt idx="109">
                  <c:v>148.11127673676378</c:v>
                </c:pt>
                <c:pt idx="110">
                  <c:v>149.57691770333258</c:v>
                </c:pt>
                <c:pt idx="111">
                  <c:v>151.04779444618705</c:v>
                </c:pt>
                <c:pt idx="112">
                  <c:v>152.5238060977635</c:v>
                </c:pt>
                <c:pt idx="113">
                  <c:v>154.00485232484559</c:v>
                </c:pt>
                <c:pt idx="114">
                  <c:v>155.49083332856449</c:v>
                </c:pt>
                <c:pt idx="115">
                  <c:v>156.98164984439867</c:v>
                </c:pt>
                <c:pt idx="116">
                  <c:v>158.47720314217412</c:v>
                </c:pt>
                <c:pt idx="117">
                  <c:v>159.97739502606416</c:v>
                </c:pt>
                <c:pt idx="118">
                  <c:v>161.48212783458962</c:v>
                </c:pt>
                <c:pt idx="119">
                  <c:v>162.99130444061876</c:v>
                </c:pt>
                <c:pt idx="120">
                  <c:v>164.50482825136714</c:v>
                </c:pt>
                <c:pt idx="121">
                  <c:v>166.02260320839787</c:v>
                </c:pt>
                <c:pt idx="122">
                  <c:v>167.54453378762133</c:v>
                </c:pt>
                <c:pt idx="123">
                  <c:v>169.07052499929551</c:v>
                </c:pt>
                <c:pt idx="124">
                  <c:v>170.60048238802568</c:v>
                </c:pt>
                <c:pt idx="125">
                  <c:v>172.13431203276463</c:v>
                </c:pt>
                <c:pt idx="126">
                  <c:v>173.67192054681243</c:v>
                </c:pt>
                <c:pt idx="127">
                  <c:v>175.21321507781673</c:v>
                </c:pt>
                <c:pt idx="128">
                  <c:v>176.75810330777244</c:v>
                </c:pt>
                <c:pt idx="129">
                  <c:v>178.30649345302206</c:v>
                </c:pt>
                <c:pt idx="130">
                  <c:v>179.85829426425539</c:v>
                </c:pt>
                <c:pt idx="131">
                  <c:v>181.41341502650971</c:v>
                </c:pt>
                <c:pt idx="132">
                  <c:v>182.97176555916974</c:v>
                </c:pt>
                <c:pt idx="133">
                  <c:v>184.53325621596741</c:v>
                </c:pt>
                <c:pt idx="134">
                  <c:v>186.09779788498238</c:v>
                </c:pt>
                <c:pt idx="135">
                  <c:v>187.66530198864163</c:v>
                </c:pt>
                <c:pt idx="136">
                  <c:v>189.23568048371939</c:v>
                </c:pt>
                <c:pt idx="137">
                  <c:v>190.80884586133752</c:v>
                </c:pt>
                <c:pt idx="138">
                  <c:v>192.38471114696512</c:v>
                </c:pt>
                <c:pt idx="139">
                  <c:v>193.963189900419</c:v>
                </c:pt>
                <c:pt idx="140">
                  <c:v>195.54419621586302</c:v>
                </c:pt>
                <c:pt idx="141">
                  <c:v>197.12764472180874</c:v>
                </c:pt>
                <c:pt idx="142">
                  <c:v>198.71345058111498</c:v>
                </c:pt>
                <c:pt idx="143">
                  <c:v>200.30152949098812</c:v>
                </c:pt>
                <c:pt idx="144">
                  <c:v>201.8917976829818</c:v>
                </c:pt>
                <c:pt idx="145">
                  <c:v>203.48417192299715</c:v>
                </c:pt>
                <c:pt idx="146">
                  <c:v>205.07856951128284</c:v>
                </c:pt>
                <c:pt idx="147">
                  <c:v>206.67490828243476</c:v>
                </c:pt>
                <c:pt idx="148">
                  <c:v>208.27310660539641</c:v>
                </c:pt>
                <c:pt idx="149">
                  <c:v>209.87308338345852</c:v>
                </c:pt>
                <c:pt idx="150">
                  <c:v>211.47475805425935</c:v>
                </c:pt>
                <c:pt idx="151">
                  <c:v>213.07805058978457</c:v>
                </c:pt>
                <c:pt idx="152">
                  <c:v>214.68288149636732</c:v>
                </c:pt>
                <c:pt idx="153">
                  <c:v>216.28917181468802</c:v>
                </c:pt>
                <c:pt idx="154">
                  <c:v>217.89684311977462</c:v>
                </c:pt>
                <c:pt idx="155">
                  <c:v>219.50581752100248</c:v>
                </c:pt>
                <c:pt idx="156">
                  <c:v>221.11601766209438</c:v>
                </c:pt>
                <c:pt idx="157">
                  <c:v>222.72736672112049</c:v>
                </c:pt>
                <c:pt idx="158">
                  <c:v>224.33978841049844</c:v>
                </c:pt>
                <c:pt idx="159">
                  <c:v>225.95320697699321</c:v>
                </c:pt>
                <c:pt idx="160">
                  <c:v>227.56754720171733</c:v>
                </c:pt>
                <c:pt idx="161">
                  <c:v>229.18273440013056</c:v>
                </c:pt>
                <c:pt idx="162">
                  <c:v>230.79869442204037</c:v>
                </c:pt>
                <c:pt idx="163">
                  <c:v>232.41535365160112</c:v>
                </c:pt>
                <c:pt idx="164">
                  <c:v>234.03263900731528</c:v>
                </c:pt>
                <c:pt idx="165">
                  <c:v>235.65047794203232</c:v>
                </c:pt>
                <c:pt idx="166">
                  <c:v>237.26879844294916</c:v>
                </c:pt>
                <c:pt idx="167">
                  <c:v>238.88752903161017</c:v>
                </c:pt>
                <c:pt idx="168">
                  <c:v>240.50659876390722</c:v>
                </c:pt>
                <c:pt idx="169">
                  <c:v>242.1259372300795</c:v>
                </c:pt>
                <c:pt idx="170">
                  <c:v>243.74547455471367</c:v>
                </c:pt>
                <c:pt idx="171">
                  <c:v>245.36514139674384</c:v>
                </c:pt>
                <c:pt idx="172">
                  <c:v>246.98486894945145</c:v>
                </c:pt>
                <c:pt idx="173">
                  <c:v>248.60458894046539</c:v>
                </c:pt>
                <c:pt idx="174">
                  <c:v>250.22423363176213</c:v>
                </c:pt>
                <c:pt idx="175">
                  <c:v>251.84373581966528</c:v>
                </c:pt>
                <c:pt idx="176">
                  <c:v>253.46302883484606</c:v>
                </c:pt>
                <c:pt idx="177">
                  <c:v>255.08204654232304</c:v>
                </c:pt>
                <c:pt idx="178">
                  <c:v>256.70072334146232</c:v>
                </c:pt>
                <c:pt idx="179">
                  <c:v>258.31899416597724</c:v>
                </c:pt>
                <c:pt idx="180">
                  <c:v>259.93679448392868</c:v>
                </c:pt>
                <c:pt idx="181">
                  <c:v>261.55406029772496</c:v>
                </c:pt>
                <c:pt idx="182">
                  <c:v>263.17072814412171</c:v>
                </c:pt>
                <c:pt idx="183">
                  <c:v>264.78673509422214</c:v>
                </c:pt>
                <c:pt idx="184">
                  <c:v>266.4020187534768</c:v>
                </c:pt>
                <c:pt idx="185">
                  <c:v>268.01651726168336</c:v>
                </c:pt>
                <c:pt idx="186">
                  <c:v>269.63016929298755</c:v>
                </c:pt>
                <c:pt idx="187">
                  <c:v>271.24291405588201</c:v>
                </c:pt>
                <c:pt idx="188">
                  <c:v>272.854691293207</c:v>
                </c:pt>
                <c:pt idx="189">
                  <c:v>274.4654412821501</c:v>
                </c:pt>
                <c:pt idx="190">
                  <c:v>276.07510483424636</c:v>
                </c:pt>
                <c:pt idx="191">
                  <c:v>277.68362329537837</c:v>
                </c:pt>
                <c:pt idx="192">
                  <c:v>279.29093854577599</c:v>
                </c:pt>
                <c:pt idx="193">
                  <c:v>280.89699300001649</c:v>
                </c:pt>
                <c:pt idx="194">
                  <c:v>282.50172960702463</c:v>
                </c:pt>
                <c:pt idx="195">
                  <c:v>284.1050918500726</c:v>
                </c:pt>
                <c:pt idx="196">
                  <c:v>285.7070237467799</c:v>
                </c:pt>
                <c:pt idx="197">
                  <c:v>287.3074698491136</c:v>
                </c:pt>
                <c:pt idx="198">
                  <c:v>288.90637524338814</c:v>
                </c:pt>
                <c:pt idx="199">
                  <c:v>290.50368555026535</c:v>
                </c:pt>
                <c:pt idx="200">
                  <c:v>292.09934692475451</c:v>
                </c:pt>
                <c:pt idx="201">
                  <c:v>293.69330605621207</c:v>
                </c:pt>
                <c:pt idx="202">
                  <c:v>295.28551016834251</c:v>
                </c:pt>
                <c:pt idx="203">
                  <c:v>296.87590701919714</c:v>
                </c:pt>
                <c:pt idx="204">
                  <c:v>298.46444490117494</c:v>
                </c:pt>
                <c:pt idx="205">
                  <c:v>300.05107264102224</c:v>
                </c:pt>
                <c:pt idx="206">
                  <c:v>301.6357395998329</c:v>
                </c:pt>
                <c:pt idx="207">
                  <c:v>303.21839567304806</c:v>
                </c:pt>
                <c:pt idx="208">
                  <c:v>304.79899129045634</c:v>
                </c:pt>
                <c:pt idx="209">
                  <c:v>306.37747741619387</c:v>
                </c:pt>
                <c:pt idx="210">
                  <c:v>307.95380554874401</c:v>
                </c:pt>
                <c:pt idx="211">
                  <c:v>309.52792772093761</c:v>
                </c:pt>
                <c:pt idx="212">
                  <c:v>311.09979649995336</c:v>
                </c:pt>
                <c:pt idx="213">
                  <c:v>312.6693649873165</c:v>
                </c:pt>
                <c:pt idx="214">
                  <c:v>314.23658681890038</c:v>
                </c:pt>
                <c:pt idx="215">
                  <c:v>315.80141616492557</c:v>
                </c:pt>
                <c:pt idx="216">
                  <c:v>317.36380772996006</c:v>
                </c:pt>
                <c:pt idx="217">
                  <c:v>318.92371675291918</c:v>
                </c:pt>
                <c:pt idx="218">
                  <c:v>320.48109900706595</c:v>
                </c:pt>
                <c:pt idx="219">
                  <c:v>322.03591080001041</c:v>
                </c:pt>
                <c:pt idx="220">
                  <c:v>323.58810897371023</c:v>
                </c:pt>
                <c:pt idx="221">
                  <c:v>325.13765090447066</c:v>
                </c:pt>
                <c:pt idx="222">
                  <c:v>326.68449450294423</c:v>
                </c:pt>
                <c:pt idx="223">
                  <c:v>328.22859821413067</c:v>
                </c:pt>
                <c:pt idx="224">
                  <c:v>329.76992101737738</c:v>
                </c:pt>
                <c:pt idx="225">
                  <c:v>331.30842242637937</c:v>
                </c:pt>
                <c:pt idx="226">
                  <c:v>332.84406248917844</c:v>
                </c:pt>
                <c:pt idx="227">
                  <c:v>334.37680178816458</c:v>
                </c:pt>
                <c:pt idx="228">
                  <c:v>335.90660144007461</c:v>
                </c:pt>
                <c:pt idx="229">
                  <c:v>337.43342309599291</c:v>
                </c:pt>
                <c:pt idx="230">
                  <c:v>338.95722894135167</c:v>
                </c:pt>
                <c:pt idx="231">
                  <c:v>340.47798169592988</c:v>
                </c:pt>
                <c:pt idx="232">
                  <c:v>341.99564461385449</c:v>
                </c:pt>
                <c:pt idx="233">
                  <c:v>343.51018148359935</c:v>
                </c:pt>
                <c:pt idx="234">
                  <c:v>345.02155662798623</c:v>
                </c:pt>
                <c:pt idx="235">
                  <c:v>346.52973490418401</c:v>
                </c:pt>
                <c:pt idx="236">
                  <c:v>348.03468170370917</c:v>
                </c:pt>
                <c:pt idx="237">
                  <c:v>349.53636295242541</c:v>
                </c:pt>
                <c:pt idx="238">
                  <c:v>351.03474511054412</c:v>
                </c:pt>
                <c:pt idx="239">
                  <c:v>352.52979517262384</c:v>
                </c:pt>
                <c:pt idx="240">
                  <c:v>354.02148066757053</c:v>
                </c:pt>
                <c:pt idx="241">
                  <c:v>355.50976965863811</c:v>
                </c:pt>
                <c:pt idx="242">
                  <c:v>356.99463074342702</c:v>
                </c:pt>
                <c:pt idx="243">
                  <c:v>358.47603305388589</c:v>
                </c:pt>
                <c:pt idx="244">
                  <c:v>359.9539462563103</c:v>
                </c:pt>
                <c:pt idx="245">
                  <c:v>361.42834055134375</c:v>
                </c:pt>
                <c:pt idx="246">
                  <c:v>362.89918667397632</c:v>
                </c:pt>
                <c:pt idx="247">
                  <c:v>364.36645589354657</c:v>
                </c:pt>
                <c:pt idx="248">
                  <c:v>365.83012001373959</c:v>
                </c:pt>
                <c:pt idx="249">
                  <c:v>367.29015137258835</c:v>
                </c:pt>
                <c:pt idx="250">
                  <c:v>368.74652284247293</c:v>
                </c:pt>
                <c:pt idx="251">
                  <c:v>370.19920783012157</c:v>
                </c:pt>
                <c:pt idx="252">
                  <c:v>371.64818027660874</c:v>
                </c:pt>
                <c:pt idx="253">
                  <c:v>373.09341465735736</c:v>
                </c:pt>
                <c:pt idx="254">
                  <c:v>374.5348859821375</c:v>
                </c:pt>
                <c:pt idx="255">
                  <c:v>375.97256979506619</c:v>
                </c:pt>
                <c:pt idx="256">
                  <c:v>377.40644217460846</c:v>
                </c:pt>
                <c:pt idx="257">
                  <c:v>378.83647973357654</c:v>
                </c:pt>
                <c:pt idx="258">
                  <c:v>380.26265961912986</c:v>
                </c:pt>
                <c:pt idx="259">
                  <c:v>381.68495951277566</c:v>
                </c:pt>
                <c:pt idx="260">
                  <c:v>383.10335763036846</c:v>
                </c:pt>
                <c:pt idx="261">
                  <c:v>384.51783272211014</c:v>
                </c:pt>
                <c:pt idx="262">
                  <c:v>385.92836407254998</c:v>
                </c:pt>
                <c:pt idx="263">
                  <c:v>387.33493150058462</c:v>
                </c:pt>
                <c:pt idx="264">
                  <c:v>388.73751535945854</c:v>
                </c:pt>
                <c:pt idx="265">
                  <c:v>390.13609653676292</c:v>
                </c:pt>
                <c:pt idx="266">
                  <c:v>391.53065645443712</c:v>
                </c:pt>
                <c:pt idx="267">
                  <c:v>392.92117706876729</c:v>
                </c:pt>
                <c:pt idx="268">
                  <c:v>394.30764087038756</c:v>
                </c:pt>
                <c:pt idx="269">
                  <c:v>395.69003088427894</c:v>
                </c:pt>
                <c:pt idx="270">
                  <c:v>397.06833066977038</c:v>
                </c:pt>
                <c:pt idx="271">
                  <c:v>398.44252432053759</c:v>
                </c:pt>
                <c:pt idx="272">
                  <c:v>399.81259646460461</c:v>
                </c:pt>
                <c:pt idx="273">
                  <c:v>401.17853226434192</c:v>
                </c:pt>
                <c:pt idx="274">
                  <c:v>402.54031741646827</c:v>
                </c:pt>
                <c:pt idx="275">
                  <c:v>403.89793815204905</c:v>
                </c:pt>
                <c:pt idx="276">
                  <c:v>405.25138123649788</c:v>
                </c:pt>
                <c:pt idx="277">
                  <c:v>406.60063396957503</c:v>
                </c:pt>
                <c:pt idx="278">
                  <c:v>407.94568418538887</c:v>
                </c:pt>
                <c:pt idx="279">
                  <c:v>409.28652025239467</c:v>
                </c:pt>
                <c:pt idx="280">
                  <c:v>410.62313107339548</c:v>
                </c:pt>
                <c:pt idx="281">
                  <c:v>411.9555060855414</c:v>
                </c:pt>
                <c:pt idx="282">
                  <c:v>413.28363526033036</c:v>
                </c:pt>
                <c:pt idx="283">
                  <c:v>414.6075091036073</c:v>
                </c:pt>
                <c:pt idx="284">
                  <c:v>415.92711865556487</c:v>
                </c:pt>
                <c:pt idx="285">
                  <c:v>417.2424554907434</c:v>
                </c:pt>
                <c:pt idx="286">
                  <c:v>418.55351171802977</c:v>
                </c:pt>
                <c:pt idx="287">
                  <c:v>419.86027998065913</c:v>
                </c:pt>
                <c:pt idx="288">
                  <c:v>421.16275345621369</c:v>
                </c:pt>
                <c:pt idx="289">
                  <c:v>422.46092585662313</c:v>
                </c:pt>
                <c:pt idx="290">
                  <c:v>423.75479142816442</c:v>
                </c:pt>
                <c:pt idx="291">
                  <c:v>425.04434495146228</c:v>
                </c:pt>
                <c:pt idx="292">
                  <c:v>426.32958174148848</c:v>
                </c:pt>
                <c:pt idx="293">
                  <c:v>427.61049764756251</c:v>
                </c:pt>
                <c:pt idx="294">
                  <c:v>428.88708905335091</c:v>
                </c:pt>
                <c:pt idx="295">
                  <c:v>430.15935287686807</c:v>
                </c:pt>
                <c:pt idx="296">
                  <c:v>431.42728657047576</c:v>
                </c:pt>
                <c:pt idx="297">
                  <c:v>432.69088812088262</c:v>
                </c:pt>
                <c:pt idx="298">
                  <c:v>433.95015604914545</c:v>
                </c:pt>
                <c:pt idx="299">
                  <c:v>435.20508941066811</c:v>
                </c:pt>
                <c:pt idx="300">
                  <c:v>436.45568779520164</c:v>
                </c:pt>
                <c:pt idx="301">
                  <c:v>437.70195132684483</c:v>
                </c:pt>
                <c:pt idx="302">
                  <c:v>438.94388066404417</c:v>
                </c:pt>
                <c:pt idx="303">
                  <c:v>440.18147699959258</c:v>
                </c:pt>
                <c:pt idx="304">
                  <c:v>441.41474206063174</c:v>
                </c:pt>
                <c:pt idx="305">
                  <c:v>442.64367810864962</c:v>
                </c:pt>
                <c:pt idx="306">
                  <c:v>443.86828793948217</c:v>
                </c:pt>
                <c:pt idx="307">
                  <c:v>445.08857488331256</c:v>
                </c:pt>
                <c:pt idx="308">
                  <c:v>446.30454280467154</c:v>
                </c:pt>
                <c:pt idx="309">
                  <c:v>447.51619610243716</c:v>
                </c:pt>
                <c:pt idx="310">
                  <c:v>448.72353970983477</c:v>
                </c:pt>
                <c:pt idx="311">
                  <c:v>449.92657909443767</c:v>
                </c:pt>
                <c:pt idx="312">
                  <c:v>451.12532025816586</c:v>
                </c:pt>
                <c:pt idx="313">
                  <c:v>452.31976973728717</c:v>
                </c:pt>
                <c:pt idx="314">
                  <c:v>453.50993460241676</c:v>
                </c:pt>
                <c:pt idx="315">
                  <c:v>454.69582245851757</c:v>
                </c:pt>
                <c:pt idx="316">
                  <c:v>455.87744144489915</c:v>
                </c:pt>
                <c:pt idx="317">
                  <c:v>457.05480023521932</c:v>
                </c:pt>
                <c:pt idx="318">
                  <c:v>458.22790803748256</c:v>
                </c:pt>
                <c:pt idx="319">
                  <c:v>459.3967745940414</c:v>
                </c:pt>
                <c:pt idx="320">
                  <c:v>460.56141018159565</c:v>
                </c:pt>
                <c:pt idx="321">
                  <c:v>461.72182561119229</c:v>
                </c:pt>
                <c:pt idx="322">
                  <c:v>462.87803222822583</c:v>
                </c:pt>
                <c:pt idx="323">
                  <c:v>464.03004191243838</c:v>
                </c:pt>
                <c:pt idx="324">
                  <c:v>465.17786707791942</c:v>
                </c:pt>
                <c:pt idx="325">
                  <c:v>466.32152067310523</c:v>
                </c:pt>
                <c:pt idx="326">
                  <c:v>467.4610161807804</c:v>
                </c:pt>
                <c:pt idx="327">
                  <c:v>468.59636761807667</c:v>
                </c:pt>
                <c:pt idx="328">
                  <c:v>469.72758953647315</c:v>
                </c:pt>
                <c:pt idx="329">
                  <c:v>470.8546970217962</c:v>
                </c:pt>
                <c:pt idx="330">
                  <c:v>471.97770569421954</c:v>
                </c:pt>
                <c:pt idx="331">
                  <c:v>473.09663170826457</c:v>
                </c:pt>
                <c:pt idx="332">
                  <c:v>474.21149175280061</c:v>
                </c:pt>
                <c:pt idx="333">
                  <c:v>475.32230305104292</c:v>
                </c:pt>
                <c:pt idx="334">
                  <c:v>476.42908336055569</c:v>
                </c:pt>
                <c:pt idx="335">
                  <c:v>477.53185097324962</c:v>
                </c:pt>
                <c:pt idx="336">
                  <c:v>478.63062471538382</c:v>
                </c:pt>
                <c:pt idx="337">
                  <c:v>479.72542394756317</c:v>
                </c:pt>
                <c:pt idx="338">
                  <c:v>480.81626856474145</c:v>
                </c:pt>
                <c:pt idx="339">
                  <c:v>481.9031789962192</c:v>
                </c:pt>
                <c:pt idx="340">
                  <c:v>482.98617620564482</c:v>
                </c:pt>
                <c:pt idx="341">
                  <c:v>484.06528169101387</c:v>
                </c:pt>
                <c:pt idx="342">
                  <c:v>485.14051748466898</c:v>
                </c:pt>
                <c:pt idx="343">
                  <c:v>486.21190615330062</c:v>
                </c:pt>
                <c:pt idx="344">
                  <c:v>487.27947079794632</c:v>
                </c:pt>
                <c:pt idx="345">
                  <c:v>488.3432350539922</c:v>
                </c:pt>
                <c:pt idx="346">
                  <c:v>489.40322309116954</c:v>
                </c:pt>
                <c:pt idx="347">
                  <c:v>490.45945961355983</c:v>
                </c:pt>
                <c:pt idx="348">
                  <c:v>491.51196985958927</c:v>
                </c:pt>
                <c:pt idx="349">
                  <c:v>492.56077960203362</c:v>
                </c:pt>
                <c:pt idx="350">
                  <c:v>493.60591514801501</c:v>
                </c:pt>
                <c:pt idx="351">
                  <c:v>494.64740333900289</c:v>
                </c:pt>
                <c:pt idx="352">
                  <c:v>495.6852715508146</c:v>
                </c:pt>
                <c:pt idx="353">
                  <c:v>496.71954769361508</c:v>
                </c:pt>
                <c:pt idx="354">
                  <c:v>497.75026021191559</c:v>
                </c:pt>
                <c:pt idx="355">
                  <c:v>498.77743808457609</c:v>
                </c:pt>
                <c:pt idx="356">
                  <c:v>499.80111082480329</c:v>
                </c:pt>
                <c:pt idx="357">
                  <c:v>500.82130848015134</c:v>
                </c:pt>
                <c:pt idx="358">
                  <c:v>501.83806163252228</c:v>
                </c:pt>
                <c:pt idx="359">
                  <c:v>502.85140139816474</c:v>
                </c:pt>
                <c:pt idx="360">
                  <c:v>503.86135942767538</c:v>
                </c:pt>
                <c:pt idx="361">
                  <c:v>504.86796790599868</c:v>
                </c:pt>
                <c:pt idx="362">
                  <c:v>505.87125955242504</c:v>
                </c:pt>
                <c:pt idx="363">
                  <c:v>506.87126762059376</c:v>
                </c:pt>
                <c:pt idx="364">
                  <c:v>507.86802589849077</c:v>
                </c:pt>
                <c:pt idx="365">
                  <c:v>508.86156870845036</c:v>
                </c:pt>
                <c:pt idx="366">
                  <c:v>509.85193090715325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4-4CD5-BF99-1CE3F8F25241}"/>
            </c:ext>
          </c:extLst>
        </c:ser>
        <c:ser>
          <c:idx val="2"/>
          <c:order val="2"/>
          <c:tx>
            <c:strRef>
              <c:f>'Model tilvækst, slagteform, fe'!$C$8</c:f>
              <c:strCache>
                <c:ptCount val="1"/>
                <c:pt idx="0">
                  <c:v>kryds_tyr_vægt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fe'!$C$9:$C$375</c:f>
              <c:numCache>
                <c:formatCode>#,##0.0</c:formatCode>
                <c:ptCount val="367"/>
                <c:pt idx="0">
                  <c:v>46.209708417807079</c:v>
                </c:pt>
                <c:pt idx="1">
                  <c:v>46.577483347283071</c:v>
                </c:pt>
                <c:pt idx="2">
                  <c:v>46.966091730697933</c:v>
                </c:pt>
                <c:pt idx="3">
                  <c:v>47.37535577961831</c:v>
                </c:pt>
                <c:pt idx="4">
                  <c:v>47.805098326547437</c:v>
                </c:pt>
                <c:pt idx="5">
                  <c:v>48.255142824925159</c:v>
                </c:pt>
                <c:pt idx="6">
                  <c:v>48.725313349127951</c:v>
                </c:pt>
                <c:pt idx="7">
                  <c:v>49.215434594468867</c:v>
                </c:pt>
                <c:pt idx="8">
                  <c:v>49.725331877197611</c:v>
                </c:pt>
                <c:pt idx="9">
                  <c:v>50.254831134500485</c:v>
                </c:pt>
                <c:pt idx="10">
                  <c:v>50.8037589245004</c:v>
                </c:pt>
                <c:pt idx="11">
                  <c:v>51.371942426256908</c:v>
                </c:pt>
                <c:pt idx="12">
                  <c:v>51.95920943976612</c:v>
                </c:pt>
                <c:pt idx="13">
                  <c:v>52.565388385960823</c:v>
                </c:pt>
                <c:pt idx="14">
                  <c:v>53.190308306710371</c:v>
                </c:pt>
                <c:pt idx="15">
                  <c:v>53.83379886482075</c:v>
                </c:pt>
                <c:pt idx="16">
                  <c:v>54.495690344034564</c:v>
                </c:pt>
                <c:pt idx="17">
                  <c:v>55.175813649031014</c:v>
                </c:pt>
                <c:pt idx="18">
                  <c:v>55.874000305425938</c:v>
                </c:pt>
                <c:pt idx="19">
                  <c:v>56.590082459771764</c:v>
                </c:pt>
                <c:pt idx="20">
                  <c:v>57.323892879557555</c:v>
                </c:pt>
                <c:pt idx="21">
                  <c:v>58.075264953208944</c:v>
                </c:pt>
                <c:pt idx="22">
                  <c:v>58.844032690088262</c:v>
                </c:pt>
                <c:pt idx="23">
                  <c:v>59.630030720494361</c:v>
                </c:pt>
                <c:pt idx="24">
                  <c:v>60.433094295662748</c:v>
                </c:pt>
                <c:pt idx="25">
                  <c:v>61.253059287765559</c:v>
                </c:pt>
                <c:pt idx="26">
                  <c:v>62.089762189911518</c:v>
                </c:pt>
                <c:pt idx="27">
                  <c:v>62.943040116145973</c:v>
                </c:pt>
                <c:pt idx="28">
                  <c:v>63.812730801450876</c:v>
                </c:pt>
                <c:pt idx="29">
                  <c:v>64.698672601744804</c:v>
                </c:pt>
                <c:pt idx="30">
                  <c:v>65.600704493882944</c:v>
                </c:pt>
                <c:pt idx="31">
                  <c:v>66.518666075657094</c:v>
                </c:pt>
                <c:pt idx="32">
                  <c:v>67.452397565795678</c:v>
                </c:pt>
                <c:pt idx="33">
                  <c:v>68.401739803963693</c:v>
                </c:pt>
                <c:pt idx="34">
                  <c:v>69.366534250762825</c:v>
                </c:pt>
                <c:pt idx="35">
                  <c:v>70.34662298773128</c:v>
                </c:pt>
                <c:pt idx="36">
                  <c:v>71.341848717343964</c:v>
                </c:pt>
                <c:pt idx="37">
                  <c:v>72.352054763012305</c:v>
                </c:pt>
                <c:pt idx="38">
                  <c:v>73.377085069084444</c:v>
                </c:pt>
                <c:pt idx="39">
                  <c:v>74.416784200845086</c:v>
                </c:pt>
                <c:pt idx="40">
                  <c:v>75.470997344515524</c:v>
                </c:pt>
                <c:pt idx="41">
                  <c:v>76.539570307253726</c:v>
                </c:pt>
                <c:pt idx="42">
                  <c:v>77.622349517154191</c:v>
                </c:pt>
                <c:pt idx="43">
                  <c:v>78.719182023248138</c:v>
                </c:pt>
                <c:pt idx="44">
                  <c:v>79.8299154955033</c:v>
                </c:pt>
                <c:pt idx="45">
                  <c:v>80.954398224824089</c:v>
                </c:pt>
                <c:pt idx="46">
                  <c:v>82.092479123051461</c:v>
                </c:pt>
                <c:pt idx="47">
                  <c:v>83.24400772296309</c:v>
                </c:pt>
                <c:pt idx="48">
                  <c:v>84.408834178273182</c:v>
                </c:pt>
                <c:pt idx="49">
                  <c:v>85.586809263632588</c:v>
                </c:pt>
                <c:pt idx="50">
                  <c:v>86.777784374628723</c:v>
                </c:pt>
                <c:pt idx="51">
                  <c:v>87.981611527785674</c:v>
                </c:pt>
                <c:pt idx="52">
                  <c:v>89.198143360564146</c:v>
                </c:pt>
                <c:pt idx="53">
                  <c:v>90.427233131361433</c:v>
                </c:pt>
                <c:pt idx="54">
                  <c:v>91.668734719511406</c:v>
                </c:pt>
                <c:pt idx="55">
                  <c:v>92.922502625284622</c:v>
                </c:pt>
                <c:pt idx="56">
                  <c:v>94.188391969888201</c:v>
                </c:pt>
                <c:pt idx="57">
                  <c:v>95.466258495465908</c:v>
                </c:pt>
                <c:pt idx="58">
                  <c:v>96.755958565098098</c:v>
                </c:pt>
                <c:pt idx="59">
                  <c:v>98.057349162801728</c:v>
                </c:pt>
                <c:pt idx="60">
                  <c:v>99.370287893530403</c:v>
                </c:pt>
                <c:pt idx="61">
                  <c:v>100.69463298317434</c:v>
                </c:pt>
                <c:pt idx="62">
                  <c:v>102.03024327856033</c:v>
                </c:pt>
                <c:pt idx="63">
                  <c:v>103.37697824745183</c:v>
                </c:pt>
                <c:pt idx="64">
                  <c:v>104.73469797854884</c:v>
                </c:pt>
                <c:pt idx="65">
                  <c:v>106.10326318148806</c:v>
                </c:pt>
                <c:pt idx="66">
                  <c:v>107.48253518684274</c:v>
                </c:pt>
                <c:pt idx="67">
                  <c:v>108.87237594612277</c:v>
                </c:pt>
                <c:pt idx="68">
                  <c:v>110.27264803177465</c:v>
                </c:pt>
                <c:pt idx="69">
                  <c:v>111.68321463718149</c:v>
                </c:pt>
                <c:pt idx="70">
                  <c:v>113.10393957666302</c:v>
                </c:pt>
                <c:pt idx="71">
                  <c:v>114.53468728547554</c:v>
                </c:pt>
                <c:pt idx="72">
                  <c:v>115.97532281981204</c:v>
                </c:pt>
                <c:pt idx="73">
                  <c:v>117.42571185680205</c:v>
                </c:pt>
                <c:pt idx="74">
                  <c:v>118.88572069451182</c:v>
                </c:pt>
                <c:pt idx="75">
                  <c:v>120.35521625194406</c:v>
                </c:pt>
                <c:pt idx="76">
                  <c:v>121.8340660690382</c:v>
                </c:pt>
                <c:pt idx="77">
                  <c:v>123.32213830667025</c:v>
                </c:pt>
                <c:pt idx="78">
                  <c:v>124.81930174665288</c:v>
                </c:pt>
                <c:pt idx="79">
                  <c:v>126.32542579173531</c:v>
                </c:pt>
                <c:pt idx="80">
                  <c:v>127.84038046560342</c:v>
                </c:pt>
                <c:pt idx="81">
                  <c:v>129.36403641287961</c:v>
                </c:pt>
                <c:pt idx="82">
                  <c:v>130.89626489912305</c:v>
                </c:pt>
                <c:pt idx="83">
                  <c:v>132.43693781082942</c:v>
                </c:pt>
                <c:pt idx="84">
                  <c:v>133.98592765543097</c:v>
                </c:pt>
                <c:pt idx="85">
                  <c:v>135.54310756129672</c:v>
                </c:pt>
                <c:pt idx="86">
                  <c:v>137.10835127773214</c:v>
                </c:pt>
                <c:pt idx="87">
                  <c:v>138.68153317497939</c:v>
                </c:pt>
                <c:pt idx="88">
                  <c:v>140.26252824421726</c:v>
                </c:pt>
                <c:pt idx="89">
                  <c:v>141.85121209756116</c:v>
                </c:pt>
                <c:pt idx="90">
                  <c:v>143.44746096806296</c:v>
                </c:pt>
                <c:pt idx="91">
                  <c:v>145.05115170971143</c:v>
                </c:pt>
                <c:pt idx="92">
                  <c:v>146.66216179743171</c:v>
                </c:pt>
                <c:pt idx="93">
                  <c:v>148.28036932708557</c:v>
                </c:pt>
                <c:pt idx="94">
                  <c:v>149.90565301547159</c:v>
                </c:pt>
                <c:pt idx="95">
                  <c:v>151.53789220032468</c:v>
                </c:pt>
                <c:pt idx="96">
                  <c:v>153.17696684031662</c:v>
                </c:pt>
                <c:pt idx="97">
                  <c:v>154.82275751505571</c:v>
                </c:pt>
                <c:pt idx="98">
                  <c:v>156.47514542508679</c:v>
                </c:pt>
                <c:pt idx="99">
                  <c:v>158.13401239189136</c:v>
                </c:pt>
                <c:pt idx="100">
                  <c:v>159.79924085788761</c:v>
                </c:pt>
                <c:pt idx="101">
                  <c:v>161.47071388643027</c:v>
                </c:pt>
                <c:pt idx="102">
                  <c:v>163.14831516181064</c:v>
                </c:pt>
                <c:pt idx="103">
                  <c:v>164.83192898925677</c:v>
                </c:pt>
                <c:pt idx="104">
                  <c:v>166.52144029493317</c:v>
                </c:pt>
                <c:pt idx="105">
                  <c:v>168.21673462594106</c:v>
                </c:pt>
                <c:pt idx="106">
                  <c:v>169.91769815031824</c:v>
                </c:pt>
                <c:pt idx="107">
                  <c:v>171.6242176570392</c:v>
                </c:pt>
                <c:pt idx="108">
                  <c:v>173.33618055601485</c:v>
                </c:pt>
                <c:pt idx="109">
                  <c:v>175.05347487809291</c:v>
                </c:pt>
                <c:pt idx="110">
                  <c:v>176.77598927505764</c:v>
                </c:pt>
                <c:pt idx="111">
                  <c:v>178.50361301962994</c:v>
                </c:pt>
                <c:pt idx="112">
                  <c:v>180.23623600546728</c:v>
                </c:pt>
                <c:pt idx="113">
                  <c:v>181.97374874716371</c:v>
                </c:pt>
                <c:pt idx="114">
                  <c:v>183.71604238024997</c:v>
                </c:pt>
                <c:pt idx="115">
                  <c:v>185.46300866119347</c:v>
                </c:pt>
                <c:pt idx="116">
                  <c:v>187.21453996739808</c:v>
                </c:pt>
                <c:pt idx="117">
                  <c:v>188.97052929720434</c:v>
                </c:pt>
                <c:pt idx="118">
                  <c:v>190.73087026988946</c:v>
                </c:pt>
                <c:pt idx="119">
                  <c:v>192.49545712566717</c:v>
                </c:pt>
                <c:pt idx="120">
                  <c:v>194.26418472568798</c:v>
                </c:pt>
                <c:pt idx="121">
                  <c:v>196.03694855203878</c:v>
                </c:pt>
                <c:pt idx="122">
                  <c:v>197.81364470774321</c:v>
                </c:pt>
                <c:pt idx="123">
                  <c:v>199.59416991676162</c:v>
                </c:pt>
                <c:pt idx="124">
                  <c:v>201.37842152399068</c:v>
                </c:pt>
                <c:pt idx="125">
                  <c:v>203.16629749526399</c:v>
                </c:pt>
                <c:pt idx="126">
                  <c:v>204.95769641735163</c:v>
                </c:pt>
                <c:pt idx="127">
                  <c:v>206.75251749796013</c:v>
                </c:pt>
                <c:pt idx="128">
                  <c:v>208.55066056573301</c:v>
                </c:pt>
                <c:pt idx="129">
                  <c:v>210.3520260702501</c:v>
                </c:pt>
                <c:pt idx="130">
                  <c:v>212.15651508202785</c:v>
                </c:pt>
                <c:pt idx="131">
                  <c:v>213.96402929251954</c:v>
                </c:pt>
                <c:pt idx="132">
                  <c:v>215.77447101411479</c:v>
                </c:pt>
                <c:pt idx="133">
                  <c:v>217.58774318014011</c:v>
                </c:pt>
                <c:pt idx="134">
                  <c:v>219.40374934485843</c:v>
                </c:pt>
                <c:pt idx="135">
                  <c:v>221.22239368346925</c:v>
                </c:pt>
                <c:pt idx="136">
                  <c:v>223.04358099210887</c:v>
                </c:pt>
                <c:pt idx="137">
                  <c:v>224.86721668785017</c:v>
                </c:pt>
                <c:pt idx="138">
                  <c:v>226.69320680870248</c:v>
                </c:pt>
                <c:pt idx="139">
                  <c:v>228.521458013612</c:v>
                </c:pt>
                <c:pt idx="140">
                  <c:v>230.35187758246124</c:v>
                </c:pt>
                <c:pt idx="141">
                  <c:v>232.18437341606955</c:v>
                </c:pt>
                <c:pt idx="142">
                  <c:v>234.01885403619278</c:v>
                </c:pt>
                <c:pt idx="143">
                  <c:v>235.85522858552343</c:v>
                </c:pt>
                <c:pt idx="144">
                  <c:v>237.69340682769072</c:v>
                </c:pt>
                <c:pt idx="145">
                  <c:v>239.53329914726024</c:v>
                </c:pt>
                <c:pt idx="146">
                  <c:v>241.37481654973445</c:v>
                </c:pt>
                <c:pt idx="147">
                  <c:v>243.21787066155233</c:v>
                </c:pt>
                <c:pt idx="148">
                  <c:v>245.06237373008938</c:v>
                </c:pt>
                <c:pt idx="149">
                  <c:v>246.90823862365772</c:v>
                </c:pt>
                <c:pt idx="150">
                  <c:v>248.75537883150631</c:v>
                </c:pt>
                <c:pt idx="151">
                  <c:v>250.60370846382048</c:v>
                </c:pt>
                <c:pt idx="152">
                  <c:v>252.4531422517222</c:v>
                </c:pt>
                <c:pt idx="153">
                  <c:v>254.30359554727016</c:v>
                </c:pt>
                <c:pt idx="154">
                  <c:v>256.15498432345976</c:v>
                </c:pt>
                <c:pt idx="155">
                  <c:v>258.00722517422258</c:v>
                </c:pt>
                <c:pt idx="156">
                  <c:v>259.86023531442743</c:v>
                </c:pt>
                <c:pt idx="157">
                  <c:v>261.71393257987904</c:v>
                </c:pt>
                <c:pt idx="158">
                  <c:v>263.56823542731934</c:v>
                </c:pt>
                <c:pt idx="159">
                  <c:v>265.42306293442675</c:v>
                </c:pt>
                <c:pt idx="160">
                  <c:v>267.27833479981598</c:v>
                </c:pt>
                <c:pt idx="161">
                  <c:v>269.1339713430387</c:v>
                </c:pt>
                <c:pt idx="162">
                  <c:v>270.98989350458294</c:v>
                </c:pt>
                <c:pt idx="163">
                  <c:v>272.84602284587368</c:v>
                </c:pt>
                <c:pt idx="164">
                  <c:v>274.70228154927219</c:v>
                </c:pt>
                <c:pt idx="165">
                  <c:v>276.55859241807639</c:v>
                </c:pt>
                <c:pt idx="166">
                  <c:v>278.41487887652102</c:v>
                </c:pt>
                <c:pt idx="167">
                  <c:v>280.2710649697774</c:v>
                </c:pt>
                <c:pt idx="168">
                  <c:v>282.12707536395311</c:v>
                </c:pt>
                <c:pt idx="169">
                  <c:v>283.98283534609277</c:v>
                </c:pt>
                <c:pt idx="170">
                  <c:v>285.83827082417753</c:v>
                </c:pt>
                <c:pt idx="171">
                  <c:v>287.6933083271249</c:v>
                </c:pt>
                <c:pt idx="172">
                  <c:v>289.5478750047892</c:v>
                </c:pt>
                <c:pt idx="173">
                  <c:v>291.40189862796132</c:v>
                </c:pt>
                <c:pt idx="174">
                  <c:v>293.25530758836902</c:v>
                </c:pt>
                <c:pt idx="175">
                  <c:v>295.10803089867619</c:v>
                </c:pt>
                <c:pt idx="176">
                  <c:v>296.95999819248362</c:v>
                </c:pt>
                <c:pt idx="177">
                  <c:v>298.81113972432871</c:v>
                </c:pt>
                <c:pt idx="178">
                  <c:v>300.66138636968537</c:v>
                </c:pt>
                <c:pt idx="179">
                  <c:v>302.51066962496429</c:v>
                </c:pt>
                <c:pt idx="180">
                  <c:v>304.35892160751274</c:v>
                </c:pt>
                <c:pt idx="181">
                  <c:v>306.20607505561435</c:v>
                </c:pt>
                <c:pt idx="182">
                  <c:v>308.05206332848962</c:v>
                </c:pt>
                <c:pt idx="183">
                  <c:v>309.89682040629549</c:v>
                </c:pt>
                <c:pt idx="184">
                  <c:v>311.74028089012592</c:v>
                </c:pt>
                <c:pt idx="185">
                  <c:v>313.58238000201084</c:v>
                </c:pt>
                <c:pt idx="186">
                  <c:v>315.4230535849174</c:v>
                </c:pt>
                <c:pt idx="187">
                  <c:v>317.26223810274888</c:v>
                </c:pt>
                <c:pt idx="188">
                  <c:v>319.09987064034556</c:v>
                </c:pt>
                <c:pt idx="189">
                  <c:v>320.93588890348417</c:v>
                </c:pt>
                <c:pt idx="190">
                  <c:v>322.77023121887788</c:v>
                </c:pt>
                <c:pt idx="191">
                  <c:v>324.60283653417673</c:v>
                </c:pt>
                <c:pt idx="192">
                  <c:v>326.43364441796729</c:v>
                </c:pt>
                <c:pt idx="193">
                  <c:v>328.26259505977276</c:v>
                </c:pt>
                <c:pt idx="194">
                  <c:v>330.08962927005291</c:v>
                </c:pt>
                <c:pt idx="195">
                  <c:v>331.91468848020406</c:v>
                </c:pt>
                <c:pt idx="196">
                  <c:v>333.73771474255955</c:v>
                </c:pt>
                <c:pt idx="197">
                  <c:v>335.55865073038859</c:v>
                </c:pt>
                <c:pt idx="198">
                  <c:v>337.37743973789765</c:v>
                </c:pt>
                <c:pt idx="199">
                  <c:v>339.19402568022952</c:v>
                </c:pt>
                <c:pt idx="200">
                  <c:v>341.00835309346365</c:v>
                </c:pt>
                <c:pt idx="201">
                  <c:v>342.82036713461639</c:v>
                </c:pt>
                <c:pt idx="202">
                  <c:v>344.63001358164001</c:v>
                </c:pt>
                <c:pt idx="203">
                  <c:v>346.43723883342409</c:v>
                </c:pt>
                <c:pt idx="204">
                  <c:v>348.24198990979465</c:v>
                </c:pt>
                <c:pt idx="205">
                  <c:v>350.04421445151394</c:v>
                </c:pt>
                <c:pt idx="206">
                  <c:v>351.84386072028121</c:v>
                </c:pt>
                <c:pt idx="207">
                  <c:v>353.64087759873252</c:v>
                </c:pt>
                <c:pt idx="208">
                  <c:v>355.43521459043978</c:v>
                </c:pt>
                <c:pt idx="209">
                  <c:v>357.22682181991235</c:v>
                </c:pt>
                <c:pt idx="210">
                  <c:v>359.0156500325956</c:v>
                </c:pt>
                <c:pt idx="211">
                  <c:v>360.80165059487183</c:v>
                </c:pt>
                <c:pt idx="212">
                  <c:v>362.58477549406001</c:v>
                </c:pt>
                <c:pt idx="213">
                  <c:v>364.36497733841543</c:v>
                </c:pt>
                <c:pt idx="214">
                  <c:v>366.14220935713007</c:v>
                </c:pt>
                <c:pt idx="215">
                  <c:v>367.9164254003328</c:v>
                </c:pt>
                <c:pt idx="216">
                  <c:v>369.68757993908878</c:v>
                </c:pt>
                <c:pt idx="217">
                  <c:v>371.45562806539999</c:v>
                </c:pt>
                <c:pt idx="218">
                  <c:v>373.22052549220501</c:v>
                </c:pt>
                <c:pt idx="219">
                  <c:v>374.98222855337883</c:v>
                </c:pt>
                <c:pt idx="220">
                  <c:v>376.7406942037332</c:v>
                </c:pt>
                <c:pt idx="221">
                  <c:v>378.49588001901651</c:v>
                </c:pt>
                <c:pt idx="222">
                  <c:v>380.2477441959137</c:v>
                </c:pt>
                <c:pt idx="223">
                  <c:v>381.99624555204656</c:v>
                </c:pt>
                <c:pt idx="224">
                  <c:v>383.74134352597287</c:v>
                </c:pt>
                <c:pt idx="225">
                  <c:v>385.48299817718771</c:v>
                </c:pt>
                <c:pt idx="226">
                  <c:v>387.22117018612255</c:v>
                </c:pt>
                <c:pt idx="227">
                  <c:v>388.95582085414532</c:v>
                </c:pt>
                <c:pt idx="228">
                  <c:v>390.68691210356059</c:v>
                </c:pt>
                <c:pt idx="229">
                  <c:v>392.41440647760982</c:v>
                </c:pt>
                <c:pt idx="230">
                  <c:v>394.1382671404707</c:v>
                </c:pt>
                <c:pt idx="231">
                  <c:v>395.85845787725788</c:v>
                </c:pt>
                <c:pt idx="232">
                  <c:v>397.5749430940225</c:v>
                </c:pt>
                <c:pt idx="233">
                  <c:v>399.28768781775193</c:v>
                </c:pt>
                <c:pt idx="234">
                  <c:v>400.99665769637079</c:v>
                </c:pt>
                <c:pt idx="235">
                  <c:v>402.70181899874024</c:v>
                </c:pt>
                <c:pt idx="236">
                  <c:v>404.40313861465734</c:v>
                </c:pt>
                <c:pt idx="237">
                  <c:v>406.10058405485637</c:v>
                </c:pt>
                <c:pt idx="238">
                  <c:v>407.79412345100832</c:v>
                </c:pt>
                <c:pt idx="239">
                  <c:v>409.48372555572064</c:v>
                </c:pt>
                <c:pt idx="240">
                  <c:v>411.16935974253704</c:v>
                </c:pt>
                <c:pt idx="241">
                  <c:v>412.85099600593833</c:v>
                </c:pt>
                <c:pt idx="242">
                  <c:v>414.52860496134184</c:v>
                </c:pt>
                <c:pt idx="243">
                  <c:v>416.20215784510106</c:v>
                </c:pt>
                <c:pt idx="244">
                  <c:v>417.87162651450694</c:v>
                </c:pt>
                <c:pt idx="245">
                  <c:v>419.53698344778616</c:v>
                </c:pt>
                <c:pt idx="246">
                  <c:v>421.19820174410256</c:v>
                </c:pt>
                <c:pt idx="247">
                  <c:v>422.8552551235565</c:v>
                </c:pt>
                <c:pt idx="248">
                  <c:v>424.50811792718468</c:v>
                </c:pt>
                <c:pt idx="249">
                  <c:v>426.15676511696097</c:v>
                </c:pt>
                <c:pt idx="250">
                  <c:v>427.80117227579535</c:v>
                </c:pt>
                <c:pt idx="251">
                  <c:v>429.44131560753448</c:v>
                </c:pt>
                <c:pt idx="252">
                  <c:v>431.0771719369618</c:v>
                </c:pt>
                <c:pt idx="253">
                  <c:v>432.70871870979732</c:v>
                </c:pt>
                <c:pt idx="254">
                  <c:v>434.33593399269773</c:v>
                </c:pt>
                <c:pt idx="255">
                  <c:v>435.95879647325603</c:v>
                </c:pt>
                <c:pt idx="256">
                  <c:v>437.57728546000226</c:v>
                </c:pt>
                <c:pt idx="257">
                  <c:v>439.19138088240271</c:v>
                </c:pt>
                <c:pt idx="258">
                  <c:v>440.8010632908605</c:v>
                </c:pt>
                <c:pt idx="259">
                  <c:v>442.40631385671509</c:v>
                </c:pt>
                <c:pt idx="260">
                  <c:v>444.00711437224317</c:v>
                </c:pt>
                <c:pt idx="261">
                  <c:v>445.60344725065744</c:v>
                </c:pt>
                <c:pt idx="262">
                  <c:v>447.19529552610726</c:v>
                </c:pt>
                <c:pt idx="263">
                  <c:v>448.78264285367885</c:v>
                </c:pt>
                <c:pt idx="264">
                  <c:v>450.36547350939497</c:v>
                </c:pt>
                <c:pt idx="265">
                  <c:v>451.94377239021492</c:v>
                </c:pt>
                <c:pt idx="266">
                  <c:v>453.51752501403485</c:v>
                </c:pt>
                <c:pt idx="267">
                  <c:v>455.086717519687</c:v>
                </c:pt>
                <c:pt idx="268">
                  <c:v>456.65133666694078</c:v>
                </c:pt>
                <c:pt idx="269">
                  <c:v>458.21136983650206</c:v>
                </c:pt>
                <c:pt idx="270">
                  <c:v>459.76680503001302</c:v>
                </c:pt>
                <c:pt idx="271">
                  <c:v>461.31763087005288</c:v>
                </c:pt>
                <c:pt idx="272">
                  <c:v>462.86383660013701</c:v>
                </c:pt>
                <c:pt idx="273">
                  <c:v>464.40541208471802</c:v>
                </c:pt>
                <c:pt idx="274">
                  <c:v>465.94234780918475</c:v>
                </c:pt>
                <c:pt idx="275">
                  <c:v>467.47463487986238</c:v>
                </c:pt>
                <c:pt idx="276">
                  <c:v>469.00226502401301</c:v>
                </c:pt>
                <c:pt idx="277">
                  <c:v>470.52523058983581</c:v>
                </c:pt>
                <c:pt idx="278">
                  <c:v>472.04352454646568</c:v>
                </c:pt>
                <c:pt idx="279">
                  <c:v>473.55714048397476</c:v>
                </c:pt>
                <c:pt idx="280">
                  <c:v>475.06607261337138</c:v>
                </c:pt>
                <c:pt idx="281">
                  <c:v>476.5703157666008</c:v>
                </c:pt>
                <c:pt idx="282">
                  <c:v>478.06986539654503</c:v>
                </c:pt>
                <c:pt idx="283">
                  <c:v>479.56471757702218</c:v>
                </c:pt>
                <c:pt idx="284">
                  <c:v>481.0548690027872</c:v>
                </c:pt>
                <c:pt idx="285">
                  <c:v>482.54031698953213</c:v>
                </c:pt>
                <c:pt idx="286">
                  <c:v>484.02105947388441</c:v>
                </c:pt>
                <c:pt idx="287">
                  <c:v>485.49709501340988</c:v>
                </c:pt>
                <c:pt idx="288">
                  <c:v>486.96842278660927</c:v>
                </c:pt>
                <c:pt idx="289">
                  <c:v>488.43504259292092</c:v>
                </c:pt>
                <c:pt idx="290">
                  <c:v>489.89695485271949</c:v>
                </c:pt>
                <c:pt idx="291">
                  <c:v>491.35416060731598</c:v>
                </c:pt>
                <c:pt idx="292">
                  <c:v>492.806661518959</c:v>
                </c:pt>
                <c:pt idx="293">
                  <c:v>494.25445987083242</c:v>
                </c:pt>
                <c:pt idx="294">
                  <c:v>495.69755856705768</c:v>
                </c:pt>
                <c:pt idx="295">
                  <c:v>497.13596113269239</c:v>
                </c:pt>
                <c:pt idx="296">
                  <c:v>498.56967171373111</c:v>
                </c:pt>
                <c:pt idx="297">
                  <c:v>499.99869507710463</c:v>
                </c:pt>
                <c:pt idx="298">
                  <c:v>501.42303661068036</c:v>
                </c:pt>
                <c:pt idx="299">
                  <c:v>502.84270232326298</c:v>
                </c:pt>
                <c:pt idx="300">
                  <c:v>504.25769884459305</c:v>
                </c:pt>
                <c:pt idx="301">
                  <c:v>505.66803342534786</c:v>
                </c:pt>
                <c:pt idx="302">
                  <c:v>507.07371393714163</c:v>
                </c:pt>
                <c:pt idx="303">
                  <c:v>508.4747488725252</c:v>
                </c:pt>
                <c:pt idx="304">
                  <c:v>509.87114734498545</c:v>
                </c:pt>
                <c:pt idx="305">
                  <c:v>511.2629190889466</c:v>
                </c:pt>
                <c:pt idx="306">
                  <c:v>512.6500744597688</c:v>
                </c:pt>
                <c:pt idx="307">
                  <c:v>514.03262443374956</c:v>
                </c:pt>
                <c:pt idx="308">
                  <c:v>515.41058060812247</c:v>
                </c:pt>
                <c:pt idx="309">
                  <c:v>516.78395520105767</c:v>
                </c:pt>
                <c:pt idx="310">
                  <c:v>518.15276105166208</c:v>
                </c:pt>
                <c:pt idx="311">
                  <c:v>519.51701161997948</c:v>
                </c:pt>
                <c:pt idx="312">
                  <c:v>520.87672098699022</c:v>
                </c:pt>
                <c:pt idx="313">
                  <c:v>522.23190385461089</c:v>
                </c:pt>
                <c:pt idx="314">
                  <c:v>523.58257554569491</c:v>
                </c:pt>
                <c:pt idx="315">
                  <c:v>524.92875200403171</c:v>
                </c:pt>
                <c:pt idx="316">
                  <c:v>526.27044979434891</c:v>
                </c:pt>
                <c:pt idx="317">
                  <c:v>527.60768610230934</c:v>
                </c:pt>
                <c:pt idx="318">
                  <c:v>528.94047873451291</c:v>
                </c:pt>
                <c:pt idx="319">
                  <c:v>530.26884611849584</c:v>
                </c:pt>
                <c:pt idx="320">
                  <c:v>531.59280730273144</c:v>
                </c:pt>
                <c:pt idx="321">
                  <c:v>532.91238195662959</c:v>
                </c:pt>
                <c:pt idx="322">
                  <c:v>534.22759037053606</c:v>
                </c:pt>
                <c:pt idx="323">
                  <c:v>535.53845345573438</c:v>
                </c:pt>
                <c:pt idx="324">
                  <c:v>536.84499274444352</c:v>
                </c:pt>
                <c:pt idx="325">
                  <c:v>538.14723038982027</c:v>
                </c:pt>
                <c:pt idx="326">
                  <c:v>539.44518916595678</c:v>
                </c:pt>
                <c:pt idx="327">
                  <c:v>540.73889246788281</c:v>
                </c:pt>
                <c:pt idx="328">
                  <c:v>542.02836431156402</c:v>
                </c:pt>
                <c:pt idx="329">
                  <c:v>543.31362933390369</c:v>
                </c:pt>
                <c:pt idx="330">
                  <c:v>544.59471279274021</c:v>
                </c:pt>
                <c:pt idx="331">
                  <c:v>545.87164056684992</c:v>
                </c:pt>
                <c:pt idx="332">
                  <c:v>547.14443915594518</c:v>
                </c:pt>
                <c:pt idx="333">
                  <c:v>548.41313568067517</c:v>
                </c:pt>
                <c:pt idx="334">
                  <c:v>549.6777578826252</c:v>
                </c:pt>
                <c:pt idx="335">
                  <c:v>550.93833412431786</c:v>
                </c:pt>
                <c:pt idx="336">
                  <c:v>552.19489338921176</c:v>
                </c:pt>
                <c:pt idx="337">
                  <c:v>553.44746528170276</c:v>
                </c:pt>
                <c:pt idx="338">
                  <c:v>554.69608002712312</c:v>
                </c:pt>
                <c:pt idx="339">
                  <c:v>555.94076847174074</c:v>
                </c:pt>
                <c:pt idx="340">
                  <c:v>557.18156208276218</c:v>
                </c:pt>
                <c:pt idx="341">
                  <c:v>558.41849294832843</c:v>
                </c:pt>
                <c:pt idx="342">
                  <c:v>559.65159377751843</c:v>
                </c:pt>
                <c:pt idx="343">
                  <c:v>560.88089790034746</c:v>
                </c:pt>
                <c:pt idx="344">
                  <c:v>562.10643926776697</c:v>
                </c:pt>
                <c:pt idx="345">
                  <c:v>563.328252451666</c:v>
                </c:pt>
                <c:pt idx="346">
                  <c:v>564.54637264486882</c:v>
                </c:pt>
                <c:pt idx="347">
                  <c:v>565.76083566113789</c:v>
                </c:pt>
                <c:pt idx="348">
                  <c:v>566.97167793517087</c:v>
                </c:pt>
                <c:pt idx="349">
                  <c:v>568.17893652260273</c:v>
                </c:pt>
                <c:pt idx="350">
                  <c:v>569.38264910000498</c:v>
                </c:pt>
                <c:pt idx="351">
                  <c:v>570.58285396488623</c:v>
                </c:pt>
                <c:pt idx="352">
                  <c:v>571.77959003569026</c:v>
                </c:pt>
                <c:pt idx="353">
                  <c:v>572.97289685179953</c:v>
                </c:pt>
                <c:pt idx="354">
                  <c:v>574.1628145735308</c:v>
                </c:pt>
                <c:pt idx="355">
                  <c:v>575.34938398213944</c:v>
                </c:pt>
                <c:pt idx="356">
                  <c:v>576.53264647981655</c:v>
                </c:pt>
                <c:pt idx="357">
                  <c:v>577.71264408968943</c:v>
                </c:pt>
                <c:pt idx="358">
                  <c:v>578.88941945582303</c:v>
                </c:pt>
                <c:pt idx="359">
                  <c:v>580.06301584321773</c:v>
                </c:pt>
                <c:pt idx="360">
                  <c:v>581.23347713781209</c:v>
                </c:pt>
                <c:pt idx="361">
                  <c:v>582.40084784647934</c:v>
                </c:pt>
                <c:pt idx="362">
                  <c:v>583.56517309703099</c:v>
                </c:pt>
                <c:pt idx="363">
                  <c:v>584.72649863821403</c:v>
                </c:pt>
                <c:pt idx="364">
                  <c:v>585.88487083971336</c:v>
                </c:pt>
                <c:pt idx="365">
                  <c:v>587.04033669214868</c:v>
                </c:pt>
                <c:pt idx="366">
                  <c:v>588.19294380707765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4-4CD5-BF99-1CE3F8F25241}"/>
            </c:ext>
          </c:extLst>
        </c:ser>
        <c:ser>
          <c:idx val="3"/>
          <c:order val="3"/>
          <c:tx>
            <c:strRef>
              <c:f>'Model tilvækst, slagteform, fe'!$D$8</c:f>
              <c:strCache>
                <c:ptCount val="1"/>
                <c:pt idx="0">
                  <c:v>kryds_kvie_vægt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fe'!$D$9:$D$375</c:f>
              <c:numCache>
                <c:formatCode>#,##0.0</c:formatCode>
                <c:ptCount val="367"/>
                <c:pt idx="0">
                  <c:v>43.987843771398374</c:v>
                </c:pt>
                <c:pt idx="1">
                  <c:v>44.186616690462884</c:v>
                </c:pt>
                <c:pt idx="2">
                  <c:v>44.405069353521682</c:v>
                </c:pt>
                <c:pt idx="3">
                  <c:v>44.643032615608135</c:v>
                </c:pt>
                <c:pt idx="4">
                  <c:v>44.900337916776287</c:v>
                </c:pt>
                <c:pt idx="5">
                  <c:v>45.176817282100721</c:v>
                </c:pt>
                <c:pt idx="6">
                  <c:v>45.472303321676662</c:v>
                </c:pt>
                <c:pt idx="7">
                  <c:v>45.786629230619909</c:v>
                </c:pt>
                <c:pt idx="8">
                  <c:v>46.119628789066901</c:v>
                </c:pt>
                <c:pt idx="9">
                  <c:v>46.471136362174661</c:v>
                </c:pt>
                <c:pt idx="10">
                  <c:v>46.840986900120818</c:v>
                </c:pt>
                <c:pt idx="11">
                  <c:v>47.229015938103601</c:v>
                </c:pt>
                <c:pt idx="12">
                  <c:v>47.635059596341861</c:v>
                </c:pt>
                <c:pt idx="13">
                  <c:v>48.058954580075032</c:v>
                </c:pt>
                <c:pt idx="14">
                  <c:v>48.500538179563165</c:v>
                </c:pt>
                <c:pt idx="15">
                  <c:v>48.959648270086916</c:v>
                </c:pt>
                <c:pt idx="16">
                  <c:v>49.436123311947533</c:v>
                </c:pt>
                <c:pt idx="17">
                  <c:v>49.929802350466893</c:v>
                </c:pt>
                <c:pt idx="18">
                  <c:v>50.440525015987461</c:v>
                </c:pt>
                <c:pt idx="19">
                  <c:v>50.968131523872295</c:v>
                </c:pt>
                <c:pt idx="20">
                  <c:v>51.512462674505066</c:v>
                </c:pt>
                <c:pt idx="21">
                  <c:v>52.073359853290079</c:v>
                </c:pt>
                <c:pt idx="22">
                  <c:v>52.650665030652192</c:v>
                </c:pt>
                <c:pt idx="23">
                  <c:v>53.244220762036917</c:v>
                </c:pt>
                <c:pt idx="24">
                  <c:v>53.853870187910331</c:v>
                </c:pt>
                <c:pt idx="25">
                  <c:v>54.479457033759132</c:v>
                </c:pt>
                <c:pt idx="26">
                  <c:v>55.120825610090627</c:v>
                </c:pt>
                <c:pt idx="27">
                  <c:v>55.777820812432729</c:v>
                </c:pt>
                <c:pt idx="28">
                  <c:v>56.450288121333941</c:v>
                </c:pt>
                <c:pt idx="29">
                  <c:v>57.138073602363377</c:v>
                </c:pt>
                <c:pt idx="30">
                  <c:v>57.841023906110756</c:v>
                </c:pt>
                <c:pt idx="31">
                  <c:v>58.558986268186416</c:v>
                </c:pt>
                <c:pt idx="32">
                  <c:v>59.291808509221269</c:v>
                </c:pt>
                <c:pt idx="33">
                  <c:v>60.039339034866856</c:v>
                </c:pt>
                <c:pt idx="34">
                  <c:v>60.801426835795304</c:v>
                </c:pt>
                <c:pt idx="35">
                  <c:v>61.577921487699385</c:v>
                </c:pt>
                <c:pt idx="36">
                  <c:v>62.368673151292406</c:v>
                </c:pt>
                <c:pt idx="37">
                  <c:v>63.173532572308353</c:v>
                </c:pt>
                <c:pt idx="38">
                  <c:v>63.992351081501759</c:v>
                </c:pt>
                <c:pt idx="39">
                  <c:v>64.824980594647812</c:v>
                </c:pt>
                <c:pt idx="40">
                  <c:v>65.671273612542251</c:v>
                </c:pt>
                <c:pt idx="41">
                  <c:v>66.531083221001424</c:v>
                </c:pt>
                <c:pt idx="42">
                  <c:v>67.404263090862358</c:v>
                </c:pt>
                <c:pt idx="43">
                  <c:v>68.290667477982609</c:v>
                </c:pt>
                <c:pt idx="44">
                  <c:v>69.190151223240349</c:v>
                </c:pt>
                <c:pt idx="45">
                  <c:v>70.102569752534365</c:v>
                </c:pt>
                <c:pt idx="46">
                  <c:v>71.027779076784086</c:v>
                </c:pt>
                <c:pt idx="47">
                  <c:v>71.965635791929444</c:v>
                </c:pt>
                <c:pt idx="48">
                  <c:v>72.915997078931085</c:v>
                </c:pt>
                <c:pt idx="49">
                  <c:v>73.878720703770199</c:v>
                </c:pt>
                <c:pt idx="50">
                  <c:v>74.853665017448591</c:v>
                </c:pt>
                <c:pt idx="51">
                  <c:v>75.840688955988711</c:v>
                </c:pt>
                <c:pt idx="52">
                  <c:v>76.839652040433535</c:v>
                </c:pt>
                <c:pt idx="53">
                  <c:v>77.8504143768467</c:v>
                </c:pt>
                <c:pt idx="54">
                  <c:v>78.87283665631243</c:v>
                </c:pt>
                <c:pt idx="55">
                  <c:v>79.906780154935561</c:v>
                </c:pt>
                <c:pt idx="56">
                  <c:v>80.952106733841546</c:v>
                </c:pt>
                <c:pt idx="57">
                  <c:v>82.008678839176383</c:v>
                </c:pt>
                <c:pt idx="58">
                  <c:v>83.076359502106769</c:v>
                </c:pt>
                <c:pt idx="59">
                  <c:v>84.155012338819901</c:v>
                </c:pt>
                <c:pt idx="60">
                  <c:v>85.244501550523665</c:v>
                </c:pt>
                <c:pt idx="61">
                  <c:v>86.344691923446533</c:v>
                </c:pt>
                <c:pt idx="62">
                  <c:v>87.455448828837547</c:v>
                </c:pt>
                <c:pt idx="63">
                  <c:v>88.576638222966366</c:v>
                </c:pt>
                <c:pt idx="64">
                  <c:v>89.708126647123279</c:v>
                </c:pt>
                <c:pt idx="65">
                  <c:v>90.849781227619161</c:v>
                </c:pt>
                <c:pt idx="66">
                  <c:v>92.001469675785472</c:v>
                </c:pt>
                <c:pt idx="67">
                  <c:v>93.163060287974346</c:v>
                </c:pt>
                <c:pt idx="68">
                  <c:v>94.334421945558418</c:v>
                </c:pt>
                <c:pt idx="69">
                  <c:v>95.515424114931008</c:v>
                </c:pt>
                <c:pt idx="70">
                  <c:v>96.70593684750601</c:v>
                </c:pt>
                <c:pt idx="71">
                  <c:v>97.905830779717931</c:v>
                </c:pt>
                <c:pt idx="72">
                  <c:v>99.114977133021895</c:v>
                </c:pt>
                <c:pt idx="73">
                  <c:v>100.3332477138936</c:v>
                </c:pt>
                <c:pt idx="74">
                  <c:v>101.56051491382935</c:v>
                </c:pt>
                <c:pt idx="75">
                  <c:v>102.79665170934608</c:v>
                </c:pt>
                <c:pt idx="76">
                  <c:v>104.0415316619813</c:v>
                </c:pt>
                <c:pt idx="77">
                  <c:v>105.29502891829316</c:v>
                </c:pt>
                <c:pt idx="78">
                  <c:v>106.55701820986039</c:v>
                </c:pt>
                <c:pt idx="79">
                  <c:v>107.82737485328235</c:v>
                </c:pt>
                <c:pt idx="80">
                  <c:v>109.10597475017892</c:v>
                </c:pt>
                <c:pt idx="81">
                  <c:v>110.39269438719072</c:v>
                </c:pt>
                <c:pt idx="82">
                  <c:v>111.68741083597884</c:v>
                </c:pt>
                <c:pt idx="83">
                  <c:v>112.99000175322512</c:v>
                </c:pt>
                <c:pt idx="84">
                  <c:v>114.30034538063182</c:v>
                </c:pt>
                <c:pt idx="85">
                  <c:v>115.61832054492199</c:v>
                </c:pt>
                <c:pt idx="86">
                  <c:v>116.94380665783916</c:v>
                </c:pt>
                <c:pt idx="87">
                  <c:v>118.27668371614746</c:v>
                </c:pt>
                <c:pt idx="88">
                  <c:v>119.61683230163179</c:v>
                </c:pt>
                <c:pt idx="89">
                  <c:v>120.96413358109746</c:v>
                </c:pt>
                <c:pt idx="90">
                  <c:v>122.31846930637043</c:v>
                </c:pt>
                <c:pt idx="91">
                  <c:v>123.67972181429734</c:v>
                </c:pt>
                <c:pt idx="92">
                  <c:v>125.04777402674536</c:v>
                </c:pt>
                <c:pt idx="93">
                  <c:v>126.42250945060232</c:v>
                </c:pt>
                <c:pt idx="94">
                  <c:v>127.80381217777662</c:v>
                </c:pt>
                <c:pt idx="95">
                  <c:v>129.19156688519723</c:v>
                </c:pt>
                <c:pt idx="96">
                  <c:v>130.58565883481387</c:v>
                </c:pt>
                <c:pt idx="97">
                  <c:v>131.98597387359661</c:v>
                </c:pt>
                <c:pt idx="98">
                  <c:v>133.39239843353641</c:v>
                </c:pt>
                <c:pt idx="99">
                  <c:v>134.8048195316446</c:v>
                </c:pt>
                <c:pt idx="100">
                  <c:v>136.2231247699533</c:v>
                </c:pt>
                <c:pt idx="101">
                  <c:v>137.64720233551506</c:v>
                </c:pt>
                <c:pt idx="102">
                  <c:v>139.07694100040314</c:v>
                </c:pt>
                <c:pt idx="103">
                  <c:v>140.51223012171144</c:v>
                </c:pt>
                <c:pt idx="104">
                  <c:v>141.95295964155443</c:v>
                </c:pt>
                <c:pt idx="105">
                  <c:v>143.39902008706704</c:v>
                </c:pt>
                <c:pt idx="106">
                  <c:v>144.85030257040503</c:v>
                </c:pt>
                <c:pt idx="107">
                  <c:v>146.30669878874465</c:v>
                </c:pt>
                <c:pt idx="108">
                  <c:v>147.7681010242828</c:v>
                </c:pt>
                <c:pt idx="109">
                  <c:v>149.23440214423684</c:v>
                </c:pt>
                <c:pt idx="110">
                  <c:v>150.70549560084498</c:v>
                </c:pt>
                <c:pt idx="111">
                  <c:v>152.1812754313658</c:v>
                </c:pt>
                <c:pt idx="112">
                  <c:v>153.66163625807866</c:v>
                </c:pt>
                <c:pt idx="113">
                  <c:v>155.1464732882834</c:v>
                </c:pt>
                <c:pt idx="114">
                  <c:v>156.63568231430057</c:v>
                </c:pt>
                <c:pt idx="115">
                  <c:v>158.12915971347121</c:v>
                </c:pt>
                <c:pt idx="116">
                  <c:v>159.62680244815706</c:v>
                </c:pt>
                <c:pt idx="117">
                  <c:v>161.12850806574039</c:v>
                </c:pt>
                <c:pt idx="118">
                  <c:v>162.63417469862421</c:v>
                </c:pt>
                <c:pt idx="119">
                  <c:v>164.14370106423195</c:v>
                </c:pt>
                <c:pt idx="120">
                  <c:v>165.65698646500772</c:v>
                </c:pt>
                <c:pt idx="121">
                  <c:v>167.1739307884163</c:v>
                </c:pt>
                <c:pt idx="122">
                  <c:v>168.69443450694303</c:v>
                </c:pt>
                <c:pt idx="123">
                  <c:v>170.21839867809382</c:v>
                </c:pt>
                <c:pt idx="124">
                  <c:v>171.74572494439519</c:v>
                </c:pt>
                <c:pt idx="125">
                  <c:v>173.27631553339432</c:v>
                </c:pt>
                <c:pt idx="126">
                  <c:v>174.81007325765893</c:v>
                </c:pt>
                <c:pt idx="127">
                  <c:v>176.34690151477739</c:v>
                </c:pt>
                <c:pt idx="128">
                  <c:v>177.8867042873587</c:v>
                </c:pt>
                <c:pt idx="129">
                  <c:v>179.42938614303233</c:v>
                </c:pt>
                <c:pt idx="130">
                  <c:v>180.97485223444852</c:v>
                </c:pt>
                <c:pt idx="131">
                  <c:v>182.52300829927802</c:v>
                </c:pt>
                <c:pt idx="132">
                  <c:v>184.0737606602122</c:v>
                </c:pt>
                <c:pt idx="133">
                  <c:v>185.62701622496309</c:v>
                </c:pt>
                <c:pt idx="134">
                  <c:v>187.18268248626319</c:v>
                </c:pt>
                <c:pt idx="135">
                  <c:v>188.74066752186579</c:v>
                </c:pt>
                <c:pt idx="136">
                  <c:v>190.30087999454452</c:v>
                </c:pt>
                <c:pt idx="137">
                  <c:v>191.86322915209394</c:v>
                </c:pt>
                <c:pt idx="138">
                  <c:v>193.427624827329</c:v>
                </c:pt>
                <c:pt idx="139">
                  <c:v>194.9939774380853</c:v>
                </c:pt>
                <c:pt idx="140">
                  <c:v>196.56219798721909</c:v>
                </c:pt>
                <c:pt idx="141">
                  <c:v>198.1321980626071</c:v>
                </c:pt>
                <c:pt idx="142">
                  <c:v>199.70388983714685</c:v>
                </c:pt>
                <c:pt idx="143">
                  <c:v>201.27718606875629</c:v>
                </c:pt>
                <c:pt idx="144">
                  <c:v>202.85200010037408</c:v>
                </c:pt>
                <c:pt idx="145">
                  <c:v>204.42824585995947</c:v>
                </c:pt>
                <c:pt idx="146">
                  <c:v>206.00583786049233</c:v>
                </c:pt>
                <c:pt idx="147">
                  <c:v>207.58469119997307</c:v>
                </c:pt>
                <c:pt idx="148">
                  <c:v>209.1647215614226</c:v>
                </c:pt>
                <c:pt idx="149">
                  <c:v>210.74584521288278</c:v>
                </c:pt>
                <c:pt idx="150">
                  <c:v>212.32797900741573</c:v>
                </c:pt>
                <c:pt idx="151">
                  <c:v>213.91104038310442</c:v>
                </c:pt>
                <c:pt idx="152">
                  <c:v>215.49494736305232</c:v>
                </c:pt>
                <c:pt idx="153">
                  <c:v>217.07961855538335</c:v>
                </c:pt>
                <c:pt idx="154">
                  <c:v>218.66497315324233</c:v>
                </c:pt>
                <c:pt idx="155">
                  <c:v>220.25093093479447</c:v>
                </c:pt>
                <c:pt idx="156">
                  <c:v>221.83741226322562</c:v>
                </c:pt>
                <c:pt idx="157">
                  <c:v>223.42433808674238</c:v>
                </c:pt>
                <c:pt idx="158">
                  <c:v>225.01162993857176</c:v>
                </c:pt>
                <c:pt idx="159">
                  <c:v>226.59920993696144</c:v>
                </c:pt>
                <c:pt idx="160">
                  <c:v>228.18700078517981</c:v>
                </c:pt>
                <c:pt idx="161">
                  <c:v>229.77492577151568</c:v>
                </c:pt>
                <c:pt idx="162">
                  <c:v>231.36290876927865</c:v>
                </c:pt>
                <c:pt idx="163">
                  <c:v>232.95087423679882</c:v>
                </c:pt>
                <c:pt idx="164">
                  <c:v>234.53874721742682</c:v>
                </c:pt>
                <c:pt idx="165">
                  <c:v>236.12645333953404</c:v>
                </c:pt>
                <c:pt idx="166">
                  <c:v>237.71391881651249</c:v>
                </c:pt>
                <c:pt idx="167">
                  <c:v>239.30107044677442</c:v>
                </c:pt>
                <c:pt idx="168">
                  <c:v>240.88783561375337</c:v>
                </c:pt>
                <c:pt idx="169">
                  <c:v>242.47414228590276</c:v>
                </c:pt>
                <c:pt idx="170">
                  <c:v>244.05991901669705</c:v>
                </c:pt>
                <c:pt idx="171">
                  <c:v>245.64509494463124</c:v>
                </c:pt>
                <c:pt idx="172">
                  <c:v>247.22959979322084</c:v>
                </c:pt>
                <c:pt idx="173">
                  <c:v>248.81336387100194</c:v>
                </c:pt>
                <c:pt idx="174">
                  <c:v>250.39631807153148</c:v>
                </c:pt>
                <c:pt idx="175">
                  <c:v>251.97839387338664</c:v>
                </c:pt>
                <c:pt idx="176">
                  <c:v>253.55952334016544</c:v>
                </c:pt>
                <c:pt idx="177">
                  <c:v>255.13963912048658</c:v>
                </c:pt>
                <c:pt idx="178">
                  <c:v>256.71867444798909</c:v>
                </c:pt>
                <c:pt idx="179">
                  <c:v>258.29656314133285</c:v>
                </c:pt>
                <c:pt idx="180">
                  <c:v>259.8732396041982</c:v>
                </c:pt>
                <c:pt idx="181">
                  <c:v>261.44863882528614</c:v>
                </c:pt>
                <c:pt idx="182">
                  <c:v>263.0226963783183</c:v>
                </c:pt>
                <c:pt idx="183">
                  <c:v>264.59534842203686</c:v>
                </c:pt>
                <c:pt idx="184">
                  <c:v>266.1665317002047</c:v>
                </c:pt>
                <c:pt idx="185">
                  <c:v>267.73618354160516</c:v>
                </c:pt>
                <c:pt idx="186">
                  <c:v>269.30424186004223</c:v>
                </c:pt>
                <c:pt idx="187">
                  <c:v>270.87064515434054</c:v>
                </c:pt>
                <c:pt idx="188">
                  <c:v>272.43533250834543</c:v>
                </c:pt>
                <c:pt idx="189">
                  <c:v>273.99824359092258</c:v>
                </c:pt>
                <c:pt idx="190">
                  <c:v>275.55931865595852</c:v>
                </c:pt>
                <c:pt idx="191">
                  <c:v>277.11849854236027</c:v>
                </c:pt>
                <c:pt idx="192">
                  <c:v>278.67572467405552</c:v>
                </c:pt>
                <c:pt idx="193">
                  <c:v>280.23093905999241</c:v>
                </c:pt>
                <c:pt idx="194">
                  <c:v>281.78408429413986</c:v>
                </c:pt>
                <c:pt idx="195">
                  <c:v>283.33510355548736</c:v>
                </c:pt>
                <c:pt idx="196">
                  <c:v>284.8839406080449</c:v>
                </c:pt>
                <c:pt idx="197">
                  <c:v>286.43053980084318</c:v>
                </c:pt>
                <c:pt idx="198">
                  <c:v>287.97484606793347</c:v>
                </c:pt>
                <c:pt idx="199">
                  <c:v>289.51680492838767</c:v>
                </c:pt>
                <c:pt idx="200">
                  <c:v>291.05636248629821</c:v>
                </c:pt>
                <c:pt idx="201">
                  <c:v>292.59346543077828</c:v>
                </c:pt>
                <c:pt idx="202">
                  <c:v>294.12806103596142</c:v>
                </c:pt>
                <c:pt idx="203">
                  <c:v>295.660097161002</c:v>
                </c:pt>
                <c:pt idx="204">
                  <c:v>297.18952225007496</c:v>
                </c:pt>
                <c:pt idx="205">
                  <c:v>298.71628533237572</c:v>
                </c:pt>
                <c:pt idx="206">
                  <c:v>300.24033602212046</c:v>
                </c:pt>
                <c:pt idx="207">
                  <c:v>301.76162451854589</c:v>
                </c:pt>
                <c:pt idx="208">
                  <c:v>303.28010160590924</c:v>
                </c:pt>
                <c:pt idx="209">
                  <c:v>304.79571865348839</c:v>
                </c:pt>
                <c:pt idx="210">
                  <c:v>306.3084276155821</c:v>
                </c:pt>
                <c:pt idx="211">
                  <c:v>307.81818103150931</c:v>
                </c:pt>
                <c:pt idx="212">
                  <c:v>309.32493202560983</c:v>
                </c:pt>
                <c:pt idx="213">
                  <c:v>310.82863430724404</c:v>
                </c:pt>
                <c:pt idx="214">
                  <c:v>312.32924217079261</c:v>
                </c:pt>
                <c:pt idx="215">
                  <c:v>313.82671049565744</c:v>
                </c:pt>
                <c:pt idx="216">
                  <c:v>315.32099474626057</c:v>
                </c:pt>
                <c:pt idx="217">
                  <c:v>316.81205097204457</c:v>
                </c:pt>
                <c:pt idx="218">
                  <c:v>318.29983580747307</c:v>
                </c:pt>
                <c:pt idx="219">
                  <c:v>319.78430647202998</c:v>
                </c:pt>
                <c:pt idx="220">
                  <c:v>321.26542077021975</c:v>
                </c:pt>
                <c:pt idx="221">
                  <c:v>322.74313709156752</c:v>
                </c:pt>
                <c:pt idx="222">
                  <c:v>324.2174144106192</c:v>
                </c:pt>
                <c:pt idx="223">
                  <c:v>325.68821228694128</c:v>
                </c:pt>
                <c:pt idx="224">
                  <c:v>327.15549086512038</c:v>
                </c:pt>
                <c:pt idx="225">
                  <c:v>328.61921087476441</c:v>
                </c:pt>
                <c:pt idx="226">
                  <c:v>330.07933363050154</c:v>
                </c:pt>
                <c:pt idx="227">
                  <c:v>331.53582103198045</c:v>
                </c:pt>
                <c:pt idx="228">
                  <c:v>332.98863556387062</c:v>
                </c:pt>
                <c:pt idx="229">
                  <c:v>334.437740295862</c:v>
                </c:pt>
                <c:pt idx="230">
                  <c:v>335.88309888266525</c:v>
                </c:pt>
                <c:pt idx="231">
                  <c:v>337.32467556401161</c:v>
                </c:pt>
                <c:pt idx="232">
                  <c:v>338.76243516465286</c:v>
                </c:pt>
                <c:pt idx="233">
                  <c:v>340.1963430943614</c:v>
                </c:pt>
                <c:pt idx="234">
                  <c:v>341.62636534793046</c:v>
                </c:pt>
                <c:pt idx="235">
                  <c:v>343.05246850517335</c:v>
                </c:pt>
                <c:pt idx="236">
                  <c:v>344.4746197309247</c:v>
                </c:pt>
                <c:pt idx="237">
                  <c:v>345.89278677503893</c:v>
                </c:pt>
                <c:pt idx="238">
                  <c:v>347.30693797239184</c:v>
                </c:pt>
                <c:pt idx="239">
                  <c:v>348.7170422428793</c:v>
                </c:pt>
                <c:pt idx="240">
                  <c:v>350.1230690914179</c:v>
                </c:pt>
                <c:pt idx="241">
                  <c:v>351.52498860794515</c:v>
                </c:pt>
                <c:pt idx="242">
                  <c:v>352.92277146741873</c:v>
                </c:pt>
                <c:pt idx="243">
                  <c:v>354.31638892981726</c:v>
                </c:pt>
                <c:pt idx="244">
                  <c:v>355.70581284013969</c:v>
                </c:pt>
                <c:pt idx="245">
                  <c:v>357.09101562840578</c:v>
                </c:pt>
                <c:pt idx="246">
                  <c:v>358.47197030965566</c:v>
                </c:pt>
                <c:pt idx="247">
                  <c:v>359.84865048395045</c:v>
                </c:pt>
                <c:pt idx="248">
                  <c:v>361.22103033637154</c:v>
                </c:pt>
                <c:pt idx="249">
                  <c:v>362.5890846370209</c:v>
                </c:pt>
                <c:pt idx="250">
                  <c:v>363.95278874102155</c:v>
                </c:pt>
                <c:pt idx="251">
                  <c:v>365.3121185885164</c:v>
                </c:pt>
                <c:pt idx="252">
                  <c:v>366.66705070466963</c:v>
                </c:pt>
                <c:pt idx="253">
                  <c:v>368.0175621996658</c:v>
                </c:pt>
                <c:pt idx="254">
                  <c:v>369.36363076870975</c:v>
                </c:pt>
                <c:pt idx="255">
                  <c:v>370.70523469202772</c:v>
                </c:pt>
                <c:pt idx="256">
                  <c:v>372.04235283486537</c:v>
                </c:pt>
                <c:pt idx="257">
                  <c:v>373.37496464749006</c:v>
                </c:pt>
                <c:pt idx="258">
                  <c:v>374.70305016518927</c:v>
                </c:pt>
                <c:pt idx="259">
                  <c:v>376.02659000827111</c:v>
                </c:pt>
                <c:pt idx="260">
                  <c:v>377.34556538206436</c:v>
                </c:pt>
                <c:pt idx="261">
                  <c:v>378.65995807691826</c:v>
                </c:pt>
                <c:pt idx="262">
                  <c:v>379.96975046820296</c:v>
                </c:pt>
                <c:pt idx="263">
                  <c:v>381.27492551630888</c:v>
                </c:pt>
                <c:pt idx="264">
                  <c:v>382.57546676664725</c:v>
                </c:pt>
                <c:pt idx="265">
                  <c:v>383.87135834964965</c:v>
                </c:pt>
                <c:pt idx="266">
                  <c:v>385.16258498076883</c:v>
                </c:pt>
                <c:pt idx="267">
                  <c:v>386.44913196047742</c:v>
                </c:pt>
                <c:pt idx="268">
                  <c:v>387.73098517426934</c:v>
                </c:pt>
                <c:pt idx="269">
                  <c:v>389.00813109265852</c:v>
                </c:pt>
                <c:pt idx="270">
                  <c:v>390.28055677117993</c:v>
                </c:pt>
                <c:pt idx="271">
                  <c:v>391.54824985038863</c:v>
                </c:pt>
                <c:pt idx="272">
                  <c:v>392.81119855586076</c:v>
                </c:pt>
                <c:pt idx="273">
                  <c:v>394.06939169819327</c:v>
                </c:pt>
                <c:pt idx="274">
                  <c:v>395.32281867300298</c:v>
                </c:pt>
                <c:pt idx="275">
                  <c:v>396.57146946092786</c:v>
                </c:pt>
                <c:pt idx="276">
                  <c:v>397.81533462762638</c:v>
                </c:pt>
                <c:pt idx="277">
                  <c:v>399.0544053237777</c:v>
                </c:pt>
                <c:pt idx="278">
                  <c:v>400.28867328508079</c:v>
                </c:pt>
                <c:pt idx="279">
                  <c:v>401.51813083225676</c:v>
                </c:pt>
                <c:pt idx="280">
                  <c:v>402.74277087104576</c:v>
                </c:pt>
                <c:pt idx="281">
                  <c:v>403.96258689220963</c:v>
                </c:pt>
                <c:pt idx="282">
                  <c:v>405.17757297153014</c:v>
                </c:pt>
                <c:pt idx="283">
                  <c:v>406.38772376981035</c:v>
                </c:pt>
                <c:pt idx="284">
                  <c:v>407.59303453287305</c:v>
                </c:pt>
                <c:pt idx="285">
                  <c:v>408.79350109156246</c:v>
                </c:pt>
                <c:pt idx="286">
                  <c:v>409.98911986174278</c:v>
                </c:pt>
                <c:pt idx="287">
                  <c:v>411.17988784429929</c:v>
                </c:pt>
                <c:pt idx="288">
                  <c:v>412.36580262513752</c:v>
                </c:pt>
                <c:pt idx="289">
                  <c:v>413.54686237518376</c:v>
                </c:pt>
                <c:pt idx="290">
                  <c:v>414.72306585038496</c:v>
                </c:pt>
                <c:pt idx="291">
                  <c:v>415.89441239170861</c:v>
                </c:pt>
                <c:pt idx="292">
                  <c:v>417.06090192514284</c:v>
                </c:pt>
                <c:pt idx="293">
                  <c:v>418.22253496169617</c:v>
                </c:pt>
                <c:pt idx="294">
                  <c:v>419.37931259739798</c:v>
                </c:pt>
                <c:pt idx="295">
                  <c:v>420.53123651329827</c:v>
                </c:pt>
                <c:pt idx="296">
                  <c:v>421.67830897546742</c:v>
                </c:pt>
                <c:pt idx="297">
                  <c:v>422.8205328349967</c:v>
                </c:pt>
                <c:pt idx="298">
                  <c:v>423.95791152799779</c:v>
                </c:pt>
                <c:pt idx="299">
                  <c:v>425.09044907560286</c:v>
                </c:pt>
                <c:pt idx="300">
                  <c:v>426.21815008396482</c:v>
                </c:pt>
                <c:pt idx="301">
                  <c:v>427.34101974425766</c:v>
                </c:pt>
                <c:pt idx="302">
                  <c:v>428.45906383267493</c:v>
                </c:pt>
                <c:pt idx="303">
                  <c:v>429.57228871043162</c:v>
                </c:pt>
                <c:pt idx="304">
                  <c:v>430.68070132376323</c:v>
                </c:pt>
                <c:pt idx="305">
                  <c:v>431.78430920392543</c:v>
                </c:pt>
                <c:pt idx="306">
                  <c:v>432.88312046719483</c:v>
                </c:pt>
                <c:pt idx="307">
                  <c:v>433.97714381486878</c:v>
                </c:pt>
                <c:pt idx="308">
                  <c:v>435.06638853326479</c:v>
                </c:pt>
                <c:pt idx="309">
                  <c:v>436.15086449372149</c:v>
                </c:pt>
                <c:pt idx="310">
                  <c:v>437.23058215259772</c:v>
                </c:pt>
                <c:pt idx="311">
                  <c:v>438.30555255127319</c:v>
                </c:pt>
                <c:pt idx="312">
                  <c:v>439.37578731614758</c:v>
                </c:pt>
                <c:pt idx="313">
                  <c:v>440.44129865864221</c:v>
                </c:pt>
                <c:pt idx="314">
                  <c:v>441.50209937519855</c:v>
                </c:pt>
                <c:pt idx="315">
                  <c:v>442.55820284727804</c:v>
                </c:pt>
                <c:pt idx="316">
                  <c:v>443.60962304136382</c:v>
                </c:pt>
                <c:pt idx="317">
                  <c:v>444.65637450895883</c:v>
                </c:pt>
                <c:pt idx="318">
                  <c:v>445.6984723865869</c:v>
                </c:pt>
                <c:pt idx="319">
                  <c:v>446.73593239579236</c:v>
                </c:pt>
                <c:pt idx="320">
                  <c:v>447.76877084314026</c:v>
                </c:pt>
                <c:pt idx="321">
                  <c:v>448.79700462021651</c:v>
                </c:pt>
                <c:pt idx="322">
                  <c:v>449.82065120362694</c:v>
                </c:pt>
                <c:pt idx="323">
                  <c:v>450.83972865499879</c:v>
                </c:pt>
                <c:pt idx="324">
                  <c:v>451.85425562097879</c:v>
                </c:pt>
                <c:pt idx="325">
                  <c:v>452.86425133323598</c:v>
                </c:pt>
                <c:pt idx="326">
                  <c:v>453.86973560845814</c:v>
                </c:pt>
                <c:pt idx="327">
                  <c:v>454.87072884835504</c:v>
                </c:pt>
                <c:pt idx="328">
                  <c:v>455.86725203965625</c:v>
                </c:pt>
                <c:pt idx="329">
                  <c:v>456.85932675411232</c:v>
                </c:pt>
                <c:pt idx="330">
                  <c:v>457.84697514849444</c:v>
                </c:pt>
                <c:pt idx="331">
                  <c:v>458.83021996459399</c:v>
                </c:pt>
                <c:pt idx="332">
                  <c:v>459.80908452922358</c:v>
                </c:pt>
                <c:pt idx="333">
                  <c:v>460.78359275421559</c:v>
                </c:pt>
                <c:pt idx="334">
                  <c:v>461.75376913642395</c:v>
                </c:pt>
                <c:pt idx="335">
                  <c:v>462.71963875772269</c:v>
                </c:pt>
                <c:pt idx="336">
                  <c:v>463.68122728500651</c:v>
                </c:pt>
                <c:pt idx="337">
                  <c:v>464.63856097019044</c:v>
                </c:pt>
                <c:pt idx="338">
                  <c:v>465.5916666502107</c:v>
                </c:pt>
                <c:pt idx="339">
                  <c:v>466.54057174702365</c:v>
                </c:pt>
                <c:pt idx="340">
                  <c:v>467.48530426760607</c:v>
                </c:pt>
                <c:pt idx="341">
                  <c:v>468.42589280395646</c:v>
                </c:pt>
                <c:pt idx="342">
                  <c:v>469.36236653309231</c:v>
                </c:pt>
                <c:pt idx="343">
                  <c:v>470.29475521705291</c:v>
                </c:pt>
                <c:pt idx="344">
                  <c:v>471.22308920289805</c:v>
                </c:pt>
                <c:pt idx="345">
                  <c:v>472.14739942270745</c:v>
                </c:pt>
                <c:pt idx="346">
                  <c:v>473.06771739358169</c:v>
                </c:pt>
                <c:pt idx="347">
                  <c:v>473.98407521764295</c:v>
                </c:pt>
                <c:pt idx="348">
                  <c:v>474.89650558203209</c:v>
                </c:pt>
                <c:pt idx="349">
                  <c:v>475.8050417589123</c:v>
                </c:pt>
                <c:pt idx="350">
                  <c:v>476.70971760546701</c:v>
                </c:pt>
                <c:pt idx="351">
                  <c:v>477.61056756389911</c:v>
                </c:pt>
                <c:pt idx="352">
                  <c:v>478.50762666143368</c:v>
                </c:pt>
                <c:pt idx="353">
                  <c:v>479.40093051031516</c:v>
                </c:pt>
                <c:pt idx="354">
                  <c:v>480.29051530780987</c:v>
                </c:pt>
                <c:pt idx="355">
                  <c:v>481.17641783620303</c:v>
                </c:pt>
                <c:pt idx="356">
                  <c:v>482.05867546280228</c:v>
                </c:pt>
                <c:pt idx="357">
                  <c:v>482.93732613993416</c:v>
                </c:pt>
                <c:pt idx="358">
                  <c:v>483.81240840494752</c:v>
                </c:pt>
                <c:pt idx="359">
                  <c:v>484.68396138021052</c:v>
                </c:pt>
                <c:pt idx="360">
                  <c:v>485.55202477311229</c:v>
                </c:pt>
                <c:pt idx="361">
                  <c:v>486.4166388760629</c:v>
                </c:pt>
                <c:pt idx="362">
                  <c:v>487.27784456649204</c:v>
                </c:pt>
                <c:pt idx="363">
                  <c:v>488.13568330685189</c:v>
                </c:pt>
                <c:pt idx="364">
                  <c:v>488.99019714461309</c:v>
                </c:pt>
                <c:pt idx="365">
                  <c:v>489.84142871226834</c:v>
                </c:pt>
                <c:pt idx="366">
                  <c:v>490.68942122733006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54-4CD5-BF99-1CE3F8F2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403808"/>
        <c:axId val="1061406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'Model tilvækst, slagteform, fe'!$A$8</c15:sqref>
                        </c15:formulaRef>
                      </c:ext>
                    </c:extLst>
                    <c:strCache>
                      <c:ptCount val="1"/>
                      <c:pt idx="0">
                        <c:v>dage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'Model tilvækst, slagteform, fe'!$A$9:$A$375</c15:sqref>
                        </c15:formulaRef>
                      </c:ext>
                    </c:extLst>
                    <c:numCache>
                      <c:formatCode>General</c:formatCode>
                      <c:ptCount val="36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  <c:pt idx="141">
                        <c:v>141</c:v>
                      </c:pt>
                      <c:pt idx="142">
                        <c:v>142</c:v>
                      </c:pt>
                      <c:pt idx="143">
                        <c:v>143</c:v>
                      </c:pt>
                      <c:pt idx="144">
                        <c:v>144</c:v>
                      </c:pt>
                      <c:pt idx="145">
                        <c:v>145</c:v>
                      </c:pt>
                      <c:pt idx="146">
                        <c:v>146</c:v>
                      </c:pt>
                      <c:pt idx="147">
                        <c:v>147</c:v>
                      </c:pt>
                      <c:pt idx="148">
                        <c:v>148</c:v>
                      </c:pt>
                      <c:pt idx="149">
                        <c:v>149</c:v>
                      </c:pt>
                      <c:pt idx="150">
                        <c:v>150</c:v>
                      </c:pt>
                      <c:pt idx="151">
                        <c:v>151</c:v>
                      </c:pt>
                      <c:pt idx="152">
                        <c:v>152</c:v>
                      </c:pt>
                      <c:pt idx="153">
                        <c:v>153</c:v>
                      </c:pt>
                      <c:pt idx="154">
                        <c:v>154</c:v>
                      </c:pt>
                      <c:pt idx="155">
                        <c:v>155</c:v>
                      </c:pt>
                      <c:pt idx="156">
                        <c:v>156</c:v>
                      </c:pt>
                      <c:pt idx="157">
                        <c:v>157</c:v>
                      </c:pt>
                      <c:pt idx="158">
                        <c:v>158</c:v>
                      </c:pt>
                      <c:pt idx="159">
                        <c:v>159</c:v>
                      </c:pt>
                      <c:pt idx="160">
                        <c:v>160</c:v>
                      </c:pt>
                      <c:pt idx="161">
                        <c:v>161</c:v>
                      </c:pt>
                      <c:pt idx="162">
                        <c:v>162</c:v>
                      </c:pt>
                      <c:pt idx="163">
                        <c:v>163</c:v>
                      </c:pt>
                      <c:pt idx="164">
                        <c:v>164</c:v>
                      </c:pt>
                      <c:pt idx="165">
                        <c:v>165</c:v>
                      </c:pt>
                      <c:pt idx="166">
                        <c:v>166</c:v>
                      </c:pt>
                      <c:pt idx="167">
                        <c:v>167</c:v>
                      </c:pt>
                      <c:pt idx="168">
                        <c:v>168</c:v>
                      </c:pt>
                      <c:pt idx="169">
                        <c:v>169</c:v>
                      </c:pt>
                      <c:pt idx="170">
                        <c:v>170</c:v>
                      </c:pt>
                      <c:pt idx="171">
                        <c:v>171</c:v>
                      </c:pt>
                      <c:pt idx="172">
                        <c:v>172</c:v>
                      </c:pt>
                      <c:pt idx="173">
                        <c:v>173</c:v>
                      </c:pt>
                      <c:pt idx="174">
                        <c:v>174</c:v>
                      </c:pt>
                      <c:pt idx="175">
                        <c:v>175</c:v>
                      </c:pt>
                      <c:pt idx="176">
                        <c:v>176</c:v>
                      </c:pt>
                      <c:pt idx="177">
                        <c:v>177</c:v>
                      </c:pt>
                      <c:pt idx="178">
                        <c:v>178</c:v>
                      </c:pt>
                      <c:pt idx="179">
                        <c:v>179</c:v>
                      </c:pt>
                      <c:pt idx="180">
                        <c:v>180</c:v>
                      </c:pt>
                      <c:pt idx="181">
                        <c:v>181</c:v>
                      </c:pt>
                      <c:pt idx="182">
                        <c:v>182</c:v>
                      </c:pt>
                      <c:pt idx="183">
                        <c:v>183</c:v>
                      </c:pt>
                      <c:pt idx="184">
                        <c:v>184</c:v>
                      </c:pt>
                      <c:pt idx="185">
                        <c:v>185</c:v>
                      </c:pt>
                      <c:pt idx="186">
                        <c:v>186</c:v>
                      </c:pt>
                      <c:pt idx="187">
                        <c:v>187</c:v>
                      </c:pt>
                      <c:pt idx="188">
                        <c:v>188</c:v>
                      </c:pt>
                      <c:pt idx="189">
                        <c:v>189</c:v>
                      </c:pt>
                      <c:pt idx="190">
                        <c:v>190</c:v>
                      </c:pt>
                      <c:pt idx="191">
                        <c:v>191</c:v>
                      </c:pt>
                      <c:pt idx="192">
                        <c:v>192</c:v>
                      </c:pt>
                      <c:pt idx="193">
                        <c:v>193</c:v>
                      </c:pt>
                      <c:pt idx="194">
                        <c:v>194</c:v>
                      </c:pt>
                      <c:pt idx="195">
                        <c:v>195</c:v>
                      </c:pt>
                      <c:pt idx="196">
                        <c:v>196</c:v>
                      </c:pt>
                      <c:pt idx="197">
                        <c:v>197</c:v>
                      </c:pt>
                      <c:pt idx="198">
                        <c:v>198</c:v>
                      </c:pt>
                      <c:pt idx="199">
                        <c:v>199</c:v>
                      </c:pt>
                      <c:pt idx="200">
                        <c:v>200</c:v>
                      </c:pt>
                      <c:pt idx="201">
                        <c:v>201</c:v>
                      </c:pt>
                      <c:pt idx="202">
                        <c:v>202</c:v>
                      </c:pt>
                      <c:pt idx="203">
                        <c:v>203</c:v>
                      </c:pt>
                      <c:pt idx="204">
                        <c:v>204</c:v>
                      </c:pt>
                      <c:pt idx="205">
                        <c:v>205</c:v>
                      </c:pt>
                      <c:pt idx="206">
                        <c:v>206</c:v>
                      </c:pt>
                      <c:pt idx="207">
                        <c:v>207</c:v>
                      </c:pt>
                      <c:pt idx="208">
                        <c:v>208</c:v>
                      </c:pt>
                      <c:pt idx="209">
                        <c:v>209</c:v>
                      </c:pt>
                      <c:pt idx="210">
                        <c:v>210</c:v>
                      </c:pt>
                      <c:pt idx="211">
                        <c:v>211</c:v>
                      </c:pt>
                      <c:pt idx="212">
                        <c:v>212</c:v>
                      </c:pt>
                      <c:pt idx="213">
                        <c:v>213</c:v>
                      </c:pt>
                      <c:pt idx="214">
                        <c:v>214</c:v>
                      </c:pt>
                      <c:pt idx="215">
                        <c:v>215</c:v>
                      </c:pt>
                      <c:pt idx="216">
                        <c:v>216</c:v>
                      </c:pt>
                      <c:pt idx="217">
                        <c:v>217</c:v>
                      </c:pt>
                      <c:pt idx="218">
                        <c:v>218</c:v>
                      </c:pt>
                      <c:pt idx="219">
                        <c:v>219</c:v>
                      </c:pt>
                      <c:pt idx="220">
                        <c:v>220</c:v>
                      </c:pt>
                      <c:pt idx="221">
                        <c:v>221</c:v>
                      </c:pt>
                      <c:pt idx="222">
                        <c:v>222</c:v>
                      </c:pt>
                      <c:pt idx="223">
                        <c:v>223</c:v>
                      </c:pt>
                      <c:pt idx="224">
                        <c:v>224</c:v>
                      </c:pt>
                      <c:pt idx="225">
                        <c:v>225</c:v>
                      </c:pt>
                      <c:pt idx="226">
                        <c:v>226</c:v>
                      </c:pt>
                      <c:pt idx="227">
                        <c:v>227</c:v>
                      </c:pt>
                      <c:pt idx="228">
                        <c:v>228</c:v>
                      </c:pt>
                      <c:pt idx="229">
                        <c:v>229</c:v>
                      </c:pt>
                      <c:pt idx="230">
                        <c:v>230</c:v>
                      </c:pt>
                      <c:pt idx="231">
                        <c:v>231</c:v>
                      </c:pt>
                      <c:pt idx="232">
                        <c:v>232</c:v>
                      </c:pt>
                      <c:pt idx="233">
                        <c:v>233</c:v>
                      </c:pt>
                      <c:pt idx="234">
                        <c:v>234</c:v>
                      </c:pt>
                      <c:pt idx="235">
                        <c:v>235</c:v>
                      </c:pt>
                      <c:pt idx="236">
                        <c:v>236</c:v>
                      </c:pt>
                      <c:pt idx="237">
                        <c:v>237</c:v>
                      </c:pt>
                      <c:pt idx="238">
                        <c:v>238</c:v>
                      </c:pt>
                      <c:pt idx="239">
                        <c:v>239</c:v>
                      </c:pt>
                      <c:pt idx="240">
                        <c:v>240</c:v>
                      </c:pt>
                      <c:pt idx="241">
                        <c:v>241</c:v>
                      </c:pt>
                      <c:pt idx="242">
                        <c:v>242</c:v>
                      </c:pt>
                      <c:pt idx="243">
                        <c:v>243</c:v>
                      </c:pt>
                      <c:pt idx="244">
                        <c:v>244</c:v>
                      </c:pt>
                      <c:pt idx="245">
                        <c:v>245</c:v>
                      </c:pt>
                      <c:pt idx="246">
                        <c:v>246</c:v>
                      </c:pt>
                      <c:pt idx="247">
                        <c:v>247</c:v>
                      </c:pt>
                      <c:pt idx="248">
                        <c:v>248</c:v>
                      </c:pt>
                      <c:pt idx="249">
                        <c:v>249</c:v>
                      </c:pt>
                      <c:pt idx="250">
                        <c:v>250</c:v>
                      </c:pt>
                      <c:pt idx="251">
                        <c:v>251</c:v>
                      </c:pt>
                      <c:pt idx="252">
                        <c:v>252</c:v>
                      </c:pt>
                      <c:pt idx="253">
                        <c:v>253</c:v>
                      </c:pt>
                      <c:pt idx="254">
                        <c:v>254</c:v>
                      </c:pt>
                      <c:pt idx="255">
                        <c:v>255</c:v>
                      </c:pt>
                      <c:pt idx="256">
                        <c:v>256</c:v>
                      </c:pt>
                      <c:pt idx="257">
                        <c:v>257</c:v>
                      </c:pt>
                      <c:pt idx="258">
                        <c:v>258</c:v>
                      </c:pt>
                      <c:pt idx="259">
                        <c:v>259</c:v>
                      </c:pt>
                      <c:pt idx="260">
                        <c:v>260</c:v>
                      </c:pt>
                      <c:pt idx="261">
                        <c:v>261</c:v>
                      </c:pt>
                      <c:pt idx="262">
                        <c:v>262</c:v>
                      </c:pt>
                      <c:pt idx="263">
                        <c:v>263</c:v>
                      </c:pt>
                      <c:pt idx="264">
                        <c:v>264</c:v>
                      </c:pt>
                      <c:pt idx="265">
                        <c:v>265</c:v>
                      </c:pt>
                      <c:pt idx="266">
                        <c:v>266</c:v>
                      </c:pt>
                      <c:pt idx="267">
                        <c:v>267</c:v>
                      </c:pt>
                      <c:pt idx="268">
                        <c:v>268</c:v>
                      </c:pt>
                      <c:pt idx="269">
                        <c:v>269</c:v>
                      </c:pt>
                      <c:pt idx="270">
                        <c:v>270</c:v>
                      </c:pt>
                      <c:pt idx="271">
                        <c:v>271</c:v>
                      </c:pt>
                      <c:pt idx="272">
                        <c:v>272</c:v>
                      </c:pt>
                      <c:pt idx="273">
                        <c:v>273</c:v>
                      </c:pt>
                      <c:pt idx="274">
                        <c:v>274</c:v>
                      </c:pt>
                      <c:pt idx="275">
                        <c:v>275</c:v>
                      </c:pt>
                      <c:pt idx="276">
                        <c:v>276</c:v>
                      </c:pt>
                      <c:pt idx="277">
                        <c:v>277</c:v>
                      </c:pt>
                      <c:pt idx="278">
                        <c:v>278</c:v>
                      </c:pt>
                      <c:pt idx="279">
                        <c:v>279</c:v>
                      </c:pt>
                      <c:pt idx="280">
                        <c:v>280</c:v>
                      </c:pt>
                      <c:pt idx="281">
                        <c:v>281</c:v>
                      </c:pt>
                      <c:pt idx="282">
                        <c:v>282</c:v>
                      </c:pt>
                      <c:pt idx="283">
                        <c:v>283</c:v>
                      </c:pt>
                      <c:pt idx="284">
                        <c:v>284</c:v>
                      </c:pt>
                      <c:pt idx="285">
                        <c:v>285</c:v>
                      </c:pt>
                      <c:pt idx="286">
                        <c:v>286</c:v>
                      </c:pt>
                      <c:pt idx="287">
                        <c:v>287</c:v>
                      </c:pt>
                      <c:pt idx="288">
                        <c:v>288</c:v>
                      </c:pt>
                      <c:pt idx="289">
                        <c:v>289</c:v>
                      </c:pt>
                      <c:pt idx="290">
                        <c:v>290</c:v>
                      </c:pt>
                      <c:pt idx="291">
                        <c:v>291</c:v>
                      </c:pt>
                      <c:pt idx="292">
                        <c:v>292</c:v>
                      </c:pt>
                      <c:pt idx="293">
                        <c:v>293</c:v>
                      </c:pt>
                      <c:pt idx="294">
                        <c:v>294</c:v>
                      </c:pt>
                      <c:pt idx="295">
                        <c:v>295</c:v>
                      </c:pt>
                      <c:pt idx="296">
                        <c:v>296</c:v>
                      </c:pt>
                      <c:pt idx="297">
                        <c:v>297</c:v>
                      </c:pt>
                      <c:pt idx="298">
                        <c:v>298</c:v>
                      </c:pt>
                      <c:pt idx="299">
                        <c:v>299</c:v>
                      </c:pt>
                      <c:pt idx="300">
                        <c:v>300</c:v>
                      </c:pt>
                      <c:pt idx="301">
                        <c:v>301</c:v>
                      </c:pt>
                      <c:pt idx="302">
                        <c:v>302</c:v>
                      </c:pt>
                      <c:pt idx="303">
                        <c:v>303</c:v>
                      </c:pt>
                      <c:pt idx="304">
                        <c:v>304</c:v>
                      </c:pt>
                      <c:pt idx="305">
                        <c:v>305</c:v>
                      </c:pt>
                      <c:pt idx="306">
                        <c:v>306</c:v>
                      </c:pt>
                      <c:pt idx="307">
                        <c:v>307</c:v>
                      </c:pt>
                      <c:pt idx="308">
                        <c:v>308</c:v>
                      </c:pt>
                      <c:pt idx="309">
                        <c:v>309</c:v>
                      </c:pt>
                      <c:pt idx="310">
                        <c:v>310</c:v>
                      </c:pt>
                      <c:pt idx="311">
                        <c:v>311</c:v>
                      </c:pt>
                      <c:pt idx="312">
                        <c:v>312</c:v>
                      </c:pt>
                      <c:pt idx="313">
                        <c:v>313</c:v>
                      </c:pt>
                      <c:pt idx="314">
                        <c:v>314</c:v>
                      </c:pt>
                      <c:pt idx="315">
                        <c:v>315</c:v>
                      </c:pt>
                      <c:pt idx="316">
                        <c:v>316</c:v>
                      </c:pt>
                      <c:pt idx="317">
                        <c:v>317</c:v>
                      </c:pt>
                      <c:pt idx="318">
                        <c:v>318</c:v>
                      </c:pt>
                      <c:pt idx="319">
                        <c:v>319</c:v>
                      </c:pt>
                      <c:pt idx="320">
                        <c:v>320</c:v>
                      </c:pt>
                      <c:pt idx="321">
                        <c:v>321</c:v>
                      </c:pt>
                      <c:pt idx="322">
                        <c:v>322</c:v>
                      </c:pt>
                      <c:pt idx="323">
                        <c:v>323</c:v>
                      </c:pt>
                      <c:pt idx="324">
                        <c:v>324</c:v>
                      </c:pt>
                      <c:pt idx="325">
                        <c:v>325</c:v>
                      </c:pt>
                      <c:pt idx="326">
                        <c:v>326</c:v>
                      </c:pt>
                      <c:pt idx="327">
                        <c:v>327</c:v>
                      </c:pt>
                      <c:pt idx="328">
                        <c:v>328</c:v>
                      </c:pt>
                      <c:pt idx="329">
                        <c:v>329</c:v>
                      </c:pt>
                      <c:pt idx="330">
                        <c:v>330</c:v>
                      </c:pt>
                      <c:pt idx="331">
                        <c:v>331</c:v>
                      </c:pt>
                      <c:pt idx="332">
                        <c:v>332</c:v>
                      </c:pt>
                      <c:pt idx="333">
                        <c:v>333</c:v>
                      </c:pt>
                      <c:pt idx="334">
                        <c:v>334</c:v>
                      </c:pt>
                      <c:pt idx="335">
                        <c:v>335</c:v>
                      </c:pt>
                      <c:pt idx="336">
                        <c:v>336</c:v>
                      </c:pt>
                      <c:pt idx="337">
                        <c:v>337</c:v>
                      </c:pt>
                      <c:pt idx="338">
                        <c:v>338</c:v>
                      </c:pt>
                      <c:pt idx="339">
                        <c:v>339</c:v>
                      </c:pt>
                      <c:pt idx="340">
                        <c:v>340</c:v>
                      </c:pt>
                      <c:pt idx="341">
                        <c:v>341</c:v>
                      </c:pt>
                      <c:pt idx="342">
                        <c:v>342</c:v>
                      </c:pt>
                      <c:pt idx="343">
                        <c:v>343</c:v>
                      </c:pt>
                      <c:pt idx="344">
                        <c:v>344</c:v>
                      </c:pt>
                      <c:pt idx="345">
                        <c:v>345</c:v>
                      </c:pt>
                      <c:pt idx="346">
                        <c:v>346</c:v>
                      </c:pt>
                      <c:pt idx="347">
                        <c:v>347</c:v>
                      </c:pt>
                      <c:pt idx="348">
                        <c:v>348</c:v>
                      </c:pt>
                      <c:pt idx="349">
                        <c:v>349</c:v>
                      </c:pt>
                      <c:pt idx="350">
                        <c:v>350</c:v>
                      </c:pt>
                      <c:pt idx="351">
                        <c:v>351</c:v>
                      </c:pt>
                      <c:pt idx="352">
                        <c:v>352</c:v>
                      </c:pt>
                      <c:pt idx="353">
                        <c:v>353</c:v>
                      </c:pt>
                      <c:pt idx="354">
                        <c:v>354</c:v>
                      </c:pt>
                      <c:pt idx="355">
                        <c:v>355</c:v>
                      </c:pt>
                      <c:pt idx="356">
                        <c:v>356</c:v>
                      </c:pt>
                      <c:pt idx="357">
                        <c:v>357</c:v>
                      </c:pt>
                      <c:pt idx="358">
                        <c:v>358</c:v>
                      </c:pt>
                      <c:pt idx="359">
                        <c:v>359</c:v>
                      </c:pt>
                      <c:pt idx="360">
                        <c:v>360</c:v>
                      </c:pt>
                      <c:pt idx="361">
                        <c:v>361</c:v>
                      </c:pt>
                      <c:pt idx="362">
                        <c:v>362</c:v>
                      </c:pt>
                      <c:pt idx="363">
                        <c:v>363</c:v>
                      </c:pt>
                      <c:pt idx="364">
                        <c:v>364</c:v>
                      </c:pt>
                      <c:pt idx="365">
                        <c:v>365</c:v>
                      </c:pt>
                      <c:pt idx="366">
                        <c:v>366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E54-4CD5-BF99-1CE3F8F25241}"/>
                  </c:ext>
                </c:extLst>
              </c15:ser>
            </c15:filteredLineSeries>
          </c:ext>
        </c:extLst>
      </c:lineChart>
      <c:catAx>
        <c:axId val="106140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1406432"/>
        <c:crosses val="autoZero"/>
        <c:auto val="1"/>
        <c:lblAlgn val="ctr"/>
        <c:lblOffset val="100"/>
        <c:noMultiLvlLbl val="0"/>
      </c:catAx>
      <c:valAx>
        <c:axId val="106140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14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Slagteform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'Model tilvækst, slagteform, fe'!$H$8</c:f>
              <c:strCache>
                <c:ptCount val="1"/>
                <c:pt idx="0">
                  <c:v>hol_tyr_slagteform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fe'!$H$9:$H$375</c:f>
              <c:numCache>
                <c:formatCode>#,##0.0</c:formatCode>
                <c:ptCount val="367"/>
                <c:pt idx="0">
                  <c:v>45</c:v>
                </c:pt>
                <c:pt idx="1">
                  <c:v>45.016479097290578</c:v>
                </c:pt>
                <c:pt idx="2">
                  <c:v>45.032957641524384</c:v>
                </c:pt>
                <c:pt idx="3">
                  <c:v>45.049435079644653</c:v>
                </c:pt>
                <c:pt idx="4">
                  <c:v>45.065910858594577</c:v>
                </c:pt>
                <c:pt idx="5">
                  <c:v>45.082384425317443</c:v>
                </c:pt>
                <c:pt idx="6">
                  <c:v>45.098855226756442</c:v>
                </c:pt>
                <c:pt idx="7">
                  <c:v>45.115322709854802</c:v>
                </c:pt>
                <c:pt idx="8">
                  <c:v>45.131786321555758</c:v>
                </c:pt>
                <c:pt idx="9">
                  <c:v>45.148245508802553</c:v>
                </c:pt>
                <c:pt idx="10">
                  <c:v>45.16469971853838</c:v>
                </c:pt>
                <c:pt idx="11">
                  <c:v>45.181148397706487</c:v>
                </c:pt>
                <c:pt idx="12">
                  <c:v>45.19759099325011</c:v>
                </c:pt>
                <c:pt idx="13">
                  <c:v>45.214026952112462</c:v>
                </c:pt>
                <c:pt idx="14">
                  <c:v>45.23045572123678</c:v>
                </c:pt>
                <c:pt idx="15">
                  <c:v>45.24687674756629</c:v>
                </c:pt>
                <c:pt idx="16">
                  <c:v>45.263289478044207</c:v>
                </c:pt>
                <c:pt idx="17">
                  <c:v>45.279693359613788</c:v>
                </c:pt>
                <c:pt idx="18">
                  <c:v>45.296087839218238</c:v>
                </c:pt>
                <c:pt idx="19">
                  <c:v>45.312472363800786</c:v>
                </c:pt>
                <c:pt idx="20">
                  <c:v>45.328846380304668</c:v>
                </c:pt>
                <c:pt idx="21">
                  <c:v>45.345209335673097</c:v>
                </c:pt>
                <c:pt idx="22">
                  <c:v>45.361560676849329</c:v>
                </c:pt>
                <c:pt idx="23">
                  <c:v>45.377899850776572</c:v>
                </c:pt>
                <c:pt idx="24">
                  <c:v>45.394226304398053</c:v>
                </c:pt>
                <c:pt idx="25">
                  <c:v>45.410539484657008</c:v>
                </c:pt>
                <c:pt idx="26">
                  <c:v>45.426838838496657</c:v>
                </c:pt>
                <c:pt idx="27">
                  <c:v>45.443123812860229</c:v>
                </c:pt>
                <c:pt idx="28">
                  <c:v>45.459393854690958</c:v>
                </c:pt>
                <c:pt idx="29">
                  <c:v>45.475648410932067</c:v>
                </c:pt>
                <c:pt idx="30">
                  <c:v>45.491886928526789</c:v>
                </c:pt>
                <c:pt idx="31">
                  <c:v>45.508108923548882</c:v>
                </c:pt>
                <c:pt idx="32">
                  <c:v>45.524315502114909</c:v>
                </c:pt>
                <c:pt idx="33">
                  <c:v>45.540509360375182</c:v>
                </c:pt>
                <c:pt idx="34">
                  <c:v>45.556693263613553</c:v>
                </c:pt>
                <c:pt idx="35">
                  <c:v>45.572869977113882</c:v>
                </c:pt>
                <c:pt idx="36">
                  <c:v>45.589042266160043</c:v>
                </c:pt>
                <c:pt idx="37">
                  <c:v>45.60521289603588</c:v>
                </c:pt>
                <c:pt idx="38">
                  <c:v>45.621384632025261</c:v>
                </c:pt>
                <c:pt idx="39">
                  <c:v>45.637560239412053</c:v>
                </c:pt>
                <c:pt idx="40">
                  <c:v>45.653742483480109</c:v>
                </c:pt>
                <c:pt idx="41">
                  <c:v>45.669934129513287</c:v>
                </c:pt>
                <c:pt idx="42">
                  <c:v>45.686137942795469</c:v>
                </c:pt>
                <c:pt idx="43">
                  <c:v>45.702356688610493</c:v>
                </c:pt>
                <c:pt idx="44">
                  <c:v>45.718593132242233</c:v>
                </c:pt>
                <c:pt idx="45">
                  <c:v>45.734850038974542</c:v>
                </c:pt>
                <c:pt idx="46">
                  <c:v>45.751130174091287</c:v>
                </c:pt>
                <c:pt idx="47">
                  <c:v>45.767436302876327</c:v>
                </c:pt>
                <c:pt idx="48">
                  <c:v>45.783771190613521</c:v>
                </c:pt>
                <c:pt idx="49">
                  <c:v>45.80013760258673</c:v>
                </c:pt>
                <c:pt idx="50">
                  <c:v>45.81653830407982</c:v>
                </c:pt>
                <c:pt idx="51">
                  <c:v>45.832976060376652</c:v>
                </c:pt>
                <c:pt idx="52">
                  <c:v>45.849453636761083</c:v>
                </c:pt>
                <c:pt idx="53">
                  <c:v>45.865973798516961</c:v>
                </c:pt>
                <c:pt idx="54">
                  <c:v>45.882539310928173</c:v>
                </c:pt>
                <c:pt idx="55">
                  <c:v>45.899152939278572</c:v>
                </c:pt>
                <c:pt idx="56">
                  <c:v>45.91581744885201</c:v>
                </c:pt>
                <c:pt idx="57">
                  <c:v>45.932535604932362</c:v>
                </c:pt>
                <c:pt idx="58">
                  <c:v>45.949310172803472</c:v>
                </c:pt>
                <c:pt idx="59">
                  <c:v>45.9661439177492</c:v>
                </c:pt>
                <c:pt idx="60">
                  <c:v>45.983039605053428</c:v>
                </c:pt>
                <c:pt idx="61">
                  <c:v>46</c:v>
                </c:pt>
                <c:pt idx="62">
                  <c:v>46.017027133192663</c:v>
                </c:pt>
                <c:pt idx="63">
                  <c:v>46.034120096514599</c:v>
                </c:pt>
                <c:pt idx="64">
                  <c:v>46.051277247168898</c:v>
                </c:pt>
                <c:pt idx="65">
                  <c:v>46.068496942358642</c:v>
                </c:pt>
                <c:pt idx="66">
                  <c:v>46.08577753928688</c:v>
                </c:pt>
                <c:pt idx="67">
                  <c:v>46.103117395156708</c:v>
                </c:pt>
                <c:pt idx="68">
                  <c:v>46.120514867171202</c:v>
                </c:pt>
                <c:pt idx="69">
                  <c:v>46.137968312533417</c:v>
                </c:pt>
                <c:pt idx="70">
                  <c:v>46.155476088446449</c:v>
                </c:pt>
                <c:pt idx="71">
                  <c:v>46.173036552113359</c:v>
                </c:pt>
                <c:pt idx="72">
                  <c:v>46.190648060737232</c:v>
                </c:pt>
                <c:pt idx="73">
                  <c:v>46.208308971521127</c:v>
                </c:pt>
                <c:pt idx="74">
                  <c:v>46.226017641668143</c:v>
                </c:pt>
                <c:pt idx="75">
                  <c:v>46.24377242838132</c:v>
                </c:pt>
                <c:pt idx="76">
                  <c:v>46.261571688863761</c:v>
                </c:pt>
                <c:pt idx="77">
                  <c:v>46.279413780318542</c:v>
                </c:pt>
                <c:pt idx="78">
                  <c:v>46.297297059948711</c:v>
                </c:pt>
                <c:pt idx="79">
                  <c:v>46.315219884957372</c:v>
                </c:pt>
                <c:pt idx="80">
                  <c:v>46.333180612547579</c:v>
                </c:pt>
                <c:pt idx="81">
                  <c:v>46.351177599922423</c:v>
                </c:pt>
                <c:pt idx="82">
                  <c:v>46.369209204284957</c:v>
                </c:pt>
                <c:pt idx="83">
                  <c:v>46.387273782838278</c:v>
                </c:pt>
                <c:pt idx="84">
                  <c:v>46.405369692785463</c:v>
                </c:pt>
                <c:pt idx="85">
                  <c:v>46.423495291329552</c:v>
                </c:pt>
                <c:pt idx="86">
                  <c:v>46.441648935673662</c:v>
                </c:pt>
                <c:pt idx="87">
                  <c:v>46.459828983020827</c:v>
                </c:pt>
                <c:pt idx="88">
                  <c:v>46.478033790574159</c:v>
                </c:pt>
                <c:pt idx="89">
                  <c:v>46.496261715536718</c:v>
                </c:pt>
                <c:pt idx="90">
                  <c:v>46.514511115111567</c:v>
                </c:pt>
                <c:pt idx="91">
                  <c:v>46.532780346501802</c:v>
                </c:pt>
                <c:pt idx="92">
                  <c:v>46.551067766910478</c:v>
                </c:pt>
                <c:pt idx="93">
                  <c:v>46.569371733540677</c:v>
                </c:pt>
                <c:pt idx="94">
                  <c:v>46.587690603595483</c:v>
                </c:pt>
                <c:pt idx="95">
                  <c:v>46.606022734277957</c:v>
                </c:pt>
                <c:pt idx="96">
                  <c:v>46.624366482791181</c:v>
                </c:pt>
                <c:pt idx="97">
                  <c:v>46.642720206338232</c:v>
                </c:pt>
                <c:pt idx="98">
                  <c:v>46.661082262122171</c:v>
                </c:pt>
                <c:pt idx="99">
                  <c:v>46.679451007346088</c:v>
                </c:pt>
                <c:pt idx="100">
                  <c:v>46.697824799213052</c:v>
                </c:pt>
                <c:pt idx="101">
                  <c:v>46.716201994926131</c:v>
                </c:pt>
                <c:pt idx="102">
                  <c:v>46.734580951688422</c:v>
                </c:pt>
                <c:pt idx="103">
                  <c:v>46.752960026702958</c:v>
                </c:pt>
                <c:pt idx="104">
                  <c:v>46.771337577172851</c:v>
                </c:pt>
                <c:pt idx="105">
                  <c:v>46.789711960301169</c:v>
                </c:pt>
                <c:pt idx="106">
                  <c:v>46.808081533290967</c:v>
                </c:pt>
                <c:pt idx="107">
                  <c:v>46.826444653345348</c:v>
                </c:pt>
                <c:pt idx="108">
                  <c:v>46.844799677667368</c:v>
                </c:pt>
                <c:pt idx="109">
                  <c:v>46.863144963460108</c:v>
                </c:pt>
                <c:pt idx="110">
                  <c:v>46.881478867926639</c:v>
                </c:pt>
                <c:pt idx="111">
                  <c:v>46.899799748270027</c:v>
                </c:pt>
                <c:pt idx="112">
                  <c:v>46.918105961693378</c:v>
                </c:pt>
                <c:pt idx="113">
                  <c:v>46.936395865399732</c:v>
                </c:pt>
                <c:pt idx="114">
                  <c:v>46.954667816592178</c:v>
                </c:pt>
                <c:pt idx="115">
                  <c:v>46.972920172473792</c:v>
                </c:pt>
                <c:pt idx="116">
                  <c:v>46.99115129024765</c:v>
                </c:pt>
                <c:pt idx="117">
                  <c:v>47.009359527116807</c:v>
                </c:pt>
                <c:pt idx="118">
                  <c:v>47.027543240284373</c:v>
                </c:pt>
                <c:pt idx="119">
                  <c:v>47.045700786953397</c:v>
                </c:pt>
                <c:pt idx="120">
                  <c:v>47.06383052432696</c:v>
                </c:pt>
                <c:pt idx="121">
                  <c:v>47.081930809608139</c:v>
                </c:pt>
                <c:pt idx="122">
                  <c:v>47.1</c:v>
                </c:pt>
                <c:pt idx="123">
                  <c:v>47.118036989389012</c:v>
                </c:pt>
                <c:pt idx="124">
                  <c:v>47.13604281839514</c:v>
                </c:pt>
                <c:pt idx="125">
                  <c:v>47.154019064321751</c:v>
                </c:pt>
                <c:pt idx="126">
                  <c:v>47.171967304472211</c:v>
                </c:pt>
                <c:pt idx="127">
                  <c:v>47.189889116149871</c:v>
                </c:pt>
                <c:pt idx="128">
                  <c:v>47.207786076658103</c:v>
                </c:pt>
                <c:pt idx="129">
                  <c:v>47.22565976330025</c:v>
                </c:pt>
                <c:pt idx="130">
                  <c:v>47.243511753379693</c:v>
                </c:pt>
                <c:pt idx="131">
                  <c:v>47.26134362419976</c:v>
                </c:pt>
                <c:pt idx="132">
                  <c:v>47.279156953063847</c:v>
                </c:pt>
                <c:pt idx="133">
                  <c:v>47.296953317275303</c:v>
                </c:pt>
                <c:pt idx="134">
                  <c:v>47.314734294137473</c:v>
                </c:pt>
                <c:pt idx="135">
                  <c:v>47.332501460953743</c:v>
                </c:pt>
                <c:pt idx="136">
                  <c:v>47.350256395027444</c:v>
                </c:pt>
                <c:pt idx="137">
                  <c:v>47.368000673661953</c:v>
                </c:pt>
                <c:pt idx="138">
                  <c:v>47.38573587416063</c:v>
                </c:pt>
                <c:pt idx="139">
                  <c:v>47.403463573826841</c:v>
                </c:pt>
                <c:pt idx="140">
                  <c:v>47.421185349963942</c:v>
                </c:pt>
                <c:pt idx="141">
                  <c:v>47.438902779875278</c:v>
                </c:pt>
                <c:pt idx="142">
                  <c:v>47.456617440864221</c:v>
                </c:pt>
                <c:pt idx="143">
                  <c:v>47.474330910234137</c:v>
                </c:pt>
                <c:pt idx="144">
                  <c:v>47.492044765288377</c:v>
                </c:pt>
                <c:pt idx="145">
                  <c:v>47.509760583330319</c:v>
                </c:pt>
                <c:pt idx="146">
                  <c:v>47.527479941663287</c:v>
                </c:pt>
                <c:pt idx="147">
                  <c:v>47.545204417590689</c:v>
                </c:pt>
                <c:pt idx="148">
                  <c:v>47.562935588415847</c:v>
                </c:pt>
                <c:pt idx="149">
                  <c:v>47.580675031442127</c:v>
                </c:pt>
                <c:pt idx="150">
                  <c:v>47.598424323972907</c:v>
                </c:pt>
                <c:pt idx="151">
                  <c:v>47.616185043311539</c:v>
                </c:pt>
                <c:pt idx="152">
                  <c:v>47.633958766761367</c:v>
                </c:pt>
                <c:pt idx="153">
                  <c:v>47.651747071625792</c:v>
                </c:pt>
                <c:pt idx="154">
                  <c:v>47.669551535208122</c:v>
                </c:pt>
                <c:pt idx="155">
                  <c:v>47.68737373481175</c:v>
                </c:pt>
                <c:pt idx="156">
                  <c:v>47.705215247740028</c:v>
                </c:pt>
                <c:pt idx="157">
                  <c:v>47.723077651296322</c:v>
                </c:pt>
                <c:pt idx="158">
                  <c:v>47.740962522783981</c:v>
                </c:pt>
                <c:pt idx="159">
                  <c:v>47.758871439506379</c:v>
                </c:pt>
                <c:pt idx="160">
                  <c:v>47.776805978766873</c:v>
                </c:pt>
                <c:pt idx="161">
                  <c:v>47.794767717868801</c:v>
                </c:pt>
                <c:pt idx="162">
                  <c:v>47.812758234115563</c:v>
                </c:pt>
                <c:pt idx="163">
                  <c:v>47.830779104810482</c:v>
                </c:pt>
                <c:pt idx="164">
                  <c:v>47.848831907256937</c:v>
                </c:pt>
                <c:pt idx="165">
                  <c:v>47.866918218758293</c:v>
                </c:pt>
                <c:pt idx="166">
                  <c:v>47.885039616617888</c:v>
                </c:pt>
                <c:pt idx="167">
                  <c:v>47.903197678139101</c:v>
                </c:pt>
                <c:pt idx="168">
                  <c:v>47.921393980625297</c:v>
                </c:pt>
                <c:pt idx="169">
                  <c:v>47.939630101379819</c:v>
                </c:pt>
                <c:pt idx="170">
                  <c:v>47.957907617706041</c:v>
                </c:pt>
                <c:pt idx="171">
                  <c:v>47.976228106907307</c:v>
                </c:pt>
                <c:pt idx="172">
                  <c:v>47.994593146287002</c:v>
                </c:pt>
                <c:pt idx="173">
                  <c:v>48.013004313148457</c:v>
                </c:pt>
                <c:pt idx="174">
                  <c:v>48.031463184795072</c:v>
                </c:pt>
                <c:pt idx="175">
                  <c:v>48.049971338530163</c:v>
                </c:pt>
                <c:pt idx="176">
                  <c:v>48.068530351657117</c:v>
                </c:pt>
                <c:pt idx="177">
                  <c:v>48.087141801479277</c:v>
                </c:pt>
                <c:pt idx="178">
                  <c:v>48.105807265300022</c:v>
                </c:pt>
                <c:pt idx="179">
                  <c:v>48.124528320422712</c:v>
                </c:pt>
                <c:pt idx="180">
                  <c:v>48.143306544150683</c:v>
                </c:pt>
                <c:pt idx="181">
                  <c:v>48.162143513787321</c:v>
                </c:pt>
                <c:pt idx="182">
                  <c:v>48.18104080663597</c:v>
                </c:pt>
                <c:pt idx="183">
                  <c:v>48.2</c:v>
                </c:pt>
                <c:pt idx="184">
                  <c:v>48.219021630562793</c:v>
                </c:pt>
                <c:pt idx="185">
                  <c:v>48.238102072527802</c:v>
                </c:pt>
                <c:pt idx="186">
                  <c:v>48.257236659478522</c:v>
                </c:pt>
                <c:pt idx="187">
                  <c:v>48.276420724998417</c:v>
                </c:pt>
                <c:pt idx="188">
                  <c:v>48.295649602671013</c:v>
                </c:pt>
                <c:pt idx="189">
                  <c:v>48.314918626079752</c:v>
                </c:pt>
                <c:pt idx="190">
                  <c:v>48.334223128808141</c:v>
                </c:pt>
                <c:pt idx="191">
                  <c:v>48.353558444439663</c:v>
                </c:pt>
                <c:pt idx="192">
                  <c:v>48.37291990655779</c:v>
                </c:pt>
                <c:pt idx="193">
                  <c:v>48.392302848746013</c:v>
                </c:pt>
                <c:pt idx="194">
                  <c:v>48.411702604587823</c:v>
                </c:pt>
                <c:pt idx="195">
                  <c:v>48.431114507666699</c:v>
                </c:pt>
                <c:pt idx="196">
                  <c:v>48.450533891566117</c:v>
                </c:pt>
                <c:pt idx="197">
                  <c:v>48.469956089869576</c:v>
                </c:pt>
                <c:pt idx="198">
                  <c:v>48.489376436160562</c:v>
                </c:pt>
                <c:pt idx="199">
                  <c:v>48.508790264022551</c:v>
                </c:pt>
                <c:pt idx="200">
                  <c:v>48.528192907039021</c:v>
                </c:pt>
                <c:pt idx="201">
                  <c:v>48.547579698793463</c:v>
                </c:pt>
                <c:pt idx="202">
                  <c:v>48.566945972869362</c:v>
                </c:pt>
                <c:pt idx="203">
                  <c:v>48.586287062850197</c:v>
                </c:pt>
                <c:pt idx="204">
                  <c:v>48.605598302319471</c:v>
                </c:pt>
                <c:pt idx="205">
                  <c:v>48.62487502486065</c:v>
                </c:pt>
                <c:pt idx="206">
                  <c:v>48.644112564057217</c:v>
                </c:pt>
                <c:pt idx="207">
                  <c:v>48.663306253492678</c:v>
                </c:pt>
                <c:pt idx="208">
                  <c:v>48.68245142675049</c:v>
                </c:pt>
                <c:pt idx="209">
                  <c:v>48.70154341741415</c:v>
                </c:pt>
                <c:pt idx="210">
                  <c:v>48.720577559067152</c:v>
                </c:pt>
                <c:pt idx="211">
                  <c:v>48.739549185292958</c:v>
                </c:pt>
                <c:pt idx="212">
                  <c:v>48.758453629675067</c:v>
                </c:pt>
                <c:pt idx="213">
                  <c:v>48.777286225796963</c:v>
                </c:pt>
                <c:pt idx="214">
                  <c:v>48.796042307242132</c:v>
                </c:pt>
                <c:pt idx="215">
                  <c:v>48.81471720759405</c:v>
                </c:pt>
                <c:pt idx="216">
                  <c:v>48.83330626043621</c:v>
                </c:pt>
                <c:pt idx="217">
                  <c:v>48.851804799352088</c:v>
                </c:pt>
                <c:pt idx="218">
                  <c:v>48.870208157925177</c:v>
                </c:pt>
                <c:pt idx="219">
                  <c:v>48.888511669738953</c:v>
                </c:pt>
                <c:pt idx="220">
                  <c:v>48.90671066837691</c:v>
                </c:pt>
                <c:pt idx="221">
                  <c:v>48.924800487422523</c:v>
                </c:pt>
                <c:pt idx="222">
                  <c:v>48.942776460459292</c:v>
                </c:pt>
                <c:pt idx="223">
                  <c:v>48.960633921070666</c:v>
                </c:pt>
                <c:pt idx="224">
                  <c:v>48.97836820284018</c:v>
                </c:pt>
                <c:pt idx="225">
                  <c:v>48.995974639351282</c:v>
                </c:pt>
                <c:pt idx="226">
                  <c:v>49.013448564187463</c:v>
                </c:pt>
                <c:pt idx="227">
                  <c:v>49.03078531093221</c:v>
                </c:pt>
                <c:pt idx="228">
                  <c:v>49.047980213169012</c:v>
                </c:pt>
                <c:pt idx="229">
                  <c:v>49.065028604481348</c:v>
                </c:pt>
                <c:pt idx="230">
                  <c:v>49.081925818452703</c:v>
                </c:pt>
                <c:pt idx="231">
                  <c:v>49.09866718866656</c:v>
                </c:pt>
                <c:pt idx="232">
                  <c:v>49.115248048706412</c:v>
                </c:pt>
                <c:pt idx="233">
                  <c:v>49.131663732155729</c:v>
                </c:pt>
                <c:pt idx="234">
                  <c:v>49.14790957259801</c:v>
                </c:pt>
                <c:pt idx="235">
                  <c:v>49.163980903616732</c:v>
                </c:pt>
                <c:pt idx="236">
                  <c:v>49.179873058795373</c:v>
                </c:pt>
                <c:pt idx="237">
                  <c:v>49.195581371717431</c:v>
                </c:pt>
                <c:pt idx="238">
                  <c:v>49.211101175966377</c:v>
                </c:pt>
                <c:pt idx="239">
                  <c:v>49.226427805125716</c:v>
                </c:pt>
                <c:pt idx="240">
                  <c:v>49.241556592778913</c:v>
                </c:pt>
                <c:pt idx="241">
                  <c:v>49.256482872509451</c:v>
                </c:pt>
                <c:pt idx="242">
                  <c:v>49.271201977900823</c:v>
                </c:pt>
                <c:pt idx="243">
                  <c:v>49.28570924253652</c:v>
                </c:pt>
                <c:pt idx="244">
                  <c:v>49.300000000000011</c:v>
                </c:pt>
                <c:pt idx="245">
                  <c:v>49.314071006843761</c:v>
                </c:pt>
                <c:pt idx="246">
                  <c:v>49.327924711496223</c:v>
                </c:pt>
                <c:pt idx="247">
                  <c:v>49.341564985354772</c:v>
                </c:pt>
                <c:pt idx="248">
                  <c:v>49.354995699816833</c:v>
                </c:pt>
                <c:pt idx="249">
                  <c:v>49.368220726279787</c:v>
                </c:pt>
                <c:pt idx="250">
                  <c:v>49.381243936141068</c:v>
                </c:pt>
                <c:pt idx="251">
                  <c:v>49.394069200798057</c:v>
                </c:pt>
                <c:pt idx="252">
                  <c:v>49.40670039164818</c:v>
                </c:pt>
                <c:pt idx="253">
                  <c:v>49.419141380088831</c:v>
                </c:pt>
                <c:pt idx="254">
                  <c:v>49.431396037517423</c:v>
                </c:pt>
                <c:pt idx="255">
                  <c:v>49.443468235331352</c:v>
                </c:pt>
                <c:pt idx="256">
                  <c:v>49.455361844928007</c:v>
                </c:pt>
                <c:pt idx="257">
                  <c:v>49.46708073770484</c:v>
                </c:pt>
                <c:pt idx="258">
                  <c:v>49.478628785059222</c:v>
                </c:pt>
                <c:pt idx="259">
                  <c:v>49.490009858388568</c:v>
                </c:pt>
                <c:pt idx="260">
                  <c:v>49.501227829090283</c:v>
                </c:pt>
                <c:pt idx="261">
                  <c:v>49.51228656856177</c:v>
                </c:pt>
                <c:pt idx="262">
                  <c:v>49.523189948200439</c:v>
                </c:pt>
                <c:pt idx="263">
                  <c:v>49.533941839403703</c:v>
                </c:pt>
                <c:pt idx="264">
                  <c:v>49.544546113568927</c:v>
                </c:pt>
                <c:pt idx="265">
                  <c:v>49.555006642093581</c:v>
                </c:pt>
                <c:pt idx="266">
                  <c:v>49.565327296375017</c:v>
                </c:pt>
                <c:pt idx="267">
                  <c:v>49.575511947810682</c:v>
                </c:pt>
                <c:pt idx="268">
                  <c:v>49.585564467797937</c:v>
                </c:pt>
                <c:pt idx="269">
                  <c:v>49.595488727734221</c:v>
                </c:pt>
                <c:pt idx="270">
                  <c:v>49.605288599016923</c:v>
                </c:pt>
                <c:pt idx="271">
                  <c:v>49.614967953043461</c:v>
                </c:pt>
                <c:pt idx="272">
                  <c:v>49.624530661211232</c:v>
                </c:pt>
                <c:pt idx="273">
                  <c:v>49.633980594917652</c:v>
                </c:pt>
                <c:pt idx="274">
                  <c:v>49.643321625560112</c:v>
                </c:pt>
                <c:pt idx="275">
                  <c:v>49.652557624536023</c:v>
                </c:pt>
                <c:pt idx="276">
                  <c:v>49.661692463242787</c:v>
                </c:pt>
                <c:pt idx="277">
                  <c:v>49.670730013077822</c:v>
                </c:pt>
                <c:pt idx="278">
                  <c:v>49.679674145438518</c:v>
                </c:pt>
                <c:pt idx="279">
                  <c:v>49.688528731722293</c:v>
                </c:pt>
                <c:pt idx="280">
                  <c:v>49.697297643326543</c:v>
                </c:pt>
                <c:pt idx="281">
                  <c:v>49.705984751648693</c:v>
                </c:pt>
                <c:pt idx="282">
                  <c:v>49.71459392808611</c:v>
                </c:pt>
                <c:pt idx="283">
                  <c:v>49.723129044036241</c:v>
                </c:pt>
                <c:pt idx="284">
                  <c:v>49.731593970896469</c:v>
                </c:pt>
                <c:pt idx="285">
                  <c:v>49.739992580064197</c:v>
                </c:pt>
                <c:pt idx="286">
                  <c:v>49.748328742936849</c:v>
                </c:pt>
                <c:pt idx="287">
                  <c:v>49.756606330911822</c:v>
                </c:pt>
                <c:pt idx="288">
                  <c:v>49.764829215386513</c:v>
                </c:pt>
                <c:pt idx="289">
                  <c:v>49.773001267758332</c:v>
                </c:pt>
                <c:pt idx="290">
                  <c:v>49.781126359424682</c:v>
                </c:pt>
                <c:pt idx="291">
                  <c:v>49.789208361782983</c:v>
                </c:pt>
                <c:pt idx="292">
                  <c:v>49.797251146230622</c:v>
                </c:pt>
                <c:pt idx="293">
                  <c:v>49.805258584165017</c:v>
                </c:pt>
                <c:pt idx="294">
                  <c:v>49.813234546983573</c:v>
                </c:pt>
                <c:pt idx="295">
                  <c:v>49.821182906083678</c:v>
                </c:pt>
                <c:pt idx="296">
                  <c:v>49.829107532862757</c:v>
                </c:pt>
                <c:pt idx="297">
                  <c:v>49.837012298718207</c:v>
                </c:pt>
                <c:pt idx="298">
                  <c:v>49.844901075047453</c:v>
                </c:pt>
                <c:pt idx="299">
                  <c:v>49.852777733247883</c:v>
                </c:pt>
                <c:pt idx="300">
                  <c:v>49.860646144716888</c:v>
                </c:pt>
                <c:pt idx="301">
                  <c:v>49.868510180851892</c:v>
                </c:pt>
                <c:pt idx="302">
                  <c:v>49.876373713050299</c:v>
                </c:pt>
                <c:pt idx="303">
                  <c:v>49.884240612709519</c:v>
                </c:pt>
                <c:pt idx="304">
                  <c:v>49.892114751226948</c:v>
                </c:pt>
                <c:pt idx="305">
                  <c:v>49.899999999999991</c:v>
                </c:pt>
                <c:pt idx="306">
                  <c:v>49.907899544259692</c:v>
                </c:pt>
                <c:pt idx="307">
                  <c:v>49.915813824571543</c:v>
                </c:pt>
                <c:pt idx="308">
                  <c:v>49.923742595334673</c:v>
                </c:pt>
                <c:pt idx="309">
                  <c:v>49.931685610948222</c:v>
                </c:pt>
                <c:pt idx="310">
                  <c:v>49.93964262581131</c:v>
                </c:pt>
                <c:pt idx="311">
                  <c:v>49.947613394323092</c:v>
                </c:pt>
                <c:pt idx="312">
                  <c:v>49.955597670882661</c:v>
                </c:pt>
                <c:pt idx="313">
                  <c:v>49.963595209889192</c:v>
                </c:pt>
                <c:pt idx="314">
                  <c:v>49.971605765741771</c:v>
                </c:pt>
                <c:pt idx="315">
                  <c:v>49.979629092839559</c:v>
                </c:pt>
                <c:pt idx="316">
                  <c:v>49.987664945581692</c:v>
                </c:pt>
                <c:pt idx="317">
                  <c:v>49.995713078367267</c:v>
                </c:pt>
                <c:pt idx="318">
                  <c:v>50.00377324559544</c:v>
                </c:pt>
                <c:pt idx="319">
                  <c:v>50.011845201665352</c:v>
                </c:pt>
                <c:pt idx="320">
                  <c:v>50.019928700976102</c:v>
                </c:pt>
                <c:pt idx="321">
                  <c:v>50.028023497926839</c:v>
                </c:pt>
                <c:pt idx="322">
                  <c:v>50.036129346916702</c:v>
                </c:pt>
                <c:pt idx="323">
                  <c:v>50.044246002344792</c:v>
                </c:pt>
                <c:pt idx="324">
                  <c:v>50.052373218610278</c:v>
                </c:pt>
                <c:pt idx="325">
                  <c:v>50.060510750112272</c:v>
                </c:pt>
                <c:pt idx="326">
                  <c:v>50.068658351249887</c:v>
                </c:pt>
                <c:pt idx="327">
                  <c:v>50.076815776422293</c:v>
                </c:pt>
                <c:pt idx="328">
                  <c:v>50.084982780028582</c:v>
                </c:pt>
                <c:pt idx="329">
                  <c:v>50.093159116467909</c:v>
                </c:pt>
                <c:pt idx="330">
                  <c:v>50.101344540139401</c:v>
                </c:pt>
                <c:pt idx="331">
                  <c:v>50.109538805442192</c:v>
                </c:pt>
                <c:pt idx="332">
                  <c:v>50.117741666775387</c:v>
                </c:pt>
                <c:pt idx="333">
                  <c:v>50.125952878538151</c:v>
                </c:pt>
                <c:pt idx="334">
                  <c:v>50.134172195129587</c:v>
                </c:pt>
                <c:pt idx="335">
                  <c:v>50.142399370948858</c:v>
                </c:pt>
                <c:pt idx="336">
                  <c:v>50.150634160395057</c:v>
                </c:pt>
                <c:pt idx="337">
                  <c:v>50.158876317867353</c:v>
                </c:pt>
                <c:pt idx="338">
                  <c:v>50.167125597764837</c:v>
                </c:pt>
                <c:pt idx="339">
                  <c:v>50.175381754486679</c:v>
                </c:pt>
                <c:pt idx="340">
                  <c:v>50.183644542431978</c:v>
                </c:pt>
                <c:pt idx="341">
                  <c:v>50.191913715999881</c:v>
                </c:pt>
                <c:pt idx="342">
                  <c:v>50.200189029589517</c:v>
                </c:pt>
                <c:pt idx="343">
                  <c:v>50.208470237600011</c:v>
                </c:pt>
                <c:pt idx="344">
                  <c:v>50.216757094430498</c:v>
                </c:pt>
                <c:pt idx="345">
                  <c:v>50.225049354480113</c:v>
                </c:pt>
                <c:pt idx="346">
                  <c:v>50.233346772147968</c:v>
                </c:pt>
                <c:pt idx="347">
                  <c:v>50.241649101833218</c:v>
                </c:pt>
                <c:pt idx="348">
                  <c:v>50.249956097934977</c:v>
                </c:pt>
                <c:pt idx="349">
                  <c:v>50.258267514852399</c:v>
                </c:pt>
                <c:pt idx="350">
                  <c:v>50.266583106984577</c:v>
                </c:pt>
                <c:pt idx="351">
                  <c:v>50.274902628730693</c:v>
                </c:pt>
                <c:pt idx="352">
                  <c:v>50.283225834489819</c:v>
                </c:pt>
                <c:pt idx="353">
                  <c:v>50.291552478661117</c:v>
                </c:pt>
                <c:pt idx="354">
                  <c:v>50.299882315643728</c:v>
                </c:pt>
                <c:pt idx="355">
                  <c:v>50.308215099836772</c:v>
                </c:pt>
                <c:pt idx="356">
                  <c:v>50.316550585639362</c:v>
                </c:pt>
                <c:pt idx="357">
                  <c:v>50.324888527450653</c:v>
                </c:pt>
                <c:pt idx="358">
                  <c:v>50.333228679669773</c:v>
                </c:pt>
                <c:pt idx="359">
                  <c:v>50.341570796695827</c:v>
                </c:pt>
                <c:pt idx="360">
                  <c:v>50.349914632927977</c:v>
                </c:pt>
                <c:pt idx="361">
                  <c:v>50.358259942765351</c:v>
                </c:pt>
                <c:pt idx="362">
                  <c:v>50.366606480607061</c:v>
                </c:pt>
                <c:pt idx="363">
                  <c:v>50.374954000852263</c:v>
                </c:pt>
                <c:pt idx="364">
                  <c:v>50.383302257900063</c:v>
                </c:pt>
                <c:pt idx="365">
                  <c:v>50.391651006149587</c:v>
                </c:pt>
                <c:pt idx="366">
                  <c:v>50.399999999999991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D-44F8-AFD6-C81804D7E2FF}"/>
            </c:ext>
          </c:extLst>
        </c:ser>
        <c:ser>
          <c:idx val="2"/>
          <c:order val="2"/>
          <c:tx>
            <c:strRef>
              <c:f>'Model tilvækst, slagteform, fe'!$I$8</c:f>
              <c:strCache>
                <c:ptCount val="1"/>
                <c:pt idx="0">
                  <c:v>kryds_tyr_slagteform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fe'!$I$9:$I$375</c:f>
              <c:numCache>
                <c:formatCode>#,##0.0</c:formatCode>
                <c:ptCount val="367"/>
                <c:pt idx="0">
                  <c:v>47</c:v>
                </c:pt>
                <c:pt idx="1">
                  <c:v>47.010788697070723</c:v>
                </c:pt>
                <c:pt idx="2">
                  <c:v>47.021613582974709</c:v>
                </c:pt>
                <c:pt idx="3">
                  <c:v>47.032510846545243</c:v>
                </c:pt>
                <c:pt idx="4">
                  <c:v>47.043516676615553</c:v>
                </c:pt>
                <c:pt idx="5">
                  <c:v>47.054667262018938</c:v>
                </c:pt>
                <c:pt idx="6">
                  <c:v>47.065998791588648</c:v>
                </c:pt>
                <c:pt idx="7">
                  <c:v>47.077547454157973</c:v>
                </c:pt>
                <c:pt idx="8">
                  <c:v>47.089349438560127</c:v>
                </c:pt>
                <c:pt idx="9">
                  <c:v>47.101440933628439</c:v>
                </c:pt>
                <c:pt idx="10">
                  <c:v>47.113858128196142</c:v>
                </c:pt>
                <c:pt idx="11">
                  <c:v>47.126637211096487</c:v>
                </c:pt>
                <c:pt idx="12">
                  <c:v>47.139814371162792</c:v>
                </c:pt>
                <c:pt idx="13">
                  <c:v>47.153425797228273</c:v>
                </c:pt>
                <c:pt idx="14">
                  <c:v>47.167507678126213</c:v>
                </c:pt>
                <c:pt idx="15">
                  <c:v>47.18209620268987</c:v>
                </c:pt>
                <c:pt idx="16">
                  <c:v>47.197227559752527</c:v>
                </c:pt>
                <c:pt idx="17">
                  <c:v>47.212937938147441</c:v>
                </c:pt>
                <c:pt idx="18">
                  <c:v>47.229263526707882</c:v>
                </c:pt>
                <c:pt idx="19">
                  <c:v>47.246240514267107</c:v>
                </c:pt>
                <c:pt idx="20">
                  <c:v>47.263905089658387</c:v>
                </c:pt>
                <c:pt idx="21">
                  <c:v>47.282293441714998</c:v>
                </c:pt>
                <c:pt idx="22">
                  <c:v>47.301441759270197</c:v>
                </c:pt>
                <c:pt idx="23">
                  <c:v>47.321386231157248</c:v>
                </c:pt>
                <c:pt idx="24">
                  <c:v>47.342163046209407</c:v>
                </c:pt>
                <c:pt idx="25">
                  <c:v>47.363808393259973</c:v>
                </c:pt>
                <c:pt idx="26">
                  <c:v>47.386358461142187</c:v>
                </c:pt>
                <c:pt idx="27">
                  <c:v>47.409849438689307</c:v>
                </c:pt>
                <c:pt idx="28">
                  <c:v>47.43431751473463</c:v>
                </c:pt>
                <c:pt idx="29">
                  <c:v>47.4597988781114</c:v>
                </c:pt>
                <c:pt idx="30">
                  <c:v>47.486329717652879</c:v>
                </c:pt>
                <c:pt idx="31">
                  <c:v>47.513944341985599</c:v>
                </c:pt>
                <c:pt idx="32">
                  <c:v>47.542633814868033</c:v>
                </c:pt>
                <c:pt idx="33">
                  <c:v>47.572345955215859</c:v>
                </c:pt>
                <c:pt idx="34">
                  <c:v>47.603026701729597</c:v>
                </c:pt>
                <c:pt idx="35">
                  <c:v>47.634621993109768</c:v>
                </c:pt>
                <c:pt idx="36">
                  <c:v>47.667077768056892</c:v>
                </c:pt>
                <c:pt idx="37">
                  <c:v>47.700339965271468</c:v>
                </c:pt>
                <c:pt idx="38">
                  <c:v>47.734354523454023</c:v>
                </c:pt>
                <c:pt idx="39">
                  <c:v>47.769067381305071</c:v>
                </c:pt>
                <c:pt idx="40">
                  <c:v>47.804424477525117</c:v>
                </c:pt>
                <c:pt idx="41">
                  <c:v>47.840371750814697</c:v>
                </c:pt>
                <c:pt idx="42">
                  <c:v>47.876855139874323</c:v>
                </c:pt>
                <c:pt idx="43">
                  <c:v>47.913820583404487</c:v>
                </c:pt>
                <c:pt idx="44">
                  <c:v>47.951214020105731</c:v>
                </c:pt>
                <c:pt idx="45">
                  <c:v>47.988981388678553</c:v>
                </c:pt>
                <c:pt idx="46">
                  <c:v>48.027068627823482</c:v>
                </c:pt>
                <c:pt idx="47">
                  <c:v>48.065421676241023</c:v>
                </c:pt>
                <c:pt idx="48">
                  <c:v>48.103986472631703</c:v>
                </c:pt>
                <c:pt idx="49">
                  <c:v>48.142708955696023</c:v>
                </c:pt>
                <c:pt idx="50">
                  <c:v>48.181535064134501</c:v>
                </c:pt>
                <c:pt idx="51">
                  <c:v>48.220410736647672</c:v>
                </c:pt>
                <c:pt idx="52">
                  <c:v>48.259281911936007</c:v>
                </c:pt>
                <c:pt idx="53">
                  <c:v>48.298094528700076</c:v>
                </c:pt>
                <c:pt idx="54">
                  <c:v>48.336794525640371</c:v>
                </c:pt>
                <c:pt idx="55">
                  <c:v>48.375327841457413</c:v>
                </c:pt>
                <c:pt idx="56">
                  <c:v>48.413640414851692</c:v>
                </c:pt>
                <c:pt idx="57">
                  <c:v>48.45167818452375</c:v>
                </c:pt>
                <c:pt idx="58">
                  <c:v>48.489387089174102</c:v>
                </c:pt>
                <c:pt idx="59">
                  <c:v>48.526713067503238</c:v>
                </c:pt>
                <c:pt idx="60">
                  <c:v>48.563602058211707</c:v>
                </c:pt>
                <c:pt idx="61">
                  <c:v>48.6</c:v>
                </c:pt>
                <c:pt idx="62">
                  <c:v>48.635863648012858</c:v>
                </c:pt>
                <c:pt idx="63">
                  <c:v>48.671193023171817</c:v>
                </c:pt>
                <c:pt idx="64">
                  <c:v>48.705998962842671</c:v>
                </c:pt>
                <c:pt idx="65">
                  <c:v>48.740292304391147</c:v>
                </c:pt>
                <c:pt idx="66">
                  <c:v>48.774083885183039</c:v>
                </c:pt>
                <c:pt idx="67">
                  <c:v>48.807384542584103</c:v>
                </c:pt>
                <c:pt idx="68">
                  <c:v>48.840205113960081</c:v>
                </c:pt>
                <c:pt idx="69">
                  <c:v>48.87255643667676</c:v>
                </c:pt>
                <c:pt idx="70">
                  <c:v>48.904449348099902</c:v>
                </c:pt>
                <c:pt idx="71">
                  <c:v>48.935894685595251</c:v>
                </c:pt>
                <c:pt idx="72">
                  <c:v>48.966903286528591</c:v>
                </c:pt>
                <c:pt idx="73">
                  <c:v>48.99748598826568</c:v>
                </c:pt>
                <c:pt idx="74">
                  <c:v>49.027653628172281</c:v>
                </c:pt>
                <c:pt idx="75">
                  <c:v>49.057417043614159</c:v>
                </c:pt>
                <c:pt idx="76">
                  <c:v>49.086787071957069</c:v>
                </c:pt>
                <c:pt idx="77">
                  <c:v>49.11577455056679</c:v>
                </c:pt>
                <c:pt idx="78">
                  <c:v>49.144390316809073</c:v>
                </c:pt>
                <c:pt idx="79">
                  <c:v>49.17264520804968</c:v>
                </c:pt>
                <c:pt idx="80">
                  <c:v>49.200550061654383</c:v>
                </c:pt>
                <c:pt idx="81">
                  <c:v>49.228115714988952</c:v>
                </c:pt>
                <c:pt idx="82">
                  <c:v>49.255353005419117</c:v>
                </c:pt>
                <c:pt idx="83">
                  <c:v>49.282272770310691</c:v>
                </c:pt>
                <c:pt idx="84">
                  <c:v>49.308885847029401</c:v>
                </c:pt>
                <c:pt idx="85">
                  <c:v>49.33520307294102</c:v>
                </c:pt>
                <c:pt idx="86">
                  <c:v>49.361235285411311</c:v>
                </c:pt>
                <c:pt idx="87">
                  <c:v>49.386993321806052</c:v>
                </c:pt>
                <c:pt idx="88">
                  <c:v>49.412488019490979</c:v>
                </c:pt>
                <c:pt idx="89">
                  <c:v>49.437730215831877</c:v>
                </c:pt>
                <c:pt idx="90">
                  <c:v>49.462730748194502</c:v>
                </c:pt>
                <c:pt idx="91">
                  <c:v>49.487500453944619</c:v>
                </c:pt>
                <c:pt idx="92">
                  <c:v>49.512050170447992</c:v>
                </c:pt>
                <c:pt idx="93">
                  <c:v>49.536390735070377</c:v>
                </c:pt>
                <c:pt idx="94">
                  <c:v>49.560532985177559</c:v>
                </c:pt>
                <c:pt idx="95">
                  <c:v>49.584487758135282</c:v>
                </c:pt>
                <c:pt idx="96">
                  <c:v>49.608265891309308</c:v>
                </c:pt>
                <c:pt idx="97">
                  <c:v>49.63187822206541</c:v>
                </c:pt>
                <c:pt idx="98">
                  <c:v>49.655335587769351</c:v>
                </c:pt>
                <c:pt idx="99">
                  <c:v>49.678648825786887</c:v>
                </c:pt>
                <c:pt idx="100">
                  <c:v>49.70182877348379</c:v>
                </c:pt>
                <c:pt idx="101">
                  <c:v>49.724886268225823</c:v>
                </c:pt>
                <c:pt idx="102">
                  <c:v>49.747832147378737</c:v>
                </c:pt>
                <c:pt idx="103">
                  <c:v>49.77067724830831</c:v>
                </c:pt>
                <c:pt idx="104">
                  <c:v>49.793432408380298</c:v>
                </c:pt>
                <c:pt idx="105">
                  <c:v>49.816108464960472</c:v>
                </c:pt>
                <c:pt idx="106">
                  <c:v>49.838716255414589</c:v>
                </c:pt>
                <c:pt idx="107">
                  <c:v>49.861266617108413</c:v>
                </c:pt>
                <c:pt idx="108">
                  <c:v>49.883770387407722</c:v>
                </c:pt>
                <c:pt idx="109">
                  <c:v>49.906238403678252</c:v>
                </c:pt>
                <c:pt idx="110">
                  <c:v>49.92868150328578</c:v>
                </c:pt>
                <c:pt idx="111">
                  <c:v>49.951110523596071</c:v>
                </c:pt>
                <c:pt idx="112">
                  <c:v>49.973536301974889</c:v>
                </c:pt>
                <c:pt idx="113">
                  <c:v>49.995969675787997</c:v>
                </c:pt>
                <c:pt idx="114">
                  <c:v>50.018421482401173</c:v>
                </c:pt>
                <c:pt idx="115">
                  <c:v>50.04090255918014</c:v>
                </c:pt>
                <c:pt idx="116">
                  <c:v>50.063423743490702</c:v>
                </c:pt>
                <c:pt idx="117">
                  <c:v>50.085995872698597</c:v>
                </c:pt>
                <c:pt idx="118">
                  <c:v>50.108629784169622</c:v>
                </c:pt>
                <c:pt idx="119">
                  <c:v>50.131336315269493</c:v>
                </c:pt>
                <c:pt idx="120">
                  <c:v>50.154126303364009</c:v>
                </c:pt>
                <c:pt idx="121">
                  <c:v>50.177010585818927</c:v>
                </c:pt>
                <c:pt idx="122">
                  <c:v>50.2</c:v>
                </c:pt>
                <c:pt idx="123">
                  <c:v>50.223103482140353</c:v>
                </c:pt>
                <c:pt idx="124">
                  <c:v>50.246322363942447</c:v>
                </c:pt>
                <c:pt idx="125">
                  <c:v>50.269656075976158</c:v>
                </c:pt>
                <c:pt idx="126">
                  <c:v>50.293104048811287</c:v>
                </c:pt>
                <c:pt idx="127">
                  <c:v>50.316665713017713</c:v>
                </c:pt>
                <c:pt idx="128">
                  <c:v>50.340340499165222</c:v>
                </c:pt>
                <c:pt idx="129">
                  <c:v>50.364127837823681</c:v>
                </c:pt>
                <c:pt idx="130">
                  <c:v>50.388027159562917</c:v>
                </c:pt>
                <c:pt idx="131">
                  <c:v>50.412037894952782</c:v>
                </c:pt>
                <c:pt idx="132">
                  <c:v>50.436159474563091</c:v>
                </c:pt>
                <c:pt idx="133">
                  <c:v>50.460391328963702</c:v>
                </c:pt>
                <c:pt idx="134">
                  <c:v>50.484732888724423</c:v>
                </c:pt>
                <c:pt idx="135">
                  <c:v>50.509183584415112</c:v>
                </c:pt>
                <c:pt idx="136">
                  <c:v>50.533742846605612</c:v>
                </c:pt>
                <c:pt idx="137">
                  <c:v>50.558410105865732</c:v>
                </c:pt>
                <c:pt idx="138">
                  <c:v>50.58318479276533</c:v>
                </c:pt>
                <c:pt idx="139">
                  <c:v>50.608066337874227</c:v>
                </c:pt>
                <c:pt idx="140">
                  <c:v>50.633054171762289</c:v>
                </c:pt>
                <c:pt idx="141">
                  <c:v>50.658147724999317</c:v>
                </c:pt>
                <c:pt idx="142">
                  <c:v>50.683346428155183</c:v>
                </c:pt>
                <c:pt idx="143">
                  <c:v>50.70864971179968</c:v>
                </c:pt>
                <c:pt idx="144">
                  <c:v>50.734057006502681</c:v>
                </c:pt>
                <c:pt idx="145">
                  <c:v>50.759567742834008</c:v>
                </c:pt>
                <c:pt idx="146">
                  <c:v>50.785181351363498</c:v>
                </c:pt>
                <c:pt idx="147">
                  <c:v>50.810897262660987</c:v>
                </c:pt>
                <c:pt idx="148">
                  <c:v>50.836714907296319</c:v>
                </c:pt>
                <c:pt idx="149">
                  <c:v>50.862633715839323</c:v>
                </c:pt>
                <c:pt idx="150">
                  <c:v>50.888653118859843</c:v>
                </c:pt>
                <c:pt idx="151">
                  <c:v>50.914772546927701</c:v>
                </c:pt>
                <c:pt idx="152">
                  <c:v>50.94099143061274</c:v>
                </c:pt>
                <c:pt idx="153">
                  <c:v>50.967309200484813</c:v>
                </c:pt>
                <c:pt idx="154">
                  <c:v>50.993725287113733</c:v>
                </c:pt>
                <c:pt idx="155">
                  <c:v>51.020239121069338</c:v>
                </c:pt>
                <c:pt idx="156">
                  <c:v>51.046850132921492</c:v>
                </c:pt>
                <c:pt idx="157">
                  <c:v>51.073557753239989</c:v>
                </c:pt>
                <c:pt idx="158">
                  <c:v>51.100361412594701</c:v>
                </c:pt>
                <c:pt idx="159">
                  <c:v>51.127260541555451</c:v>
                </c:pt>
                <c:pt idx="160">
                  <c:v>51.154254570692082</c:v>
                </c:pt>
                <c:pt idx="161">
                  <c:v>51.181342930574417</c:v>
                </c:pt>
                <c:pt idx="162">
                  <c:v>51.208525051772298</c:v>
                </c:pt>
                <c:pt idx="163">
                  <c:v>51.235800364855571</c:v>
                </c:pt>
                <c:pt idx="164">
                  <c:v>51.263168300394057</c:v>
                </c:pt>
                <c:pt idx="165">
                  <c:v>51.290628288957613</c:v>
                </c:pt>
                <c:pt idx="166">
                  <c:v>51.318179761116063</c:v>
                </c:pt>
                <c:pt idx="167">
                  <c:v>51.345822147439229</c:v>
                </c:pt>
                <c:pt idx="168">
                  <c:v>51.373554878496968</c:v>
                </c:pt>
                <c:pt idx="169">
                  <c:v>51.401377384859117</c:v>
                </c:pt>
                <c:pt idx="170">
                  <c:v>51.429289097095513</c:v>
                </c:pt>
                <c:pt idx="171">
                  <c:v>51.457289445775963</c:v>
                </c:pt>
                <c:pt idx="172">
                  <c:v>51.48537786147034</c:v>
                </c:pt>
                <c:pt idx="173">
                  <c:v>51.513553774748473</c:v>
                </c:pt>
                <c:pt idx="174">
                  <c:v>51.541816616180178</c:v>
                </c:pt>
                <c:pt idx="175">
                  <c:v>51.570165816335319</c:v>
                </c:pt>
                <c:pt idx="176">
                  <c:v>51.598600805783711</c:v>
                </c:pt>
                <c:pt idx="177">
                  <c:v>51.627121015095199</c:v>
                </c:pt>
                <c:pt idx="178">
                  <c:v>51.655725874839632</c:v>
                </c:pt>
                <c:pt idx="179">
                  <c:v>51.684414815586813</c:v>
                </c:pt>
                <c:pt idx="180">
                  <c:v>51.713187267906612</c:v>
                </c:pt>
                <c:pt idx="181">
                  <c:v>51.742042662368853</c:v>
                </c:pt>
                <c:pt idx="182">
                  <c:v>51.770980429543371</c:v>
                </c:pt>
                <c:pt idx="183">
                  <c:v>51.8</c:v>
                </c:pt>
                <c:pt idx="184">
                  <c:v>51.829099472606089</c:v>
                </c:pt>
                <c:pt idx="185">
                  <c:v>51.858271619419021</c:v>
                </c:pt>
                <c:pt idx="186">
                  <c:v>51.887507880793692</c:v>
                </c:pt>
                <c:pt idx="187">
                  <c:v>51.916799697084983</c:v>
                </c:pt>
                <c:pt idx="188">
                  <c:v>51.946138508647792</c:v>
                </c:pt>
                <c:pt idx="189">
                  <c:v>51.975515755836987</c:v>
                </c:pt>
                <c:pt idx="190">
                  <c:v>52.004922879007488</c:v>
                </c:pt>
                <c:pt idx="191">
                  <c:v>52.034351318514183</c:v>
                </c:pt>
                <c:pt idx="192">
                  <c:v>52.063792514711942</c:v>
                </c:pt>
                <c:pt idx="193">
                  <c:v>52.093237907955661</c:v>
                </c:pt>
                <c:pt idx="194">
                  <c:v>52.122678938600238</c:v>
                </c:pt>
                <c:pt idx="195">
                  <c:v>52.15210704700057</c:v>
                </c:pt>
                <c:pt idx="196">
                  <c:v>52.181513673511532</c:v>
                </c:pt>
                <c:pt idx="197">
                  <c:v>52.210890258488028</c:v>
                </c:pt>
                <c:pt idx="198">
                  <c:v>52.240228242284942</c:v>
                </c:pt>
                <c:pt idx="199">
                  <c:v>52.269519065257157</c:v>
                </c:pt>
                <c:pt idx="200">
                  <c:v>52.298754167759583</c:v>
                </c:pt>
                <c:pt idx="201">
                  <c:v>52.327924990147082</c:v>
                </c:pt>
                <c:pt idx="202">
                  <c:v>52.357022972774573</c:v>
                </c:pt>
                <c:pt idx="203">
                  <c:v>52.386039555996923</c:v>
                </c:pt>
                <c:pt idx="204">
                  <c:v>52.414966180169039</c:v>
                </c:pt>
                <c:pt idx="205">
                  <c:v>52.443794285645808</c:v>
                </c:pt>
                <c:pt idx="206">
                  <c:v>52.472515312782107</c:v>
                </c:pt>
                <c:pt idx="207">
                  <c:v>52.501120701932862</c:v>
                </c:pt>
                <c:pt idx="208">
                  <c:v>52.52960189345292</c:v>
                </c:pt>
                <c:pt idx="209">
                  <c:v>52.557950327697199</c:v>
                </c:pt>
                <c:pt idx="210">
                  <c:v>52.586157445020582</c:v>
                </c:pt>
                <c:pt idx="211">
                  <c:v>52.614214685777959</c:v>
                </c:pt>
                <c:pt idx="212">
                  <c:v>52.642113490324213</c:v>
                </c:pt>
                <c:pt idx="213">
                  <c:v>52.669845299014248</c:v>
                </c:pt>
                <c:pt idx="214">
                  <c:v>52.697401552202948</c:v>
                </c:pt>
                <c:pt idx="215">
                  <c:v>52.7247736902452</c:v>
                </c:pt>
                <c:pt idx="216">
                  <c:v>52.751953153495897</c:v>
                </c:pt>
                <c:pt idx="217">
                  <c:v>52.778931382309942</c:v>
                </c:pt>
                <c:pt idx="218">
                  <c:v>52.80569981704221</c:v>
                </c:pt>
                <c:pt idx="219">
                  <c:v>52.832249898047593</c:v>
                </c:pt>
                <c:pt idx="220">
                  <c:v>52.858573065680993</c:v>
                </c:pt>
                <c:pt idx="221">
                  <c:v>52.884660760297272</c:v>
                </c:pt>
                <c:pt idx="222">
                  <c:v>52.91050442225135</c:v>
                </c:pt>
                <c:pt idx="223">
                  <c:v>52.936095491898108</c:v>
                </c:pt>
                <c:pt idx="224">
                  <c:v>52.961425409592437</c:v>
                </c:pt>
                <c:pt idx="225">
                  <c:v>52.986485615689233</c:v>
                </c:pt>
                <c:pt idx="226">
                  <c:v>53.011267550543373</c:v>
                </c:pt>
                <c:pt idx="227">
                  <c:v>53.035762654509753</c:v>
                </c:pt>
                <c:pt idx="228">
                  <c:v>53.059962367943257</c:v>
                </c:pt>
                <c:pt idx="229">
                  <c:v>53.083858131198802</c:v>
                </c:pt>
                <c:pt idx="230">
                  <c:v>53.107441384631237</c:v>
                </c:pt>
                <c:pt idx="231">
                  <c:v>53.130703568595493</c:v>
                </c:pt>
                <c:pt idx="232">
                  <c:v>53.153636123446432</c:v>
                </c:pt>
                <c:pt idx="233">
                  <c:v>53.176230489538973</c:v>
                </c:pt>
                <c:pt idx="234">
                  <c:v>53.19847810722797</c:v>
                </c:pt>
                <c:pt idx="235">
                  <c:v>53.220370416868327</c:v>
                </c:pt>
                <c:pt idx="236">
                  <c:v>53.241898858814963</c:v>
                </c:pt>
                <c:pt idx="237">
                  <c:v>53.263054873422732</c:v>
                </c:pt>
                <c:pt idx="238">
                  <c:v>53.283829901046538</c:v>
                </c:pt>
                <c:pt idx="239">
                  <c:v>53.304215382041271</c:v>
                </c:pt>
                <c:pt idx="240">
                  <c:v>53.324202756761821</c:v>
                </c:pt>
                <c:pt idx="241">
                  <c:v>53.343783465563078</c:v>
                </c:pt>
                <c:pt idx="242">
                  <c:v>53.362948948799939</c:v>
                </c:pt>
                <c:pt idx="243">
                  <c:v>53.38169064682728</c:v>
                </c:pt>
                <c:pt idx="244">
                  <c:v>53.400000000000013</c:v>
                </c:pt>
                <c:pt idx="245">
                  <c:v>53.417871270960511</c:v>
                </c:pt>
                <c:pt idx="246">
                  <c:v>53.435310011501308</c:v>
                </c:pt>
                <c:pt idx="247">
                  <c:v>53.452324595702393</c:v>
                </c:pt>
                <c:pt idx="248">
                  <c:v>53.468923397643763</c:v>
                </c:pt>
                <c:pt idx="249">
                  <c:v>53.485114791405437</c:v>
                </c:pt>
                <c:pt idx="250">
                  <c:v>53.500907151067423</c:v>
                </c:pt>
                <c:pt idx="251">
                  <c:v>53.516308850709727</c:v>
                </c:pt>
                <c:pt idx="252">
                  <c:v>53.531328264412373</c:v>
                </c:pt>
                <c:pt idx="253">
                  <c:v>53.545973766255337</c:v>
                </c:pt>
                <c:pt idx="254">
                  <c:v>53.560253730318657</c:v>
                </c:pt>
                <c:pt idx="255">
                  <c:v>53.57417653068233</c:v>
                </c:pt>
                <c:pt idx="256">
                  <c:v>53.58775054142636</c:v>
                </c:pt>
                <c:pt idx="257">
                  <c:v>53.600984136630757</c:v>
                </c:pt>
                <c:pt idx="258">
                  <c:v>53.61388569037554</c:v>
                </c:pt>
                <c:pt idx="259">
                  <c:v>53.626463576740697</c:v>
                </c:pt>
                <c:pt idx="260">
                  <c:v>53.638726169806262</c:v>
                </c:pt>
                <c:pt idx="261">
                  <c:v>53.650681843652229</c:v>
                </c:pt>
                <c:pt idx="262">
                  <c:v>53.662338972358597</c:v>
                </c:pt>
                <c:pt idx="263">
                  <c:v>53.673705930005397</c:v>
                </c:pt>
                <c:pt idx="264">
                  <c:v>53.684791090672618</c:v>
                </c:pt>
                <c:pt idx="265">
                  <c:v>53.695602828440272</c:v>
                </c:pt>
                <c:pt idx="266">
                  <c:v>53.706149517388383</c:v>
                </c:pt>
                <c:pt idx="267">
                  <c:v>53.716439531596933</c:v>
                </c:pt>
                <c:pt idx="268">
                  <c:v>53.726481245145962</c:v>
                </c:pt>
                <c:pt idx="269">
                  <c:v>53.736283032115438</c:v>
                </c:pt>
                <c:pt idx="270">
                  <c:v>53.745853266585407</c:v>
                </c:pt>
                <c:pt idx="271">
                  <c:v>53.755200322635858</c:v>
                </c:pt>
                <c:pt idx="272">
                  <c:v>53.764332574346803</c:v>
                </c:pt>
                <c:pt idx="273">
                  <c:v>53.773258395798251</c:v>
                </c:pt>
                <c:pt idx="274">
                  <c:v>53.781986161070208</c:v>
                </c:pt>
                <c:pt idx="275">
                  <c:v>53.79052424424269</c:v>
                </c:pt>
                <c:pt idx="276">
                  <c:v>53.798881019395687</c:v>
                </c:pt>
                <c:pt idx="277">
                  <c:v>53.807064860609238</c:v>
                </c:pt>
                <c:pt idx="278">
                  <c:v>53.815084141963332</c:v>
                </c:pt>
                <c:pt idx="279">
                  <c:v>53.822947237537967</c:v>
                </c:pt>
                <c:pt idx="280">
                  <c:v>53.830662521413167</c:v>
                </c:pt>
                <c:pt idx="281">
                  <c:v>53.838238367668943</c:v>
                </c:pt>
                <c:pt idx="282">
                  <c:v>53.845683150385291</c:v>
                </c:pt>
                <c:pt idx="283">
                  <c:v>53.85300524364223</c:v>
                </c:pt>
                <c:pt idx="284">
                  <c:v>53.860213021519762</c:v>
                </c:pt>
                <c:pt idx="285">
                  <c:v>53.867314858097892</c:v>
                </c:pt>
                <c:pt idx="286">
                  <c:v>53.874319127456637</c:v>
                </c:pt>
                <c:pt idx="287">
                  <c:v>53.881234203676001</c:v>
                </c:pt>
                <c:pt idx="288">
                  <c:v>53.888068460836003</c:v>
                </c:pt>
                <c:pt idx="289">
                  <c:v>53.894830273016623</c:v>
                </c:pt>
                <c:pt idx="290">
                  <c:v>53.901528014297902</c:v>
                </c:pt>
                <c:pt idx="291">
                  <c:v>53.908170058759822</c:v>
                </c:pt>
                <c:pt idx="292">
                  <c:v>53.914764780482408</c:v>
                </c:pt>
                <c:pt idx="293">
                  <c:v>53.921320553545662</c:v>
                </c:pt>
                <c:pt idx="294">
                  <c:v>53.927845752029597</c:v>
                </c:pt>
                <c:pt idx="295">
                  <c:v>53.934348750014223</c:v>
                </c:pt>
                <c:pt idx="296">
                  <c:v>53.940837921579543</c:v>
                </c:pt>
                <c:pt idx="297">
                  <c:v>53.947321640805548</c:v>
                </c:pt>
                <c:pt idx="298">
                  <c:v>53.953808281772282</c:v>
                </c:pt>
                <c:pt idx="299">
                  <c:v>53.96030621855973</c:v>
                </c:pt>
                <c:pt idx="300">
                  <c:v>53.966823825247907</c:v>
                </c:pt>
                <c:pt idx="301">
                  <c:v>53.973369475916819</c:v>
                </c:pt>
                <c:pt idx="302">
                  <c:v>53.979951544646482</c:v>
                </c:pt>
                <c:pt idx="303">
                  <c:v>53.98657840551688</c:v>
                </c:pt>
                <c:pt idx="304">
                  <c:v>53.993258432608052</c:v>
                </c:pt>
                <c:pt idx="305">
                  <c:v>53.999999999999993</c:v>
                </c:pt>
                <c:pt idx="306">
                  <c:v>54.006809895069821</c:v>
                </c:pt>
                <c:pt idx="307">
                  <c:v>54.013688558383024</c:v>
                </c:pt>
                <c:pt idx="308">
                  <c:v>54.020634843802227</c:v>
                </c:pt>
                <c:pt idx="309">
                  <c:v>54.02764760519004</c:v>
                </c:pt>
                <c:pt idx="310">
                  <c:v>54.034725696409069</c:v>
                </c:pt>
                <c:pt idx="311">
                  <c:v>54.041867971321942</c:v>
                </c:pt>
                <c:pt idx="312">
                  <c:v>54.04907328379123</c:v>
                </c:pt>
                <c:pt idx="313">
                  <c:v>54.056340487679577</c:v>
                </c:pt>
                <c:pt idx="314">
                  <c:v>54.063668436849589</c:v>
                </c:pt>
                <c:pt idx="315">
                  <c:v>54.071055985163873</c:v>
                </c:pt>
                <c:pt idx="316">
                  <c:v>54.078501986485023</c:v>
                </c:pt>
                <c:pt idx="317">
                  <c:v>54.086005294675672</c:v>
                </c:pt>
                <c:pt idx="318">
                  <c:v>54.093564763598422</c:v>
                </c:pt>
                <c:pt idx="319">
                  <c:v>54.101179247115873</c:v>
                </c:pt>
                <c:pt idx="320">
                  <c:v>54.108847599090652</c:v>
                </c:pt>
                <c:pt idx="321">
                  <c:v>54.116568673385359</c:v>
                </c:pt>
                <c:pt idx="322">
                  <c:v>54.124341323862609</c:v>
                </c:pt>
                <c:pt idx="323">
                  <c:v>54.132164404385009</c:v>
                </c:pt>
                <c:pt idx="324">
                  <c:v>54.140036768815172</c:v>
                </c:pt>
                <c:pt idx="325">
                  <c:v>54.147957271015713</c:v>
                </c:pt>
                <c:pt idx="326">
                  <c:v>54.155924764849217</c:v>
                </c:pt>
                <c:pt idx="327">
                  <c:v>54.163938104178328</c:v>
                </c:pt>
                <c:pt idx="328">
                  <c:v>54.171996142865638</c:v>
                </c:pt>
                <c:pt idx="329">
                  <c:v>54.18009773477376</c:v>
                </c:pt>
                <c:pt idx="330">
                  <c:v>54.188241733765302</c:v>
                </c:pt>
                <c:pt idx="331">
                  <c:v>54.196426993702879</c:v>
                </c:pt>
                <c:pt idx="332">
                  <c:v>54.204652368449104</c:v>
                </c:pt>
                <c:pt idx="333">
                  <c:v>54.212916711866583</c:v>
                </c:pt>
                <c:pt idx="334">
                  <c:v>54.221218877817911</c:v>
                </c:pt>
                <c:pt idx="335">
                  <c:v>54.229557720165722</c:v>
                </c:pt>
                <c:pt idx="336">
                  <c:v>54.237932092772617</c:v>
                </c:pt>
                <c:pt idx="337">
                  <c:v>54.246340849501202</c:v>
                </c:pt>
                <c:pt idx="338">
                  <c:v>54.254782844214098</c:v>
                </c:pt>
                <c:pt idx="339">
                  <c:v>54.263256930773913</c:v>
                </c:pt>
                <c:pt idx="340">
                  <c:v>54.271761963043232</c:v>
                </c:pt>
                <c:pt idx="341">
                  <c:v>54.280296794884713</c:v>
                </c:pt>
                <c:pt idx="342">
                  <c:v>54.288860280160911</c:v>
                </c:pt>
                <c:pt idx="343">
                  <c:v>54.297451272734477</c:v>
                </c:pt>
                <c:pt idx="344">
                  <c:v>54.306068626468011</c:v>
                </c:pt>
                <c:pt idx="345">
                  <c:v>54.31471119522412</c:v>
                </c:pt>
                <c:pt idx="346">
                  <c:v>54.323377832865411</c:v>
                </c:pt>
                <c:pt idx="347">
                  <c:v>54.332067393254512</c:v>
                </c:pt>
                <c:pt idx="348">
                  <c:v>54.340778730253987</c:v>
                </c:pt>
                <c:pt idx="349">
                  <c:v>54.349510697726508</c:v>
                </c:pt>
                <c:pt idx="350">
                  <c:v>54.358262149534653</c:v>
                </c:pt>
                <c:pt idx="351">
                  <c:v>54.367031939541022</c:v>
                </c:pt>
                <c:pt idx="352">
                  <c:v>54.375818921608243</c:v>
                </c:pt>
                <c:pt idx="353">
                  <c:v>54.384621949598923</c:v>
                </c:pt>
                <c:pt idx="354">
                  <c:v>54.39343987737567</c:v>
                </c:pt>
                <c:pt idx="355">
                  <c:v>54.402271558801097</c:v>
                </c:pt>
                <c:pt idx="356">
                  <c:v>54.411115847737797</c:v>
                </c:pt>
                <c:pt idx="357">
                  <c:v>54.41997159804842</c:v>
                </c:pt>
                <c:pt idx="358">
                  <c:v>54.428837663595537</c:v>
                </c:pt>
                <c:pt idx="359">
                  <c:v>54.43771289824177</c:v>
                </c:pt>
                <c:pt idx="360">
                  <c:v>54.44659615584974</c:v>
                </c:pt>
                <c:pt idx="361">
                  <c:v>54.455486290282039</c:v>
                </c:pt>
                <c:pt idx="362">
                  <c:v>54.464382155401303</c:v>
                </c:pt>
                <c:pt idx="363">
                  <c:v>54.473282605070096</c:v>
                </c:pt>
                <c:pt idx="364">
                  <c:v>54.48218649315109</c:v>
                </c:pt>
                <c:pt idx="365">
                  <c:v>54.491092673506849</c:v>
                </c:pt>
                <c:pt idx="366">
                  <c:v>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D-44F8-AFD6-C81804D7E2FF}"/>
            </c:ext>
          </c:extLst>
        </c:ser>
        <c:ser>
          <c:idx val="3"/>
          <c:order val="3"/>
          <c:tx>
            <c:strRef>
              <c:f>'Model tilvækst, slagteform, fe'!$J$8</c:f>
              <c:strCache>
                <c:ptCount val="1"/>
                <c:pt idx="0">
                  <c:v>kryds_kvie_slagteform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fe'!$J$9:$J$375</c:f>
              <c:numCache>
                <c:formatCode>#,##0.0</c:formatCode>
                <c:ptCount val="367"/>
                <c:pt idx="0">
                  <c:v>46</c:v>
                </c:pt>
                <c:pt idx="1">
                  <c:v>46.014527448175727</c:v>
                </c:pt>
                <c:pt idx="2">
                  <c:v>46.02906694474175</c:v>
                </c:pt>
                <c:pt idx="3">
                  <c:v>46.043630538088372</c:v>
                </c:pt>
                <c:pt idx="4">
                  <c:v>46.058230276605869</c:v>
                </c:pt>
                <c:pt idx="5">
                  <c:v>46.072878208684557</c:v>
                </c:pt>
                <c:pt idx="6">
                  <c:v>46.087586382714733</c:v>
                </c:pt>
                <c:pt idx="7">
                  <c:v>46.102366847086678</c:v>
                </c:pt>
                <c:pt idx="8">
                  <c:v>46.117231650190703</c:v>
                </c:pt>
                <c:pt idx="9">
                  <c:v>46.132192840417098</c:v>
                </c:pt>
                <c:pt idx="10">
                  <c:v>46.147262466156157</c:v>
                </c:pt>
                <c:pt idx="11">
                  <c:v>46.162452575798191</c:v>
                </c:pt>
                <c:pt idx="12">
                  <c:v>46.177775217733483</c:v>
                </c:pt>
                <c:pt idx="13">
                  <c:v>46.193242440352321</c:v>
                </c:pt>
                <c:pt idx="14">
                  <c:v>46.208866292045023</c:v>
                </c:pt>
                <c:pt idx="15">
                  <c:v>46.224658821201857</c:v>
                </c:pt>
                <c:pt idx="16">
                  <c:v>46.24063207621316</c:v>
                </c:pt>
                <c:pt idx="17">
                  <c:v>46.256798105469187</c:v>
                </c:pt>
                <c:pt idx="18">
                  <c:v>46.273168957360262</c:v>
                </c:pt>
                <c:pt idx="19">
                  <c:v>46.289756680276682</c:v>
                </c:pt>
                <c:pt idx="20">
                  <c:v>46.306573322608713</c:v>
                </c:pt>
                <c:pt idx="21">
                  <c:v>46.323630932746667</c:v>
                </c:pt>
                <c:pt idx="22">
                  <c:v>46.340941559080868</c:v>
                </c:pt>
                <c:pt idx="23">
                  <c:v>46.358517250001583</c:v>
                </c:pt>
                <c:pt idx="24">
                  <c:v>46.376370053899109</c:v>
                </c:pt>
                <c:pt idx="25">
                  <c:v>46.394512019163749</c:v>
                </c:pt>
                <c:pt idx="26">
                  <c:v>46.412955194185798</c:v>
                </c:pt>
                <c:pt idx="27">
                  <c:v>46.431711627355547</c:v>
                </c:pt>
                <c:pt idx="28">
                  <c:v>46.450793367063312</c:v>
                </c:pt>
                <c:pt idx="29">
                  <c:v>46.470212461699369</c:v>
                </c:pt>
                <c:pt idx="30">
                  <c:v>46.489980959654027</c:v>
                </c:pt>
                <c:pt idx="31">
                  <c:v>46.510110284402082</c:v>
                </c:pt>
                <c:pt idx="32">
                  <c:v>46.530597486303023</c:v>
                </c:pt>
                <c:pt idx="33">
                  <c:v>46.551425242614187</c:v>
                </c:pt>
                <c:pt idx="34">
                  <c:v>46.57257560567308</c:v>
                </c:pt>
                <c:pt idx="35">
                  <c:v>46.594030627817141</c:v>
                </c:pt>
                <c:pt idx="36">
                  <c:v>46.615772361383847</c:v>
                </c:pt>
                <c:pt idx="37">
                  <c:v>46.637782858710672</c:v>
                </c:pt>
                <c:pt idx="38">
                  <c:v>46.660044172135059</c:v>
                </c:pt>
                <c:pt idx="39">
                  <c:v>46.682538353994502</c:v>
                </c:pt>
                <c:pt idx="40">
                  <c:v>46.705247456626438</c:v>
                </c:pt>
                <c:pt idx="41">
                  <c:v>46.72815353236836</c:v>
                </c:pt>
                <c:pt idx="42">
                  <c:v>46.751238633557733</c:v>
                </c:pt>
                <c:pt idx="43">
                  <c:v>46.774484812532002</c:v>
                </c:pt>
                <c:pt idx="44">
                  <c:v>46.797874121628638</c:v>
                </c:pt>
                <c:pt idx="45">
                  <c:v>46.821388613185128</c:v>
                </c:pt>
                <c:pt idx="46">
                  <c:v>46.845010339538923</c:v>
                </c:pt>
                <c:pt idx="47">
                  <c:v>46.868721353027503</c:v>
                </c:pt>
                <c:pt idx="48">
                  <c:v>46.892503705988297</c:v>
                </c:pt>
                <c:pt idx="49">
                  <c:v>46.916339450758827</c:v>
                </c:pt>
                <c:pt idx="50">
                  <c:v>46.940210639676522</c:v>
                </c:pt>
                <c:pt idx="51">
                  <c:v>46.964099325078848</c:v>
                </c:pt>
                <c:pt idx="52">
                  <c:v>46.987987559303292</c:v>
                </c:pt>
                <c:pt idx="53">
                  <c:v>47.011857394687297</c:v>
                </c:pt>
                <c:pt idx="54">
                  <c:v>47.03569088356835</c:v>
                </c:pt>
                <c:pt idx="55">
                  <c:v>47.059470078283908</c:v>
                </c:pt>
                <c:pt idx="56">
                  <c:v>47.083177031171438</c:v>
                </c:pt>
                <c:pt idx="57">
                  <c:v>47.106793794568411</c:v>
                </c:pt>
                <c:pt idx="58">
                  <c:v>47.130302420812292</c:v>
                </c:pt>
                <c:pt idx="59">
                  <c:v>47.153684962240533</c:v>
                </c:pt>
                <c:pt idx="60">
                  <c:v>47.176923471190612</c:v>
                </c:pt>
                <c:pt idx="61">
                  <c:v>47.2</c:v>
                </c:pt>
                <c:pt idx="62">
                  <c:v>47.222900175560049</c:v>
                </c:pt>
                <c:pt idx="63">
                  <c:v>47.245623922977643</c:v>
                </c:pt>
                <c:pt idx="64">
                  <c:v>47.268174741913583</c:v>
                </c:pt>
                <c:pt idx="65">
                  <c:v>47.290556132028627</c:v>
                </c:pt>
                <c:pt idx="66">
                  <c:v>47.312771592983573</c:v>
                </c:pt>
                <c:pt idx="67">
                  <c:v>47.334824624439193</c:v>
                </c:pt>
                <c:pt idx="68">
                  <c:v>47.356718726056272</c:v>
                </c:pt>
                <c:pt idx="69">
                  <c:v>47.37845739749558</c:v>
                </c:pt>
                <c:pt idx="70">
                  <c:v>47.400044138417918</c:v>
                </c:pt>
                <c:pt idx="71">
                  <c:v>47.421482448484063</c:v>
                </c:pt>
                <c:pt idx="72">
                  <c:v>47.442775827354787</c:v>
                </c:pt>
                <c:pt idx="73">
                  <c:v>47.463927774690873</c:v>
                </c:pt>
                <c:pt idx="74">
                  <c:v>47.484941790153108</c:v>
                </c:pt>
                <c:pt idx="75">
                  <c:v>47.50582137340227</c:v>
                </c:pt>
                <c:pt idx="76">
                  <c:v>47.526570024099144</c:v>
                </c:pt>
                <c:pt idx="77">
                  <c:v>47.5471912419045</c:v>
                </c:pt>
                <c:pt idx="78">
                  <c:v>47.567688526479131</c:v>
                </c:pt>
                <c:pt idx="79">
                  <c:v>47.588065377483822</c:v>
                </c:pt>
                <c:pt idx="80">
                  <c:v>47.60832529457933</c:v>
                </c:pt>
                <c:pt idx="81">
                  <c:v>47.628471777426462</c:v>
                </c:pt>
                <c:pt idx="82">
                  <c:v>47.648508325685988</c:v>
                </c:pt>
                <c:pt idx="83">
                  <c:v>47.668438439018693</c:v>
                </c:pt>
                <c:pt idx="84">
                  <c:v>47.688265617085349</c:v>
                </c:pt>
                <c:pt idx="85">
                  <c:v>47.707993359546748</c:v>
                </c:pt>
                <c:pt idx="86">
                  <c:v>47.727625166063667</c:v>
                </c:pt>
                <c:pt idx="87">
                  <c:v>47.747164536296893</c:v>
                </c:pt>
                <c:pt idx="88">
                  <c:v>47.766614969907202</c:v>
                </c:pt>
                <c:pt idx="89">
                  <c:v>47.785979966555367</c:v>
                </c:pt>
                <c:pt idx="90">
                  <c:v>47.805263025902192</c:v>
                </c:pt>
                <c:pt idx="91">
                  <c:v>47.824467647608429</c:v>
                </c:pt>
                <c:pt idx="92">
                  <c:v>47.843597331334877</c:v>
                </c:pt>
                <c:pt idx="93">
                  <c:v>47.86265557674232</c:v>
                </c:pt>
                <c:pt idx="94">
                  <c:v>47.88164588349153</c:v>
                </c:pt>
                <c:pt idx="95">
                  <c:v>47.900571751243291</c:v>
                </c:pt>
                <c:pt idx="96">
                  <c:v>47.919436679658382</c:v>
                </c:pt>
                <c:pt idx="97">
                  <c:v>47.938244168397603</c:v>
                </c:pt>
                <c:pt idx="98">
                  <c:v>47.956997717121702</c:v>
                </c:pt>
                <c:pt idx="99">
                  <c:v>47.975700825491479</c:v>
                </c:pt>
                <c:pt idx="100">
                  <c:v>47.994356993167713</c:v>
                </c:pt>
                <c:pt idx="101">
                  <c:v>48.012969719811203</c:v>
                </c:pt>
                <c:pt idx="102">
                  <c:v>48.03154250508269</c:v>
                </c:pt>
                <c:pt idx="103">
                  <c:v>48.05007884864299</c:v>
                </c:pt>
                <c:pt idx="104">
                  <c:v>48.068582250152872</c:v>
                </c:pt>
                <c:pt idx="105">
                  <c:v>48.087056209273122</c:v>
                </c:pt>
                <c:pt idx="106">
                  <c:v>48.105504225664511</c:v>
                </c:pt>
                <c:pt idx="107">
                  <c:v>48.123929798987817</c:v>
                </c:pt>
                <c:pt idx="108">
                  <c:v>48.142336428903853</c:v>
                </c:pt>
                <c:pt idx="109">
                  <c:v>48.16072761507337</c:v>
                </c:pt>
                <c:pt idx="110">
                  <c:v>48.179106857157151</c:v>
                </c:pt>
                <c:pt idx="111">
                  <c:v>48.197477654815977</c:v>
                </c:pt>
                <c:pt idx="112">
                  <c:v>48.215843507710652</c:v>
                </c:pt>
                <c:pt idx="113">
                  <c:v>48.234207915501941</c:v>
                </c:pt>
                <c:pt idx="114">
                  <c:v>48.252574377850607</c:v>
                </c:pt>
                <c:pt idx="115">
                  <c:v>48.270946394417457</c:v>
                </c:pt>
                <c:pt idx="116">
                  <c:v>48.289327464863277</c:v>
                </c:pt>
                <c:pt idx="117">
                  <c:v>48.30772108884883</c:v>
                </c:pt>
                <c:pt idx="118">
                  <c:v>48.3261307660349</c:v>
                </c:pt>
                <c:pt idx="119">
                  <c:v>48.344559996082268</c:v>
                </c:pt>
                <c:pt idx="120">
                  <c:v>48.363012278651723</c:v>
                </c:pt>
                <c:pt idx="121">
                  <c:v>48.381491113404039</c:v>
                </c:pt>
                <c:pt idx="122">
                  <c:v>48.4</c:v>
                </c:pt>
                <c:pt idx="123">
                  <c:v>48.418541888075723</c:v>
                </c:pt>
                <c:pt idx="124">
                  <c:v>48.437117527168681</c:v>
                </c:pt>
                <c:pt idx="125">
                  <c:v>48.455727116791671</c:v>
                </c:pt>
                <c:pt idx="126">
                  <c:v>48.474370856457497</c:v>
                </c:pt>
                <c:pt idx="127">
                  <c:v>48.493048945678993</c:v>
                </c:pt>
                <c:pt idx="128">
                  <c:v>48.511761583968912</c:v>
                </c:pt>
                <c:pt idx="129">
                  <c:v>48.530508970840103</c:v>
                </c:pt>
                <c:pt idx="130">
                  <c:v>48.54929130580534</c:v>
                </c:pt>
                <c:pt idx="131">
                  <c:v>48.568108788377451</c:v>
                </c:pt>
                <c:pt idx="132">
                  <c:v>48.586961618069232</c:v>
                </c:pt>
                <c:pt idx="133">
                  <c:v>48.605849994393488</c:v>
                </c:pt>
                <c:pt idx="134">
                  <c:v>48.624774116863023</c:v>
                </c:pt>
                <c:pt idx="135">
                  <c:v>48.643734184990642</c:v>
                </c:pt>
                <c:pt idx="136">
                  <c:v>48.662730398289149</c:v>
                </c:pt>
                <c:pt idx="137">
                  <c:v>48.681762956271363</c:v>
                </c:pt>
                <c:pt idx="138">
                  <c:v>48.700832058450047</c:v>
                </c:pt>
                <c:pt idx="139">
                  <c:v>48.719937904338067</c:v>
                </c:pt>
                <c:pt idx="140">
                  <c:v>48.73908069344818</c:v>
                </c:pt>
                <c:pt idx="141">
                  <c:v>48.758260625293211</c:v>
                </c:pt>
                <c:pt idx="142">
                  <c:v>48.777477899385957</c:v>
                </c:pt>
                <c:pt idx="143">
                  <c:v>48.796732715239237</c:v>
                </c:pt>
                <c:pt idx="144">
                  <c:v>48.816025272365842</c:v>
                </c:pt>
                <c:pt idx="145">
                  <c:v>48.835355770278582</c:v>
                </c:pt>
                <c:pt idx="146">
                  <c:v>48.854724408490263</c:v>
                </c:pt>
                <c:pt idx="147">
                  <c:v>48.874131386513682</c:v>
                </c:pt>
                <c:pt idx="148">
                  <c:v>48.893576903861643</c:v>
                </c:pt>
                <c:pt idx="149">
                  <c:v>48.913061160046958</c:v>
                </c:pt>
                <c:pt idx="150">
                  <c:v>48.932584354582438</c:v>
                </c:pt>
                <c:pt idx="151">
                  <c:v>48.952146686980882</c:v>
                </c:pt>
                <c:pt idx="152">
                  <c:v>48.971748356755093</c:v>
                </c:pt>
                <c:pt idx="153">
                  <c:v>48.991389563417883</c:v>
                </c:pt>
                <c:pt idx="154">
                  <c:v>49.011070506482042</c:v>
                </c:pt>
                <c:pt idx="155">
                  <c:v>49.030791385460383</c:v>
                </c:pt>
                <c:pt idx="156">
                  <c:v>49.050552399865708</c:v>
                </c:pt>
                <c:pt idx="157">
                  <c:v>49.070353749210831</c:v>
                </c:pt>
                <c:pt idx="158">
                  <c:v>49.090195633008562</c:v>
                </c:pt>
                <c:pt idx="159">
                  <c:v>49.110078250771679</c:v>
                </c:pt>
                <c:pt idx="160">
                  <c:v>49.130001802013012</c:v>
                </c:pt>
                <c:pt idx="161">
                  <c:v>49.149966486245347</c:v>
                </c:pt>
                <c:pt idx="162">
                  <c:v>49.169972502981508</c:v>
                </c:pt>
                <c:pt idx="163">
                  <c:v>49.190020051734287</c:v>
                </c:pt>
                <c:pt idx="164">
                  <c:v>49.210109332016494</c:v>
                </c:pt>
                <c:pt idx="165">
                  <c:v>49.230240543340933</c:v>
                </c:pt>
                <c:pt idx="166">
                  <c:v>49.250413885220411</c:v>
                </c:pt>
                <c:pt idx="167">
                  <c:v>49.270629557167723</c:v>
                </c:pt>
                <c:pt idx="168">
                  <c:v>49.290887758695689</c:v>
                </c:pt>
                <c:pt idx="169">
                  <c:v>49.311188689317099</c:v>
                </c:pt>
                <c:pt idx="170">
                  <c:v>49.331532548544772</c:v>
                </c:pt>
                <c:pt idx="171">
                  <c:v>49.351919535891497</c:v>
                </c:pt>
                <c:pt idx="172">
                  <c:v>49.372349850870101</c:v>
                </c:pt>
                <c:pt idx="173">
                  <c:v>49.392823692993368</c:v>
                </c:pt>
                <c:pt idx="174">
                  <c:v>49.413341261774107</c:v>
                </c:pt>
                <c:pt idx="175">
                  <c:v>49.433902756725132</c:v>
                </c:pt>
                <c:pt idx="176">
                  <c:v>49.45450837735924</c:v>
                </c:pt>
                <c:pt idx="177">
                  <c:v>49.475158323189241</c:v>
                </c:pt>
                <c:pt idx="178">
                  <c:v>49.495852793727927</c:v>
                </c:pt>
                <c:pt idx="179">
                  <c:v>49.51659198848813</c:v>
                </c:pt>
                <c:pt idx="180">
                  <c:v>49.537376106982627</c:v>
                </c:pt>
                <c:pt idx="181">
                  <c:v>49.558205348724243</c:v>
                </c:pt>
                <c:pt idx="182">
                  <c:v>49.579079913225762</c:v>
                </c:pt>
                <c:pt idx="183">
                  <c:v>49.6</c:v>
                </c:pt>
                <c:pt idx="184">
                  <c:v>49.620965059022303</c:v>
                </c:pt>
                <c:pt idx="185">
                  <c:v>49.641971542118128</c:v>
                </c:pt>
                <c:pt idx="186">
                  <c:v>49.663015151575472</c:v>
                </c:pt>
                <c:pt idx="187">
                  <c:v>49.684091589682339</c:v>
                </c:pt>
                <c:pt idx="188">
                  <c:v>49.705196558726733</c:v>
                </c:pt>
                <c:pt idx="189">
                  <c:v>49.726325760996637</c:v>
                </c:pt>
                <c:pt idx="190">
                  <c:v>49.747474898780077</c:v>
                </c:pt>
                <c:pt idx="191">
                  <c:v>49.768639674365033</c:v>
                </c:pt>
                <c:pt idx="192">
                  <c:v>49.789815790039491</c:v>
                </c:pt>
                <c:pt idx="193">
                  <c:v>49.810998948091473</c:v>
                </c:pt>
                <c:pt idx="194">
                  <c:v>49.832184850808979</c:v>
                </c:pt>
                <c:pt idx="195">
                  <c:v>49.853369200480003</c:v>
                </c:pt>
                <c:pt idx="196">
                  <c:v>49.874547699392529</c:v>
                </c:pt>
                <c:pt idx="197">
                  <c:v>49.895716049834583</c:v>
                </c:pt>
                <c:pt idx="198">
                  <c:v>49.916869954094132</c:v>
                </c:pt>
                <c:pt idx="199">
                  <c:v>49.938005114459209</c:v>
                </c:pt>
                <c:pt idx="200">
                  <c:v>49.959117233217789</c:v>
                </c:pt>
                <c:pt idx="201">
                  <c:v>49.980202012657877</c:v>
                </c:pt>
                <c:pt idx="202">
                  <c:v>50.00125515506749</c:v>
                </c:pt>
                <c:pt idx="203">
                  <c:v>50.022272362734597</c:v>
                </c:pt>
                <c:pt idx="204">
                  <c:v>50.043249337947231</c:v>
                </c:pt>
                <c:pt idx="205">
                  <c:v>50.064181782993359</c:v>
                </c:pt>
                <c:pt idx="206">
                  <c:v>50.085065400161</c:v>
                </c:pt>
                <c:pt idx="207">
                  <c:v>50.105895891738143</c:v>
                </c:pt>
                <c:pt idx="208">
                  <c:v>50.126668960012793</c:v>
                </c:pt>
                <c:pt idx="209">
                  <c:v>50.147380307272947</c:v>
                </c:pt>
                <c:pt idx="210">
                  <c:v>50.1680256358066</c:v>
                </c:pt>
                <c:pt idx="211">
                  <c:v>50.188600647901772</c:v>
                </c:pt>
                <c:pt idx="212">
                  <c:v>50.209101045846417</c:v>
                </c:pt>
                <c:pt idx="213">
                  <c:v>50.229522531928588</c:v>
                </c:pt>
                <c:pt idx="214">
                  <c:v>50.249860808436253</c:v>
                </c:pt>
                <c:pt idx="215">
                  <c:v>50.270111577657417</c:v>
                </c:pt>
                <c:pt idx="216">
                  <c:v>50.290270541880083</c:v>
                </c:pt>
                <c:pt idx="217">
                  <c:v>50.310333403392242</c:v>
                </c:pt>
                <c:pt idx="218">
                  <c:v>50.330295864481897</c:v>
                </c:pt>
                <c:pt idx="219">
                  <c:v>50.350153627437059</c:v>
                </c:pt>
                <c:pt idx="220">
                  <c:v>50.369902394545711</c:v>
                </c:pt>
                <c:pt idx="221">
                  <c:v>50.389537868095857</c:v>
                </c:pt>
                <c:pt idx="222">
                  <c:v>50.409055750375487</c:v>
                </c:pt>
                <c:pt idx="223">
                  <c:v>50.428451743672632</c:v>
                </c:pt>
                <c:pt idx="224">
                  <c:v>50.447721550275247</c:v>
                </c:pt>
                <c:pt idx="225">
                  <c:v>50.466860872471372</c:v>
                </c:pt>
                <c:pt idx="226">
                  <c:v>50.485865412548982</c:v>
                </c:pt>
                <c:pt idx="227">
                  <c:v>50.504730872796081</c:v>
                </c:pt>
                <c:pt idx="228">
                  <c:v>50.523452955500673</c:v>
                </c:pt>
                <c:pt idx="229">
                  <c:v>50.542027362950748</c:v>
                </c:pt>
                <c:pt idx="230">
                  <c:v>50.560449797434323</c:v>
                </c:pt>
                <c:pt idx="231">
                  <c:v>50.578715961239368</c:v>
                </c:pt>
                <c:pt idx="232">
                  <c:v>50.596821556653907</c:v>
                </c:pt>
                <c:pt idx="233">
                  <c:v>50.614762285965931</c:v>
                </c:pt>
                <c:pt idx="234">
                  <c:v>50.632533851463442</c:v>
                </c:pt>
                <c:pt idx="235">
                  <c:v>50.650131955434432</c:v>
                </c:pt>
                <c:pt idx="236">
                  <c:v>50.667552300166903</c:v>
                </c:pt>
                <c:pt idx="237">
                  <c:v>50.684790587948861</c:v>
                </c:pt>
                <c:pt idx="238">
                  <c:v>50.701842521068301</c:v>
                </c:pt>
                <c:pt idx="239">
                  <c:v>50.71870380181322</c:v>
                </c:pt>
                <c:pt idx="240">
                  <c:v>50.735370132471623</c:v>
                </c:pt>
                <c:pt idx="241">
                  <c:v>50.751837215331498</c:v>
                </c:pt>
                <c:pt idx="242">
                  <c:v>50.768100752680851</c:v>
                </c:pt>
                <c:pt idx="243">
                  <c:v>50.784156446807692</c:v>
                </c:pt>
                <c:pt idx="244">
                  <c:v>50.8</c:v>
                </c:pt>
                <c:pt idx="245">
                  <c:v>50.815628459892757</c:v>
                </c:pt>
                <c:pt idx="246">
                  <c:v>50.831044255508907</c:v>
                </c:pt>
                <c:pt idx="247">
                  <c:v>50.846251161218341</c:v>
                </c:pt>
                <c:pt idx="248">
                  <c:v>50.861252951390952</c:v>
                </c:pt>
                <c:pt idx="249">
                  <c:v>50.876053400396643</c:v>
                </c:pt>
                <c:pt idx="250">
                  <c:v>50.890656282605313</c:v>
                </c:pt>
                <c:pt idx="251">
                  <c:v>50.905065372386872</c:v>
                </c:pt>
                <c:pt idx="252">
                  <c:v>50.91928444411122</c:v>
                </c:pt>
                <c:pt idx="253">
                  <c:v>50.933317272148251</c:v>
                </c:pt>
                <c:pt idx="254">
                  <c:v>50.947167630867881</c:v>
                </c:pt>
                <c:pt idx="255">
                  <c:v>50.960839294640003</c:v>
                </c:pt>
                <c:pt idx="256">
                  <c:v>50.974336037834512</c:v>
                </c:pt>
                <c:pt idx="257">
                  <c:v>50.987661634821322</c:v>
                </c:pt>
                <c:pt idx="258">
                  <c:v>51.000819859970328</c:v>
                </c:pt>
                <c:pt idx="259">
                  <c:v>51.01381448765143</c:v>
                </c:pt>
                <c:pt idx="260">
                  <c:v>51.026649292234538</c:v>
                </c:pt>
                <c:pt idx="261">
                  <c:v>51.039328048089537</c:v>
                </c:pt>
                <c:pt idx="262">
                  <c:v>51.05185452958635</c:v>
                </c:pt>
                <c:pt idx="263">
                  <c:v>51.064232511094872</c:v>
                </c:pt>
                <c:pt idx="264">
                  <c:v>51.076465766985002</c:v>
                </c:pt>
                <c:pt idx="265">
                  <c:v>51.088558071626629</c:v>
                </c:pt>
                <c:pt idx="266">
                  <c:v>51.100513199389667</c:v>
                </c:pt>
                <c:pt idx="267">
                  <c:v>51.112334924644017</c:v>
                </c:pt>
                <c:pt idx="268">
                  <c:v>51.124027021759588</c:v>
                </c:pt>
                <c:pt idx="269">
                  <c:v>51.135593265106273</c:v>
                </c:pt>
                <c:pt idx="270">
                  <c:v>51.147037429053967</c:v>
                </c:pt>
                <c:pt idx="271">
                  <c:v>51.158363287972591</c:v>
                </c:pt>
                <c:pt idx="272">
                  <c:v>51.169574616232033</c:v>
                </c:pt>
                <c:pt idx="273">
                  <c:v>51.180675188202187</c:v>
                </c:pt>
                <c:pt idx="274">
                  <c:v>51.191668778252982</c:v>
                </c:pt>
                <c:pt idx="275">
                  <c:v>51.202559160754291</c:v>
                </c:pt>
                <c:pt idx="276">
                  <c:v>51.213350110076028</c:v>
                </c:pt>
                <c:pt idx="277">
                  <c:v>51.224045400588103</c:v>
                </c:pt>
                <c:pt idx="278">
                  <c:v>51.234648806660388</c:v>
                </c:pt>
                <c:pt idx="279">
                  <c:v>51.24516410266282</c:v>
                </c:pt>
                <c:pt idx="280">
                  <c:v>51.255595062965277</c:v>
                </c:pt>
                <c:pt idx="281">
                  <c:v>51.265945461937683</c:v>
                </c:pt>
                <c:pt idx="282">
                  <c:v>51.276219073949903</c:v>
                </c:pt>
                <c:pt idx="283">
                  <c:v>51.286419673371881</c:v>
                </c:pt>
                <c:pt idx="284">
                  <c:v>51.29655103457349</c:v>
                </c:pt>
                <c:pt idx="285">
                  <c:v>51.306616931924637</c:v>
                </c:pt>
                <c:pt idx="286">
                  <c:v>51.316621139795238</c:v>
                </c:pt>
                <c:pt idx="287">
                  <c:v>51.32656743255518</c:v>
                </c:pt>
                <c:pt idx="288">
                  <c:v>51.336459584574371</c:v>
                </c:pt>
                <c:pt idx="289">
                  <c:v>51.346301370222697</c:v>
                </c:pt>
                <c:pt idx="290">
                  <c:v>51.356096563870089</c:v>
                </c:pt>
                <c:pt idx="291">
                  <c:v>51.365848939886433</c:v>
                </c:pt>
                <c:pt idx="292">
                  <c:v>51.375562272641623</c:v>
                </c:pt>
                <c:pt idx="293">
                  <c:v>51.385240336505561</c:v>
                </c:pt>
                <c:pt idx="294">
                  <c:v>51.394886905848168</c:v>
                </c:pt>
                <c:pt idx="295">
                  <c:v>51.404505755039317</c:v>
                </c:pt>
                <c:pt idx="296">
                  <c:v>51.414100658448952</c:v>
                </c:pt>
                <c:pt idx="297">
                  <c:v>51.423675390446931</c:v>
                </c:pt>
                <c:pt idx="298">
                  <c:v>51.43323372540317</c:v>
                </c:pt>
                <c:pt idx="299">
                  <c:v>51.442779437687577</c:v>
                </c:pt>
                <c:pt idx="300">
                  <c:v>51.452316301670059</c:v>
                </c:pt>
                <c:pt idx="301">
                  <c:v>51.461848091720498</c:v>
                </c:pt>
                <c:pt idx="302">
                  <c:v>51.471378582208807</c:v>
                </c:pt>
                <c:pt idx="303">
                  <c:v>51.480911547504903</c:v>
                </c:pt>
                <c:pt idx="304">
                  <c:v>51.490450761978657</c:v>
                </c:pt>
                <c:pt idx="305">
                  <c:v>51.499999999999993</c:v>
                </c:pt>
                <c:pt idx="306">
                  <c:v>51.509562369177928</c:v>
                </c:pt>
                <c:pt idx="307">
                  <c:v>51.51913831007797</c:v>
                </c:pt>
                <c:pt idx="308">
                  <c:v>51.528727596504737</c:v>
                </c:pt>
                <c:pt idx="309">
                  <c:v>51.538330002262903</c:v>
                </c:pt>
                <c:pt idx="310">
                  <c:v>51.547945301157043</c:v>
                </c:pt>
                <c:pt idx="311">
                  <c:v>51.557573266991831</c:v>
                </c:pt>
                <c:pt idx="312">
                  <c:v>51.567213673571878</c:v>
                </c:pt>
                <c:pt idx="313">
                  <c:v>51.576866294701823</c:v>
                </c:pt>
                <c:pt idx="314">
                  <c:v>51.586530904186297</c:v>
                </c:pt>
                <c:pt idx="315">
                  <c:v>51.59620727582994</c:v>
                </c:pt>
                <c:pt idx="316">
                  <c:v>51.605895183437362</c:v>
                </c:pt>
                <c:pt idx="317">
                  <c:v>51.615594400813222</c:v>
                </c:pt>
                <c:pt idx="318">
                  <c:v>51.625304701762118</c:v>
                </c:pt>
                <c:pt idx="319">
                  <c:v>51.63502586008871</c:v>
                </c:pt>
                <c:pt idx="320">
                  <c:v>51.644757649597622</c:v>
                </c:pt>
                <c:pt idx="321">
                  <c:v>51.654499844093479</c:v>
                </c:pt>
                <c:pt idx="322">
                  <c:v>51.66425221738092</c:v>
                </c:pt>
                <c:pt idx="323">
                  <c:v>51.674014543264569</c:v>
                </c:pt>
                <c:pt idx="324">
                  <c:v>51.683786595549073</c:v>
                </c:pt>
                <c:pt idx="325">
                  <c:v>51.693568148039027</c:v>
                </c:pt>
                <c:pt idx="326">
                  <c:v>51.703358974539107</c:v>
                </c:pt>
                <c:pt idx="327">
                  <c:v>51.713158848853929</c:v>
                </c:pt>
                <c:pt idx="328">
                  <c:v>51.722967544788119</c:v>
                </c:pt>
                <c:pt idx="329">
                  <c:v>51.732784836146308</c:v>
                </c:pt>
                <c:pt idx="330">
                  <c:v>51.742610496733128</c:v>
                </c:pt>
                <c:pt idx="331">
                  <c:v>51.752444300353211</c:v>
                </c:pt>
                <c:pt idx="332">
                  <c:v>51.762286020811203</c:v>
                </c:pt>
                <c:pt idx="333">
                  <c:v>51.772135431911707</c:v>
                </c:pt>
                <c:pt idx="334">
                  <c:v>51.781992307459383</c:v>
                </c:pt>
                <c:pt idx="335">
                  <c:v>51.791856421258842</c:v>
                </c:pt>
                <c:pt idx="336">
                  <c:v>51.801727547114723</c:v>
                </c:pt>
                <c:pt idx="337">
                  <c:v>51.811605458831657</c:v>
                </c:pt>
                <c:pt idx="338">
                  <c:v>51.821489930214277</c:v>
                </c:pt>
                <c:pt idx="339">
                  <c:v>51.831380735067214</c:v>
                </c:pt>
                <c:pt idx="340">
                  <c:v>51.841277647195099</c:v>
                </c:pt>
                <c:pt idx="341">
                  <c:v>51.851180440402572</c:v>
                </c:pt>
                <c:pt idx="342">
                  <c:v>51.861088888494251</c:v>
                </c:pt>
                <c:pt idx="343">
                  <c:v>51.871002765274767</c:v>
                </c:pt>
                <c:pt idx="344">
                  <c:v>51.880921844548773</c:v>
                </c:pt>
                <c:pt idx="345">
                  <c:v>51.890845900120873</c:v>
                </c:pt>
                <c:pt idx="346">
                  <c:v>51.900774705795712</c:v>
                </c:pt>
                <c:pt idx="347">
                  <c:v>51.910708035377922</c:v>
                </c:pt>
                <c:pt idx="348">
                  <c:v>51.920645662672129</c:v>
                </c:pt>
                <c:pt idx="349">
                  <c:v>51.930587361482971</c:v>
                </c:pt>
                <c:pt idx="350">
                  <c:v>51.940532905615079</c:v>
                </c:pt>
                <c:pt idx="351">
                  <c:v>51.950482068873093</c:v>
                </c:pt>
                <c:pt idx="352">
                  <c:v>51.960434625061609</c:v>
                </c:pt>
                <c:pt idx="353">
                  <c:v>51.970390347985301</c:v>
                </c:pt>
                <c:pt idx="354">
                  <c:v>51.98034901144878</c:v>
                </c:pt>
                <c:pt idx="355">
                  <c:v>51.990310389256678</c:v>
                </c:pt>
                <c:pt idx="356">
                  <c:v>52.000274255213633</c:v>
                </c:pt>
                <c:pt idx="357">
                  <c:v>52.01024038312427</c:v>
                </c:pt>
                <c:pt idx="358">
                  <c:v>52.020208546793221</c:v>
                </c:pt>
                <c:pt idx="359">
                  <c:v>52.030178520025117</c:v>
                </c:pt>
                <c:pt idx="360">
                  <c:v>52.040150076624599</c:v>
                </c:pt>
                <c:pt idx="361">
                  <c:v>52.050122990396289</c:v>
                </c:pt>
                <c:pt idx="362">
                  <c:v>52.060097035144821</c:v>
                </c:pt>
                <c:pt idx="363">
                  <c:v>52.070071984674833</c:v>
                </c:pt>
                <c:pt idx="364">
                  <c:v>52.080047612790942</c:v>
                </c:pt>
                <c:pt idx="365">
                  <c:v>52.090023693297802</c:v>
                </c:pt>
                <c:pt idx="366">
                  <c:v>52.100000000000009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D-44F8-AFD6-C81804D7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403808"/>
        <c:axId val="1061406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'Model tilvækst, slagteform, fe'!$G$8</c15:sqref>
                        </c15:formulaRef>
                      </c:ext>
                    </c:extLst>
                    <c:strCache>
                      <c:ptCount val="1"/>
                      <c:pt idx="0">
                        <c:v>dage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'Model tilvækst, slagteform, fe'!$G$9:$G$375</c15:sqref>
                        </c15:formulaRef>
                      </c:ext>
                    </c:extLst>
                    <c:numCache>
                      <c:formatCode>0.0</c:formatCode>
                      <c:ptCount val="367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  <c:pt idx="141">
                        <c:v>141</c:v>
                      </c:pt>
                      <c:pt idx="142">
                        <c:v>142</c:v>
                      </c:pt>
                      <c:pt idx="143">
                        <c:v>143</c:v>
                      </c:pt>
                      <c:pt idx="144">
                        <c:v>144</c:v>
                      </c:pt>
                      <c:pt idx="145">
                        <c:v>145</c:v>
                      </c:pt>
                      <c:pt idx="146">
                        <c:v>146</c:v>
                      </c:pt>
                      <c:pt idx="147">
                        <c:v>147</c:v>
                      </c:pt>
                      <c:pt idx="148">
                        <c:v>148</c:v>
                      </c:pt>
                      <c:pt idx="149">
                        <c:v>149</c:v>
                      </c:pt>
                      <c:pt idx="150">
                        <c:v>150</c:v>
                      </c:pt>
                      <c:pt idx="151">
                        <c:v>151</c:v>
                      </c:pt>
                      <c:pt idx="152">
                        <c:v>152</c:v>
                      </c:pt>
                      <c:pt idx="153">
                        <c:v>153</c:v>
                      </c:pt>
                      <c:pt idx="154">
                        <c:v>154</c:v>
                      </c:pt>
                      <c:pt idx="155">
                        <c:v>155</c:v>
                      </c:pt>
                      <c:pt idx="156">
                        <c:v>156</c:v>
                      </c:pt>
                      <c:pt idx="157">
                        <c:v>157</c:v>
                      </c:pt>
                      <c:pt idx="158">
                        <c:v>158</c:v>
                      </c:pt>
                      <c:pt idx="159">
                        <c:v>159</c:v>
                      </c:pt>
                      <c:pt idx="160">
                        <c:v>160</c:v>
                      </c:pt>
                      <c:pt idx="161">
                        <c:v>161</c:v>
                      </c:pt>
                      <c:pt idx="162">
                        <c:v>162</c:v>
                      </c:pt>
                      <c:pt idx="163">
                        <c:v>163</c:v>
                      </c:pt>
                      <c:pt idx="164">
                        <c:v>164</c:v>
                      </c:pt>
                      <c:pt idx="165">
                        <c:v>165</c:v>
                      </c:pt>
                      <c:pt idx="166">
                        <c:v>166</c:v>
                      </c:pt>
                      <c:pt idx="167">
                        <c:v>167</c:v>
                      </c:pt>
                      <c:pt idx="168">
                        <c:v>168</c:v>
                      </c:pt>
                      <c:pt idx="169">
                        <c:v>169</c:v>
                      </c:pt>
                      <c:pt idx="170">
                        <c:v>170</c:v>
                      </c:pt>
                      <c:pt idx="171">
                        <c:v>171</c:v>
                      </c:pt>
                      <c:pt idx="172">
                        <c:v>172</c:v>
                      </c:pt>
                      <c:pt idx="173">
                        <c:v>173</c:v>
                      </c:pt>
                      <c:pt idx="174">
                        <c:v>174</c:v>
                      </c:pt>
                      <c:pt idx="175">
                        <c:v>175</c:v>
                      </c:pt>
                      <c:pt idx="176">
                        <c:v>176</c:v>
                      </c:pt>
                      <c:pt idx="177">
                        <c:v>177</c:v>
                      </c:pt>
                      <c:pt idx="178">
                        <c:v>178</c:v>
                      </c:pt>
                      <c:pt idx="179">
                        <c:v>179</c:v>
                      </c:pt>
                      <c:pt idx="180">
                        <c:v>180</c:v>
                      </c:pt>
                      <c:pt idx="181">
                        <c:v>181</c:v>
                      </c:pt>
                      <c:pt idx="182">
                        <c:v>182</c:v>
                      </c:pt>
                      <c:pt idx="183">
                        <c:v>183</c:v>
                      </c:pt>
                      <c:pt idx="184">
                        <c:v>184</c:v>
                      </c:pt>
                      <c:pt idx="185">
                        <c:v>185</c:v>
                      </c:pt>
                      <c:pt idx="186">
                        <c:v>186</c:v>
                      </c:pt>
                      <c:pt idx="187">
                        <c:v>187</c:v>
                      </c:pt>
                      <c:pt idx="188">
                        <c:v>188</c:v>
                      </c:pt>
                      <c:pt idx="189">
                        <c:v>189</c:v>
                      </c:pt>
                      <c:pt idx="190">
                        <c:v>190</c:v>
                      </c:pt>
                      <c:pt idx="191">
                        <c:v>191</c:v>
                      </c:pt>
                      <c:pt idx="192">
                        <c:v>192</c:v>
                      </c:pt>
                      <c:pt idx="193">
                        <c:v>193</c:v>
                      </c:pt>
                      <c:pt idx="194">
                        <c:v>194</c:v>
                      </c:pt>
                      <c:pt idx="195">
                        <c:v>195</c:v>
                      </c:pt>
                      <c:pt idx="196">
                        <c:v>196</c:v>
                      </c:pt>
                      <c:pt idx="197">
                        <c:v>197</c:v>
                      </c:pt>
                      <c:pt idx="198">
                        <c:v>198</c:v>
                      </c:pt>
                      <c:pt idx="199">
                        <c:v>199</c:v>
                      </c:pt>
                      <c:pt idx="200">
                        <c:v>200</c:v>
                      </c:pt>
                      <c:pt idx="201">
                        <c:v>201</c:v>
                      </c:pt>
                      <c:pt idx="202">
                        <c:v>202</c:v>
                      </c:pt>
                      <c:pt idx="203">
                        <c:v>203</c:v>
                      </c:pt>
                      <c:pt idx="204">
                        <c:v>204</c:v>
                      </c:pt>
                      <c:pt idx="205">
                        <c:v>205</c:v>
                      </c:pt>
                      <c:pt idx="206">
                        <c:v>206</c:v>
                      </c:pt>
                      <c:pt idx="207">
                        <c:v>207</c:v>
                      </c:pt>
                      <c:pt idx="208">
                        <c:v>208</c:v>
                      </c:pt>
                      <c:pt idx="209">
                        <c:v>209</c:v>
                      </c:pt>
                      <c:pt idx="210">
                        <c:v>210</c:v>
                      </c:pt>
                      <c:pt idx="211">
                        <c:v>211</c:v>
                      </c:pt>
                      <c:pt idx="212">
                        <c:v>212</c:v>
                      </c:pt>
                      <c:pt idx="213">
                        <c:v>213</c:v>
                      </c:pt>
                      <c:pt idx="214">
                        <c:v>214</c:v>
                      </c:pt>
                      <c:pt idx="215">
                        <c:v>215</c:v>
                      </c:pt>
                      <c:pt idx="216">
                        <c:v>216</c:v>
                      </c:pt>
                      <c:pt idx="217">
                        <c:v>217</c:v>
                      </c:pt>
                      <c:pt idx="218">
                        <c:v>218</c:v>
                      </c:pt>
                      <c:pt idx="219">
                        <c:v>219</c:v>
                      </c:pt>
                      <c:pt idx="220">
                        <c:v>220</c:v>
                      </c:pt>
                      <c:pt idx="221">
                        <c:v>221</c:v>
                      </c:pt>
                      <c:pt idx="222">
                        <c:v>222</c:v>
                      </c:pt>
                      <c:pt idx="223">
                        <c:v>223</c:v>
                      </c:pt>
                      <c:pt idx="224">
                        <c:v>224</c:v>
                      </c:pt>
                      <c:pt idx="225">
                        <c:v>225</c:v>
                      </c:pt>
                      <c:pt idx="226">
                        <c:v>226</c:v>
                      </c:pt>
                      <c:pt idx="227">
                        <c:v>227</c:v>
                      </c:pt>
                      <c:pt idx="228">
                        <c:v>228</c:v>
                      </c:pt>
                      <c:pt idx="229">
                        <c:v>229</c:v>
                      </c:pt>
                      <c:pt idx="230">
                        <c:v>230</c:v>
                      </c:pt>
                      <c:pt idx="231">
                        <c:v>231</c:v>
                      </c:pt>
                      <c:pt idx="232">
                        <c:v>232</c:v>
                      </c:pt>
                      <c:pt idx="233">
                        <c:v>233</c:v>
                      </c:pt>
                      <c:pt idx="234">
                        <c:v>234</c:v>
                      </c:pt>
                      <c:pt idx="235">
                        <c:v>235</c:v>
                      </c:pt>
                      <c:pt idx="236">
                        <c:v>236</c:v>
                      </c:pt>
                      <c:pt idx="237">
                        <c:v>237</c:v>
                      </c:pt>
                      <c:pt idx="238">
                        <c:v>238</c:v>
                      </c:pt>
                      <c:pt idx="239">
                        <c:v>239</c:v>
                      </c:pt>
                      <c:pt idx="240">
                        <c:v>240</c:v>
                      </c:pt>
                      <c:pt idx="241">
                        <c:v>241</c:v>
                      </c:pt>
                      <c:pt idx="242">
                        <c:v>242</c:v>
                      </c:pt>
                      <c:pt idx="243">
                        <c:v>243</c:v>
                      </c:pt>
                      <c:pt idx="244">
                        <c:v>244</c:v>
                      </c:pt>
                      <c:pt idx="245">
                        <c:v>245</c:v>
                      </c:pt>
                      <c:pt idx="246">
                        <c:v>246</c:v>
                      </c:pt>
                      <c:pt idx="247">
                        <c:v>247</c:v>
                      </c:pt>
                      <c:pt idx="248">
                        <c:v>248</c:v>
                      </c:pt>
                      <c:pt idx="249">
                        <c:v>249</c:v>
                      </c:pt>
                      <c:pt idx="250">
                        <c:v>250</c:v>
                      </c:pt>
                      <c:pt idx="251">
                        <c:v>251</c:v>
                      </c:pt>
                      <c:pt idx="252">
                        <c:v>252</c:v>
                      </c:pt>
                      <c:pt idx="253">
                        <c:v>253</c:v>
                      </c:pt>
                      <c:pt idx="254">
                        <c:v>254</c:v>
                      </c:pt>
                      <c:pt idx="255">
                        <c:v>255</c:v>
                      </c:pt>
                      <c:pt idx="256">
                        <c:v>256</c:v>
                      </c:pt>
                      <c:pt idx="257">
                        <c:v>257</c:v>
                      </c:pt>
                      <c:pt idx="258">
                        <c:v>258</c:v>
                      </c:pt>
                      <c:pt idx="259">
                        <c:v>259</c:v>
                      </c:pt>
                      <c:pt idx="260">
                        <c:v>260</c:v>
                      </c:pt>
                      <c:pt idx="261">
                        <c:v>261</c:v>
                      </c:pt>
                      <c:pt idx="262">
                        <c:v>262</c:v>
                      </c:pt>
                      <c:pt idx="263">
                        <c:v>263</c:v>
                      </c:pt>
                      <c:pt idx="264">
                        <c:v>264</c:v>
                      </c:pt>
                      <c:pt idx="265">
                        <c:v>265</c:v>
                      </c:pt>
                      <c:pt idx="266">
                        <c:v>266</c:v>
                      </c:pt>
                      <c:pt idx="267">
                        <c:v>267</c:v>
                      </c:pt>
                      <c:pt idx="268">
                        <c:v>268</c:v>
                      </c:pt>
                      <c:pt idx="269">
                        <c:v>269</c:v>
                      </c:pt>
                      <c:pt idx="270">
                        <c:v>270</c:v>
                      </c:pt>
                      <c:pt idx="271">
                        <c:v>271</c:v>
                      </c:pt>
                      <c:pt idx="272">
                        <c:v>272</c:v>
                      </c:pt>
                      <c:pt idx="273">
                        <c:v>273</c:v>
                      </c:pt>
                      <c:pt idx="274">
                        <c:v>274</c:v>
                      </c:pt>
                      <c:pt idx="275">
                        <c:v>275</c:v>
                      </c:pt>
                      <c:pt idx="276">
                        <c:v>276</c:v>
                      </c:pt>
                      <c:pt idx="277">
                        <c:v>277</c:v>
                      </c:pt>
                      <c:pt idx="278">
                        <c:v>278</c:v>
                      </c:pt>
                      <c:pt idx="279">
                        <c:v>279</c:v>
                      </c:pt>
                      <c:pt idx="280">
                        <c:v>280</c:v>
                      </c:pt>
                      <c:pt idx="281">
                        <c:v>281</c:v>
                      </c:pt>
                      <c:pt idx="282">
                        <c:v>282</c:v>
                      </c:pt>
                      <c:pt idx="283">
                        <c:v>283</c:v>
                      </c:pt>
                      <c:pt idx="284">
                        <c:v>284</c:v>
                      </c:pt>
                      <c:pt idx="285">
                        <c:v>285</c:v>
                      </c:pt>
                      <c:pt idx="286">
                        <c:v>286</c:v>
                      </c:pt>
                      <c:pt idx="287">
                        <c:v>287</c:v>
                      </c:pt>
                      <c:pt idx="288">
                        <c:v>288</c:v>
                      </c:pt>
                      <c:pt idx="289">
                        <c:v>289</c:v>
                      </c:pt>
                      <c:pt idx="290">
                        <c:v>290</c:v>
                      </c:pt>
                      <c:pt idx="291">
                        <c:v>291</c:v>
                      </c:pt>
                      <c:pt idx="292">
                        <c:v>292</c:v>
                      </c:pt>
                      <c:pt idx="293">
                        <c:v>293</c:v>
                      </c:pt>
                      <c:pt idx="294">
                        <c:v>294</c:v>
                      </c:pt>
                      <c:pt idx="295">
                        <c:v>295</c:v>
                      </c:pt>
                      <c:pt idx="296">
                        <c:v>296</c:v>
                      </c:pt>
                      <c:pt idx="297">
                        <c:v>297</c:v>
                      </c:pt>
                      <c:pt idx="298">
                        <c:v>298</c:v>
                      </c:pt>
                      <c:pt idx="299">
                        <c:v>299</c:v>
                      </c:pt>
                      <c:pt idx="300">
                        <c:v>300</c:v>
                      </c:pt>
                      <c:pt idx="301">
                        <c:v>301</c:v>
                      </c:pt>
                      <c:pt idx="302">
                        <c:v>302</c:v>
                      </c:pt>
                      <c:pt idx="303">
                        <c:v>303</c:v>
                      </c:pt>
                      <c:pt idx="304">
                        <c:v>304</c:v>
                      </c:pt>
                      <c:pt idx="305">
                        <c:v>305</c:v>
                      </c:pt>
                      <c:pt idx="306">
                        <c:v>306</c:v>
                      </c:pt>
                      <c:pt idx="307">
                        <c:v>307</c:v>
                      </c:pt>
                      <c:pt idx="308">
                        <c:v>308</c:v>
                      </c:pt>
                      <c:pt idx="309">
                        <c:v>309</c:v>
                      </c:pt>
                      <c:pt idx="310">
                        <c:v>310</c:v>
                      </c:pt>
                      <c:pt idx="311">
                        <c:v>311</c:v>
                      </c:pt>
                      <c:pt idx="312">
                        <c:v>312</c:v>
                      </c:pt>
                      <c:pt idx="313">
                        <c:v>313</c:v>
                      </c:pt>
                      <c:pt idx="314">
                        <c:v>314</c:v>
                      </c:pt>
                      <c:pt idx="315">
                        <c:v>315</c:v>
                      </c:pt>
                      <c:pt idx="316">
                        <c:v>316</c:v>
                      </c:pt>
                      <c:pt idx="317">
                        <c:v>317</c:v>
                      </c:pt>
                      <c:pt idx="318">
                        <c:v>318</c:v>
                      </c:pt>
                      <c:pt idx="319">
                        <c:v>319</c:v>
                      </c:pt>
                      <c:pt idx="320">
                        <c:v>320</c:v>
                      </c:pt>
                      <c:pt idx="321">
                        <c:v>321</c:v>
                      </c:pt>
                      <c:pt idx="322">
                        <c:v>322</c:v>
                      </c:pt>
                      <c:pt idx="323">
                        <c:v>323</c:v>
                      </c:pt>
                      <c:pt idx="324">
                        <c:v>324</c:v>
                      </c:pt>
                      <c:pt idx="325">
                        <c:v>325</c:v>
                      </c:pt>
                      <c:pt idx="326">
                        <c:v>326</c:v>
                      </c:pt>
                      <c:pt idx="327">
                        <c:v>327</c:v>
                      </c:pt>
                      <c:pt idx="328">
                        <c:v>328</c:v>
                      </c:pt>
                      <c:pt idx="329">
                        <c:v>329</c:v>
                      </c:pt>
                      <c:pt idx="330">
                        <c:v>330</c:v>
                      </c:pt>
                      <c:pt idx="331">
                        <c:v>331</c:v>
                      </c:pt>
                      <c:pt idx="332">
                        <c:v>332</c:v>
                      </c:pt>
                      <c:pt idx="333">
                        <c:v>333</c:v>
                      </c:pt>
                      <c:pt idx="334">
                        <c:v>334</c:v>
                      </c:pt>
                      <c:pt idx="335">
                        <c:v>335</c:v>
                      </c:pt>
                      <c:pt idx="336">
                        <c:v>336</c:v>
                      </c:pt>
                      <c:pt idx="337">
                        <c:v>337</c:v>
                      </c:pt>
                      <c:pt idx="338">
                        <c:v>338</c:v>
                      </c:pt>
                      <c:pt idx="339">
                        <c:v>339</c:v>
                      </c:pt>
                      <c:pt idx="340">
                        <c:v>340</c:v>
                      </c:pt>
                      <c:pt idx="341">
                        <c:v>341</c:v>
                      </c:pt>
                      <c:pt idx="342">
                        <c:v>342</c:v>
                      </c:pt>
                      <c:pt idx="343">
                        <c:v>343</c:v>
                      </c:pt>
                      <c:pt idx="344">
                        <c:v>344</c:v>
                      </c:pt>
                      <c:pt idx="345">
                        <c:v>345</c:v>
                      </c:pt>
                      <c:pt idx="346">
                        <c:v>346</c:v>
                      </c:pt>
                      <c:pt idx="347">
                        <c:v>347</c:v>
                      </c:pt>
                      <c:pt idx="348">
                        <c:v>348</c:v>
                      </c:pt>
                      <c:pt idx="349">
                        <c:v>349</c:v>
                      </c:pt>
                      <c:pt idx="350">
                        <c:v>350</c:v>
                      </c:pt>
                      <c:pt idx="351">
                        <c:v>351</c:v>
                      </c:pt>
                      <c:pt idx="352">
                        <c:v>352</c:v>
                      </c:pt>
                      <c:pt idx="353">
                        <c:v>353</c:v>
                      </c:pt>
                      <c:pt idx="354">
                        <c:v>354</c:v>
                      </c:pt>
                      <c:pt idx="355">
                        <c:v>355</c:v>
                      </c:pt>
                      <c:pt idx="356">
                        <c:v>356</c:v>
                      </c:pt>
                      <c:pt idx="357">
                        <c:v>357</c:v>
                      </c:pt>
                      <c:pt idx="358">
                        <c:v>358</c:v>
                      </c:pt>
                      <c:pt idx="359">
                        <c:v>359</c:v>
                      </c:pt>
                      <c:pt idx="360">
                        <c:v>360</c:v>
                      </c:pt>
                      <c:pt idx="361">
                        <c:v>361</c:v>
                      </c:pt>
                      <c:pt idx="362">
                        <c:v>362</c:v>
                      </c:pt>
                      <c:pt idx="363">
                        <c:v>363</c:v>
                      </c:pt>
                      <c:pt idx="364">
                        <c:v>364</c:v>
                      </c:pt>
                      <c:pt idx="365">
                        <c:v>365</c:v>
                      </c:pt>
                      <c:pt idx="366">
                        <c:v>366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B0D-44F8-AFD6-C81804D7E2FF}"/>
                  </c:ext>
                </c:extLst>
              </c15:ser>
            </c15:filteredLineSeries>
          </c:ext>
        </c:extLst>
      </c:lineChart>
      <c:catAx>
        <c:axId val="106140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1406432"/>
        <c:crosses val="autoZero"/>
        <c:auto val="1"/>
        <c:lblAlgn val="ctr"/>
        <c:lblOffset val="100"/>
        <c:noMultiLvlLbl val="0"/>
      </c:catAx>
      <c:valAx>
        <c:axId val="106140643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14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Bruttotilvækst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tilvækst, slagteform, fe'!$Z$9</c:f>
              <c:strCache>
                <c:ptCount val="1"/>
                <c:pt idx="0">
                  <c:v>Splines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fe'!$Z$10:$Z$375</c:f>
              <c:numCache>
                <c:formatCode>#,##0</c:formatCode>
                <c:ptCount val="366"/>
                <c:pt idx="0">
                  <c:v>171.7140338200025</c:v>
                </c:pt>
                <c:pt idx="1">
                  <c:v>191.14778733732152</c:v>
                </c:pt>
                <c:pt idx="2">
                  <c:v>210.42242942208844</c:v>
                </c:pt>
                <c:pt idx="3">
                  <c:v>229.5384944217318</c:v>
                </c:pt>
                <c:pt idx="4">
                  <c:v>248.49651668368722</c:v>
                </c:pt>
                <c:pt idx="5">
                  <c:v>267.29703055531928</c:v>
                </c:pt>
                <c:pt idx="6">
                  <c:v>285.94057038409915</c:v>
                </c:pt>
                <c:pt idx="7">
                  <c:v>304.42767051742692</c:v>
                </c:pt>
                <c:pt idx="8">
                  <c:v>322.75886530273823</c:v>
                </c:pt>
                <c:pt idx="9">
                  <c:v>340.93468908743318</c:v>
                </c:pt>
                <c:pt idx="10">
                  <c:v>358.95567621894742</c:v>
                </c:pt>
                <c:pt idx="11">
                  <c:v>376.82236104468814</c:v>
                </c:pt>
                <c:pt idx="12">
                  <c:v>394.53527791208387</c:v>
                </c:pt>
                <c:pt idx="13">
                  <c:v>412.09496116855604</c:v>
                </c:pt>
                <c:pt idx="14">
                  <c:v>429.50194516151896</c:v>
                </c:pt>
                <c:pt idx="15">
                  <c:v>446.75676423842248</c:v>
                </c:pt>
                <c:pt idx="16">
                  <c:v>463.85995274663117</c:v>
                </c:pt>
                <c:pt idx="17">
                  <c:v>480.81204503359487</c:v>
                </c:pt>
                <c:pt idx="18">
                  <c:v>497.61357544675633</c:v>
                </c:pt>
                <c:pt idx="19">
                  <c:v>514.26507833350854</c:v>
                </c:pt>
                <c:pt idx="20">
                  <c:v>530.76708804125872</c:v>
                </c:pt>
                <c:pt idx="21">
                  <c:v>547.12013891747097</c:v>
                </c:pt>
                <c:pt idx="22">
                  <c:v>563.32476530953102</c:v>
                </c:pt>
                <c:pt idx="23">
                  <c:v>579.3815015648604</c:v>
                </c:pt>
                <c:pt idx="24">
                  <c:v>595.29088203090191</c:v>
                </c:pt>
                <c:pt idx="25">
                  <c:v>611.0534410550556</c:v>
                </c:pt>
                <c:pt idx="26">
                  <c:v>626.66971298476426</c:v>
                </c:pt>
                <c:pt idx="27">
                  <c:v>642.14023216739236</c:v>
                </c:pt>
                <c:pt idx="28">
                  <c:v>657.46553295043952</c:v>
                </c:pt>
                <c:pt idx="29">
                  <c:v>672.64614968127034</c:v>
                </c:pt>
                <c:pt idx="30">
                  <c:v>687.68261670734182</c:v>
                </c:pt>
                <c:pt idx="31">
                  <c:v>702.57546837602547</c:v>
                </c:pt>
                <c:pt idx="32">
                  <c:v>717.32523903478545</c:v>
                </c:pt>
                <c:pt idx="33">
                  <c:v>731.93246303102205</c:v>
                </c:pt>
                <c:pt idx="34">
                  <c:v>746.39767471216351</c:v>
                </c:pt>
                <c:pt idx="35">
                  <c:v>760.72140842563135</c:v>
                </c:pt>
                <c:pt idx="36">
                  <c:v>774.9041985188328</c:v>
                </c:pt>
                <c:pt idx="37">
                  <c:v>788.94657933921053</c:v>
                </c:pt>
                <c:pt idx="38">
                  <c:v>802.84908523415766</c:v>
                </c:pt>
                <c:pt idx="39">
                  <c:v>816.61225055113107</c:v>
                </c:pt>
                <c:pt idx="40">
                  <c:v>830.23660963749535</c:v>
                </c:pt>
                <c:pt idx="41">
                  <c:v>843.72269684074297</c:v>
                </c:pt>
                <c:pt idx="42">
                  <c:v>857.07104650821009</c:v>
                </c:pt>
                <c:pt idx="43">
                  <c:v>870.28219298738918</c:v>
                </c:pt>
                <c:pt idx="44">
                  <c:v>883.35667062570167</c:v>
                </c:pt>
                <c:pt idx="45">
                  <c:v>896.29501377048371</c:v>
                </c:pt>
                <c:pt idx="46">
                  <c:v>909.09775676924198</c:v>
                </c:pt>
                <c:pt idx="47">
                  <c:v>921.76543396938371</c:v>
                </c:pt>
                <c:pt idx="48">
                  <c:v>934.29857971827346</c:v>
                </c:pt>
                <c:pt idx="49">
                  <c:v>946.69772836341792</c:v>
                </c:pt>
                <c:pt idx="50">
                  <c:v>958.96341425212484</c:v>
                </c:pt>
                <c:pt idx="51">
                  <c:v>971.09617173195772</c:v>
                </c:pt>
                <c:pt idx="52">
                  <c:v>983.0965351501959</c:v>
                </c:pt>
                <c:pt idx="53">
                  <c:v>994.96503885437448</c:v>
                </c:pt>
                <c:pt idx="54">
                  <c:v>1006.7022171918012</c:v>
                </c:pt>
                <c:pt idx="55">
                  <c:v>1018.3086045100112</c:v>
                </c:pt>
                <c:pt idx="56">
                  <c:v>1029.7847351563546</c:v>
                </c:pt>
                <c:pt idx="57">
                  <c:v>1041.1311434782961</c:v>
                </c:pt>
                <c:pt idx="58">
                  <c:v>1052.348363823171</c:v>
                </c:pt>
                <c:pt idx="59">
                  <c:v>1063.4369305384866</c:v>
                </c:pt>
                <c:pt idx="60">
                  <c:v>1074.3973779716214</c:v>
                </c:pt>
                <c:pt idx="61">
                  <c:v>1085.2302404700395</c:v>
                </c:pt>
                <c:pt idx="62">
                  <c:v>1095.9360523810915</c:v>
                </c:pt>
                <c:pt idx="63">
                  <c:v>1106.5153480522838</c:v>
                </c:pt>
                <c:pt idx="64">
                  <c:v>1116.9686618309383</c:v>
                </c:pt>
                <c:pt idx="65">
                  <c:v>1127.2965280645481</c:v>
                </c:pt>
                <c:pt idx="66">
                  <c:v>1137.4994811005195</c:v>
                </c:pt>
                <c:pt idx="67">
                  <c:v>1147.5780552862743</c:v>
                </c:pt>
                <c:pt idx="68">
                  <c:v>1157.5327849691917</c:v>
                </c:pt>
                <c:pt idx="69">
                  <c:v>1167.3642044967351</c:v>
                </c:pt>
                <c:pt idx="70">
                  <c:v>1177.0728482163263</c:v>
                </c:pt>
                <c:pt idx="71">
                  <c:v>1186.6592504753726</c:v>
                </c:pt>
                <c:pt idx="72">
                  <c:v>1196.1239456212809</c:v>
                </c:pt>
                <c:pt idx="73">
                  <c:v>1205.4674680015012</c:v>
                </c:pt>
                <c:pt idx="74">
                  <c:v>1214.6903519634122</c:v>
                </c:pt>
                <c:pt idx="75">
                  <c:v>1223.7931318545066</c:v>
                </c:pt>
                <c:pt idx="76">
                  <c:v>1232.7763420220917</c:v>
                </c:pt>
                <c:pt idx="77">
                  <c:v>1241.6405168137317</c:v>
                </c:pt>
                <c:pt idx="78">
                  <c:v>1250.3861905767194</c:v>
                </c:pt>
                <c:pt idx="79">
                  <c:v>1259.0138976585336</c:v>
                </c:pt>
                <c:pt idx="80">
                  <c:v>1267.5241724065813</c:v>
                </c:pt>
                <c:pt idx="81">
                  <c:v>1275.9175491682981</c:v>
                </c:pt>
                <c:pt idx="82">
                  <c:v>1284.1945622911198</c:v>
                </c:pt>
                <c:pt idx="83">
                  <c:v>1292.3557461224107</c:v>
                </c:pt>
                <c:pt idx="84">
                  <c:v>1300.4016350096208</c:v>
                </c:pt>
                <c:pt idx="85">
                  <c:v>1308.3327633001716</c:v>
                </c:pt>
                <c:pt idx="86">
                  <c:v>1316.1496653414986</c:v>
                </c:pt>
                <c:pt idx="87">
                  <c:v>1323.8528754810091</c:v>
                </c:pt>
                <c:pt idx="88">
                  <c:v>1331.4429280660961</c:v>
                </c:pt>
                <c:pt idx="89">
                  <c:v>1338.9203574442092</c:v>
                </c:pt>
                <c:pt idx="90">
                  <c:v>1346.2856979627986</c:v>
                </c:pt>
                <c:pt idx="91">
                  <c:v>1353.5394839692431</c:v>
                </c:pt>
                <c:pt idx="92">
                  <c:v>1360.6822498109352</c:v>
                </c:pt>
                <c:pt idx="93">
                  <c:v>1367.7145298353537</c:v>
                </c:pt>
                <c:pt idx="94">
                  <c:v>1374.6368583899057</c:v>
                </c:pt>
                <c:pt idx="95">
                  <c:v>1381.4497698219839</c:v>
                </c:pt>
                <c:pt idx="96">
                  <c:v>1388.1537984790384</c:v>
                </c:pt>
                <c:pt idx="97">
                  <c:v>1394.7494787084906</c:v>
                </c:pt>
                <c:pt idx="98">
                  <c:v>1401.2373448576909</c:v>
                </c:pt>
                <c:pt idx="99">
                  <c:v>1407.617931274217</c:v>
                </c:pt>
                <c:pt idx="100">
                  <c:v>1413.8917723053055</c:v>
                </c:pt>
                <c:pt idx="101">
                  <c:v>1420.0594022984774</c:v>
                </c:pt>
                <c:pt idx="102">
                  <c:v>1426.1213556011683</c:v>
                </c:pt>
                <c:pt idx="103">
                  <c:v>1432.0781665607001</c:v>
                </c:pt>
                <c:pt idx="104">
                  <c:v>1437.9303695246222</c:v>
                </c:pt>
                <c:pt idx="105">
                  <c:v>1443.6784988403133</c:v>
                </c:pt>
                <c:pt idx="106">
                  <c:v>1449.3230888551238</c:v>
                </c:pt>
                <c:pt idx="107">
                  <c:v>1454.8646739164894</c:v>
                </c:pt>
                <c:pt idx="108">
                  <c:v>1460.3037883719594</c:v>
                </c:pt>
                <c:pt idx="109">
                  <c:v>1465.6409665687988</c:v>
                </c:pt>
                <c:pt idx="110">
                  <c:v>1470.8767428544718</c:v>
                </c:pt>
                <c:pt idx="111">
                  <c:v>1476.0116515764423</c:v>
                </c:pt>
                <c:pt idx="112">
                  <c:v>1481.0462270820892</c:v>
                </c:pt>
                <c:pt idx="113">
                  <c:v>1485.981003718905</c:v>
                </c:pt>
                <c:pt idx="114">
                  <c:v>1490.8165158341831</c:v>
                </c:pt>
                <c:pt idx="115">
                  <c:v>1495.5532977754444</c:v>
                </c:pt>
                <c:pt idx="116">
                  <c:v>1500.1918838900394</c:v>
                </c:pt>
                <c:pt idx="117">
                  <c:v>1504.7328085254605</c:v>
                </c:pt>
                <c:pt idx="118">
                  <c:v>1509.1766060291434</c:v>
                </c:pt>
                <c:pt idx="119">
                  <c:v>1513.5238107483815</c:v>
                </c:pt>
                <c:pt idx="120">
                  <c:v>1517.7749570307242</c:v>
                </c:pt>
                <c:pt idx="121">
                  <c:v>1521.930579223465</c:v>
                </c:pt>
                <c:pt idx="122">
                  <c:v>1525.9912116741816</c:v>
                </c:pt>
                <c:pt idx="123">
                  <c:v>1529.9573887301676</c:v>
                </c:pt>
                <c:pt idx="124">
                  <c:v>1533.8296447389439</c:v>
                </c:pt>
                <c:pt idx="125">
                  <c:v>1537.608514047804</c:v>
                </c:pt>
                <c:pt idx="126">
                  <c:v>1541.2945310042971</c:v>
                </c:pt>
                <c:pt idx="127">
                  <c:v>1544.888229955717</c:v>
                </c:pt>
                <c:pt idx="128">
                  <c:v>1548.3901452496127</c:v>
                </c:pt>
                <c:pt idx="129">
                  <c:v>1551.8008112333348</c:v>
                </c:pt>
                <c:pt idx="130">
                  <c:v>1555.1207622543188</c:v>
                </c:pt>
                <c:pt idx="131">
                  <c:v>1558.3505326600289</c:v>
                </c:pt>
                <c:pt idx="132">
                  <c:v>1561.4906567976732</c:v>
                </c:pt>
                <c:pt idx="133">
                  <c:v>1564.5416690149716</c:v>
                </c:pt>
                <c:pt idx="134">
                  <c:v>1567.5041036592461</c:v>
                </c:pt>
                <c:pt idx="135">
                  <c:v>1570.3784950777617</c:v>
                </c:pt>
                <c:pt idx="136">
                  <c:v>1573.1653776181247</c:v>
                </c:pt>
                <c:pt idx="137">
                  <c:v>1575.8652856276001</c:v>
                </c:pt>
                <c:pt idx="138">
                  <c:v>1578.4787534538793</c:v>
                </c:pt>
                <c:pt idx="139">
                  <c:v>1581.0063154440286</c:v>
                </c:pt>
                <c:pt idx="140">
                  <c:v>1583.4485059457108</c:v>
                </c:pt>
                <c:pt idx="141">
                  <c:v>1585.8058593062481</c:v>
                </c:pt>
                <c:pt idx="142">
                  <c:v>1588.0789098731327</c:v>
                </c:pt>
                <c:pt idx="143">
                  <c:v>1590.2681919936867</c:v>
                </c:pt>
                <c:pt idx="144">
                  <c:v>1592.3742400153458</c:v>
                </c:pt>
                <c:pt idx="145">
                  <c:v>1594.3975882856876</c:v>
                </c:pt>
                <c:pt idx="146">
                  <c:v>1596.3387711519204</c:v>
                </c:pt>
                <c:pt idx="147">
                  <c:v>1598.1983229616503</c:v>
                </c:pt>
                <c:pt idx="148">
                  <c:v>1599.9767780621141</c:v>
                </c:pt>
                <c:pt idx="149">
                  <c:v>1601.6746708008327</c:v>
                </c:pt>
                <c:pt idx="150">
                  <c:v>1603.2925355252132</c:v>
                </c:pt>
                <c:pt idx="151">
                  <c:v>1604.8309065827482</c:v>
                </c:pt>
                <c:pt idx="152">
                  <c:v>1606.2903183207027</c:v>
                </c:pt>
                <c:pt idx="153">
                  <c:v>1607.6713050865976</c:v>
                </c:pt>
                <c:pt idx="154">
                  <c:v>1608.9744012278686</c:v>
                </c:pt>
                <c:pt idx="155">
                  <c:v>1610.2001410918945</c:v>
                </c:pt>
                <c:pt idx="156">
                  <c:v>1611.3490590261108</c:v>
                </c:pt>
                <c:pt idx="157">
                  <c:v>1612.4216893779533</c:v>
                </c:pt>
                <c:pt idx="158">
                  <c:v>1613.4185664947722</c:v>
                </c:pt>
                <c:pt idx="159">
                  <c:v>1614.340224724117</c:v>
                </c:pt>
                <c:pt idx="160">
                  <c:v>1615.1871984132242</c:v>
                </c:pt>
                <c:pt idx="161">
                  <c:v>1615.9600219098138</c:v>
                </c:pt>
                <c:pt idx="162">
                  <c:v>1616.6592295607529</c:v>
                </c:pt>
                <c:pt idx="163">
                  <c:v>1617.2853557141593</c:v>
                </c:pt>
                <c:pt idx="164">
                  <c:v>1617.8389347170423</c:v>
                </c:pt>
                <c:pt idx="165">
                  <c:v>1618.3205009168375</c:v>
                </c:pt>
                <c:pt idx="166">
                  <c:v>1618.7305886610091</c:v>
                </c:pt>
                <c:pt idx="167">
                  <c:v>1619.0697322970493</c:v>
                </c:pt>
                <c:pt idx="168">
                  <c:v>1619.3384661722803</c:v>
                </c:pt>
                <c:pt idx="169">
                  <c:v>1619.537324634166</c:v>
                </c:pt>
                <c:pt idx="170">
                  <c:v>1619.6668420301705</c:v>
                </c:pt>
                <c:pt idx="171">
                  <c:v>1619.7275527076158</c:v>
                </c:pt>
                <c:pt idx="172">
                  <c:v>1619.7199910139375</c:v>
                </c:pt>
                <c:pt idx="173">
                  <c:v>1619.6446912967417</c:v>
                </c:pt>
                <c:pt idx="174">
                  <c:v>1619.5021879031515</c:v>
                </c:pt>
                <c:pt idx="175">
                  <c:v>1619.293015180773</c:v>
                </c:pt>
                <c:pt idx="176">
                  <c:v>1619.0177074769849</c:v>
                </c:pt>
                <c:pt idx="177">
                  <c:v>1618.6767991392799</c:v>
                </c:pt>
                <c:pt idx="178">
                  <c:v>1618.2708245149229</c:v>
                </c:pt>
                <c:pt idx="179">
                  <c:v>1617.8003179514349</c:v>
                </c:pt>
                <c:pt idx="180">
                  <c:v>1617.2658137962799</c:v>
                </c:pt>
                <c:pt idx="181">
                  <c:v>1616.6678463967514</c:v>
                </c:pt>
                <c:pt idx="182">
                  <c:v>1616.0069501004273</c:v>
                </c:pt>
                <c:pt idx="183">
                  <c:v>1615.2836592546578</c:v>
                </c:pt>
                <c:pt idx="184">
                  <c:v>1614.4985082065659</c:v>
                </c:pt>
                <c:pt idx="185">
                  <c:v>1613.6520313041842</c:v>
                </c:pt>
                <c:pt idx="186">
                  <c:v>1612.7447628944651</c:v>
                </c:pt>
                <c:pt idx="187">
                  <c:v>1611.7772373249863</c:v>
                </c:pt>
                <c:pt idx="188">
                  <c:v>1610.7499889430983</c:v>
                </c:pt>
                <c:pt idx="189">
                  <c:v>1609.663552096265</c:v>
                </c:pt>
                <c:pt idx="190">
                  <c:v>1608.5184611320074</c:v>
                </c:pt>
                <c:pt idx="191">
                  <c:v>1607.3152503976189</c:v>
                </c:pt>
                <c:pt idx="192">
                  <c:v>1606.0544542405069</c:v>
                </c:pt>
                <c:pt idx="193">
                  <c:v>1604.7366070081353</c:v>
                </c:pt>
                <c:pt idx="194">
                  <c:v>1603.3622430479681</c:v>
                </c:pt>
                <c:pt idx="195">
                  <c:v>1601.9318967072991</c:v>
                </c:pt>
                <c:pt idx="196">
                  <c:v>1600.4461023337058</c:v>
                </c:pt>
                <c:pt idx="197">
                  <c:v>1598.9053942745386</c:v>
                </c:pt>
                <c:pt idx="198">
                  <c:v>1597.3103068772048</c:v>
                </c:pt>
                <c:pt idx="199">
                  <c:v>1595.6613744891683</c:v>
                </c:pt>
                <c:pt idx="200">
                  <c:v>1593.9591314575523</c:v>
                </c:pt>
                <c:pt idx="201">
                  <c:v>1592.204112130446</c:v>
                </c:pt>
                <c:pt idx="202">
                  <c:v>1590.3968508546313</c:v>
                </c:pt>
                <c:pt idx="203">
                  <c:v>1588.5378819777998</c:v>
                </c:pt>
                <c:pt idx="204">
                  <c:v>1586.6277398473017</c:v>
                </c:pt>
                <c:pt idx="205">
                  <c:v>1584.6669588106579</c:v>
                </c:pt>
                <c:pt idx="206">
                  <c:v>1582.656073215162</c:v>
                </c:pt>
                <c:pt idx="207">
                  <c:v>1580.595617408278</c:v>
                </c:pt>
                <c:pt idx="208">
                  <c:v>1578.4861257375269</c:v>
                </c:pt>
                <c:pt idx="209">
                  <c:v>1576.3281325501453</c:v>
                </c:pt>
                <c:pt idx="210">
                  <c:v>1574.1221721935972</c:v>
                </c:pt>
                <c:pt idx="211">
                  <c:v>1571.8687790157446</c:v>
                </c:pt>
                <c:pt idx="212">
                  <c:v>1569.5684873631421</c:v>
                </c:pt>
                <c:pt idx="213">
                  <c:v>1567.2218315838791</c:v>
                </c:pt>
                <c:pt idx="214">
                  <c:v>1564.8293460251921</c:v>
                </c:pt>
                <c:pt idx="215">
                  <c:v>1562.3915650344884</c:v>
                </c:pt>
                <c:pt idx="216">
                  <c:v>1559.9090229591184</c:v>
                </c:pt>
                <c:pt idx="217">
                  <c:v>1557.3822541467734</c:v>
                </c:pt>
                <c:pt idx="218">
                  <c:v>1554.8117929444629</c:v>
                </c:pt>
                <c:pt idx="219">
                  <c:v>1552.1981736998214</c:v>
                </c:pt>
                <c:pt idx="220">
                  <c:v>1549.5419307604266</c:v>
                </c:pt>
                <c:pt idx="221">
                  <c:v>1546.843598473572</c:v>
                </c:pt>
                <c:pt idx="222">
                  <c:v>1544.1037111864375</c:v>
                </c:pt>
                <c:pt idx="223">
                  <c:v>1541.3228032467146</c:v>
                </c:pt>
                <c:pt idx="224">
                  <c:v>1538.5014090019808</c:v>
                </c:pt>
                <c:pt idx="225">
                  <c:v>1535.6400627990752</c:v>
                </c:pt>
                <c:pt idx="226">
                  <c:v>1532.7392989861437</c:v>
                </c:pt>
                <c:pt idx="227">
                  <c:v>1529.7996519100252</c:v>
                </c:pt>
                <c:pt idx="228">
                  <c:v>1526.8216559182974</c:v>
                </c:pt>
                <c:pt idx="229">
                  <c:v>1523.8058453587655</c:v>
                </c:pt>
                <c:pt idx="230">
                  <c:v>1520.7527545782114</c:v>
                </c:pt>
                <c:pt idx="231">
                  <c:v>1517.6629179246106</c:v>
                </c:pt>
                <c:pt idx="232">
                  <c:v>1514.5368697448589</c:v>
                </c:pt>
                <c:pt idx="233">
                  <c:v>1511.375144386875</c:v>
                </c:pt>
                <c:pt idx="234">
                  <c:v>1508.178276197782</c:v>
                </c:pt>
                <c:pt idx="235">
                  <c:v>1504.9467995251575</c:v>
                </c:pt>
                <c:pt idx="236">
                  <c:v>1501.6812487162383</c:v>
                </c:pt>
                <c:pt idx="237">
                  <c:v>1498.3821581187158</c:v>
                </c:pt>
                <c:pt idx="238">
                  <c:v>1495.0500620797129</c:v>
                </c:pt>
                <c:pt idx="239">
                  <c:v>1491.6854949466938</c:v>
                </c:pt>
                <c:pt idx="240">
                  <c:v>1488.2889910675772</c:v>
                </c:pt>
                <c:pt idx="241">
                  <c:v>1484.8610847889177</c:v>
                </c:pt>
                <c:pt idx="242">
                  <c:v>1481.4023104588614</c:v>
                </c:pt>
                <c:pt idx="243">
                  <c:v>1477.9132024244177</c:v>
                </c:pt>
                <c:pt idx="244">
                  <c:v>1474.3942950334485</c:v>
                </c:pt>
                <c:pt idx="245">
                  <c:v>1470.8461226325653</c:v>
                </c:pt>
                <c:pt idx="246">
                  <c:v>1467.2692195702552</c:v>
                </c:pt>
                <c:pt idx="247">
                  <c:v>1463.6641201930161</c:v>
                </c:pt>
                <c:pt idx="248">
                  <c:v>1460.0313588487666</c:v>
                </c:pt>
                <c:pt idx="249">
                  <c:v>1456.3714698845729</c:v>
                </c:pt>
                <c:pt idx="250">
                  <c:v>1452.6849876486381</c:v>
                </c:pt>
                <c:pt idx="251">
                  <c:v>1448.9724464871756</c:v>
                </c:pt>
                <c:pt idx="252">
                  <c:v>1445.2343807486159</c:v>
                </c:pt>
                <c:pt idx="253">
                  <c:v>1441.4713247801387</c:v>
                </c:pt>
                <c:pt idx="254">
                  <c:v>1437.6838129286966</c:v>
                </c:pt>
                <c:pt idx="255">
                  <c:v>1433.8723795422652</c:v>
                </c:pt>
                <c:pt idx="256">
                  <c:v>1430.0375589680812</c:v>
                </c:pt>
                <c:pt idx="257">
                  <c:v>1426.1798855533243</c:v>
                </c:pt>
                <c:pt idx="258">
                  <c:v>1422.2998936457998</c:v>
                </c:pt>
                <c:pt idx="259">
                  <c:v>1418.3981175928011</c:v>
                </c:pt>
                <c:pt idx="260">
                  <c:v>1414.4750917416786</c:v>
                </c:pt>
                <c:pt idx="261">
                  <c:v>1410.5313504398396</c:v>
                </c:pt>
                <c:pt idx="262">
                  <c:v>1406.5674280346343</c:v>
                </c:pt>
                <c:pt idx="263">
                  <c:v>1402.5838588739248</c:v>
                </c:pt>
                <c:pt idx="264">
                  <c:v>1398.5811773043793</c:v>
                </c:pt>
                <c:pt idx="265">
                  <c:v>1394.5599176742007</c:v>
                </c:pt>
                <c:pt idx="266">
                  <c:v>1390.5206143301712</c:v>
                </c:pt>
                <c:pt idx="267">
                  <c:v>1386.4638016202662</c:v>
                </c:pt>
                <c:pt idx="268">
                  <c:v>1382.3900138913814</c:v>
                </c:pt>
                <c:pt idx="269">
                  <c:v>1378.2997854914356</c:v>
                </c:pt>
                <c:pt idx="270">
                  <c:v>1374.1936507672108</c:v>
                </c:pt>
                <c:pt idx="271">
                  <c:v>1370.0721440670236</c:v>
                </c:pt>
                <c:pt idx="272">
                  <c:v>1365.9357997373149</c:v>
                </c:pt>
                <c:pt idx="273">
                  <c:v>1361.7851521263447</c:v>
                </c:pt>
                <c:pt idx="274">
                  <c:v>1357.620735580781</c:v>
                </c:pt>
                <c:pt idx="275">
                  <c:v>1353.443084448827</c:v>
                </c:pt>
                <c:pt idx="276">
                  <c:v>1349.2527330771509</c:v>
                </c:pt>
                <c:pt idx="277">
                  <c:v>1345.050215813842</c:v>
                </c:pt>
                <c:pt idx="278">
                  <c:v>1340.8360670057959</c:v>
                </c:pt>
                <c:pt idx="279">
                  <c:v>1336.6108210008179</c:v>
                </c:pt>
                <c:pt idx="280">
                  <c:v>1332.375012145917</c:v>
                </c:pt>
                <c:pt idx="281">
                  <c:v>1328.1291747889554</c:v>
                </c:pt>
                <c:pt idx="282">
                  <c:v>1323.8738432769424</c:v>
                </c:pt>
                <c:pt idx="283">
                  <c:v>1319.6095519575692</c:v>
                </c:pt>
                <c:pt idx="284">
                  <c:v>1315.3368351785275</c:v>
                </c:pt>
                <c:pt idx="285">
                  <c:v>1311.0562272863717</c:v>
                </c:pt>
                <c:pt idx="286">
                  <c:v>1306.7682626293617</c:v>
                </c:pt>
                <c:pt idx="287">
                  <c:v>1302.4734755545637</c:v>
                </c:pt>
                <c:pt idx="288">
                  <c:v>1298.1724004094417</c:v>
                </c:pt>
                <c:pt idx="289">
                  <c:v>1293.8655715412892</c:v>
                </c:pt>
                <c:pt idx="290">
                  <c:v>1289.5535232978546</c:v>
                </c:pt>
                <c:pt idx="291">
                  <c:v>1285.2367900262038</c:v>
                </c:pt>
                <c:pt idx="292">
                  <c:v>1280.9159060740285</c:v>
                </c:pt>
                <c:pt idx="293">
                  <c:v>1276.5914057883947</c:v>
                </c:pt>
                <c:pt idx="294">
                  <c:v>1272.2638235171644</c:v>
                </c:pt>
                <c:pt idx="295">
                  <c:v>1267.9336936076879</c:v>
                </c:pt>
                <c:pt idx="296">
                  <c:v>1263.601550406861</c:v>
                </c:pt>
                <c:pt idx="297">
                  <c:v>1259.2679282628296</c:v>
                </c:pt>
                <c:pt idx="298">
                  <c:v>1254.9333615226601</c:v>
                </c:pt>
                <c:pt idx="299">
                  <c:v>1250.5983845335322</c:v>
                </c:pt>
                <c:pt idx="300">
                  <c:v>1246.2635316431943</c:v>
                </c:pt>
                <c:pt idx="301">
                  <c:v>1241.9293371993376</c:v>
                </c:pt>
                <c:pt idx="302">
                  <c:v>1237.5963355484032</c:v>
                </c:pt>
                <c:pt idx="303">
                  <c:v>1233.2650610391624</c:v>
                </c:pt>
                <c:pt idx="304">
                  <c:v>1228.9360480178857</c:v>
                </c:pt>
                <c:pt idx="305">
                  <c:v>1224.6098308325486</c:v>
                </c:pt>
                <c:pt idx="306">
                  <c:v>1220.2869438303878</c:v>
                </c:pt>
                <c:pt idx="307">
                  <c:v>1215.9679213589811</c:v>
                </c:pt>
                <c:pt idx="308">
                  <c:v>1211.653297765622</c:v>
                </c:pt>
                <c:pt idx="309">
                  <c:v>1207.343607397604</c:v>
                </c:pt>
                <c:pt idx="310">
                  <c:v>1203.0393846029028</c:v>
                </c:pt>
                <c:pt idx="311">
                  <c:v>1198.7411637281866</c:v>
                </c:pt>
                <c:pt idx="312">
                  <c:v>1194.4494791213174</c:v>
                </c:pt>
                <c:pt idx="313">
                  <c:v>1190.1648651295886</c:v>
                </c:pt>
                <c:pt idx="314">
                  <c:v>1185.8878561008055</c:v>
                </c:pt>
                <c:pt idx="315">
                  <c:v>1181.6189863815794</c:v>
                </c:pt>
                <c:pt idx="316">
                  <c:v>1177.3587903201701</c:v>
                </c:pt>
                <c:pt idx="317">
                  <c:v>1173.107802263246</c:v>
                </c:pt>
                <c:pt idx="318">
                  <c:v>1168.8665565588394</c:v>
                </c:pt>
                <c:pt idx="319">
                  <c:v>1164.635587554244</c:v>
                </c:pt>
                <c:pt idx="320">
                  <c:v>1160.4154295966396</c:v>
                </c:pt>
                <c:pt idx="321">
                  <c:v>1156.206617033547</c:v>
                </c:pt>
                <c:pt idx="322">
                  <c:v>1152.009684212544</c:v>
                </c:pt>
                <c:pt idx="323">
                  <c:v>1147.8251654810379</c:v>
                </c:pt>
                <c:pt idx="324">
                  <c:v>1143.6535951858104</c:v>
                </c:pt>
                <c:pt idx="325">
                  <c:v>1139.4955076751785</c:v>
                </c:pt>
                <c:pt idx="326">
                  <c:v>1135.351437296265</c:v>
                </c:pt>
                <c:pt idx="327">
                  <c:v>1131.2219183964771</c:v>
                </c:pt>
                <c:pt idx="328">
                  <c:v>1127.1074853230516</c:v>
                </c:pt>
                <c:pt idx="329">
                  <c:v>1123.0086724233388</c:v>
                </c:pt>
                <c:pt idx="330">
                  <c:v>1118.9260140450301</c:v>
                </c:pt>
                <c:pt idx="331">
                  <c:v>1114.8600445360444</c:v>
                </c:pt>
                <c:pt idx="332">
                  <c:v>1110.8112982423108</c:v>
                </c:pt>
                <c:pt idx="333">
                  <c:v>1106.7803095127715</c:v>
                </c:pt>
                <c:pt idx="334">
                  <c:v>1102.7676126939241</c:v>
                </c:pt>
                <c:pt idx="335">
                  <c:v>1098.773742134199</c:v>
                </c:pt>
                <c:pt idx="336">
                  <c:v>1094.7992321793549</c:v>
                </c:pt>
                <c:pt idx="337">
                  <c:v>1090.8446171782771</c:v>
                </c:pt>
                <c:pt idx="338">
                  <c:v>1086.9104314777474</c:v>
                </c:pt>
                <c:pt idx="339">
                  <c:v>1082.9972094256277</c:v>
                </c:pt>
                <c:pt idx="340">
                  <c:v>1079.1054853690412</c:v>
                </c:pt>
                <c:pt idx="341">
                  <c:v>1075.2357936551107</c:v>
                </c:pt>
                <c:pt idx="342">
                  <c:v>1071.3886686316414</c:v>
                </c:pt>
                <c:pt idx="343">
                  <c:v>1067.5646446456994</c:v>
                </c:pt>
                <c:pt idx="344">
                  <c:v>1063.7642560458858</c:v>
                </c:pt>
                <c:pt idx="345">
                  <c:v>1059.9880371773338</c:v>
                </c:pt>
                <c:pt idx="346">
                  <c:v>1056.236522390293</c:v>
                </c:pt>
                <c:pt idx="347">
                  <c:v>1052.510246029442</c:v>
                </c:pt>
                <c:pt idx="348">
                  <c:v>1048.8097424443481</c:v>
                </c:pt>
                <c:pt idx="349">
                  <c:v>1045.1355459813954</c:v>
                </c:pt>
                <c:pt idx="350">
                  <c:v>1041.4881909878773</c:v>
                </c:pt>
                <c:pt idx="351">
                  <c:v>1037.8682118117126</c:v>
                </c:pt>
                <c:pt idx="352">
                  <c:v>1034.2761428004792</c:v>
                </c:pt>
                <c:pt idx="353">
                  <c:v>1030.7125183005041</c:v>
                </c:pt>
                <c:pt idx="354">
                  <c:v>1027.1778726605021</c:v>
                </c:pt>
                <c:pt idx="355">
                  <c:v>1023.6727402271981</c:v>
                </c:pt>
                <c:pt idx="356">
                  <c:v>1020.1976553480563</c:v>
                </c:pt>
                <c:pt idx="357">
                  <c:v>1016.7531523709386</c:v>
                </c:pt>
                <c:pt idx="358">
                  <c:v>1013.3397656424563</c:v>
                </c:pt>
                <c:pt idx="359">
                  <c:v>1009.9580295106421</c:v>
                </c:pt>
                <c:pt idx="360">
                  <c:v>1006.6084783233009</c:v>
                </c:pt>
                <c:pt idx="361">
                  <c:v>1003.2916464263621</c:v>
                </c:pt>
                <c:pt idx="362">
                  <c:v>1000.0080681687109</c:v>
                </c:pt>
                <c:pt idx="363">
                  <c:v>996.75827789701543</c:v>
                </c:pt>
                <c:pt idx="364">
                  <c:v>993.54280995959243</c:v>
                </c:pt>
                <c:pt idx="365">
                  <c:v>990.36219870288278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C-4CBB-BCC3-D55E8634F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950976"/>
        <c:axId val="99294507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'Model tilvækst, slagteform, fe'!$AA$9</c15:sqref>
                        </c15:formulaRef>
                      </c:ext>
                    </c:extLst>
                    <c:strCache>
                      <c:ptCount val="1"/>
                      <c:pt idx="0">
                        <c:v>3 grad, alle data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'Model tilvækst, slagteform, fe'!$AA$10:$AA$375</c15:sqref>
                        </c15:formulaRef>
                      </c:ext>
                    </c:extLst>
                    <c:numCache>
                      <c:formatCode>#,##0</c:formatCode>
                      <c:ptCount val="366"/>
                      <c:pt idx="0">
                        <c:v>564.93892399270612</c:v>
                      </c:pt>
                      <c:pt idx="1">
                        <c:v>574.61382192332167</c:v>
                      </c:pt>
                      <c:pt idx="2">
                        <c:v>584.24048373911569</c:v>
                      </c:pt>
                      <c:pt idx="3">
                        <c:v>593.81890944006705</c:v>
                      </c:pt>
                      <c:pt idx="4">
                        <c:v>603.34909902618256</c:v>
                      </c:pt>
                      <c:pt idx="5">
                        <c:v>612.83105249747655</c:v>
                      </c:pt>
                      <c:pt idx="6">
                        <c:v>622.26476985393469</c:v>
                      </c:pt>
                      <c:pt idx="7">
                        <c:v>631.65025109556439</c:v>
                      </c:pt>
                      <c:pt idx="8">
                        <c:v>640.98749622235118</c:v>
                      </c:pt>
                      <c:pt idx="9">
                        <c:v>650.27650523430225</c:v>
                      </c:pt>
                      <c:pt idx="10">
                        <c:v>659.51727813143179</c:v>
                      </c:pt>
                      <c:pt idx="11">
                        <c:v>668.70981491373982</c:v>
                      </c:pt>
                      <c:pt idx="12">
                        <c:v>677.85411558118369</c:v>
                      </c:pt>
                      <c:pt idx="13">
                        <c:v>686.95018013382742</c:v>
                      </c:pt>
                      <c:pt idx="14">
                        <c:v>695.99800857161404</c:v>
                      </c:pt>
                      <c:pt idx="15">
                        <c:v>704.99760089457197</c:v>
                      </c:pt>
                      <c:pt idx="16">
                        <c:v>713.94895710271555</c:v>
                      </c:pt>
                      <c:pt idx="17">
                        <c:v>722.85207719600919</c:v>
                      </c:pt>
                      <c:pt idx="18">
                        <c:v>731.70696117447415</c:v>
                      </c:pt>
                      <c:pt idx="19">
                        <c:v>740.51360903811769</c:v>
                      </c:pt>
                      <c:pt idx="20">
                        <c:v>749.27202078690414</c:v>
                      </c:pt>
                      <c:pt idx="21">
                        <c:v>757.98219642086906</c:v>
                      </c:pt>
                      <c:pt idx="22">
                        <c:v>766.64413594001246</c:v>
                      </c:pt>
                      <c:pt idx="23">
                        <c:v>775.25783934431297</c:v>
                      </c:pt>
                      <c:pt idx="24">
                        <c:v>783.82330663378502</c:v>
                      </c:pt>
                      <c:pt idx="25">
                        <c:v>792.34053780842828</c:v>
                      </c:pt>
                      <c:pt idx="26">
                        <c:v>800.80953286822159</c:v>
                      </c:pt>
                      <c:pt idx="27">
                        <c:v>809.23029181320067</c:v>
                      </c:pt>
                      <c:pt idx="28">
                        <c:v>817.60281464334389</c:v>
                      </c:pt>
                      <c:pt idx="29">
                        <c:v>825.92710135865127</c:v>
                      </c:pt>
                      <c:pt idx="30">
                        <c:v>834.20315195912303</c:v>
                      </c:pt>
                      <c:pt idx="31">
                        <c:v>842.43096644476623</c:v>
                      </c:pt>
                      <c:pt idx="32">
                        <c:v>850.61054481557358</c:v>
                      </c:pt>
                      <c:pt idx="33">
                        <c:v>858.74188707154531</c:v>
                      </c:pt>
                      <c:pt idx="34">
                        <c:v>866.82499321270257</c:v>
                      </c:pt>
                      <c:pt idx="35">
                        <c:v>874.85986323900988</c:v>
                      </c:pt>
                      <c:pt idx="36">
                        <c:v>882.84649715048147</c:v>
                      </c:pt>
                      <c:pt idx="37">
                        <c:v>890.78489494714574</c:v>
                      </c:pt>
                      <c:pt idx="38">
                        <c:v>898.67505662894587</c:v>
                      </c:pt>
                      <c:pt idx="39">
                        <c:v>906.51698219592447</c:v>
                      </c:pt>
                      <c:pt idx="40">
                        <c:v>914.31067164808155</c:v>
                      </c:pt>
                      <c:pt idx="41">
                        <c:v>922.0561249854029</c:v>
                      </c:pt>
                      <c:pt idx="42">
                        <c:v>929.75334220787431</c:v>
                      </c:pt>
                      <c:pt idx="43">
                        <c:v>937.4023233155242</c:v>
                      </c:pt>
                      <c:pt idx="44">
                        <c:v>945.00306830835257</c:v>
                      </c:pt>
                      <c:pt idx="45">
                        <c:v>952.5555771863452</c:v>
                      </c:pt>
                      <c:pt idx="46">
                        <c:v>960.0598499494879</c:v>
                      </c:pt>
                      <c:pt idx="47">
                        <c:v>967.51588659782328</c:v>
                      </c:pt>
                      <c:pt idx="48">
                        <c:v>974.9236871312803</c:v>
                      </c:pt>
                      <c:pt idx="49">
                        <c:v>982.28325154995844</c:v>
                      </c:pt>
                      <c:pt idx="50">
                        <c:v>989.59457985378663</c:v>
                      </c:pt>
                      <c:pt idx="51">
                        <c:v>996.85767204276488</c:v>
                      </c:pt>
                      <c:pt idx="52">
                        <c:v>1004.0725281169358</c:v>
                      </c:pt>
                      <c:pt idx="53">
                        <c:v>1011.2391480762568</c:v>
                      </c:pt>
                      <c:pt idx="54">
                        <c:v>1018.3575319207421</c:v>
                      </c:pt>
                      <c:pt idx="55">
                        <c:v>1025.4276796504059</c:v>
                      </c:pt>
                      <c:pt idx="56">
                        <c:v>1032.4495912652337</c:v>
                      </c:pt>
                      <c:pt idx="57">
                        <c:v>1039.4232667652118</c:v>
                      </c:pt>
                      <c:pt idx="58">
                        <c:v>1046.3487061504111</c:v>
                      </c:pt>
                      <c:pt idx="59">
                        <c:v>1053.2259094207177</c:v>
                      </c:pt>
                      <c:pt idx="60">
                        <c:v>1060.0548765762169</c:v>
                      </c:pt>
                      <c:pt idx="61">
                        <c:v>1066.8356076168807</c:v>
                      </c:pt>
                      <c:pt idx="62">
                        <c:v>1073.5681025427225</c:v>
                      </c:pt>
                      <c:pt idx="63">
                        <c:v>1080.2523613537146</c:v>
                      </c:pt>
                      <c:pt idx="64">
                        <c:v>1086.8883840498852</c:v>
                      </c:pt>
                      <c:pt idx="65">
                        <c:v>1093.4761706312061</c:v>
                      </c:pt>
                      <c:pt idx="66">
                        <c:v>1100.0157210977477</c:v>
                      </c:pt>
                      <c:pt idx="67">
                        <c:v>1106.5070354493828</c:v>
                      </c:pt>
                      <c:pt idx="68">
                        <c:v>1112.9501136862245</c:v>
                      </c:pt>
                      <c:pt idx="69">
                        <c:v>1119.3449558082307</c:v>
                      </c:pt>
                      <c:pt idx="70">
                        <c:v>1125.6915618154153</c:v>
                      </c:pt>
                      <c:pt idx="71">
                        <c:v>1131.9899317077356</c:v>
                      </c:pt>
                      <c:pt idx="72">
                        <c:v>1138.240065485249</c:v>
                      </c:pt>
                      <c:pt idx="73">
                        <c:v>1144.4419631479122</c:v>
                      </c:pt>
                      <c:pt idx="74">
                        <c:v>1150.5956246957821</c:v>
                      </c:pt>
                      <c:pt idx="75">
                        <c:v>1156.7010501287598</c:v>
                      </c:pt>
                      <c:pt idx="76">
                        <c:v>1162.7582394469441</c:v>
                      </c:pt>
                      <c:pt idx="77">
                        <c:v>1168.7671926503072</c:v>
                      </c:pt>
                      <c:pt idx="78">
                        <c:v>1174.7279097387775</c:v>
                      </c:pt>
                      <c:pt idx="79">
                        <c:v>1180.6403907124973</c:v>
                      </c:pt>
                      <c:pt idx="80">
                        <c:v>1186.5046355713105</c:v>
                      </c:pt>
                      <c:pt idx="81">
                        <c:v>1192.3206443153447</c:v>
                      </c:pt>
                      <c:pt idx="82">
                        <c:v>1198.0884169445289</c:v>
                      </c:pt>
                      <c:pt idx="83">
                        <c:v>1203.8079534588774</c:v>
                      </c:pt>
                      <c:pt idx="84">
                        <c:v>1209.4792538583902</c:v>
                      </c:pt>
                      <c:pt idx="85">
                        <c:v>1215.1023181430533</c:v>
                      </c:pt>
                      <c:pt idx="86">
                        <c:v>1220.6771463129371</c:v>
                      </c:pt>
                      <c:pt idx="87">
                        <c:v>1226.2037383679144</c:v>
                      </c:pt>
                      <c:pt idx="88">
                        <c:v>1231.6820943081268</c:v>
                      </c:pt>
                      <c:pt idx="89">
                        <c:v>1237.1122141335036</c:v>
                      </c:pt>
                      <c:pt idx="90">
                        <c:v>1242.494097844002</c:v>
                      </c:pt>
                      <c:pt idx="91">
                        <c:v>1247.8277454396648</c:v>
                      </c:pt>
                      <c:pt idx="92">
                        <c:v>1253.1131569205486</c:v>
                      </c:pt>
                      <c:pt idx="93">
                        <c:v>1258.3503322865681</c:v>
                      </c:pt>
                      <c:pt idx="94">
                        <c:v>1263.539271537752</c:v>
                      </c:pt>
                      <c:pt idx="95">
                        <c:v>1268.6799746741144</c:v>
                      </c:pt>
                      <c:pt idx="96">
                        <c:v>1273.7724416955984</c:v>
                      </c:pt>
                      <c:pt idx="97">
                        <c:v>1278.8166726023178</c:v>
                      </c:pt>
                      <c:pt idx="98">
                        <c:v>1283.8126673941872</c:v>
                      </c:pt>
                      <c:pt idx="99">
                        <c:v>1288.7604260712067</c:v>
                      </c:pt>
                      <c:pt idx="100">
                        <c:v>1293.6599486334046</c:v>
                      </c:pt>
                      <c:pt idx="101">
                        <c:v>1298.511235080781</c:v>
                      </c:pt>
                      <c:pt idx="102">
                        <c:v>1303.3142854133075</c:v>
                      </c:pt>
                      <c:pt idx="103">
                        <c:v>1308.0690996310125</c:v>
                      </c:pt>
                      <c:pt idx="104">
                        <c:v>1312.7756777338107</c:v>
                      </c:pt>
                      <c:pt idx="105">
                        <c:v>1317.434019721901</c:v>
                      </c:pt>
                      <c:pt idx="106">
                        <c:v>1322.0441255950846</c:v>
                      </c:pt>
                      <c:pt idx="107">
                        <c:v>1326.605995353475</c:v>
                      </c:pt>
                      <c:pt idx="108">
                        <c:v>1331.1196289969587</c:v>
                      </c:pt>
                      <c:pt idx="109">
                        <c:v>1335.5850265257061</c:v>
                      </c:pt>
                      <c:pt idx="110">
                        <c:v>1340.0021879395467</c:v>
                      </c:pt>
                      <c:pt idx="111">
                        <c:v>1344.3711132386227</c:v>
                      </c:pt>
                      <c:pt idx="112">
                        <c:v>1348.6918024227919</c:v>
                      </c:pt>
                      <c:pt idx="113">
                        <c:v>1352.9642554921395</c:v>
                      </c:pt>
                      <c:pt idx="114">
                        <c:v>1357.1884724467225</c:v>
                      </c:pt>
                      <c:pt idx="115">
                        <c:v>1361.3644532863987</c:v>
                      </c:pt>
                      <c:pt idx="116">
                        <c:v>1365.4921980113102</c:v>
                      </c:pt>
                      <c:pt idx="117">
                        <c:v>1369.5717066212865</c:v>
                      </c:pt>
                      <c:pt idx="118">
                        <c:v>1373.6029791165549</c:v>
                      </c:pt>
                      <c:pt idx="119">
                        <c:v>1377.5860154968882</c:v>
                      </c:pt>
                      <c:pt idx="120">
                        <c:v>1381.5208157624568</c:v>
                      </c:pt>
                      <c:pt idx="121">
                        <c:v>1385.407379913147</c:v>
                      </c:pt>
                      <c:pt idx="122">
                        <c:v>1389.2457079490157</c:v>
                      </c:pt>
                      <c:pt idx="123">
                        <c:v>1393.0357998701481</c:v>
                      </c:pt>
                      <c:pt idx="124">
                        <c:v>1396.7776556762885</c:v>
                      </c:pt>
                      <c:pt idx="125">
                        <c:v>1400.4712753676927</c:v>
                      </c:pt>
                      <c:pt idx="126">
                        <c:v>1404.11665894419</c:v>
                      </c:pt>
                      <c:pt idx="127">
                        <c:v>1407.7138064059511</c:v>
                      </c:pt>
                      <c:pt idx="128">
                        <c:v>1411.2627177528054</c:v>
                      </c:pt>
                      <c:pt idx="129">
                        <c:v>1414.7633929848666</c:v>
                      </c:pt>
                      <c:pt idx="130">
                        <c:v>1418.2158321020779</c:v>
                      </c:pt>
                      <c:pt idx="131">
                        <c:v>1421.6200351044677</c:v>
                      </c:pt>
                      <c:pt idx="132">
                        <c:v>1424.9760019920359</c:v>
                      </c:pt>
                      <c:pt idx="133">
                        <c:v>1428.2837327647542</c:v>
                      </c:pt>
                      <c:pt idx="134">
                        <c:v>1431.5432274226225</c:v>
                      </c:pt>
                      <c:pt idx="135">
                        <c:v>1434.7544859656693</c:v>
                      </c:pt>
                      <c:pt idx="136">
                        <c:v>1437.9175083938946</c:v>
                      </c:pt>
                      <c:pt idx="137">
                        <c:v>1441.0322947072984</c:v>
                      </c:pt>
                      <c:pt idx="138">
                        <c:v>1444.0988449058239</c:v>
                      </c:pt>
                      <c:pt idx="139">
                        <c:v>1447.117158989613</c:v>
                      </c:pt>
                      <c:pt idx="140">
                        <c:v>1450.0872369584386</c:v>
                      </c:pt>
                      <c:pt idx="141">
                        <c:v>1453.0090788125563</c:v>
                      </c:pt>
                      <c:pt idx="142">
                        <c:v>1455.8826845517387</c:v>
                      </c:pt>
                      <c:pt idx="143">
                        <c:v>1458.7080541761566</c:v>
                      </c:pt>
                      <c:pt idx="144">
                        <c:v>1461.485187685696</c:v>
                      </c:pt>
                      <c:pt idx="145">
                        <c:v>1464.2140850804424</c:v>
                      </c:pt>
                      <c:pt idx="146">
                        <c:v>1466.8947463603104</c:v>
                      </c:pt>
                      <c:pt idx="147">
                        <c:v>1469.5271715254137</c:v>
                      </c:pt>
                      <c:pt idx="148">
                        <c:v>1472.1113605756102</c:v>
                      </c:pt>
                      <c:pt idx="149">
                        <c:v>1474.6473135109852</c:v>
                      </c:pt>
                      <c:pt idx="150">
                        <c:v>1477.1350303315955</c:v>
                      </c:pt>
                      <c:pt idx="151">
                        <c:v>1479.5745110372991</c:v>
                      </c:pt>
                      <c:pt idx="152">
                        <c:v>1481.965755628238</c:v>
                      </c:pt>
                      <c:pt idx="153">
                        <c:v>1484.3087641042985</c:v>
                      </c:pt>
                      <c:pt idx="154">
                        <c:v>1486.603536465509</c:v>
                      </c:pt>
                      <c:pt idx="155">
                        <c:v>1488.8500727118981</c:v>
                      </c:pt>
                      <c:pt idx="156">
                        <c:v>1491.048372843494</c:v>
                      </c:pt>
                      <c:pt idx="157">
                        <c:v>1493.19843686024</c:v>
                      </c:pt>
                      <c:pt idx="158">
                        <c:v>1495.3002647621361</c:v>
                      </c:pt>
                      <c:pt idx="159">
                        <c:v>1497.353856549239</c:v>
                      </c:pt>
                      <c:pt idx="160">
                        <c:v>1499.3592122214636</c:v>
                      </c:pt>
                      <c:pt idx="161">
                        <c:v>1501.3163317787814</c:v>
                      </c:pt>
                      <c:pt idx="162">
                        <c:v>1503.2252152214483</c:v>
                      </c:pt>
                      <c:pt idx="163">
                        <c:v>1505.0858625491799</c:v>
                      </c:pt>
                      <c:pt idx="164">
                        <c:v>1506.8982737620615</c:v>
                      </c:pt>
                      <c:pt idx="165">
                        <c:v>1508.6624488601785</c:v>
                      </c:pt>
                      <c:pt idx="166">
                        <c:v>1510.3783878433887</c:v>
                      </c:pt>
                      <c:pt idx="167">
                        <c:v>1512.0460907118343</c:v>
                      </c:pt>
                      <c:pt idx="168">
                        <c:v>1513.665557465373</c:v>
                      </c:pt>
                      <c:pt idx="169">
                        <c:v>1515.2367881041187</c:v>
                      </c:pt>
                      <c:pt idx="170">
                        <c:v>1516.7597826280144</c:v>
                      </c:pt>
                      <c:pt idx="171">
                        <c:v>1518.2345410372022</c:v>
                      </c:pt>
                      <c:pt idx="172">
                        <c:v>1519.6610633313412</c:v>
                      </c:pt>
                      <c:pt idx="173">
                        <c:v>1521.0393495107724</c:v>
                      </c:pt>
                      <c:pt idx="174">
                        <c:v>1522.3693995754104</c:v>
                      </c:pt>
                      <c:pt idx="175">
                        <c:v>1523.6512135251417</c:v>
                      </c:pt>
                      <c:pt idx="176">
                        <c:v>1524.8847913600514</c:v>
                      </c:pt>
                      <c:pt idx="177">
                        <c:v>1526.0701330801112</c:v>
                      </c:pt>
                      <c:pt idx="178">
                        <c:v>1527.2072386854063</c:v>
                      </c:pt>
                      <c:pt idx="179">
                        <c:v>1528.2961081757946</c:v>
                      </c:pt>
                      <c:pt idx="180">
                        <c:v>1529.3367415514183</c:v>
                      </c:pt>
                      <c:pt idx="181">
                        <c:v>1530.3291388121352</c:v>
                      </c:pt>
                      <c:pt idx="182">
                        <c:v>1531.2732999581158</c:v>
                      </c:pt>
                      <c:pt idx="183">
                        <c:v>1532.1692249891044</c:v>
                      </c:pt>
                      <c:pt idx="184">
                        <c:v>1533.0169139054419</c:v>
                      </c:pt>
                      <c:pt idx="185">
                        <c:v>1533.8163667068443</c:v>
                      </c:pt>
                      <c:pt idx="186">
                        <c:v>1534.567583393482</c:v>
                      </c:pt>
                      <c:pt idx="187">
                        <c:v>1535.2705639651845</c:v>
                      </c:pt>
                      <c:pt idx="188">
                        <c:v>1535.9253084221223</c:v>
                      </c:pt>
                      <c:pt idx="189">
                        <c:v>1536.5318167642386</c:v>
                      </c:pt>
                      <c:pt idx="190">
                        <c:v>1537.0900889914196</c:v>
                      </c:pt>
                      <c:pt idx="191">
                        <c:v>1537.6001251040066</c:v>
                      </c:pt>
                      <c:pt idx="192">
                        <c:v>1538.0619251014309</c:v>
                      </c:pt>
                      <c:pt idx="193">
                        <c:v>1538.4754889842611</c:v>
                      </c:pt>
                      <c:pt idx="194">
                        <c:v>1538.840816752213</c:v>
                      </c:pt>
                      <c:pt idx="195">
                        <c:v>1539.1579084052864</c:v>
                      </c:pt>
                      <c:pt idx="196">
                        <c:v>1539.4267639436521</c:v>
                      </c:pt>
                      <c:pt idx="197">
                        <c:v>1539.6473833670257</c:v>
                      </c:pt>
                      <c:pt idx="198">
                        <c:v>1539.8197666755777</c:v>
                      </c:pt>
                      <c:pt idx="199">
                        <c:v>1539.9439138693651</c:v>
                      </c:pt>
                      <c:pt idx="200">
                        <c:v>1540.0198249483878</c:v>
                      </c:pt>
                      <c:pt idx="201">
                        <c:v>1540.0474999123617</c:v>
                      </c:pt>
                      <c:pt idx="202">
                        <c:v>1540.0269387616845</c:v>
                      </c:pt>
                      <c:pt idx="203">
                        <c:v>1539.9581414960721</c:v>
                      </c:pt>
                      <c:pt idx="204">
                        <c:v>1539.8411081157519</c:v>
                      </c:pt>
                      <c:pt idx="205">
                        <c:v>1539.6758386206102</c:v>
                      </c:pt>
                      <c:pt idx="206">
                        <c:v>1539.4623330104196</c:v>
                      </c:pt>
                      <c:pt idx="207">
                        <c:v>1539.2005912855211</c:v>
                      </c:pt>
                      <c:pt idx="208">
                        <c:v>1538.8906134458011</c:v>
                      </c:pt>
                      <c:pt idx="209">
                        <c:v>1538.5323994913165</c:v>
                      </c:pt>
                      <c:pt idx="210">
                        <c:v>1538.1259494218966</c:v>
                      </c:pt>
                      <c:pt idx="211">
                        <c:v>1537.6712632377121</c:v>
                      </c:pt>
                      <c:pt idx="212">
                        <c:v>1537.1683409385355</c:v>
                      </c:pt>
                      <c:pt idx="213">
                        <c:v>1536.6171825247079</c:v>
                      </c:pt>
                      <c:pt idx="214">
                        <c:v>1536.0177879960588</c:v>
                      </c:pt>
                      <c:pt idx="215">
                        <c:v>1535.3701573524177</c:v>
                      </c:pt>
                      <c:pt idx="216">
                        <c:v>1534.6742905940687</c:v>
                      </c:pt>
                      <c:pt idx="217">
                        <c:v>1533.9301877208413</c:v>
                      </c:pt>
                      <c:pt idx="218">
                        <c:v>1533.1378487328493</c:v>
                      </c:pt>
                      <c:pt idx="219">
                        <c:v>1532.2972736298652</c:v>
                      </c:pt>
                      <c:pt idx="220">
                        <c:v>1531.4084624122302</c:v>
                      </c:pt>
                      <c:pt idx="221">
                        <c:v>1530.4714150796599</c:v>
                      </c:pt>
                      <c:pt idx="222">
                        <c:v>1529.4861316322681</c:v>
                      </c:pt>
                      <c:pt idx="223">
                        <c:v>1528.4526120699979</c:v>
                      </c:pt>
                      <c:pt idx="224">
                        <c:v>1527.3708563931336</c:v>
                      </c:pt>
                      <c:pt idx="225">
                        <c:v>1526.2408646011068</c:v>
                      </c:pt>
                      <c:pt idx="226">
                        <c:v>1525.0626366944289</c:v>
                      </c:pt>
                      <c:pt idx="227">
                        <c:v>1523.8361726728726</c:v>
                      </c:pt>
                      <c:pt idx="228">
                        <c:v>1522.5614725364949</c:v>
                      </c:pt>
                      <c:pt idx="229">
                        <c:v>1521.2385362852956</c:v>
                      </c:pt>
                      <c:pt idx="230">
                        <c:v>1519.8673639192748</c:v>
                      </c:pt>
                      <c:pt idx="231">
                        <c:v>1518.4479554383756</c:v>
                      </c:pt>
                      <c:pt idx="232">
                        <c:v>1516.9803108427118</c:v>
                      </c:pt>
                      <c:pt idx="233">
                        <c:v>1515.4644301321696</c:v>
                      </c:pt>
                      <c:pt idx="234">
                        <c:v>1513.900313306749</c:v>
                      </c:pt>
                      <c:pt idx="235">
                        <c:v>1512.2879603665069</c:v>
                      </c:pt>
                      <c:pt idx="236">
                        <c:v>1510.627371311557</c:v>
                      </c:pt>
                      <c:pt idx="237">
                        <c:v>1508.9185461416719</c:v>
                      </c:pt>
                      <c:pt idx="238">
                        <c:v>1507.1614848569652</c:v>
                      </c:pt>
                      <c:pt idx="239">
                        <c:v>1505.3561874573802</c:v>
                      </c:pt>
                      <c:pt idx="240">
                        <c:v>1503.5026539430305</c:v>
                      </c:pt>
                      <c:pt idx="241">
                        <c:v>1501.6008843139161</c:v>
                      </c:pt>
                      <c:pt idx="242">
                        <c:v>1499.6508785697529</c:v>
                      </c:pt>
                      <c:pt idx="243">
                        <c:v>1497.6526367110523</c:v>
                      </c:pt>
                      <c:pt idx="244">
                        <c:v>1495.6061587371892</c:v>
                      </c:pt>
                      <c:pt idx="245">
                        <c:v>1493.5114446487887</c:v>
                      </c:pt>
                      <c:pt idx="246">
                        <c:v>1491.3684944454531</c:v>
                      </c:pt>
                      <c:pt idx="247">
                        <c:v>1489.1773081270685</c:v>
                      </c:pt>
                      <c:pt idx="248">
                        <c:v>1486.9378856942603</c:v>
                      </c:pt>
                      <c:pt idx="249">
                        <c:v>1484.6502271462896</c:v>
                      </c:pt>
                      <c:pt idx="250">
                        <c:v>1482.314332483611</c:v>
                      </c:pt>
                      <c:pt idx="251">
                        <c:v>1479.9302017059972</c:v>
                      </c:pt>
                      <c:pt idx="252">
                        <c:v>1477.4978348137324</c:v>
                      </c:pt>
                      <c:pt idx="253">
                        <c:v>1475.0172318065893</c:v>
                      </c:pt>
                      <c:pt idx="254">
                        <c:v>1472.4883926843972</c:v>
                      </c:pt>
                      <c:pt idx="255">
                        <c:v>1469.9113174476111</c:v>
                      </c:pt>
                      <c:pt idx="256">
                        <c:v>1467.2860060959465</c:v>
                      </c:pt>
                      <c:pt idx="257">
                        <c:v>1464.6124586295173</c:v>
                      </c:pt>
                      <c:pt idx="258">
                        <c:v>1461.8906750480392</c:v>
                      </c:pt>
                      <c:pt idx="259">
                        <c:v>1459.1206553519669</c:v>
                      </c:pt>
                      <c:pt idx="260">
                        <c:v>1456.3023995408457</c:v>
                      </c:pt>
                      <c:pt idx="261">
                        <c:v>1453.4359076150167</c:v>
                      </c:pt>
                      <c:pt idx="262">
                        <c:v>1450.5211795743094</c:v>
                      </c:pt>
                      <c:pt idx="263">
                        <c:v>1447.558215418951</c:v>
                      </c:pt>
                      <c:pt idx="264">
                        <c:v>1444.5470151483164</c:v>
                      </c:pt>
                      <c:pt idx="265">
                        <c:v>1441.4875787633719</c:v>
                      </c:pt>
                      <c:pt idx="266">
                        <c:v>1438.3799062633784</c:v>
                      </c:pt>
                      <c:pt idx="267">
                        <c:v>1435.2239976483361</c:v>
                      </c:pt>
                      <c:pt idx="268">
                        <c:v>1432.0198529188701</c:v>
                      </c:pt>
                      <c:pt idx="269">
                        <c:v>1428.7674720741279</c:v>
                      </c:pt>
                      <c:pt idx="270">
                        <c:v>1425.4668551151326</c:v>
                      </c:pt>
                      <c:pt idx="271">
                        <c:v>1422.1180020406337</c:v>
                      </c:pt>
                      <c:pt idx="272">
                        <c:v>1418.7209128515974</c:v>
                      </c:pt>
                      <c:pt idx="273">
                        <c:v>1415.2755875479102</c:v>
                      </c:pt>
                      <c:pt idx="274">
                        <c:v>1411.782026129174</c:v>
                      </c:pt>
                      <c:pt idx="275">
                        <c:v>1408.2402285958437</c:v>
                      </c:pt>
                      <c:pt idx="276">
                        <c:v>1404.6501949473509</c:v>
                      </c:pt>
                      <c:pt idx="277">
                        <c:v>1401.0119251841502</c:v>
                      </c:pt>
                      <c:pt idx="278">
                        <c:v>1397.325419306128</c:v>
                      </c:pt>
                      <c:pt idx="279">
                        <c:v>1393.5906773133979</c:v>
                      </c:pt>
                      <c:pt idx="280">
                        <c:v>1389.8076992056758</c:v>
                      </c:pt>
                      <c:pt idx="281">
                        <c:v>1385.976484983189</c:v>
                      </c:pt>
                      <c:pt idx="282">
                        <c:v>1382.0970346457671</c:v>
                      </c:pt>
                      <c:pt idx="283">
                        <c:v>1378.1693481937509</c:v>
                      </c:pt>
                      <c:pt idx="284">
                        <c:v>1374.1934256265722</c:v>
                      </c:pt>
                      <c:pt idx="285">
                        <c:v>1370.169266944913</c:v>
                      </c:pt>
                      <c:pt idx="286">
                        <c:v>1366.0968721480913</c:v>
                      </c:pt>
                      <c:pt idx="287">
                        <c:v>1361.9762412367891</c:v>
                      </c:pt>
                      <c:pt idx="288">
                        <c:v>1357.8073742102674</c:v>
                      </c:pt>
                      <c:pt idx="289">
                        <c:v>1353.5902710692653</c:v>
                      </c:pt>
                      <c:pt idx="290">
                        <c:v>1349.3249318131006</c:v>
                      </c:pt>
                      <c:pt idx="291">
                        <c:v>1345.0113564423418</c:v>
                      </c:pt>
                      <c:pt idx="292">
                        <c:v>1340.6495449566478</c:v>
                      </c:pt>
                      <c:pt idx="293">
                        <c:v>1336.2394973563028</c:v>
                      </c:pt>
                      <c:pt idx="294">
                        <c:v>1331.781213640852</c:v>
                      </c:pt>
                      <c:pt idx="295">
                        <c:v>1327.2746938106934</c:v>
                      </c:pt>
                      <c:pt idx="296">
                        <c:v>1322.7199378657701</c:v>
                      </c:pt>
                      <c:pt idx="297">
                        <c:v>1318.1169458058548</c:v>
                      </c:pt>
                      <c:pt idx="298">
                        <c:v>1313.4657176311748</c:v>
                      </c:pt>
                      <c:pt idx="299">
                        <c:v>1308.766253341787</c:v>
                      </c:pt>
                      <c:pt idx="300">
                        <c:v>1304.0185529374639</c:v>
                      </c:pt>
                      <c:pt idx="301">
                        <c:v>1299.2226164183194</c:v>
                      </c:pt>
                      <c:pt idx="302">
                        <c:v>1294.3784437842396</c:v>
                      </c:pt>
                      <c:pt idx="303">
                        <c:v>1289.4860350355657</c:v>
                      </c:pt>
                      <c:pt idx="304">
                        <c:v>1284.5453901717292</c:v>
                      </c:pt>
                      <c:pt idx="305">
                        <c:v>1279.5565091934122</c:v>
                      </c:pt>
                      <c:pt idx="306">
                        <c:v>1274.5193921000464</c:v>
                      </c:pt>
                      <c:pt idx="307">
                        <c:v>1269.4340388917453</c:v>
                      </c:pt>
                      <c:pt idx="308">
                        <c:v>1264.3004495689638</c:v>
                      </c:pt>
                      <c:pt idx="309">
                        <c:v>1259.1186241311334</c:v>
                      </c:pt>
                      <c:pt idx="310">
                        <c:v>1253.8885625784246</c:v>
                      </c:pt>
                      <c:pt idx="311">
                        <c:v>1248.610264911008</c:v>
                      </c:pt>
                      <c:pt idx="312">
                        <c:v>1243.2837311284857</c:v>
                      </c:pt>
                      <c:pt idx="313">
                        <c:v>1237.9089612314829</c:v>
                      </c:pt>
                      <c:pt idx="314">
                        <c:v>1232.4859552195448</c:v>
                      </c:pt>
                      <c:pt idx="315">
                        <c:v>1227.0147130927285</c:v>
                      </c:pt>
                      <c:pt idx="316">
                        <c:v>1221.4952348509769</c:v>
                      </c:pt>
                      <c:pt idx="317">
                        <c:v>1215.927520494688</c:v>
                      </c:pt>
                      <c:pt idx="318">
                        <c:v>1210.3115700232365</c:v>
                      </c:pt>
                      <c:pt idx="319">
                        <c:v>1204.6473834371909</c:v>
                      </c:pt>
                      <c:pt idx="320">
                        <c:v>1198.9349607361532</c:v>
                      </c:pt>
                      <c:pt idx="321">
                        <c:v>1193.1743019203509</c:v>
                      </c:pt>
                      <c:pt idx="322">
                        <c:v>1187.365406989727</c:v>
                      </c:pt>
                      <c:pt idx="323">
                        <c:v>1181.508275944168</c:v>
                      </c:pt>
                      <c:pt idx="324">
                        <c:v>1175.6029087840716</c:v>
                      </c:pt>
                      <c:pt idx="325">
                        <c:v>1169.6493055086989</c:v>
                      </c:pt>
                      <c:pt idx="326">
                        <c:v>1163.6474661188458</c:v>
                      </c:pt>
                      <c:pt idx="327">
                        <c:v>1157.5973906140575</c:v>
                      </c:pt>
                      <c:pt idx="328">
                        <c:v>1151.4990789944477</c:v>
                      </c:pt>
                      <c:pt idx="329">
                        <c:v>1145.3525312598458</c:v>
                      </c:pt>
                      <c:pt idx="330">
                        <c:v>1139.1577474107635</c:v>
                      </c:pt>
                      <c:pt idx="331">
                        <c:v>1132.9147274464049</c:v>
                      </c:pt>
                      <c:pt idx="332">
                        <c:v>1126.6234713676795</c:v>
                      </c:pt>
                      <c:pt idx="333">
                        <c:v>1120.2839791737347</c:v>
                      </c:pt>
                      <c:pt idx="334">
                        <c:v>1113.8962508650252</c:v>
                      </c:pt>
                      <c:pt idx="335">
                        <c:v>1107.4602864417784</c:v>
                      </c:pt>
                      <c:pt idx="336">
                        <c:v>1100.9760859033122</c:v>
                      </c:pt>
                      <c:pt idx="337">
                        <c:v>1094.4436492501382</c:v>
                      </c:pt>
                      <c:pt idx="338">
                        <c:v>1087.86297648237</c:v>
                      </c:pt>
                      <c:pt idx="339">
                        <c:v>1081.2340675994392</c:v>
                      </c:pt>
                      <c:pt idx="340">
                        <c:v>1074.5569226019143</c:v>
                      </c:pt>
                      <c:pt idx="341">
                        <c:v>1067.8315414893405</c:v>
                      </c:pt>
                      <c:pt idx="342">
                        <c:v>1061.0579242621156</c:v>
                      </c:pt>
                      <c:pt idx="343">
                        <c:v>1054.2360709200693</c:v>
                      </c:pt>
                      <c:pt idx="344">
                        <c:v>1047.3659814630309</c:v>
                      </c:pt>
                      <c:pt idx="345">
                        <c:v>1040.4476558912847</c:v>
                      </c:pt>
                      <c:pt idx="346">
                        <c:v>1033.4810942046033</c:v>
                      </c:pt>
                      <c:pt idx="347">
                        <c:v>1026.4662964031572</c:v>
                      </c:pt>
                      <c:pt idx="348">
                        <c:v>1019.4032624868896</c:v>
                      </c:pt>
                      <c:pt idx="349">
                        <c:v>1012.2919924558005</c:v>
                      </c:pt>
                      <c:pt idx="350">
                        <c:v>1005.1324863097761</c:v>
                      </c:pt>
                      <c:pt idx="351">
                        <c:v>997.92474404904397</c:v>
                      </c:pt>
                      <c:pt idx="352">
                        <c:v>990.66876567337658</c:v>
                      </c:pt>
                      <c:pt idx="353">
                        <c:v>983.3645511831719</c:v>
                      </c:pt>
                      <c:pt idx="354">
                        <c:v>976.01210057752041</c:v>
                      </c:pt>
                      <c:pt idx="355">
                        <c:v>968.611413857559</c:v>
                      </c:pt>
                      <c:pt idx="356">
                        <c:v>961.16249102271922</c:v>
                      </c:pt>
                      <c:pt idx="357">
                        <c:v>953.66533207294424</c:v>
                      </c:pt>
                      <c:pt idx="358">
                        <c:v>946.11993700812036</c:v>
                      </c:pt>
                      <c:pt idx="359">
                        <c:v>938.52630582887286</c:v>
                      </c:pt>
                      <c:pt idx="360">
                        <c:v>930.88443853446279</c:v>
                      </c:pt>
                      <c:pt idx="361">
                        <c:v>923.19433512540172</c:v>
                      </c:pt>
                      <c:pt idx="362">
                        <c:v>915.45599560151913</c:v>
                      </c:pt>
                      <c:pt idx="363">
                        <c:v>907.66941996270134</c:v>
                      </c:pt>
                      <c:pt idx="364">
                        <c:v>899.83460820906203</c:v>
                      </c:pt>
                      <c:pt idx="365">
                        <c:v>891.95156034071488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1BC-4CBB-BCC3-D55E8634F51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'Model tilvækst, slagteform, fe'!$AB$9</c15:sqref>
                        </c15:formulaRef>
                      </c:ext>
                    </c:extLst>
                    <c:strCache>
                      <c:ptCount val="1"/>
                      <c:pt idx="0">
                        <c:v>3 grad, minus vægt dag 0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'Model tilvækst, slagteform, fe'!$AB$10:$AB$375</c15:sqref>
                        </c15:formulaRef>
                      </c:ext>
                    </c:extLst>
                    <c:numCache>
                      <c:formatCode>#,##0</c:formatCode>
                      <c:ptCount val="366"/>
                      <c:pt idx="0">
                        <c:v>846.41480051985945</c:v>
                      </c:pt>
                      <c:pt idx="1">
                        <c:v>853.0501327268496</c:v>
                      </c:pt>
                      <c:pt idx="2">
                        <c:v>859.65134522454537</c:v>
                      </c:pt>
                      <c:pt idx="3">
                        <c:v>866.21843801295381</c:v>
                      </c:pt>
                      <c:pt idx="4">
                        <c:v>872.75141109207152</c:v>
                      </c:pt>
                      <c:pt idx="5">
                        <c:v>879.25026446189133</c:v>
                      </c:pt>
                      <c:pt idx="6">
                        <c:v>885.7149981224311</c:v>
                      </c:pt>
                      <c:pt idx="7">
                        <c:v>892.14561207366933</c:v>
                      </c:pt>
                      <c:pt idx="8">
                        <c:v>898.54210631563797</c:v>
                      </c:pt>
                      <c:pt idx="9">
                        <c:v>904.90448084828756</c:v>
                      </c:pt>
                      <c:pt idx="10">
                        <c:v>911.23273567166757</c:v>
                      </c:pt>
                      <c:pt idx="11">
                        <c:v>917.52687078574979</c:v>
                      </c:pt>
                      <c:pt idx="12">
                        <c:v>923.78688619053401</c:v>
                      </c:pt>
                      <c:pt idx="13">
                        <c:v>930.01278188604886</c:v>
                      </c:pt>
                      <c:pt idx="14">
                        <c:v>936.20455787224444</c:v>
                      </c:pt>
                      <c:pt idx="15">
                        <c:v>942.36221414917759</c:v>
                      </c:pt>
                      <c:pt idx="16">
                        <c:v>948.48575071679875</c:v>
                      </c:pt>
                      <c:pt idx="17">
                        <c:v>954.57516757514327</c:v>
                      </c:pt>
                      <c:pt idx="18">
                        <c:v>960.63046472418273</c:v>
                      </c:pt>
                      <c:pt idx="19">
                        <c:v>966.65164216394578</c:v>
                      </c:pt>
                      <c:pt idx="20">
                        <c:v>972.63869989441787</c:v>
                      </c:pt>
                      <c:pt idx="21">
                        <c:v>978.59163791558501</c:v>
                      </c:pt>
                      <c:pt idx="22">
                        <c:v>984.51045622746847</c:v>
                      </c:pt>
                      <c:pt idx="23">
                        <c:v>990.39515483006824</c:v>
                      </c:pt>
                      <c:pt idx="24">
                        <c:v>996.24573372337727</c:v>
                      </c:pt>
                      <c:pt idx="25">
                        <c:v>1002.0621929073883</c:v>
                      </c:pt>
                      <c:pt idx="26">
                        <c:v>1007.8445323821086</c:v>
                      </c:pt>
                      <c:pt idx="27">
                        <c:v>1013.592752147531</c:v>
                      </c:pt>
                      <c:pt idx="28">
                        <c:v>1019.3068522036767</c:v>
                      </c:pt>
                      <c:pt idx="29">
                        <c:v>1024.986832550539</c:v>
                      </c:pt>
                      <c:pt idx="30">
                        <c:v>1030.632693188096</c:v>
                      </c:pt>
                      <c:pt idx="31">
                        <c:v>1036.2444341163696</c:v>
                      </c:pt>
                      <c:pt idx="32">
                        <c:v>1041.8220553353449</c:v>
                      </c:pt>
                      <c:pt idx="33">
                        <c:v>1047.3655568450297</c:v>
                      </c:pt>
                      <c:pt idx="34">
                        <c:v>1052.8749386454308</c:v>
                      </c:pt>
                      <c:pt idx="35">
                        <c:v>1058.3502007365339</c:v>
                      </c:pt>
                      <c:pt idx="36">
                        <c:v>1063.7913431183533</c:v>
                      </c:pt>
                      <c:pt idx="37">
                        <c:v>1069.1983657908893</c:v>
                      </c:pt>
                      <c:pt idx="38">
                        <c:v>1074.5712687541129</c:v>
                      </c:pt>
                      <c:pt idx="39">
                        <c:v>1079.9100520080601</c:v>
                      </c:pt>
                      <c:pt idx="40">
                        <c:v>1085.2147155527234</c:v>
                      </c:pt>
                      <c:pt idx="41">
                        <c:v>1090.4852593880746</c:v>
                      </c:pt>
                      <c:pt idx="42">
                        <c:v>1095.7216835141567</c:v>
                      </c:pt>
                      <c:pt idx="43">
                        <c:v>1100.9239879309262</c:v>
                      </c:pt>
                      <c:pt idx="44">
                        <c:v>1106.0921726384408</c:v>
                      </c:pt>
                      <c:pt idx="45">
                        <c:v>1111.2262376366289</c:v>
                      </c:pt>
                      <c:pt idx="46">
                        <c:v>1116.3261829255475</c:v>
                      </c:pt>
                      <c:pt idx="47">
                        <c:v>1121.3920085051541</c:v>
                      </c:pt>
                      <c:pt idx="48">
                        <c:v>1126.4237143754769</c:v>
                      </c:pt>
                      <c:pt idx="49">
                        <c:v>1131.4213005365305</c:v>
                      </c:pt>
                      <c:pt idx="50">
                        <c:v>1136.3847669882857</c:v>
                      </c:pt>
                      <c:pt idx="51">
                        <c:v>1141.3141137307293</c:v>
                      </c:pt>
                      <c:pt idx="52">
                        <c:v>1146.2093407639031</c:v>
                      </c:pt>
                      <c:pt idx="53">
                        <c:v>1151.0704480877791</c:v>
                      </c:pt>
                      <c:pt idx="54">
                        <c:v>1155.8974357023715</c:v>
                      </c:pt>
                      <c:pt idx="55">
                        <c:v>1160.6903036076517</c:v>
                      </c:pt>
                      <c:pt idx="56">
                        <c:v>1165.4490518036482</c:v>
                      </c:pt>
                      <c:pt idx="57">
                        <c:v>1170.1736802903895</c:v>
                      </c:pt>
                      <c:pt idx="58">
                        <c:v>1174.8641890677902</c:v>
                      </c:pt>
                      <c:pt idx="59">
                        <c:v>1179.52057813595</c:v>
                      </c:pt>
                      <c:pt idx="60">
                        <c:v>1184.1428474947691</c:v>
                      </c:pt>
                      <c:pt idx="61">
                        <c:v>1188.7309971443187</c:v>
                      </c:pt>
                      <c:pt idx="62">
                        <c:v>1193.2850270845847</c:v>
                      </c:pt>
                      <c:pt idx="63">
                        <c:v>1197.804937315567</c:v>
                      </c:pt>
                      <c:pt idx="64">
                        <c:v>1202.2907278372372</c:v>
                      </c:pt>
                      <c:pt idx="65">
                        <c:v>1206.7423986496378</c:v>
                      </c:pt>
                      <c:pt idx="66">
                        <c:v>1211.1599497527122</c:v>
                      </c:pt>
                      <c:pt idx="67">
                        <c:v>1215.5433811465314</c:v>
                      </c:pt>
                      <c:pt idx="68">
                        <c:v>1219.8926928310671</c:v>
                      </c:pt>
                      <c:pt idx="69">
                        <c:v>1224.2078848062761</c:v>
                      </c:pt>
                      <c:pt idx="70">
                        <c:v>1228.4889570722157</c:v>
                      </c:pt>
                      <c:pt idx="71">
                        <c:v>1232.7359096288433</c:v>
                      </c:pt>
                      <c:pt idx="72">
                        <c:v>1236.9487424762156</c:v>
                      </c:pt>
                      <c:pt idx="73">
                        <c:v>1241.1274556142757</c:v>
                      </c:pt>
                      <c:pt idx="74">
                        <c:v>1245.2720490430522</c:v>
                      </c:pt>
                      <c:pt idx="75">
                        <c:v>1249.382522762545</c:v>
                      </c:pt>
                      <c:pt idx="76">
                        <c:v>1253.4588767727257</c:v>
                      </c:pt>
                      <c:pt idx="77">
                        <c:v>1257.5011110736227</c:v>
                      </c:pt>
                      <c:pt idx="78">
                        <c:v>1261.509225665236</c:v>
                      </c:pt>
                      <c:pt idx="79">
                        <c:v>1265.4832205475657</c:v>
                      </c:pt>
                      <c:pt idx="80">
                        <c:v>1269.4230957205832</c:v>
                      </c:pt>
                      <c:pt idx="81">
                        <c:v>1273.3288511843311</c:v>
                      </c:pt>
                      <c:pt idx="82">
                        <c:v>1277.2004869387815</c:v>
                      </c:pt>
                      <c:pt idx="83">
                        <c:v>1281.0380029839337</c:v>
                      </c:pt>
                      <c:pt idx="84">
                        <c:v>1284.841399319788</c:v>
                      </c:pt>
                      <c:pt idx="85">
                        <c:v>1288.6106759463871</c:v>
                      </c:pt>
                      <c:pt idx="86">
                        <c:v>1292.3458328636598</c:v>
                      </c:pt>
                      <c:pt idx="87">
                        <c:v>1296.0468700716633</c:v>
                      </c:pt>
                      <c:pt idx="88">
                        <c:v>1299.7137875703543</c:v>
                      </c:pt>
                      <c:pt idx="89">
                        <c:v>1303.3465853597904</c:v>
                      </c:pt>
                      <c:pt idx="90">
                        <c:v>1306.9452634398999</c:v>
                      </c:pt>
                      <c:pt idx="91">
                        <c:v>1310.5098218107116</c:v>
                      </c:pt>
                      <c:pt idx="92">
                        <c:v>1314.0402604722965</c:v>
                      </c:pt>
                      <c:pt idx="93">
                        <c:v>1317.5365794245408</c:v>
                      </c:pt>
                      <c:pt idx="94">
                        <c:v>1320.9987786674731</c:v>
                      </c:pt>
                      <c:pt idx="95">
                        <c:v>1324.4268582011784</c:v>
                      </c:pt>
                      <c:pt idx="96">
                        <c:v>1327.8208180255433</c:v>
                      </c:pt>
                      <c:pt idx="97">
                        <c:v>1331.1806581406245</c:v>
                      </c:pt>
                      <c:pt idx="98">
                        <c:v>1334.506378546422</c:v>
                      </c:pt>
                      <c:pt idx="99">
                        <c:v>1337.7979792429358</c:v>
                      </c:pt>
                      <c:pt idx="100">
                        <c:v>1341.0554602301659</c:v>
                      </c:pt>
                      <c:pt idx="101">
                        <c:v>1344.2788215080839</c:v>
                      </c:pt>
                      <c:pt idx="102">
                        <c:v>1347.4680630767182</c:v>
                      </c:pt>
                      <c:pt idx="103">
                        <c:v>1350.6231849360404</c:v>
                      </c:pt>
                      <c:pt idx="104">
                        <c:v>1353.7441870861358</c:v>
                      </c:pt>
                      <c:pt idx="105">
                        <c:v>1356.8310695268906</c:v>
                      </c:pt>
                      <c:pt idx="106">
                        <c:v>1359.8838322583333</c:v>
                      </c:pt>
                      <c:pt idx="107">
                        <c:v>1362.9024752805492</c:v>
                      </c:pt>
                      <c:pt idx="108">
                        <c:v>1365.886998593453</c:v>
                      </c:pt>
                      <c:pt idx="109">
                        <c:v>1368.8374021970162</c:v>
                      </c:pt>
                      <c:pt idx="110">
                        <c:v>1371.7536860913242</c:v>
                      </c:pt>
                      <c:pt idx="111">
                        <c:v>1374.6358502763769</c:v>
                      </c:pt>
                      <c:pt idx="112">
                        <c:v>1377.4838947521175</c:v>
                      </c:pt>
                      <c:pt idx="113">
                        <c:v>1380.2978195185176</c:v>
                      </c:pt>
                      <c:pt idx="114">
                        <c:v>1383.0776245756908</c:v>
                      </c:pt>
                      <c:pt idx="115">
                        <c:v>1385.8233099235235</c:v>
                      </c:pt>
                      <c:pt idx="116">
                        <c:v>1388.534875562101</c:v>
                      </c:pt>
                      <c:pt idx="117">
                        <c:v>1391.2123214913947</c:v>
                      </c:pt>
                      <c:pt idx="118">
                        <c:v>1393.8556477113764</c:v>
                      </c:pt>
                      <c:pt idx="119">
                        <c:v>1396.4648542220743</c:v>
                      </c:pt>
                      <c:pt idx="120">
                        <c:v>1399.0399410234886</c:v>
                      </c:pt>
                      <c:pt idx="121">
                        <c:v>1401.5809081155624</c:v>
                      </c:pt>
                      <c:pt idx="122">
                        <c:v>1404.0877554984377</c:v>
                      </c:pt>
                      <c:pt idx="123">
                        <c:v>1406.5604831719156</c:v>
                      </c:pt>
                      <c:pt idx="124">
                        <c:v>1408.9990911361951</c:v>
                      </c:pt>
                      <c:pt idx="125">
                        <c:v>1411.4035793911626</c:v>
                      </c:pt>
                      <c:pt idx="126">
                        <c:v>1413.7739479367895</c:v>
                      </c:pt>
                      <c:pt idx="127">
                        <c:v>1416.1101967731611</c:v>
                      </c:pt>
                      <c:pt idx="128">
                        <c:v>1418.4123259002774</c:v>
                      </c:pt>
                      <c:pt idx="129">
                        <c:v>1420.6803353180248</c:v>
                      </c:pt>
                      <c:pt idx="130">
                        <c:v>1422.9142250265454</c:v>
                      </c:pt>
                      <c:pt idx="131">
                        <c:v>1425.1139950257539</c:v>
                      </c:pt>
                      <c:pt idx="132">
                        <c:v>1427.2796453156786</c:v>
                      </c:pt>
                      <c:pt idx="133">
                        <c:v>1429.4111758962913</c:v>
                      </c:pt>
                      <c:pt idx="134">
                        <c:v>1431.5085867676203</c:v>
                      </c:pt>
                      <c:pt idx="135">
                        <c:v>1433.571877929694</c:v>
                      </c:pt>
                      <c:pt idx="136">
                        <c:v>1435.6010493824272</c:v>
                      </c:pt>
                      <c:pt idx="137">
                        <c:v>1437.5961011258767</c:v>
                      </c:pt>
                      <c:pt idx="138">
                        <c:v>1439.5570331600993</c:v>
                      </c:pt>
                      <c:pt idx="139">
                        <c:v>1441.4838454849246</c:v>
                      </c:pt>
                      <c:pt idx="140">
                        <c:v>1443.3765381005799</c:v>
                      </c:pt>
                      <c:pt idx="141">
                        <c:v>1445.2351110068378</c:v>
                      </c:pt>
                      <c:pt idx="142">
                        <c:v>1447.0595642038688</c:v>
                      </c:pt>
                      <c:pt idx="143">
                        <c:v>1448.8498976915594</c:v>
                      </c:pt>
                      <c:pt idx="144">
                        <c:v>1450.6061114700515</c:v>
                      </c:pt>
                      <c:pt idx="145">
                        <c:v>1452.3282055391462</c:v>
                      </c:pt>
                      <c:pt idx="146">
                        <c:v>1454.0161798989573</c:v>
                      </c:pt>
                      <c:pt idx="147">
                        <c:v>1455.6700345495983</c:v>
                      </c:pt>
                      <c:pt idx="148">
                        <c:v>1457.2897694908136</c:v>
                      </c:pt>
                      <c:pt idx="149">
                        <c:v>1458.8753847228304</c:v>
                      </c:pt>
                      <c:pt idx="150">
                        <c:v>1460.4268802454499</c:v>
                      </c:pt>
                      <c:pt idx="151">
                        <c:v>1461.9442560588993</c:v>
                      </c:pt>
                      <c:pt idx="152">
                        <c:v>1463.4275121630083</c:v>
                      </c:pt>
                      <c:pt idx="153">
                        <c:v>1464.8766485578051</c:v>
                      </c:pt>
                      <c:pt idx="154">
                        <c:v>1466.2916652433466</c:v>
                      </c:pt>
                      <c:pt idx="155">
                        <c:v>1467.6725622195477</c:v>
                      </c:pt>
                      <c:pt idx="156">
                        <c:v>1469.0193394865219</c:v>
                      </c:pt>
                      <c:pt idx="157">
                        <c:v>1470.3319970441555</c:v>
                      </c:pt>
                      <c:pt idx="158">
                        <c:v>1471.6105348925339</c:v>
                      </c:pt>
                      <c:pt idx="159">
                        <c:v>1472.8549530316002</c:v>
                      </c:pt>
                      <c:pt idx="160">
                        <c:v>1474.0652514613259</c:v>
                      </c:pt>
                      <c:pt idx="161">
                        <c:v>1475.2414301818817</c:v>
                      </c:pt>
                      <c:pt idx="162">
                        <c:v>1476.3834891930401</c:v>
                      </c:pt>
                      <c:pt idx="163">
                        <c:v>1477.4914284949716</c:v>
                      </c:pt>
                      <c:pt idx="164">
                        <c:v>1478.565248087591</c:v>
                      </c:pt>
                      <c:pt idx="165">
                        <c:v>1479.6049479709552</c:v>
                      </c:pt>
                      <c:pt idx="166">
                        <c:v>1480.610528144922</c:v>
                      </c:pt>
                      <c:pt idx="167">
                        <c:v>1481.5819886097188</c:v>
                      </c:pt>
                      <c:pt idx="168">
                        <c:v>1482.5193293651751</c:v>
                      </c:pt>
                      <c:pt idx="169">
                        <c:v>1483.4225504112908</c:v>
                      </c:pt>
                      <c:pt idx="170">
                        <c:v>1484.2916517482081</c:v>
                      </c:pt>
                      <c:pt idx="171">
                        <c:v>1485.1266333757565</c:v>
                      </c:pt>
                      <c:pt idx="172">
                        <c:v>1485.9274952941064</c:v>
                      </c:pt>
                      <c:pt idx="173">
                        <c:v>1486.694237503059</c:v>
                      </c:pt>
                      <c:pt idx="174">
                        <c:v>1487.4268600028131</c:v>
                      </c:pt>
                      <c:pt idx="175">
                        <c:v>1488.1253627931983</c:v>
                      </c:pt>
                      <c:pt idx="176">
                        <c:v>1488.7897458743566</c:v>
                      </c:pt>
                      <c:pt idx="177">
                        <c:v>1489.4200092461176</c:v>
                      </c:pt>
                      <c:pt idx="178">
                        <c:v>1490.0161529087654</c:v>
                      </c:pt>
                      <c:pt idx="179">
                        <c:v>1490.578176861959</c:v>
                      </c:pt>
                      <c:pt idx="180">
                        <c:v>1491.1060811060111</c:v>
                      </c:pt>
                      <c:pt idx="181">
                        <c:v>1491.5998656406373</c:v>
                      </c:pt>
                      <c:pt idx="182">
                        <c:v>1492.0595304660083</c:v>
                      </c:pt>
                      <c:pt idx="183">
                        <c:v>1492.485075582124</c:v>
                      </c:pt>
                      <c:pt idx="184">
                        <c:v>1492.8765009888707</c:v>
                      </c:pt>
                      <c:pt idx="185">
                        <c:v>1493.233806686419</c:v>
                      </c:pt>
                      <c:pt idx="186">
                        <c:v>1493.5569926747121</c:v>
                      </c:pt>
                      <c:pt idx="187">
                        <c:v>1493.8460589535794</c:v>
                      </c:pt>
                      <c:pt idx="188">
                        <c:v>1494.1010055232482</c:v>
                      </c:pt>
                      <c:pt idx="189">
                        <c:v>1494.3218323836049</c:v>
                      </c:pt>
                      <c:pt idx="190">
                        <c:v>1494.5085395346496</c:v>
                      </c:pt>
                      <c:pt idx="191">
                        <c:v>1494.6611269764389</c:v>
                      </c:pt>
                      <c:pt idx="192">
                        <c:v>1494.7795947088593</c:v>
                      </c:pt>
                      <c:pt idx="193">
                        <c:v>1494.8639427320813</c:v>
                      </c:pt>
                      <c:pt idx="194">
                        <c:v>1494.9141710459912</c:v>
                      </c:pt>
                      <c:pt idx="195">
                        <c:v>1494.9302796506458</c:v>
                      </c:pt>
                      <c:pt idx="196">
                        <c:v>1494.9122685459315</c:v>
                      </c:pt>
                      <c:pt idx="197">
                        <c:v>1494.8601377319051</c:v>
                      </c:pt>
                      <c:pt idx="198">
                        <c:v>1494.7738872086802</c:v>
                      </c:pt>
                      <c:pt idx="199">
                        <c:v>1494.6535169762001</c:v>
                      </c:pt>
                      <c:pt idx="200">
                        <c:v>1494.4990270342942</c:v>
                      </c:pt>
                      <c:pt idx="201">
                        <c:v>1494.310417383133</c:v>
                      </c:pt>
                      <c:pt idx="202">
                        <c:v>1494.0876880227165</c:v>
                      </c:pt>
                      <c:pt idx="203">
                        <c:v>1493.8308389530448</c:v>
                      </c:pt>
                      <c:pt idx="204">
                        <c:v>1493.5398701740041</c:v>
                      </c:pt>
                      <c:pt idx="205">
                        <c:v>1493.2147816856514</c:v>
                      </c:pt>
                      <c:pt idx="206">
                        <c:v>1492.8555734882138</c:v>
                      </c:pt>
                      <c:pt idx="207">
                        <c:v>1492.4622455812369</c:v>
                      </c:pt>
                      <c:pt idx="208">
                        <c:v>1492.0347979650046</c:v>
                      </c:pt>
                      <c:pt idx="209">
                        <c:v>1491.5732306396308</c:v>
                      </c:pt>
                      <c:pt idx="210">
                        <c:v>1491.0775436048311</c:v>
                      </c:pt>
                      <c:pt idx="211">
                        <c:v>1490.5477368608331</c:v>
                      </c:pt>
                      <c:pt idx="212">
                        <c:v>1489.9838104075229</c:v>
                      </c:pt>
                      <c:pt idx="213">
                        <c:v>1489.3857642448438</c:v>
                      </c:pt>
                      <c:pt idx="214">
                        <c:v>1488.7535983730231</c:v>
                      </c:pt>
                      <c:pt idx="215">
                        <c:v>1488.0873127917198</c:v>
                      </c:pt>
                      <c:pt idx="216">
                        <c:v>1487.386907501218</c:v>
                      </c:pt>
                      <c:pt idx="217">
                        <c:v>1486.6523825015179</c:v>
                      </c:pt>
                      <c:pt idx="218">
                        <c:v>1485.8837377923919</c:v>
                      </c:pt>
                      <c:pt idx="219">
                        <c:v>1485.0809733740675</c:v>
                      </c:pt>
                      <c:pt idx="220">
                        <c:v>1484.2440892463173</c:v>
                      </c:pt>
                      <c:pt idx="221">
                        <c:v>1483.3730854094256</c:v>
                      </c:pt>
                      <c:pt idx="222">
                        <c:v>1482.4679618632217</c:v>
                      </c:pt>
                      <c:pt idx="223">
                        <c:v>1481.5287186075921</c:v>
                      </c:pt>
                      <c:pt idx="224">
                        <c:v>1480.5553556428777</c:v>
                      </c:pt>
                      <c:pt idx="225">
                        <c:v>1479.5478729687375</c:v>
                      </c:pt>
                      <c:pt idx="226">
                        <c:v>1478.506270585342</c:v>
                      </c:pt>
                      <c:pt idx="227">
                        <c:v>1477.4305484926913</c:v>
                      </c:pt>
                      <c:pt idx="228">
                        <c:v>1476.3207066905579</c:v>
                      </c:pt>
                      <c:pt idx="229">
                        <c:v>1475.1767451794535</c:v>
                      </c:pt>
                      <c:pt idx="230">
                        <c:v>1473.9986639588665</c:v>
                      </c:pt>
                      <c:pt idx="231">
                        <c:v>1472.7864630289105</c:v>
                      </c:pt>
                      <c:pt idx="232">
                        <c:v>1471.5401423898697</c:v>
                      </c:pt>
                      <c:pt idx="233">
                        <c:v>1470.2597020414601</c:v>
                      </c:pt>
                      <c:pt idx="234">
                        <c:v>1468.9451419835677</c:v>
                      </c:pt>
                      <c:pt idx="235">
                        <c:v>1467.5964622166475</c:v>
                      </c:pt>
                      <c:pt idx="236">
                        <c:v>1466.2136627403015</c:v>
                      </c:pt>
                      <c:pt idx="237">
                        <c:v>1464.7967435548708</c:v>
                      </c:pt>
                      <c:pt idx="238">
                        <c:v>1463.3457046597869</c:v>
                      </c:pt>
                      <c:pt idx="239">
                        <c:v>1461.8605460557319</c:v>
                      </c:pt>
                      <c:pt idx="240">
                        <c:v>1460.3412677421943</c:v>
                      </c:pt>
                      <c:pt idx="241">
                        <c:v>1458.7878697194583</c:v>
                      </c:pt>
                      <c:pt idx="242">
                        <c:v>1457.2003519874102</c:v>
                      </c:pt>
                      <c:pt idx="243">
                        <c:v>1455.5787145461068</c:v>
                      </c:pt>
                      <c:pt idx="244">
                        <c:v>1453.9229573954913</c:v>
                      </c:pt>
                      <c:pt idx="245">
                        <c:v>1452.2330805355068</c:v>
                      </c:pt>
                      <c:pt idx="246">
                        <c:v>1450.5090839662671</c:v>
                      </c:pt>
                      <c:pt idx="247">
                        <c:v>1448.7509676877721</c:v>
                      </c:pt>
                      <c:pt idx="248">
                        <c:v>1446.9587317000219</c:v>
                      </c:pt>
                      <c:pt idx="249">
                        <c:v>1445.1323760029595</c:v>
                      </c:pt>
                      <c:pt idx="250">
                        <c:v>1443.2719005965282</c:v>
                      </c:pt>
                      <c:pt idx="251">
                        <c:v>1441.3773054808985</c:v>
                      </c:pt>
                      <c:pt idx="252">
                        <c:v>1439.4485906558998</c:v>
                      </c:pt>
                      <c:pt idx="253">
                        <c:v>1437.4857561216459</c:v>
                      </c:pt>
                      <c:pt idx="254">
                        <c:v>1435.4888018781367</c:v>
                      </c:pt>
                      <c:pt idx="255">
                        <c:v>1433.4577279253722</c:v>
                      </c:pt>
                      <c:pt idx="256">
                        <c:v>1431.3925342631819</c:v>
                      </c:pt>
                      <c:pt idx="257">
                        <c:v>1429.2932208917932</c:v>
                      </c:pt>
                      <c:pt idx="258">
                        <c:v>1427.1597878110924</c:v>
                      </c:pt>
                      <c:pt idx="259">
                        <c:v>1424.9922350210795</c:v>
                      </c:pt>
                      <c:pt idx="260">
                        <c:v>1422.7905625218114</c:v>
                      </c:pt>
                      <c:pt idx="261">
                        <c:v>1420.5547703132879</c:v>
                      </c:pt>
                      <c:pt idx="262">
                        <c:v>1418.2848583953387</c:v>
                      </c:pt>
                      <c:pt idx="263">
                        <c:v>1415.980826768191</c:v>
                      </c:pt>
                      <c:pt idx="264">
                        <c:v>1413.6426754317881</c:v>
                      </c:pt>
                      <c:pt idx="265">
                        <c:v>1411.2704043860731</c:v>
                      </c:pt>
                      <c:pt idx="266">
                        <c:v>1408.8640136309891</c:v>
                      </c:pt>
                      <c:pt idx="267">
                        <c:v>1406.4235031667067</c:v>
                      </c:pt>
                      <c:pt idx="268">
                        <c:v>1403.9488729931122</c:v>
                      </c:pt>
                      <c:pt idx="269">
                        <c:v>1401.4401231102056</c:v>
                      </c:pt>
                      <c:pt idx="270">
                        <c:v>1398.8972535180437</c:v>
                      </c:pt>
                      <c:pt idx="271">
                        <c:v>1396.3202642165697</c:v>
                      </c:pt>
                      <c:pt idx="272">
                        <c:v>1393.7091552057836</c:v>
                      </c:pt>
                      <c:pt idx="273">
                        <c:v>1391.0639264856854</c:v>
                      </c:pt>
                      <c:pt idx="274">
                        <c:v>1388.3845780563888</c:v>
                      </c:pt>
                      <c:pt idx="275">
                        <c:v>1385.6711099177232</c:v>
                      </c:pt>
                      <c:pt idx="276">
                        <c:v>1382.9235220697456</c:v>
                      </c:pt>
                      <c:pt idx="277">
                        <c:v>1380.1418145126263</c:v>
                      </c:pt>
                      <c:pt idx="278">
                        <c:v>1377.3259872460244</c:v>
                      </c:pt>
                      <c:pt idx="279">
                        <c:v>1374.4760402702809</c:v>
                      </c:pt>
                      <c:pt idx="280">
                        <c:v>1371.5919735851116</c:v>
                      </c:pt>
                      <c:pt idx="281">
                        <c:v>1368.6737871908008</c:v>
                      </c:pt>
                      <c:pt idx="282">
                        <c:v>1365.721481087121</c:v>
                      </c:pt>
                      <c:pt idx="283">
                        <c:v>1362.7350552741291</c:v>
                      </c:pt>
                      <c:pt idx="284">
                        <c:v>1359.7145097519387</c:v>
                      </c:pt>
                      <c:pt idx="285">
                        <c:v>1356.6598445203226</c:v>
                      </c:pt>
                      <c:pt idx="286">
                        <c:v>1353.5710595793944</c:v>
                      </c:pt>
                      <c:pt idx="287">
                        <c:v>1350.4481549293814</c:v>
                      </c:pt>
                      <c:pt idx="288">
                        <c:v>1347.2911305699995</c:v>
                      </c:pt>
                      <c:pt idx="289">
                        <c:v>1344.0999865012486</c:v>
                      </c:pt>
                      <c:pt idx="290">
                        <c:v>1340.8747227232425</c:v>
                      </c:pt>
                      <c:pt idx="291">
                        <c:v>1337.6153392358674</c:v>
                      </c:pt>
                      <c:pt idx="292">
                        <c:v>1334.3218360394076</c:v>
                      </c:pt>
                      <c:pt idx="293">
                        <c:v>1330.9942131334651</c:v>
                      </c:pt>
                      <c:pt idx="294">
                        <c:v>1327.6324705184948</c:v>
                      </c:pt>
                      <c:pt idx="295">
                        <c:v>1324.2366081938144</c:v>
                      </c:pt>
                      <c:pt idx="296">
                        <c:v>1320.8066261602198</c:v>
                      </c:pt>
                      <c:pt idx="297">
                        <c:v>1317.3425244169721</c:v>
                      </c:pt>
                      <c:pt idx="298">
                        <c:v>1313.8443029648101</c:v>
                      </c:pt>
                      <c:pt idx="299">
                        <c:v>1310.3119618030519</c:v>
                      </c:pt>
                      <c:pt idx="300">
                        <c:v>1306.7455009323794</c:v>
                      </c:pt>
                      <c:pt idx="301">
                        <c:v>1303.1449203519969</c:v>
                      </c:pt>
                      <c:pt idx="302">
                        <c:v>1299.5102200626434</c:v>
                      </c:pt>
                      <c:pt idx="303">
                        <c:v>1295.8414000638641</c:v>
                      </c:pt>
                      <c:pt idx="304">
                        <c:v>1292.1384603557726</c:v>
                      </c:pt>
                      <c:pt idx="305">
                        <c:v>1288.4014009383122</c:v>
                      </c:pt>
                      <c:pt idx="306">
                        <c:v>1284.630221811824</c:v>
                      </c:pt>
                      <c:pt idx="307">
                        <c:v>1280.8249229756825</c:v>
                      </c:pt>
                      <c:pt idx="308">
                        <c:v>1276.9855044306269</c:v>
                      </c:pt>
                      <c:pt idx="309">
                        <c:v>1273.1119661760317</c:v>
                      </c:pt>
                      <c:pt idx="310">
                        <c:v>1269.2043082121813</c:v>
                      </c:pt>
                      <c:pt idx="311">
                        <c:v>1265.2625305391894</c:v>
                      </c:pt>
                      <c:pt idx="312">
                        <c:v>1261.2866331567147</c:v>
                      </c:pt>
                      <c:pt idx="313">
                        <c:v>1257.276616064928</c:v>
                      </c:pt>
                      <c:pt idx="314">
                        <c:v>1253.2324792641134</c:v>
                      </c:pt>
                      <c:pt idx="315">
                        <c:v>1249.1542227537593</c:v>
                      </c:pt>
                      <c:pt idx="316">
                        <c:v>1245.0418465343773</c:v>
                      </c:pt>
                      <c:pt idx="317">
                        <c:v>1240.8953506054559</c:v>
                      </c:pt>
                      <c:pt idx="318">
                        <c:v>1236.7147349672223</c:v>
                      </c:pt>
                      <c:pt idx="319">
                        <c:v>1232.4999996198471</c:v>
                      </c:pt>
                      <c:pt idx="320">
                        <c:v>1228.2511445629893</c:v>
                      </c:pt>
                      <c:pt idx="321">
                        <c:v>1223.9681697971037</c:v>
                      </c:pt>
                      <c:pt idx="322">
                        <c:v>1219.651075321849</c:v>
                      </c:pt>
                      <c:pt idx="323">
                        <c:v>1215.2998611371686</c:v>
                      </c:pt>
                      <c:pt idx="324">
                        <c:v>1210.9145272434034</c:v>
                      </c:pt>
                      <c:pt idx="325">
                        <c:v>1206.4950736402125</c:v>
                      </c:pt>
                      <c:pt idx="326">
                        <c:v>1202.0415003276526</c:v>
                      </c:pt>
                      <c:pt idx="327">
                        <c:v>1197.5538073060079</c:v>
                      </c:pt>
                      <c:pt idx="328">
                        <c:v>1193.0319945749375</c:v>
                      </c:pt>
                      <c:pt idx="329">
                        <c:v>1188.4760621345549</c:v>
                      </c:pt>
                      <c:pt idx="330">
                        <c:v>1183.8860099850308</c:v>
                      </c:pt>
                      <c:pt idx="331">
                        <c:v>1179.2618381259672</c:v>
                      </c:pt>
                      <c:pt idx="332">
                        <c:v>1174.603546557762</c:v>
                      </c:pt>
                      <c:pt idx="333">
                        <c:v>1169.9111352803016</c:v>
                      </c:pt>
                      <c:pt idx="334">
                        <c:v>1165.1846042935858</c:v>
                      </c:pt>
                      <c:pt idx="335">
                        <c:v>1160.4239535973875</c:v>
                      </c:pt>
                      <c:pt idx="336">
                        <c:v>1155.6291831921044</c:v>
                      </c:pt>
                      <c:pt idx="337">
                        <c:v>1150.800293077566</c:v>
                      </c:pt>
                      <c:pt idx="338">
                        <c:v>1145.9372832534314</c:v>
                      </c:pt>
                      <c:pt idx="339">
                        <c:v>1141.0401537202688</c:v>
                      </c:pt>
                      <c:pt idx="340">
                        <c:v>1136.108904477851</c:v>
                      </c:pt>
                      <c:pt idx="341">
                        <c:v>1131.14353552578</c:v>
                      </c:pt>
                      <c:pt idx="342">
                        <c:v>1126.1440468649084</c:v>
                      </c:pt>
                      <c:pt idx="343">
                        <c:v>1121.1104384942701</c:v>
                      </c:pt>
                      <c:pt idx="344">
                        <c:v>1116.0427104147743</c:v>
                      </c:pt>
                      <c:pt idx="345">
                        <c:v>1110.9408626256823</c:v>
                      </c:pt>
                      <c:pt idx="346">
                        <c:v>1105.8048951273918</c:v>
                      </c:pt>
                      <c:pt idx="347">
                        <c:v>1100.6348079199029</c:v>
                      </c:pt>
                      <c:pt idx="348">
                        <c:v>1095.4306010031019</c:v>
                      </c:pt>
                      <c:pt idx="349">
                        <c:v>1090.1922743768182</c:v>
                      </c:pt>
                      <c:pt idx="350">
                        <c:v>1084.9198280414498</c:v>
                      </c:pt>
                      <c:pt idx="351">
                        <c:v>1079.6132619967125</c:v>
                      </c:pt>
                      <c:pt idx="352">
                        <c:v>1074.2725762428336</c:v>
                      </c:pt>
                      <c:pt idx="353">
                        <c:v>1068.8977707793583</c:v>
                      </c:pt>
                      <c:pt idx="354">
                        <c:v>1063.4888456067983</c:v>
                      </c:pt>
                      <c:pt idx="355">
                        <c:v>1058.0458007247557</c:v>
                      </c:pt>
                      <c:pt idx="356">
                        <c:v>1052.5686361338558</c:v>
                      </c:pt>
                      <c:pt idx="357">
                        <c:v>1047.0573518331321</c:v>
                      </c:pt>
                      <c:pt idx="358">
                        <c:v>1041.5119478235511</c:v>
                      </c:pt>
                      <c:pt idx="359">
                        <c:v>1035.9324241044305</c:v>
                      </c:pt>
                      <c:pt idx="360">
                        <c:v>1030.3187806761684</c:v>
                      </c:pt>
                      <c:pt idx="361">
                        <c:v>1024.6710175384237</c:v>
                      </c:pt>
                      <c:pt idx="362">
                        <c:v>1018.9891346914806</c:v>
                      </c:pt>
                      <c:pt idx="363">
                        <c:v>1013.2731321353958</c:v>
                      </c:pt>
                      <c:pt idx="364">
                        <c:v>1007.5230098698285</c:v>
                      </c:pt>
                      <c:pt idx="365">
                        <c:v>1001.7387678948921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1BC-4CBB-BCC3-D55E8634F51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'Model tilvækst, slagteform, fe'!$AC$9</c15:sqref>
                        </c15:formulaRef>
                      </c:ext>
                    </c:extLst>
                    <c:strCache>
                      <c:ptCount val="1"/>
                      <c:pt idx="0">
                        <c:v>3 grad, minus vægt dag 0 og 30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'Model tilvækst, slagteform, fe'!$AC$10:$AC$375</c15:sqref>
                        </c15:formulaRef>
                      </c:ext>
                    </c:extLst>
                    <c:numCache>
                      <c:formatCode>#,##0</c:formatCode>
                      <c:ptCount val="366"/>
                      <c:pt idx="0">
                        <c:v>1277.4679483346697</c:v>
                      </c:pt>
                      <c:pt idx="1">
                        <c:v>1279.9600805689386</c:v>
                      </c:pt>
                      <c:pt idx="2">
                        <c:v>1282.4360587345138</c:v>
                      </c:pt>
                      <c:pt idx="3">
                        <c:v>1284.8958828313898</c:v>
                      </c:pt>
                      <c:pt idx="4">
                        <c:v>1287.339552859569</c:v>
                      </c:pt>
                      <c:pt idx="5">
                        <c:v>1289.7670688190601</c:v>
                      </c:pt>
                      <c:pt idx="6">
                        <c:v>1292.1784307098444</c:v>
                      </c:pt>
                      <c:pt idx="7">
                        <c:v>1294.5736385319417</c:v>
                      </c:pt>
                      <c:pt idx="8">
                        <c:v>1296.9526922853395</c:v>
                      </c:pt>
                      <c:pt idx="9">
                        <c:v>1299.3155919700391</c:v>
                      </c:pt>
                      <c:pt idx="10">
                        <c:v>1301.6623375860447</c:v>
                      </c:pt>
                      <c:pt idx="11">
                        <c:v>1303.9929291333578</c:v>
                      </c:pt>
                      <c:pt idx="12">
                        <c:v>1306.3073666119712</c:v>
                      </c:pt>
                      <c:pt idx="13">
                        <c:v>1308.6056500218851</c:v>
                      </c:pt>
                      <c:pt idx="14">
                        <c:v>1310.8877793631136</c:v>
                      </c:pt>
                      <c:pt idx="15">
                        <c:v>1313.1537546356392</c:v>
                      </c:pt>
                      <c:pt idx="16">
                        <c:v>1315.4035758394648</c:v>
                      </c:pt>
                      <c:pt idx="17">
                        <c:v>1317.6372429746089</c:v>
                      </c:pt>
                      <c:pt idx="18">
                        <c:v>1319.8547560410389</c:v>
                      </c:pt>
                      <c:pt idx="19">
                        <c:v>1322.0561150387837</c:v>
                      </c:pt>
                      <c:pt idx="20">
                        <c:v>1324.241319967836</c:v>
                      </c:pt>
                      <c:pt idx="21">
                        <c:v>1326.4103708281816</c:v>
                      </c:pt>
                      <c:pt idx="22">
                        <c:v>1328.5632676198347</c:v>
                      </c:pt>
                      <c:pt idx="23">
                        <c:v>1330.7000103427954</c:v>
                      </c:pt>
                      <c:pt idx="24">
                        <c:v>1332.8205989970597</c:v>
                      </c:pt>
                      <c:pt idx="25">
                        <c:v>1334.9250335826284</c:v>
                      </c:pt>
                      <c:pt idx="26">
                        <c:v>1337.0133140995008</c:v>
                      </c:pt>
                      <c:pt idx="27">
                        <c:v>1339.0854405476703</c:v>
                      </c:pt>
                      <c:pt idx="28">
                        <c:v>1341.1414129271648</c:v>
                      </c:pt>
                      <c:pt idx="29">
                        <c:v>1343.181231237935</c:v>
                      </c:pt>
                      <c:pt idx="30">
                        <c:v>1345.2048954800234</c:v>
                      </c:pt>
                      <c:pt idx="31">
                        <c:v>1347.2124056534155</c:v>
                      </c:pt>
                      <c:pt idx="32">
                        <c:v>1349.2037617581118</c:v>
                      </c:pt>
                      <c:pt idx="33">
                        <c:v>1351.178963794112</c:v>
                      </c:pt>
                      <c:pt idx="34">
                        <c:v>1353.1380117614162</c:v>
                      </c:pt>
                      <c:pt idx="35">
                        <c:v>1355.0809056600315</c:v>
                      </c:pt>
                      <c:pt idx="36">
                        <c:v>1357.0076454899365</c:v>
                      </c:pt>
                      <c:pt idx="37">
                        <c:v>1358.9182312511596</c:v>
                      </c:pt>
                      <c:pt idx="38">
                        <c:v>1360.8126629436724</c:v>
                      </c:pt>
                      <c:pt idx="39">
                        <c:v>1362.6909405674965</c:v>
                      </c:pt>
                      <c:pt idx="40">
                        <c:v>1364.5530641226314</c:v>
                      </c:pt>
                      <c:pt idx="41">
                        <c:v>1366.3990336090635</c:v>
                      </c:pt>
                      <c:pt idx="42">
                        <c:v>1368.2288490267993</c:v>
                      </c:pt>
                      <c:pt idx="43">
                        <c:v>1370.0425103758391</c:v>
                      </c:pt>
                      <c:pt idx="44">
                        <c:v>1371.8400176561829</c:v>
                      </c:pt>
                      <c:pt idx="45">
                        <c:v>1373.6213708678306</c:v>
                      </c:pt>
                      <c:pt idx="46">
                        <c:v>1375.3865700107895</c:v>
                      </c:pt>
                      <c:pt idx="47">
                        <c:v>1377.1356150850522</c:v>
                      </c:pt>
                      <c:pt idx="48">
                        <c:v>1378.8685060906118</c:v>
                      </c:pt>
                      <c:pt idx="49">
                        <c:v>1380.585243027454</c:v>
                      </c:pt>
                      <c:pt idx="50">
                        <c:v>1382.2858258956501</c:v>
                      </c:pt>
                      <c:pt idx="51">
                        <c:v>1383.9702546951144</c:v>
                      </c:pt>
                      <c:pt idx="52">
                        <c:v>1385.6385294258898</c:v>
                      </c:pt>
                      <c:pt idx="53">
                        <c:v>1387.2906500879765</c:v>
                      </c:pt>
                      <c:pt idx="54">
                        <c:v>1388.92661668136</c:v>
                      </c:pt>
                      <c:pt idx="55">
                        <c:v>1390.5464292060401</c:v>
                      </c:pt>
                      <c:pt idx="56">
                        <c:v>1392.1500876620457</c:v>
                      </c:pt>
                      <c:pt idx="57">
                        <c:v>1393.7375920493623</c:v>
                      </c:pt>
                      <c:pt idx="58">
                        <c:v>1395.308942367933</c:v>
                      </c:pt>
                      <c:pt idx="59">
                        <c:v>1396.8641386178574</c:v>
                      </c:pt>
                      <c:pt idx="60">
                        <c:v>1398.4031807990646</c:v>
                      </c:pt>
                      <c:pt idx="61">
                        <c:v>1399.9260689115686</c:v>
                      </c:pt>
                      <c:pt idx="62">
                        <c:v>1401.4328029553981</c:v>
                      </c:pt>
                      <c:pt idx="63">
                        <c:v>1402.9233829305099</c:v>
                      </c:pt>
                      <c:pt idx="64">
                        <c:v>1404.3978088369472</c:v>
                      </c:pt>
                      <c:pt idx="65">
                        <c:v>1405.8560806746812</c:v>
                      </c:pt>
                      <c:pt idx="66">
                        <c:v>1407.2981984436979</c:v>
                      </c:pt>
                      <c:pt idx="67">
                        <c:v>1408.7241621440398</c:v>
                      </c:pt>
                      <c:pt idx="68">
                        <c:v>1410.1339717756928</c:v>
                      </c:pt>
                      <c:pt idx="69">
                        <c:v>1411.5276273386428</c:v>
                      </c:pt>
                      <c:pt idx="70">
                        <c:v>1412.9051288329179</c:v>
                      </c:pt>
                      <c:pt idx="71">
                        <c:v>1414.2664762584473</c:v>
                      </c:pt>
                      <c:pt idx="72">
                        <c:v>1415.6116696153022</c:v>
                      </c:pt>
                      <c:pt idx="73">
                        <c:v>1416.9407089034678</c:v>
                      </c:pt>
                      <c:pt idx="74">
                        <c:v>1418.2535941229303</c:v>
                      </c:pt>
                      <c:pt idx="75">
                        <c:v>1419.5503252737039</c:v>
                      </c:pt>
                      <c:pt idx="76">
                        <c:v>1420.8309023557888</c:v>
                      </c:pt>
                      <c:pt idx="77">
                        <c:v>1422.0953253691705</c:v>
                      </c:pt>
                      <c:pt idx="78">
                        <c:v>1423.3435943138347</c:v>
                      </c:pt>
                      <c:pt idx="79">
                        <c:v>1424.5757091898527</c:v>
                      </c:pt>
                      <c:pt idx="80">
                        <c:v>1425.7916699971247</c:v>
                      </c:pt>
                      <c:pt idx="81">
                        <c:v>1426.9914767357222</c:v>
                      </c:pt>
                      <c:pt idx="82">
                        <c:v>1428.1751294056307</c:v>
                      </c:pt>
                      <c:pt idx="83">
                        <c:v>1429.3426280068361</c:v>
                      </c:pt>
                      <c:pt idx="84">
                        <c:v>1430.4939725393524</c:v>
                      </c:pt>
                      <c:pt idx="85">
                        <c:v>1431.6291630031374</c:v>
                      </c:pt>
                      <c:pt idx="86">
                        <c:v>1432.7481993982758</c:v>
                      </c:pt>
                      <c:pt idx="87">
                        <c:v>1433.8510817246829</c:v>
                      </c:pt>
                      <c:pt idx="88">
                        <c:v>1434.937809982415</c:v>
                      </c:pt>
                      <c:pt idx="89">
                        <c:v>1436.008384171444</c:v>
                      </c:pt>
                      <c:pt idx="90">
                        <c:v>1437.0628042917701</c:v>
                      </c:pt>
                      <c:pt idx="91">
                        <c:v>1438.1010703434072</c:v>
                      </c:pt>
                      <c:pt idx="92">
                        <c:v>1439.1231823263695</c:v>
                      </c:pt>
                      <c:pt idx="93">
                        <c:v>1440.1291402406002</c:v>
                      </c:pt>
                      <c:pt idx="94">
                        <c:v>1441.1189440861278</c:v>
                      </c:pt>
                      <c:pt idx="95">
                        <c:v>1442.0925938630091</c:v>
                      </c:pt>
                      <c:pt idx="96">
                        <c:v>1443.0500895711873</c:v>
                      </c:pt>
                      <c:pt idx="97">
                        <c:v>1443.9914312106339</c:v>
                      </c:pt>
                      <c:pt idx="98">
                        <c:v>1444.9166187813773</c:v>
                      </c:pt>
                      <c:pt idx="99">
                        <c:v>1445.8256522834461</c:v>
                      </c:pt>
                      <c:pt idx="100">
                        <c:v>1446.7185317168116</c:v>
                      </c:pt>
                      <c:pt idx="101">
                        <c:v>1447.5952570815309</c:v>
                      </c:pt>
                      <c:pt idx="102">
                        <c:v>1448.4558283774902</c:v>
                      </c:pt>
                      <c:pt idx="103">
                        <c:v>1449.3002456047464</c:v>
                      </c:pt>
                      <c:pt idx="104">
                        <c:v>1450.1285087633846</c:v>
                      </c:pt>
                      <c:pt idx="105">
                        <c:v>1450.9406178532629</c:v>
                      </c:pt>
                      <c:pt idx="106">
                        <c:v>1451.7365728744949</c:v>
                      </c:pt>
                      <c:pt idx="107">
                        <c:v>1452.5163738269384</c:v>
                      </c:pt>
                      <c:pt idx="108">
                        <c:v>1453.2800207107925</c:v>
                      </c:pt>
                      <c:pt idx="109">
                        <c:v>1454.0275135258582</c:v>
                      </c:pt>
                      <c:pt idx="110">
                        <c:v>1454.7588522723061</c:v>
                      </c:pt>
                      <c:pt idx="111">
                        <c:v>1455.4740369499939</c:v>
                      </c:pt>
                      <c:pt idx="112">
                        <c:v>1456.1730675590638</c:v>
                      </c:pt>
                      <c:pt idx="113">
                        <c:v>1456.8559440993738</c:v>
                      </c:pt>
                      <c:pt idx="114">
                        <c:v>1457.5226665709806</c:v>
                      </c:pt>
                      <c:pt idx="115">
                        <c:v>1458.1732349739696</c:v>
                      </c:pt>
                      <c:pt idx="116">
                        <c:v>1458.8076493081701</c:v>
                      </c:pt>
                      <c:pt idx="117">
                        <c:v>1459.4259095737243</c:v>
                      </c:pt>
                      <c:pt idx="118">
                        <c:v>1460.028015770547</c:v>
                      </c:pt>
                      <c:pt idx="119">
                        <c:v>1460.6139678986949</c:v>
                      </c:pt>
                      <c:pt idx="120">
                        <c:v>1461.1837659581681</c:v>
                      </c:pt>
                      <c:pt idx="121">
                        <c:v>1461.7374099489382</c:v>
                      </c:pt>
                      <c:pt idx="122">
                        <c:v>1462.2748998710051</c:v>
                      </c:pt>
                      <c:pt idx="123">
                        <c:v>1462.7962357243689</c:v>
                      </c:pt>
                      <c:pt idx="124">
                        <c:v>1463.3014175090295</c:v>
                      </c:pt>
                      <c:pt idx="125">
                        <c:v>1463.7904452250154</c:v>
                      </c:pt>
                      <c:pt idx="126">
                        <c:v>1464.2633188722982</c:v>
                      </c:pt>
                      <c:pt idx="127">
                        <c:v>1464.7200384508778</c:v>
                      </c:pt>
                      <c:pt idx="128">
                        <c:v>1465.1606039607543</c:v>
                      </c:pt>
                      <c:pt idx="129">
                        <c:v>1465.5850154019561</c:v>
                      </c:pt>
                      <c:pt idx="130">
                        <c:v>1465.9932727744263</c:v>
                      </c:pt>
                      <c:pt idx="131">
                        <c:v>1466.3853760782786</c:v>
                      </c:pt>
                      <c:pt idx="132">
                        <c:v>1466.7613253133709</c:v>
                      </c:pt>
                      <c:pt idx="133">
                        <c:v>1467.1211204797601</c:v>
                      </c:pt>
                      <c:pt idx="134">
                        <c:v>1467.4647615774745</c:v>
                      </c:pt>
                      <c:pt idx="135">
                        <c:v>1467.7922486065142</c:v>
                      </c:pt>
                      <c:pt idx="136">
                        <c:v>1468.1035815668224</c:v>
                      </c:pt>
                      <c:pt idx="137">
                        <c:v>1468.3987604584274</c:v>
                      </c:pt>
                      <c:pt idx="138">
                        <c:v>1468.6777852813577</c:v>
                      </c:pt>
                      <c:pt idx="139">
                        <c:v>1468.9406560356417</c:v>
                      </c:pt>
                      <c:pt idx="140">
                        <c:v>1469.1873727211657</c:v>
                      </c:pt>
                      <c:pt idx="141">
                        <c:v>1469.4179353379866</c:v>
                      </c:pt>
                      <c:pt idx="142">
                        <c:v>1469.6323438861327</c:v>
                      </c:pt>
                      <c:pt idx="143">
                        <c:v>1469.8305983656041</c:v>
                      </c:pt>
                      <c:pt idx="144">
                        <c:v>1470.0126987763156</c:v>
                      </c:pt>
                      <c:pt idx="145">
                        <c:v>1470.1786451183807</c:v>
                      </c:pt>
                      <c:pt idx="146">
                        <c:v>1470.3284373917711</c:v>
                      </c:pt>
                      <c:pt idx="147">
                        <c:v>1470.4620755964015</c:v>
                      </c:pt>
                      <c:pt idx="148">
                        <c:v>1470.5795597324141</c:v>
                      </c:pt>
                      <c:pt idx="149">
                        <c:v>1470.6808897996382</c:v>
                      </c:pt>
                      <c:pt idx="150">
                        <c:v>1470.7660657982728</c:v>
                      </c:pt>
                      <c:pt idx="151">
                        <c:v>1470.8350877281191</c:v>
                      </c:pt>
                      <c:pt idx="152">
                        <c:v>1470.8879555893191</c:v>
                      </c:pt>
                      <c:pt idx="153">
                        <c:v>1470.9246693818159</c:v>
                      </c:pt>
                      <c:pt idx="154">
                        <c:v>1470.9452291055811</c:v>
                      </c:pt>
                      <c:pt idx="155">
                        <c:v>1470.9496347607001</c:v>
                      </c:pt>
                      <c:pt idx="156">
                        <c:v>1470.9378863471159</c:v>
                      </c:pt>
                      <c:pt idx="157">
                        <c:v>1470.9099838648001</c:v>
                      </c:pt>
                      <c:pt idx="158">
                        <c:v>1470.8659273138096</c:v>
                      </c:pt>
                      <c:pt idx="159">
                        <c:v>1470.8057166941728</c:v>
                      </c:pt>
                      <c:pt idx="160">
                        <c:v>1470.7293520057476</c:v>
                      </c:pt>
                      <c:pt idx="161">
                        <c:v>1470.6368332486477</c:v>
                      </c:pt>
                      <c:pt idx="162">
                        <c:v>1470.5281604229299</c:v>
                      </c:pt>
                      <c:pt idx="163">
                        <c:v>1470.4033335284237</c:v>
                      </c:pt>
                      <c:pt idx="164">
                        <c:v>1470.2623525652996</c:v>
                      </c:pt>
                      <c:pt idx="165">
                        <c:v>1470.1052175333871</c:v>
                      </c:pt>
                      <c:pt idx="166">
                        <c:v>1469.9319284328851</c:v>
                      </c:pt>
                      <c:pt idx="167">
                        <c:v>1469.7424852636232</c:v>
                      </c:pt>
                      <c:pt idx="168">
                        <c:v>1469.5368880256297</c:v>
                      </c:pt>
                      <c:pt idx="169">
                        <c:v>1469.3151367190183</c:v>
                      </c:pt>
                      <c:pt idx="170">
                        <c:v>1469.0772313436753</c:v>
                      </c:pt>
                      <c:pt idx="171">
                        <c:v>1468.8231718996576</c:v>
                      </c:pt>
                      <c:pt idx="172">
                        <c:v>1468.5529583868799</c:v>
                      </c:pt>
                      <c:pt idx="173">
                        <c:v>1468.266590805456</c:v>
                      </c:pt>
                      <c:pt idx="174">
                        <c:v>1467.9640691553573</c:v>
                      </c:pt>
                      <c:pt idx="175">
                        <c:v>1467.6453934365838</c:v>
                      </c:pt>
                      <c:pt idx="176">
                        <c:v>1467.3105636489652</c:v>
                      </c:pt>
                      <c:pt idx="177">
                        <c:v>1466.9595797928707</c:v>
                      </c:pt>
                      <c:pt idx="178">
                        <c:v>1466.5924418678742</c:v>
                      </c:pt>
                      <c:pt idx="179">
                        <c:v>1466.2091498742882</c:v>
                      </c:pt>
                      <c:pt idx="180">
                        <c:v>1465.8097038120559</c:v>
                      </c:pt>
                      <c:pt idx="181">
                        <c:v>1465.3941036809215</c:v>
                      </c:pt>
                      <c:pt idx="182">
                        <c:v>1464.9623494813682</c:v>
                      </c:pt>
                      <c:pt idx="183">
                        <c:v>1464.5144412128843</c:v>
                      </c:pt>
                      <c:pt idx="184">
                        <c:v>1464.0503788758679</c:v>
                      </c:pt>
                      <c:pt idx="185">
                        <c:v>1463.5701624700914</c:v>
                      </c:pt>
                      <c:pt idx="186">
                        <c:v>1463.073791995555</c:v>
                      </c:pt>
                      <c:pt idx="187">
                        <c:v>1462.5612674524291</c:v>
                      </c:pt>
                      <c:pt idx="188">
                        <c:v>1462.0325888405432</c:v>
                      </c:pt>
                      <c:pt idx="189">
                        <c:v>1461.487756160011</c:v>
                      </c:pt>
                      <c:pt idx="190">
                        <c:v>1460.9267694107189</c:v>
                      </c:pt>
                      <c:pt idx="191">
                        <c:v>1460.3496285928372</c:v>
                      </c:pt>
                      <c:pt idx="192">
                        <c:v>1459.7563337060819</c:v>
                      </c:pt>
                      <c:pt idx="193">
                        <c:v>1459.146884750794</c:v>
                      </c:pt>
                      <c:pt idx="194">
                        <c:v>1458.521281726803</c:v>
                      </c:pt>
                      <c:pt idx="195">
                        <c:v>1457.8795246339951</c:v>
                      </c:pt>
                      <c:pt idx="196">
                        <c:v>1457.2216134725977</c:v>
                      </c:pt>
                      <c:pt idx="197">
                        <c:v>1456.5475482423835</c:v>
                      </c:pt>
                      <c:pt idx="198">
                        <c:v>1455.8573289436367</c:v>
                      </c:pt>
                      <c:pt idx="199">
                        <c:v>1455.1509555761299</c:v>
                      </c:pt>
                      <c:pt idx="200">
                        <c:v>1454.4284281398632</c:v>
                      </c:pt>
                      <c:pt idx="201">
                        <c:v>1453.6897466349501</c:v>
                      </c:pt>
                      <c:pt idx="202">
                        <c:v>1452.9349110613907</c:v>
                      </c:pt>
                      <c:pt idx="203">
                        <c:v>1452.1639214190145</c:v>
                      </c:pt>
                      <c:pt idx="204">
                        <c:v>1451.3767777081057</c:v>
                      </c:pt>
                      <c:pt idx="205">
                        <c:v>1450.5734799283232</c:v>
                      </c:pt>
                      <c:pt idx="206">
                        <c:v>1449.7540280799512</c:v>
                      </c:pt>
                      <c:pt idx="207">
                        <c:v>1448.9184221628761</c:v>
                      </c:pt>
                      <c:pt idx="208">
                        <c:v>1448.0666621770979</c:v>
                      </c:pt>
                      <c:pt idx="209">
                        <c:v>1447.1987481226165</c:v>
                      </c:pt>
                      <c:pt idx="210">
                        <c:v>1446.314679999432</c:v>
                      </c:pt>
                      <c:pt idx="211">
                        <c:v>1445.4144578076011</c:v>
                      </c:pt>
                      <c:pt idx="212">
                        <c:v>1444.4980815469535</c:v>
                      </c:pt>
                      <c:pt idx="213">
                        <c:v>1443.5655512177163</c:v>
                      </c:pt>
                      <c:pt idx="214">
                        <c:v>1442.6168668197761</c:v>
                      </c:pt>
                      <c:pt idx="215">
                        <c:v>1441.6520283531327</c:v>
                      </c:pt>
                      <c:pt idx="216">
                        <c:v>1440.6710358177293</c:v>
                      </c:pt>
                      <c:pt idx="217">
                        <c:v>1439.6738892137364</c:v>
                      </c:pt>
                      <c:pt idx="218">
                        <c:v>1438.6605885409267</c:v>
                      </c:pt>
                      <c:pt idx="219">
                        <c:v>1437.6311337995844</c:v>
                      </c:pt>
                      <c:pt idx="220">
                        <c:v>1436.5855249893684</c:v>
                      </c:pt>
                      <c:pt idx="221">
                        <c:v>1435.5237621106198</c:v>
                      </c:pt>
                      <c:pt idx="222">
                        <c:v>1434.4458451629976</c:v>
                      </c:pt>
                      <c:pt idx="223">
                        <c:v>1433.3517741468427</c:v>
                      </c:pt>
                      <c:pt idx="224">
                        <c:v>1432.241549061871</c:v>
                      </c:pt>
                      <c:pt idx="225">
                        <c:v>1431.1151699082529</c:v>
                      </c:pt>
                      <c:pt idx="226">
                        <c:v>1429.9726366859886</c:v>
                      </c:pt>
                      <c:pt idx="227">
                        <c:v>1428.8139493949643</c:v>
                      </c:pt>
                      <c:pt idx="228">
                        <c:v>1427.6391080352369</c:v>
                      </c:pt>
                      <c:pt idx="229">
                        <c:v>1426.4481126068631</c:v>
                      </c:pt>
                      <c:pt idx="230">
                        <c:v>1425.2409631098431</c:v>
                      </c:pt>
                      <c:pt idx="231">
                        <c:v>1424.0176595440062</c:v>
                      </c:pt>
                      <c:pt idx="232">
                        <c:v>1422.778201909523</c:v>
                      </c:pt>
                      <c:pt idx="233">
                        <c:v>1421.522590206223</c:v>
                      </c:pt>
                      <c:pt idx="234">
                        <c:v>1420.250824434504</c:v>
                      </c:pt>
                      <c:pt idx="235">
                        <c:v>1418.9629045937977</c:v>
                      </c:pt>
                      <c:pt idx="236">
                        <c:v>1417.6588306846156</c:v>
                      </c:pt>
                      <c:pt idx="237">
                        <c:v>1416.3386027066167</c:v>
                      </c:pt>
                      <c:pt idx="238">
                        <c:v>1415.0022206599715</c:v>
                      </c:pt>
                      <c:pt idx="239">
                        <c:v>1413.6496845446231</c:v>
                      </c:pt>
                      <c:pt idx="240">
                        <c:v>1412.2809943605148</c:v>
                      </c:pt>
                      <c:pt idx="241">
                        <c:v>1410.8961501077601</c:v>
                      </c:pt>
                      <c:pt idx="242">
                        <c:v>1409.4951517863592</c:v>
                      </c:pt>
                      <c:pt idx="243">
                        <c:v>1408.0779993961983</c:v>
                      </c:pt>
                      <c:pt idx="244">
                        <c:v>1406.644692937391</c:v>
                      </c:pt>
                      <c:pt idx="245">
                        <c:v>1405.1952324098806</c:v>
                      </c:pt>
                      <c:pt idx="246">
                        <c:v>1403.7296178135534</c:v>
                      </c:pt>
                      <c:pt idx="247">
                        <c:v>1402.2478491486936</c:v>
                      </c:pt>
                      <c:pt idx="248">
                        <c:v>1400.7499264150738</c:v>
                      </c:pt>
                      <c:pt idx="249">
                        <c:v>1399.2358496127508</c:v>
                      </c:pt>
                      <c:pt idx="250">
                        <c:v>1397.7056187417247</c:v>
                      </c:pt>
                      <c:pt idx="251">
                        <c:v>1396.1592338021092</c:v>
                      </c:pt>
                      <c:pt idx="252">
                        <c:v>1394.5966947936199</c:v>
                      </c:pt>
                      <c:pt idx="253">
                        <c:v>1393.0180017164844</c:v>
                      </c:pt>
                      <c:pt idx="254">
                        <c:v>1391.4231545707594</c:v>
                      </c:pt>
                      <c:pt idx="255">
                        <c:v>1389.8121533562176</c:v>
                      </c:pt>
                      <c:pt idx="256">
                        <c:v>1388.1849980730294</c:v>
                      </c:pt>
                      <c:pt idx="257">
                        <c:v>1386.541688721195</c:v>
                      </c:pt>
                      <c:pt idx="258">
                        <c:v>1384.8822253005437</c:v>
                      </c:pt>
                      <c:pt idx="259">
                        <c:v>1383.206607811303</c:v>
                      </c:pt>
                      <c:pt idx="260">
                        <c:v>1381.5148362533591</c:v>
                      </c:pt>
                      <c:pt idx="261">
                        <c:v>1379.8069106266553</c:v>
                      </c:pt>
                      <c:pt idx="262">
                        <c:v>1378.0828309313051</c:v>
                      </c:pt>
                      <c:pt idx="263">
                        <c:v>1376.3425971672518</c:v>
                      </c:pt>
                      <c:pt idx="264">
                        <c:v>1374.5862093344954</c:v>
                      </c:pt>
                      <c:pt idx="265">
                        <c:v>1372.8136674329789</c:v>
                      </c:pt>
                      <c:pt idx="266">
                        <c:v>1371.0249714629299</c:v>
                      </c:pt>
                      <c:pt idx="267">
                        <c:v>1369.2201214240072</c:v>
                      </c:pt>
                      <c:pt idx="268">
                        <c:v>1367.3991173165518</c:v>
                      </c:pt>
                      <c:pt idx="269">
                        <c:v>1365.5619591402228</c:v>
                      </c:pt>
                      <c:pt idx="270">
                        <c:v>1363.708646895418</c:v>
                      </c:pt>
                      <c:pt idx="271">
                        <c:v>1361.8391805816827</c:v>
                      </c:pt>
                      <c:pt idx="272">
                        <c:v>1359.953560199358</c:v>
                      </c:pt>
                      <c:pt idx="273">
                        <c:v>1358.0517857483869</c:v>
                      </c:pt>
                      <c:pt idx="274">
                        <c:v>1356.1338572287127</c:v>
                      </c:pt>
                      <c:pt idx="275">
                        <c:v>1354.1997746402217</c:v>
                      </c:pt>
                      <c:pt idx="276">
                        <c:v>1352.2495379831412</c:v>
                      </c:pt>
                      <c:pt idx="277">
                        <c:v>1350.2831472573007</c:v>
                      </c:pt>
                      <c:pt idx="278">
                        <c:v>1348.3006024628139</c:v>
                      </c:pt>
                      <c:pt idx="279">
                        <c:v>1346.3019035997377</c:v>
                      </c:pt>
                      <c:pt idx="280">
                        <c:v>1344.2870506677309</c:v>
                      </c:pt>
                      <c:pt idx="281">
                        <c:v>1342.2560436672484</c:v>
                      </c:pt>
                      <c:pt idx="282">
                        <c:v>1340.2088825978922</c:v>
                      </c:pt>
                      <c:pt idx="283">
                        <c:v>1338.1455674598897</c:v>
                      </c:pt>
                      <c:pt idx="284">
                        <c:v>1336.0660982532409</c:v>
                      </c:pt>
                      <c:pt idx="285">
                        <c:v>1333.9704749778321</c:v>
                      </c:pt>
                      <c:pt idx="286">
                        <c:v>1331.8586976338338</c:v>
                      </c:pt>
                      <c:pt idx="287">
                        <c:v>1329.7307662210187</c:v>
                      </c:pt>
                      <c:pt idx="288">
                        <c:v>1327.5866807395573</c:v>
                      </c:pt>
                      <c:pt idx="289">
                        <c:v>1325.4264411894496</c:v>
                      </c:pt>
                      <c:pt idx="290">
                        <c:v>1323.250047570582</c:v>
                      </c:pt>
                      <c:pt idx="291">
                        <c:v>1321.057499883068</c:v>
                      </c:pt>
                      <c:pt idx="292">
                        <c:v>1318.8487981267372</c:v>
                      </c:pt>
                      <c:pt idx="293">
                        <c:v>1316.6239423018737</c:v>
                      </c:pt>
                      <c:pt idx="294">
                        <c:v>1314.3829324082503</c:v>
                      </c:pt>
                      <c:pt idx="295">
                        <c:v>1312.1257684458669</c:v>
                      </c:pt>
                      <c:pt idx="296">
                        <c:v>1309.8524504148941</c:v>
                      </c:pt>
                      <c:pt idx="297">
                        <c:v>1307.5629783151612</c:v>
                      </c:pt>
                      <c:pt idx="298">
                        <c:v>1305.2573521467821</c:v>
                      </c:pt>
                      <c:pt idx="299">
                        <c:v>1302.9355719095292</c:v>
                      </c:pt>
                      <c:pt idx="300">
                        <c:v>1300.5976376038575</c:v>
                      </c:pt>
                      <c:pt idx="301">
                        <c:v>1298.2435492293121</c:v>
                      </c:pt>
                      <c:pt idx="302">
                        <c:v>1295.8733067861203</c:v>
                      </c:pt>
                      <c:pt idx="303">
                        <c:v>1293.4869102742255</c:v>
                      </c:pt>
                      <c:pt idx="304">
                        <c:v>1291.0843596936274</c:v>
                      </c:pt>
                      <c:pt idx="305">
                        <c:v>1288.6656550443263</c:v>
                      </c:pt>
                      <c:pt idx="306">
                        <c:v>1286.230796326322</c:v>
                      </c:pt>
                      <c:pt idx="307">
                        <c:v>1283.7797835396714</c:v>
                      </c:pt>
                      <c:pt idx="308">
                        <c:v>1281.3126166842608</c:v>
                      </c:pt>
                      <c:pt idx="309">
                        <c:v>1278.8292957602607</c:v>
                      </c:pt>
                      <c:pt idx="310">
                        <c:v>1276.3298207675007</c:v>
                      </c:pt>
                      <c:pt idx="311">
                        <c:v>1273.8141917059806</c:v>
                      </c:pt>
                      <c:pt idx="312">
                        <c:v>1271.2824085758712</c:v>
                      </c:pt>
                      <c:pt idx="313">
                        <c:v>1268.734471376888</c:v>
                      </c:pt>
                      <c:pt idx="314">
                        <c:v>1266.1703801094859</c:v>
                      </c:pt>
                      <c:pt idx="315">
                        <c:v>1263.5901347732101</c:v>
                      </c:pt>
                      <c:pt idx="316">
                        <c:v>1260.9937353682312</c:v>
                      </c:pt>
                      <c:pt idx="317">
                        <c:v>1258.3811818945492</c:v>
                      </c:pt>
                      <c:pt idx="318">
                        <c:v>1255.7524743522208</c:v>
                      </c:pt>
                      <c:pt idx="319">
                        <c:v>1253.107612741303</c:v>
                      </c:pt>
                      <c:pt idx="320">
                        <c:v>1250.4465970615115</c:v>
                      </c:pt>
                      <c:pt idx="321">
                        <c:v>1247.7694273130737</c:v>
                      </c:pt>
                      <c:pt idx="322">
                        <c:v>1245.0761034959328</c:v>
                      </c:pt>
                      <c:pt idx="323">
                        <c:v>1242.3666256102024</c:v>
                      </c:pt>
                      <c:pt idx="324">
                        <c:v>1239.6409936555415</c:v>
                      </c:pt>
                      <c:pt idx="325">
                        <c:v>1236.8992076324616</c:v>
                      </c:pt>
                      <c:pt idx="326">
                        <c:v>1234.1412675406218</c:v>
                      </c:pt>
                      <c:pt idx="327">
                        <c:v>1231.3671733799083</c:v>
                      </c:pt>
                      <c:pt idx="328">
                        <c:v>1228.5769251506053</c:v>
                      </c:pt>
                      <c:pt idx="329">
                        <c:v>1225.7705228526561</c:v>
                      </c:pt>
                      <c:pt idx="330">
                        <c:v>1222.9479664859468</c:v>
                      </c:pt>
                      <c:pt idx="331">
                        <c:v>1220.1092560505913</c:v>
                      </c:pt>
                      <c:pt idx="332">
                        <c:v>1217.2543915465894</c:v>
                      </c:pt>
                      <c:pt idx="333">
                        <c:v>1214.3833729737707</c:v>
                      </c:pt>
                      <c:pt idx="334">
                        <c:v>1211.4962003321921</c:v>
                      </c:pt>
                      <c:pt idx="335">
                        <c:v>1208.5928736220808</c:v>
                      </c:pt>
                      <c:pt idx="336">
                        <c:v>1205.6733928432664</c:v>
                      </c:pt>
                      <c:pt idx="337">
                        <c:v>1202.7377579956919</c:v>
                      </c:pt>
                      <c:pt idx="338">
                        <c:v>1199.7859690794712</c:v>
                      </c:pt>
                      <c:pt idx="339">
                        <c:v>1196.8180260944337</c:v>
                      </c:pt>
                      <c:pt idx="340">
                        <c:v>1193.8339290408635</c:v>
                      </c:pt>
                      <c:pt idx="341">
                        <c:v>1190.8336779184765</c:v>
                      </c:pt>
                      <c:pt idx="342">
                        <c:v>1187.8172727275</c:v>
                      </c:pt>
                      <c:pt idx="343">
                        <c:v>1184.7847134675931</c:v>
                      </c:pt>
                      <c:pt idx="344">
                        <c:v>1181.7360001394945</c:v>
                      </c:pt>
                      <c:pt idx="345">
                        <c:v>1178.6711327421244</c:v>
                      </c:pt>
                      <c:pt idx="346">
                        <c:v>1175.5901112762785</c:v>
                      </c:pt>
                      <c:pt idx="347">
                        <c:v>1172.4929357419001</c:v>
                      </c:pt>
                      <c:pt idx="348">
                        <c:v>1169.3796061386479</c:v>
                      </c:pt>
                      <c:pt idx="349">
                        <c:v>1166.2501224666357</c:v>
                      </c:pt>
                      <c:pt idx="350">
                        <c:v>1163.1044847262046</c:v>
                      </c:pt>
                      <c:pt idx="351">
                        <c:v>1159.9426929167294</c:v>
                      </c:pt>
                      <c:pt idx="352">
                        <c:v>1156.764747038892</c:v>
                      </c:pt>
                      <c:pt idx="353">
                        <c:v>1153.5706470920104</c:v>
                      </c:pt>
                      <c:pt idx="354">
                        <c:v>1150.3603930768804</c:v>
                      </c:pt>
                      <c:pt idx="355">
                        <c:v>1147.1339849925926</c:v>
                      </c:pt>
                      <c:pt idx="356">
                        <c:v>1143.8914228399426</c:v>
                      </c:pt>
                      <c:pt idx="357">
                        <c:v>1140.6327066183053</c:v>
                      </c:pt>
                      <c:pt idx="358">
                        <c:v>1137.357836328249</c:v>
                      </c:pt>
                      <c:pt idx="359">
                        <c:v>1134.0668119693191</c:v>
                      </c:pt>
                      <c:pt idx="360">
                        <c:v>1130.7596335419134</c:v>
                      </c:pt>
                      <c:pt idx="361">
                        <c:v>1127.4363010454636</c:v>
                      </c:pt>
                      <c:pt idx="362">
                        <c:v>1124.0968144806516</c:v>
                      </c:pt>
                      <c:pt idx="363">
                        <c:v>1120.7411738469091</c:v>
                      </c:pt>
                      <c:pt idx="364">
                        <c:v>1117.3693791445771</c:v>
                      </c:pt>
                      <c:pt idx="365">
                        <c:v>1113.9814303734852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1BC-4CBB-BCC3-D55E8634F516}"/>
                  </c:ext>
                </c:extLst>
              </c15:ser>
            </c15:filteredLineSeries>
          </c:ext>
        </c:extLst>
      </c:lineChart>
      <c:catAx>
        <c:axId val="9929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 i 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92945072"/>
        <c:crosses val="autoZero"/>
        <c:auto val="1"/>
        <c:lblAlgn val="ctr"/>
        <c:lblOffset val="100"/>
        <c:noMultiLvlLbl val="0"/>
      </c:catAx>
      <c:valAx>
        <c:axId val="99294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929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Bruttotilvækst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tilvækst, slagteform, fe'!$Z$9</c:f>
              <c:strCache>
                <c:ptCount val="1"/>
                <c:pt idx="0">
                  <c:v>Splines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fe'!$Z$209:$Z$375</c:f>
              <c:numCache>
                <c:formatCode>#,##0</c:formatCode>
                <c:ptCount val="167"/>
                <c:pt idx="0">
                  <c:v>1595.6613744891683</c:v>
                </c:pt>
                <c:pt idx="1">
                  <c:v>1593.9591314575523</c:v>
                </c:pt>
                <c:pt idx="2">
                  <c:v>1592.204112130446</c:v>
                </c:pt>
                <c:pt idx="3">
                  <c:v>1590.3968508546313</c:v>
                </c:pt>
                <c:pt idx="4">
                  <c:v>1588.5378819777998</c:v>
                </c:pt>
                <c:pt idx="5">
                  <c:v>1586.6277398473017</c:v>
                </c:pt>
                <c:pt idx="6">
                  <c:v>1584.6669588106579</c:v>
                </c:pt>
                <c:pt idx="7">
                  <c:v>1582.656073215162</c:v>
                </c:pt>
                <c:pt idx="8">
                  <c:v>1580.595617408278</c:v>
                </c:pt>
                <c:pt idx="9">
                  <c:v>1578.4861257375269</c:v>
                </c:pt>
                <c:pt idx="10">
                  <c:v>1576.3281325501453</c:v>
                </c:pt>
                <c:pt idx="11">
                  <c:v>1574.1221721935972</c:v>
                </c:pt>
                <c:pt idx="12">
                  <c:v>1571.8687790157446</c:v>
                </c:pt>
                <c:pt idx="13">
                  <c:v>1569.5684873631421</c:v>
                </c:pt>
                <c:pt idx="14">
                  <c:v>1567.2218315838791</c:v>
                </c:pt>
                <c:pt idx="15">
                  <c:v>1564.8293460251921</c:v>
                </c:pt>
                <c:pt idx="16">
                  <c:v>1562.3915650344884</c:v>
                </c:pt>
                <c:pt idx="17">
                  <c:v>1559.9090229591184</c:v>
                </c:pt>
                <c:pt idx="18">
                  <c:v>1557.3822541467734</c:v>
                </c:pt>
                <c:pt idx="19">
                  <c:v>1554.8117929444629</c:v>
                </c:pt>
                <c:pt idx="20">
                  <c:v>1552.1981736998214</c:v>
                </c:pt>
                <c:pt idx="21">
                  <c:v>1549.5419307604266</c:v>
                </c:pt>
                <c:pt idx="22">
                  <c:v>1546.843598473572</c:v>
                </c:pt>
                <c:pt idx="23">
                  <c:v>1544.1037111864375</c:v>
                </c:pt>
                <c:pt idx="24">
                  <c:v>1541.3228032467146</c:v>
                </c:pt>
                <c:pt idx="25">
                  <c:v>1538.5014090019808</c:v>
                </c:pt>
                <c:pt idx="26">
                  <c:v>1535.6400627990752</c:v>
                </c:pt>
                <c:pt idx="27">
                  <c:v>1532.7392989861437</c:v>
                </c:pt>
                <c:pt idx="28">
                  <c:v>1529.7996519100252</c:v>
                </c:pt>
                <c:pt idx="29">
                  <c:v>1526.8216559182974</c:v>
                </c:pt>
                <c:pt idx="30">
                  <c:v>1523.8058453587655</c:v>
                </c:pt>
                <c:pt idx="31">
                  <c:v>1520.7527545782114</c:v>
                </c:pt>
                <c:pt idx="32">
                  <c:v>1517.6629179246106</c:v>
                </c:pt>
                <c:pt idx="33">
                  <c:v>1514.5368697448589</c:v>
                </c:pt>
                <c:pt idx="34">
                  <c:v>1511.375144386875</c:v>
                </c:pt>
                <c:pt idx="35">
                  <c:v>1508.178276197782</c:v>
                </c:pt>
                <c:pt idx="36">
                  <c:v>1504.9467995251575</c:v>
                </c:pt>
                <c:pt idx="37">
                  <c:v>1501.6812487162383</c:v>
                </c:pt>
                <c:pt idx="38">
                  <c:v>1498.3821581187158</c:v>
                </c:pt>
                <c:pt idx="39">
                  <c:v>1495.0500620797129</c:v>
                </c:pt>
                <c:pt idx="40">
                  <c:v>1491.6854949466938</c:v>
                </c:pt>
                <c:pt idx="41">
                  <c:v>1488.2889910675772</c:v>
                </c:pt>
                <c:pt idx="42">
                  <c:v>1484.8610847889177</c:v>
                </c:pt>
                <c:pt idx="43">
                  <c:v>1481.4023104588614</c:v>
                </c:pt>
                <c:pt idx="44">
                  <c:v>1477.9132024244177</c:v>
                </c:pt>
                <c:pt idx="45">
                  <c:v>1474.3942950334485</c:v>
                </c:pt>
                <c:pt idx="46">
                  <c:v>1470.8461226325653</c:v>
                </c:pt>
                <c:pt idx="47">
                  <c:v>1467.2692195702552</c:v>
                </c:pt>
                <c:pt idx="48">
                  <c:v>1463.6641201930161</c:v>
                </c:pt>
                <c:pt idx="49">
                  <c:v>1460.0313588487666</c:v>
                </c:pt>
                <c:pt idx="50">
                  <c:v>1456.3714698845729</c:v>
                </c:pt>
                <c:pt idx="51">
                  <c:v>1452.6849876486381</c:v>
                </c:pt>
                <c:pt idx="52">
                  <c:v>1448.9724464871756</c:v>
                </c:pt>
                <c:pt idx="53">
                  <c:v>1445.2343807486159</c:v>
                </c:pt>
                <c:pt idx="54">
                  <c:v>1441.4713247801387</c:v>
                </c:pt>
                <c:pt idx="55">
                  <c:v>1437.6838129286966</c:v>
                </c:pt>
                <c:pt idx="56">
                  <c:v>1433.8723795422652</c:v>
                </c:pt>
                <c:pt idx="57">
                  <c:v>1430.0375589680812</c:v>
                </c:pt>
                <c:pt idx="58">
                  <c:v>1426.1798855533243</c:v>
                </c:pt>
                <c:pt idx="59">
                  <c:v>1422.2998936457998</c:v>
                </c:pt>
                <c:pt idx="60">
                  <c:v>1418.3981175928011</c:v>
                </c:pt>
                <c:pt idx="61">
                  <c:v>1414.4750917416786</c:v>
                </c:pt>
                <c:pt idx="62">
                  <c:v>1410.5313504398396</c:v>
                </c:pt>
                <c:pt idx="63">
                  <c:v>1406.5674280346343</c:v>
                </c:pt>
                <c:pt idx="64">
                  <c:v>1402.5838588739248</c:v>
                </c:pt>
                <c:pt idx="65">
                  <c:v>1398.5811773043793</c:v>
                </c:pt>
                <c:pt idx="66">
                  <c:v>1394.5599176742007</c:v>
                </c:pt>
                <c:pt idx="67">
                  <c:v>1390.5206143301712</c:v>
                </c:pt>
                <c:pt idx="68">
                  <c:v>1386.4638016202662</c:v>
                </c:pt>
                <c:pt idx="69">
                  <c:v>1382.3900138913814</c:v>
                </c:pt>
                <c:pt idx="70">
                  <c:v>1378.2997854914356</c:v>
                </c:pt>
                <c:pt idx="71">
                  <c:v>1374.1936507672108</c:v>
                </c:pt>
                <c:pt idx="72">
                  <c:v>1370.0721440670236</c:v>
                </c:pt>
                <c:pt idx="73">
                  <c:v>1365.9357997373149</c:v>
                </c:pt>
                <c:pt idx="74">
                  <c:v>1361.7851521263447</c:v>
                </c:pt>
                <c:pt idx="75">
                  <c:v>1357.620735580781</c:v>
                </c:pt>
                <c:pt idx="76">
                  <c:v>1353.443084448827</c:v>
                </c:pt>
                <c:pt idx="77">
                  <c:v>1349.2527330771509</c:v>
                </c:pt>
                <c:pt idx="78">
                  <c:v>1345.050215813842</c:v>
                </c:pt>
                <c:pt idx="79">
                  <c:v>1340.8360670057959</c:v>
                </c:pt>
                <c:pt idx="80">
                  <c:v>1336.6108210008179</c:v>
                </c:pt>
                <c:pt idx="81">
                  <c:v>1332.375012145917</c:v>
                </c:pt>
                <c:pt idx="82">
                  <c:v>1328.1291747889554</c:v>
                </c:pt>
                <c:pt idx="83">
                  <c:v>1323.8738432769424</c:v>
                </c:pt>
                <c:pt idx="84">
                  <c:v>1319.6095519575692</c:v>
                </c:pt>
                <c:pt idx="85">
                  <c:v>1315.3368351785275</c:v>
                </c:pt>
                <c:pt idx="86">
                  <c:v>1311.0562272863717</c:v>
                </c:pt>
                <c:pt idx="87">
                  <c:v>1306.7682626293617</c:v>
                </c:pt>
                <c:pt idx="88">
                  <c:v>1302.4734755545637</c:v>
                </c:pt>
                <c:pt idx="89">
                  <c:v>1298.1724004094417</c:v>
                </c:pt>
                <c:pt idx="90">
                  <c:v>1293.8655715412892</c:v>
                </c:pt>
                <c:pt idx="91">
                  <c:v>1289.5535232978546</c:v>
                </c:pt>
                <c:pt idx="92">
                  <c:v>1285.2367900262038</c:v>
                </c:pt>
                <c:pt idx="93">
                  <c:v>1280.9159060740285</c:v>
                </c:pt>
                <c:pt idx="94">
                  <c:v>1276.5914057883947</c:v>
                </c:pt>
                <c:pt idx="95">
                  <c:v>1272.2638235171644</c:v>
                </c:pt>
                <c:pt idx="96">
                  <c:v>1267.9336936076879</c:v>
                </c:pt>
                <c:pt idx="97">
                  <c:v>1263.601550406861</c:v>
                </c:pt>
                <c:pt idx="98">
                  <c:v>1259.2679282628296</c:v>
                </c:pt>
                <c:pt idx="99">
                  <c:v>1254.9333615226601</c:v>
                </c:pt>
                <c:pt idx="100">
                  <c:v>1250.5983845335322</c:v>
                </c:pt>
                <c:pt idx="101">
                  <c:v>1246.2635316431943</c:v>
                </c:pt>
                <c:pt idx="102">
                  <c:v>1241.9293371993376</c:v>
                </c:pt>
                <c:pt idx="103">
                  <c:v>1237.5963355484032</c:v>
                </c:pt>
                <c:pt idx="104">
                  <c:v>1233.2650610391624</c:v>
                </c:pt>
                <c:pt idx="105">
                  <c:v>1228.9360480178857</c:v>
                </c:pt>
                <c:pt idx="106">
                  <c:v>1224.6098308325486</c:v>
                </c:pt>
                <c:pt idx="107">
                  <c:v>1220.2869438303878</c:v>
                </c:pt>
                <c:pt idx="108">
                  <c:v>1215.9679213589811</c:v>
                </c:pt>
                <c:pt idx="109">
                  <c:v>1211.653297765622</c:v>
                </c:pt>
                <c:pt idx="110">
                  <c:v>1207.343607397604</c:v>
                </c:pt>
                <c:pt idx="111">
                  <c:v>1203.0393846029028</c:v>
                </c:pt>
                <c:pt idx="112">
                  <c:v>1198.7411637281866</c:v>
                </c:pt>
                <c:pt idx="113">
                  <c:v>1194.4494791213174</c:v>
                </c:pt>
                <c:pt idx="114">
                  <c:v>1190.1648651295886</c:v>
                </c:pt>
                <c:pt idx="115">
                  <c:v>1185.8878561008055</c:v>
                </c:pt>
                <c:pt idx="116">
                  <c:v>1181.6189863815794</c:v>
                </c:pt>
                <c:pt idx="117">
                  <c:v>1177.3587903201701</c:v>
                </c:pt>
                <c:pt idx="118">
                  <c:v>1173.107802263246</c:v>
                </c:pt>
                <c:pt idx="119">
                  <c:v>1168.8665565588394</c:v>
                </c:pt>
                <c:pt idx="120">
                  <c:v>1164.635587554244</c:v>
                </c:pt>
                <c:pt idx="121">
                  <c:v>1160.4154295966396</c:v>
                </c:pt>
                <c:pt idx="122">
                  <c:v>1156.206617033547</c:v>
                </c:pt>
                <c:pt idx="123">
                  <c:v>1152.009684212544</c:v>
                </c:pt>
                <c:pt idx="124">
                  <c:v>1147.8251654810379</c:v>
                </c:pt>
                <c:pt idx="125">
                  <c:v>1143.6535951858104</c:v>
                </c:pt>
                <c:pt idx="126">
                  <c:v>1139.4955076751785</c:v>
                </c:pt>
                <c:pt idx="127">
                  <c:v>1135.351437296265</c:v>
                </c:pt>
                <c:pt idx="128">
                  <c:v>1131.2219183964771</c:v>
                </c:pt>
                <c:pt idx="129">
                  <c:v>1127.1074853230516</c:v>
                </c:pt>
                <c:pt idx="130">
                  <c:v>1123.0086724233388</c:v>
                </c:pt>
                <c:pt idx="131">
                  <c:v>1118.9260140450301</c:v>
                </c:pt>
                <c:pt idx="132">
                  <c:v>1114.8600445360444</c:v>
                </c:pt>
                <c:pt idx="133">
                  <c:v>1110.8112982423108</c:v>
                </c:pt>
                <c:pt idx="134">
                  <c:v>1106.7803095127715</c:v>
                </c:pt>
                <c:pt idx="135">
                  <c:v>1102.7676126939241</c:v>
                </c:pt>
                <c:pt idx="136">
                  <c:v>1098.773742134199</c:v>
                </c:pt>
                <c:pt idx="137">
                  <c:v>1094.7992321793549</c:v>
                </c:pt>
                <c:pt idx="138">
                  <c:v>1090.8446171782771</c:v>
                </c:pt>
                <c:pt idx="139">
                  <c:v>1086.9104314777474</c:v>
                </c:pt>
                <c:pt idx="140">
                  <c:v>1082.9972094256277</c:v>
                </c:pt>
                <c:pt idx="141">
                  <c:v>1079.1054853690412</c:v>
                </c:pt>
                <c:pt idx="142">
                  <c:v>1075.2357936551107</c:v>
                </c:pt>
                <c:pt idx="143">
                  <c:v>1071.3886686316414</c:v>
                </c:pt>
                <c:pt idx="144">
                  <c:v>1067.5646446456994</c:v>
                </c:pt>
                <c:pt idx="145">
                  <c:v>1063.7642560458858</c:v>
                </c:pt>
                <c:pt idx="146">
                  <c:v>1059.9880371773338</c:v>
                </c:pt>
                <c:pt idx="147">
                  <c:v>1056.236522390293</c:v>
                </c:pt>
                <c:pt idx="148">
                  <c:v>1052.510246029442</c:v>
                </c:pt>
                <c:pt idx="149">
                  <c:v>1048.8097424443481</c:v>
                </c:pt>
                <c:pt idx="150">
                  <c:v>1045.1355459813954</c:v>
                </c:pt>
                <c:pt idx="151">
                  <c:v>1041.4881909878773</c:v>
                </c:pt>
                <c:pt idx="152">
                  <c:v>1037.8682118117126</c:v>
                </c:pt>
                <c:pt idx="153">
                  <c:v>1034.2761428004792</c:v>
                </c:pt>
                <c:pt idx="154">
                  <c:v>1030.7125183005041</c:v>
                </c:pt>
                <c:pt idx="155">
                  <c:v>1027.1778726605021</c:v>
                </c:pt>
                <c:pt idx="156">
                  <c:v>1023.6727402271981</c:v>
                </c:pt>
                <c:pt idx="157">
                  <c:v>1020.1976553480563</c:v>
                </c:pt>
                <c:pt idx="158">
                  <c:v>1016.7531523709386</c:v>
                </c:pt>
                <c:pt idx="159">
                  <c:v>1013.3397656424563</c:v>
                </c:pt>
                <c:pt idx="160">
                  <c:v>1009.9580295106421</c:v>
                </c:pt>
                <c:pt idx="161">
                  <c:v>1006.6084783233009</c:v>
                </c:pt>
                <c:pt idx="162">
                  <c:v>1003.2916464263621</c:v>
                </c:pt>
                <c:pt idx="163">
                  <c:v>1000.0080681687109</c:v>
                </c:pt>
                <c:pt idx="164">
                  <c:v>996.75827789701543</c:v>
                </c:pt>
                <c:pt idx="165">
                  <c:v>993.54280995959243</c:v>
                </c:pt>
                <c:pt idx="166">
                  <c:v>990.36219870288278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4-4064-8722-8E719FCAD713}"/>
            </c:ext>
          </c:extLst>
        </c:ser>
        <c:ser>
          <c:idx val="1"/>
          <c:order val="1"/>
          <c:tx>
            <c:strRef>
              <c:f>'Model tilvækst, slagteform, fe'!$AA$9</c:f>
              <c:strCache>
                <c:ptCount val="1"/>
                <c:pt idx="0">
                  <c:v>3 grad, alle data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fe'!$AA$209:$AA$375</c:f>
              <c:numCache>
                <c:formatCode>#,##0</c:formatCode>
                <c:ptCount val="167"/>
                <c:pt idx="0">
                  <c:v>1539.9439138693651</c:v>
                </c:pt>
                <c:pt idx="1">
                  <c:v>1540.0198249483878</c:v>
                </c:pt>
                <c:pt idx="2">
                  <c:v>1540.0474999123617</c:v>
                </c:pt>
                <c:pt idx="3">
                  <c:v>1540.0269387616845</c:v>
                </c:pt>
                <c:pt idx="4">
                  <c:v>1539.9581414960721</c:v>
                </c:pt>
                <c:pt idx="5">
                  <c:v>1539.8411081157519</c:v>
                </c:pt>
                <c:pt idx="6">
                  <c:v>1539.6758386206102</c:v>
                </c:pt>
                <c:pt idx="7">
                  <c:v>1539.4623330104196</c:v>
                </c:pt>
                <c:pt idx="8">
                  <c:v>1539.2005912855211</c:v>
                </c:pt>
                <c:pt idx="9">
                  <c:v>1538.8906134458011</c:v>
                </c:pt>
                <c:pt idx="10">
                  <c:v>1538.5323994913165</c:v>
                </c:pt>
                <c:pt idx="11">
                  <c:v>1538.1259494218966</c:v>
                </c:pt>
                <c:pt idx="12">
                  <c:v>1537.6712632377121</c:v>
                </c:pt>
                <c:pt idx="13">
                  <c:v>1537.1683409385355</c:v>
                </c:pt>
                <c:pt idx="14">
                  <c:v>1536.6171825247079</c:v>
                </c:pt>
                <c:pt idx="15">
                  <c:v>1536.0177879960588</c:v>
                </c:pt>
                <c:pt idx="16">
                  <c:v>1535.3701573524177</c:v>
                </c:pt>
                <c:pt idx="17">
                  <c:v>1534.6742905940687</c:v>
                </c:pt>
                <c:pt idx="18">
                  <c:v>1533.9301877208413</c:v>
                </c:pt>
                <c:pt idx="19">
                  <c:v>1533.1378487328493</c:v>
                </c:pt>
                <c:pt idx="20">
                  <c:v>1532.2972736298652</c:v>
                </c:pt>
                <c:pt idx="21">
                  <c:v>1531.4084624122302</c:v>
                </c:pt>
                <c:pt idx="22">
                  <c:v>1530.4714150796599</c:v>
                </c:pt>
                <c:pt idx="23">
                  <c:v>1529.4861316322681</c:v>
                </c:pt>
                <c:pt idx="24">
                  <c:v>1528.4526120699979</c:v>
                </c:pt>
                <c:pt idx="25">
                  <c:v>1527.3708563931336</c:v>
                </c:pt>
                <c:pt idx="26">
                  <c:v>1526.2408646011068</c:v>
                </c:pt>
                <c:pt idx="27">
                  <c:v>1525.0626366944289</c:v>
                </c:pt>
                <c:pt idx="28">
                  <c:v>1523.8361726728726</c:v>
                </c:pt>
                <c:pt idx="29">
                  <c:v>1522.5614725364949</c:v>
                </c:pt>
                <c:pt idx="30">
                  <c:v>1521.2385362852956</c:v>
                </c:pt>
                <c:pt idx="31">
                  <c:v>1519.8673639192748</c:v>
                </c:pt>
                <c:pt idx="32">
                  <c:v>1518.4479554383756</c:v>
                </c:pt>
                <c:pt idx="33">
                  <c:v>1516.9803108427118</c:v>
                </c:pt>
                <c:pt idx="34">
                  <c:v>1515.4644301321696</c:v>
                </c:pt>
                <c:pt idx="35">
                  <c:v>1513.900313306749</c:v>
                </c:pt>
                <c:pt idx="36">
                  <c:v>1512.2879603665069</c:v>
                </c:pt>
                <c:pt idx="37">
                  <c:v>1510.627371311557</c:v>
                </c:pt>
                <c:pt idx="38">
                  <c:v>1508.9185461416719</c:v>
                </c:pt>
                <c:pt idx="39">
                  <c:v>1507.1614848569652</c:v>
                </c:pt>
                <c:pt idx="40">
                  <c:v>1505.3561874573802</c:v>
                </c:pt>
                <c:pt idx="41">
                  <c:v>1503.5026539430305</c:v>
                </c:pt>
                <c:pt idx="42">
                  <c:v>1501.6008843139161</c:v>
                </c:pt>
                <c:pt idx="43">
                  <c:v>1499.6508785697529</c:v>
                </c:pt>
                <c:pt idx="44">
                  <c:v>1497.6526367110523</c:v>
                </c:pt>
                <c:pt idx="45">
                  <c:v>1495.6061587371892</c:v>
                </c:pt>
                <c:pt idx="46">
                  <c:v>1493.5114446487887</c:v>
                </c:pt>
                <c:pt idx="47">
                  <c:v>1491.3684944454531</c:v>
                </c:pt>
                <c:pt idx="48">
                  <c:v>1489.1773081270685</c:v>
                </c:pt>
                <c:pt idx="49">
                  <c:v>1486.9378856942603</c:v>
                </c:pt>
                <c:pt idx="50">
                  <c:v>1484.6502271462896</c:v>
                </c:pt>
                <c:pt idx="51">
                  <c:v>1482.314332483611</c:v>
                </c:pt>
                <c:pt idx="52">
                  <c:v>1479.9302017059972</c:v>
                </c:pt>
                <c:pt idx="53">
                  <c:v>1477.4978348137324</c:v>
                </c:pt>
                <c:pt idx="54">
                  <c:v>1475.0172318065893</c:v>
                </c:pt>
                <c:pt idx="55">
                  <c:v>1472.4883926843972</c:v>
                </c:pt>
                <c:pt idx="56">
                  <c:v>1469.9113174476111</c:v>
                </c:pt>
                <c:pt idx="57">
                  <c:v>1467.2860060959465</c:v>
                </c:pt>
                <c:pt idx="58">
                  <c:v>1464.6124586295173</c:v>
                </c:pt>
                <c:pt idx="59">
                  <c:v>1461.8906750480392</c:v>
                </c:pt>
                <c:pt idx="60">
                  <c:v>1459.1206553519669</c:v>
                </c:pt>
                <c:pt idx="61">
                  <c:v>1456.3023995408457</c:v>
                </c:pt>
                <c:pt idx="62">
                  <c:v>1453.4359076150167</c:v>
                </c:pt>
                <c:pt idx="63">
                  <c:v>1450.5211795743094</c:v>
                </c:pt>
                <c:pt idx="64">
                  <c:v>1447.558215418951</c:v>
                </c:pt>
                <c:pt idx="65">
                  <c:v>1444.5470151483164</c:v>
                </c:pt>
                <c:pt idx="66">
                  <c:v>1441.4875787633719</c:v>
                </c:pt>
                <c:pt idx="67">
                  <c:v>1438.3799062633784</c:v>
                </c:pt>
                <c:pt idx="68">
                  <c:v>1435.2239976483361</c:v>
                </c:pt>
                <c:pt idx="69">
                  <c:v>1432.0198529188701</c:v>
                </c:pt>
                <c:pt idx="70">
                  <c:v>1428.7674720741279</c:v>
                </c:pt>
                <c:pt idx="71">
                  <c:v>1425.4668551151326</c:v>
                </c:pt>
                <c:pt idx="72">
                  <c:v>1422.1180020406337</c:v>
                </c:pt>
                <c:pt idx="73">
                  <c:v>1418.7209128515974</c:v>
                </c:pt>
                <c:pt idx="74">
                  <c:v>1415.2755875479102</c:v>
                </c:pt>
                <c:pt idx="75">
                  <c:v>1411.782026129174</c:v>
                </c:pt>
                <c:pt idx="76">
                  <c:v>1408.2402285958437</c:v>
                </c:pt>
                <c:pt idx="77">
                  <c:v>1404.6501949473509</c:v>
                </c:pt>
                <c:pt idx="78">
                  <c:v>1401.0119251841502</c:v>
                </c:pt>
                <c:pt idx="79">
                  <c:v>1397.325419306128</c:v>
                </c:pt>
                <c:pt idx="80">
                  <c:v>1393.5906773133979</c:v>
                </c:pt>
                <c:pt idx="81">
                  <c:v>1389.8076992056758</c:v>
                </c:pt>
                <c:pt idx="82">
                  <c:v>1385.976484983189</c:v>
                </c:pt>
                <c:pt idx="83">
                  <c:v>1382.0970346457671</c:v>
                </c:pt>
                <c:pt idx="84">
                  <c:v>1378.1693481937509</c:v>
                </c:pt>
                <c:pt idx="85">
                  <c:v>1374.1934256265722</c:v>
                </c:pt>
                <c:pt idx="86">
                  <c:v>1370.169266944913</c:v>
                </c:pt>
                <c:pt idx="87">
                  <c:v>1366.0968721480913</c:v>
                </c:pt>
                <c:pt idx="88">
                  <c:v>1361.9762412367891</c:v>
                </c:pt>
                <c:pt idx="89">
                  <c:v>1357.8073742102674</c:v>
                </c:pt>
                <c:pt idx="90">
                  <c:v>1353.5902710692653</c:v>
                </c:pt>
                <c:pt idx="91">
                  <c:v>1349.3249318131006</c:v>
                </c:pt>
                <c:pt idx="92">
                  <c:v>1345.0113564423418</c:v>
                </c:pt>
                <c:pt idx="93">
                  <c:v>1340.6495449566478</c:v>
                </c:pt>
                <c:pt idx="94">
                  <c:v>1336.2394973563028</c:v>
                </c:pt>
                <c:pt idx="95">
                  <c:v>1331.781213640852</c:v>
                </c:pt>
                <c:pt idx="96">
                  <c:v>1327.2746938106934</c:v>
                </c:pt>
                <c:pt idx="97">
                  <c:v>1322.7199378657701</c:v>
                </c:pt>
                <c:pt idx="98">
                  <c:v>1318.1169458058548</c:v>
                </c:pt>
                <c:pt idx="99">
                  <c:v>1313.4657176311748</c:v>
                </c:pt>
                <c:pt idx="100">
                  <c:v>1308.766253341787</c:v>
                </c:pt>
                <c:pt idx="101">
                  <c:v>1304.0185529374639</c:v>
                </c:pt>
                <c:pt idx="102">
                  <c:v>1299.2226164183194</c:v>
                </c:pt>
                <c:pt idx="103">
                  <c:v>1294.3784437842396</c:v>
                </c:pt>
                <c:pt idx="104">
                  <c:v>1289.4860350355657</c:v>
                </c:pt>
                <c:pt idx="105">
                  <c:v>1284.5453901717292</c:v>
                </c:pt>
                <c:pt idx="106">
                  <c:v>1279.5565091934122</c:v>
                </c:pt>
                <c:pt idx="107">
                  <c:v>1274.5193921000464</c:v>
                </c:pt>
                <c:pt idx="108">
                  <c:v>1269.4340388917453</c:v>
                </c:pt>
                <c:pt idx="109">
                  <c:v>1264.3004495689638</c:v>
                </c:pt>
                <c:pt idx="110">
                  <c:v>1259.1186241311334</c:v>
                </c:pt>
                <c:pt idx="111">
                  <c:v>1253.8885625784246</c:v>
                </c:pt>
                <c:pt idx="112">
                  <c:v>1248.610264911008</c:v>
                </c:pt>
                <c:pt idx="113">
                  <c:v>1243.2837311284857</c:v>
                </c:pt>
                <c:pt idx="114">
                  <c:v>1237.9089612314829</c:v>
                </c:pt>
                <c:pt idx="115">
                  <c:v>1232.4859552195448</c:v>
                </c:pt>
                <c:pt idx="116">
                  <c:v>1227.0147130927285</c:v>
                </c:pt>
                <c:pt idx="117">
                  <c:v>1221.4952348509769</c:v>
                </c:pt>
                <c:pt idx="118">
                  <c:v>1215.927520494688</c:v>
                </c:pt>
                <c:pt idx="119">
                  <c:v>1210.3115700232365</c:v>
                </c:pt>
                <c:pt idx="120">
                  <c:v>1204.6473834371909</c:v>
                </c:pt>
                <c:pt idx="121">
                  <c:v>1198.9349607361532</c:v>
                </c:pt>
                <c:pt idx="122">
                  <c:v>1193.1743019203509</c:v>
                </c:pt>
                <c:pt idx="123">
                  <c:v>1187.365406989727</c:v>
                </c:pt>
                <c:pt idx="124">
                  <c:v>1181.508275944168</c:v>
                </c:pt>
                <c:pt idx="125">
                  <c:v>1175.6029087840716</c:v>
                </c:pt>
                <c:pt idx="126">
                  <c:v>1169.6493055086989</c:v>
                </c:pt>
                <c:pt idx="127">
                  <c:v>1163.6474661188458</c:v>
                </c:pt>
                <c:pt idx="128">
                  <c:v>1157.5973906140575</c:v>
                </c:pt>
                <c:pt idx="129">
                  <c:v>1151.4990789944477</c:v>
                </c:pt>
                <c:pt idx="130">
                  <c:v>1145.3525312598458</c:v>
                </c:pt>
                <c:pt idx="131">
                  <c:v>1139.1577474107635</c:v>
                </c:pt>
                <c:pt idx="132">
                  <c:v>1132.9147274464049</c:v>
                </c:pt>
                <c:pt idx="133">
                  <c:v>1126.6234713676795</c:v>
                </c:pt>
                <c:pt idx="134">
                  <c:v>1120.2839791737347</c:v>
                </c:pt>
                <c:pt idx="135">
                  <c:v>1113.8962508650252</c:v>
                </c:pt>
                <c:pt idx="136">
                  <c:v>1107.4602864417784</c:v>
                </c:pt>
                <c:pt idx="137">
                  <c:v>1100.9760859033122</c:v>
                </c:pt>
                <c:pt idx="138">
                  <c:v>1094.4436492501382</c:v>
                </c:pt>
                <c:pt idx="139">
                  <c:v>1087.86297648237</c:v>
                </c:pt>
                <c:pt idx="140">
                  <c:v>1081.2340675994392</c:v>
                </c:pt>
                <c:pt idx="141">
                  <c:v>1074.5569226019143</c:v>
                </c:pt>
                <c:pt idx="142">
                  <c:v>1067.8315414893405</c:v>
                </c:pt>
                <c:pt idx="143">
                  <c:v>1061.0579242621156</c:v>
                </c:pt>
                <c:pt idx="144">
                  <c:v>1054.2360709200693</c:v>
                </c:pt>
                <c:pt idx="145">
                  <c:v>1047.3659814630309</c:v>
                </c:pt>
                <c:pt idx="146">
                  <c:v>1040.4476558912847</c:v>
                </c:pt>
                <c:pt idx="147">
                  <c:v>1033.4810942046033</c:v>
                </c:pt>
                <c:pt idx="148">
                  <c:v>1026.4662964031572</c:v>
                </c:pt>
                <c:pt idx="149">
                  <c:v>1019.4032624868896</c:v>
                </c:pt>
                <c:pt idx="150">
                  <c:v>1012.2919924558005</c:v>
                </c:pt>
                <c:pt idx="151">
                  <c:v>1005.1324863097761</c:v>
                </c:pt>
                <c:pt idx="152">
                  <c:v>997.92474404904397</c:v>
                </c:pt>
                <c:pt idx="153">
                  <c:v>990.66876567337658</c:v>
                </c:pt>
                <c:pt idx="154">
                  <c:v>983.3645511831719</c:v>
                </c:pt>
                <c:pt idx="155">
                  <c:v>976.01210057752041</c:v>
                </c:pt>
                <c:pt idx="156">
                  <c:v>968.611413857559</c:v>
                </c:pt>
                <c:pt idx="157">
                  <c:v>961.16249102271922</c:v>
                </c:pt>
                <c:pt idx="158">
                  <c:v>953.66533207294424</c:v>
                </c:pt>
                <c:pt idx="159">
                  <c:v>946.11993700812036</c:v>
                </c:pt>
                <c:pt idx="160">
                  <c:v>938.52630582887286</c:v>
                </c:pt>
                <c:pt idx="161">
                  <c:v>930.88443853446279</c:v>
                </c:pt>
                <c:pt idx="162">
                  <c:v>923.19433512540172</c:v>
                </c:pt>
                <c:pt idx="163">
                  <c:v>915.45599560151913</c:v>
                </c:pt>
                <c:pt idx="164">
                  <c:v>907.66941996270134</c:v>
                </c:pt>
                <c:pt idx="165">
                  <c:v>899.83460820906203</c:v>
                </c:pt>
                <c:pt idx="166">
                  <c:v>891.95156034071488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4-4064-8722-8E719FCAD713}"/>
            </c:ext>
          </c:extLst>
        </c:ser>
        <c:ser>
          <c:idx val="2"/>
          <c:order val="2"/>
          <c:tx>
            <c:strRef>
              <c:f>'Model tilvækst, slagteform, fe'!$AB$9</c:f>
              <c:strCache>
                <c:ptCount val="1"/>
                <c:pt idx="0">
                  <c:v>3 grad, minus vægt dag 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fe'!$AB$209:$AB$375</c:f>
              <c:numCache>
                <c:formatCode>#,##0</c:formatCode>
                <c:ptCount val="167"/>
                <c:pt idx="0">
                  <c:v>1494.6535169762001</c:v>
                </c:pt>
                <c:pt idx="1">
                  <c:v>1494.4990270342942</c:v>
                </c:pt>
                <c:pt idx="2">
                  <c:v>1494.310417383133</c:v>
                </c:pt>
                <c:pt idx="3">
                  <c:v>1494.0876880227165</c:v>
                </c:pt>
                <c:pt idx="4">
                  <c:v>1493.8308389530448</c:v>
                </c:pt>
                <c:pt idx="5">
                  <c:v>1493.5398701740041</c:v>
                </c:pt>
                <c:pt idx="6">
                  <c:v>1493.2147816856514</c:v>
                </c:pt>
                <c:pt idx="7">
                  <c:v>1492.8555734882138</c:v>
                </c:pt>
                <c:pt idx="8">
                  <c:v>1492.4622455812369</c:v>
                </c:pt>
                <c:pt idx="9">
                  <c:v>1492.0347979650046</c:v>
                </c:pt>
                <c:pt idx="10">
                  <c:v>1491.5732306396308</c:v>
                </c:pt>
                <c:pt idx="11">
                  <c:v>1491.0775436048311</c:v>
                </c:pt>
                <c:pt idx="12">
                  <c:v>1490.5477368608331</c:v>
                </c:pt>
                <c:pt idx="13">
                  <c:v>1489.9838104075229</c:v>
                </c:pt>
                <c:pt idx="14">
                  <c:v>1489.3857642448438</c:v>
                </c:pt>
                <c:pt idx="15">
                  <c:v>1488.7535983730231</c:v>
                </c:pt>
                <c:pt idx="16">
                  <c:v>1488.0873127917198</c:v>
                </c:pt>
                <c:pt idx="17">
                  <c:v>1487.386907501218</c:v>
                </c:pt>
                <c:pt idx="18">
                  <c:v>1486.6523825015179</c:v>
                </c:pt>
                <c:pt idx="19">
                  <c:v>1485.8837377923919</c:v>
                </c:pt>
                <c:pt idx="20">
                  <c:v>1485.0809733740675</c:v>
                </c:pt>
                <c:pt idx="21">
                  <c:v>1484.2440892463173</c:v>
                </c:pt>
                <c:pt idx="22">
                  <c:v>1483.3730854094256</c:v>
                </c:pt>
                <c:pt idx="23">
                  <c:v>1482.4679618632217</c:v>
                </c:pt>
                <c:pt idx="24">
                  <c:v>1481.5287186075921</c:v>
                </c:pt>
                <c:pt idx="25">
                  <c:v>1480.5553556428777</c:v>
                </c:pt>
                <c:pt idx="26">
                  <c:v>1479.5478729687375</c:v>
                </c:pt>
                <c:pt idx="27">
                  <c:v>1478.506270585342</c:v>
                </c:pt>
                <c:pt idx="28">
                  <c:v>1477.4305484926913</c:v>
                </c:pt>
                <c:pt idx="29">
                  <c:v>1476.3207066905579</c:v>
                </c:pt>
                <c:pt idx="30">
                  <c:v>1475.1767451794535</c:v>
                </c:pt>
                <c:pt idx="31">
                  <c:v>1473.9986639588665</c:v>
                </c:pt>
                <c:pt idx="32">
                  <c:v>1472.7864630289105</c:v>
                </c:pt>
                <c:pt idx="33">
                  <c:v>1471.5401423898697</c:v>
                </c:pt>
                <c:pt idx="34">
                  <c:v>1470.2597020414601</c:v>
                </c:pt>
                <c:pt idx="35">
                  <c:v>1468.9451419835677</c:v>
                </c:pt>
                <c:pt idx="36">
                  <c:v>1467.5964622166475</c:v>
                </c:pt>
                <c:pt idx="37">
                  <c:v>1466.2136627403015</c:v>
                </c:pt>
                <c:pt idx="38">
                  <c:v>1464.7967435548708</c:v>
                </c:pt>
                <c:pt idx="39">
                  <c:v>1463.3457046597869</c:v>
                </c:pt>
                <c:pt idx="40">
                  <c:v>1461.8605460557319</c:v>
                </c:pt>
                <c:pt idx="41">
                  <c:v>1460.3412677421943</c:v>
                </c:pt>
                <c:pt idx="42">
                  <c:v>1458.7878697194583</c:v>
                </c:pt>
                <c:pt idx="43">
                  <c:v>1457.2003519874102</c:v>
                </c:pt>
                <c:pt idx="44">
                  <c:v>1455.5787145461068</c:v>
                </c:pt>
                <c:pt idx="45">
                  <c:v>1453.9229573954913</c:v>
                </c:pt>
                <c:pt idx="46">
                  <c:v>1452.2330805355068</c:v>
                </c:pt>
                <c:pt idx="47">
                  <c:v>1450.5090839662671</c:v>
                </c:pt>
                <c:pt idx="48">
                  <c:v>1448.7509676877721</c:v>
                </c:pt>
                <c:pt idx="49">
                  <c:v>1446.9587317000219</c:v>
                </c:pt>
                <c:pt idx="50">
                  <c:v>1445.1323760029595</c:v>
                </c:pt>
                <c:pt idx="51">
                  <c:v>1443.2719005965282</c:v>
                </c:pt>
                <c:pt idx="52">
                  <c:v>1441.3773054808985</c:v>
                </c:pt>
                <c:pt idx="53">
                  <c:v>1439.4485906558998</c:v>
                </c:pt>
                <c:pt idx="54">
                  <c:v>1437.4857561216459</c:v>
                </c:pt>
                <c:pt idx="55">
                  <c:v>1435.4888018781367</c:v>
                </c:pt>
                <c:pt idx="56">
                  <c:v>1433.4577279253722</c:v>
                </c:pt>
                <c:pt idx="57">
                  <c:v>1431.3925342631819</c:v>
                </c:pt>
                <c:pt idx="58">
                  <c:v>1429.2932208917932</c:v>
                </c:pt>
                <c:pt idx="59">
                  <c:v>1427.1597878110924</c:v>
                </c:pt>
                <c:pt idx="60">
                  <c:v>1424.9922350210795</c:v>
                </c:pt>
                <c:pt idx="61">
                  <c:v>1422.7905625218114</c:v>
                </c:pt>
                <c:pt idx="62">
                  <c:v>1420.5547703132879</c:v>
                </c:pt>
                <c:pt idx="63">
                  <c:v>1418.2848583953387</c:v>
                </c:pt>
                <c:pt idx="64">
                  <c:v>1415.980826768191</c:v>
                </c:pt>
                <c:pt idx="65">
                  <c:v>1413.6426754317881</c:v>
                </c:pt>
                <c:pt idx="66">
                  <c:v>1411.2704043860731</c:v>
                </c:pt>
                <c:pt idx="67">
                  <c:v>1408.8640136309891</c:v>
                </c:pt>
                <c:pt idx="68">
                  <c:v>1406.4235031667067</c:v>
                </c:pt>
                <c:pt idx="69">
                  <c:v>1403.9488729931122</c:v>
                </c:pt>
                <c:pt idx="70">
                  <c:v>1401.4401231102056</c:v>
                </c:pt>
                <c:pt idx="71">
                  <c:v>1398.8972535180437</c:v>
                </c:pt>
                <c:pt idx="72">
                  <c:v>1396.3202642165697</c:v>
                </c:pt>
                <c:pt idx="73">
                  <c:v>1393.7091552057836</c:v>
                </c:pt>
                <c:pt idx="74">
                  <c:v>1391.0639264856854</c:v>
                </c:pt>
                <c:pt idx="75">
                  <c:v>1388.3845780563888</c:v>
                </c:pt>
                <c:pt idx="76">
                  <c:v>1385.6711099177232</c:v>
                </c:pt>
                <c:pt idx="77">
                  <c:v>1382.9235220697456</c:v>
                </c:pt>
                <c:pt idx="78">
                  <c:v>1380.1418145126263</c:v>
                </c:pt>
                <c:pt idx="79">
                  <c:v>1377.3259872460244</c:v>
                </c:pt>
                <c:pt idx="80">
                  <c:v>1374.4760402702809</c:v>
                </c:pt>
                <c:pt idx="81">
                  <c:v>1371.5919735851116</c:v>
                </c:pt>
                <c:pt idx="82">
                  <c:v>1368.6737871908008</c:v>
                </c:pt>
                <c:pt idx="83">
                  <c:v>1365.721481087121</c:v>
                </c:pt>
                <c:pt idx="84">
                  <c:v>1362.7350552741291</c:v>
                </c:pt>
                <c:pt idx="85">
                  <c:v>1359.7145097519387</c:v>
                </c:pt>
                <c:pt idx="86">
                  <c:v>1356.6598445203226</c:v>
                </c:pt>
                <c:pt idx="87">
                  <c:v>1353.5710595793944</c:v>
                </c:pt>
                <c:pt idx="88">
                  <c:v>1350.4481549293814</c:v>
                </c:pt>
                <c:pt idx="89">
                  <c:v>1347.2911305699995</c:v>
                </c:pt>
                <c:pt idx="90">
                  <c:v>1344.0999865012486</c:v>
                </c:pt>
                <c:pt idx="91">
                  <c:v>1340.8747227232425</c:v>
                </c:pt>
                <c:pt idx="92">
                  <c:v>1337.6153392358674</c:v>
                </c:pt>
                <c:pt idx="93">
                  <c:v>1334.3218360394076</c:v>
                </c:pt>
                <c:pt idx="94">
                  <c:v>1330.9942131334651</c:v>
                </c:pt>
                <c:pt idx="95">
                  <c:v>1327.6324705184948</c:v>
                </c:pt>
                <c:pt idx="96">
                  <c:v>1324.2366081938144</c:v>
                </c:pt>
                <c:pt idx="97">
                  <c:v>1320.8066261602198</c:v>
                </c:pt>
                <c:pt idx="98">
                  <c:v>1317.3425244169721</c:v>
                </c:pt>
                <c:pt idx="99">
                  <c:v>1313.8443029648101</c:v>
                </c:pt>
                <c:pt idx="100">
                  <c:v>1310.3119618030519</c:v>
                </c:pt>
                <c:pt idx="101">
                  <c:v>1306.7455009323794</c:v>
                </c:pt>
                <c:pt idx="102">
                  <c:v>1303.1449203519969</c:v>
                </c:pt>
                <c:pt idx="103">
                  <c:v>1299.5102200626434</c:v>
                </c:pt>
                <c:pt idx="104">
                  <c:v>1295.8414000638641</c:v>
                </c:pt>
                <c:pt idx="105">
                  <c:v>1292.1384603557726</c:v>
                </c:pt>
                <c:pt idx="106">
                  <c:v>1288.4014009383122</c:v>
                </c:pt>
                <c:pt idx="107">
                  <c:v>1284.630221811824</c:v>
                </c:pt>
                <c:pt idx="108">
                  <c:v>1280.8249229756825</c:v>
                </c:pt>
                <c:pt idx="109">
                  <c:v>1276.9855044306269</c:v>
                </c:pt>
                <c:pt idx="110">
                  <c:v>1273.1119661760317</c:v>
                </c:pt>
                <c:pt idx="111">
                  <c:v>1269.2043082121813</c:v>
                </c:pt>
                <c:pt idx="112">
                  <c:v>1265.2625305391894</c:v>
                </c:pt>
                <c:pt idx="113">
                  <c:v>1261.2866331567147</c:v>
                </c:pt>
                <c:pt idx="114">
                  <c:v>1257.276616064928</c:v>
                </c:pt>
                <c:pt idx="115">
                  <c:v>1253.2324792641134</c:v>
                </c:pt>
                <c:pt idx="116">
                  <c:v>1249.1542227537593</c:v>
                </c:pt>
                <c:pt idx="117">
                  <c:v>1245.0418465343773</c:v>
                </c:pt>
                <c:pt idx="118">
                  <c:v>1240.8953506054559</c:v>
                </c:pt>
                <c:pt idx="119">
                  <c:v>1236.7147349672223</c:v>
                </c:pt>
                <c:pt idx="120">
                  <c:v>1232.4999996198471</c:v>
                </c:pt>
                <c:pt idx="121">
                  <c:v>1228.2511445629893</c:v>
                </c:pt>
                <c:pt idx="122">
                  <c:v>1223.9681697971037</c:v>
                </c:pt>
                <c:pt idx="123">
                  <c:v>1219.651075321849</c:v>
                </c:pt>
                <c:pt idx="124">
                  <c:v>1215.2998611371686</c:v>
                </c:pt>
                <c:pt idx="125">
                  <c:v>1210.9145272434034</c:v>
                </c:pt>
                <c:pt idx="126">
                  <c:v>1206.4950736402125</c:v>
                </c:pt>
                <c:pt idx="127">
                  <c:v>1202.0415003276526</c:v>
                </c:pt>
                <c:pt idx="128">
                  <c:v>1197.5538073060079</c:v>
                </c:pt>
                <c:pt idx="129">
                  <c:v>1193.0319945749375</c:v>
                </c:pt>
                <c:pt idx="130">
                  <c:v>1188.4760621345549</c:v>
                </c:pt>
                <c:pt idx="131">
                  <c:v>1183.8860099850308</c:v>
                </c:pt>
                <c:pt idx="132">
                  <c:v>1179.2618381259672</c:v>
                </c:pt>
                <c:pt idx="133">
                  <c:v>1174.603546557762</c:v>
                </c:pt>
                <c:pt idx="134">
                  <c:v>1169.9111352803016</c:v>
                </c:pt>
                <c:pt idx="135">
                  <c:v>1165.1846042935858</c:v>
                </c:pt>
                <c:pt idx="136">
                  <c:v>1160.4239535973875</c:v>
                </c:pt>
                <c:pt idx="137">
                  <c:v>1155.6291831921044</c:v>
                </c:pt>
                <c:pt idx="138">
                  <c:v>1150.800293077566</c:v>
                </c:pt>
                <c:pt idx="139">
                  <c:v>1145.9372832534314</c:v>
                </c:pt>
                <c:pt idx="140">
                  <c:v>1141.0401537202688</c:v>
                </c:pt>
                <c:pt idx="141">
                  <c:v>1136.108904477851</c:v>
                </c:pt>
                <c:pt idx="142">
                  <c:v>1131.14353552578</c:v>
                </c:pt>
                <c:pt idx="143">
                  <c:v>1126.1440468649084</c:v>
                </c:pt>
                <c:pt idx="144">
                  <c:v>1121.1104384942701</c:v>
                </c:pt>
                <c:pt idx="145">
                  <c:v>1116.0427104147743</c:v>
                </c:pt>
                <c:pt idx="146">
                  <c:v>1110.9408626256823</c:v>
                </c:pt>
                <c:pt idx="147">
                  <c:v>1105.8048951273918</c:v>
                </c:pt>
                <c:pt idx="148">
                  <c:v>1100.6348079199029</c:v>
                </c:pt>
                <c:pt idx="149">
                  <c:v>1095.4306010031019</c:v>
                </c:pt>
                <c:pt idx="150">
                  <c:v>1090.1922743768182</c:v>
                </c:pt>
                <c:pt idx="151">
                  <c:v>1084.9198280414498</c:v>
                </c:pt>
                <c:pt idx="152">
                  <c:v>1079.6132619967125</c:v>
                </c:pt>
                <c:pt idx="153">
                  <c:v>1074.2725762428336</c:v>
                </c:pt>
                <c:pt idx="154">
                  <c:v>1068.8977707793583</c:v>
                </c:pt>
                <c:pt idx="155">
                  <c:v>1063.4888456067983</c:v>
                </c:pt>
                <c:pt idx="156">
                  <c:v>1058.0458007247557</c:v>
                </c:pt>
                <c:pt idx="157">
                  <c:v>1052.5686361338558</c:v>
                </c:pt>
                <c:pt idx="158">
                  <c:v>1047.0573518331321</c:v>
                </c:pt>
                <c:pt idx="159">
                  <c:v>1041.5119478235511</c:v>
                </c:pt>
                <c:pt idx="160">
                  <c:v>1035.9324241044305</c:v>
                </c:pt>
                <c:pt idx="161">
                  <c:v>1030.3187806761684</c:v>
                </c:pt>
                <c:pt idx="162">
                  <c:v>1024.6710175384237</c:v>
                </c:pt>
                <c:pt idx="163">
                  <c:v>1018.9891346914806</c:v>
                </c:pt>
                <c:pt idx="164">
                  <c:v>1013.2731321353958</c:v>
                </c:pt>
                <c:pt idx="165">
                  <c:v>1007.5230098698285</c:v>
                </c:pt>
                <c:pt idx="166">
                  <c:v>1001.7387678948921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4-4064-8722-8E719FCAD713}"/>
            </c:ext>
          </c:extLst>
        </c:ser>
        <c:ser>
          <c:idx val="3"/>
          <c:order val="3"/>
          <c:tx>
            <c:strRef>
              <c:f>'Model tilvækst, slagteform, fe'!$AC$9</c:f>
              <c:strCache>
                <c:ptCount val="1"/>
                <c:pt idx="0">
                  <c:v>3 grad, minus vægt dag 0 og 30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fe'!$AC$209:$AC$375</c:f>
              <c:numCache>
                <c:formatCode>#,##0</c:formatCode>
                <c:ptCount val="167"/>
                <c:pt idx="0">
                  <c:v>1455.1509555761299</c:v>
                </c:pt>
                <c:pt idx="1">
                  <c:v>1454.4284281398632</c:v>
                </c:pt>
                <c:pt idx="2">
                  <c:v>1453.6897466349501</c:v>
                </c:pt>
                <c:pt idx="3">
                  <c:v>1452.9349110613907</c:v>
                </c:pt>
                <c:pt idx="4">
                  <c:v>1452.1639214190145</c:v>
                </c:pt>
                <c:pt idx="5">
                  <c:v>1451.3767777081057</c:v>
                </c:pt>
                <c:pt idx="6">
                  <c:v>1450.5734799283232</c:v>
                </c:pt>
                <c:pt idx="7">
                  <c:v>1449.7540280799512</c:v>
                </c:pt>
                <c:pt idx="8">
                  <c:v>1448.9184221628761</c:v>
                </c:pt>
                <c:pt idx="9">
                  <c:v>1448.0666621770979</c:v>
                </c:pt>
                <c:pt idx="10">
                  <c:v>1447.1987481226165</c:v>
                </c:pt>
                <c:pt idx="11">
                  <c:v>1446.314679999432</c:v>
                </c:pt>
                <c:pt idx="12">
                  <c:v>1445.4144578076011</c:v>
                </c:pt>
                <c:pt idx="13">
                  <c:v>1444.4980815469535</c:v>
                </c:pt>
                <c:pt idx="14">
                  <c:v>1443.5655512177163</c:v>
                </c:pt>
                <c:pt idx="15">
                  <c:v>1442.6168668197761</c:v>
                </c:pt>
                <c:pt idx="16">
                  <c:v>1441.6520283531327</c:v>
                </c:pt>
                <c:pt idx="17">
                  <c:v>1440.6710358177293</c:v>
                </c:pt>
                <c:pt idx="18">
                  <c:v>1439.6738892137364</c:v>
                </c:pt>
                <c:pt idx="19">
                  <c:v>1438.6605885409267</c:v>
                </c:pt>
                <c:pt idx="20">
                  <c:v>1437.6311337995844</c:v>
                </c:pt>
                <c:pt idx="21">
                  <c:v>1436.5855249893684</c:v>
                </c:pt>
                <c:pt idx="22">
                  <c:v>1435.5237621106198</c:v>
                </c:pt>
                <c:pt idx="23">
                  <c:v>1434.4458451629976</c:v>
                </c:pt>
                <c:pt idx="24">
                  <c:v>1433.3517741468427</c:v>
                </c:pt>
                <c:pt idx="25">
                  <c:v>1432.241549061871</c:v>
                </c:pt>
                <c:pt idx="26">
                  <c:v>1431.1151699082529</c:v>
                </c:pt>
                <c:pt idx="27">
                  <c:v>1429.9726366859886</c:v>
                </c:pt>
                <c:pt idx="28">
                  <c:v>1428.8139493949643</c:v>
                </c:pt>
                <c:pt idx="29">
                  <c:v>1427.6391080352369</c:v>
                </c:pt>
                <c:pt idx="30">
                  <c:v>1426.4481126068631</c:v>
                </c:pt>
                <c:pt idx="31">
                  <c:v>1425.2409631098431</c:v>
                </c:pt>
                <c:pt idx="32">
                  <c:v>1424.0176595440062</c:v>
                </c:pt>
                <c:pt idx="33">
                  <c:v>1422.778201909523</c:v>
                </c:pt>
                <c:pt idx="34">
                  <c:v>1421.522590206223</c:v>
                </c:pt>
                <c:pt idx="35">
                  <c:v>1420.250824434504</c:v>
                </c:pt>
                <c:pt idx="36">
                  <c:v>1418.9629045937977</c:v>
                </c:pt>
                <c:pt idx="37">
                  <c:v>1417.6588306846156</c:v>
                </c:pt>
                <c:pt idx="38">
                  <c:v>1416.3386027066167</c:v>
                </c:pt>
                <c:pt idx="39">
                  <c:v>1415.0022206599715</c:v>
                </c:pt>
                <c:pt idx="40">
                  <c:v>1413.6496845446231</c:v>
                </c:pt>
                <c:pt idx="41">
                  <c:v>1412.2809943605148</c:v>
                </c:pt>
                <c:pt idx="42">
                  <c:v>1410.8961501077601</c:v>
                </c:pt>
                <c:pt idx="43">
                  <c:v>1409.4951517863592</c:v>
                </c:pt>
                <c:pt idx="44">
                  <c:v>1408.0779993961983</c:v>
                </c:pt>
                <c:pt idx="45">
                  <c:v>1406.644692937391</c:v>
                </c:pt>
                <c:pt idx="46">
                  <c:v>1405.1952324098806</c:v>
                </c:pt>
                <c:pt idx="47">
                  <c:v>1403.7296178135534</c:v>
                </c:pt>
                <c:pt idx="48">
                  <c:v>1402.2478491486936</c:v>
                </c:pt>
                <c:pt idx="49">
                  <c:v>1400.7499264150738</c:v>
                </c:pt>
                <c:pt idx="50">
                  <c:v>1399.2358496127508</c:v>
                </c:pt>
                <c:pt idx="51">
                  <c:v>1397.7056187417247</c:v>
                </c:pt>
                <c:pt idx="52">
                  <c:v>1396.1592338021092</c:v>
                </c:pt>
                <c:pt idx="53">
                  <c:v>1394.5966947936199</c:v>
                </c:pt>
                <c:pt idx="54">
                  <c:v>1393.0180017164844</c:v>
                </c:pt>
                <c:pt idx="55">
                  <c:v>1391.4231545707594</c:v>
                </c:pt>
                <c:pt idx="56">
                  <c:v>1389.8121533562176</c:v>
                </c:pt>
                <c:pt idx="57">
                  <c:v>1388.1849980730294</c:v>
                </c:pt>
                <c:pt idx="58">
                  <c:v>1386.541688721195</c:v>
                </c:pt>
                <c:pt idx="59">
                  <c:v>1384.8822253005437</c:v>
                </c:pt>
                <c:pt idx="60">
                  <c:v>1383.206607811303</c:v>
                </c:pt>
                <c:pt idx="61">
                  <c:v>1381.5148362533591</c:v>
                </c:pt>
                <c:pt idx="62">
                  <c:v>1379.8069106266553</c:v>
                </c:pt>
                <c:pt idx="63">
                  <c:v>1378.0828309313051</c:v>
                </c:pt>
                <c:pt idx="64">
                  <c:v>1376.3425971672518</c:v>
                </c:pt>
                <c:pt idx="65">
                  <c:v>1374.5862093344954</c:v>
                </c:pt>
                <c:pt idx="66">
                  <c:v>1372.8136674329789</c:v>
                </c:pt>
                <c:pt idx="67">
                  <c:v>1371.0249714629299</c:v>
                </c:pt>
                <c:pt idx="68">
                  <c:v>1369.2201214240072</c:v>
                </c:pt>
                <c:pt idx="69">
                  <c:v>1367.3991173165518</c:v>
                </c:pt>
                <c:pt idx="70">
                  <c:v>1365.5619591402228</c:v>
                </c:pt>
                <c:pt idx="71">
                  <c:v>1363.708646895418</c:v>
                </c:pt>
                <c:pt idx="72">
                  <c:v>1361.8391805816827</c:v>
                </c:pt>
                <c:pt idx="73">
                  <c:v>1359.953560199358</c:v>
                </c:pt>
                <c:pt idx="74">
                  <c:v>1358.0517857483869</c:v>
                </c:pt>
                <c:pt idx="75">
                  <c:v>1356.1338572287127</c:v>
                </c:pt>
                <c:pt idx="76">
                  <c:v>1354.1997746402217</c:v>
                </c:pt>
                <c:pt idx="77">
                  <c:v>1352.2495379831412</c:v>
                </c:pt>
                <c:pt idx="78">
                  <c:v>1350.2831472573007</c:v>
                </c:pt>
                <c:pt idx="79">
                  <c:v>1348.3006024628139</c:v>
                </c:pt>
                <c:pt idx="80">
                  <c:v>1346.3019035997377</c:v>
                </c:pt>
                <c:pt idx="81">
                  <c:v>1344.2870506677309</c:v>
                </c:pt>
                <c:pt idx="82">
                  <c:v>1342.2560436672484</c:v>
                </c:pt>
                <c:pt idx="83">
                  <c:v>1340.2088825978922</c:v>
                </c:pt>
                <c:pt idx="84">
                  <c:v>1338.1455674598897</c:v>
                </c:pt>
                <c:pt idx="85">
                  <c:v>1336.0660982532409</c:v>
                </c:pt>
                <c:pt idx="86">
                  <c:v>1333.9704749778321</c:v>
                </c:pt>
                <c:pt idx="87">
                  <c:v>1331.8586976338338</c:v>
                </c:pt>
                <c:pt idx="88">
                  <c:v>1329.7307662210187</c:v>
                </c:pt>
                <c:pt idx="89">
                  <c:v>1327.5866807395573</c:v>
                </c:pt>
                <c:pt idx="90">
                  <c:v>1325.4264411894496</c:v>
                </c:pt>
                <c:pt idx="91">
                  <c:v>1323.250047570582</c:v>
                </c:pt>
                <c:pt idx="92">
                  <c:v>1321.057499883068</c:v>
                </c:pt>
                <c:pt idx="93">
                  <c:v>1318.8487981267372</c:v>
                </c:pt>
                <c:pt idx="94">
                  <c:v>1316.6239423018737</c:v>
                </c:pt>
                <c:pt idx="95">
                  <c:v>1314.3829324082503</c:v>
                </c:pt>
                <c:pt idx="96">
                  <c:v>1312.1257684458669</c:v>
                </c:pt>
                <c:pt idx="97">
                  <c:v>1309.8524504148941</c:v>
                </c:pt>
                <c:pt idx="98">
                  <c:v>1307.5629783151612</c:v>
                </c:pt>
                <c:pt idx="99">
                  <c:v>1305.2573521467821</c:v>
                </c:pt>
                <c:pt idx="100">
                  <c:v>1302.9355719095292</c:v>
                </c:pt>
                <c:pt idx="101">
                  <c:v>1300.5976376038575</c:v>
                </c:pt>
                <c:pt idx="102">
                  <c:v>1298.2435492293121</c:v>
                </c:pt>
                <c:pt idx="103">
                  <c:v>1295.8733067861203</c:v>
                </c:pt>
                <c:pt idx="104">
                  <c:v>1293.4869102742255</c:v>
                </c:pt>
                <c:pt idx="105">
                  <c:v>1291.0843596936274</c:v>
                </c:pt>
                <c:pt idx="106">
                  <c:v>1288.6656550443263</c:v>
                </c:pt>
                <c:pt idx="107">
                  <c:v>1286.230796326322</c:v>
                </c:pt>
                <c:pt idx="108">
                  <c:v>1283.7797835396714</c:v>
                </c:pt>
                <c:pt idx="109">
                  <c:v>1281.3126166842608</c:v>
                </c:pt>
                <c:pt idx="110">
                  <c:v>1278.8292957602607</c:v>
                </c:pt>
                <c:pt idx="111">
                  <c:v>1276.3298207675007</c:v>
                </c:pt>
                <c:pt idx="112">
                  <c:v>1273.8141917059806</c:v>
                </c:pt>
                <c:pt idx="113">
                  <c:v>1271.2824085758712</c:v>
                </c:pt>
                <c:pt idx="114">
                  <c:v>1268.734471376888</c:v>
                </c:pt>
                <c:pt idx="115">
                  <c:v>1266.1703801094859</c:v>
                </c:pt>
                <c:pt idx="116">
                  <c:v>1263.5901347732101</c:v>
                </c:pt>
                <c:pt idx="117">
                  <c:v>1260.9937353682312</c:v>
                </c:pt>
                <c:pt idx="118">
                  <c:v>1258.3811818945492</c:v>
                </c:pt>
                <c:pt idx="119">
                  <c:v>1255.7524743522208</c:v>
                </c:pt>
                <c:pt idx="120">
                  <c:v>1253.107612741303</c:v>
                </c:pt>
                <c:pt idx="121">
                  <c:v>1250.4465970615115</c:v>
                </c:pt>
                <c:pt idx="122">
                  <c:v>1247.7694273130737</c:v>
                </c:pt>
                <c:pt idx="123">
                  <c:v>1245.0761034959328</c:v>
                </c:pt>
                <c:pt idx="124">
                  <c:v>1242.3666256102024</c:v>
                </c:pt>
                <c:pt idx="125">
                  <c:v>1239.6409936555415</c:v>
                </c:pt>
                <c:pt idx="126">
                  <c:v>1236.8992076324616</c:v>
                </c:pt>
                <c:pt idx="127">
                  <c:v>1234.1412675406218</c:v>
                </c:pt>
                <c:pt idx="128">
                  <c:v>1231.3671733799083</c:v>
                </c:pt>
                <c:pt idx="129">
                  <c:v>1228.5769251506053</c:v>
                </c:pt>
                <c:pt idx="130">
                  <c:v>1225.7705228526561</c:v>
                </c:pt>
                <c:pt idx="131">
                  <c:v>1222.9479664859468</c:v>
                </c:pt>
                <c:pt idx="132">
                  <c:v>1220.1092560505913</c:v>
                </c:pt>
                <c:pt idx="133">
                  <c:v>1217.2543915465894</c:v>
                </c:pt>
                <c:pt idx="134">
                  <c:v>1214.3833729737707</c:v>
                </c:pt>
                <c:pt idx="135">
                  <c:v>1211.4962003321921</c:v>
                </c:pt>
                <c:pt idx="136">
                  <c:v>1208.5928736220808</c:v>
                </c:pt>
                <c:pt idx="137">
                  <c:v>1205.6733928432664</c:v>
                </c:pt>
                <c:pt idx="138">
                  <c:v>1202.7377579956919</c:v>
                </c:pt>
                <c:pt idx="139">
                  <c:v>1199.7859690794712</c:v>
                </c:pt>
                <c:pt idx="140">
                  <c:v>1196.8180260944337</c:v>
                </c:pt>
                <c:pt idx="141">
                  <c:v>1193.8339290408635</c:v>
                </c:pt>
                <c:pt idx="142">
                  <c:v>1190.8336779184765</c:v>
                </c:pt>
                <c:pt idx="143">
                  <c:v>1187.8172727275</c:v>
                </c:pt>
                <c:pt idx="144">
                  <c:v>1184.7847134675931</c:v>
                </c:pt>
                <c:pt idx="145">
                  <c:v>1181.7360001394945</c:v>
                </c:pt>
                <c:pt idx="146">
                  <c:v>1178.6711327421244</c:v>
                </c:pt>
                <c:pt idx="147">
                  <c:v>1175.5901112762785</c:v>
                </c:pt>
                <c:pt idx="148">
                  <c:v>1172.4929357419001</c:v>
                </c:pt>
                <c:pt idx="149">
                  <c:v>1169.3796061386479</c:v>
                </c:pt>
                <c:pt idx="150">
                  <c:v>1166.2501224666357</c:v>
                </c:pt>
                <c:pt idx="151">
                  <c:v>1163.1044847262046</c:v>
                </c:pt>
                <c:pt idx="152">
                  <c:v>1159.9426929167294</c:v>
                </c:pt>
                <c:pt idx="153">
                  <c:v>1156.764747038892</c:v>
                </c:pt>
                <c:pt idx="154">
                  <c:v>1153.5706470920104</c:v>
                </c:pt>
                <c:pt idx="155">
                  <c:v>1150.3603930768804</c:v>
                </c:pt>
                <c:pt idx="156">
                  <c:v>1147.1339849925926</c:v>
                </c:pt>
                <c:pt idx="157">
                  <c:v>1143.8914228399426</c:v>
                </c:pt>
                <c:pt idx="158">
                  <c:v>1140.6327066183053</c:v>
                </c:pt>
                <c:pt idx="159">
                  <c:v>1137.357836328249</c:v>
                </c:pt>
                <c:pt idx="160">
                  <c:v>1134.0668119693191</c:v>
                </c:pt>
                <c:pt idx="161">
                  <c:v>1130.7596335419134</c:v>
                </c:pt>
                <c:pt idx="162">
                  <c:v>1127.4363010454636</c:v>
                </c:pt>
                <c:pt idx="163">
                  <c:v>1124.0968144806516</c:v>
                </c:pt>
                <c:pt idx="164">
                  <c:v>1120.7411738469091</c:v>
                </c:pt>
                <c:pt idx="165">
                  <c:v>1117.3693791445771</c:v>
                </c:pt>
                <c:pt idx="166">
                  <c:v>1113.9814303734852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D4-4064-8722-8E719FCAD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950976"/>
        <c:axId val="992945072"/>
      </c:lineChart>
      <c:catAx>
        <c:axId val="9929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 i 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92945072"/>
        <c:crosses val="autoZero"/>
        <c:auto val="1"/>
        <c:lblAlgn val="ctr"/>
        <c:lblOffset val="100"/>
        <c:noMultiLvlLbl val="0"/>
      </c:catAx>
      <c:valAx>
        <c:axId val="99294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929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Levende</a:t>
            </a:r>
            <a:r>
              <a:rPr lang="da-DK" baseline="0"/>
              <a:t> vægt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Splines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fe'!$B$9:$B$375</c:f>
              <c:numCache>
                <c:formatCode>#,##0.0</c:formatCode>
                <c:ptCount val="367"/>
                <c:pt idx="0">
                  <c:v>45.437564507575317</c:v>
                </c:pt>
                <c:pt idx="1">
                  <c:v>45.609278541395319</c:v>
                </c:pt>
                <c:pt idx="2">
                  <c:v>45.800426328732641</c:v>
                </c:pt>
                <c:pt idx="3">
                  <c:v>46.010848758154729</c:v>
                </c:pt>
                <c:pt idx="4">
                  <c:v>46.240387252576461</c:v>
                </c:pt>
                <c:pt idx="5">
                  <c:v>46.488883769260148</c:v>
                </c:pt>
                <c:pt idx="6">
                  <c:v>46.756180799815468</c:v>
                </c:pt>
                <c:pt idx="7">
                  <c:v>47.042121370199567</c:v>
                </c:pt>
                <c:pt idx="8">
                  <c:v>47.346549040716994</c:v>
                </c:pt>
                <c:pt idx="9">
                  <c:v>47.669307906019732</c:v>
                </c:pt>
                <c:pt idx="10">
                  <c:v>48.010242595107165</c:v>
                </c:pt>
                <c:pt idx="11">
                  <c:v>48.369198271326113</c:v>
                </c:pt>
                <c:pt idx="12">
                  <c:v>48.746020632370801</c:v>
                </c:pt>
                <c:pt idx="13">
                  <c:v>49.140555910282885</c:v>
                </c:pt>
                <c:pt idx="14">
                  <c:v>49.552650871451441</c:v>
                </c:pt>
                <c:pt idx="15">
                  <c:v>49.98215281661296</c:v>
                </c:pt>
                <c:pt idx="16">
                  <c:v>50.428909580851382</c:v>
                </c:pt>
                <c:pt idx="17">
                  <c:v>50.892769533598013</c:v>
                </c:pt>
                <c:pt idx="18">
                  <c:v>51.373581578631608</c:v>
                </c:pt>
                <c:pt idx="19">
                  <c:v>51.871195154078364</c:v>
                </c:pt>
                <c:pt idx="20">
                  <c:v>52.385460232411873</c:v>
                </c:pt>
                <c:pt idx="21">
                  <c:v>52.916227320453132</c:v>
                </c:pt>
                <c:pt idx="22">
                  <c:v>53.463347459370603</c:v>
                </c:pt>
                <c:pt idx="23">
                  <c:v>54.026672224680134</c:v>
                </c:pt>
                <c:pt idx="24">
                  <c:v>54.606053726244994</c:v>
                </c:pt>
                <c:pt idx="25">
                  <c:v>55.201344608275896</c:v>
                </c:pt>
                <c:pt idx="26">
                  <c:v>55.812398049330952</c:v>
                </c:pt>
                <c:pt idx="27">
                  <c:v>56.439067762315716</c:v>
                </c:pt>
                <c:pt idx="28">
                  <c:v>57.081207994483108</c:v>
                </c:pt>
                <c:pt idx="29">
                  <c:v>57.738673527433548</c:v>
                </c:pt>
                <c:pt idx="30">
                  <c:v>58.411319677114818</c:v>
                </c:pt>
                <c:pt idx="31">
                  <c:v>59.09900229382216</c:v>
                </c:pt>
                <c:pt idx="32">
                  <c:v>59.801577762198185</c:v>
                </c:pt>
                <c:pt idx="33">
                  <c:v>60.518903001232971</c:v>
                </c:pt>
                <c:pt idx="34">
                  <c:v>61.250835464263993</c:v>
                </c:pt>
                <c:pt idx="35">
                  <c:v>61.997233138976156</c:v>
                </c:pt>
                <c:pt idx="36">
                  <c:v>62.757954547401788</c:v>
                </c:pt>
                <c:pt idx="37">
                  <c:v>63.53285874592062</c:v>
                </c:pt>
                <c:pt idx="38">
                  <c:v>64.321805325259831</c:v>
                </c:pt>
                <c:pt idx="39">
                  <c:v>65.124654410493989</c:v>
                </c:pt>
                <c:pt idx="40">
                  <c:v>65.94126666104512</c:v>
                </c:pt>
                <c:pt idx="41">
                  <c:v>66.771503270682615</c:v>
                </c:pt>
                <c:pt idx="42">
                  <c:v>67.615225967523358</c:v>
                </c:pt>
                <c:pt idx="43">
                  <c:v>68.472297014031568</c:v>
                </c:pt>
                <c:pt idx="44">
                  <c:v>69.342579207018957</c:v>
                </c:pt>
                <c:pt idx="45">
                  <c:v>70.225935877644659</c:v>
                </c:pt>
                <c:pt idx="46">
                  <c:v>71.122230891415143</c:v>
                </c:pt>
                <c:pt idx="47">
                  <c:v>72.031328648184385</c:v>
                </c:pt>
                <c:pt idx="48">
                  <c:v>72.953094082153768</c:v>
                </c:pt>
                <c:pt idx="49">
                  <c:v>73.887392661872042</c:v>
                </c:pt>
                <c:pt idx="50">
                  <c:v>74.83409039023546</c:v>
                </c:pt>
                <c:pt idx="51">
                  <c:v>75.793053804487585</c:v>
                </c:pt>
                <c:pt idx="52">
                  <c:v>76.764149976219542</c:v>
                </c:pt>
                <c:pt idx="53">
                  <c:v>77.747246511369738</c:v>
                </c:pt>
                <c:pt idx="54">
                  <c:v>78.742211550224113</c:v>
                </c:pt>
                <c:pt idx="55">
                  <c:v>79.748913767415914</c:v>
                </c:pt>
                <c:pt idx="56">
                  <c:v>80.767222371925925</c:v>
                </c:pt>
                <c:pt idx="57">
                  <c:v>81.79700710708228</c:v>
                </c:pt>
                <c:pt idx="58">
                  <c:v>82.838138250560576</c:v>
                </c:pt>
                <c:pt idx="59">
                  <c:v>83.890486614383747</c:v>
                </c:pt>
                <c:pt idx="60">
                  <c:v>84.953923544922233</c:v>
                </c:pt>
                <c:pt idx="61">
                  <c:v>86.028320922893855</c:v>
                </c:pt>
                <c:pt idx="62">
                  <c:v>87.113551163363894</c:v>
                </c:pt>
                <c:pt idx="63">
                  <c:v>88.209487215744986</c:v>
                </c:pt>
                <c:pt idx="64">
                  <c:v>89.316002563797269</c:v>
                </c:pt>
                <c:pt idx="65">
                  <c:v>90.432971225628208</c:v>
                </c:pt>
                <c:pt idx="66">
                  <c:v>91.560267753692756</c:v>
                </c:pt>
                <c:pt idx="67">
                  <c:v>92.697767234793275</c:v>
                </c:pt>
                <c:pt idx="68">
                  <c:v>93.84534529007955</c:v>
                </c:pt>
                <c:pt idx="69">
                  <c:v>95.002878075048741</c:v>
                </c:pt>
                <c:pt idx="70">
                  <c:v>96.170242279545477</c:v>
                </c:pt>
                <c:pt idx="71">
                  <c:v>97.347315127761803</c:v>
                </c:pt>
                <c:pt idx="72">
                  <c:v>98.533974378237176</c:v>
                </c:pt>
                <c:pt idx="73">
                  <c:v>99.730098323858456</c:v>
                </c:pt>
                <c:pt idx="74">
                  <c:v>100.93556579185996</c:v>
                </c:pt>
                <c:pt idx="75">
                  <c:v>102.15025614382337</c:v>
                </c:pt>
                <c:pt idx="76">
                  <c:v>103.37404927567788</c:v>
                </c:pt>
                <c:pt idx="77">
                  <c:v>104.60682561769997</c:v>
                </c:pt>
                <c:pt idx="78">
                  <c:v>105.8484661345137</c:v>
                </c:pt>
                <c:pt idx="79">
                  <c:v>107.09885232509042</c:v>
                </c:pt>
                <c:pt idx="80">
                  <c:v>108.35786622274895</c:v>
                </c:pt>
                <c:pt idx="81">
                  <c:v>109.62539039515553</c:v>
                </c:pt>
                <c:pt idx="82">
                  <c:v>110.90130794432383</c:v>
                </c:pt>
                <c:pt idx="83">
                  <c:v>112.18550250661495</c:v>
                </c:pt>
                <c:pt idx="84">
                  <c:v>113.47785825273736</c:v>
                </c:pt>
                <c:pt idx="85">
                  <c:v>114.77825988774698</c:v>
                </c:pt>
                <c:pt idx="86">
                  <c:v>116.08659265104716</c:v>
                </c:pt>
                <c:pt idx="87">
                  <c:v>117.40274231638865</c:v>
                </c:pt>
                <c:pt idx="88">
                  <c:v>118.72659519186966</c:v>
                </c:pt>
                <c:pt idx="89">
                  <c:v>120.05803811993576</c:v>
                </c:pt>
                <c:pt idx="90">
                  <c:v>121.39695847737997</c:v>
                </c:pt>
                <c:pt idx="91">
                  <c:v>122.74324417534277</c:v>
                </c:pt>
                <c:pt idx="92">
                  <c:v>124.09678365931201</c:v>
                </c:pt>
                <c:pt idx="93">
                  <c:v>125.45746590912294</c:v>
                </c:pt>
                <c:pt idx="94">
                  <c:v>126.8251804389583</c:v>
                </c:pt>
                <c:pt idx="95">
                  <c:v>128.1998172973482</c:v>
                </c:pt>
                <c:pt idx="96">
                  <c:v>129.58126706717019</c:v>
                </c:pt>
                <c:pt idx="97">
                  <c:v>130.96942086564923</c:v>
                </c:pt>
                <c:pt idx="98">
                  <c:v>132.36417034435772</c:v>
                </c:pt>
                <c:pt idx="99">
                  <c:v>133.76540768921541</c:v>
                </c:pt>
                <c:pt idx="100">
                  <c:v>135.17302562048962</c:v>
                </c:pt>
                <c:pt idx="101">
                  <c:v>136.58691739279493</c:v>
                </c:pt>
                <c:pt idx="102">
                  <c:v>138.00697679509341</c:v>
                </c:pt>
                <c:pt idx="103">
                  <c:v>139.43309815069458</c:v>
                </c:pt>
                <c:pt idx="104">
                  <c:v>140.86517631725528</c:v>
                </c:pt>
                <c:pt idx="105">
                  <c:v>142.3031066867799</c:v>
                </c:pt>
                <c:pt idx="106">
                  <c:v>143.74678518562021</c:v>
                </c:pt>
                <c:pt idx="107">
                  <c:v>145.19610827447534</c:v>
                </c:pt>
                <c:pt idx="108">
                  <c:v>146.65097294839182</c:v>
                </c:pt>
                <c:pt idx="109">
                  <c:v>148.11127673676378</c:v>
                </c:pt>
                <c:pt idx="110">
                  <c:v>149.57691770333258</c:v>
                </c:pt>
                <c:pt idx="111">
                  <c:v>151.04779444618705</c:v>
                </c:pt>
                <c:pt idx="112">
                  <c:v>152.5238060977635</c:v>
                </c:pt>
                <c:pt idx="113">
                  <c:v>154.00485232484559</c:v>
                </c:pt>
                <c:pt idx="114">
                  <c:v>155.49083332856449</c:v>
                </c:pt>
                <c:pt idx="115">
                  <c:v>156.98164984439867</c:v>
                </c:pt>
                <c:pt idx="116">
                  <c:v>158.47720314217412</c:v>
                </c:pt>
                <c:pt idx="117">
                  <c:v>159.97739502606416</c:v>
                </c:pt>
                <c:pt idx="118">
                  <c:v>161.48212783458962</c:v>
                </c:pt>
                <c:pt idx="119">
                  <c:v>162.99130444061876</c:v>
                </c:pt>
                <c:pt idx="120">
                  <c:v>164.50482825136714</c:v>
                </c:pt>
                <c:pt idx="121">
                  <c:v>166.02260320839787</c:v>
                </c:pt>
                <c:pt idx="122">
                  <c:v>167.54453378762133</c:v>
                </c:pt>
                <c:pt idx="123">
                  <c:v>169.07052499929551</c:v>
                </c:pt>
                <c:pt idx="124">
                  <c:v>170.60048238802568</c:v>
                </c:pt>
                <c:pt idx="125">
                  <c:v>172.13431203276463</c:v>
                </c:pt>
                <c:pt idx="126">
                  <c:v>173.67192054681243</c:v>
                </c:pt>
                <c:pt idx="127">
                  <c:v>175.21321507781673</c:v>
                </c:pt>
                <c:pt idx="128">
                  <c:v>176.75810330777244</c:v>
                </c:pt>
                <c:pt idx="129">
                  <c:v>178.30649345302206</c:v>
                </c:pt>
                <c:pt idx="130">
                  <c:v>179.85829426425539</c:v>
                </c:pt>
                <c:pt idx="131">
                  <c:v>181.41341502650971</c:v>
                </c:pt>
                <c:pt idx="132">
                  <c:v>182.97176555916974</c:v>
                </c:pt>
                <c:pt idx="133">
                  <c:v>184.53325621596741</c:v>
                </c:pt>
                <c:pt idx="134">
                  <c:v>186.09779788498238</c:v>
                </c:pt>
                <c:pt idx="135">
                  <c:v>187.66530198864163</c:v>
                </c:pt>
                <c:pt idx="136">
                  <c:v>189.23568048371939</c:v>
                </c:pt>
                <c:pt idx="137">
                  <c:v>190.80884586133752</c:v>
                </c:pt>
                <c:pt idx="138">
                  <c:v>192.38471114696512</c:v>
                </c:pt>
                <c:pt idx="139">
                  <c:v>193.963189900419</c:v>
                </c:pt>
                <c:pt idx="140">
                  <c:v>195.54419621586302</c:v>
                </c:pt>
                <c:pt idx="141">
                  <c:v>197.12764472180874</c:v>
                </c:pt>
                <c:pt idx="142">
                  <c:v>198.71345058111498</c:v>
                </c:pt>
                <c:pt idx="143">
                  <c:v>200.30152949098812</c:v>
                </c:pt>
                <c:pt idx="144">
                  <c:v>201.8917976829818</c:v>
                </c:pt>
                <c:pt idx="145">
                  <c:v>203.48417192299715</c:v>
                </c:pt>
                <c:pt idx="146">
                  <c:v>205.07856951128284</c:v>
                </c:pt>
                <c:pt idx="147">
                  <c:v>206.67490828243476</c:v>
                </c:pt>
                <c:pt idx="148">
                  <c:v>208.27310660539641</c:v>
                </c:pt>
                <c:pt idx="149">
                  <c:v>209.87308338345852</c:v>
                </c:pt>
                <c:pt idx="150">
                  <c:v>211.47475805425935</c:v>
                </c:pt>
                <c:pt idx="151">
                  <c:v>213.07805058978457</c:v>
                </c:pt>
                <c:pt idx="152">
                  <c:v>214.68288149636732</c:v>
                </c:pt>
                <c:pt idx="153">
                  <c:v>216.28917181468802</c:v>
                </c:pt>
                <c:pt idx="154">
                  <c:v>217.89684311977462</c:v>
                </c:pt>
                <c:pt idx="155">
                  <c:v>219.50581752100248</c:v>
                </c:pt>
                <c:pt idx="156">
                  <c:v>221.11601766209438</c:v>
                </c:pt>
                <c:pt idx="157">
                  <c:v>222.72736672112049</c:v>
                </c:pt>
                <c:pt idx="158">
                  <c:v>224.33978841049844</c:v>
                </c:pt>
                <c:pt idx="159">
                  <c:v>225.95320697699321</c:v>
                </c:pt>
                <c:pt idx="160">
                  <c:v>227.56754720171733</c:v>
                </c:pt>
                <c:pt idx="161">
                  <c:v>229.18273440013056</c:v>
                </c:pt>
                <c:pt idx="162">
                  <c:v>230.79869442204037</c:v>
                </c:pt>
                <c:pt idx="163">
                  <c:v>232.41535365160112</c:v>
                </c:pt>
                <c:pt idx="164">
                  <c:v>234.03263900731528</c:v>
                </c:pt>
                <c:pt idx="165">
                  <c:v>235.65047794203232</c:v>
                </c:pt>
                <c:pt idx="166">
                  <c:v>237.26879844294916</c:v>
                </c:pt>
                <c:pt idx="167">
                  <c:v>238.88752903161017</c:v>
                </c:pt>
                <c:pt idx="168">
                  <c:v>240.50659876390722</c:v>
                </c:pt>
                <c:pt idx="169">
                  <c:v>242.1259372300795</c:v>
                </c:pt>
                <c:pt idx="170">
                  <c:v>243.74547455471367</c:v>
                </c:pt>
                <c:pt idx="171">
                  <c:v>245.36514139674384</c:v>
                </c:pt>
                <c:pt idx="172">
                  <c:v>246.98486894945145</c:v>
                </c:pt>
                <c:pt idx="173">
                  <c:v>248.60458894046539</c:v>
                </c:pt>
                <c:pt idx="174">
                  <c:v>250.22423363176213</c:v>
                </c:pt>
                <c:pt idx="175">
                  <c:v>251.84373581966528</c:v>
                </c:pt>
                <c:pt idx="176">
                  <c:v>253.46302883484606</c:v>
                </c:pt>
                <c:pt idx="177">
                  <c:v>255.08204654232304</c:v>
                </c:pt>
                <c:pt idx="178">
                  <c:v>256.70072334146232</c:v>
                </c:pt>
                <c:pt idx="179">
                  <c:v>258.31899416597724</c:v>
                </c:pt>
                <c:pt idx="180">
                  <c:v>259.93679448392868</c:v>
                </c:pt>
                <c:pt idx="181">
                  <c:v>261.55406029772496</c:v>
                </c:pt>
                <c:pt idx="182">
                  <c:v>263.17072814412171</c:v>
                </c:pt>
                <c:pt idx="183">
                  <c:v>264.78673509422214</c:v>
                </c:pt>
                <c:pt idx="184">
                  <c:v>266.4020187534768</c:v>
                </c:pt>
                <c:pt idx="185">
                  <c:v>268.01651726168336</c:v>
                </c:pt>
                <c:pt idx="186">
                  <c:v>269.63016929298755</c:v>
                </c:pt>
                <c:pt idx="187">
                  <c:v>271.24291405588201</c:v>
                </c:pt>
                <c:pt idx="188">
                  <c:v>272.854691293207</c:v>
                </c:pt>
                <c:pt idx="189">
                  <c:v>274.4654412821501</c:v>
                </c:pt>
                <c:pt idx="190">
                  <c:v>276.07510483424636</c:v>
                </c:pt>
                <c:pt idx="191">
                  <c:v>277.68362329537837</c:v>
                </c:pt>
                <c:pt idx="192">
                  <c:v>279.29093854577599</c:v>
                </c:pt>
                <c:pt idx="193">
                  <c:v>280.89699300001649</c:v>
                </c:pt>
                <c:pt idx="194">
                  <c:v>282.50172960702463</c:v>
                </c:pt>
                <c:pt idx="195">
                  <c:v>284.1050918500726</c:v>
                </c:pt>
                <c:pt idx="196">
                  <c:v>285.7070237467799</c:v>
                </c:pt>
                <c:pt idx="197">
                  <c:v>287.3074698491136</c:v>
                </c:pt>
                <c:pt idx="198">
                  <c:v>288.90637524338814</c:v>
                </c:pt>
                <c:pt idx="199">
                  <c:v>290.50368555026535</c:v>
                </c:pt>
                <c:pt idx="200">
                  <c:v>292.09934692475451</c:v>
                </c:pt>
                <c:pt idx="201">
                  <c:v>293.69330605621207</c:v>
                </c:pt>
                <c:pt idx="202">
                  <c:v>295.28551016834251</c:v>
                </c:pt>
                <c:pt idx="203">
                  <c:v>296.87590701919714</c:v>
                </c:pt>
                <c:pt idx="204">
                  <c:v>298.46444490117494</c:v>
                </c:pt>
                <c:pt idx="205">
                  <c:v>300.05107264102224</c:v>
                </c:pt>
                <c:pt idx="206">
                  <c:v>301.6357395998329</c:v>
                </c:pt>
                <c:pt idx="207">
                  <c:v>303.21839567304806</c:v>
                </c:pt>
                <c:pt idx="208">
                  <c:v>304.79899129045634</c:v>
                </c:pt>
                <c:pt idx="209">
                  <c:v>306.37747741619387</c:v>
                </c:pt>
                <c:pt idx="210">
                  <c:v>307.95380554874401</c:v>
                </c:pt>
                <c:pt idx="211">
                  <c:v>309.52792772093761</c:v>
                </c:pt>
                <c:pt idx="212">
                  <c:v>311.09979649995336</c:v>
                </c:pt>
                <c:pt idx="213">
                  <c:v>312.6693649873165</c:v>
                </c:pt>
                <c:pt idx="214">
                  <c:v>314.23658681890038</c:v>
                </c:pt>
                <c:pt idx="215">
                  <c:v>315.80141616492557</c:v>
                </c:pt>
                <c:pt idx="216">
                  <c:v>317.36380772996006</c:v>
                </c:pt>
                <c:pt idx="217">
                  <c:v>318.92371675291918</c:v>
                </c:pt>
                <c:pt idx="218">
                  <c:v>320.48109900706595</c:v>
                </c:pt>
                <c:pt idx="219">
                  <c:v>322.03591080001041</c:v>
                </c:pt>
                <c:pt idx="220">
                  <c:v>323.58810897371023</c:v>
                </c:pt>
                <c:pt idx="221">
                  <c:v>325.13765090447066</c:v>
                </c:pt>
                <c:pt idx="222">
                  <c:v>326.68449450294423</c:v>
                </c:pt>
                <c:pt idx="223">
                  <c:v>328.22859821413067</c:v>
                </c:pt>
                <c:pt idx="224">
                  <c:v>329.76992101737738</c:v>
                </c:pt>
                <c:pt idx="225">
                  <c:v>331.30842242637937</c:v>
                </c:pt>
                <c:pt idx="226">
                  <c:v>332.84406248917844</c:v>
                </c:pt>
                <c:pt idx="227">
                  <c:v>334.37680178816458</c:v>
                </c:pt>
                <c:pt idx="228">
                  <c:v>335.90660144007461</c:v>
                </c:pt>
                <c:pt idx="229">
                  <c:v>337.43342309599291</c:v>
                </c:pt>
                <c:pt idx="230">
                  <c:v>338.95722894135167</c:v>
                </c:pt>
                <c:pt idx="231">
                  <c:v>340.47798169592988</c:v>
                </c:pt>
                <c:pt idx="232">
                  <c:v>341.99564461385449</c:v>
                </c:pt>
                <c:pt idx="233">
                  <c:v>343.51018148359935</c:v>
                </c:pt>
                <c:pt idx="234">
                  <c:v>345.02155662798623</c:v>
                </c:pt>
                <c:pt idx="235">
                  <c:v>346.52973490418401</c:v>
                </c:pt>
                <c:pt idx="236">
                  <c:v>348.03468170370917</c:v>
                </c:pt>
                <c:pt idx="237">
                  <c:v>349.53636295242541</c:v>
                </c:pt>
                <c:pt idx="238">
                  <c:v>351.03474511054412</c:v>
                </c:pt>
                <c:pt idx="239">
                  <c:v>352.52979517262384</c:v>
                </c:pt>
                <c:pt idx="240">
                  <c:v>354.02148066757053</c:v>
                </c:pt>
                <c:pt idx="241">
                  <c:v>355.50976965863811</c:v>
                </c:pt>
                <c:pt idx="242">
                  <c:v>356.99463074342702</c:v>
                </c:pt>
                <c:pt idx="243">
                  <c:v>358.47603305388589</c:v>
                </c:pt>
                <c:pt idx="244">
                  <c:v>359.9539462563103</c:v>
                </c:pt>
                <c:pt idx="245">
                  <c:v>361.42834055134375</c:v>
                </c:pt>
                <c:pt idx="246">
                  <c:v>362.89918667397632</c:v>
                </c:pt>
                <c:pt idx="247">
                  <c:v>364.36645589354657</c:v>
                </c:pt>
                <c:pt idx="248">
                  <c:v>365.83012001373959</c:v>
                </c:pt>
                <c:pt idx="249">
                  <c:v>367.29015137258835</c:v>
                </c:pt>
                <c:pt idx="250">
                  <c:v>368.74652284247293</c:v>
                </c:pt>
                <c:pt idx="251">
                  <c:v>370.19920783012157</c:v>
                </c:pt>
                <c:pt idx="252">
                  <c:v>371.64818027660874</c:v>
                </c:pt>
                <c:pt idx="253">
                  <c:v>373.09341465735736</c:v>
                </c:pt>
                <c:pt idx="254">
                  <c:v>374.5348859821375</c:v>
                </c:pt>
                <c:pt idx="255">
                  <c:v>375.97256979506619</c:v>
                </c:pt>
                <c:pt idx="256">
                  <c:v>377.40644217460846</c:v>
                </c:pt>
                <c:pt idx="257">
                  <c:v>378.83647973357654</c:v>
                </c:pt>
                <c:pt idx="258">
                  <c:v>380.26265961912986</c:v>
                </c:pt>
                <c:pt idx="259">
                  <c:v>381.68495951277566</c:v>
                </c:pt>
                <c:pt idx="260">
                  <c:v>383.10335763036846</c:v>
                </c:pt>
                <c:pt idx="261">
                  <c:v>384.51783272211014</c:v>
                </c:pt>
                <c:pt idx="262">
                  <c:v>385.92836407254998</c:v>
                </c:pt>
                <c:pt idx="263">
                  <c:v>387.33493150058462</c:v>
                </c:pt>
                <c:pt idx="264">
                  <c:v>388.73751535945854</c:v>
                </c:pt>
                <c:pt idx="265">
                  <c:v>390.13609653676292</c:v>
                </c:pt>
                <c:pt idx="266">
                  <c:v>391.53065645443712</c:v>
                </c:pt>
                <c:pt idx="267">
                  <c:v>392.92117706876729</c:v>
                </c:pt>
                <c:pt idx="268">
                  <c:v>394.30764087038756</c:v>
                </c:pt>
                <c:pt idx="269">
                  <c:v>395.69003088427894</c:v>
                </c:pt>
                <c:pt idx="270">
                  <c:v>397.06833066977038</c:v>
                </c:pt>
                <c:pt idx="271">
                  <c:v>398.44252432053759</c:v>
                </c:pt>
                <c:pt idx="272">
                  <c:v>399.81259646460461</c:v>
                </c:pt>
                <c:pt idx="273">
                  <c:v>401.17853226434192</c:v>
                </c:pt>
                <c:pt idx="274">
                  <c:v>402.54031741646827</c:v>
                </c:pt>
                <c:pt idx="275">
                  <c:v>403.89793815204905</c:v>
                </c:pt>
                <c:pt idx="276">
                  <c:v>405.25138123649788</c:v>
                </c:pt>
                <c:pt idx="277">
                  <c:v>406.60063396957503</c:v>
                </c:pt>
                <c:pt idx="278">
                  <c:v>407.94568418538887</c:v>
                </c:pt>
                <c:pt idx="279">
                  <c:v>409.28652025239467</c:v>
                </c:pt>
                <c:pt idx="280">
                  <c:v>410.62313107339548</c:v>
                </c:pt>
                <c:pt idx="281">
                  <c:v>411.9555060855414</c:v>
                </c:pt>
                <c:pt idx="282">
                  <c:v>413.28363526033036</c:v>
                </c:pt>
                <c:pt idx="283">
                  <c:v>414.6075091036073</c:v>
                </c:pt>
                <c:pt idx="284">
                  <c:v>415.92711865556487</c:v>
                </c:pt>
                <c:pt idx="285">
                  <c:v>417.2424554907434</c:v>
                </c:pt>
                <c:pt idx="286">
                  <c:v>418.55351171802977</c:v>
                </c:pt>
                <c:pt idx="287">
                  <c:v>419.86027998065913</c:v>
                </c:pt>
                <c:pt idx="288">
                  <c:v>421.16275345621369</c:v>
                </c:pt>
                <c:pt idx="289">
                  <c:v>422.46092585662313</c:v>
                </c:pt>
                <c:pt idx="290">
                  <c:v>423.75479142816442</c:v>
                </c:pt>
                <c:pt idx="291">
                  <c:v>425.04434495146228</c:v>
                </c:pt>
                <c:pt idx="292">
                  <c:v>426.32958174148848</c:v>
                </c:pt>
                <c:pt idx="293">
                  <c:v>427.61049764756251</c:v>
                </c:pt>
                <c:pt idx="294">
                  <c:v>428.88708905335091</c:v>
                </c:pt>
                <c:pt idx="295">
                  <c:v>430.15935287686807</c:v>
                </c:pt>
                <c:pt idx="296">
                  <c:v>431.42728657047576</c:v>
                </c:pt>
                <c:pt idx="297">
                  <c:v>432.69088812088262</c:v>
                </c:pt>
                <c:pt idx="298">
                  <c:v>433.95015604914545</c:v>
                </c:pt>
                <c:pt idx="299">
                  <c:v>435.20508941066811</c:v>
                </c:pt>
                <c:pt idx="300">
                  <c:v>436.45568779520164</c:v>
                </c:pt>
                <c:pt idx="301">
                  <c:v>437.70195132684483</c:v>
                </c:pt>
                <c:pt idx="302">
                  <c:v>438.94388066404417</c:v>
                </c:pt>
                <c:pt idx="303">
                  <c:v>440.18147699959258</c:v>
                </c:pt>
                <c:pt idx="304">
                  <c:v>441.41474206063174</c:v>
                </c:pt>
                <c:pt idx="305">
                  <c:v>442.64367810864962</c:v>
                </c:pt>
                <c:pt idx="306">
                  <c:v>443.86828793948217</c:v>
                </c:pt>
                <c:pt idx="307">
                  <c:v>445.08857488331256</c:v>
                </c:pt>
                <c:pt idx="308">
                  <c:v>446.30454280467154</c:v>
                </c:pt>
                <c:pt idx="309">
                  <c:v>447.51619610243716</c:v>
                </c:pt>
                <c:pt idx="310">
                  <c:v>448.72353970983477</c:v>
                </c:pt>
                <c:pt idx="311">
                  <c:v>449.92657909443767</c:v>
                </c:pt>
                <c:pt idx="312">
                  <c:v>451.12532025816586</c:v>
                </c:pt>
                <c:pt idx="313">
                  <c:v>452.31976973728717</c:v>
                </c:pt>
                <c:pt idx="314">
                  <c:v>453.50993460241676</c:v>
                </c:pt>
                <c:pt idx="315">
                  <c:v>454.69582245851757</c:v>
                </c:pt>
                <c:pt idx="316">
                  <c:v>455.87744144489915</c:v>
                </c:pt>
                <c:pt idx="317">
                  <c:v>457.05480023521932</c:v>
                </c:pt>
                <c:pt idx="318">
                  <c:v>458.22790803748256</c:v>
                </c:pt>
                <c:pt idx="319">
                  <c:v>459.3967745940414</c:v>
                </c:pt>
                <c:pt idx="320">
                  <c:v>460.56141018159565</c:v>
                </c:pt>
                <c:pt idx="321">
                  <c:v>461.72182561119229</c:v>
                </c:pt>
                <c:pt idx="322">
                  <c:v>462.87803222822583</c:v>
                </c:pt>
                <c:pt idx="323">
                  <c:v>464.03004191243838</c:v>
                </c:pt>
                <c:pt idx="324">
                  <c:v>465.17786707791942</c:v>
                </c:pt>
                <c:pt idx="325">
                  <c:v>466.32152067310523</c:v>
                </c:pt>
                <c:pt idx="326">
                  <c:v>467.4610161807804</c:v>
                </c:pt>
                <c:pt idx="327">
                  <c:v>468.59636761807667</c:v>
                </c:pt>
                <c:pt idx="328">
                  <c:v>469.72758953647315</c:v>
                </c:pt>
                <c:pt idx="329">
                  <c:v>470.8546970217962</c:v>
                </c:pt>
                <c:pt idx="330">
                  <c:v>471.97770569421954</c:v>
                </c:pt>
                <c:pt idx="331">
                  <c:v>473.09663170826457</c:v>
                </c:pt>
                <c:pt idx="332">
                  <c:v>474.21149175280061</c:v>
                </c:pt>
                <c:pt idx="333">
                  <c:v>475.32230305104292</c:v>
                </c:pt>
                <c:pt idx="334">
                  <c:v>476.42908336055569</c:v>
                </c:pt>
                <c:pt idx="335">
                  <c:v>477.53185097324962</c:v>
                </c:pt>
                <c:pt idx="336">
                  <c:v>478.63062471538382</c:v>
                </c:pt>
                <c:pt idx="337">
                  <c:v>479.72542394756317</c:v>
                </c:pt>
                <c:pt idx="338">
                  <c:v>480.81626856474145</c:v>
                </c:pt>
                <c:pt idx="339">
                  <c:v>481.9031789962192</c:v>
                </c:pt>
                <c:pt idx="340">
                  <c:v>482.98617620564482</c:v>
                </c:pt>
                <c:pt idx="341">
                  <c:v>484.06528169101387</c:v>
                </c:pt>
                <c:pt idx="342">
                  <c:v>485.14051748466898</c:v>
                </c:pt>
                <c:pt idx="343">
                  <c:v>486.21190615330062</c:v>
                </c:pt>
                <c:pt idx="344">
                  <c:v>487.27947079794632</c:v>
                </c:pt>
                <c:pt idx="345">
                  <c:v>488.3432350539922</c:v>
                </c:pt>
                <c:pt idx="346">
                  <c:v>489.40322309116954</c:v>
                </c:pt>
                <c:pt idx="347">
                  <c:v>490.45945961355983</c:v>
                </c:pt>
                <c:pt idx="348">
                  <c:v>491.51196985958927</c:v>
                </c:pt>
                <c:pt idx="349">
                  <c:v>492.56077960203362</c:v>
                </c:pt>
                <c:pt idx="350">
                  <c:v>493.60591514801501</c:v>
                </c:pt>
                <c:pt idx="351">
                  <c:v>494.64740333900289</c:v>
                </c:pt>
                <c:pt idx="352">
                  <c:v>495.6852715508146</c:v>
                </c:pt>
                <c:pt idx="353">
                  <c:v>496.71954769361508</c:v>
                </c:pt>
                <c:pt idx="354">
                  <c:v>497.75026021191559</c:v>
                </c:pt>
                <c:pt idx="355">
                  <c:v>498.77743808457609</c:v>
                </c:pt>
                <c:pt idx="356">
                  <c:v>499.80111082480329</c:v>
                </c:pt>
                <c:pt idx="357">
                  <c:v>500.82130848015134</c:v>
                </c:pt>
                <c:pt idx="358">
                  <c:v>501.83806163252228</c:v>
                </c:pt>
                <c:pt idx="359">
                  <c:v>502.85140139816474</c:v>
                </c:pt>
                <c:pt idx="360">
                  <c:v>503.86135942767538</c:v>
                </c:pt>
                <c:pt idx="361">
                  <c:v>504.86796790599868</c:v>
                </c:pt>
                <c:pt idx="362">
                  <c:v>505.87125955242504</c:v>
                </c:pt>
                <c:pt idx="363">
                  <c:v>506.87126762059376</c:v>
                </c:pt>
                <c:pt idx="364">
                  <c:v>507.86802589849077</c:v>
                </c:pt>
                <c:pt idx="365">
                  <c:v>508.86156870845036</c:v>
                </c:pt>
                <c:pt idx="366">
                  <c:v>509.85193090715325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84F-BD29-A28EE62A5EFA}"/>
            </c:ext>
          </c:extLst>
        </c:ser>
        <c:ser>
          <c:idx val="1"/>
          <c:order val="1"/>
          <c:tx>
            <c:strRef>
              <c:f>'Model tilvækst, slagteform, fe'!$AA$9</c:f>
              <c:strCache>
                <c:ptCount val="1"/>
                <c:pt idx="0">
                  <c:v>3 grad, alle data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fe'!$S$9:$S$375</c:f>
              <c:numCache>
                <c:formatCode>0.00</c:formatCode>
                <c:ptCount val="367"/>
                <c:pt idx="0">
                  <c:v>40.837706573829301</c:v>
                </c:pt>
                <c:pt idx="1">
                  <c:v>41.402645497822007</c:v>
                </c:pt>
                <c:pt idx="2">
                  <c:v>41.977259319745329</c:v>
                </c:pt>
                <c:pt idx="3">
                  <c:v>42.561499803484445</c:v>
                </c:pt>
                <c:pt idx="4">
                  <c:v>43.155318712924512</c:v>
                </c:pt>
                <c:pt idx="5">
                  <c:v>43.758667811950694</c:v>
                </c:pt>
                <c:pt idx="6">
                  <c:v>44.371498864448171</c:v>
                </c:pt>
                <c:pt idx="7">
                  <c:v>44.993763634302105</c:v>
                </c:pt>
                <c:pt idx="8">
                  <c:v>45.62541388539767</c:v>
                </c:pt>
                <c:pt idx="9">
                  <c:v>46.266401381620021</c:v>
                </c:pt>
                <c:pt idx="10">
                  <c:v>46.916677886854323</c:v>
                </c:pt>
                <c:pt idx="11">
                  <c:v>47.576195164985755</c:v>
                </c:pt>
                <c:pt idx="12">
                  <c:v>48.244904979899495</c:v>
                </c:pt>
                <c:pt idx="13">
                  <c:v>48.922759095480679</c:v>
                </c:pt>
                <c:pt idx="14">
                  <c:v>49.609709275614506</c:v>
                </c:pt>
                <c:pt idx="15">
                  <c:v>50.30570728418612</c:v>
                </c:pt>
                <c:pt idx="16">
                  <c:v>51.010704885080692</c:v>
                </c:pt>
                <c:pt idx="17">
                  <c:v>51.724653842183407</c:v>
                </c:pt>
                <c:pt idx="18">
                  <c:v>52.447505919379417</c:v>
                </c:pt>
                <c:pt idx="19">
                  <c:v>53.179212880553891</c:v>
                </c:pt>
                <c:pt idx="20">
                  <c:v>53.919726489592009</c:v>
                </c:pt>
                <c:pt idx="21">
                  <c:v>54.668998510378913</c:v>
                </c:pt>
                <c:pt idx="22">
                  <c:v>55.426980706799782</c:v>
                </c:pt>
                <c:pt idx="23">
                  <c:v>56.193624842739794</c:v>
                </c:pt>
                <c:pt idx="24">
                  <c:v>56.968882682084107</c:v>
                </c:pt>
                <c:pt idx="25">
                  <c:v>57.752705988717892</c:v>
                </c:pt>
                <c:pt idx="26">
                  <c:v>58.54504652652632</c:v>
                </c:pt>
                <c:pt idx="27">
                  <c:v>59.345856059394542</c:v>
                </c:pt>
                <c:pt idx="28">
                  <c:v>60.155086351207743</c:v>
                </c:pt>
                <c:pt idx="29">
                  <c:v>60.972689165851087</c:v>
                </c:pt>
                <c:pt idx="30">
                  <c:v>61.798616267209738</c:v>
                </c:pt>
                <c:pt idx="31">
                  <c:v>62.632819419168861</c:v>
                </c:pt>
                <c:pt idx="32">
                  <c:v>63.475250385613627</c:v>
                </c:pt>
                <c:pt idx="33">
                  <c:v>64.325860930429201</c:v>
                </c:pt>
                <c:pt idx="34">
                  <c:v>65.184602817500746</c:v>
                </c:pt>
                <c:pt idx="35">
                  <c:v>66.051427810713449</c:v>
                </c:pt>
                <c:pt idx="36">
                  <c:v>66.926287673952459</c:v>
                </c:pt>
                <c:pt idx="37">
                  <c:v>67.80913417110294</c:v>
                </c:pt>
                <c:pt idx="38">
                  <c:v>68.699919066050086</c:v>
                </c:pt>
                <c:pt idx="39">
                  <c:v>69.598594122679032</c:v>
                </c:pt>
                <c:pt idx="40">
                  <c:v>70.505111104874956</c:v>
                </c:pt>
                <c:pt idx="41">
                  <c:v>71.419421776523038</c:v>
                </c:pt>
                <c:pt idx="42">
                  <c:v>72.341477901508441</c:v>
                </c:pt>
                <c:pt idx="43">
                  <c:v>73.271231243716315</c:v>
                </c:pt>
                <c:pt idx="44">
                  <c:v>74.208633567031839</c:v>
                </c:pt>
                <c:pt idx="45">
                  <c:v>75.153636635340192</c:v>
                </c:pt>
                <c:pt idx="46">
                  <c:v>76.106192212526537</c:v>
                </c:pt>
                <c:pt idx="47">
                  <c:v>77.066252062476025</c:v>
                </c:pt>
                <c:pt idx="48">
                  <c:v>78.033767949073848</c:v>
                </c:pt>
                <c:pt idx="49">
                  <c:v>79.008691636205128</c:v>
                </c:pt>
                <c:pt idx="50">
                  <c:v>79.990974887755087</c:v>
                </c:pt>
                <c:pt idx="51">
                  <c:v>80.980569467608873</c:v>
                </c:pt>
                <c:pt idx="52">
                  <c:v>81.977427139651638</c:v>
                </c:pt>
                <c:pt idx="53">
                  <c:v>82.981499667768574</c:v>
                </c:pt>
                <c:pt idx="54">
                  <c:v>83.992738815844831</c:v>
                </c:pt>
                <c:pt idx="55">
                  <c:v>85.011096347765573</c:v>
                </c:pt>
                <c:pt idx="56">
                  <c:v>86.036524027415979</c:v>
                </c:pt>
                <c:pt idx="57">
                  <c:v>87.068973618681213</c:v>
                </c:pt>
                <c:pt idx="58">
                  <c:v>88.108396885446425</c:v>
                </c:pt>
                <c:pt idx="59">
                  <c:v>89.154745591596836</c:v>
                </c:pt>
                <c:pt idx="60">
                  <c:v>90.207971501017553</c:v>
                </c:pt>
                <c:pt idx="61">
                  <c:v>91.26802637759377</c:v>
                </c:pt>
                <c:pt idx="62">
                  <c:v>92.334861985210651</c:v>
                </c:pt>
                <c:pt idx="63">
                  <c:v>93.408430087753374</c:v>
                </c:pt>
                <c:pt idx="64">
                  <c:v>94.488682449107088</c:v>
                </c:pt>
                <c:pt idx="65">
                  <c:v>95.575570833156974</c:v>
                </c:pt>
                <c:pt idx="66">
                  <c:v>96.669047003788179</c:v>
                </c:pt>
                <c:pt idx="67">
                  <c:v>97.769062724885927</c:v>
                </c:pt>
                <c:pt idx="68">
                  <c:v>98.87556976033531</c:v>
                </c:pt>
                <c:pt idx="69">
                  <c:v>99.988519874021534</c:v>
                </c:pt>
                <c:pt idx="70">
                  <c:v>101.10786482982977</c:v>
                </c:pt>
                <c:pt idx="71">
                  <c:v>102.23355639164518</c:v>
                </c:pt>
                <c:pt idx="72">
                  <c:v>103.36554632335292</c:v>
                </c:pt>
                <c:pt idx="73">
                  <c:v>104.50378638883817</c:v>
                </c:pt>
                <c:pt idx="74">
                  <c:v>105.64822835198608</c:v>
                </c:pt>
                <c:pt idx="75">
                  <c:v>106.79882397668186</c:v>
                </c:pt>
                <c:pt idx="76">
                  <c:v>107.95552502681062</c:v>
                </c:pt>
                <c:pt idx="77">
                  <c:v>109.11828326625756</c:v>
                </c:pt>
                <c:pt idx="78">
                  <c:v>110.28705045890787</c:v>
                </c:pt>
                <c:pt idx="79">
                  <c:v>111.46177836864665</c:v>
                </c:pt>
                <c:pt idx="80">
                  <c:v>112.64241875935915</c:v>
                </c:pt>
                <c:pt idx="81">
                  <c:v>113.82892339493046</c:v>
                </c:pt>
                <c:pt idx="82">
                  <c:v>115.0212440392458</c:v>
                </c:pt>
                <c:pt idx="83">
                  <c:v>116.21933245619033</c:v>
                </c:pt>
                <c:pt idx="84">
                  <c:v>117.42314040964921</c:v>
                </c:pt>
                <c:pt idx="85">
                  <c:v>118.6326196635076</c:v>
                </c:pt>
                <c:pt idx="86">
                  <c:v>119.84772198165065</c:v>
                </c:pt>
                <c:pt idx="87">
                  <c:v>121.06839912796359</c:v>
                </c:pt>
                <c:pt idx="88">
                  <c:v>122.2946028663315</c:v>
                </c:pt>
                <c:pt idx="89">
                  <c:v>123.52628496063963</c:v>
                </c:pt>
                <c:pt idx="90">
                  <c:v>124.76339717477313</c:v>
                </c:pt>
                <c:pt idx="91">
                  <c:v>126.00589127261713</c:v>
                </c:pt>
                <c:pt idx="92">
                  <c:v>127.2537190180568</c:v>
                </c:pt>
                <c:pt idx="93">
                  <c:v>128.50683217497735</c:v>
                </c:pt>
                <c:pt idx="94">
                  <c:v>129.76518250726392</c:v>
                </c:pt>
                <c:pt idx="95">
                  <c:v>131.02872177880167</c:v>
                </c:pt>
                <c:pt idx="96">
                  <c:v>132.29740175347578</c:v>
                </c:pt>
                <c:pt idx="97">
                  <c:v>133.57117419517138</c:v>
                </c:pt>
                <c:pt idx="98">
                  <c:v>134.8499908677737</c:v>
                </c:pt>
                <c:pt idx="99">
                  <c:v>136.13380353516789</c:v>
                </c:pt>
                <c:pt idx="100">
                  <c:v>137.42256396123909</c:v>
                </c:pt>
                <c:pt idx="101">
                  <c:v>138.7162239098725</c:v>
                </c:pt>
                <c:pt idx="102">
                  <c:v>140.01473514495328</c:v>
                </c:pt>
                <c:pt idx="103">
                  <c:v>141.31804943036659</c:v>
                </c:pt>
                <c:pt idx="104">
                  <c:v>142.6261185299976</c:v>
                </c:pt>
                <c:pt idx="105">
                  <c:v>143.93889420773141</c:v>
                </c:pt>
                <c:pt idx="106">
                  <c:v>145.25632822745331</c:v>
                </c:pt>
                <c:pt idx="107">
                  <c:v>146.57837235304839</c:v>
                </c:pt>
                <c:pt idx="108">
                  <c:v>147.90497834840187</c:v>
                </c:pt>
                <c:pt idx="109">
                  <c:v>149.23609797739883</c:v>
                </c:pt>
                <c:pt idx="110">
                  <c:v>150.57168300392453</c:v>
                </c:pt>
                <c:pt idx="111">
                  <c:v>151.91168519186408</c:v>
                </c:pt>
                <c:pt idx="112">
                  <c:v>153.2560563051027</c:v>
                </c:pt>
                <c:pt idx="113">
                  <c:v>154.6047481075255</c:v>
                </c:pt>
                <c:pt idx="114">
                  <c:v>155.95771236301763</c:v>
                </c:pt>
                <c:pt idx="115">
                  <c:v>157.31490083546436</c:v>
                </c:pt>
                <c:pt idx="116">
                  <c:v>158.67626528875076</c:v>
                </c:pt>
                <c:pt idx="117">
                  <c:v>160.04175748676207</c:v>
                </c:pt>
                <c:pt idx="118">
                  <c:v>161.41132919338335</c:v>
                </c:pt>
                <c:pt idx="119">
                  <c:v>162.78493217249991</c:v>
                </c:pt>
                <c:pt idx="120">
                  <c:v>164.1625181879968</c:v>
                </c:pt>
                <c:pt idx="121">
                  <c:v>165.54403900375925</c:v>
                </c:pt>
                <c:pt idx="122">
                  <c:v>166.9294463836724</c:v>
                </c:pt>
                <c:pt idx="123">
                  <c:v>168.31869209162141</c:v>
                </c:pt>
                <c:pt idx="124">
                  <c:v>169.71172789149156</c:v>
                </c:pt>
                <c:pt idx="125">
                  <c:v>171.10850554716785</c:v>
                </c:pt>
                <c:pt idx="126">
                  <c:v>172.50897682253554</c:v>
                </c:pt>
                <c:pt idx="127">
                  <c:v>173.91309348147973</c:v>
                </c:pt>
                <c:pt idx="128">
                  <c:v>175.32080728788569</c:v>
                </c:pt>
                <c:pt idx="129">
                  <c:v>176.73207000563849</c:v>
                </c:pt>
                <c:pt idx="130">
                  <c:v>178.14683339862336</c:v>
                </c:pt>
                <c:pt idx="131">
                  <c:v>179.56504923072544</c:v>
                </c:pt>
                <c:pt idx="132">
                  <c:v>180.9866692658299</c:v>
                </c:pt>
                <c:pt idx="133">
                  <c:v>182.41164526782194</c:v>
                </c:pt>
                <c:pt idx="134">
                  <c:v>183.83992900058669</c:v>
                </c:pt>
                <c:pt idx="135">
                  <c:v>185.27147222800932</c:v>
                </c:pt>
                <c:pt idx="136">
                  <c:v>186.70622671397498</c:v>
                </c:pt>
                <c:pt idx="137">
                  <c:v>188.14414422236888</c:v>
                </c:pt>
                <c:pt idx="138">
                  <c:v>189.58517651707618</c:v>
                </c:pt>
                <c:pt idx="139">
                  <c:v>191.029275361982</c:v>
                </c:pt>
                <c:pt idx="140">
                  <c:v>192.47639252097161</c:v>
                </c:pt>
                <c:pt idx="141">
                  <c:v>193.92647975793005</c:v>
                </c:pt>
                <c:pt idx="142">
                  <c:v>195.37948883674261</c:v>
                </c:pt>
                <c:pt idx="143">
                  <c:v>196.83537152129435</c:v>
                </c:pt>
                <c:pt idx="144">
                  <c:v>198.29407957547051</c:v>
                </c:pt>
                <c:pt idx="145">
                  <c:v>199.7555647631562</c:v>
                </c:pt>
                <c:pt idx="146">
                  <c:v>201.21977884823664</c:v>
                </c:pt>
                <c:pt idx="147">
                  <c:v>202.68667359459695</c:v>
                </c:pt>
                <c:pt idx="148">
                  <c:v>204.15620076612237</c:v>
                </c:pt>
                <c:pt idx="149">
                  <c:v>205.62831212669798</c:v>
                </c:pt>
                <c:pt idx="150">
                  <c:v>207.10295944020896</c:v>
                </c:pt>
                <c:pt idx="151">
                  <c:v>208.58009447054056</c:v>
                </c:pt>
                <c:pt idx="152">
                  <c:v>210.05966898157786</c:v>
                </c:pt>
                <c:pt idx="153">
                  <c:v>211.5416347372061</c:v>
                </c:pt>
                <c:pt idx="154">
                  <c:v>213.02594350131039</c:v>
                </c:pt>
                <c:pt idx="155">
                  <c:v>214.5125470377759</c:v>
                </c:pt>
                <c:pt idx="156">
                  <c:v>216.0013971104878</c:v>
                </c:pt>
                <c:pt idx="157">
                  <c:v>217.4924454833313</c:v>
                </c:pt>
                <c:pt idx="158">
                  <c:v>218.98564392019154</c:v>
                </c:pt>
                <c:pt idx="159">
                  <c:v>220.48094418495367</c:v>
                </c:pt>
                <c:pt idx="160">
                  <c:v>221.97829804150291</c:v>
                </c:pt>
                <c:pt idx="161">
                  <c:v>223.47765725372437</c:v>
                </c:pt>
                <c:pt idx="162">
                  <c:v>224.97897358550316</c:v>
                </c:pt>
                <c:pt idx="163">
                  <c:v>226.4821988007246</c:v>
                </c:pt>
                <c:pt idx="164">
                  <c:v>227.98728466327378</c:v>
                </c:pt>
                <c:pt idx="165">
                  <c:v>229.49418293703584</c:v>
                </c:pt>
                <c:pt idx="166">
                  <c:v>231.00284538589602</c:v>
                </c:pt>
                <c:pt idx="167">
                  <c:v>232.51322377373941</c:v>
                </c:pt>
                <c:pt idx="168">
                  <c:v>234.02526986445125</c:v>
                </c:pt>
                <c:pt idx="169">
                  <c:v>235.53893542191662</c:v>
                </c:pt>
                <c:pt idx="170">
                  <c:v>237.05417221002074</c:v>
                </c:pt>
                <c:pt idx="171">
                  <c:v>238.57093199264875</c:v>
                </c:pt>
                <c:pt idx="172">
                  <c:v>240.08916653368595</c:v>
                </c:pt>
                <c:pt idx="173">
                  <c:v>241.6088275970173</c:v>
                </c:pt>
                <c:pt idx="174">
                  <c:v>243.12986694652807</c:v>
                </c:pt>
                <c:pt idx="175">
                  <c:v>244.65223634610348</c:v>
                </c:pt>
                <c:pt idx="176">
                  <c:v>246.17588755962862</c:v>
                </c:pt>
                <c:pt idx="177">
                  <c:v>247.70077235098867</c:v>
                </c:pt>
                <c:pt idx="178">
                  <c:v>249.22684248406878</c:v>
                </c:pt>
                <c:pt idx="179">
                  <c:v>250.75404972275419</c:v>
                </c:pt>
                <c:pt idx="180">
                  <c:v>252.28234583092998</c:v>
                </c:pt>
                <c:pt idx="181">
                  <c:v>253.8116825724814</c:v>
                </c:pt>
                <c:pt idx="182">
                  <c:v>255.34201171129354</c:v>
                </c:pt>
                <c:pt idx="183">
                  <c:v>256.87328501125165</c:v>
                </c:pt>
                <c:pt idx="184">
                  <c:v>258.40545423624076</c:v>
                </c:pt>
                <c:pt idx="185">
                  <c:v>259.9384711501462</c:v>
                </c:pt>
                <c:pt idx="186">
                  <c:v>261.47228751685304</c:v>
                </c:pt>
                <c:pt idx="187">
                  <c:v>263.00685510024653</c:v>
                </c:pt>
                <c:pt idx="188">
                  <c:v>264.54212566421171</c:v>
                </c:pt>
                <c:pt idx="189">
                  <c:v>266.07805097263383</c:v>
                </c:pt>
                <c:pt idx="190">
                  <c:v>267.61458278939807</c:v>
                </c:pt>
                <c:pt idx="191">
                  <c:v>269.15167287838949</c:v>
                </c:pt>
                <c:pt idx="192">
                  <c:v>270.6892730034935</c:v>
                </c:pt>
                <c:pt idx="193">
                  <c:v>272.22733492859493</c:v>
                </c:pt>
                <c:pt idx="194">
                  <c:v>273.76581041757919</c:v>
                </c:pt>
                <c:pt idx="195">
                  <c:v>275.3046512343314</c:v>
                </c:pt>
                <c:pt idx="196">
                  <c:v>276.84380914273669</c:v>
                </c:pt>
                <c:pt idx="197">
                  <c:v>278.38323590668034</c:v>
                </c:pt>
                <c:pt idx="198">
                  <c:v>279.92288329004737</c:v>
                </c:pt>
                <c:pt idx="199">
                  <c:v>281.46270305672294</c:v>
                </c:pt>
                <c:pt idx="200">
                  <c:v>283.00264697059231</c:v>
                </c:pt>
                <c:pt idx="201">
                  <c:v>284.5426667955407</c:v>
                </c:pt>
                <c:pt idx="202">
                  <c:v>286.08271429545306</c:v>
                </c:pt>
                <c:pt idx="203">
                  <c:v>287.62274123421474</c:v>
                </c:pt>
                <c:pt idx="204">
                  <c:v>289.16269937571082</c:v>
                </c:pt>
                <c:pt idx="205">
                  <c:v>290.70254048382657</c:v>
                </c:pt>
                <c:pt idx="206">
                  <c:v>292.24221632244718</c:v>
                </c:pt>
                <c:pt idx="207">
                  <c:v>293.7816786554576</c:v>
                </c:pt>
                <c:pt idx="208">
                  <c:v>295.32087924674312</c:v>
                </c:pt>
                <c:pt idx="209">
                  <c:v>296.85976986018892</c:v>
                </c:pt>
                <c:pt idx="210">
                  <c:v>298.39830225968024</c:v>
                </c:pt>
                <c:pt idx="211">
                  <c:v>299.93642820910213</c:v>
                </c:pt>
                <c:pt idx="212">
                  <c:v>301.47409947233984</c:v>
                </c:pt>
                <c:pt idx="213">
                  <c:v>303.01126781327838</c:v>
                </c:pt>
                <c:pt idx="214">
                  <c:v>304.54788499580309</c:v>
                </c:pt>
                <c:pt idx="215">
                  <c:v>306.08390278379915</c:v>
                </c:pt>
                <c:pt idx="216">
                  <c:v>307.61927294115156</c:v>
                </c:pt>
                <c:pt idx="217">
                  <c:v>309.15394723174563</c:v>
                </c:pt>
                <c:pt idx="218">
                  <c:v>310.68787741946647</c:v>
                </c:pt>
                <c:pt idx="219">
                  <c:v>312.22101526819932</c:v>
                </c:pt>
                <c:pt idx="220">
                  <c:v>313.75331254182919</c:v>
                </c:pt>
                <c:pt idx="221">
                  <c:v>315.28472100424142</c:v>
                </c:pt>
                <c:pt idx="222">
                  <c:v>316.81519241932108</c:v>
                </c:pt>
                <c:pt idx="223">
                  <c:v>318.34467855095335</c:v>
                </c:pt>
                <c:pt idx="224">
                  <c:v>319.87313116302334</c:v>
                </c:pt>
                <c:pt idx="225">
                  <c:v>321.40050201941648</c:v>
                </c:pt>
                <c:pt idx="226">
                  <c:v>322.92674288401759</c:v>
                </c:pt>
                <c:pt idx="227">
                  <c:v>324.45180552071201</c:v>
                </c:pt>
                <c:pt idx="228">
                  <c:v>325.97564169338489</c:v>
                </c:pt>
                <c:pt idx="229">
                  <c:v>327.49820316592138</c:v>
                </c:pt>
                <c:pt idx="230">
                  <c:v>329.01944170220668</c:v>
                </c:pt>
                <c:pt idx="231">
                  <c:v>330.53930906612595</c:v>
                </c:pt>
                <c:pt idx="232">
                  <c:v>332.05775702156433</c:v>
                </c:pt>
                <c:pt idx="233">
                  <c:v>333.57473733240704</c:v>
                </c:pt>
                <c:pt idx="234">
                  <c:v>335.09020176253921</c:v>
                </c:pt>
                <c:pt idx="235">
                  <c:v>336.60410207584596</c:v>
                </c:pt>
                <c:pt idx="236">
                  <c:v>338.11639003621247</c:v>
                </c:pt>
                <c:pt idx="237">
                  <c:v>339.62701740752402</c:v>
                </c:pt>
                <c:pt idx="238">
                  <c:v>341.13593595366569</c:v>
                </c:pt>
                <c:pt idx="239">
                  <c:v>342.64309743852266</c:v>
                </c:pt>
                <c:pt idx="240">
                  <c:v>344.14845362598004</c:v>
                </c:pt>
                <c:pt idx="241">
                  <c:v>345.65195627992307</c:v>
                </c:pt>
                <c:pt idx="242">
                  <c:v>347.15355716423699</c:v>
                </c:pt>
                <c:pt idx="243">
                  <c:v>348.65320804280674</c:v>
                </c:pt>
                <c:pt idx="244">
                  <c:v>350.15086067951779</c:v>
                </c:pt>
                <c:pt idx="245">
                  <c:v>351.64646683825498</c:v>
                </c:pt>
                <c:pt idx="246">
                  <c:v>353.13997828290377</c:v>
                </c:pt>
                <c:pt idx="247">
                  <c:v>354.63134677734922</c:v>
                </c:pt>
                <c:pt idx="248">
                  <c:v>356.12052408547629</c:v>
                </c:pt>
                <c:pt idx="249">
                  <c:v>357.60746197117055</c:v>
                </c:pt>
                <c:pt idx="250">
                  <c:v>359.09211219831684</c:v>
                </c:pt>
                <c:pt idx="251">
                  <c:v>360.57442653080045</c:v>
                </c:pt>
                <c:pt idx="252">
                  <c:v>362.05435673250645</c:v>
                </c:pt>
                <c:pt idx="253">
                  <c:v>363.53185456732018</c:v>
                </c:pt>
                <c:pt idx="254">
                  <c:v>365.00687179912677</c:v>
                </c:pt>
                <c:pt idx="255">
                  <c:v>366.47936019181117</c:v>
                </c:pt>
                <c:pt idx="256">
                  <c:v>367.94927150925878</c:v>
                </c:pt>
                <c:pt idx="257">
                  <c:v>369.41655751535473</c:v>
                </c:pt>
                <c:pt idx="258">
                  <c:v>370.88116997398424</c:v>
                </c:pt>
                <c:pt idx="259">
                  <c:v>372.34306064903228</c:v>
                </c:pt>
                <c:pt idx="260">
                  <c:v>373.80218130438425</c:v>
                </c:pt>
                <c:pt idx="261">
                  <c:v>375.25848370392509</c:v>
                </c:pt>
                <c:pt idx="262">
                  <c:v>376.71191961154011</c:v>
                </c:pt>
                <c:pt idx="263">
                  <c:v>378.16244079111442</c:v>
                </c:pt>
                <c:pt idx="264">
                  <c:v>379.60999900653337</c:v>
                </c:pt>
                <c:pt idx="265">
                  <c:v>381.05454602168169</c:v>
                </c:pt>
                <c:pt idx="266">
                  <c:v>382.49603360044506</c:v>
                </c:pt>
                <c:pt idx="267">
                  <c:v>383.93441350670844</c:v>
                </c:pt>
                <c:pt idx="268">
                  <c:v>385.36963750435677</c:v>
                </c:pt>
                <c:pt idx="269">
                  <c:v>386.80165735727564</c:v>
                </c:pt>
                <c:pt idx="270">
                  <c:v>388.23042482934977</c:v>
                </c:pt>
                <c:pt idx="271">
                  <c:v>389.6558916844649</c:v>
                </c:pt>
                <c:pt idx="272">
                  <c:v>391.07800968650554</c:v>
                </c:pt>
                <c:pt idx="273">
                  <c:v>392.49673059935714</c:v>
                </c:pt>
                <c:pt idx="274">
                  <c:v>393.91200618690505</c:v>
                </c:pt>
                <c:pt idx="275">
                  <c:v>395.32378821303422</c:v>
                </c:pt>
                <c:pt idx="276">
                  <c:v>396.73202844163006</c:v>
                </c:pt>
                <c:pt idx="277">
                  <c:v>398.13667863657741</c:v>
                </c:pt>
                <c:pt idx="278">
                  <c:v>399.53769056176156</c:v>
                </c:pt>
                <c:pt idx="279">
                  <c:v>400.93501598106769</c:v>
                </c:pt>
                <c:pt idx="280">
                  <c:v>402.32860665838109</c:v>
                </c:pt>
                <c:pt idx="281">
                  <c:v>403.71841435758677</c:v>
                </c:pt>
                <c:pt idx="282">
                  <c:v>405.10439084256996</c:v>
                </c:pt>
                <c:pt idx="283">
                  <c:v>406.48648787721572</c:v>
                </c:pt>
                <c:pt idx="284">
                  <c:v>407.86465722540947</c:v>
                </c:pt>
                <c:pt idx="285">
                  <c:v>409.23885065103605</c:v>
                </c:pt>
                <c:pt idx="286">
                  <c:v>410.60901991798096</c:v>
                </c:pt>
                <c:pt idx="287">
                  <c:v>411.97511679012905</c:v>
                </c:pt>
                <c:pt idx="288">
                  <c:v>413.33709303136584</c:v>
                </c:pt>
                <c:pt idx="289">
                  <c:v>414.69490040557611</c:v>
                </c:pt>
                <c:pt idx="290">
                  <c:v>416.04849067664537</c:v>
                </c:pt>
                <c:pt idx="291">
                  <c:v>417.39781560845847</c:v>
                </c:pt>
                <c:pt idx="292">
                  <c:v>418.74282696490081</c:v>
                </c:pt>
                <c:pt idx="293">
                  <c:v>420.08347650985746</c:v>
                </c:pt>
                <c:pt idx="294">
                  <c:v>421.41971600721376</c:v>
                </c:pt>
                <c:pt idx="295">
                  <c:v>422.75149722085462</c:v>
                </c:pt>
                <c:pt idx="296">
                  <c:v>424.07877191466531</c:v>
                </c:pt>
                <c:pt idx="297">
                  <c:v>425.40149185253108</c:v>
                </c:pt>
                <c:pt idx="298">
                  <c:v>426.71960879833694</c:v>
                </c:pt>
                <c:pt idx="299">
                  <c:v>428.03307451596811</c:v>
                </c:pt>
                <c:pt idx="300">
                  <c:v>429.3418407693099</c:v>
                </c:pt>
                <c:pt idx="301">
                  <c:v>430.64585932224736</c:v>
                </c:pt>
                <c:pt idx="302">
                  <c:v>431.94508193866568</c:v>
                </c:pt>
                <c:pt idx="303">
                  <c:v>433.23946038244992</c:v>
                </c:pt>
                <c:pt idx="304">
                  <c:v>434.52894641748549</c:v>
                </c:pt>
                <c:pt idx="305">
                  <c:v>435.81349180765721</c:v>
                </c:pt>
                <c:pt idx="306">
                  <c:v>437.09304831685063</c:v>
                </c:pt>
                <c:pt idx="307">
                  <c:v>438.36756770895067</c:v>
                </c:pt>
                <c:pt idx="308">
                  <c:v>439.63700174784242</c:v>
                </c:pt>
                <c:pt idx="309">
                  <c:v>440.90130219741138</c:v>
                </c:pt>
                <c:pt idx="310">
                  <c:v>442.16042082154252</c:v>
                </c:pt>
                <c:pt idx="311">
                  <c:v>443.41430938412094</c:v>
                </c:pt>
                <c:pt idx="312">
                  <c:v>444.66291964903195</c:v>
                </c:pt>
                <c:pt idx="313">
                  <c:v>445.90620338016043</c:v>
                </c:pt>
                <c:pt idx="314">
                  <c:v>447.14411234139192</c:v>
                </c:pt>
                <c:pt idx="315">
                  <c:v>448.37659829661146</c:v>
                </c:pt>
                <c:pt idx="316">
                  <c:v>449.60361300970419</c:v>
                </c:pt>
                <c:pt idx="317">
                  <c:v>450.82510824455517</c:v>
                </c:pt>
                <c:pt idx="318">
                  <c:v>452.04103576504986</c:v>
                </c:pt>
                <c:pt idx="319">
                  <c:v>453.25134733507309</c:v>
                </c:pt>
                <c:pt idx="320">
                  <c:v>454.45599471851028</c:v>
                </c:pt>
                <c:pt idx="321">
                  <c:v>455.65492967924644</c:v>
                </c:pt>
                <c:pt idx="322">
                  <c:v>456.84810398116679</c:v>
                </c:pt>
                <c:pt idx="323">
                  <c:v>458.03546938815651</c:v>
                </c:pt>
                <c:pt idx="324">
                  <c:v>459.21697766410068</c:v>
                </c:pt>
                <c:pt idx="325">
                  <c:v>460.39258057288475</c:v>
                </c:pt>
                <c:pt idx="326">
                  <c:v>461.56222987839345</c:v>
                </c:pt>
                <c:pt idx="327">
                  <c:v>462.7258773445123</c:v>
                </c:pt>
                <c:pt idx="328">
                  <c:v>463.88347473512636</c:v>
                </c:pt>
                <c:pt idx="329">
                  <c:v>465.0349738141208</c:v>
                </c:pt>
                <c:pt idx="330">
                  <c:v>466.18032634538065</c:v>
                </c:pt>
                <c:pt idx="331">
                  <c:v>467.31948409279141</c:v>
                </c:pt>
                <c:pt idx="332">
                  <c:v>468.45239882023782</c:v>
                </c:pt>
                <c:pt idx="333">
                  <c:v>469.5790222916055</c:v>
                </c:pt>
                <c:pt idx="334">
                  <c:v>470.69930627077923</c:v>
                </c:pt>
                <c:pt idx="335">
                  <c:v>471.81320252164426</c:v>
                </c:pt>
                <c:pt idx="336">
                  <c:v>472.92066280808604</c:v>
                </c:pt>
                <c:pt idx="337">
                  <c:v>474.02163889398935</c:v>
                </c:pt>
                <c:pt idx="338">
                  <c:v>475.11608254323949</c:v>
                </c:pt>
                <c:pt idx="339">
                  <c:v>476.20394551972186</c:v>
                </c:pt>
                <c:pt idx="340">
                  <c:v>477.2851795873213</c:v>
                </c:pt>
                <c:pt idx="341">
                  <c:v>478.35973650992321</c:v>
                </c:pt>
                <c:pt idx="342">
                  <c:v>479.42756805141255</c:v>
                </c:pt>
                <c:pt idx="343">
                  <c:v>480.48862597567467</c:v>
                </c:pt>
                <c:pt idx="344">
                  <c:v>481.54286204659473</c:v>
                </c:pt>
                <c:pt idx="345">
                  <c:v>482.59022802805777</c:v>
                </c:pt>
                <c:pt idx="346">
                  <c:v>483.63067568394905</c:v>
                </c:pt>
                <c:pt idx="347">
                  <c:v>484.66415677815365</c:v>
                </c:pt>
                <c:pt idx="348">
                  <c:v>485.69062307455681</c:v>
                </c:pt>
                <c:pt idx="349">
                  <c:v>486.7100263370437</c:v>
                </c:pt>
                <c:pt idx="350">
                  <c:v>487.7223183294995</c:v>
                </c:pt>
                <c:pt idx="351">
                  <c:v>488.72745081580928</c:v>
                </c:pt>
                <c:pt idx="352">
                  <c:v>489.72537555985832</c:v>
                </c:pt>
                <c:pt idx="353">
                  <c:v>490.7160443255317</c:v>
                </c:pt>
                <c:pt idx="354">
                  <c:v>491.69940887671487</c:v>
                </c:pt>
                <c:pt idx="355">
                  <c:v>492.67542097729239</c:v>
                </c:pt>
                <c:pt idx="356">
                  <c:v>493.64403239114995</c:v>
                </c:pt>
                <c:pt idx="357">
                  <c:v>494.60519488217267</c:v>
                </c:pt>
                <c:pt idx="358">
                  <c:v>495.55886021424561</c:v>
                </c:pt>
                <c:pt idx="359">
                  <c:v>496.50498015125373</c:v>
                </c:pt>
                <c:pt idx="360">
                  <c:v>497.44350645708261</c:v>
                </c:pt>
                <c:pt idx="361">
                  <c:v>498.37439089561707</c:v>
                </c:pt>
                <c:pt idx="362">
                  <c:v>499.29758523074247</c:v>
                </c:pt>
                <c:pt idx="363">
                  <c:v>500.21304122634399</c:v>
                </c:pt>
                <c:pt idx="364">
                  <c:v>501.12071064630669</c:v>
                </c:pt>
                <c:pt idx="365">
                  <c:v>502.02054525451575</c:v>
                </c:pt>
                <c:pt idx="366">
                  <c:v>502.91249681485647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F-484F-BD29-A28EE62A5EFA}"/>
            </c:ext>
          </c:extLst>
        </c:ser>
        <c:ser>
          <c:idx val="2"/>
          <c:order val="2"/>
          <c:tx>
            <c:strRef>
              <c:f>'Model tilvækst, slagteform, fe'!$AB$9</c:f>
              <c:strCache>
                <c:ptCount val="1"/>
                <c:pt idx="0">
                  <c:v>3 grad, minus vægt dag 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fe'!$U$9:$U$375</c:f>
              <c:numCache>
                <c:formatCode>0.00</c:formatCode>
                <c:ptCount val="367"/>
                <c:pt idx="0">
                  <c:v>27.6285699642522</c:v>
                </c:pt>
                <c:pt idx="1">
                  <c:v>28.47498476477206</c:v>
                </c:pt>
                <c:pt idx="2">
                  <c:v>29.32803489749891</c:v>
                </c:pt>
                <c:pt idx="3">
                  <c:v>30.187686242723455</c:v>
                </c:pt>
                <c:pt idx="4">
                  <c:v>31.053904680736409</c:v>
                </c:pt>
                <c:pt idx="5">
                  <c:v>31.92665609182848</c:v>
                </c:pt>
                <c:pt idx="6">
                  <c:v>32.805906356290372</c:v>
                </c:pt>
                <c:pt idx="7">
                  <c:v>33.691621354412803</c:v>
                </c:pt>
                <c:pt idx="8">
                  <c:v>34.583766966486472</c:v>
                </c:pt>
                <c:pt idx="9">
                  <c:v>35.48230907280211</c:v>
                </c:pt>
                <c:pt idx="10">
                  <c:v>36.387213553650398</c:v>
                </c:pt>
                <c:pt idx="11">
                  <c:v>37.298446289322065</c:v>
                </c:pt>
                <c:pt idx="12">
                  <c:v>38.215973160107815</c:v>
                </c:pt>
                <c:pt idx="13">
                  <c:v>39.139760046298349</c:v>
                </c:pt>
                <c:pt idx="14">
                  <c:v>40.069772828184398</c:v>
                </c:pt>
                <c:pt idx="15">
                  <c:v>41.005977386056642</c:v>
                </c:pt>
                <c:pt idx="16">
                  <c:v>41.94833960020582</c:v>
                </c:pt>
                <c:pt idx="17">
                  <c:v>42.896825350922619</c:v>
                </c:pt>
                <c:pt idx="18">
                  <c:v>43.851400518497762</c:v>
                </c:pt>
                <c:pt idx="19">
                  <c:v>44.812030983221945</c:v>
                </c:pt>
                <c:pt idx="20">
                  <c:v>45.778682625385891</c:v>
                </c:pt>
                <c:pt idx="21">
                  <c:v>46.751321325280308</c:v>
                </c:pt>
                <c:pt idx="22">
                  <c:v>47.729912963195893</c:v>
                </c:pt>
                <c:pt idx="23">
                  <c:v>48.714423419423362</c:v>
                </c:pt>
                <c:pt idx="24">
                  <c:v>49.70481857425343</c:v>
                </c:pt>
                <c:pt idx="25">
                  <c:v>50.701064307976807</c:v>
                </c:pt>
                <c:pt idx="26">
                  <c:v>51.703126500884196</c:v>
                </c:pt>
                <c:pt idx="27">
                  <c:v>52.710971033266304</c:v>
                </c:pt>
                <c:pt idx="28">
                  <c:v>53.724563785413835</c:v>
                </c:pt>
                <c:pt idx="29">
                  <c:v>54.743870637617512</c:v>
                </c:pt>
                <c:pt idx="30">
                  <c:v>55.768857470168051</c:v>
                </c:pt>
                <c:pt idx="31">
                  <c:v>56.799490163356147</c:v>
                </c:pt>
                <c:pt idx="32">
                  <c:v>57.835734597472516</c:v>
                </c:pt>
                <c:pt idx="33">
                  <c:v>58.877556652807861</c:v>
                </c:pt>
                <c:pt idx="34">
                  <c:v>59.924922209652891</c:v>
                </c:pt>
                <c:pt idx="35">
                  <c:v>60.977797148298322</c:v>
                </c:pt>
                <c:pt idx="36">
                  <c:v>62.036147349034856</c:v>
                </c:pt>
                <c:pt idx="37">
                  <c:v>63.099938692153209</c:v>
                </c:pt>
                <c:pt idx="38">
                  <c:v>64.169137057944099</c:v>
                </c:pt>
                <c:pt idx="39">
                  <c:v>65.243708326698211</c:v>
                </c:pt>
                <c:pt idx="40">
                  <c:v>66.323618378706271</c:v>
                </c:pt>
                <c:pt idx="41">
                  <c:v>67.408833094258995</c:v>
                </c:pt>
                <c:pt idx="42">
                  <c:v>68.49931835364707</c:v>
                </c:pt>
                <c:pt idx="43">
                  <c:v>69.595040037161226</c:v>
                </c:pt>
                <c:pt idx="44">
                  <c:v>70.695964025092152</c:v>
                </c:pt>
                <c:pt idx="45">
                  <c:v>71.802056197730593</c:v>
                </c:pt>
                <c:pt idx="46">
                  <c:v>72.913282435367222</c:v>
                </c:pt>
                <c:pt idx="47">
                  <c:v>74.02960861829277</c:v>
                </c:pt>
                <c:pt idx="48">
                  <c:v>75.151000626797924</c:v>
                </c:pt>
                <c:pt idx="49">
                  <c:v>76.277424341173401</c:v>
                </c:pt>
                <c:pt idx="50">
                  <c:v>77.408845641709931</c:v>
                </c:pt>
                <c:pt idx="51">
                  <c:v>78.545230408698217</c:v>
                </c:pt>
                <c:pt idx="52">
                  <c:v>79.686544522428946</c:v>
                </c:pt>
                <c:pt idx="53">
                  <c:v>80.832753863192849</c:v>
                </c:pt>
                <c:pt idx="54">
                  <c:v>81.983824311280628</c:v>
                </c:pt>
                <c:pt idx="55">
                  <c:v>83.139721746983</c:v>
                </c:pt>
                <c:pt idx="56">
                  <c:v>84.300412050590651</c:v>
                </c:pt>
                <c:pt idx="57">
                  <c:v>85.4658611023943</c:v>
                </c:pt>
                <c:pt idx="58">
                  <c:v>86.636034782684689</c:v>
                </c:pt>
                <c:pt idx="59">
                  <c:v>87.810898971752479</c:v>
                </c:pt>
                <c:pt idx="60">
                  <c:v>88.990419549888429</c:v>
                </c:pt>
                <c:pt idx="61">
                  <c:v>90.174562397383198</c:v>
                </c:pt>
                <c:pt idx="62">
                  <c:v>91.363293394527517</c:v>
                </c:pt>
                <c:pt idx="63">
                  <c:v>92.556578421612102</c:v>
                </c:pt>
                <c:pt idx="64">
                  <c:v>93.754383358927669</c:v>
                </c:pt>
                <c:pt idx="65">
                  <c:v>94.956674086764906</c:v>
                </c:pt>
                <c:pt idx="66">
                  <c:v>96.163416485414544</c:v>
                </c:pt>
                <c:pt idx="67">
                  <c:v>97.374576435167256</c:v>
                </c:pt>
                <c:pt idx="68">
                  <c:v>98.590119816313788</c:v>
                </c:pt>
                <c:pt idx="69">
                  <c:v>99.810012509144855</c:v>
                </c:pt>
                <c:pt idx="70">
                  <c:v>101.03422039395113</c:v>
                </c:pt>
                <c:pt idx="71">
                  <c:v>102.26270935102335</c:v>
                </c:pt>
                <c:pt idx="72">
                  <c:v>103.49544526065219</c:v>
                </c:pt>
                <c:pt idx="73">
                  <c:v>104.73239400312841</c:v>
                </c:pt>
                <c:pt idx="74">
                  <c:v>105.97352145874268</c:v>
                </c:pt>
                <c:pt idx="75">
                  <c:v>107.21879350778573</c:v>
                </c:pt>
                <c:pt idx="76">
                  <c:v>108.46817603054828</c:v>
                </c:pt>
                <c:pt idx="77">
                  <c:v>109.721634907321</c:v>
                </c:pt>
                <c:pt idx="78">
                  <c:v>110.97913601839463</c:v>
                </c:pt>
                <c:pt idx="79">
                  <c:v>112.24064524405986</c:v>
                </c:pt>
                <c:pt idx="80">
                  <c:v>113.50612846460743</c:v>
                </c:pt>
                <c:pt idx="81">
                  <c:v>114.77555156032801</c:v>
                </c:pt>
                <c:pt idx="82">
                  <c:v>116.04888041151234</c:v>
                </c:pt>
                <c:pt idx="83">
                  <c:v>117.32608089845112</c:v>
                </c:pt>
                <c:pt idx="84">
                  <c:v>118.60711890143506</c:v>
                </c:pt>
                <c:pt idx="85">
                  <c:v>119.89196030075485</c:v>
                </c:pt>
                <c:pt idx="86">
                  <c:v>121.18057097670123</c:v>
                </c:pt>
                <c:pt idx="87">
                  <c:v>122.47291680956489</c:v>
                </c:pt>
                <c:pt idx="88">
                  <c:v>123.76896367963656</c:v>
                </c:pt>
                <c:pt idx="89">
                  <c:v>125.06867746720691</c:v>
                </c:pt>
                <c:pt idx="90">
                  <c:v>126.3720240525667</c:v>
                </c:pt>
                <c:pt idx="91">
                  <c:v>127.6789693160066</c:v>
                </c:pt>
                <c:pt idx="92">
                  <c:v>128.98947913781731</c:v>
                </c:pt>
                <c:pt idx="93">
                  <c:v>130.30351939828961</c:v>
                </c:pt>
                <c:pt idx="94">
                  <c:v>131.62105597771415</c:v>
                </c:pt>
                <c:pt idx="95">
                  <c:v>132.94205475638162</c:v>
                </c:pt>
                <c:pt idx="96">
                  <c:v>134.2664816145828</c:v>
                </c:pt>
                <c:pt idx="97">
                  <c:v>135.59430243260834</c:v>
                </c:pt>
                <c:pt idx="98">
                  <c:v>136.92548309074897</c:v>
                </c:pt>
                <c:pt idx="99">
                  <c:v>138.25998946929539</c:v>
                </c:pt>
                <c:pt idx="100">
                  <c:v>139.59778744853833</c:v>
                </c:pt>
                <c:pt idx="101">
                  <c:v>140.93884290876849</c:v>
                </c:pt>
                <c:pt idx="102">
                  <c:v>142.28312173027658</c:v>
                </c:pt>
                <c:pt idx="103">
                  <c:v>143.63058979335329</c:v>
                </c:pt>
                <c:pt idx="104">
                  <c:v>144.98121297828934</c:v>
                </c:pt>
                <c:pt idx="105">
                  <c:v>146.33495716537547</c:v>
                </c:pt>
                <c:pt idx="106">
                  <c:v>147.69178823490236</c:v>
                </c:pt>
                <c:pt idx="107">
                  <c:v>149.05167206716069</c:v>
                </c:pt>
                <c:pt idx="108">
                  <c:v>150.41457454244124</c:v>
                </c:pt>
                <c:pt idx="109">
                  <c:v>151.7804615410347</c:v>
                </c:pt>
                <c:pt idx="110">
                  <c:v>153.14929894323171</c:v>
                </c:pt>
                <c:pt idx="111">
                  <c:v>154.52105262932304</c:v>
                </c:pt>
                <c:pt idx="112">
                  <c:v>155.89568847959941</c:v>
                </c:pt>
                <c:pt idx="113">
                  <c:v>157.27317237435153</c:v>
                </c:pt>
                <c:pt idx="114">
                  <c:v>158.65347019387005</c:v>
                </c:pt>
                <c:pt idx="115">
                  <c:v>160.03654781844574</c:v>
                </c:pt>
                <c:pt idx="116">
                  <c:v>161.42237112836926</c:v>
                </c:pt>
                <c:pt idx="117">
                  <c:v>162.81090600393136</c:v>
                </c:pt>
                <c:pt idx="118">
                  <c:v>164.20211832542276</c:v>
                </c:pt>
                <c:pt idx="119">
                  <c:v>165.59597397313414</c:v>
                </c:pt>
                <c:pt idx="120">
                  <c:v>166.99243882735621</c:v>
                </c:pt>
                <c:pt idx="121">
                  <c:v>168.3914787683797</c:v>
                </c:pt>
                <c:pt idx="122">
                  <c:v>169.79305967649526</c:v>
                </c:pt>
                <c:pt idx="123">
                  <c:v>171.1971474319937</c:v>
                </c:pt>
                <c:pt idx="124">
                  <c:v>172.60370791516561</c:v>
                </c:pt>
                <c:pt idx="125">
                  <c:v>174.01270700630181</c:v>
                </c:pt>
                <c:pt idx="126">
                  <c:v>175.42411058569297</c:v>
                </c:pt>
                <c:pt idx="127">
                  <c:v>176.83788453362976</c:v>
                </c:pt>
                <c:pt idx="128">
                  <c:v>178.25399473040292</c:v>
                </c:pt>
                <c:pt idx="129">
                  <c:v>179.6724070563032</c:v>
                </c:pt>
                <c:pt idx="130">
                  <c:v>181.09308739162122</c:v>
                </c:pt>
                <c:pt idx="131">
                  <c:v>182.51600161664777</c:v>
                </c:pt>
                <c:pt idx="132">
                  <c:v>183.94111561167352</c:v>
                </c:pt>
                <c:pt idx="133">
                  <c:v>185.3683952569892</c:v>
                </c:pt>
                <c:pt idx="134">
                  <c:v>186.79780643288549</c:v>
                </c:pt>
                <c:pt idx="135">
                  <c:v>188.22931501965311</c:v>
                </c:pt>
                <c:pt idx="136">
                  <c:v>189.66288689758281</c:v>
                </c:pt>
                <c:pt idx="137">
                  <c:v>191.09848794696524</c:v>
                </c:pt>
                <c:pt idx="138">
                  <c:v>192.53608404809111</c:v>
                </c:pt>
                <c:pt idx="139">
                  <c:v>193.97564108125121</c:v>
                </c:pt>
                <c:pt idx="140">
                  <c:v>195.41712492673614</c:v>
                </c:pt>
                <c:pt idx="141">
                  <c:v>196.86050146483672</c:v>
                </c:pt>
                <c:pt idx="142">
                  <c:v>198.30573657584355</c:v>
                </c:pt>
                <c:pt idx="143">
                  <c:v>199.75279614004742</c:v>
                </c:pt>
                <c:pt idx="144">
                  <c:v>201.20164603773898</c:v>
                </c:pt>
                <c:pt idx="145">
                  <c:v>202.65225214920903</c:v>
                </c:pt>
                <c:pt idx="146">
                  <c:v>204.10458035474818</c:v>
                </c:pt>
                <c:pt idx="147">
                  <c:v>205.55859653464714</c:v>
                </c:pt>
                <c:pt idx="148">
                  <c:v>207.01426656919674</c:v>
                </c:pt>
                <c:pt idx="149">
                  <c:v>208.47155633868755</c:v>
                </c:pt>
                <c:pt idx="150">
                  <c:v>209.93043172341038</c:v>
                </c:pt>
                <c:pt idx="151">
                  <c:v>211.39085860365583</c:v>
                </c:pt>
                <c:pt idx="152">
                  <c:v>212.85280285971473</c:v>
                </c:pt>
                <c:pt idx="153">
                  <c:v>214.31623037187774</c:v>
                </c:pt>
                <c:pt idx="154">
                  <c:v>215.78110702043554</c:v>
                </c:pt>
                <c:pt idx="155">
                  <c:v>217.24739868567889</c:v>
                </c:pt>
                <c:pt idx="156">
                  <c:v>218.71507124789844</c:v>
                </c:pt>
                <c:pt idx="157">
                  <c:v>220.18409058738496</c:v>
                </c:pt>
                <c:pt idx="158">
                  <c:v>221.65442258442911</c:v>
                </c:pt>
                <c:pt idx="159">
                  <c:v>223.12603311932165</c:v>
                </c:pt>
                <c:pt idx="160">
                  <c:v>224.59888807235325</c:v>
                </c:pt>
                <c:pt idx="161">
                  <c:v>226.07295332381457</c:v>
                </c:pt>
                <c:pt idx="162">
                  <c:v>227.54819475399646</c:v>
                </c:pt>
                <c:pt idx="163">
                  <c:v>229.0245782431895</c:v>
                </c:pt>
                <c:pt idx="164">
                  <c:v>230.50206967168447</c:v>
                </c:pt>
                <c:pt idx="165">
                  <c:v>231.98063491977206</c:v>
                </c:pt>
                <c:pt idx="166">
                  <c:v>233.46023986774301</c:v>
                </c:pt>
                <c:pt idx="167">
                  <c:v>234.94085039588794</c:v>
                </c:pt>
                <c:pt idx="168">
                  <c:v>236.42243238449765</c:v>
                </c:pt>
                <c:pt idx="169">
                  <c:v>237.90495171386283</c:v>
                </c:pt>
                <c:pt idx="170">
                  <c:v>239.38837426427412</c:v>
                </c:pt>
                <c:pt idx="171">
                  <c:v>240.87266591602233</c:v>
                </c:pt>
                <c:pt idx="172">
                  <c:v>242.35779254939808</c:v>
                </c:pt>
                <c:pt idx="173">
                  <c:v>243.84372004469219</c:v>
                </c:pt>
                <c:pt idx="174">
                  <c:v>245.33041428219525</c:v>
                </c:pt>
                <c:pt idx="175">
                  <c:v>246.81784114219806</c:v>
                </c:pt>
                <c:pt idx="176">
                  <c:v>248.30596650499126</c:v>
                </c:pt>
                <c:pt idx="177">
                  <c:v>249.79475625086562</c:v>
                </c:pt>
                <c:pt idx="178">
                  <c:v>251.28417626011174</c:v>
                </c:pt>
                <c:pt idx="179">
                  <c:v>252.7741924130205</c:v>
                </c:pt>
                <c:pt idx="180">
                  <c:v>254.26477058988246</c:v>
                </c:pt>
                <c:pt idx="181">
                  <c:v>255.75587667098847</c:v>
                </c:pt>
                <c:pt idx="182">
                  <c:v>257.24747653662911</c:v>
                </c:pt>
                <c:pt idx="183">
                  <c:v>258.73953606709512</c:v>
                </c:pt>
                <c:pt idx="184">
                  <c:v>260.23202114267724</c:v>
                </c:pt>
                <c:pt idx="185">
                  <c:v>261.72489764366611</c:v>
                </c:pt>
                <c:pt idx="186">
                  <c:v>263.21813145035253</c:v>
                </c:pt>
                <c:pt idx="187">
                  <c:v>264.71168844302724</c:v>
                </c:pt>
                <c:pt idx="188">
                  <c:v>266.20553450198082</c:v>
                </c:pt>
                <c:pt idx="189">
                  <c:v>267.69963550750407</c:v>
                </c:pt>
                <c:pt idx="190">
                  <c:v>269.19395733988767</c:v>
                </c:pt>
                <c:pt idx="191">
                  <c:v>270.68846587942232</c:v>
                </c:pt>
                <c:pt idx="192">
                  <c:v>272.18312700639876</c:v>
                </c:pt>
                <c:pt idx="193">
                  <c:v>273.67790660110762</c:v>
                </c:pt>
                <c:pt idx="194">
                  <c:v>275.1727705438397</c:v>
                </c:pt>
                <c:pt idx="195">
                  <c:v>276.6676847148857</c:v>
                </c:pt>
                <c:pt idx="196">
                  <c:v>278.16261499453634</c:v>
                </c:pt>
                <c:pt idx="197">
                  <c:v>279.65752726308227</c:v>
                </c:pt>
                <c:pt idx="198">
                  <c:v>281.15238740081418</c:v>
                </c:pt>
                <c:pt idx="199">
                  <c:v>282.64716128802286</c:v>
                </c:pt>
                <c:pt idx="200">
                  <c:v>284.14181480499906</c:v>
                </c:pt>
                <c:pt idx="201">
                  <c:v>285.63631383203335</c:v>
                </c:pt>
                <c:pt idx="202">
                  <c:v>287.13062424941648</c:v>
                </c:pt>
                <c:pt idx="203">
                  <c:v>288.6247119374392</c:v>
                </c:pt>
                <c:pt idx="204">
                  <c:v>290.11854277639225</c:v>
                </c:pt>
                <c:pt idx="205">
                  <c:v>291.61208264656625</c:v>
                </c:pt>
                <c:pt idx="206">
                  <c:v>293.1052974282519</c:v>
                </c:pt>
                <c:pt idx="207">
                  <c:v>294.59815300174012</c:v>
                </c:pt>
                <c:pt idx="208">
                  <c:v>296.09061524732135</c:v>
                </c:pt>
                <c:pt idx="209">
                  <c:v>297.58265004528636</c:v>
                </c:pt>
                <c:pt idx="210">
                  <c:v>299.07422327592599</c:v>
                </c:pt>
                <c:pt idx="211">
                  <c:v>300.56530081953082</c:v>
                </c:pt>
                <c:pt idx="212">
                  <c:v>302.05584855639165</c:v>
                </c:pt>
                <c:pt idx="213">
                  <c:v>303.54583236679917</c:v>
                </c:pt>
                <c:pt idx="214">
                  <c:v>305.03521813104402</c:v>
                </c:pt>
                <c:pt idx="215">
                  <c:v>306.52397172941704</c:v>
                </c:pt>
                <c:pt idx="216">
                  <c:v>308.01205904220876</c:v>
                </c:pt>
                <c:pt idx="217">
                  <c:v>309.49944594970998</c:v>
                </c:pt>
                <c:pt idx="218">
                  <c:v>310.9860983322115</c:v>
                </c:pt>
                <c:pt idx="219">
                  <c:v>312.47198207000389</c:v>
                </c:pt>
                <c:pt idx="220">
                  <c:v>313.95706304337796</c:v>
                </c:pt>
                <c:pt idx="221">
                  <c:v>315.44130713262427</c:v>
                </c:pt>
                <c:pt idx="222">
                  <c:v>316.9246802180337</c:v>
                </c:pt>
                <c:pt idx="223">
                  <c:v>318.40714817989692</c:v>
                </c:pt>
                <c:pt idx="224">
                  <c:v>319.88867689850451</c:v>
                </c:pt>
                <c:pt idx="225">
                  <c:v>321.36923225414739</c:v>
                </c:pt>
                <c:pt idx="226">
                  <c:v>322.84878012711613</c:v>
                </c:pt>
                <c:pt idx="227">
                  <c:v>324.32728639770147</c:v>
                </c:pt>
                <c:pt idx="228">
                  <c:v>325.80471694619416</c:v>
                </c:pt>
                <c:pt idx="229">
                  <c:v>327.28103765288472</c:v>
                </c:pt>
                <c:pt idx="230">
                  <c:v>328.75621439806417</c:v>
                </c:pt>
                <c:pt idx="231">
                  <c:v>330.23021306202304</c:v>
                </c:pt>
                <c:pt idx="232">
                  <c:v>331.70299952505195</c:v>
                </c:pt>
                <c:pt idx="233">
                  <c:v>333.17453966744182</c:v>
                </c:pt>
                <c:pt idx="234">
                  <c:v>334.64479936948328</c:v>
                </c:pt>
                <c:pt idx="235">
                  <c:v>336.11374451146685</c:v>
                </c:pt>
                <c:pt idx="236">
                  <c:v>337.5813409736835</c:v>
                </c:pt>
                <c:pt idx="237">
                  <c:v>339.0475546364238</c:v>
                </c:pt>
                <c:pt idx="238">
                  <c:v>340.51235137997867</c:v>
                </c:pt>
                <c:pt idx="239">
                  <c:v>341.97569708463845</c:v>
                </c:pt>
                <c:pt idx="240">
                  <c:v>343.43755763069419</c:v>
                </c:pt>
                <c:pt idx="241">
                  <c:v>344.89789889843638</c:v>
                </c:pt>
                <c:pt idx="242">
                  <c:v>346.35668676815584</c:v>
                </c:pt>
                <c:pt idx="243">
                  <c:v>347.81388712014325</c:v>
                </c:pt>
                <c:pt idx="244">
                  <c:v>349.26946583468936</c:v>
                </c:pt>
                <c:pt idx="245">
                  <c:v>350.72338879208485</c:v>
                </c:pt>
                <c:pt idx="246">
                  <c:v>352.17562187262035</c:v>
                </c:pt>
                <c:pt idx="247">
                  <c:v>353.62613095658662</c:v>
                </c:pt>
                <c:pt idx="248">
                  <c:v>355.07488192427439</c:v>
                </c:pt>
                <c:pt idx="249">
                  <c:v>356.52184065597442</c:v>
                </c:pt>
                <c:pt idx="250">
                  <c:v>357.96697303197737</c:v>
                </c:pt>
                <c:pt idx="251">
                  <c:v>359.4102449325739</c:v>
                </c:pt>
                <c:pt idx="252">
                  <c:v>360.8516222380548</c:v>
                </c:pt>
                <c:pt idx="253">
                  <c:v>362.2910708287107</c:v>
                </c:pt>
                <c:pt idx="254">
                  <c:v>363.72855658483235</c:v>
                </c:pt>
                <c:pt idx="255">
                  <c:v>365.16404538671048</c:v>
                </c:pt>
                <c:pt idx="256">
                  <c:v>366.59750311463586</c:v>
                </c:pt>
                <c:pt idx="257">
                  <c:v>368.02889564889904</c:v>
                </c:pt>
                <c:pt idx="258">
                  <c:v>369.45818886979083</c:v>
                </c:pt>
                <c:pt idx="259">
                  <c:v>370.88534865760192</c:v>
                </c:pt>
                <c:pt idx="260">
                  <c:v>372.310340892623</c:v>
                </c:pt>
                <c:pt idx="261">
                  <c:v>373.73313145514481</c:v>
                </c:pt>
                <c:pt idx="262">
                  <c:v>375.1536862254581</c:v>
                </c:pt>
                <c:pt idx="263">
                  <c:v>376.57197108385344</c:v>
                </c:pt>
                <c:pt idx="264">
                  <c:v>377.98795191062163</c:v>
                </c:pt>
                <c:pt idx="265">
                  <c:v>379.40159458605342</c:v>
                </c:pt>
                <c:pt idx="266">
                  <c:v>380.81286499043949</c:v>
                </c:pt>
                <c:pt idx="267">
                  <c:v>382.22172900407048</c:v>
                </c:pt>
                <c:pt idx="268">
                  <c:v>383.62815250723719</c:v>
                </c:pt>
                <c:pt idx="269">
                  <c:v>385.0321013802303</c:v>
                </c:pt>
                <c:pt idx="270">
                  <c:v>386.43354150334051</c:v>
                </c:pt>
                <c:pt idx="271">
                  <c:v>387.83243875685855</c:v>
                </c:pt>
                <c:pt idx="272">
                  <c:v>389.22875902107512</c:v>
                </c:pt>
                <c:pt idx="273">
                  <c:v>390.6224681762809</c:v>
                </c:pt>
                <c:pt idx="274">
                  <c:v>392.01353210276659</c:v>
                </c:pt>
                <c:pt idx="275">
                  <c:v>393.40191668082298</c:v>
                </c:pt>
                <c:pt idx="276">
                  <c:v>394.7875877907407</c:v>
                </c:pt>
                <c:pt idx="277">
                  <c:v>396.17051131281045</c:v>
                </c:pt>
                <c:pt idx="278">
                  <c:v>397.55065312732307</c:v>
                </c:pt>
                <c:pt idx="279">
                  <c:v>398.9279791145691</c:v>
                </c:pt>
                <c:pt idx="280">
                  <c:v>400.30245515483938</c:v>
                </c:pt>
                <c:pt idx="281">
                  <c:v>401.67404712842449</c:v>
                </c:pt>
                <c:pt idx="282">
                  <c:v>403.04272091561529</c:v>
                </c:pt>
                <c:pt idx="283">
                  <c:v>404.40844239670241</c:v>
                </c:pt>
                <c:pt idx="284">
                  <c:v>405.77117745197654</c:v>
                </c:pt>
                <c:pt idx="285">
                  <c:v>407.13089196172848</c:v>
                </c:pt>
                <c:pt idx="286">
                  <c:v>408.4875518062488</c:v>
                </c:pt>
                <c:pt idx="287">
                  <c:v>409.8411228658282</c:v>
                </c:pt>
                <c:pt idx="288">
                  <c:v>411.19157102075758</c:v>
                </c:pt>
                <c:pt idx="289">
                  <c:v>412.53886215132758</c:v>
                </c:pt>
                <c:pt idx="290">
                  <c:v>413.88296213782883</c:v>
                </c:pt>
                <c:pt idx="291">
                  <c:v>415.22383686055207</c:v>
                </c:pt>
                <c:pt idx="292">
                  <c:v>416.56145219978794</c:v>
                </c:pt>
                <c:pt idx="293">
                  <c:v>417.89577403582734</c:v>
                </c:pt>
                <c:pt idx="294">
                  <c:v>419.22676824896081</c:v>
                </c:pt>
                <c:pt idx="295">
                  <c:v>420.5544007194793</c:v>
                </c:pt>
                <c:pt idx="296">
                  <c:v>421.87863732767312</c:v>
                </c:pt>
                <c:pt idx="297">
                  <c:v>423.19944395383334</c:v>
                </c:pt>
                <c:pt idx="298">
                  <c:v>424.51678647825031</c:v>
                </c:pt>
                <c:pt idx="299">
                  <c:v>425.83063078121512</c:v>
                </c:pt>
                <c:pt idx="300">
                  <c:v>427.14094274301817</c:v>
                </c:pt>
                <c:pt idx="301">
                  <c:v>428.44768824395055</c:v>
                </c:pt>
                <c:pt idx="302">
                  <c:v>429.75083316430255</c:v>
                </c:pt>
                <c:pt idx="303">
                  <c:v>431.05034338436519</c:v>
                </c:pt>
                <c:pt idx="304">
                  <c:v>432.34618478442906</c:v>
                </c:pt>
                <c:pt idx="305">
                  <c:v>433.63832324478483</c:v>
                </c:pt>
                <c:pt idx="306">
                  <c:v>434.92672464572314</c:v>
                </c:pt>
                <c:pt idx="307">
                  <c:v>436.21135486753496</c:v>
                </c:pt>
                <c:pt idx="308">
                  <c:v>437.49217979051065</c:v>
                </c:pt>
                <c:pt idx="309">
                  <c:v>438.76916529494127</c:v>
                </c:pt>
                <c:pt idx="310">
                  <c:v>440.04227726111731</c:v>
                </c:pt>
                <c:pt idx="311">
                  <c:v>441.31148156932949</c:v>
                </c:pt>
                <c:pt idx="312">
                  <c:v>442.57674409986868</c:v>
                </c:pt>
                <c:pt idx="313">
                  <c:v>443.83803073302539</c:v>
                </c:pt>
                <c:pt idx="314">
                  <c:v>445.09530734909032</c:v>
                </c:pt>
                <c:pt idx="315">
                  <c:v>446.34853982835443</c:v>
                </c:pt>
                <c:pt idx="316">
                  <c:v>447.59769405110819</c:v>
                </c:pt>
                <c:pt idx="317">
                  <c:v>448.84273589764257</c:v>
                </c:pt>
                <c:pt idx="318">
                  <c:v>450.08363124824803</c:v>
                </c:pt>
                <c:pt idx="319">
                  <c:v>451.32034598321525</c:v>
                </c:pt>
                <c:pt idx="320">
                  <c:v>452.55284598283509</c:v>
                </c:pt>
                <c:pt idx="321">
                  <c:v>453.78109712739808</c:v>
                </c:pt>
                <c:pt idx="322">
                  <c:v>455.00506529719519</c:v>
                </c:pt>
                <c:pt idx="323">
                  <c:v>456.22471637251704</c:v>
                </c:pt>
                <c:pt idx="324">
                  <c:v>457.44001623365421</c:v>
                </c:pt>
                <c:pt idx="325">
                  <c:v>458.65093076089761</c:v>
                </c:pt>
                <c:pt idx="326">
                  <c:v>459.85742583453782</c:v>
                </c:pt>
                <c:pt idx="327">
                  <c:v>461.05946733486547</c:v>
                </c:pt>
                <c:pt idx="328">
                  <c:v>462.25702114217148</c:v>
                </c:pt>
                <c:pt idx="329">
                  <c:v>463.45005313674642</c:v>
                </c:pt>
                <c:pt idx="330">
                  <c:v>464.63852919888097</c:v>
                </c:pt>
                <c:pt idx="331">
                  <c:v>465.822415208866</c:v>
                </c:pt>
                <c:pt idx="332">
                  <c:v>467.00167704699197</c:v>
                </c:pt>
                <c:pt idx="333">
                  <c:v>468.17628059354973</c:v>
                </c:pt>
                <c:pt idx="334">
                  <c:v>469.34619172883004</c:v>
                </c:pt>
                <c:pt idx="335">
                  <c:v>470.51137633312362</c:v>
                </c:pt>
                <c:pt idx="336">
                  <c:v>471.67180028672101</c:v>
                </c:pt>
                <c:pt idx="337">
                  <c:v>472.82742946991311</c:v>
                </c:pt>
                <c:pt idx="338">
                  <c:v>473.97822976299068</c:v>
                </c:pt>
                <c:pt idx="339">
                  <c:v>475.12416704624411</c:v>
                </c:pt>
                <c:pt idx="340">
                  <c:v>476.26520719996438</c:v>
                </c:pt>
                <c:pt idx="341">
                  <c:v>477.40131610444223</c:v>
                </c:pt>
                <c:pt idx="342">
                  <c:v>478.53245963996801</c:v>
                </c:pt>
                <c:pt idx="343">
                  <c:v>479.65860368683292</c:v>
                </c:pt>
                <c:pt idx="344">
                  <c:v>480.77971412532719</c:v>
                </c:pt>
                <c:pt idx="345">
                  <c:v>481.89575683574196</c:v>
                </c:pt>
                <c:pt idx="346">
                  <c:v>483.00669769836765</c:v>
                </c:pt>
                <c:pt idx="347">
                  <c:v>484.11250259349504</c:v>
                </c:pt>
                <c:pt idx="348">
                  <c:v>485.21313740141494</c:v>
                </c:pt>
                <c:pt idx="349">
                  <c:v>486.30856800241804</c:v>
                </c:pt>
                <c:pt idx="350">
                  <c:v>487.39876027679486</c:v>
                </c:pt>
                <c:pt idx="351">
                  <c:v>488.48368010483631</c:v>
                </c:pt>
                <c:pt idx="352">
                  <c:v>489.56329336683302</c:v>
                </c:pt>
                <c:pt idx="353">
                  <c:v>490.63756594307586</c:v>
                </c:pt>
                <c:pt idx="354">
                  <c:v>491.70646371385521</c:v>
                </c:pt>
                <c:pt idx="355">
                  <c:v>492.76995255946201</c:v>
                </c:pt>
                <c:pt idx="356">
                  <c:v>493.82799836018677</c:v>
                </c:pt>
                <c:pt idx="357">
                  <c:v>494.88056699632062</c:v>
                </c:pt>
                <c:pt idx="358">
                  <c:v>495.92762434815376</c:v>
                </c:pt>
                <c:pt idx="359">
                  <c:v>496.96913629597731</c:v>
                </c:pt>
                <c:pt idx="360">
                  <c:v>498.00506872008174</c:v>
                </c:pt>
                <c:pt idx="361">
                  <c:v>499.03538750075791</c:v>
                </c:pt>
                <c:pt idx="362">
                  <c:v>500.06005851829633</c:v>
                </c:pt>
                <c:pt idx="363">
                  <c:v>501.07904765298781</c:v>
                </c:pt>
                <c:pt idx="364">
                  <c:v>502.09232078512321</c:v>
                </c:pt>
                <c:pt idx="365">
                  <c:v>503.09984379499303</c:v>
                </c:pt>
                <c:pt idx="366">
                  <c:v>504.10158256288793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F-484F-BD29-A28EE62A5EFA}"/>
            </c:ext>
          </c:extLst>
        </c:ser>
        <c:ser>
          <c:idx val="3"/>
          <c:order val="3"/>
          <c:tx>
            <c:strRef>
              <c:f>'Model tilvækst, slagteform, fe'!$AC$9</c:f>
              <c:strCache>
                <c:ptCount val="1"/>
                <c:pt idx="0">
                  <c:v>3 grad, minus vægt dag 0 og 30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'Model tilvækst, slagteform, fe'!$W$9:$W$375</c:f>
              <c:numCache>
                <c:formatCode>0.00</c:formatCode>
                <c:ptCount val="367"/>
                <c:pt idx="0">
                  <c:v>1.9999999999998399</c:v>
                </c:pt>
                <c:pt idx="1">
                  <c:v>3.2774679483345097</c:v>
                </c:pt>
                <c:pt idx="2">
                  <c:v>4.5574280289034483</c:v>
                </c:pt>
                <c:pt idx="3">
                  <c:v>5.8398640876379622</c:v>
                </c:pt>
                <c:pt idx="4">
                  <c:v>7.1247599704693521</c:v>
                </c:pt>
                <c:pt idx="5">
                  <c:v>8.4120995233289211</c:v>
                </c:pt>
                <c:pt idx="6">
                  <c:v>9.7018665921479812</c:v>
                </c:pt>
                <c:pt idx="7">
                  <c:v>10.994045022857826</c:v>
                </c:pt>
                <c:pt idx="8">
                  <c:v>12.288618661389767</c:v>
                </c:pt>
                <c:pt idx="9">
                  <c:v>13.585571353675107</c:v>
                </c:pt>
                <c:pt idx="10">
                  <c:v>14.884886945645146</c:v>
                </c:pt>
                <c:pt idx="11">
                  <c:v>16.186549283231191</c:v>
                </c:pt>
                <c:pt idx="12">
                  <c:v>17.490542212364549</c:v>
                </c:pt>
                <c:pt idx="13">
                  <c:v>18.79684957897652</c:v>
                </c:pt>
                <c:pt idx="14">
                  <c:v>20.105455228998405</c:v>
                </c:pt>
                <c:pt idx="15">
                  <c:v>21.416343008361519</c:v>
                </c:pt>
                <c:pt idx="16">
                  <c:v>22.729496762997158</c:v>
                </c:pt>
                <c:pt idx="17">
                  <c:v>24.044900338836623</c:v>
                </c:pt>
                <c:pt idx="18">
                  <c:v>25.362537581811232</c:v>
                </c:pt>
                <c:pt idx="19">
                  <c:v>26.682392337852271</c:v>
                </c:pt>
                <c:pt idx="20">
                  <c:v>28.004448452891054</c:v>
                </c:pt>
                <c:pt idx="21">
                  <c:v>29.32868977285889</c:v>
                </c:pt>
                <c:pt idx="22">
                  <c:v>30.655100143687072</c:v>
                </c:pt>
                <c:pt idx="23">
                  <c:v>31.983663411306907</c:v>
                </c:pt>
                <c:pt idx="24">
                  <c:v>33.314363421649702</c:v>
                </c:pt>
                <c:pt idx="25">
                  <c:v>34.647184020646762</c:v>
                </c:pt>
                <c:pt idx="26">
                  <c:v>35.98210905422939</c:v>
                </c:pt>
                <c:pt idx="27">
                  <c:v>37.319122368328891</c:v>
                </c:pt>
                <c:pt idx="28">
                  <c:v>38.658207808876561</c:v>
                </c:pt>
                <c:pt idx="29">
                  <c:v>39.999349221803726</c:v>
                </c:pt>
                <c:pt idx="30">
                  <c:v>41.342530453041661</c:v>
                </c:pt>
                <c:pt idx="31">
                  <c:v>42.687735348521684</c:v>
                </c:pt>
                <c:pt idx="32">
                  <c:v>44.0349477541751</c:v>
                </c:pt>
                <c:pt idx="33">
                  <c:v>45.384151515933212</c:v>
                </c:pt>
                <c:pt idx="34">
                  <c:v>46.735330479727324</c:v>
                </c:pt>
                <c:pt idx="35">
                  <c:v>48.08846849148874</c:v>
                </c:pt>
                <c:pt idx="36">
                  <c:v>49.443549397148772</c:v>
                </c:pt>
                <c:pt idx="37">
                  <c:v>50.800557042638708</c:v>
                </c:pt>
                <c:pt idx="38">
                  <c:v>52.159475273889868</c:v>
                </c:pt>
                <c:pt idx="39">
                  <c:v>53.52028793683354</c:v>
                </c:pt>
                <c:pt idx="40">
                  <c:v>54.882978877401037</c:v>
                </c:pt>
                <c:pt idx="41">
                  <c:v>56.247531941523668</c:v>
                </c:pt>
                <c:pt idx="42">
                  <c:v>57.613930975132732</c:v>
                </c:pt>
                <c:pt idx="43">
                  <c:v>58.982159824159531</c:v>
                </c:pt>
                <c:pt idx="44">
                  <c:v>60.35220233453537</c:v>
                </c:pt>
                <c:pt idx="45">
                  <c:v>61.724042352191553</c:v>
                </c:pt>
                <c:pt idx="46">
                  <c:v>63.097663723059384</c:v>
                </c:pt>
                <c:pt idx="47">
                  <c:v>64.473050293070173</c:v>
                </c:pt>
                <c:pt idx="48">
                  <c:v>65.850185908155225</c:v>
                </c:pt>
                <c:pt idx="49">
                  <c:v>67.229054414245837</c:v>
                </c:pt>
                <c:pt idx="50">
                  <c:v>68.609639657273291</c:v>
                </c:pt>
                <c:pt idx="51">
                  <c:v>69.991925483168941</c:v>
                </c:pt>
                <c:pt idx="52">
                  <c:v>71.375895737864056</c:v>
                </c:pt>
                <c:pt idx="53">
                  <c:v>72.761534267289946</c:v>
                </c:pt>
                <c:pt idx="54">
                  <c:v>74.148824917377922</c:v>
                </c:pt>
                <c:pt idx="55">
                  <c:v>75.537751534059282</c:v>
                </c:pt>
                <c:pt idx="56">
                  <c:v>76.928297963265322</c:v>
                </c:pt>
                <c:pt idx="57">
                  <c:v>78.320448050927368</c:v>
                </c:pt>
                <c:pt idx="58">
                  <c:v>79.71418564297673</c:v>
                </c:pt>
                <c:pt idx="59">
                  <c:v>81.109494585344663</c:v>
                </c:pt>
                <c:pt idx="60">
                  <c:v>82.506358723962521</c:v>
                </c:pt>
                <c:pt idx="61">
                  <c:v>83.904761904761585</c:v>
                </c:pt>
                <c:pt idx="62">
                  <c:v>85.304687973673154</c:v>
                </c:pt>
                <c:pt idx="63">
                  <c:v>86.706120776628552</c:v>
                </c:pt>
                <c:pt idx="64">
                  <c:v>88.109044159559062</c:v>
                </c:pt>
                <c:pt idx="65">
                  <c:v>89.513441968396009</c:v>
                </c:pt>
                <c:pt idx="66">
                  <c:v>90.91929804907069</c:v>
                </c:pt>
                <c:pt idx="67">
                  <c:v>92.326596247514388</c:v>
                </c:pt>
                <c:pt idx="68">
                  <c:v>93.735320409658428</c:v>
                </c:pt>
                <c:pt idx="69">
                  <c:v>95.145454381434121</c:v>
                </c:pt>
                <c:pt idx="70">
                  <c:v>96.556982008772763</c:v>
                </c:pt>
                <c:pt idx="71">
                  <c:v>97.969887137605681</c:v>
                </c:pt>
                <c:pt idx="72">
                  <c:v>99.384153613864129</c:v>
                </c:pt>
                <c:pt idx="73">
                  <c:v>100.79976528347943</c:v>
                </c:pt>
                <c:pt idx="74">
                  <c:v>102.2167059923829</c:v>
                </c:pt>
                <c:pt idx="75">
                  <c:v>103.63495958650583</c:v>
                </c:pt>
                <c:pt idx="76">
                  <c:v>105.05450991177953</c:v>
                </c:pt>
                <c:pt idx="77">
                  <c:v>106.47534081413532</c:v>
                </c:pt>
                <c:pt idx="78">
                  <c:v>107.89743613950449</c:v>
                </c:pt>
                <c:pt idx="79">
                  <c:v>109.32077973381833</c:v>
                </c:pt>
                <c:pt idx="80">
                  <c:v>110.74535544300818</c:v>
                </c:pt>
                <c:pt idx="81">
                  <c:v>112.1711471130053</c:v>
                </c:pt>
                <c:pt idx="82">
                  <c:v>113.59813858974103</c:v>
                </c:pt>
                <c:pt idx="83">
                  <c:v>115.02631371914666</c:v>
                </c:pt>
                <c:pt idx="84">
                  <c:v>116.45565634715349</c:v>
                </c:pt>
                <c:pt idx="85">
                  <c:v>117.88615031969285</c:v>
                </c:pt>
                <c:pt idx="86">
                  <c:v>119.31777948269598</c:v>
                </c:pt>
                <c:pt idx="87">
                  <c:v>120.75052768209426</c:v>
                </c:pt>
                <c:pt idx="88">
                  <c:v>122.18437876381894</c:v>
                </c:pt>
                <c:pt idx="89">
                  <c:v>123.61931657380136</c:v>
                </c:pt>
                <c:pt idx="90">
                  <c:v>125.0553249579728</c:v>
                </c:pt>
                <c:pt idx="91">
                  <c:v>126.49238776226457</c:v>
                </c:pt>
                <c:pt idx="92">
                  <c:v>127.93048883260798</c:v>
                </c:pt>
                <c:pt idx="93">
                  <c:v>129.36961201493435</c:v>
                </c:pt>
                <c:pt idx="94">
                  <c:v>130.80974115517495</c:v>
                </c:pt>
                <c:pt idx="95">
                  <c:v>132.25086009926108</c:v>
                </c:pt>
                <c:pt idx="96">
                  <c:v>133.69295269312408</c:v>
                </c:pt>
                <c:pt idx="97">
                  <c:v>135.13600278269527</c:v>
                </c:pt>
                <c:pt idx="98">
                  <c:v>136.57999421390591</c:v>
                </c:pt>
                <c:pt idx="99">
                  <c:v>138.02491083268728</c:v>
                </c:pt>
                <c:pt idx="100">
                  <c:v>139.47073648497073</c:v>
                </c:pt>
                <c:pt idx="101">
                  <c:v>140.91745501668754</c:v>
                </c:pt>
                <c:pt idx="102">
                  <c:v>142.36505027376907</c:v>
                </c:pt>
                <c:pt idx="103">
                  <c:v>143.81350610214656</c:v>
                </c:pt>
                <c:pt idx="104">
                  <c:v>145.26280634775131</c:v>
                </c:pt>
                <c:pt idx="105">
                  <c:v>146.71293485651469</c:v>
                </c:pt>
                <c:pt idx="106">
                  <c:v>148.16387547436796</c:v>
                </c:pt>
                <c:pt idx="107">
                  <c:v>149.61561204724245</c:v>
                </c:pt>
                <c:pt idx="108">
                  <c:v>151.06812842106939</c:v>
                </c:pt>
                <c:pt idx="109">
                  <c:v>152.52140844178018</c:v>
                </c:pt>
                <c:pt idx="110">
                  <c:v>153.97543595530604</c:v>
                </c:pt>
                <c:pt idx="111">
                  <c:v>155.43019480757835</c:v>
                </c:pt>
                <c:pt idx="112">
                  <c:v>156.88566884452834</c:v>
                </c:pt>
                <c:pt idx="113">
                  <c:v>158.3418419120874</c:v>
                </c:pt>
                <c:pt idx="114">
                  <c:v>159.79869785618678</c:v>
                </c:pt>
                <c:pt idx="115">
                  <c:v>161.25622052275776</c:v>
                </c:pt>
                <c:pt idx="116">
                  <c:v>162.71439375773173</c:v>
                </c:pt>
                <c:pt idx="117">
                  <c:v>164.1732014070399</c:v>
                </c:pt>
                <c:pt idx="118">
                  <c:v>165.63262731661362</c:v>
                </c:pt>
                <c:pt idx="119">
                  <c:v>167.09265533238417</c:v>
                </c:pt>
                <c:pt idx="120">
                  <c:v>168.55326930028286</c:v>
                </c:pt>
                <c:pt idx="121">
                  <c:v>170.01445306624103</c:v>
                </c:pt>
                <c:pt idx="122">
                  <c:v>171.47619047618997</c:v>
                </c:pt>
                <c:pt idx="123">
                  <c:v>172.93846537606098</c:v>
                </c:pt>
                <c:pt idx="124">
                  <c:v>174.40126161178534</c:v>
                </c:pt>
                <c:pt idx="125">
                  <c:v>175.86456302929437</c:v>
                </c:pt>
                <c:pt idx="126">
                  <c:v>177.32835347451939</c:v>
                </c:pt>
                <c:pt idx="127">
                  <c:v>178.79261679339169</c:v>
                </c:pt>
                <c:pt idx="128">
                  <c:v>180.25733683184257</c:v>
                </c:pt>
                <c:pt idx="129">
                  <c:v>181.72249743580332</c:v>
                </c:pt>
                <c:pt idx="130">
                  <c:v>183.18808245120528</c:v>
                </c:pt>
                <c:pt idx="131">
                  <c:v>184.6540757239797</c:v>
                </c:pt>
                <c:pt idx="132">
                  <c:v>186.12046110005798</c:v>
                </c:pt>
                <c:pt idx="133">
                  <c:v>187.58722242537135</c:v>
                </c:pt>
                <c:pt idx="134">
                  <c:v>189.05434354585111</c:v>
                </c:pt>
                <c:pt idx="135">
                  <c:v>190.52180830742859</c:v>
                </c:pt>
                <c:pt idx="136">
                  <c:v>191.9896005560351</c:v>
                </c:pt>
                <c:pt idx="137">
                  <c:v>193.45770413760192</c:v>
                </c:pt>
                <c:pt idx="138">
                  <c:v>194.92610289806035</c:v>
                </c:pt>
                <c:pt idx="139">
                  <c:v>196.39478068334171</c:v>
                </c:pt>
                <c:pt idx="140">
                  <c:v>197.86372133937735</c:v>
                </c:pt>
                <c:pt idx="141">
                  <c:v>199.33290871209852</c:v>
                </c:pt>
                <c:pt idx="142">
                  <c:v>200.8023266474365</c:v>
                </c:pt>
                <c:pt idx="143">
                  <c:v>202.27195899132263</c:v>
                </c:pt>
                <c:pt idx="144">
                  <c:v>203.74178958968824</c:v>
                </c:pt>
                <c:pt idx="145">
                  <c:v>205.21180228846455</c:v>
                </c:pt>
                <c:pt idx="146">
                  <c:v>206.68198093358293</c:v>
                </c:pt>
                <c:pt idx="147">
                  <c:v>208.15230937097471</c:v>
                </c:pt>
                <c:pt idx="148">
                  <c:v>209.62277144657111</c:v>
                </c:pt>
                <c:pt idx="149">
                  <c:v>211.09335100630352</c:v>
                </c:pt>
                <c:pt idx="150">
                  <c:v>212.56403189610316</c:v>
                </c:pt>
                <c:pt idx="151">
                  <c:v>214.03479796190143</c:v>
                </c:pt>
                <c:pt idx="152">
                  <c:v>215.50563304962955</c:v>
                </c:pt>
                <c:pt idx="153">
                  <c:v>216.97652100521887</c:v>
                </c:pt>
                <c:pt idx="154">
                  <c:v>218.44744567460069</c:v>
                </c:pt>
                <c:pt idx="155">
                  <c:v>219.91839090370627</c:v>
                </c:pt>
                <c:pt idx="156">
                  <c:v>221.38934053846697</c:v>
                </c:pt>
                <c:pt idx="157">
                  <c:v>222.86027842481408</c:v>
                </c:pt>
                <c:pt idx="158">
                  <c:v>224.33118840867888</c:v>
                </c:pt>
                <c:pt idx="159">
                  <c:v>225.80205433599269</c:v>
                </c:pt>
                <c:pt idx="160">
                  <c:v>227.27286005268687</c:v>
                </c:pt>
                <c:pt idx="161">
                  <c:v>228.74358940469261</c:v>
                </c:pt>
                <c:pt idx="162">
                  <c:v>230.21422623794126</c:v>
                </c:pt>
                <c:pt idx="163">
                  <c:v>231.68475439836419</c:v>
                </c:pt>
                <c:pt idx="164">
                  <c:v>233.15515773189261</c:v>
                </c:pt>
                <c:pt idx="165">
                  <c:v>234.62542008445791</c:v>
                </c:pt>
                <c:pt idx="166">
                  <c:v>236.0955253019913</c:v>
                </c:pt>
                <c:pt idx="167">
                  <c:v>237.56545723042419</c:v>
                </c:pt>
                <c:pt idx="168">
                  <c:v>239.03519971568781</c:v>
                </c:pt>
                <c:pt idx="169">
                  <c:v>240.50473660371344</c:v>
                </c:pt>
                <c:pt idx="170">
                  <c:v>241.97405174043246</c:v>
                </c:pt>
                <c:pt idx="171">
                  <c:v>243.44312897177613</c:v>
                </c:pt>
                <c:pt idx="172">
                  <c:v>244.91195214367579</c:v>
                </c:pt>
                <c:pt idx="173">
                  <c:v>246.38050510206267</c:v>
                </c:pt>
                <c:pt idx="174">
                  <c:v>247.84877169286813</c:v>
                </c:pt>
                <c:pt idx="175">
                  <c:v>249.31673576202348</c:v>
                </c:pt>
                <c:pt idx="176">
                  <c:v>250.78438115546007</c:v>
                </c:pt>
                <c:pt idx="177">
                  <c:v>252.25169171910903</c:v>
                </c:pt>
                <c:pt idx="178">
                  <c:v>253.7186512989019</c:v>
                </c:pt>
                <c:pt idx="179">
                  <c:v>255.18524374076978</c:v>
                </c:pt>
                <c:pt idx="180">
                  <c:v>256.65145289064407</c:v>
                </c:pt>
                <c:pt idx="181">
                  <c:v>258.11726259445612</c:v>
                </c:pt>
                <c:pt idx="182">
                  <c:v>259.58265669813704</c:v>
                </c:pt>
                <c:pt idx="183">
                  <c:v>261.04761904761841</c:v>
                </c:pt>
                <c:pt idx="184">
                  <c:v>262.5121334888313</c:v>
                </c:pt>
                <c:pt idx="185">
                  <c:v>263.97618386770716</c:v>
                </c:pt>
                <c:pt idx="186">
                  <c:v>265.43975403017726</c:v>
                </c:pt>
                <c:pt idx="187">
                  <c:v>266.90282782217281</c:v>
                </c:pt>
                <c:pt idx="188">
                  <c:v>268.36538908962524</c:v>
                </c:pt>
                <c:pt idx="189">
                  <c:v>269.82742167846578</c:v>
                </c:pt>
                <c:pt idx="190">
                  <c:v>271.28890943462579</c:v>
                </c:pt>
                <c:pt idx="191">
                  <c:v>272.74983620403651</c:v>
                </c:pt>
                <c:pt idx="192">
                  <c:v>274.21018583262935</c:v>
                </c:pt>
                <c:pt idx="193">
                  <c:v>275.66994216633543</c:v>
                </c:pt>
                <c:pt idx="194">
                  <c:v>277.12908905108623</c:v>
                </c:pt>
                <c:pt idx="195">
                  <c:v>278.58761033281303</c:v>
                </c:pt>
                <c:pt idx="196">
                  <c:v>280.04548985744702</c:v>
                </c:pt>
                <c:pt idx="197">
                  <c:v>281.50271147091962</c:v>
                </c:pt>
                <c:pt idx="198">
                  <c:v>282.959259019162</c:v>
                </c:pt>
                <c:pt idx="199">
                  <c:v>284.41511634810564</c:v>
                </c:pt>
                <c:pt idx="200">
                  <c:v>285.87026730368177</c:v>
                </c:pt>
                <c:pt idx="201">
                  <c:v>287.32469573182163</c:v>
                </c:pt>
                <c:pt idx="202">
                  <c:v>288.77838547845658</c:v>
                </c:pt>
                <c:pt idx="203">
                  <c:v>290.23132038951798</c:v>
                </c:pt>
                <c:pt idx="204">
                  <c:v>291.68348431093699</c:v>
                </c:pt>
                <c:pt idx="205">
                  <c:v>293.1348610886451</c:v>
                </c:pt>
                <c:pt idx="206">
                  <c:v>294.58543456857342</c:v>
                </c:pt>
                <c:pt idx="207">
                  <c:v>296.03518859665337</c:v>
                </c:pt>
                <c:pt idx="208">
                  <c:v>297.48410701881625</c:v>
                </c:pt>
                <c:pt idx="209">
                  <c:v>298.93217368099334</c:v>
                </c:pt>
                <c:pt idx="210">
                  <c:v>300.37937242911596</c:v>
                </c:pt>
                <c:pt idx="211">
                  <c:v>301.82568710911539</c:v>
                </c:pt>
                <c:pt idx="212">
                  <c:v>303.27110156692299</c:v>
                </c:pt>
                <c:pt idx="213">
                  <c:v>304.71559964846995</c:v>
                </c:pt>
                <c:pt idx="214">
                  <c:v>306.15916519968766</c:v>
                </c:pt>
                <c:pt idx="215">
                  <c:v>307.60178206650744</c:v>
                </c:pt>
                <c:pt idx="216">
                  <c:v>309.04343409486057</c:v>
                </c:pt>
                <c:pt idx="217">
                  <c:v>310.4841051306783</c:v>
                </c:pt>
                <c:pt idx="218">
                  <c:v>311.92377901989204</c:v>
                </c:pt>
                <c:pt idx="219">
                  <c:v>313.36243960843296</c:v>
                </c:pt>
                <c:pt idx="220">
                  <c:v>314.80007074223255</c:v>
                </c:pt>
                <c:pt idx="221">
                  <c:v>316.23665626722192</c:v>
                </c:pt>
                <c:pt idx="222">
                  <c:v>317.67218002933254</c:v>
                </c:pt>
                <c:pt idx="223">
                  <c:v>319.10662587449553</c:v>
                </c:pt>
                <c:pt idx="224">
                  <c:v>320.53997764864238</c:v>
                </c:pt>
                <c:pt idx="225">
                  <c:v>321.97221919770425</c:v>
                </c:pt>
                <c:pt idx="226">
                  <c:v>323.4033343676125</c:v>
                </c:pt>
                <c:pt idx="227">
                  <c:v>324.83330700429849</c:v>
                </c:pt>
                <c:pt idx="228">
                  <c:v>326.26212095369345</c:v>
                </c:pt>
                <c:pt idx="229">
                  <c:v>327.68976006172869</c:v>
                </c:pt>
                <c:pt idx="230">
                  <c:v>329.11620817433555</c:v>
                </c:pt>
                <c:pt idx="231">
                  <c:v>330.5414491374454</c:v>
                </c:pt>
                <c:pt idx="232">
                  <c:v>331.9654667969894</c:v>
                </c:pt>
                <c:pt idx="233">
                  <c:v>333.38824499889893</c:v>
                </c:pt>
                <c:pt idx="234">
                  <c:v>334.80976758910515</c:v>
                </c:pt>
                <c:pt idx="235">
                  <c:v>336.23001841353965</c:v>
                </c:pt>
                <c:pt idx="236">
                  <c:v>337.64898131813345</c:v>
                </c:pt>
                <c:pt idx="237">
                  <c:v>339.06664014881807</c:v>
                </c:pt>
                <c:pt idx="238">
                  <c:v>340.48297875152468</c:v>
                </c:pt>
                <c:pt idx="239">
                  <c:v>341.89798097218466</c:v>
                </c:pt>
                <c:pt idx="240">
                  <c:v>343.31163065672928</c:v>
                </c:pt>
                <c:pt idx="241">
                  <c:v>344.72391165108979</c:v>
                </c:pt>
                <c:pt idx="242">
                  <c:v>346.13480780119755</c:v>
                </c:pt>
                <c:pt idx="243">
                  <c:v>347.54430295298391</c:v>
                </c:pt>
                <c:pt idx="244">
                  <c:v>348.95238095238011</c:v>
                </c:pt>
                <c:pt idx="245">
                  <c:v>350.3590256453175</c:v>
                </c:pt>
                <c:pt idx="246">
                  <c:v>351.76422087772738</c:v>
                </c:pt>
                <c:pt idx="247">
                  <c:v>353.16795049554094</c:v>
                </c:pt>
                <c:pt idx="248">
                  <c:v>354.57019834468963</c:v>
                </c:pt>
                <c:pt idx="249">
                  <c:v>355.9709482711047</c:v>
                </c:pt>
                <c:pt idx="250">
                  <c:v>357.37018412071745</c:v>
                </c:pt>
                <c:pt idx="251">
                  <c:v>358.76788973945918</c:v>
                </c:pt>
                <c:pt idx="252">
                  <c:v>360.16404897326129</c:v>
                </c:pt>
                <c:pt idx="253">
                  <c:v>361.55864566805491</c:v>
                </c:pt>
                <c:pt idx="254">
                  <c:v>362.95166366977139</c:v>
                </c:pt>
                <c:pt idx="255">
                  <c:v>364.34308682434215</c:v>
                </c:pt>
                <c:pt idx="256">
                  <c:v>365.73289897769837</c:v>
                </c:pt>
                <c:pt idx="257">
                  <c:v>367.1210839757714</c:v>
                </c:pt>
                <c:pt idx="258">
                  <c:v>368.50762566449259</c:v>
                </c:pt>
                <c:pt idx="259">
                  <c:v>369.89250788979314</c:v>
                </c:pt>
                <c:pt idx="260">
                  <c:v>371.27571449760444</c:v>
                </c:pt>
                <c:pt idx="261">
                  <c:v>372.6572293338578</c:v>
                </c:pt>
                <c:pt idx="262">
                  <c:v>374.03703624448445</c:v>
                </c:pt>
                <c:pt idx="263">
                  <c:v>375.41511907541576</c:v>
                </c:pt>
                <c:pt idx="264">
                  <c:v>376.79146167258301</c:v>
                </c:pt>
                <c:pt idx="265">
                  <c:v>378.16604788191751</c:v>
                </c:pt>
                <c:pt idx="266">
                  <c:v>379.53886154935049</c:v>
                </c:pt>
                <c:pt idx="267">
                  <c:v>380.90988652081342</c:v>
                </c:pt>
                <c:pt idx="268">
                  <c:v>382.27910664223742</c:v>
                </c:pt>
                <c:pt idx="269">
                  <c:v>383.64650575955397</c:v>
                </c:pt>
                <c:pt idx="270">
                  <c:v>385.0120677186942</c:v>
                </c:pt>
                <c:pt idx="271">
                  <c:v>386.37577636558962</c:v>
                </c:pt>
                <c:pt idx="272">
                  <c:v>387.7376155461713</c:v>
                </c:pt>
                <c:pt idx="273">
                  <c:v>389.09756910637066</c:v>
                </c:pt>
                <c:pt idx="274">
                  <c:v>390.45562089211904</c:v>
                </c:pt>
                <c:pt idx="275">
                  <c:v>391.81175474934776</c:v>
                </c:pt>
                <c:pt idx="276">
                  <c:v>393.16595452398798</c:v>
                </c:pt>
                <c:pt idx="277">
                  <c:v>394.51820406197112</c:v>
                </c:pt>
                <c:pt idx="278">
                  <c:v>395.86848720922842</c:v>
                </c:pt>
                <c:pt idx="279">
                  <c:v>397.21678781169123</c:v>
                </c:pt>
                <c:pt idx="280">
                  <c:v>398.56308971529097</c:v>
                </c:pt>
                <c:pt idx="281">
                  <c:v>399.9073767659587</c:v>
                </c:pt>
                <c:pt idx="282">
                  <c:v>401.24963280962595</c:v>
                </c:pt>
                <c:pt idx="283">
                  <c:v>402.58984169222384</c:v>
                </c:pt>
                <c:pt idx="284">
                  <c:v>403.92798725968373</c:v>
                </c:pt>
                <c:pt idx="285">
                  <c:v>405.26405335793697</c:v>
                </c:pt>
                <c:pt idx="286">
                  <c:v>406.59802383291481</c:v>
                </c:pt>
                <c:pt idx="287">
                  <c:v>407.92988253054864</c:v>
                </c:pt>
                <c:pt idx="288">
                  <c:v>409.25961329676966</c:v>
                </c:pt>
                <c:pt idx="289">
                  <c:v>410.58719997750921</c:v>
                </c:pt>
                <c:pt idx="290">
                  <c:v>411.91262641869866</c:v>
                </c:pt>
                <c:pt idx="291">
                  <c:v>413.23587646626925</c:v>
                </c:pt>
                <c:pt idx="292">
                  <c:v>414.55693396615231</c:v>
                </c:pt>
                <c:pt idx="293">
                  <c:v>415.87578276427905</c:v>
                </c:pt>
                <c:pt idx="294">
                  <c:v>417.19240670658093</c:v>
                </c:pt>
                <c:pt idx="295">
                  <c:v>418.50678963898918</c:v>
                </c:pt>
                <c:pt idx="296">
                  <c:v>419.81891540743504</c:v>
                </c:pt>
                <c:pt idx="297">
                  <c:v>421.12876785784994</c:v>
                </c:pt>
                <c:pt idx="298">
                  <c:v>422.4363308361651</c:v>
                </c:pt>
                <c:pt idx="299">
                  <c:v>423.74158818831188</c:v>
                </c:pt>
                <c:pt idx="300">
                  <c:v>425.04452376022141</c:v>
                </c:pt>
                <c:pt idx="301">
                  <c:v>426.34512139782527</c:v>
                </c:pt>
                <c:pt idx="302">
                  <c:v>427.64336494705458</c:v>
                </c:pt>
                <c:pt idx="303">
                  <c:v>428.9392382538407</c:v>
                </c:pt>
                <c:pt idx="304">
                  <c:v>430.23272516411492</c:v>
                </c:pt>
                <c:pt idx="305">
                  <c:v>431.52380952380855</c:v>
                </c:pt>
                <c:pt idx="306">
                  <c:v>432.81247517885288</c:v>
                </c:pt>
                <c:pt idx="307">
                  <c:v>434.0987059751792</c:v>
                </c:pt>
                <c:pt idx="308">
                  <c:v>435.38248575871887</c:v>
                </c:pt>
                <c:pt idx="309">
                  <c:v>436.66379837540313</c:v>
                </c:pt>
                <c:pt idx="310">
                  <c:v>437.94262767116339</c:v>
                </c:pt>
                <c:pt idx="311">
                  <c:v>439.21895749193089</c:v>
                </c:pt>
                <c:pt idx="312">
                  <c:v>440.49277168363687</c:v>
                </c:pt>
                <c:pt idx="313">
                  <c:v>441.76405409221275</c:v>
                </c:pt>
                <c:pt idx="314">
                  <c:v>443.03278856358963</c:v>
                </c:pt>
                <c:pt idx="315">
                  <c:v>444.29895894369912</c:v>
                </c:pt>
                <c:pt idx="316">
                  <c:v>445.56254907847233</c:v>
                </c:pt>
                <c:pt idx="317">
                  <c:v>446.82354281384056</c:v>
                </c:pt>
                <c:pt idx="318">
                  <c:v>448.08192399573511</c:v>
                </c:pt>
                <c:pt idx="319">
                  <c:v>449.33767647008733</c:v>
                </c:pt>
                <c:pt idx="320">
                  <c:v>450.59078408282863</c:v>
                </c:pt>
                <c:pt idx="321">
                  <c:v>451.84123067989015</c:v>
                </c:pt>
                <c:pt idx="322">
                  <c:v>453.08900010720322</c:v>
                </c:pt>
                <c:pt idx="323">
                  <c:v>454.33407621069915</c:v>
                </c:pt>
                <c:pt idx="324">
                  <c:v>455.57644283630935</c:v>
                </c:pt>
                <c:pt idx="325">
                  <c:v>456.8160838299649</c:v>
                </c:pt>
                <c:pt idx="326">
                  <c:v>458.05298303759736</c:v>
                </c:pt>
                <c:pt idx="327">
                  <c:v>459.28712430513798</c:v>
                </c:pt>
                <c:pt idx="328">
                  <c:v>460.51849147851789</c:v>
                </c:pt>
                <c:pt idx="329">
                  <c:v>461.74706840366849</c:v>
                </c:pt>
                <c:pt idx="330">
                  <c:v>462.97283892652115</c:v>
                </c:pt>
                <c:pt idx="331">
                  <c:v>464.1957868930071</c:v>
                </c:pt>
                <c:pt idx="332">
                  <c:v>465.41589614905769</c:v>
                </c:pt>
                <c:pt idx="333">
                  <c:v>466.63315054060428</c:v>
                </c:pt>
                <c:pt idx="334">
                  <c:v>467.84753391357805</c:v>
                </c:pt>
                <c:pt idx="335">
                  <c:v>469.05903011391024</c:v>
                </c:pt>
                <c:pt idx="336">
                  <c:v>470.26762298753232</c:v>
                </c:pt>
                <c:pt idx="337">
                  <c:v>471.47329638037559</c:v>
                </c:pt>
                <c:pt idx="338">
                  <c:v>472.67603413837128</c:v>
                </c:pt>
                <c:pt idx="339">
                  <c:v>473.87582010745075</c:v>
                </c:pt>
                <c:pt idx="340">
                  <c:v>475.07263813354518</c:v>
                </c:pt>
                <c:pt idx="341">
                  <c:v>476.26647206258605</c:v>
                </c:pt>
                <c:pt idx="342">
                  <c:v>477.45730574050452</c:v>
                </c:pt>
                <c:pt idx="343">
                  <c:v>478.64512301323202</c:v>
                </c:pt>
                <c:pt idx="344">
                  <c:v>479.82990772669962</c:v>
                </c:pt>
                <c:pt idx="345">
                  <c:v>481.01164372683911</c:v>
                </c:pt>
                <c:pt idx="346">
                  <c:v>482.19031485958124</c:v>
                </c:pt>
                <c:pt idx="347">
                  <c:v>483.36590497085751</c:v>
                </c:pt>
                <c:pt idx="348">
                  <c:v>484.53839790659941</c:v>
                </c:pt>
                <c:pt idx="349">
                  <c:v>485.70777751273806</c:v>
                </c:pt>
                <c:pt idx="350">
                  <c:v>486.8740276352047</c:v>
                </c:pt>
                <c:pt idx="351">
                  <c:v>488.0371321199309</c:v>
                </c:pt>
                <c:pt idx="352">
                  <c:v>489.19707481284763</c:v>
                </c:pt>
                <c:pt idx="353">
                  <c:v>490.35383955988652</c:v>
                </c:pt>
                <c:pt idx="354">
                  <c:v>491.50741020697853</c:v>
                </c:pt>
                <c:pt idx="355">
                  <c:v>492.65777060005541</c:v>
                </c:pt>
                <c:pt idx="356">
                  <c:v>493.80490458504801</c:v>
                </c:pt>
                <c:pt idx="357">
                  <c:v>494.94879600788795</c:v>
                </c:pt>
                <c:pt idx="358">
                  <c:v>496.08942871450625</c:v>
                </c:pt>
                <c:pt idx="359">
                  <c:v>497.2267865508345</c:v>
                </c:pt>
                <c:pt idx="360">
                  <c:v>498.36085336280382</c:v>
                </c:pt>
                <c:pt idx="361">
                  <c:v>499.49161299634574</c:v>
                </c:pt>
                <c:pt idx="362">
                  <c:v>500.6190492973912</c:v>
                </c:pt>
                <c:pt idx="363">
                  <c:v>501.74314611187185</c:v>
                </c:pt>
                <c:pt idx="364">
                  <c:v>502.86388728571876</c:v>
                </c:pt>
                <c:pt idx="365">
                  <c:v>503.98125666486334</c:v>
                </c:pt>
                <c:pt idx="366">
                  <c:v>505.09523809523682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AF-484F-BD29-A28EE62A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594248"/>
        <c:axId val="1072598184"/>
      </c:lineChart>
      <c:catAx>
        <c:axId val="1072594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 i 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72598184"/>
        <c:crosses val="autoZero"/>
        <c:auto val="1"/>
        <c:lblAlgn val="ctr"/>
        <c:lblOffset val="100"/>
        <c:noMultiLvlLbl val="0"/>
      </c:catAx>
      <c:valAx>
        <c:axId val="107259818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7259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Levende vægt, zoom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Splines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fe'!$B$209:$B$375</c:f>
              <c:numCache>
                <c:formatCode>#,##0.0</c:formatCode>
                <c:ptCount val="167"/>
                <c:pt idx="0">
                  <c:v>292.09934692475451</c:v>
                </c:pt>
                <c:pt idx="1">
                  <c:v>293.69330605621207</c:v>
                </c:pt>
                <c:pt idx="2">
                  <c:v>295.28551016834251</c:v>
                </c:pt>
                <c:pt idx="3">
                  <c:v>296.87590701919714</c:v>
                </c:pt>
                <c:pt idx="4">
                  <c:v>298.46444490117494</c:v>
                </c:pt>
                <c:pt idx="5">
                  <c:v>300.05107264102224</c:v>
                </c:pt>
                <c:pt idx="6">
                  <c:v>301.6357395998329</c:v>
                </c:pt>
                <c:pt idx="7">
                  <c:v>303.21839567304806</c:v>
                </c:pt>
                <c:pt idx="8">
                  <c:v>304.79899129045634</c:v>
                </c:pt>
                <c:pt idx="9">
                  <c:v>306.37747741619387</c:v>
                </c:pt>
                <c:pt idx="10">
                  <c:v>307.95380554874401</c:v>
                </c:pt>
                <c:pt idx="11">
                  <c:v>309.52792772093761</c:v>
                </c:pt>
                <c:pt idx="12">
                  <c:v>311.09979649995336</c:v>
                </c:pt>
                <c:pt idx="13">
                  <c:v>312.6693649873165</c:v>
                </c:pt>
                <c:pt idx="14">
                  <c:v>314.23658681890038</c:v>
                </c:pt>
                <c:pt idx="15">
                  <c:v>315.80141616492557</c:v>
                </c:pt>
                <c:pt idx="16">
                  <c:v>317.36380772996006</c:v>
                </c:pt>
                <c:pt idx="17">
                  <c:v>318.92371675291918</c:v>
                </c:pt>
                <c:pt idx="18">
                  <c:v>320.48109900706595</c:v>
                </c:pt>
                <c:pt idx="19">
                  <c:v>322.03591080001041</c:v>
                </c:pt>
                <c:pt idx="20">
                  <c:v>323.58810897371023</c:v>
                </c:pt>
                <c:pt idx="21">
                  <c:v>325.13765090447066</c:v>
                </c:pt>
                <c:pt idx="22">
                  <c:v>326.68449450294423</c:v>
                </c:pt>
                <c:pt idx="23">
                  <c:v>328.22859821413067</c:v>
                </c:pt>
                <c:pt idx="24">
                  <c:v>329.76992101737738</c:v>
                </c:pt>
                <c:pt idx="25">
                  <c:v>331.30842242637937</c:v>
                </c:pt>
                <c:pt idx="26">
                  <c:v>332.84406248917844</c:v>
                </c:pt>
                <c:pt idx="27">
                  <c:v>334.37680178816458</c:v>
                </c:pt>
                <c:pt idx="28">
                  <c:v>335.90660144007461</c:v>
                </c:pt>
                <c:pt idx="29">
                  <c:v>337.43342309599291</c:v>
                </c:pt>
                <c:pt idx="30">
                  <c:v>338.95722894135167</c:v>
                </c:pt>
                <c:pt idx="31">
                  <c:v>340.47798169592988</c:v>
                </c:pt>
                <c:pt idx="32">
                  <c:v>341.99564461385449</c:v>
                </c:pt>
                <c:pt idx="33">
                  <c:v>343.51018148359935</c:v>
                </c:pt>
                <c:pt idx="34">
                  <c:v>345.02155662798623</c:v>
                </c:pt>
                <c:pt idx="35">
                  <c:v>346.52973490418401</c:v>
                </c:pt>
                <c:pt idx="36">
                  <c:v>348.03468170370917</c:v>
                </c:pt>
                <c:pt idx="37">
                  <c:v>349.53636295242541</c:v>
                </c:pt>
                <c:pt idx="38">
                  <c:v>351.03474511054412</c:v>
                </c:pt>
                <c:pt idx="39">
                  <c:v>352.52979517262384</c:v>
                </c:pt>
                <c:pt idx="40">
                  <c:v>354.02148066757053</c:v>
                </c:pt>
                <c:pt idx="41">
                  <c:v>355.50976965863811</c:v>
                </c:pt>
                <c:pt idx="42">
                  <c:v>356.99463074342702</c:v>
                </c:pt>
                <c:pt idx="43">
                  <c:v>358.47603305388589</c:v>
                </c:pt>
                <c:pt idx="44">
                  <c:v>359.9539462563103</c:v>
                </c:pt>
                <c:pt idx="45">
                  <c:v>361.42834055134375</c:v>
                </c:pt>
                <c:pt idx="46">
                  <c:v>362.89918667397632</c:v>
                </c:pt>
                <c:pt idx="47">
                  <c:v>364.36645589354657</c:v>
                </c:pt>
                <c:pt idx="48">
                  <c:v>365.83012001373959</c:v>
                </c:pt>
                <c:pt idx="49">
                  <c:v>367.29015137258835</c:v>
                </c:pt>
                <c:pt idx="50">
                  <c:v>368.74652284247293</c:v>
                </c:pt>
                <c:pt idx="51">
                  <c:v>370.19920783012157</c:v>
                </c:pt>
                <c:pt idx="52">
                  <c:v>371.64818027660874</c:v>
                </c:pt>
                <c:pt idx="53">
                  <c:v>373.09341465735736</c:v>
                </c:pt>
                <c:pt idx="54">
                  <c:v>374.5348859821375</c:v>
                </c:pt>
                <c:pt idx="55">
                  <c:v>375.97256979506619</c:v>
                </c:pt>
                <c:pt idx="56">
                  <c:v>377.40644217460846</c:v>
                </c:pt>
                <c:pt idx="57">
                  <c:v>378.83647973357654</c:v>
                </c:pt>
                <c:pt idx="58">
                  <c:v>380.26265961912986</c:v>
                </c:pt>
                <c:pt idx="59">
                  <c:v>381.68495951277566</c:v>
                </c:pt>
                <c:pt idx="60">
                  <c:v>383.10335763036846</c:v>
                </c:pt>
                <c:pt idx="61">
                  <c:v>384.51783272211014</c:v>
                </c:pt>
                <c:pt idx="62">
                  <c:v>385.92836407254998</c:v>
                </c:pt>
                <c:pt idx="63">
                  <c:v>387.33493150058462</c:v>
                </c:pt>
                <c:pt idx="64">
                  <c:v>388.73751535945854</c:v>
                </c:pt>
                <c:pt idx="65">
                  <c:v>390.13609653676292</c:v>
                </c:pt>
                <c:pt idx="66">
                  <c:v>391.53065645443712</c:v>
                </c:pt>
                <c:pt idx="67">
                  <c:v>392.92117706876729</c:v>
                </c:pt>
                <c:pt idx="68">
                  <c:v>394.30764087038756</c:v>
                </c:pt>
                <c:pt idx="69">
                  <c:v>395.69003088427894</c:v>
                </c:pt>
                <c:pt idx="70">
                  <c:v>397.06833066977038</c:v>
                </c:pt>
                <c:pt idx="71">
                  <c:v>398.44252432053759</c:v>
                </c:pt>
                <c:pt idx="72">
                  <c:v>399.81259646460461</c:v>
                </c:pt>
                <c:pt idx="73">
                  <c:v>401.17853226434192</c:v>
                </c:pt>
                <c:pt idx="74">
                  <c:v>402.54031741646827</c:v>
                </c:pt>
                <c:pt idx="75">
                  <c:v>403.89793815204905</c:v>
                </c:pt>
                <c:pt idx="76">
                  <c:v>405.25138123649788</c:v>
                </c:pt>
                <c:pt idx="77">
                  <c:v>406.60063396957503</c:v>
                </c:pt>
                <c:pt idx="78">
                  <c:v>407.94568418538887</c:v>
                </c:pt>
                <c:pt idx="79">
                  <c:v>409.28652025239467</c:v>
                </c:pt>
                <c:pt idx="80">
                  <c:v>410.62313107339548</c:v>
                </c:pt>
                <c:pt idx="81">
                  <c:v>411.9555060855414</c:v>
                </c:pt>
                <c:pt idx="82">
                  <c:v>413.28363526033036</c:v>
                </c:pt>
                <c:pt idx="83">
                  <c:v>414.6075091036073</c:v>
                </c:pt>
                <c:pt idx="84">
                  <c:v>415.92711865556487</c:v>
                </c:pt>
                <c:pt idx="85">
                  <c:v>417.2424554907434</c:v>
                </c:pt>
                <c:pt idx="86">
                  <c:v>418.55351171802977</c:v>
                </c:pt>
                <c:pt idx="87">
                  <c:v>419.86027998065913</c:v>
                </c:pt>
                <c:pt idx="88">
                  <c:v>421.16275345621369</c:v>
                </c:pt>
                <c:pt idx="89">
                  <c:v>422.46092585662313</c:v>
                </c:pt>
                <c:pt idx="90">
                  <c:v>423.75479142816442</c:v>
                </c:pt>
                <c:pt idx="91">
                  <c:v>425.04434495146228</c:v>
                </c:pt>
                <c:pt idx="92">
                  <c:v>426.32958174148848</c:v>
                </c:pt>
                <c:pt idx="93">
                  <c:v>427.61049764756251</c:v>
                </c:pt>
                <c:pt idx="94">
                  <c:v>428.88708905335091</c:v>
                </c:pt>
                <c:pt idx="95">
                  <c:v>430.15935287686807</c:v>
                </c:pt>
                <c:pt idx="96">
                  <c:v>431.42728657047576</c:v>
                </c:pt>
                <c:pt idx="97">
                  <c:v>432.69088812088262</c:v>
                </c:pt>
                <c:pt idx="98">
                  <c:v>433.95015604914545</c:v>
                </c:pt>
                <c:pt idx="99">
                  <c:v>435.20508941066811</c:v>
                </c:pt>
                <c:pt idx="100">
                  <c:v>436.45568779520164</c:v>
                </c:pt>
                <c:pt idx="101">
                  <c:v>437.70195132684483</c:v>
                </c:pt>
                <c:pt idx="102">
                  <c:v>438.94388066404417</c:v>
                </c:pt>
                <c:pt idx="103">
                  <c:v>440.18147699959258</c:v>
                </c:pt>
                <c:pt idx="104">
                  <c:v>441.41474206063174</c:v>
                </c:pt>
                <c:pt idx="105">
                  <c:v>442.64367810864962</c:v>
                </c:pt>
                <c:pt idx="106">
                  <c:v>443.86828793948217</c:v>
                </c:pt>
                <c:pt idx="107">
                  <c:v>445.08857488331256</c:v>
                </c:pt>
                <c:pt idx="108">
                  <c:v>446.30454280467154</c:v>
                </c:pt>
                <c:pt idx="109">
                  <c:v>447.51619610243716</c:v>
                </c:pt>
                <c:pt idx="110">
                  <c:v>448.72353970983477</c:v>
                </c:pt>
                <c:pt idx="111">
                  <c:v>449.92657909443767</c:v>
                </c:pt>
                <c:pt idx="112">
                  <c:v>451.12532025816586</c:v>
                </c:pt>
                <c:pt idx="113">
                  <c:v>452.31976973728717</c:v>
                </c:pt>
                <c:pt idx="114">
                  <c:v>453.50993460241676</c:v>
                </c:pt>
                <c:pt idx="115">
                  <c:v>454.69582245851757</c:v>
                </c:pt>
                <c:pt idx="116">
                  <c:v>455.87744144489915</c:v>
                </c:pt>
                <c:pt idx="117">
                  <c:v>457.05480023521932</c:v>
                </c:pt>
                <c:pt idx="118">
                  <c:v>458.22790803748256</c:v>
                </c:pt>
                <c:pt idx="119">
                  <c:v>459.3967745940414</c:v>
                </c:pt>
                <c:pt idx="120">
                  <c:v>460.56141018159565</c:v>
                </c:pt>
                <c:pt idx="121">
                  <c:v>461.72182561119229</c:v>
                </c:pt>
                <c:pt idx="122">
                  <c:v>462.87803222822583</c:v>
                </c:pt>
                <c:pt idx="123">
                  <c:v>464.03004191243838</c:v>
                </c:pt>
                <c:pt idx="124">
                  <c:v>465.17786707791942</c:v>
                </c:pt>
                <c:pt idx="125">
                  <c:v>466.32152067310523</c:v>
                </c:pt>
                <c:pt idx="126">
                  <c:v>467.4610161807804</c:v>
                </c:pt>
                <c:pt idx="127">
                  <c:v>468.59636761807667</c:v>
                </c:pt>
                <c:pt idx="128">
                  <c:v>469.72758953647315</c:v>
                </c:pt>
                <c:pt idx="129">
                  <c:v>470.8546970217962</c:v>
                </c:pt>
                <c:pt idx="130">
                  <c:v>471.97770569421954</c:v>
                </c:pt>
                <c:pt idx="131">
                  <c:v>473.09663170826457</c:v>
                </c:pt>
                <c:pt idx="132">
                  <c:v>474.21149175280061</c:v>
                </c:pt>
                <c:pt idx="133">
                  <c:v>475.32230305104292</c:v>
                </c:pt>
                <c:pt idx="134">
                  <c:v>476.42908336055569</c:v>
                </c:pt>
                <c:pt idx="135">
                  <c:v>477.53185097324962</c:v>
                </c:pt>
                <c:pt idx="136">
                  <c:v>478.63062471538382</c:v>
                </c:pt>
                <c:pt idx="137">
                  <c:v>479.72542394756317</c:v>
                </c:pt>
                <c:pt idx="138">
                  <c:v>480.81626856474145</c:v>
                </c:pt>
                <c:pt idx="139">
                  <c:v>481.9031789962192</c:v>
                </c:pt>
                <c:pt idx="140">
                  <c:v>482.98617620564482</c:v>
                </c:pt>
                <c:pt idx="141">
                  <c:v>484.06528169101387</c:v>
                </c:pt>
                <c:pt idx="142">
                  <c:v>485.14051748466898</c:v>
                </c:pt>
                <c:pt idx="143">
                  <c:v>486.21190615330062</c:v>
                </c:pt>
                <c:pt idx="144">
                  <c:v>487.27947079794632</c:v>
                </c:pt>
                <c:pt idx="145">
                  <c:v>488.3432350539922</c:v>
                </c:pt>
                <c:pt idx="146">
                  <c:v>489.40322309116954</c:v>
                </c:pt>
                <c:pt idx="147">
                  <c:v>490.45945961355983</c:v>
                </c:pt>
                <c:pt idx="148">
                  <c:v>491.51196985958927</c:v>
                </c:pt>
                <c:pt idx="149">
                  <c:v>492.56077960203362</c:v>
                </c:pt>
                <c:pt idx="150">
                  <c:v>493.60591514801501</c:v>
                </c:pt>
                <c:pt idx="151">
                  <c:v>494.64740333900289</c:v>
                </c:pt>
                <c:pt idx="152">
                  <c:v>495.6852715508146</c:v>
                </c:pt>
                <c:pt idx="153">
                  <c:v>496.71954769361508</c:v>
                </c:pt>
                <c:pt idx="154">
                  <c:v>497.75026021191559</c:v>
                </c:pt>
                <c:pt idx="155">
                  <c:v>498.77743808457609</c:v>
                </c:pt>
                <c:pt idx="156">
                  <c:v>499.80111082480329</c:v>
                </c:pt>
                <c:pt idx="157">
                  <c:v>500.82130848015134</c:v>
                </c:pt>
                <c:pt idx="158">
                  <c:v>501.83806163252228</c:v>
                </c:pt>
                <c:pt idx="159">
                  <c:v>502.85140139816474</c:v>
                </c:pt>
                <c:pt idx="160">
                  <c:v>503.86135942767538</c:v>
                </c:pt>
                <c:pt idx="161">
                  <c:v>504.86796790599868</c:v>
                </c:pt>
                <c:pt idx="162">
                  <c:v>505.87125955242504</c:v>
                </c:pt>
                <c:pt idx="163">
                  <c:v>506.87126762059376</c:v>
                </c:pt>
                <c:pt idx="164">
                  <c:v>507.86802589849077</c:v>
                </c:pt>
                <c:pt idx="165">
                  <c:v>508.86156870845036</c:v>
                </c:pt>
                <c:pt idx="166">
                  <c:v>509.85193090715325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A-4E92-80AB-257427DB6DAE}"/>
            </c:ext>
          </c:extLst>
        </c:ser>
        <c:ser>
          <c:idx val="1"/>
          <c:order val="1"/>
          <c:tx>
            <c:strRef>
              <c:f>'Model tilvækst, slagteform, fe'!$AA$9</c:f>
              <c:strCache>
                <c:ptCount val="1"/>
                <c:pt idx="0">
                  <c:v>3 grad, alle data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fe'!$S$209:$S$375</c:f>
              <c:numCache>
                <c:formatCode>0.00</c:formatCode>
                <c:ptCount val="167"/>
                <c:pt idx="0">
                  <c:v>283.00264697059231</c:v>
                </c:pt>
                <c:pt idx="1">
                  <c:v>284.5426667955407</c:v>
                </c:pt>
                <c:pt idx="2">
                  <c:v>286.08271429545306</c:v>
                </c:pt>
                <c:pt idx="3">
                  <c:v>287.62274123421474</c:v>
                </c:pt>
                <c:pt idx="4">
                  <c:v>289.16269937571082</c:v>
                </c:pt>
                <c:pt idx="5">
                  <c:v>290.70254048382657</c:v>
                </c:pt>
                <c:pt idx="6">
                  <c:v>292.24221632244718</c:v>
                </c:pt>
                <c:pt idx="7">
                  <c:v>293.7816786554576</c:v>
                </c:pt>
                <c:pt idx="8">
                  <c:v>295.32087924674312</c:v>
                </c:pt>
                <c:pt idx="9">
                  <c:v>296.85976986018892</c:v>
                </c:pt>
                <c:pt idx="10">
                  <c:v>298.39830225968024</c:v>
                </c:pt>
                <c:pt idx="11">
                  <c:v>299.93642820910213</c:v>
                </c:pt>
                <c:pt idx="12">
                  <c:v>301.47409947233984</c:v>
                </c:pt>
                <c:pt idx="13">
                  <c:v>303.01126781327838</c:v>
                </c:pt>
                <c:pt idx="14">
                  <c:v>304.54788499580309</c:v>
                </c:pt>
                <c:pt idx="15">
                  <c:v>306.08390278379915</c:v>
                </c:pt>
                <c:pt idx="16">
                  <c:v>307.61927294115156</c:v>
                </c:pt>
                <c:pt idx="17">
                  <c:v>309.15394723174563</c:v>
                </c:pt>
                <c:pt idx="18">
                  <c:v>310.68787741946647</c:v>
                </c:pt>
                <c:pt idx="19">
                  <c:v>312.22101526819932</c:v>
                </c:pt>
                <c:pt idx="20">
                  <c:v>313.75331254182919</c:v>
                </c:pt>
                <c:pt idx="21">
                  <c:v>315.28472100424142</c:v>
                </c:pt>
                <c:pt idx="22">
                  <c:v>316.81519241932108</c:v>
                </c:pt>
                <c:pt idx="23">
                  <c:v>318.34467855095335</c:v>
                </c:pt>
                <c:pt idx="24">
                  <c:v>319.87313116302334</c:v>
                </c:pt>
                <c:pt idx="25">
                  <c:v>321.40050201941648</c:v>
                </c:pt>
                <c:pt idx="26">
                  <c:v>322.92674288401759</c:v>
                </c:pt>
                <c:pt idx="27">
                  <c:v>324.45180552071201</c:v>
                </c:pt>
                <c:pt idx="28">
                  <c:v>325.97564169338489</c:v>
                </c:pt>
                <c:pt idx="29">
                  <c:v>327.49820316592138</c:v>
                </c:pt>
                <c:pt idx="30">
                  <c:v>329.01944170220668</c:v>
                </c:pt>
                <c:pt idx="31">
                  <c:v>330.53930906612595</c:v>
                </c:pt>
                <c:pt idx="32">
                  <c:v>332.05775702156433</c:v>
                </c:pt>
                <c:pt idx="33">
                  <c:v>333.57473733240704</c:v>
                </c:pt>
                <c:pt idx="34">
                  <c:v>335.09020176253921</c:v>
                </c:pt>
                <c:pt idx="35">
                  <c:v>336.60410207584596</c:v>
                </c:pt>
                <c:pt idx="36">
                  <c:v>338.11639003621247</c:v>
                </c:pt>
                <c:pt idx="37">
                  <c:v>339.62701740752402</c:v>
                </c:pt>
                <c:pt idx="38">
                  <c:v>341.13593595366569</c:v>
                </c:pt>
                <c:pt idx="39">
                  <c:v>342.64309743852266</c:v>
                </c:pt>
                <c:pt idx="40">
                  <c:v>344.14845362598004</c:v>
                </c:pt>
                <c:pt idx="41">
                  <c:v>345.65195627992307</c:v>
                </c:pt>
                <c:pt idx="42">
                  <c:v>347.15355716423699</c:v>
                </c:pt>
                <c:pt idx="43">
                  <c:v>348.65320804280674</c:v>
                </c:pt>
                <c:pt idx="44">
                  <c:v>350.15086067951779</c:v>
                </c:pt>
                <c:pt idx="45">
                  <c:v>351.64646683825498</c:v>
                </c:pt>
                <c:pt idx="46">
                  <c:v>353.13997828290377</c:v>
                </c:pt>
                <c:pt idx="47">
                  <c:v>354.63134677734922</c:v>
                </c:pt>
                <c:pt idx="48">
                  <c:v>356.12052408547629</c:v>
                </c:pt>
                <c:pt idx="49">
                  <c:v>357.60746197117055</c:v>
                </c:pt>
                <c:pt idx="50">
                  <c:v>359.09211219831684</c:v>
                </c:pt>
                <c:pt idx="51">
                  <c:v>360.57442653080045</c:v>
                </c:pt>
                <c:pt idx="52">
                  <c:v>362.05435673250645</c:v>
                </c:pt>
                <c:pt idx="53">
                  <c:v>363.53185456732018</c:v>
                </c:pt>
                <c:pt idx="54">
                  <c:v>365.00687179912677</c:v>
                </c:pt>
                <c:pt idx="55">
                  <c:v>366.47936019181117</c:v>
                </c:pt>
                <c:pt idx="56">
                  <c:v>367.94927150925878</c:v>
                </c:pt>
                <c:pt idx="57">
                  <c:v>369.41655751535473</c:v>
                </c:pt>
                <c:pt idx="58">
                  <c:v>370.88116997398424</c:v>
                </c:pt>
                <c:pt idx="59">
                  <c:v>372.34306064903228</c:v>
                </c:pt>
                <c:pt idx="60">
                  <c:v>373.80218130438425</c:v>
                </c:pt>
                <c:pt idx="61">
                  <c:v>375.25848370392509</c:v>
                </c:pt>
                <c:pt idx="62">
                  <c:v>376.71191961154011</c:v>
                </c:pt>
                <c:pt idx="63">
                  <c:v>378.16244079111442</c:v>
                </c:pt>
                <c:pt idx="64">
                  <c:v>379.60999900653337</c:v>
                </c:pt>
                <c:pt idx="65">
                  <c:v>381.05454602168169</c:v>
                </c:pt>
                <c:pt idx="66">
                  <c:v>382.49603360044506</c:v>
                </c:pt>
                <c:pt idx="67">
                  <c:v>383.93441350670844</c:v>
                </c:pt>
                <c:pt idx="68">
                  <c:v>385.36963750435677</c:v>
                </c:pt>
                <c:pt idx="69">
                  <c:v>386.80165735727564</c:v>
                </c:pt>
                <c:pt idx="70">
                  <c:v>388.23042482934977</c:v>
                </c:pt>
                <c:pt idx="71">
                  <c:v>389.6558916844649</c:v>
                </c:pt>
                <c:pt idx="72">
                  <c:v>391.07800968650554</c:v>
                </c:pt>
                <c:pt idx="73">
                  <c:v>392.49673059935714</c:v>
                </c:pt>
                <c:pt idx="74">
                  <c:v>393.91200618690505</c:v>
                </c:pt>
                <c:pt idx="75">
                  <c:v>395.32378821303422</c:v>
                </c:pt>
                <c:pt idx="76">
                  <c:v>396.73202844163006</c:v>
                </c:pt>
                <c:pt idx="77">
                  <c:v>398.13667863657741</c:v>
                </c:pt>
                <c:pt idx="78">
                  <c:v>399.53769056176156</c:v>
                </c:pt>
                <c:pt idx="79">
                  <c:v>400.93501598106769</c:v>
                </c:pt>
                <c:pt idx="80">
                  <c:v>402.32860665838109</c:v>
                </c:pt>
                <c:pt idx="81">
                  <c:v>403.71841435758677</c:v>
                </c:pt>
                <c:pt idx="82">
                  <c:v>405.10439084256996</c:v>
                </c:pt>
                <c:pt idx="83">
                  <c:v>406.48648787721572</c:v>
                </c:pt>
                <c:pt idx="84">
                  <c:v>407.86465722540947</c:v>
                </c:pt>
                <c:pt idx="85">
                  <c:v>409.23885065103605</c:v>
                </c:pt>
                <c:pt idx="86">
                  <c:v>410.60901991798096</c:v>
                </c:pt>
                <c:pt idx="87">
                  <c:v>411.97511679012905</c:v>
                </c:pt>
                <c:pt idx="88">
                  <c:v>413.33709303136584</c:v>
                </c:pt>
                <c:pt idx="89">
                  <c:v>414.69490040557611</c:v>
                </c:pt>
                <c:pt idx="90">
                  <c:v>416.04849067664537</c:v>
                </c:pt>
                <c:pt idx="91">
                  <c:v>417.39781560845847</c:v>
                </c:pt>
                <c:pt idx="92">
                  <c:v>418.74282696490081</c:v>
                </c:pt>
                <c:pt idx="93">
                  <c:v>420.08347650985746</c:v>
                </c:pt>
                <c:pt idx="94">
                  <c:v>421.41971600721376</c:v>
                </c:pt>
                <c:pt idx="95">
                  <c:v>422.75149722085462</c:v>
                </c:pt>
                <c:pt idx="96">
                  <c:v>424.07877191466531</c:v>
                </c:pt>
                <c:pt idx="97">
                  <c:v>425.40149185253108</c:v>
                </c:pt>
                <c:pt idx="98">
                  <c:v>426.71960879833694</c:v>
                </c:pt>
                <c:pt idx="99">
                  <c:v>428.03307451596811</c:v>
                </c:pt>
                <c:pt idx="100">
                  <c:v>429.3418407693099</c:v>
                </c:pt>
                <c:pt idx="101">
                  <c:v>430.64585932224736</c:v>
                </c:pt>
                <c:pt idx="102">
                  <c:v>431.94508193866568</c:v>
                </c:pt>
                <c:pt idx="103">
                  <c:v>433.23946038244992</c:v>
                </c:pt>
                <c:pt idx="104">
                  <c:v>434.52894641748549</c:v>
                </c:pt>
                <c:pt idx="105">
                  <c:v>435.81349180765721</c:v>
                </c:pt>
                <c:pt idx="106">
                  <c:v>437.09304831685063</c:v>
                </c:pt>
                <c:pt idx="107">
                  <c:v>438.36756770895067</c:v>
                </c:pt>
                <c:pt idx="108">
                  <c:v>439.63700174784242</c:v>
                </c:pt>
                <c:pt idx="109">
                  <c:v>440.90130219741138</c:v>
                </c:pt>
                <c:pt idx="110">
                  <c:v>442.16042082154252</c:v>
                </c:pt>
                <c:pt idx="111">
                  <c:v>443.41430938412094</c:v>
                </c:pt>
                <c:pt idx="112">
                  <c:v>444.66291964903195</c:v>
                </c:pt>
                <c:pt idx="113">
                  <c:v>445.90620338016043</c:v>
                </c:pt>
                <c:pt idx="114">
                  <c:v>447.14411234139192</c:v>
                </c:pt>
                <c:pt idx="115">
                  <c:v>448.37659829661146</c:v>
                </c:pt>
                <c:pt idx="116">
                  <c:v>449.60361300970419</c:v>
                </c:pt>
                <c:pt idx="117">
                  <c:v>450.82510824455517</c:v>
                </c:pt>
                <c:pt idx="118">
                  <c:v>452.04103576504986</c:v>
                </c:pt>
                <c:pt idx="119">
                  <c:v>453.25134733507309</c:v>
                </c:pt>
                <c:pt idx="120">
                  <c:v>454.45599471851028</c:v>
                </c:pt>
                <c:pt idx="121">
                  <c:v>455.65492967924644</c:v>
                </c:pt>
                <c:pt idx="122">
                  <c:v>456.84810398116679</c:v>
                </c:pt>
                <c:pt idx="123">
                  <c:v>458.03546938815651</c:v>
                </c:pt>
                <c:pt idx="124">
                  <c:v>459.21697766410068</c:v>
                </c:pt>
                <c:pt idx="125">
                  <c:v>460.39258057288475</c:v>
                </c:pt>
                <c:pt idx="126">
                  <c:v>461.56222987839345</c:v>
                </c:pt>
                <c:pt idx="127">
                  <c:v>462.7258773445123</c:v>
                </c:pt>
                <c:pt idx="128">
                  <c:v>463.88347473512636</c:v>
                </c:pt>
                <c:pt idx="129">
                  <c:v>465.0349738141208</c:v>
                </c:pt>
                <c:pt idx="130">
                  <c:v>466.18032634538065</c:v>
                </c:pt>
                <c:pt idx="131">
                  <c:v>467.31948409279141</c:v>
                </c:pt>
                <c:pt idx="132">
                  <c:v>468.45239882023782</c:v>
                </c:pt>
                <c:pt idx="133">
                  <c:v>469.5790222916055</c:v>
                </c:pt>
                <c:pt idx="134">
                  <c:v>470.69930627077923</c:v>
                </c:pt>
                <c:pt idx="135">
                  <c:v>471.81320252164426</c:v>
                </c:pt>
                <c:pt idx="136">
                  <c:v>472.92066280808604</c:v>
                </c:pt>
                <c:pt idx="137">
                  <c:v>474.02163889398935</c:v>
                </c:pt>
                <c:pt idx="138">
                  <c:v>475.11608254323949</c:v>
                </c:pt>
                <c:pt idx="139">
                  <c:v>476.20394551972186</c:v>
                </c:pt>
                <c:pt idx="140">
                  <c:v>477.2851795873213</c:v>
                </c:pt>
                <c:pt idx="141">
                  <c:v>478.35973650992321</c:v>
                </c:pt>
                <c:pt idx="142">
                  <c:v>479.42756805141255</c:v>
                </c:pt>
                <c:pt idx="143">
                  <c:v>480.48862597567467</c:v>
                </c:pt>
                <c:pt idx="144">
                  <c:v>481.54286204659473</c:v>
                </c:pt>
                <c:pt idx="145">
                  <c:v>482.59022802805777</c:v>
                </c:pt>
                <c:pt idx="146">
                  <c:v>483.63067568394905</c:v>
                </c:pt>
                <c:pt idx="147">
                  <c:v>484.66415677815365</c:v>
                </c:pt>
                <c:pt idx="148">
                  <c:v>485.69062307455681</c:v>
                </c:pt>
                <c:pt idx="149">
                  <c:v>486.7100263370437</c:v>
                </c:pt>
                <c:pt idx="150">
                  <c:v>487.7223183294995</c:v>
                </c:pt>
                <c:pt idx="151">
                  <c:v>488.72745081580928</c:v>
                </c:pt>
                <c:pt idx="152">
                  <c:v>489.72537555985832</c:v>
                </c:pt>
                <c:pt idx="153">
                  <c:v>490.7160443255317</c:v>
                </c:pt>
                <c:pt idx="154">
                  <c:v>491.69940887671487</c:v>
                </c:pt>
                <c:pt idx="155">
                  <c:v>492.67542097729239</c:v>
                </c:pt>
                <c:pt idx="156">
                  <c:v>493.64403239114995</c:v>
                </c:pt>
                <c:pt idx="157">
                  <c:v>494.60519488217267</c:v>
                </c:pt>
                <c:pt idx="158">
                  <c:v>495.55886021424561</c:v>
                </c:pt>
                <c:pt idx="159">
                  <c:v>496.50498015125373</c:v>
                </c:pt>
                <c:pt idx="160">
                  <c:v>497.44350645708261</c:v>
                </c:pt>
                <c:pt idx="161">
                  <c:v>498.37439089561707</c:v>
                </c:pt>
                <c:pt idx="162">
                  <c:v>499.29758523074247</c:v>
                </c:pt>
                <c:pt idx="163">
                  <c:v>500.21304122634399</c:v>
                </c:pt>
                <c:pt idx="164">
                  <c:v>501.12071064630669</c:v>
                </c:pt>
                <c:pt idx="165">
                  <c:v>502.02054525451575</c:v>
                </c:pt>
                <c:pt idx="166">
                  <c:v>502.91249681485647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A-4E92-80AB-257427DB6DAE}"/>
            </c:ext>
          </c:extLst>
        </c:ser>
        <c:ser>
          <c:idx val="2"/>
          <c:order val="2"/>
          <c:tx>
            <c:strRef>
              <c:f>'Model tilvækst, slagteform, fe'!$AB$9</c:f>
              <c:strCache>
                <c:ptCount val="1"/>
                <c:pt idx="0">
                  <c:v>3 grad, minus vægt dag 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fe'!$U$209:$U$375</c:f>
              <c:numCache>
                <c:formatCode>0.00</c:formatCode>
                <c:ptCount val="167"/>
                <c:pt idx="0">
                  <c:v>284.14181480499906</c:v>
                </c:pt>
                <c:pt idx="1">
                  <c:v>285.63631383203335</c:v>
                </c:pt>
                <c:pt idx="2">
                  <c:v>287.13062424941648</c:v>
                </c:pt>
                <c:pt idx="3">
                  <c:v>288.6247119374392</c:v>
                </c:pt>
                <c:pt idx="4">
                  <c:v>290.11854277639225</c:v>
                </c:pt>
                <c:pt idx="5">
                  <c:v>291.61208264656625</c:v>
                </c:pt>
                <c:pt idx="6">
                  <c:v>293.1052974282519</c:v>
                </c:pt>
                <c:pt idx="7">
                  <c:v>294.59815300174012</c:v>
                </c:pt>
                <c:pt idx="8">
                  <c:v>296.09061524732135</c:v>
                </c:pt>
                <c:pt idx="9">
                  <c:v>297.58265004528636</c:v>
                </c:pt>
                <c:pt idx="10">
                  <c:v>299.07422327592599</c:v>
                </c:pt>
                <c:pt idx="11">
                  <c:v>300.56530081953082</c:v>
                </c:pt>
                <c:pt idx="12">
                  <c:v>302.05584855639165</c:v>
                </c:pt>
                <c:pt idx="13">
                  <c:v>303.54583236679917</c:v>
                </c:pt>
                <c:pt idx="14">
                  <c:v>305.03521813104402</c:v>
                </c:pt>
                <c:pt idx="15">
                  <c:v>306.52397172941704</c:v>
                </c:pt>
                <c:pt idx="16">
                  <c:v>308.01205904220876</c:v>
                </c:pt>
                <c:pt idx="17">
                  <c:v>309.49944594970998</c:v>
                </c:pt>
                <c:pt idx="18">
                  <c:v>310.9860983322115</c:v>
                </c:pt>
                <c:pt idx="19">
                  <c:v>312.47198207000389</c:v>
                </c:pt>
                <c:pt idx="20">
                  <c:v>313.95706304337796</c:v>
                </c:pt>
                <c:pt idx="21">
                  <c:v>315.44130713262427</c:v>
                </c:pt>
                <c:pt idx="22">
                  <c:v>316.9246802180337</c:v>
                </c:pt>
                <c:pt idx="23">
                  <c:v>318.40714817989692</c:v>
                </c:pt>
                <c:pt idx="24">
                  <c:v>319.88867689850451</c:v>
                </c:pt>
                <c:pt idx="25">
                  <c:v>321.36923225414739</c:v>
                </c:pt>
                <c:pt idx="26">
                  <c:v>322.84878012711613</c:v>
                </c:pt>
                <c:pt idx="27">
                  <c:v>324.32728639770147</c:v>
                </c:pt>
                <c:pt idx="28">
                  <c:v>325.80471694619416</c:v>
                </c:pt>
                <c:pt idx="29">
                  <c:v>327.28103765288472</c:v>
                </c:pt>
                <c:pt idx="30">
                  <c:v>328.75621439806417</c:v>
                </c:pt>
                <c:pt idx="31">
                  <c:v>330.23021306202304</c:v>
                </c:pt>
                <c:pt idx="32">
                  <c:v>331.70299952505195</c:v>
                </c:pt>
                <c:pt idx="33">
                  <c:v>333.17453966744182</c:v>
                </c:pt>
                <c:pt idx="34">
                  <c:v>334.64479936948328</c:v>
                </c:pt>
                <c:pt idx="35">
                  <c:v>336.11374451146685</c:v>
                </c:pt>
                <c:pt idx="36">
                  <c:v>337.5813409736835</c:v>
                </c:pt>
                <c:pt idx="37">
                  <c:v>339.0475546364238</c:v>
                </c:pt>
                <c:pt idx="38">
                  <c:v>340.51235137997867</c:v>
                </c:pt>
                <c:pt idx="39">
                  <c:v>341.97569708463845</c:v>
                </c:pt>
                <c:pt idx="40">
                  <c:v>343.43755763069419</c:v>
                </c:pt>
                <c:pt idx="41">
                  <c:v>344.89789889843638</c:v>
                </c:pt>
                <c:pt idx="42">
                  <c:v>346.35668676815584</c:v>
                </c:pt>
                <c:pt idx="43">
                  <c:v>347.81388712014325</c:v>
                </c:pt>
                <c:pt idx="44">
                  <c:v>349.26946583468936</c:v>
                </c:pt>
                <c:pt idx="45">
                  <c:v>350.72338879208485</c:v>
                </c:pt>
                <c:pt idx="46">
                  <c:v>352.17562187262035</c:v>
                </c:pt>
                <c:pt idx="47">
                  <c:v>353.62613095658662</c:v>
                </c:pt>
                <c:pt idx="48">
                  <c:v>355.07488192427439</c:v>
                </c:pt>
                <c:pt idx="49">
                  <c:v>356.52184065597442</c:v>
                </c:pt>
                <c:pt idx="50">
                  <c:v>357.96697303197737</c:v>
                </c:pt>
                <c:pt idx="51">
                  <c:v>359.4102449325739</c:v>
                </c:pt>
                <c:pt idx="52">
                  <c:v>360.8516222380548</c:v>
                </c:pt>
                <c:pt idx="53">
                  <c:v>362.2910708287107</c:v>
                </c:pt>
                <c:pt idx="54">
                  <c:v>363.72855658483235</c:v>
                </c:pt>
                <c:pt idx="55">
                  <c:v>365.16404538671048</c:v>
                </c:pt>
                <c:pt idx="56">
                  <c:v>366.59750311463586</c:v>
                </c:pt>
                <c:pt idx="57">
                  <c:v>368.02889564889904</c:v>
                </c:pt>
                <c:pt idx="58">
                  <c:v>369.45818886979083</c:v>
                </c:pt>
                <c:pt idx="59">
                  <c:v>370.88534865760192</c:v>
                </c:pt>
                <c:pt idx="60">
                  <c:v>372.310340892623</c:v>
                </c:pt>
                <c:pt idx="61">
                  <c:v>373.73313145514481</c:v>
                </c:pt>
                <c:pt idx="62">
                  <c:v>375.1536862254581</c:v>
                </c:pt>
                <c:pt idx="63">
                  <c:v>376.57197108385344</c:v>
                </c:pt>
                <c:pt idx="64">
                  <c:v>377.98795191062163</c:v>
                </c:pt>
                <c:pt idx="65">
                  <c:v>379.40159458605342</c:v>
                </c:pt>
                <c:pt idx="66">
                  <c:v>380.81286499043949</c:v>
                </c:pt>
                <c:pt idx="67">
                  <c:v>382.22172900407048</c:v>
                </c:pt>
                <c:pt idx="68">
                  <c:v>383.62815250723719</c:v>
                </c:pt>
                <c:pt idx="69">
                  <c:v>385.0321013802303</c:v>
                </c:pt>
                <c:pt idx="70">
                  <c:v>386.43354150334051</c:v>
                </c:pt>
                <c:pt idx="71">
                  <c:v>387.83243875685855</c:v>
                </c:pt>
                <c:pt idx="72">
                  <c:v>389.22875902107512</c:v>
                </c:pt>
                <c:pt idx="73">
                  <c:v>390.6224681762809</c:v>
                </c:pt>
                <c:pt idx="74">
                  <c:v>392.01353210276659</c:v>
                </c:pt>
                <c:pt idx="75">
                  <c:v>393.40191668082298</c:v>
                </c:pt>
                <c:pt idx="76">
                  <c:v>394.7875877907407</c:v>
                </c:pt>
                <c:pt idx="77">
                  <c:v>396.17051131281045</c:v>
                </c:pt>
                <c:pt idx="78">
                  <c:v>397.55065312732307</c:v>
                </c:pt>
                <c:pt idx="79">
                  <c:v>398.9279791145691</c:v>
                </c:pt>
                <c:pt idx="80">
                  <c:v>400.30245515483938</c:v>
                </c:pt>
                <c:pt idx="81">
                  <c:v>401.67404712842449</c:v>
                </c:pt>
                <c:pt idx="82">
                  <c:v>403.04272091561529</c:v>
                </c:pt>
                <c:pt idx="83">
                  <c:v>404.40844239670241</c:v>
                </c:pt>
                <c:pt idx="84">
                  <c:v>405.77117745197654</c:v>
                </c:pt>
                <c:pt idx="85">
                  <c:v>407.13089196172848</c:v>
                </c:pt>
                <c:pt idx="86">
                  <c:v>408.4875518062488</c:v>
                </c:pt>
                <c:pt idx="87">
                  <c:v>409.8411228658282</c:v>
                </c:pt>
                <c:pt idx="88">
                  <c:v>411.19157102075758</c:v>
                </c:pt>
                <c:pt idx="89">
                  <c:v>412.53886215132758</c:v>
                </c:pt>
                <c:pt idx="90">
                  <c:v>413.88296213782883</c:v>
                </c:pt>
                <c:pt idx="91">
                  <c:v>415.22383686055207</c:v>
                </c:pt>
                <c:pt idx="92">
                  <c:v>416.56145219978794</c:v>
                </c:pt>
                <c:pt idx="93">
                  <c:v>417.89577403582734</c:v>
                </c:pt>
                <c:pt idx="94">
                  <c:v>419.22676824896081</c:v>
                </c:pt>
                <c:pt idx="95">
                  <c:v>420.5544007194793</c:v>
                </c:pt>
                <c:pt idx="96">
                  <c:v>421.87863732767312</c:v>
                </c:pt>
                <c:pt idx="97">
                  <c:v>423.19944395383334</c:v>
                </c:pt>
                <c:pt idx="98">
                  <c:v>424.51678647825031</c:v>
                </c:pt>
                <c:pt idx="99">
                  <c:v>425.83063078121512</c:v>
                </c:pt>
                <c:pt idx="100">
                  <c:v>427.14094274301817</c:v>
                </c:pt>
                <c:pt idx="101">
                  <c:v>428.44768824395055</c:v>
                </c:pt>
                <c:pt idx="102">
                  <c:v>429.75083316430255</c:v>
                </c:pt>
                <c:pt idx="103">
                  <c:v>431.05034338436519</c:v>
                </c:pt>
                <c:pt idx="104">
                  <c:v>432.34618478442906</c:v>
                </c:pt>
                <c:pt idx="105">
                  <c:v>433.63832324478483</c:v>
                </c:pt>
                <c:pt idx="106">
                  <c:v>434.92672464572314</c:v>
                </c:pt>
                <c:pt idx="107">
                  <c:v>436.21135486753496</c:v>
                </c:pt>
                <c:pt idx="108">
                  <c:v>437.49217979051065</c:v>
                </c:pt>
                <c:pt idx="109">
                  <c:v>438.76916529494127</c:v>
                </c:pt>
                <c:pt idx="110">
                  <c:v>440.04227726111731</c:v>
                </c:pt>
                <c:pt idx="111">
                  <c:v>441.31148156932949</c:v>
                </c:pt>
                <c:pt idx="112">
                  <c:v>442.57674409986868</c:v>
                </c:pt>
                <c:pt idx="113">
                  <c:v>443.83803073302539</c:v>
                </c:pt>
                <c:pt idx="114">
                  <c:v>445.09530734909032</c:v>
                </c:pt>
                <c:pt idx="115">
                  <c:v>446.34853982835443</c:v>
                </c:pt>
                <c:pt idx="116">
                  <c:v>447.59769405110819</c:v>
                </c:pt>
                <c:pt idx="117">
                  <c:v>448.84273589764257</c:v>
                </c:pt>
                <c:pt idx="118">
                  <c:v>450.08363124824803</c:v>
                </c:pt>
                <c:pt idx="119">
                  <c:v>451.32034598321525</c:v>
                </c:pt>
                <c:pt idx="120">
                  <c:v>452.55284598283509</c:v>
                </c:pt>
                <c:pt idx="121">
                  <c:v>453.78109712739808</c:v>
                </c:pt>
                <c:pt idx="122">
                  <c:v>455.00506529719519</c:v>
                </c:pt>
                <c:pt idx="123">
                  <c:v>456.22471637251704</c:v>
                </c:pt>
                <c:pt idx="124">
                  <c:v>457.44001623365421</c:v>
                </c:pt>
                <c:pt idx="125">
                  <c:v>458.65093076089761</c:v>
                </c:pt>
                <c:pt idx="126">
                  <c:v>459.85742583453782</c:v>
                </c:pt>
                <c:pt idx="127">
                  <c:v>461.05946733486547</c:v>
                </c:pt>
                <c:pt idx="128">
                  <c:v>462.25702114217148</c:v>
                </c:pt>
                <c:pt idx="129">
                  <c:v>463.45005313674642</c:v>
                </c:pt>
                <c:pt idx="130">
                  <c:v>464.63852919888097</c:v>
                </c:pt>
                <c:pt idx="131">
                  <c:v>465.822415208866</c:v>
                </c:pt>
                <c:pt idx="132">
                  <c:v>467.00167704699197</c:v>
                </c:pt>
                <c:pt idx="133">
                  <c:v>468.17628059354973</c:v>
                </c:pt>
                <c:pt idx="134">
                  <c:v>469.34619172883004</c:v>
                </c:pt>
                <c:pt idx="135">
                  <c:v>470.51137633312362</c:v>
                </c:pt>
                <c:pt idx="136">
                  <c:v>471.67180028672101</c:v>
                </c:pt>
                <c:pt idx="137">
                  <c:v>472.82742946991311</c:v>
                </c:pt>
                <c:pt idx="138">
                  <c:v>473.97822976299068</c:v>
                </c:pt>
                <c:pt idx="139">
                  <c:v>475.12416704624411</c:v>
                </c:pt>
                <c:pt idx="140">
                  <c:v>476.26520719996438</c:v>
                </c:pt>
                <c:pt idx="141">
                  <c:v>477.40131610444223</c:v>
                </c:pt>
                <c:pt idx="142">
                  <c:v>478.53245963996801</c:v>
                </c:pt>
                <c:pt idx="143">
                  <c:v>479.65860368683292</c:v>
                </c:pt>
                <c:pt idx="144">
                  <c:v>480.77971412532719</c:v>
                </c:pt>
                <c:pt idx="145">
                  <c:v>481.89575683574196</c:v>
                </c:pt>
                <c:pt idx="146">
                  <c:v>483.00669769836765</c:v>
                </c:pt>
                <c:pt idx="147">
                  <c:v>484.11250259349504</c:v>
                </c:pt>
                <c:pt idx="148">
                  <c:v>485.21313740141494</c:v>
                </c:pt>
                <c:pt idx="149">
                  <c:v>486.30856800241804</c:v>
                </c:pt>
                <c:pt idx="150">
                  <c:v>487.39876027679486</c:v>
                </c:pt>
                <c:pt idx="151">
                  <c:v>488.48368010483631</c:v>
                </c:pt>
                <c:pt idx="152">
                  <c:v>489.56329336683302</c:v>
                </c:pt>
                <c:pt idx="153">
                  <c:v>490.63756594307586</c:v>
                </c:pt>
                <c:pt idx="154">
                  <c:v>491.70646371385521</c:v>
                </c:pt>
                <c:pt idx="155">
                  <c:v>492.76995255946201</c:v>
                </c:pt>
                <c:pt idx="156">
                  <c:v>493.82799836018677</c:v>
                </c:pt>
                <c:pt idx="157">
                  <c:v>494.88056699632062</c:v>
                </c:pt>
                <c:pt idx="158">
                  <c:v>495.92762434815376</c:v>
                </c:pt>
                <c:pt idx="159">
                  <c:v>496.96913629597731</c:v>
                </c:pt>
                <c:pt idx="160">
                  <c:v>498.00506872008174</c:v>
                </c:pt>
                <c:pt idx="161">
                  <c:v>499.03538750075791</c:v>
                </c:pt>
                <c:pt idx="162">
                  <c:v>500.06005851829633</c:v>
                </c:pt>
                <c:pt idx="163">
                  <c:v>501.07904765298781</c:v>
                </c:pt>
                <c:pt idx="164">
                  <c:v>502.09232078512321</c:v>
                </c:pt>
                <c:pt idx="165">
                  <c:v>503.09984379499303</c:v>
                </c:pt>
                <c:pt idx="166">
                  <c:v>504.10158256288793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A-4E92-80AB-257427DB6DAE}"/>
            </c:ext>
          </c:extLst>
        </c:ser>
        <c:ser>
          <c:idx val="3"/>
          <c:order val="3"/>
          <c:tx>
            <c:strRef>
              <c:f>'Model tilvækst, slagteform, fe'!$AC$9</c:f>
              <c:strCache>
                <c:ptCount val="1"/>
                <c:pt idx="0">
                  <c:v>3 grad, minus vægt dag 0 og 30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 tilvækst, slagteform, fe'!$Y$209:$Y$375</c:f>
              <c:numCache>
                <c:formatCode>General</c:formatCode>
                <c:ptCount val="167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</c:numCache>
            </c:numRef>
          </c:cat>
          <c:val>
            <c:numRef>
              <c:f>'Model tilvækst, slagteform, fe'!$W$209:$W$375</c:f>
              <c:numCache>
                <c:formatCode>0.00</c:formatCode>
                <c:ptCount val="167"/>
                <c:pt idx="0">
                  <c:v>285.87026730368177</c:v>
                </c:pt>
                <c:pt idx="1">
                  <c:v>287.32469573182163</c:v>
                </c:pt>
                <c:pt idx="2">
                  <c:v>288.77838547845658</c:v>
                </c:pt>
                <c:pt idx="3">
                  <c:v>290.23132038951798</c:v>
                </c:pt>
                <c:pt idx="4">
                  <c:v>291.68348431093699</c:v>
                </c:pt>
                <c:pt idx="5">
                  <c:v>293.1348610886451</c:v>
                </c:pt>
                <c:pt idx="6">
                  <c:v>294.58543456857342</c:v>
                </c:pt>
                <c:pt idx="7">
                  <c:v>296.03518859665337</c:v>
                </c:pt>
                <c:pt idx="8">
                  <c:v>297.48410701881625</c:v>
                </c:pt>
                <c:pt idx="9">
                  <c:v>298.93217368099334</c:v>
                </c:pt>
                <c:pt idx="10">
                  <c:v>300.37937242911596</c:v>
                </c:pt>
                <c:pt idx="11">
                  <c:v>301.82568710911539</c:v>
                </c:pt>
                <c:pt idx="12">
                  <c:v>303.27110156692299</c:v>
                </c:pt>
                <c:pt idx="13">
                  <c:v>304.71559964846995</c:v>
                </c:pt>
                <c:pt idx="14">
                  <c:v>306.15916519968766</c:v>
                </c:pt>
                <c:pt idx="15">
                  <c:v>307.60178206650744</c:v>
                </c:pt>
                <c:pt idx="16">
                  <c:v>309.04343409486057</c:v>
                </c:pt>
                <c:pt idx="17">
                  <c:v>310.4841051306783</c:v>
                </c:pt>
                <c:pt idx="18">
                  <c:v>311.92377901989204</c:v>
                </c:pt>
                <c:pt idx="19">
                  <c:v>313.36243960843296</c:v>
                </c:pt>
                <c:pt idx="20">
                  <c:v>314.80007074223255</c:v>
                </c:pt>
                <c:pt idx="21">
                  <c:v>316.23665626722192</c:v>
                </c:pt>
                <c:pt idx="22">
                  <c:v>317.67218002933254</c:v>
                </c:pt>
                <c:pt idx="23">
                  <c:v>319.10662587449553</c:v>
                </c:pt>
                <c:pt idx="24">
                  <c:v>320.53997764864238</c:v>
                </c:pt>
                <c:pt idx="25">
                  <c:v>321.97221919770425</c:v>
                </c:pt>
                <c:pt idx="26">
                  <c:v>323.4033343676125</c:v>
                </c:pt>
                <c:pt idx="27">
                  <c:v>324.83330700429849</c:v>
                </c:pt>
                <c:pt idx="28">
                  <c:v>326.26212095369345</c:v>
                </c:pt>
                <c:pt idx="29">
                  <c:v>327.68976006172869</c:v>
                </c:pt>
                <c:pt idx="30">
                  <c:v>329.11620817433555</c:v>
                </c:pt>
                <c:pt idx="31">
                  <c:v>330.5414491374454</c:v>
                </c:pt>
                <c:pt idx="32">
                  <c:v>331.9654667969894</c:v>
                </c:pt>
                <c:pt idx="33">
                  <c:v>333.38824499889893</c:v>
                </c:pt>
                <c:pt idx="34">
                  <c:v>334.80976758910515</c:v>
                </c:pt>
                <c:pt idx="35">
                  <c:v>336.23001841353965</c:v>
                </c:pt>
                <c:pt idx="36">
                  <c:v>337.64898131813345</c:v>
                </c:pt>
                <c:pt idx="37">
                  <c:v>339.06664014881807</c:v>
                </c:pt>
                <c:pt idx="38">
                  <c:v>340.48297875152468</c:v>
                </c:pt>
                <c:pt idx="39">
                  <c:v>341.89798097218466</c:v>
                </c:pt>
                <c:pt idx="40">
                  <c:v>343.31163065672928</c:v>
                </c:pt>
                <c:pt idx="41">
                  <c:v>344.72391165108979</c:v>
                </c:pt>
                <c:pt idx="42">
                  <c:v>346.13480780119755</c:v>
                </c:pt>
                <c:pt idx="43">
                  <c:v>347.54430295298391</c:v>
                </c:pt>
                <c:pt idx="44">
                  <c:v>348.95238095238011</c:v>
                </c:pt>
                <c:pt idx="45">
                  <c:v>350.3590256453175</c:v>
                </c:pt>
                <c:pt idx="46">
                  <c:v>351.76422087772738</c:v>
                </c:pt>
                <c:pt idx="47">
                  <c:v>353.16795049554094</c:v>
                </c:pt>
                <c:pt idx="48">
                  <c:v>354.57019834468963</c:v>
                </c:pt>
                <c:pt idx="49">
                  <c:v>355.9709482711047</c:v>
                </c:pt>
                <c:pt idx="50">
                  <c:v>357.37018412071745</c:v>
                </c:pt>
                <c:pt idx="51">
                  <c:v>358.76788973945918</c:v>
                </c:pt>
                <c:pt idx="52">
                  <c:v>360.16404897326129</c:v>
                </c:pt>
                <c:pt idx="53">
                  <c:v>361.55864566805491</c:v>
                </c:pt>
                <c:pt idx="54">
                  <c:v>362.95166366977139</c:v>
                </c:pt>
                <c:pt idx="55">
                  <c:v>364.34308682434215</c:v>
                </c:pt>
                <c:pt idx="56">
                  <c:v>365.73289897769837</c:v>
                </c:pt>
                <c:pt idx="57">
                  <c:v>367.1210839757714</c:v>
                </c:pt>
                <c:pt idx="58">
                  <c:v>368.50762566449259</c:v>
                </c:pt>
                <c:pt idx="59">
                  <c:v>369.89250788979314</c:v>
                </c:pt>
                <c:pt idx="60">
                  <c:v>371.27571449760444</c:v>
                </c:pt>
                <c:pt idx="61">
                  <c:v>372.6572293338578</c:v>
                </c:pt>
                <c:pt idx="62">
                  <c:v>374.03703624448445</c:v>
                </c:pt>
                <c:pt idx="63">
                  <c:v>375.41511907541576</c:v>
                </c:pt>
                <c:pt idx="64">
                  <c:v>376.79146167258301</c:v>
                </c:pt>
                <c:pt idx="65">
                  <c:v>378.16604788191751</c:v>
                </c:pt>
                <c:pt idx="66">
                  <c:v>379.53886154935049</c:v>
                </c:pt>
                <c:pt idx="67">
                  <c:v>380.90988652081342</c:v>
                </c:pt>
                <c:pt idx="68">
                  <c:v>382.27910664223742</c:v>
                </c:pt>
                <c:pt idx="69">
                  <c:v>383.64650575955397</c:v>
                </c:pt>
                <c:pt idx="70">
                  <c:v>385.0120677186942</c:v>
                </c:pt>
                <c:pt idx="71">
                  <c:v>386.37577636558962</c:v>
                </c:pt>
                <c:pt idx="72">
                  <c:v>387.7376155461713</c:v>
                </c:pt>
                <c:pt idx="73">
                  <c:v>389.09756910637066</c:v>
                </c:pt>
                <c:pt idx="74">
                  <c:v>390.45562089211904</c:v>
                </c:pt>
                <c:pt idx="75">
                  <c:v>391.81175474934776</c:v>
                </c:pt>
                <c:pt idx="76">
                  <c:v>393.16595452398798</c:v>
                </c:pt>
                <c:pt idx="77">
                  <c:v>394.51820406197112</c:v>
                </c:pt>
                <c:pt idx="78">
                  <c:v>395.86848720922842</c:v>
                </c:pt>
                <c:pt idx="79">
                  <c:v>397.21678781169123</c:v>
                </c:pt>
                <c:pt idx="80">
                  <c:v>398.56308971529097</c:v>
                </c:pt>
                <c:pt idx="81">
                  <c:v>399.9073767659587</c:v>
                </c:pt>
                <c:pt idx="82">
                  <c:v>401.24963280962595</c:v>
                </c:pt>
                <c:pt idx="83">
                  <c:v>402.58984169222384</c:v>
                </c:pt>
                <c:pt idx="84">
                  <c:v>403.92798725968373</c:v>
                </c:pt>
                <c:pt idx="85">
                  <c:v>405.26405335793697</c:v>
                </c:pt>
                <c:pt idx="86">
                  <c:v>406.59802383291481</c:v>
                </c:pt>
                <c:pt idx="87">
                  <c:v>407.92988253054864</c:v>
                </c:pt>
                <c:pt idx="88">
                  <c:v>409.25961329676966</c:v>
                </c:pt>
                <c:pt idx="89">
                  <c:v>410.58719997750921</c:v>
                </c:pt>
                <c:pt idx="90">
                  <c:v>411.91262641869866</c:v>
                </c:pt>
                <c:pt idx="91">
                  <c:v>413.23587646626925</c:v>
                </c:pt>
                <c:pt idx="92">
                  <c:v>414.55693396615231</c:v>
                </c:pt>
                <c:pt idx="93">
                  <c:v>415.87578276427905</c:v>
                </c:pt>
                <c:pt idx="94">
                  <c:v>417.19240670658093</c:v>
                </c:pt>
                <c:pt idx="95">
                  <c:v>418.50678963898918</c:v>
                </c:pt>
                <c:pt idx="96">
                  <c:v>419.81891540743504</c:v>
                </c:pt>
                <c:pt idx="97">
                  <c:v>421.12876785784994</c:v>
                </c:pt>
                <c:pt idx="98">
                  <c:v>422.4363308361651</c:v>
                </c:pt>
                <c:pt idx="99">
                  <c:v>423.74158818831188</c:v>
                </c:pt>
                <c:pt idx="100">
                  <c:v>425.04452376022141</c:v>
                </c:pt>
                <c:pt idx="101">
                  <c:v>426.34512139782527</c:v>
                </c:pt>
                <c:pt idx="102">
                  <c:v>427.64336494705458</c:v>
                </c:pt>
                <c:pt idx="103">
                  <c:v>428.9392382538407</c:v>
                </c:pt>
                <c:pt idx="104">
                  <c:v>430.23272516411492</c:v>
                </c:pt>
                <c:pt idx="105">
                  <c:v>431.52380952380855</c:v>
                </c:pt>
                <c:pt idx="106">
                  <c:v>432.81247517885288</c:v>
                </c:pt>
                <c:pt idx="107">
                  <c:v>434.0987059751792</c:v>
                </c:pt>
                <c:pt idx="108">
                  <c:v>435.38248575871887</c:v>
                </c:pt>
                <c:pt idx="109">
                  <c:v>436.66379837540313</c:v>
                </c:pt>
                <c:pt idx="110">
                  <c:v>437.94262767116339</c:v>
                </c:pt>
                <c:pt idx="111">
                  <c:v>439.21895749193089</c:v>
                </c:pt>
                <c:pt idx="112">
                  <c:v>440.49277168363687</c:v>
                </c:pt>
                <c:pt idx="113">
                  <c:v>441.76405409221275</c:v>
                </c:pt>
                <c:pt idx="114">
                  <c:v>443.03278856358963</c:v>
                </c:pt>
                <c:pt idx="115">
                  <c:v>444.29895894369912</c:v>
                </c:pt>
                <c:pt idx="116">
                  <c:v>445.56254907847233</c:v>
                </c:pt>
                <c:pt idx="117">
                  <c:v>446.82354281384056</c:v>
                </c:pt>
                <c:pt idx="118">
                  <c:v>448.08192399573511</c:v>
                </c:pt>
                <c:pt idx="119">
                  <c:v>449.33767647008733</c:v>
                </c:pt>
                <c:pt idx="120">
                  <c:v>450.59078408282863</c:v>
                </c:pt>
                <c:pt idx="121">
                  <c:v>451.84123067989015</c:v>
                </c:pt>
                <c:pt idx="122">
                  <c:v>453.08900010720322</c:v>
                </c:pt>
                <c:pt idx="123">
                  <c:v>454.33407621069915</c:v>
                </c:pt>
                <c:pt idx="124">
                  <c:v>455.57644283630935</c:v>
                </c:pt>
                <c:pt idx="125">
                  <c:v>456.8160838299649</c:v>
                </c:pt>
                <c:pt idx="126">
                  <c:v>458.05298303759736</c:v>
                </c:pt>
                <c:pt idx="127">
                  <c:v>459.28712430513798</c:v>
                </c:pt>
                <c:pt idx="128">
                  <c:v>460.51849147851789</c:v>
                </c:pt>
                <c:pt idx="129">
                  <c:v>461.74706840366849</c:v>
                </c:pt>
                <c:pt idx="130">
                  <c:v>462.97283892652115</c:v>
                </c:pt>
                <c:pt idx="131">
                  <c:v>464.1957868930071</c:v>
                </c:pt>
                <c:pt idx="132">
                  <c:v>465.41589614905769</c:v>
                </c:pt>
                <c:pt idx="133">
                  <c:v>466.63315054060428</c:v>
                </c:pt>
                <c:pt idx="134">
                  <c:v>467.84753391357805</c:v>
                </c:pt>
                <c:pt idx="135">
                  <c:v>469.05903011391024</c:v>
                </c:pt>
                <c:pt idx="136">
                  <c:v>470.26762298753232</c:v>
                </c:pt>
                <c:pt idx="137">
                  <c:v>471.47329638037559</c:v>
                </c:pt>
                <c:pt idx="138">
                  <c:v>472.67603413837128</c:v>
                </c:pt>
                <c:pt idx="139">
                  <c:v>473.87582010745075</c:v>
                </c:pt>
                <c:pt idx="140">
                  <c:v>475.07263813354518</c:v>
                </c:pt>
                <c:pt idx="141">
                  <c:v>476.26647206258605</c:v>
                </c:pt>
                <c:pt idx="142">
                  <c:v>477.45730574050452</c:v>
                </c:pt>
                <c:pt idx="143">
                  <c:v>478.64512301323202</c:v>
                </c:pt>
                <c:pt idx="144">
                  <c:v>479.82990772669962</c:v>
                </c:pt>
                <c:pt idx="145">
                  <c:v>481.01164372683911</c:v>
                </c:pt>
                <c:pt idx="146">
                  <c:v>482.19031485958124</c:v>
                </c:pt>
                <c:pt idx="147">
                  <c:v>483.36590497085751</c:v>
                </c:pt>
                <c:pt idx="148">
                  <c:v>484.53839790659941</c:v>
                </c:pt>
                <c:pt idx="149">
                  <c:v>485.70777751273806</c:v>
                </c:pt>
                <c:pt idx="150">
                  <c:v>486.8740276352047</c:v>
                </c:pt>
                <c:pt idx="151">
                  <c:v>488.0371321199309</c:v>
                </c:pt>
                <c:pt idx="152">
                  <c:v>489.19707481284763</c:v>
                </c:pt>
                <c:pt idx="153">
                  <c:v>490.35383955988652</c:v>
                </c:pt>
                <c:pt idx="154">
                  <c:v>491.50741020697853</c:v>
                </c:pt>
                <c:pt idx="155">
                  <c:v>492.65777060005541</c:v>
                </c:pt>
                <c:pt idx="156">
                  <c:v>493.80490458504801</c:v>
                </c:pt>
                <c:pt idx="157">
                  <c:v>494.94879600788795</c:v>
                </c:pt>
                <c:pt idx="158">
                  <c:v>496.08942871450625</c:v>
                </c:pt>
                <c:pt idx="159">
                  <c:v>497.2267865508345</c:v>
                </c:pt>
                <c:pt idx="160">
                  <c:v>498.36085336280382</c:v>
                </c:pt>
                <c:pt idx="161">
                  <c:v>499.49161299634574</c:v>
                </c:pt>
                <c:pt idx="162">
                  <c:v>500.6190492973912</c:v>
                </c:pt>
                <c:pt idx="163">
                  <c:v>501.74314611187185</c:v>
                </c:pt>
                <c:pt idx="164">
                  <c:v>502.86388728571876</c:v>
                </c:pt>
                <c:pt idx="165">
                  <c:v>503.98125666486334</c:v>
                </c:pt>
                <c:pt idx="166">
                  <c:v>505.09523809523682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A-4E92-80AB-257427DB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594248"/>
        <c:axId val="1072598184"/>
      </c:lineChart>
      <c:catAx>
        <c:axId val="1072594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Alder i</a:t>
                </a:r>
                <a:r>
                  <a:rPr lang="da-DK" baseline="0"/>
                  <a:t> dage</a:t>
                </a:r>
                <a:endParaRPr lang="da-D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72598184"/>
        <c:crosses val="autoZero"/>
        <c:auto val="1"/>
        <c:lblAlgn val="ctr"/>
        <c:lblOffset val="100"/>
        <c:noMultiLvlLbl val="0"/>
      </c:catAx>
      <c:valAx>
        <c:axId val="1072598184"/>
        <c:scaling>
          <c:orientation val="minMax"/>
          <c:max val="520"/>
          <c:min val="2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7259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400" b="0" i="0" u="none" strike="noStrike" baseline="0">
                <a:effectLst/>
              </a:rPr>
              <a:t>Dækningsbidrag minus arbejdsomkostninger, </a:t>
            </a:r>
            <a:r>
              <a:rPr lang="da-DK"/>
              <a:t>Kr. pr. anvendt m2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3507961136153358E-2"/>
          <c:y val="0.21492873874636639"/>
          <c:w val="0.88712934592026715"/>
          <c:h val="0.6413498715886321"/>
        </c:manualLayout>
      </c:layout>
      <c:lineChart>
        <c:grouping val="standard"/>
        <c:varyColors val="0"/>
        <c:ser>
          <c:idx val="3"/>
          <c:order val="0"/>
          <c:tx>
            <c:v>hol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hol'!$AP$184:$AP$327</c:f>
              <c:numCache>
                <c:formatCode>#,##0.00</c:formatCode>
                <c:ptCount val="144"/>
                <c:pt idx="0">
                  <c:v>-14.56554691376334</c:v>
                </c:pt>
                <c:pt idx="1">
                  <c:v>-12.721116201700656</c:v>
                </c:pt>
                <c:pt idx="2">
                  <c:v>-10.939449337770034</c:v>
                </c:pt>
                <c:pt idx="3">
                  <c:v>-9.2197159856134601</c:v>
                </c:pt>
                <c:pt idx="4">
                  <c:v>-7.5611203383044669</c:v>
                </c:pt>
                <c:pt idx="5">
                  <c:v>-5.9628995694375355</c:v>
                </c:pt>
                <c:pt idx="6">
                  <c:v>-4.4346337243116078</c:v>
                </c:pt>
                <c:pt idx="7">
                  <c:v>-2.9651212324359668</c:v>
                </c:pt>
                <c:pt idx="8">
                  <c:v>-1.5536971710581364</c:v>
                </c:pt>
                <c:pt idx="9">
                  <c:v>-0.19972389644478142</c:v>
                </c:pt>
                <c:pt idx="10">
                  <c:v>1.0974101429176957</c:v>
                </c:pt>
                <c:pt idx="11">
                  <c:v>2.3284409006479967</c:v>
                </c:pt>
                <c:pt idx="12">
                  <c:v>3.503939857808088</c:v>
                </c:pt>
                <c:pt idx="13">
                  <c:v>4.6244404164619421</c:v>
                </c:pt>
                <c:pt idx="14">
                  <c:v>5.6904542933086564</c:v>
                </c:pt>
                <c:pt idx="15">
                  <c:v>6.7024724392909345</c:v>
                </c:pt>
                <c:pt idx="16">
                  <c:v>7.6609659161684078</c:v>
                </c:pt>
                <c:pt idx="17">
                  <c:v>8.5569266262718884</c:v>
                </c:pt>
                <c:pt idx="18">
                  <c:v>9.4003757564849213</c:v>
                </c:pt>
                <c:pt idx="19">
                  <c:v>10.191724150448485</c:v>
                </c:pt>
                <c:pt idx="20">
                  <c:v>10.93136605017904</c:v>
                </c:pt>
                <c:pt idx="21">
                  <c:v>11.619679783655464</c:v>
                </c:pt>
                <c:pt idx="22">
                  <c:v>12.257028421815404</c:v>
                </c:pt>
                <c:pt idx="23">
                  <c:v>12.834539024555299</c:v>
                </c:pt>
                <c:pt idx="24">
                  <c:v>13.648344010388623</c:v>
                </c:pt>
                <c:pt idx="25">
                  <c:v>14.501054534812607</c:v>
                </c:pt>
                <c:pt idx="26">
                  <c:v>15.299341070366275</c:v>
                </c:pt>
                <c:pt idx="27">
                  <c:v>16.044120686014978</c:v>
                </c:pt>
                <c:pt idx="28">
                  <c:v>16.727158005053983</c:v>
                </c:pt>
                <c:pt idx="29">
                  <c:v>17.358545002257166</c:v>
                </c:pt>
                <c:pt idx="30">
                  <c:v>17.939135706807569</c:v>
                </c:pt>
                <c:pt idx="31">
                  <c:v>18.469766018141893</c:v>
                </c:pt>
                <c:pt idx="32">
                  <c:v>18.951254362194572</c:v>
                </c:pt>
                <c:pt idx="33">
                  <c:v>19.384402319263607</c:v>
                </c:pt>
                <c:pt idx="34">
                  <c:v>19.760870068148211</c:v>
                </c:pt>
                <c:pt idx="35">
                  <c:v>20.090616570099321</c:v>
                </c:pt>
                <c:pt idx="36">
                  <c:v>20.374392887400084</c:v>
                </c:pt>
                <c:pt idx="37">
                  <c:v>20.612935586045591</c:v>
                </c:pt>
                <c:pt idx="38">
                  <c:v>20.806967237959913</c:v>
                </c:pt>
                <c:pt idx="39">
                  <c:v>20.957196902239964</c:v>
                </c:pt>
                <c:pt idx="40">
                  <c:v>534.82917266690413</c:v>
                </c:pt>
                <c:pt idx="41">
                  <c:v>537.88632874643463</c:v>
                </c:pt>
                <c:pt idx="42">
                  <c:v>540.90301460767171</c:v>
                </c:pt>
                <c:pt idx="43">
                  <c:v>543.8797607263715</c:v>
                </c:pt>
                <c:pt idx="44">
                  <c:v>546.81708960585013</c:v>
                </c:pt>
                <c:pt idx="45">
                  <c:v>549.71551615476062</c:v>
                </c:pt>
                <c:pt idx="46">
                  <c:v>552.57554805031475</c:v>
                </c:pt>
                <c:pt idx="47">
                  <c:v>555.39768608757572</c:v>
                </c:pt>
                <c:pt idx="48">
                  <c:v>558.18242451541983</c:v>
                </c:pt>
                <c:pt idx="49">
                  <c:v>560.92075937582558</c:v>
                </c:pt>
                <c:pt idx="50">
                  <c:v>563.62269386189701</c:v>
                </c:pt>
                <c:pt idx="51">
                  <c:v>566.28870196765183</c:v>
                </c:pt>
                <c:pt idx="52">
                  <c:v>568.91925242452123</c:v>
                </c:pt>
                <c:pt idx="53">
                  <c:v>571.51480897689044</c:v>
                </c:pt>
                <c:pt idx="54">
                  <c:v>574.07583064741652</c:v>
                </c:pt>
                <c:pt idx="55">
                  <c:v>576.60277199259463</c:v>
                </c:pt>
                <c:pt idx="56">
                  <c:v>579.0960833489363</c:v>
                </c:pt>
                <c:pt idx="57">
                  <c:v>581.55621107018567</c:v>
                </c:pt>
                <c:pt idx="58">
                  <c:v>583.98359775591302</c:v>
                </c:pt>
                <c:pt idx="59">
                  <c:v>586.37868247185645</c:v>
                </c:pt>
                <c:pt idx="60">
                  <c:v>588.7318888186885</c:v>
                </c:pt>
                <c:pt idx="61">
                  <c:v>591.05367267357769</c:v>
                </c:pt>
                <c:pt idx="62">
                  <c:v>593.34446171201034</c:v>
                </c:pt>
                <c:pt idx="63">
                  <c:v>595.60468092791052</c:v>
                </c:pt>
                <c:pt idx="64">
                  <c:v>597.83475281608423</c:v>
                </c:pt>
                <c:pt idx="65">
                  <c:v>600.03509754824654</c:v>
                </c:pt>
                <c:pt idx="66">
                  <c:v>602.20613314291734</c:v>
                </c:pt>
                <c:pt idx="67">
                  <c:v>604.34827562937824</c:v>
                </c:pt>
                <c:pt idx="68">
                  <c:v>605.92293496902141</c:v>
                </c:pt>
                <c:pt idx="69">
                  <c:v>605.31968562548309</c:v>
                </c:pt>
                <c:pt idx="70">
                  <c:v>604.72487970536508</c:v>
                </c:pt>
                <c:pt idx="71">
                  <c:v>604.09967875615553</c:v>
                </c:pt>
                <c:pt idx="72">
                  <c:v>603.44455190049155</c:v>
                </c:pt>
                <c:pt idx="73">
                  <c:v>602.75996991666216</c:v>
                </c:pt>
                <c:pt idx="74">
                  <c:v>602.04640521078909</c:v>
                </c:pt>
                <c:pt idx="75">
                  <c:v>601.3043317891777</c:v>
                </c:pt>
                <c:pt idx="76">
                  <c:v>600.53422523082463</c:v>
                </c:pt>
                <c:pt idx="77">
                  <c:v>599.7365626601412</c:v>
                </c:pt>
                <c:pt idx="78">
                  <c:v>598.91182271985838</c:v>
                </c:pt>
                <c:pt idx="79">
                  <c:v>598.06048554415725</c:v>
                </c:pt>
                <c:pt idx="80">
                  <c:v>597.1830327320572</c:v>
                </c:pt>
                <c:pt idx="81">
                  <c:v>596.27994732101718</c:v>
                </c:pt>
                <c:pt idx="82">
                  <c:v>595.35171376083144</c:v>
                </c:pt>
                <c:pt idx="83">
                  <c:v>594.39881788777757</c:v>
                </c:pt>
                <c:pt idx="84">
                  <c:v>593.42174689907688</c:v>
                </c:pt>
                <c:pt idx="85">
                  <c:v>592.21467131113559</c:v>
                </c:pt>
                <c:pt idx="86">
                  <c:v>590.28552443382762</c:v>
                </c:pt>
                <c:pt idx="87">
                  <c:v>588.33968233039559</c:v>
                </c:pt>
                <c:pt idx="88">
                  <c:v>586.37726799375378</c:v>
                </c:pt>
                <c:pt idx="89">
                  <c:v>584.39840771886622</c:v>
                </c:pt>
                <c:pt idx="90">
                  <c:v>582.40323103881099</c:v>
                </c:pt>
                <c:pt idx="91">
                  <c:v>580.39187066259979</c:v>
                </c:pt>
                <c:pt idx="92">
                  <c:v>578.36446241480917</c:v>
                </c:pt>
                <c:pt idx="93">
                  <c:v>576.32114517682101</c:v>
                </c:pt>
                <c:pt idx="94">
                  <c:v>574.26206082974852</c:v>
                </c:pt>
                <c:pt idx="95">
                  <c:v>572.18735419888355</c:v>
                </c:pt>
                <c:pt idx="96">
                  <c:v>570.09717299968247</c:v>
                </c:pt>
                <c:pt idx="97">
                  <c:v>567.99166778521692</c:v>
                </c:pt>
                <c:pt idx="98">
                  <c:v>565.87099189502442</c:v>
                </c:pt>
                <c:pt idx="99">
                  <c:v>563.73530140532284</c:v>
                </c:pt>
                <c:pt idx="100">
                  <c:v>561.58475508056063</c:v>
                </c:pt>
                <c:pt idx="101">
                  <c:v>559.41951432622864</c:v>
                </c:pt>
                <c:pt idx="102">
                  <c:v>557.23974314290808</c:v>
                </c:pt>
                <c:pt idx="103">
                  <c:v>555.04560808151621</c:v>
                </c:pt>
                <c:pt idx="104">
                  <c:v>552.84866045782269</c:v>
                </c:pt>
                <c:pt idx="105">
                  <c:v>550.63763176548923</c:v>
                </c:pt>
                <c:pt idx="106">
                  <c:v>548.41269530022134</c:v>
                </c:pt>
                <c:pt idx="107">
                  <c:v>546.17402675214817</c:v>
                </c:pt>
                <c:pt idx="108">
                  <c:v>543.92180416619385</c:v>
                </c:pt>
                <c:pt idx="109">
                  <c:v>541.65620790343837</c:v>
                </c:pt>
                <c:pt idx="110">
                  <c:v>539.37742060343089</c:v>
                </c:pt>
                <c:pt idx="111">
                  <c:v>537.08562714742527</c:v>
                </c:pt>
                <c:pt idx="112">
                  <c:v>534.78101462250186</c:v>
                </c:pt>
                <c:pt idx="113">
                  <c:v>532.46377228659355</c:v>
                </c:pt>
                <c:pt idx="114">
                  <c:v>530.14533090942984</c:v>
                </c:pt>
                <c:pt idx="115">
                  <c:v>527.81457814132455</c:v>
                </c:pt>
                <c:pt idx="116">
                  <c:v>525.47170904625034</c:v>
                </c:pt>
                <c:pt idx="117">
                  <c:v>523.11692073607003</c:v>
                </c:pt>
                <c:pt idx="118">
                  <c:v>520.75041233930483</c:v>
                </c:pt>
                <c:pt idx="119">
                  <c:v>518.37238497062151</c:v>
                </c:pt>
                <c:pt idx="120">
                  <c:v>515.98304170102131</c:v>
                </c:pt>
                <c:pt idx="121">
                  <c:v>513.58258752871461</c:v>
                </c:pt>
                <c:pt idx="122">
                  <c:v>511.18227977662514</c:v>
                </c:pt>
                <c:pt idx="123">
                  <c:v>508.77120479998803</c:v>
                </c:pt>
                <c:pt idx="124">
                  <c:v>506.349572793645</c:v>
                </c:pt>
                <c:pt idx="125">
                  <c:v>503.91759577667699</c:v>
                </c:pt>
                <c:pt idx="126">
                  <c:v>501.47548756628919</c:v>
                </c:pt>
                <c:pt idx="127">
                  <c:v>499.02346375220418</c:v>
                </c:pt>
                <c:pt idx="128">
                  <c:v>496.56174167169809</c:v>
                </c:pt>
                <c:pt idx="129">
                  <c:v>494.10138125628617</c:v>
                </c:pt>
                <c:pt idx="130">
                  <c:v>491.63168641606262</c:v>
                </c:pt>
                <c:pt idx="131">
                  <c:v>489.15287923121628</c:v>
                </c:pt>
                <c:pt idx="132">
                  <c:v>486.66518344061677</c:v>
                </c:pt>
                <c:pt idx="133">
                  <c:v>484.16882441924719</c:v>
                </c:pt>
                <c:pt idx="134">
                  <c:v>481.66402915615834</c:v>
                </c:pt>
                <c:pt idx="135">
                  <c:v>479.16165917694372</c:v>
                </c:pt>
                <c:pt idx="136">
                  <c:v>476.65123288386491</c:v>
                </c:pt>
                <c:pt idx="137">
                  <c:v>474.13298166828235</c:v>
                </c:pt>
                <c:pt idx="138">
                  <c:v>471.60713845688525</c:v>
                </c:pt>
                <c:pt idx="139">
                  <c:v>469.07393769174826</c:v>
                </c:pt>
                <c:pt idx="140">
                  <c:v>466.53361531076428</c:v>
                </c:pt>
                <c:pt idx="141">
                  <c:v>463.9968124612314</c:v>
                </c:pt>
                <c:pt idx="142">
                  <c:v>461.45328295183026</c:v>
                </c:pt>
                <c:pt idx="143">
                  <c:v>458.90326681986585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6-47A2-B3A3-75E1CEF195F6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kry tyr'!$AP$184:$AP$327</c:f>
              <c:numCache>
                <c:formatCode>#,##0.00</c:formatCode>
                <c:ptCount val="144"/>
                <c:pt idx="0">
                  <c:v>141.94139861886705</c:v>
                </c:pt>
                <c:pt idx="1">
                  <c:v>146.32333931714322</c:v>
                </c:pt>
                <c:pt idx="2">
                  <c:v>150.5858353095966</c:v>
                </c:pt>
                <c:pt idx="3">
                  <c:v>154.73074836554596</c:v>
                </c:pt>
                <c:pt idx="4">
                  <c:v>158.74956361955401</c:v>
                </c:pt>
                <c:pt idx="5">
                  <c:v>162.65448742226295</c:v>
                </c:pt>
                <c:pt idx="6">
                  <c:v>166.44716089176151</c:v>
                </c:pt>
                <c:pt idx="7">
                  <c:v>170.11913461049289</c:v>
                </c:pt>
                <c:pt idx="8">
                  <c:v>173.68211173035431</c:v>
                </c:pt>
                <c:pt idx="9">
                  <c:v>177.13754070076462</c:v>
                </c:pt>
                <c:pt idx="10">
                  <c:v>180.48681377199065</c:v>
                </c:pt>
                <c:pt idx="11">
                  <c:v>183.72150584480644</c:v>
                </c:pt>
                <c:pt idx="12">
                  <c:v>186.85280111740954</c:v>
                </c:pt>
                <c:pt idx="13">
                  <c:v>189.88193011959686</c:v>
                </c:pt>
                <c:pt idx="14">
                  <c:v>192.81007621059703</c:v>
                </c:pt>
                <c:pt idx="15">
                  <c:v>195.62877000379461</c:v>
                </c:pt>
                <c:pt idx="16">
                  <c:v>198.34882309961785</c:v>
                </c:pt>
                <c:pt idx="17">
                  <c:v>200.97128253799838</c:v>
                </c:pt>
                <c:pt idx="18">
                  <c:v>203.49715561418603</c:v>
                </c:pt>
                <c:pt idx="19">
                  <c:v>205.91786306335416</c:v>
                </c:pt>
                <c:pt idx="20">
                  <c:v>208.24397362055305</c:v>
                </c:pt>
                <c:pt idx="21">
                  <c:v>210.47637924056389</c:v>
                </c:pt>
                <c:pt idx="22">
                  <c:v>212.61593827825286</c:v>
                </c:pt>
                <c:pt idx="23">
                  <c:v>214.65389921321727</c:v>
                </c:pt>
                <c:pt idx="24">
                  <c:v>216.60070352741943</c:v>
                </c:pt>
                <c:pt idx="25">
                  <c:v>218.4571116624914</c:v>
                </c:pt>
                <c:pt idx="26">
                  <c:v>220.2238555735249</c:v>
                </c:pt>
                <c:pt idx="27">
                  <c:v>221.90163983609597</c:v>
                </c:pt>
                <c:pt idx="28">
                  <c:v>223.48143809765338</c:v>
                </c:pt>
                <c:pt idx="29">
                  <c:v>224.97383652815833</c:v>
                </c:pt>
                <c:pt idx="30">
                  <c:v>226.38035485852743</c:v>
                </c:pt>
                <c:pt idx="31">
                  <c:v>227.7026578353439</c:v>
                </c:pt>
                <c:pt idx="32">
                  <c:v>228.93247293431429</c:v>
                </c:pt>
                <c:pt idx="33">
                  <c:v>710.7161821777521</c:v>
                </c:pt>
                <c:pt idx="34">
                  <c:v>715.53895270254247</c:v>
                </c:pt>
                <c:pt idx="35">
                  <c:v>720.28441538694733</c:v>
                </c:pt>
                <c:pt idx="36">
                  <c:v>724.95391141914956</c:v>
                </c:pt>
                <c:pt idx="37">
                  <c:v>729.53854449960909</c:v>
                </c:pt>
                <c:pt idx="38">
                  <c:v>734.04984198737702</c:v>
                </c:pt>
                <c:pt idx="39">
                  <c:v>738.53862353677187</c:v>
                </c:pt>
                <c:pt idx="40">
                  <c:v>743.23661116394123</c:v>
                </c:pt>
                <c:pt idx="41">
                  <c:v>747.84403911410175</c:v>
                </c:pt>
                <c:pt idx="42">
                  <c:v>752.36242774514244</c:v>
                </c:pt>
                <c:pt idx="43">
                  <c:v>756.78260001353408</c:v>
                </c:pt>
                <c:pt idx="44">
                  <c:v>761.11670931584047</c:v>
                </c:pt>
                <c:pt idx="45">
                  <c:v>765.36620674650828</c:v>
                </c:pt>
                <c:pt idx="46">
                  <c:v>769.5325230187367</c:v>
                </c:pt>
                <c:pt idx="47">
                  <c:v>773.61706922610927</c:v>
                </c:pt>
                <c:pt idx="48">
                  <c:v>777.62123757407778</c:v>
                </c:pt>
                <c:pt idx="49">
                  <c:v>781.53516189978779</c:v>
                </c:pt>
                <c:pt idx="50">
                  <c:v>785.3714295728754</c:v>
                </c:pt>
                <c:pt idx="51">
                  <c:v>789.13137760453719</c:v>
                </c:pt>
                <c:pt idx="52">
                  <c:v>792.46920369145198</c:v>
                </c:pt>
                <c:pt idx="53">
                  <c:v>794.82384331535673</c:v>
                </c:pt>
                <c:pt idx="54">
                  <c:v>797.1049023732927</c:v>
                </c:pt>
                <c:pt idx="55">
                  <c:v>799.31368471587734</c:v>
                </c:pt>
                <c:pt idx="56">
                  <c:v>801.45147840133347</c:v>
                </c:pt>
                <c:pt idx="57">
                  <c:v>803.50747284630631</c:v>
                </c:pt>
                <c:pt idx="58">
                  <c:v>805.49498605486417</c:v>
                </c:pt>
                <c:pt idx="59">
                  <c:v>807.41525921694927</c:v>
                </c:pt>
                <c:pt idx="60">
                  <c:v>809.26951957764425</c:v>
                </c:pt>
                <c:pt idx="61">
                  <c:v>811.05898084705859</c:v>
                </c:pt>
                <c:pt idx="62">
                  <c:v>812.78484496184137</c:v>
                </c:pt>
                <c:pt idx="63">
                  <c:v>814.44830572146782</c:v>
                </c:pt>
                <c:pt idx="64">
                  <c:v>816.05054950502131</c:v>
                </c:pt>
                <c:pt idx="65">
                  <c:v>817.59275547882544</c:v>
                </c:pt>
                <c:pt idx="66">
                  <c:v>819.06301007609284</c:v>
                </c:pt>
                <c:pt idx="67">
                  <c:v>820.47555905242518</c:v>
                </c:pt>
                <c:pt idx="68">
                  <c:v>821.83156366222943</c:v>
                </c:pt>
                <c:pt idx="69">
                  <c:v>823.13217864493777</c:v>
                </c:pt>
                <c:pt idx="70">
                  <c:v>824.37855239777377</c:v>
                </c:pt>
                <c:pt idx="71">
                  <c:v>825.57182714217561</c:v>
                </c:pt>
                <c:pt idx="72">
                  <c:v>826.71313908406114</c:v>
                </c:pt>
                <c:pt idx="73">
                  <c:v>827.32781766678659</c:v>
                </c:pt>
                <c:pt idx="74">
                  <c:v>825.99820578953791</c:v>
                </c:pt>
                <c:pt idx="75">
                  <c:v>824.63424843971916</c:v>
                </c:pt>
                <c:pt idx="76">
                  <c:v>823.23689054269289</c:v>
                </c:pt>
                <c:pt idx="77">
                  <c:v>821.80707384121501</c:v>
                </c:pt>
                <c:pt idx="78">
                  <c:v>820.34573695081633</c:v>
                </c:pt>
                <c:pt idx="79">
                  <c:v>818.85381541301751</c:v>
                </c:pt>
                <c:pt idx="80">
                  <c:v>817.31823451300193</c:v>
                </c:pt>
                <c:pt idx="81">
                  <c:v>815.7539702244361</c:v>
                </c:pt>
                <c:pt idx="82">
                  <c:v>814.16195085218317</c:v>
                </c:pt>
                <c:pt idx="83">
                  <c:v>812.54310178628714</c:v>
                </c:pt>
                <c:pt idx="84">
                  <c:v>810.89834554706692</c:v>
                </c:pt>
                <c:pt idx="85">
                  <c:v>809.22860182872557</c:v>
                </c:pt>
                <c:pt idx="86">
                  <c:v>807.53478754153161</c:v>
                </c:pt>
                <c:pt idx="87">
                  <c:v>805.81781685269345</c:v>
                </c:pt>
                <c:pt idx="88">
                  <c:v>804.07860122600107</c:v>
                </c:pt>
                <c:pt idx="89">
                  <c:v>802.31804946034367</c:v>
                </c:pt>
                <c:pt idx="90">
                  <c:v>800.5369516625359</c:v>
                </c:pt>
                <c:pt idx="91">
                  <c:v>798.73563258239869</c:v>
                </c:pt>
                <c:pt idx="92">
                  <c:v>796.91430242660954</c:v>
                </c:pt>
                <c:pt idx="93">
                  <c:v>795.07317327436374</c:v>
                </c:pt>
                <c:pt idx="94">
                  <c:v>793.21245905295859</c:v>
                </c:pt>
                <c:pt idx="95">
                  <c:v>791.3323755140957</c:v>
                </c:pt>
                <c:pt idx="96">
                  <c:v>789.43314021085803</c:v>
                </c:pt>
                <c:pt idx="97">
                  <c:v>787.51497247534996</c:v>
                </c:pt>
                <c:pt idx="98">
                  <c:v>785.57809339698008</c:v>
                </c:pt>
                <c:pt idx="99">
                  <c:v>783.62272580133106</c:v>
                </c:pt>
                <c:pt idx="100">
                  <c:v>781.64909422965491</c:v>
                </c:pt>
                <c:pt idx="101">
                  <c:v>779.65742491887681</c:v>
                </c:pt>
                <c:pt idx="102">
                  <c:v>777.64794578218994</c:v>
                </c:pt>
                <c:pt idx="103">
                  <c:v>775.62088639014257</c:v>
                </c:pt>
                <c:pt idx="104">
                  <c:v>773.57647795223909</c:v>
                </c:pt>
                <c:pt idx="105">
                  <c:v>771.51495329901843</c:v>
                </c:pt>
                <c:pt idx="106">
                  <c:v>769.43654686458933</c:v>
                </c:pt>
                <c:pt idx="107">
                  <c:v>767.35558376512915</c:v>
                </c:pt>
                <c:pt idx="108">
                  <c:v>765.25812279964998</c:v>
                </c:pt>
                <c:pt idx="109">
                  <c:v>763.14440231845265</c:v>
                </c:pt>
                <c:pt idx="110">
                  <c:v>760.50008307511894</c:v>
                </c:pt>
                <c:pt idx="111">
                  <c:v>757.28877184562748</c:v>
                </c:pt>
                <c:pt idx="112">
                  <c:v>754.06870082001456</c:v>
                </c:pt>
                <c:pt idx="113">
                  <c:v>750.84005265098654</c:v>
                </c:pt>
                <c:pt idx="114">
                  <c:v>747.60301185961407</c:v>
                </c:pt>
                <c:pt idx="115">
                  <c:v>744.3577648031719</c:v>
                </c:pt>
                <c:pt idx="116">
                  <c:v>741.10449964379779</c:v>
                </c:pt>
                <c:pt idx="117">
                  <c:v>737.84340631794032</c:v>
                </c:pt>
                <c:pt idx="118">
                  <c:v>734.57467650657782</c:v>
                </c:pt>
                <c:pt idx="119">
                  <c:v>731.29850360618525</c:v>
                </c:pt>
                <c:pt idx="120">
                  <c:v>728.01508270039756</c:v>
                </c:pt>
                <c:pt idx="121">
                  <c:v>724.72461053238692</c:v>
                </c:pt>
                <c:pt idx="122">
                  <c:v>721.44080385761492</c:v>
                </c:pt>
                <c:pt idx="123">
                  <c:v>718.15023867749255</c:v>
                </c:pt>
                <c:pt idx="124">
                  <c:v>714.85311601308138</c:v>
                </c:pt>
                <c:pt idx="125">
                  <c:v>711.54963845002305</c:v>
                </c:pt>
                <c:pt idx="126">
                  <c:v>252.83817863891983</c:v>
                </c:pt>
                <c:pt idx="127">
                  <c:v>251.59546820693413</c:v>
                </c:pt>
                <c:pt idx="128">
                  <c:v>250.33376366520875</c:v>
                </c:pt>
                <c:pt idx="129">
                  <c:v>249.06655462336832</c:v>
                </c:pt>
                <c:pt idx="130">
                  <c:v>247.79401232630175</c:v>
                </c:pt>
                <c:pt idx="131">
                  <c:v>246.51630883109235</c:v>
                </c:pt>
                <c:pt idx="132">
                  <c:v>245.23361700263641</c:v>
                </c:pt>
                <c:pt idx="133">
                  <c:v>243.94611050927097</c:v>
                </c:pt>
                <c:pt idx="134">
                  <c:v>242.65396381837152</c:v>
                </c:pt>
                <c:pt idx="135">
                  <c:v>241.35735219195678</c:v>
                </c:pt>
                <c:pt idx="136">
                  <c:v>240.05645168225294</c:v>
                </c:pt>
                <c:pt idx="137">
                  <c:v>238.75143912727304</c:v>
                </c:pt>
                <c:pt idx="138">
                  <c:v>237.44249214634638</c:v>
                </c:pt>
                <c:pt idx="139">
                  <c:v>236.12978913566823</c:v>
                </c:pt>
                <c:pt idx="140">
                  <c:v>234.81350926379204</c:v>
                </c:pt>
                <c:pt idx="141">
                  <c:v>233.49383246712787</c:v>
                </c:pt>
                <c:pt idx="142">
                  <c:v>232.1709394454108</c:v>
                </c:pt>
                <c:pt idx="143">
                  <c:v>230.84501165714855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3-4F29-8D1D-05798B6E911D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f>'Vækstfunktion, kry kvie'!$AP$184:$AP$327</c:f>
              <c:numCache>
                <c:formatCode>#,##0.00</c:formatCode>
                <c:ptCount val="144"/>
                <c:pt idx="0">
                  <c:v>293.17681515855764</c:v>
                </c:pt>
                <c:pt idx="1">
                  <c:v>294.44648814147854</c:v>
                </c:pt>
                <c:pt idx="2">
                  <c:v>295.61483033668719</c:v>
                </c:pt>
                <c:pt idx="3">
                  <c:v>296.70760013874974</c:v>
                </c:pt>
                <c:pt idx="4">
                  <c:v>297.72577496981978</c:v>
                </c:pt>
                <c:pt idx="5">
                  <c:v>298.67031154859257</c:v>
                </c:pt>
                <c:pt idx="6">
                  <c:v>298.83384171039535</c:v>
                </c:pt>
                <c:pt idx="7">
                  <c:v>298.93431611277157</c:v>
                </c:pt>
                <c:pt idx="8">
                  <c:v>298.95244780140615</c:v>
                </c:pt>
                <c:pt idx="9">
                  <c:v>298.91054616771982</c:v>
                </c:pt>
                <c:pt idx="10">
                  <c:v>298.80969218266466</c:v>
                </c:pt>
                <c:pt idx="11">
                  <c:v>298.650935110935</c:v>
                </c:pt>
                <c:pt idx="12">
                  <c:v>298.43529390255895</c:v>
                </c:pt>
                <c:pt idx="13">
                  <c:v>298.16375851507394</c:v>
                </c:pt>
                <c:pt idx="14">
                  <c:v>297.82046284843068</c:v>
                </c:pt>
                <c:pt idx="15">
                  <c:v>297.42383366636062</c:v>
                </c:pt>
                <c:pt idx="16">
                  <c:v>296.97476917209696</c:v>
                </c:pt>
                <c:pt idx="17">
                  <c:v>296.47414363853505</c:v>
                </c:pt>
                <c:pt idx="18">
                  <c:v>295.92280842291763</c:v>
                </c:pt>
                <c:pt idx="19">
                  <c:v>295.32159293332865</c:v>
                </c:pt>
                <c:pt idx="20">
                  <c:v>294.67130554969521</c:v>
                </c:pt>
                <c:pt idx="21">
                  <c:v>293.95988286524459</c:v>
                </c:pt>
                <c:pt idx="22">
                  <c:v>293.20154186618487</c:v>
                </c:pt>
                <c:pt idx="23">
                  <c:v>292.39701956913376</c:v>
                </c:pt>
                <c:pt idx="24">
                  <c:v>291.54702506526161</c:v>
                </c:pt>
                <c:pt idx="25">
                  <c:v>290.65223975216662</c:v>
                </c:pt>
                <c:pt idx="26">
                  <c:v>289.71331843134453</c:v>
                </c:pt>
                <c:pt idx="27">
                  <c:v>288.73097588151001</c:v>
                </c:pt>
                <c:pt idx="28">
                  <c:v>287.70624205591116</c:v>
                </c:pt>
                <c:pt idx="29">
                  <c:v>286.64020239342534</c:v>
                </c:pt>
                <c:pt idx="30">
                  <c:v>285.5339128042084</c:v>
                </c:pt>
                <c:pt idx="31">
                  <c:v>284.38024744374184</c:v>
                </c:pt>
                <c:pt idx="32">
                  <c:v>283.18877504309779</c:v>
                </c:pt>
                <c:pt idx="33">
                  <c:v>281.9604531228635</c:v>
                </c:pt>
                <c:pt idx="34">
                  <c:v>280.6962141255176</c:v>
                </c:pt>
                <c:pt idx="35">
                  <c:v>279.3969662920386</c:v>
                </c:pt>
                <c:pt idx="36">
                  <c:v>700.62002439338562</c:v>
                </c:pt>
                <c:pt idx="37">
                  <c:v>702.22205748308716</c:v>
                </c:pt>
                <c:pt idx="38">
                  <c:v>703.79192182207532</c:v>
                </c:pt>
                <c:pt idx="39">
                  <c:v>705.33028199666467</c:v>
                </c:pt>
                <c:pt idx="40">
                  <c:v>706.83778539349657</c:v>
                </c:pt>
                <c:pt idx="41">
                  <c:v>708.31506290008599</c:v>
                </c:pt>
                <c:pt idx="42">
                  <c:v>709.76272957735353</c:v>
                </c:pt>
                <c:pt idx="43">
                  <c:v>711.18138530542399</c:v>
                </c:pt>
                <c:pt idx="44">
                  <c:v>712.57161540394395</c:v>
                </c:pt>
                <c:pt idx="45">
                  <c:v>713.9299887720797</c:v>
                </c:pt>
                <c:pt idx="46">
                  <c:v>715.26129147398638</c:v>
                </c:pt>
                <c:pt idx="47">
                  <c:v>716.56605778280721</c:v>
                </c:pt>
                <c:pt idx="48">
                  <c:v>717.84480994054559</c:v>
                </c:pt>
                <c:pt idx="49">
                  <c:v>719.09805865805208</c:v>
                </c:pt>
                <c:pt idx="50">
                  <c:v>720.3263035960025</c:v>
                </c:pt>
                <c:pt idx="51">
                  <c:v>721.53003382763666</c:v>
                </c:pt>
                <c:pt idx="52">
                  <c:v>722.70972828411527</c:v>
                </c:pt>
                <c:pt idx="53">
                  <c:v>723.86585618317849</c:v>
                </c:pt>
                <c:pt idx="54">
                  <c:v>724.99887744187333</c:v>
                </c:pt>
                <c:pt idx="55">
                  <c:v>726.10924307399978</c:v>
                </c:pt>
                <c:pt idx="56">
                  <c:v>727.19739557291587</c:v>
                </c:pt>
                <c:pt idx="57">
                  <c:v>728.26376928034813</c:v>
                </c:pt>
                <c:pt idx="58">
                  <c:v>729.3087907417721</c:v>
                </c:pt>
                <c:pt idx="59">
                  <c:v>730.33287904891358</c:v>
                </c:pt>
                <c:pt idx="60">
                  <c:v>731.33644616991535</c:v>
                </c:pt>
                <c:pt idx="61">
                  <c:v>732.31989726770166</c:v>
                </c:pt>
                <c:pt idx="62">
                  <c:v>733.28363100694878</c:v>
                </c:pt>
                <c:pt idx="63">
                  <c:v>734.22803985022051</c:v>
                </c:pt>
                <c:pt idx="64">
                  <c:v>735.15351034362402</c:v>
                </c:pt>
                <c:pt idx="65">
                  <c:v>736.06042339248654</c:v>
                </c:pt>
                <c:pt idx="66">
                  <c:v>736.95383761297751</c:v>
                </c:pt>
                <c:pt idx="67">
                  <c:v>737.87942123151049</c:v>
                </c:pt>
                <c:pt idx="68">
                  <c:v>738.77435388548713</c:v>
                </c:pt>
                <c:pt idx="69">
                  <c:v>739.63919959659893</c:v>
                </c:pt>
                <c:pt idx="70">
                  <c:v>740.47451476047877</c:v>
                </c:pt>
                <c:pt idx="71">
                  <c:v>740.8277093697227</c:v>
                </c:pt>
                <c:pt idx="72">
                  <c:v>739.34396059140738</c:v>
                </c:pt>
                <c:pt idx="73">
                  <c:v>737.83900942613127</c:v>
                </c:pt>
                <c:pt idx="74">
                  <c:v>736.31331491223784</c:v>
                </c:pt>
                <c:pt idx="75">
                  <c:v>734.76733119820346</c:v>
                </c:pt>
                <c:pt idx="76">
                  <c:v>733.20150768372503</c:v>
                </c:pt>
                <c:pt idx="77">
                  <c:v>731.61628915550273</c:v>
                </c:pt>
                <c:pt idx="78">
                  <c:v>730.01211591792753</c:v>
                </c:pt>
                <c:pt idx="79">
                  <c:v>728.38942391888804</c:v>
                </c:pt>
                <c:pt idx="80">
                  <c:v>726.74864487091202</c:v>
                </c:pt>
                <c:pt idx="81">
                  <c:v>725.09164780485639</c:v>
                </c:pt>
                <c:pt idx="82">
                  <c:v>723.41744302512382</c:v>
                </c:pt>
                <c:pt idx="83">
                  <c:v>721.06833214989717</c:v>
                </c:pt>
                <c:pt idx="84">
                  <c:v>718.43472309654089</c:v>
                </c:pt>
                <c:pt idx="85">
                  <c:v>715.79309871744056</c:v>
                </c:pt>
                <c:pt idx="86">
                  <c:v>713.14377664173583</c:v>
                </c:pt>
                <c:pt idx="87">
                  <c:v>710.48707135210486</c:v>
                </c:pt>
                <c:pt idx="88">
                  <c:v>707.8232476324315</c:v>
                </c:pt>
                <c:pt idx="89">
                  <c:v>705.15238152820223</c:v>
                </c:pt>
                <c:pt idx="90">
                  <c:v>702.47635129219736</c:v>
                </c:pt>
                <c:pt idx="91">
                  <c:v>699.7933979170208</c:v>
                </c:pt>
                <c:pt idx="92">
                  <c:v>697.10355273666505</c:v>
                </c:pt>
                <c:pt idx="93">
                  <c:v>694.40684642664269</c:v>
                </c:pt>
                <c:pt idx="94">
                  <c:v>691.7033090368684</c:v>
                </c:pt>
                <c:pt idx="95">
                  <c:v>688.99297002347805</c:v>
                </c:pt>
                <c:pt idx="96">
                  <c:v>686.27585827956534</c:v>
                </c:pt>
                <c:pt idx="97">
                  <c:v>683.55433573083963</c:v>
                </c:pt>
                <c:pt idx="98">
                  <c:v>680.82618156938588</c:v>
                </c:pt>
                <c:pt idx="99">
                  <c:v>678.09142834969225</c:v>
                </c:pt>
                <c:pt idx="100">
                  <c:v>675.35011401780855</c:v>
                </c:pt>
                <c:pt idx="101">
                  <c:v>672.60228252795332</c:v>
                </c:pt>
                <c:pt idx="102">
                  <c:v>669.8479837134355</c:v>
                </c:pt>
                <c:pt idx="103">
                  <c:v>667.09004204684493</c:v>
                </c:pt>
                <c:pt idx="104">
                  <c:v>664.32581809190526</c:v>
                </c:pt>
                <c:pt idx="105">
                  <c:v>661.55537576754432</c:v>
                </c:pt>
                <c:pt idx="106">
                  <c:v>658.77878444317935</c:v>
                </c:pt>
                <c:pt idx="107">
                  <c:v>655.99611882523095</c:v>
                </c:pt>
                <c:pt idx="108">
                  <c:v>653.21052337378819</c:v>
                </c:pt>
                <c:pt idx="109">
                  <c:v>650.41907527575142</c:v>
                </c:pt>
                <c:pt idx="110">
                  <c:v>647.62186201039208</c:v>
                </c:pt>
                <c:pt idx="111">
                  <c:v>644.81897601730122</c:v>
                </c:pt>
                <c:pt idx="112">
                  <c:v>642.01051459619191</c:v>
                </c:pt>
                <c:pt idx="113">
                  <c:v>639.19989806816056</c:v>
                </c:pt>
                <c:pt idx="114">
                  <c:v>636.38396090193783</c:v>
                </c:pt>
                <c:pt idx="115">
                  <c:v>633.56281201792149</c:v>
                </c:pt>
                <c:pt idx="116">
                  <c:v>630.73656486432867</c:v>
                </c:pt>
                <c:pt idx="117">
                  <c:v>627.90533732842687</c:v>
                </c:pt>
                <c:pt idx="118">
                  <c:v>625.07278453076231</c:v>
                </c:pt>
                <c:pt idx="119">
                  <c:v>622.23553625195825</c:v>
                </c:pt>
                <c:pt idx="120">
                  <c:v>619.39372098485774</c:v>
                </c:pt>
                <c:pt idx="121">
                  <c:v>616.54747136714082</c:v>
                </c:pt>
                <c:pt idx="122">
                  <c:v>613.70058981509203</c:v>
                </c:pt>
                <c:pt idx="123">
                  <c:v>610.8495805738014</c:v>
                </c:pt>
                <c:pt idx="124">
                  <c:v>607.99458617631444</c:v>
                </c:pt>
                <c:pt idx="125">
                  <c:v>605.13575303241657</c:v>
                </c:pt>
                <c:pt idx="126">
                  <c:v>602.27701022668373</c:v>
                </c:pt>
                <c:pt idx="127">
                  <c:v>599.41475561906327</c:v>
                </c:pt>
                <c:pt idx="128">
                  <c:v>596.54914486854364</c:v>
                </c:pt>
                <c:pt idx="129">
                  <c:v>593.68417569984058</c:v>
                </c:pt>
                <c:pt idx="130">
                  <c:v>590.81619122499319</c:v>
                </c:pt>
                <c:pt idx="131">
                  <c:v>587.94535592324917</c:v>
                </c:pt>
                <c:pt idx="132">
                  <c:v>585.07183774389887</c:v>
                </c:pt>
                <c:pt idx="133">
                  <c:v>582.19972900592052</c:v>
                </c:pt>
                <c:pt idx="134">
                  <c:v>579.32529627697124</c:v>
                </c:pt>
                <c:pt idx="135">
                  <c:v>576.44871577494598</c:v>
                </c:pt>
                <c:pt idx="136">
                  <c:v>573.57016697750942</c:v>
                </c:pt>
                <c:pt idx="137">
                  <c:v>570.69381892150614</c:v>
                </c:pt>
                <c:pt idx="138">
                  <c:v>567.8158783703509</c:v>
                </c:pt>
                <c:pt idx="139">
                  <c:v>564.93653256574305</c:v>
                </c:pt>
                <c:pt idx="140">
                  <c:v>562.05998722634786</c:v>
                </c:pt>
                <c:pt idx="141">
                  <c:v>559.18242408101514</c:v>
                </c:pt>
                <c:pt idx="142">
                  <c:v>556.30403779950313</c:v>
                </c:pt>
                <c:pt idx="143">
                  <c:v>553.42906350009127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3-4F29-8D1D-05798B6E9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layout>
            <c:manualLayout>
              <c:xMode val="edge"/>
              <c:yMode val="edge"/>
              <c:x val="0.46126016186683672"/>
              <c:y val="0.931164733440578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'Model tilvækst, slagteform, fe'!$BC$9:$BC$375</c:f>
              <c:numCache>
                <c:formatCode>#,##0.0</c:formatCode>
                <c:ptCount val="367"/>
                <c:pt idx="0">
                  <c:v>45.437564507575317</c:v>
                </c:pt>
                <c:pt idx="1">
                  <c:v>45.609278541395319</c:v>
                </c:pt>
                <c:pt idx="2">
                  <c:v>45.800426328732641</c:v>
                </c:pt>
                <c:pt idx="3">
                  <c:v>46.010848758154729</c:v>
                </c:pt>
                <c:pt idx="4">
                  <c:v>46.240387252576461</c:v>
                </c:pt>
                <c:pt idx="5">
                  <c:v>46.488883769260148</c:v>
                </c:pt>
                <c:pt idx="6">
                  <c:v>46.756180799815468</c:v>
                </c:pt>
                <c:pt idx="7">
                  <c:v>47.042121370199567</c:v>
                </c:pt>
                <c:pt idx="8">
                  <c:v>47.346549040716994</c:v>
                </c:pt>
                <c:pt idx="9">
                  <c:v>47.669307906019732</c:v>
                </c:pt>
                <c:pt idx="10">
                  <c:v>48.010242595107165</c:v>
                </c:pt>
                <c:pt idx="11">
                  <c:v>48.369198271326113</c:v>
                </c:pt>
                <c:pt idx="12">
                  <c:v>48.746020632370801</c:v>
                </c:pt>
                <c:pt idx="13">
                  <c:v>49.140555910282885</c:v>
                </c:pt>
                <c:pt idx="14">
                  <c:v>49.552650871451441</c:v>
                </c:pt>
                <c:pt idx="15">
                  <c:v>49.98215281661296</c:v>
                </c:pt>
                <c:pt idx="16">
                  <c:v>50.428909580851382</c:v>
                </c:pt>
                <c:pt idx="17">
                  <c:v>50.892769533598013</c:v>
                </c:pt>
                <c:pt idx="18">
                  <c:v>51.373581578631608</c:v>
                </c:pt>
                <c:pt idx="19">
                  <c:v>51.871195154078364</c:v>
                </c:pt>
                <c:pt idx="20">
                  <c:v>52.385460232411873</c:v>
                </c:pt>
                <c:pt idx="21">
                  <c:v>52.916227320453132</c:v>
                </c:pt>
                <c:pt idx="22">
                  <c:v>53.463347459370603</c:v>
                </c:pt>
                <c:pt idx="23">
                  <c:v>54.026672224680134</c:v>
                </c:pt>
                <c:pt idx="24">
                  <c:v>54.606053726244994</c:v>
                </c:pt>
                <c:pt idx="25">
                  <c:v>55.201344608275896</c:v>
                </c:pt>
                <c:pt idx="26">
                  <c:v>55.812398049330952</c:v>
                </c:pt>
                <c:pt idx="27">
                  <c:v>56.439067762315716</c:v>
                </c:pt>
                <c:pt idx="28">
                  <c:v>57.081207994483108</c:v>
                </c:pt>
                <c:pt idx="29">
                  <c:v>57.738673527433548</c:v>
                </c:pt>
                <c:pt idx="30">
                  <c:v>58.411319677114818</c:v>
                </c:pt>
                <c:pt idx="31">
                  <c:v>59.09900229382216</c:v>
                </c:pt>
                <c:pt idx="32">
                  <c:v>59.801577762198185</c:v>
                </c:pt>
                <c:pt idx="33">
                  <c:v>60.518903001232971</c:v>
                </c:pt>
                <c:pt idx="34">
                  <c:v>61.250835464263993</c:v>
                </c:pt>
                <c:pt idx="35">
                  <c:v>61.997233138976156</c:v>
                </c:pt>
                <c:pt idx="36">
                  <c:v>62.757954547401788</c:v>
                </c:pt>
                <c:pt idx="37">
                  <c:v>63.53285874592062</c:v>
                </c:pt>
                <c:pt idx="38">
                  <c:v>64.321805325259831</c:v>
                </c:pt>
                <c:pt idx="39">
                  <c:v>65.124654410493989</c:v>
                </c:pt>
                <c:pt idx="40">
                  <c:v>65.94126666104512</c:v>
                </c:pt>
                <c:pt idx="41">
                  <c:v>66.771503270682615</c:v>
                </c:pt>
                <c:pt idx="42">
                  <c:v>67.615225967523358</c:v>
                </c:pt>
                <c:pt idx="43">
                  <c:v>68.472297014031568</c:v>
                </c:pt>
                <c:pt idx="44">
                  <c:v>69.342579207018957</c:v>
                </c:pt>
                <c:pt idx="45">
                  <c:v>70.225935877644659</c:v>
                </c:pt>
                <c:pt idx="46">
                  <c:v>71.122230891415143</c:v>
                </c:pt>
                <c:pt idx="47">
                  <c:v>72.031328648184385</c:v>
                </c:pt>
                <c:pt idx="48">
                  <c:v>72.953094082153768</c:v>
                </c:pt>
                <c:pt idx="49">
                  <c:v>73.887392661872042</c:v>
                </c:pt>
                <c:pt idx="50">
                  <c:v>74.83409039023546</c:v>
                </c:pt>
                <c:pt idx="51">
                  <c:v>75.793053804487585</c:v>
                </c:pt>
                <c:pt idx="52">
                  <c:v>76.764149976219542</c:v>
                </c:pt>
                <c:pt idx="53">
                  <c:v>77.747246511369738</c:v>
                </c:pt>
                <c:pt idx="54">
                  <c:v>78.742211550224113</c:v>
                </c:pt>
                <c:pt idx="55">
                  <c:v>79.748913767415914</c:v>
                </c:pt>
                <c:pt idx="56">
                  <c:v>80.767222371925925</c:v>
                </c:pt>
                <c:pt idx="57">
                  <c:v>81.79700710708228</c:v>
                </c:pt>
                <c:pt idx="58">
                  <c:v>82.838138250560576</c:v>
                </c:pt>
                <c:pt idx="59">
                  <c:v>83.890486614383747</c:v>
                </c:pt>
                <c:pt idx="60">
                  <c:v>84.953923544922233</c:v>
                </c:pt>
                <c:pt idx="61">
                  <c:v>86.028320922893855</c:v>
                </c:pt>
                <c:pt idx="62">
                  <c:v>87.113551163363894</c:v>
                </c:pt>
                <c:pt idx="63">
                  <c:v>88.209487215744986</c:v>
                </c:pt>
                <c:pt idx="64">
                  <c:v>89.316002563797269</c:v>
                </c:pt>
                <c:pt idx="65">
                  <c:v>90.432971225628208</c:v>
                </c:pt>
                <c:pt idx="66">
                  <c:v>91.560267753692756</c:v>
                </c:pt>
                <c:pt idx="67">
                  <c:v>92.697767234793275</c:v>
                </c:pt>
                <c:pt idx="68">
                  <c:v>93.84534529007955</c:v>
                </c:pt>
                <c:pt idx="69">
                  <c:v>95.002878075048741</c:v>
                </c:pt>
                <c:pt idx="70">
                  <c:v>96.170242279545477</c:v>
                </c:pt>
                <c:pt idx="71">
                  <c:v>97.347315127761803</c:v>
                </c:pt>
                <c:pt idx="72">
                  <c:v>98.533974378237176</c:v>
                </c:pt>
                <c:pt idx="73">
                  <c:v>99.730098323858456</c:v>
                </c:pt>
                <c:pt idx="74">
                  <c:v>100.93556579185996</c:v>
                </c:pt>
                <c:pt idx="75">
                  <c:v>102.15025614382337</c:v>
                </c:pt>
                <c:pt idx="76">
                  <c:v>103.37404927567788</c:v>
                </c:pt>
                <c:pt idx="77">
                  <c:v>104.60682561769997</c:v>
                </c:pt>
                <c:pt idx="78">
                  <c:v>105.8484661345137</c:v>
                </c:pt>
                <c:pt idx="79">
                  <c:v>107.09885232509042</c:v>
                </c:pt>
                <c:pt idx="80">
                  <c:v>108.35786622274895</c:v>
                </c:pt>
                <c:pt idx="81">
                  <c:v>109.62539039515553</c:v>
                </c:pt>
                <c:pt idx="82">
                  <c:v>110.90130794432383</c:v>
                </c:pt>
                <c:pt idx="83">
                  <c:v>112.18550250661495</c:v>
                </c:pt>
                <c:pt idx="84">
                  <c:v>113.47785825273736</c:v>
                </c:pt>
                <c:pt idx="85">
                  <c:v>114.77825988774698</c:v>
                </c:pt>
                <c:pt idx="86">
                  <c:v>116.08659265104716</c:v>
                </c:pt>
                <c:pt idx="87">
                  <c:v>117.40274231638865</c:v>
                </c:pt>
                <c:pt idx="88">
                  <c:v>118.72659519186966</c:v>
                </c:pt>
                <c:pt idx="89">
                  <c:v>120.05803811993576</c:v>
                </c:pt>
                <c:pt idx="90">
                  <c:v>121.39695847737997</c:v>
                </c:pt>
                <c:pt idx="91">
                  <c:v>122.74324417534277</c:v>
                </c:pt>
                <c:pt idx="92">
                  <c:v>124.09678365931201</c:v>
                </c:pt>
                <c:pt idx="93">
                  <c:v>125.45746590912294</c:v>
                </c:pt>
                <c:pt idx="94">
                  <c:v>126.8251804389583</c:v>
                </c:pt>
                <c:pt idx="95">
                  <c:v>128.1998172973482</c:v>
                </c:pt>
                <c:pt idx="96">
                  <c:v>129.58126706717019</c:v>
                </c:pt>
                <c:pt idx="97">
                  <c:v>130.96942086564923</c:v>
                </c:pt>
                <c:pt idx="98">
                  <c:v>132.36417034435772</c:v>
                </c:pt>
                <c:pt idx="99">
                  <c:v>133.76540768921541</c:v>
                </c:pt>
                <c:pt idx="100">
                  <c:v>135.17302562048962</c:v>
                </c:pt>
                <c:pt idx="101">
                  <c:v>136.58691739279493</c:v>
                </c:pt>
                <c:pt idx="102">
                  <c:v>138.00697679509341</c:v>
                </c:pt>
                <c:pt idx="103">
                  <c:v>139.43309815069458</c:v>
                </c:pt>
                <c:pt idx="104">
                  <c:v>140.86517631725528</c:v>
                </c:pt>
                <c:pt idx="105">
                  <c:v>142.3031066867799</c:v>
                </c:pt>
                <c:pt idx="106">
                  <c:v>143.74678518562021</c:v>
                </c:pt>
                <c:pt idx="107">
                  <c:v>145.19610827447534</c:v>
                </c:pt>
                <c:pt idx="108">
                  <c:v>146.65097294839182</c:v>
                </c:pt>
                <c:pt idx="109">
                  <c:v>148.11127673676378</c:v>
                </c:pt>
                <c:pt idx="110">
                  <c:v>149.57691770333258</c:v>
                </c:pt>
                <c:pt idx="111">
                  <c:v>151.04779444618705</c:v>
                </c:pt>
                <c:pt idx="112">
                  <c:v>152.5238060977635</c:v>
                </c:pt>
                <c:pt idx="113">
                  <c:v>154.00485232484559</c:v>
                </c:pt>
                <c:pt idx="114">
                  <c:v>155.49083332856449</c:v>
                </c:pt>
                <c:pt idx="115">
                  <c:v>156.98164984439867</c:v>
                </c:pt>
                <c:pt idx="116">
                  <c:v>158.47720314217412</c:v>
                </c:pt>
                <c:pt idx="117">
                  <c:v>159.97739502606416</c:v>
                </c:pt>
                <c:pt idx="118">
                  <c:v>161.48212783458962</c:v>
                </c:pt>
                <c:pt idx="119">
                  <c:v>162.99130444061876</c:v>
                </c:pt>
                <c:pt idx="120">
                  <c:v>164.50482825136714</c:v>
                </c:pt>
                <c:pt idx="121">
                  <c:v>166.02260320839787</c:v>
                </c:pt>
                <c:pt idx="122">
                  <c:v>167.54453378762133</c:v>
                </c:pt>
                <c:pt idx="123">
                  <c:v>169.07052499929551</c:v>
                </c:pt>
                <c:pt idx="124">
                  <c:v>170.60048238802568</c:v>
                </c:pt>
                <c:pt idx="125">
                  <c:v>172.13431203276463</c:v>
                </c:pt>
                <c:pt idx="126">
                  <c:v>173.67192054681243</c:v>
                </c:pt>
                <c:pt idx="127">
                  <c:v>175.21321507781673</c:v>
                </c:pt>
                <c:pt idx="128">
                  <c:v>176.75810330777244</c:v>
                </c:pt>
                <c:pt idx="129">
                  <c:v>178.30649345302206</c:v>
                </c:pt>
                <c:pt idx="130">
                  <c:v>179.85829426425539</c:v>
                </c:pt>
                <c:pt idx="131">
                  <c:v>181.41341502650971</c:v>
                </c:pt>
                <c:pt idx="132">
                  <c:v>182.97176555916974</c:v>
                </c:pt>
                <c:pt idx="133">
                  <c:v>184.53325621596741</c:v>
                </c:pt>
                <c:pt idx="134">
                  <c:v>186.09779788498238</c:v>
                </c:pt>
                <c:pt idx="135">
                  <c:v>187.66530198864163</c:v>
                </c:pt>
                <c:pt idx="136">
                  <c:v>189.23568048371939</c:v>
                </c:pt>
                <c:pt idx="137">
                  <c:v>190.80884586133752</c:v>
                </c:pt>
                <c:pt idx="138">
                  <c:v>192.38471114696512</c:v>
                </c:pt>
                <c:pt idx="139">
                  <c:v>193.963189900419</c:v>
                </c:pt>
                <c:pt idx="140">
                  <c:v>195.54419621586302</c:v>
                </c:pt>
                <c:pt idx="141">
                  <c:v>197.12764472180874</c:v>
                </c:pt>
                <c:pt idx="142">
                  <c:v>198.71345058111498</c:v>
                </c:pt>
                <c:pt idx="143">
                  <c:v>200.30152949098812</c:v>
                </c:pt>
                <c:pt idx="144">
                  <c:v>201.8917976829818</c:v>
                </c:pt>
                <c:pt idx="145">
                  <c:v>203.48417192299715</c:v>
                </c:pt>
                <c:pt idx="146">
                  <c:v>205.07856951128284</c:v>
                </c:pt>
                <c:pt idx="147">
                  <c:v>206.67490828243476</c:v>
                </c:pt>
                <c:pt idx="148">
                  <c:v>208.27310660539641</c:v>
                </c:pt>
                <c:pt idx="149">
                  <c:v>209.87308338345852</c:v>
                </c:pt>
                <c:pt idx="150">
                  <c:v>211.47475805425935</c:v>
                </c:pt>
                <c:pt idx="151">
                  <c:v>213.07805058978457</c:v>
                </c:pt>
                <c:pt idx="152">
                  <c:v>214.68288149636732</c:v>
                </c:pt>
                <c:pt idx="153">
                  <c:v>216.28917181468802</c:v>
                </c:pt>
                <c:pt idx="154">
                  <c:v>217.89684311977462</c:v>
                </c:pt>
                <c:pt idx="155">
                  <c:v>219.50581752100248</c:v>
                </c:pt>
                <c:pt idx="156">
                  <c:v>221.11601766209438</c:v>
                </c:pt>
                <c:pt idx="157">
                  <c:v>222.72736672112049</c:v>
                </c:pt>
                <c:pt idx="158">
                  <c:v>224.33978841049844</c:v>
                </c:pt>
                <c:pt idx="159">
                  <c:v>225.95320697699321</c:v>
                </c:pt>
                <c:pt idx="160">
                  <c:v>227.56754720171733</c:v>
                </c:pt>
                <c:pt idx="161">
                  <c:v>229.18273440013056</c:v>
                </c:pt>
                <c:pt idx="162">
                  <c:v>230.79869442204037</c:v>
                </c:pt>
                <c:pt idx="163">
                  <c:v>232.41535365160112</c:v>
                </c:pt>
                <c:pt idx="164">
                  <c:v>234.03263900731528</c:v>
                </c:pt>
                <c:pt idx="165">
                  <c:v>235.65047794203232</c:v>
                </c:pt>
                <c:pt idx="166">
                  <c:v>237.26879844294916</c:v>
                </c:pt>
                <c:pt idx="167">
                  <c:v>238.88752903161017</c:v>
                </c:pt>
                <c:pt idx="168">
                  <c:v>240.50659876390722</c:v>
                </c:pt>
                <c:pt idx="169">
                  <c:v>242.1259372300795</c:v>
                </c:pt>
                <c:pt idx="170">
                  <c:v>243.74547455471367</c:v>
                </c:pt>
                <c:pt idx="171">
                  <c:v>245.36514139674384</c:v>
                </c:pt>
                <c:pt idx="172">
                  <c:v>246.98486894945145</c:v>
                </c:pt>
                <c:pt idx="173">
                  <c:v>248.60458894046539</c:v>
                </c:pt>
                <c:pt idx="174">
                  <c:v>250.22423363176213</c:v>
                </c:pt>
                <c:pt idx="175">
                  <c:v>251.84373581966528</c:v>
                </c:pt>
                <c:pt idx="176">
                  <c:v>253.46302883484606</c:v>
                </c:pt>
                <c:pt idx="177">
                  <c:v>255.08204654232304</c:v>
                </c:pt>
                <c:pt idx="178">
                  <c:v>256.70072334146232</c:v>
                </c:pt>
                <c:pt idx="179">
                  <c:v>258.31899416597724</c:v>
                </c:pt>
                <c:pt idx="180">
                  <c:v>259.93679448392868</c:v>
                </c:pt>
                <c:pt idx="181">
                  <c:v>261.55406029772496</c:v>
                </c:pt>
                <c:pt idx="182">
                  <c:v>263.17072814412171</c:v>
                </c:pt>
                <c:pt idx="183">
                  <c:v>264.78673509422214</c:v>
                </c:pt>
                <c:pt idx="184">
                  <c:v>266.4020187534768</c:v>
                </c:pt>
                <c:pt idx="185">
                  <c:v>268.01651726168336</c:v>
                </c:pt>
                <c:pt idx="186">
                  <c:v>269.63016929298755</c:v>
                </c:pt>
                <c:pt idx="187">
                  <c:v>271.24291405588201</c:v>
                </c:pt>
                <c:pt idx="188">
                  <c:v>272.854691293207</c:v>
                </c:pt>
                <c:pt idx="189">
                  <c:v>274.4654412821501</c:v>
                </c:pt>
                <c:pt idx="190">
                  <c:v>276.07510483424636</c:v>
                </c:pt>
                <c:pt idx="191">
                  <c:v>277.68362329537837</c:v>
                </c:pt>
                <c:pt idx="192">
                  <c:v>279.29093854577599</c:v>
                </c:pt>
                <c:pt idx="193">
                  <c:v>280.89699300001649</c:v>
                </c:pt>
                <c:pt idx="194">
                  <c:v>282.50172960702463</c:v>
                </c:pt>
                <c:pt idx="195">
                  <c:v>284.1050918500726</c:v>
                </c:pt>
                <c:pt idx="196">
                  <c:v>285.7070237467799</c:v>
                </c:pt>
                <c:pt idx="197">
                  <c:v>287.3074698491136</c:v>
                </c:pt>
                <c:pt idx="198">
                  <c:v>288.90637524338814</c:v>
                </c:pt>
                <c:pt idx="199">
                  <c:v>290.50368555026535</c:v>
                </c:pt>
                <c:pt idx="200">
                  <c:v>292.09934692475451</c:v>
                </c:pt>
                <c:pt idx="201">
                  <c:v>293.69330605621207</c:v>
                </c:pt>
                <c:pt idx="202">
                  <c:v>295.28551016834251</c:v>
                </c:pt>
                <c:pt idx="203">
                  <c:v>296.87590701919714</c:v>
                </c:pt>
                <c:pt idx="204">
                  <c:v>298.46444490117494</c:v>
                </c:pt>
                <c:pt idx="205">
                  <c:v>300.05107264102224</c:v>
                </c:pt>
                <c:pt idx="206">
                  <c:v>301.6357395998329</c:v>
                </c:pt>
                <c:pt idx="207">
                  <c:v>303.21839567304806</c:v>
                </c:pt>
                <c:pt idx="208">
                  <c:v>304.79899129045634</c:v>
                </c:pt>
                <c:pt idx="209">
                  <c:v>306.37747741619387</c:v>
                </c:pt>
                <c:pt idx="210">
                  <c:v>307.95380554874401</c:v>
                </c:pt>
                <c:pt idx="211">
                  <c:v>309.52792772093761</c:v>
                </c:pt>
                <c:pt idx="212">
                  <c:v>311.09979649995336</c:v>
                </c:pt>
                <c:pt idx="213">
                  <c:v>312.6693649873165</c:v>
                </c:pt>
                <c:pt idx="214">
                  <c:v>314.23658681890038</c:v>
                </c:pt>
                <c:pt idx="215">
                  <c:v>315.80141616492557</c:v>
                </c:pt>
                <c:pt idx="216">
                  <c:v>317.36380772996006</c:v>
                </c:pt>
                <c:pt idx="217">
                  <c:v>318.92371675291918</c:v>
                </c:pt>
                <c:pt idx="218">
                  <c:v>320.48109900706595</c:v>
                </c:pt>
                <c:pt idx="219">
                  <c:v>322.03591080001041</c:v>
                </c:pt>
                <c:pt idx="220">
                  <c:v>323.58810897371023</c:v>
                </c:pt>
                <c:pt idx="221">
                  <c:v>325.13765090447066</c:v>
                </c:pt>
                <c:pt idx="222">
                  <c:v>326.68449450294423</c:v>
                </c:pt>
                <c:pt idx="223">
                  <c:v>328.22859821413067</c:v>
                </c:pt>
                <c:pt idx="224">
                  <c:v>329.76992101737738</c:v>
                </c:pt>
                <c:pt idx="225">
                  <c:v>331.30842242637937</c:v>
                </c:pt>
                <c:pt idx="226">
                  <c:v>332.84406248917844</c:v>
                </c:pt>
                <c:pt idx="227">
                  <c:v>334.37680178816458</c:v>
                </c:pt>
                <c:pt idx="228">
                  <c:v>335.90660144007461</c:v>
                </c:pt>
                <c:pt idx="229">
                  <c:v>337.43342309599291</c:v>
                </c:pt>
                <c:pt idx="230">
                  <c:v>338.95722894135167</c:v>
                </c:pt>
                <c:pt idx="231">
                  <c:v>340.47798169592988</c:v>
                </c:pt>
                <c:pt idx="232">
                  <c:v>341.99564461385449</c:v>
                </c:pt>
                <c:pt idx="233">
                  <c:v>343.51018148359935</c:v>
                </c:pt>
                <c:pt idx="234">
                  <c:v>345.02155662798623</c:v>
                </c:pt>
                <c:pt idx="235">
                  <c:v>346.52973490418401</c:v>
                </c:pt>
                <c:pt idx="236">
                  <c:v>348.03468170370917</c:v>
                </c:pt>
                <c:pt idx="237">
                  <c:v>349.53636295242541</c:v>
                </c:pt>
                <c:pt idx="238">
                  <c:v>351.03474511054412</c:v>
                </c:pt>
                <c:pt idx="239">
                  <c:v>352.52979517262384</c:v>
                </c:pt>
                <c:pt idx="240">
                  <c:v>354.02148066757053</c:v>
                </c:pt>
                <c:pt idx="241">
                  <c:v>355.50976965863811</c:v>
                </c:pt>
                <c:pt idx="242">
                  <c:v>356.99463074342702</c:v>
                </c:pt>
                <c:pt idx="243">
                  <c:v>358.47603305388589</c:v>
                </c:pt>
                <c:pt idx="244">
                  <c:v>359.9539462563103</c:v>
                </c:pt>
                <c:pt idx="245">
                  <c:v>361.42834055134375</c:v>
                </c:pt>
                <c:pt idx="246">
                  <c:v>362.89918667397632</c:v>
                </c:pt>
                <c:pt idx="247">
                  <c:v>364.36645589354657</c:v>
                </c:pt>
                <c:pt idx="248">
                  <c:v>365.83012001373959</c:v>
                </c:pt>
                <c:pt idx="249">
                  <c:v>367.29015137258835</c:v>
                </c:pt>
                <c:pt idx="250">
                  <c:v>368.74652284247293</c:v>
                </c:pt>
                <c:pt idx="251">
                  <c:v>370.19920783012157</c:v>
                </c:pt>
                <c:pt idx="252">
                  <c:v>371.64818027660874</c:v>
                </c:pt>
                <c:pt idx="253">
                  <c:v>373.09341465735736</c:v>
                </c:pt>
                <c:pt idx="254">
                  <c:v>374.5348859821375</c:v>
                </c:pt>
                <c:pt idx="255">
                  <c:v>375.97256979506619</c:v>
                </c:pt>
                <c:pt idx="256">
                  <c:v>377.40644217460846</c:v>
                </c:pt>
                <c:pt idx="257">
                  <c:v>378.83647973357654</c:v>
                </c:pt>
                <c:pt idx="258">
                  <c:v>380.26265961912986</c:v>
                </c:pt>
                <c:pt idx="259">
                  <c:v>381.68495951277566</c:v>
                </c:pt>
                <c:pt idx="260">
                  <c:v>383.10335763036846</c:v>
                </c:pt>
                <c:pt idx="261">
                  <c:v>384.51783272211014</c:v>
                </c:pt>
                <c:pt idx="262">
                  <c:v>385.92836407254998</c:v>
                </c:pt>
                <c:pt idx="263">
                  <c:v>387.33493150058462</c:v>
                </c:pt>
                <c:pt idx="264">
                  <c:v>388.73751535945854</c:v>
                </c:pt>
                <c:pt idx="265">
                  <c:v>390.13609653676292</c:v>
                </c:pt>
                <c:pt idx="266">
                  <c:v>391.53065645443712</c:v>
                </c:pt>
                <c:pt idx="267">
                  <c:v>392.92117706876729</c:v>
                </c:pt>
                <c:pt idx="268">
                  <c:v>394.30764087038756</c:v>
                </c:pt>
                <c:pt idx="269">
                  <c:v>395.69003088427894</c:v>
                </c:pt>
                <c:pt idx="270">
                  <c:v>397.06833066977038</c:v>
                </c:pt>
                <c:pt idx="271">
                  <c:v>398.44252432053759</c:v>
                </c:pt>
                <c:pt idx="272">
                  <c:v>399.81259646460461</c:v>
                </c:pt>
                <c:pt idx="273">
                  <c:v>401.17853226434192</c:v>
                </c:pt>
                <c:pt idx="274">
                  <c:v>402.54031741646827</c:v>
                </c:pt>
                <c:pt idx="275">
                  <c:v>403.89793815204905</c:v>
                </c:pt>
                <c:pt idx="276">
                  <c:v>405.25138123649788</c:v>
                </c:pt>
                <c:pt idx="277">
                  <c:v>406.60063396957503</c:v>
                </c:pt>
                <c:pt idx="278">
                  <c:v>407.94568418538887</c:v>
                </c:pt>
                <c:pt idx="279">
                  <c:v>409.28652025239467</c:v>
                </c:pt>
                <c:pt idx="280">
                  <c:v>410.62313107339548</c:v>
                </c:pt>
                <c:pt idx="281">
                  <c:v>411.9555060855414</c:v>
                </c:pt>
                <c:pt idx="282">
                  <c:v>413.28363526033036</c:v>
                </c:pt>
                <c:pt idx="283">
                  <c:v>414.6075091036073</c:v>
                </c:pt>
                <c:pt idx="284">
                  <c:v>415.92711865556487</c:v>
                </c:pt>
                <c:pt idx="285">
                  <c:v>417.2424554907434</c:v>
                </c:pt>
                <c:pt idx="286">
                  <c:v>418.55351171802977</c:v>
                </c:pt>
                <c:pt idx="287">
                  <c:v>419.86027998065913</c:v>
                </c:pt>
                <c:pt idx="288">
                  <c:v>421.16275345621369</c:v>
                </c:pt>
                <c:pt idx="289">
                  <c:v>422.46092585662313</c:v>
                </c:pt>
                <c:pt idx="290">
                  <c:v>423.75479142816442</c:v>
                </c:pt>
                <c:pt idx="291">
                  <c:v>425.04434495146228</c:v>
                </c:pt>
                <c:pt idx="292">
                  <c:v>426.32958174148848</c:v>
                </c:pt>
                <c:pt idx="293">
                  <c:v>427.61049764756251</c:v>
                </c:pt>
                <c:pt idx="294">
                  <c:v>428.88708905335091</c:v>
                </c:pt>
                <c:pt idx="295">
                  <c:v>430.15935287686807</c:v>
                </c:pt>
                <c:pt idx="296">
                  <c:v>431.42728657047576</c:v>
                </c:pt>
                <c:pt idx="297">
                  <c:v>432.69088812088262</c:v>
                </c:pt>
                <c:pt idx="298">
                  <c:v>433.95015604914545</c:v>
                </c:pt>
                <c:pt idx="299">
                  <c:v>435.20508941066811</c:v>
                </c:pt>
                <c:pt idx="300">
                  <c:v>436.45568779520164</c:v>
                </c:pt>
                <c:pt idx="301">
                  <c:v>437.70195132684483</c:v>
                </c:pt>
                <c:pt idx="302">
                  <c:v>438.94388066404417</c:v>
                </c:pt>
                <c:pt idx="303">
                  <c:v>440.18147699959258</c:v>
                </c:pt>
                <c:pt idx="304">
                  <c:v>441.41474206063174</c:v>
                </c:pt>
                <c:pt idx="305">
                  <c:v>442.64367810864962</c:v>
                </c:pt>
                <c:pt idx="306">
                  <c:v>443.86828793948217</c:v>
                </c:pt>
                <c:pt idx="307">
                  <c:v>445.08857488331256</c:v>
                </c:pt>
                <c:pt idx="308">
                  <c:v>446.30454280467154</c:v>
                </c:pt>
                <c:pt idx="309">
                  <c:v>447.51619610243716</c:v>
                </c:pt>
                <c:pt idx="310">
                  <c:v>448.72353970983477</c:v>
                </c:pt>
                <c:pt idx="311">
                  <c:v>449.92657909443767</c:v>
                </c:pt>
                <c:pt idx="312">
                  <c:v>451.12532025816586</c:v>
                </c:pt>
                <c:pt idx="313">
                  <c:v>452.31976973728717</c:v>
                </c:pt>
                <c:pt idx="314">
                  <c:v>453.50993460241676</c:v>
                </c:pt>
                <c:pt idx="315">
                  <c:v>454.69582245851757</c:v>
                </c:pt>
                <c:pt idx="316">
                  <c:v>455.87744144489915</c:v>
                </c:pt>
                <c:pt idx="317">
                  <c:v>457.05480023521932</c:v>
                </c:pt>
                <c:pt idx="318">
                  <c:v>458.22790803748256</c:v>
                </c:pt>
                <c:pt idx="319">
                  <c:v>459.3967745940414</c:v>
                </c:pt>
                <c:pt idx="320">
                  <c:v>460.56141018159565</c:v>
                </c:pt>
                <c:pt idx="321">
                  <c:v>461.72182561119229</c:v>
                </c:pt>
                <c:pt idx="322">
                  <c:v>462.87803222822583</c:v>
                </c:pt>
                <c:pt idx="323">
                  <c:v>464.03004191243838</c:v>
                </c:pt>
                <c:pt idx="324">
                  <c:v>465.17786707791942</c:v>
                </c:pt>
                <c:pt idx="325">
                  <c:v>466.32152067310523</c:v>
                </c:pt>
                <c:pt idx="326">
                  <c:v>467.4610161807804</c:v>
                </c:pt>
                <c:pt idx="327">
                  <c:v>468.59636761807667</c:v>
                </c:pt>
                <c:pt idx="328">
                  <c:v>469.72758953647315</c:v>
                </c:pt>
                <c:pt idx="329">
                  <c:v>470.8546970217962</c:v>
                </c:pt>
                <c:pt idx="330">
                  <c:v>471.97770569421954</c:v>
                </c:pt>
                <c:pt idx="331">
                  <c:v>473.09663170826457</c:v>
                </c:pt>
                <c:pt idx="332">
                  <c:v>474.21149175280061</c:v>
                </c:pt>
                <c:pt idx="333">
                  <c:v>475.32230305104292</c:v>
                </c:pt>
                <c:pt idx="334">
                  <c:v>476.42908336055569</c:v>
                </c:pt>
                <c:pt idx="335">
                  <c:v>477.53185097324962</c:v>
                </c:pt>
                <c:pt idx="336">
                  <c:v>478.63062471538382</c:v>
                </c:pt>
                <c:pt idx="337">
                  <c:v>479.72542394756317</c:v>
                </c:pt>
                <c:pt idx="338">
                  <c:v>480.81626856474145</c:v>
                </c:pt>
                <c:pt idx="339">
                  <c:v>481.9031789962192</c:v>
                </c:pt>
                <c:pt idx="340">
                  <c:v>482.98617620564482</c:v>
                </c:pt>
                <c:pt idx="341">
                  <c:v>484.06528169101387</c:v>
                </c:pt>
                <c:pt idx="342">
                  <c:v>485.14051748466898</c:v>
                </c:pt>
                <c:pt idx="343">
                  <c:v>486.21190615330062</c:v>
                </c:pt>
                <c:pt idx="344">
                  <c:v>487.27947079794632</c:v>
                </c:pt>
                <c:pt idx="345">
                  <c:v>488.3432350539922</c:v>
                </c:pt>
                <c:pt idx="346">
                  <c:v>489.40322309116954</c:v>
                </c:pt>
                <c:pt idx="347">
                  <c:v>490.45945961355983</c:v>
                </c:pt>
                <c:pt idx="348">
                  <c:v>491.51196985958927</c:v>
                </c:pt>
                <c:pt idx="349">
                  <c:v>492.56077960203362</c:v>
                </c:pt>
                <c:pt idx="350">
                  <c:v>493.60591514801501</c:v>
                </c:pt>
                <c:pt idx="351">
                  <c:v>494.64740333900289</c:v>
                </c:pt>
                <c:pt idx="352">
                  <c:v>495.6852715508146</c:v>
                </c:pt>
                <c:pt idx="353">
                  <c:v>496.71954769361508</c:v>
                </c:pt>
                <c:pt idx="354">
                  <c:v>497.75026021191559</c:v>
                </c:pt>
                <c:pt idx="355">
                  <c:v>498.77743808457609</c:v>
                </c:pt>
                <c:pt idx="356">
                  <c:v>499.80111082480329</c:v>
                </c:pt>
                <c:pt idx="357">
                  <c:v>500.82130848015134</c:v>
                </c:pt>
                <c:pt idx="358">
                  <c:v>501.83806163252228</c:v>
                </c:pt>
                <c:pt idx="359">
                  <c:v>502.85140139816474</c:v>
                </c:pt>
                <c:pt idx="360">
                  <c:v>503.86135942767538</c:v>
                </c:pt>
                <c:pt idx="361">
                  <c:v>504.86796790599868</c:v>
                </c:pt>
                <c:pt idx="362">
                  <c:v>505.87125955242504</c:v>
                </c:pt>
                <c:pt idx="363">
                  <c:v>506.87126762059376</c:v>
                </c:pt>
                <c:pt idx="364">
                  <c:v>507.86802589849077</c:v>
                </c:pt>
                <c:pt idx="365">
                  <c:v>508.86156870845036</c:v>
                </c:pt>
                <c:pt idx="366">
                  <c:v>509.85193090715325</c:v>
                </c:pt>
              </c:numCache>
            </c:numRef>
          </c:xVal>
          <c:yVal>
            <c:numRef>
              <c:f>'Model tilvækst, slagteform, fe'!$BD$9:$BD$375</c:f>
              <c:numCache>
                <c:formatCode>#,##0</c:formatCode>
                <c:ptCount val="367"/>
                <c:pt idx="0">
                  <c:v>429</c:v>
                </c:pt>
                <c:pt idx="1">
                  <c:v>171.7140338200025</c:v>
                </c:pt>
                <c:pt idx="2">
                  <c:v>191.14778733732152</c:v>
                </c:pt>
                <c:pt idx="3">
                  <c:v>210.42242942208844</c:v>
                </c:pt>
                <c:pt idx="4">
                  <c:v>229.5384944217318</c:v>
                </c:pt>
                <c:pt idx="5">
                  <c:v>248.49651668368722</c:v>
                </c:pt>
                <c:pt idx="6">
                  <c:v>267.29703055531928</c:v>
                </c:pt>
                <c:pt idx="7">
                  <c:v>285.94057038409915</c:v>
                </c:pt>
                <c:pt idx="8">
                  <c:v>304.42767051742692</c:v>
                </c:pt>
                <c:pt idx="9">
                  <c:v>322.75886530273823</c:v>
                </c:pt>
                <c:pt idx="10">
                  <c:v>340.93468908743318</c:v>
                </c:pt>
                <c:pt idx="11">
                  <c:v>358.95567621894742</c:v>
                </c:pt>
                <c:pt idx="12">
                  <c:v>376.82236104468814</c:v>
                </c:pt>
                <c:pt idx="13">
                  <c:v>394.53527791208387</c:v>
                </c:pt>
                <c:pt idx="14">
                  <c:v>412.09496116855604</c:v>
                </c:pt>
                <c:pt idx="15">
                  <c:v>429.50194516151896</c:v>
                </c:pt>
                <c:pt idx="16">
                  <c:v>446.75676423842248</c:v>
                </c:pt>
                <c:pt idx="17">
                  <c:v>463.85995274663117</c:v>
                </c:pt>
                <c:pt idx="18">
                  <c:v>480.81204503359487</c:v>
                </c:pt>
                <c:pt idx="19">
                  <c:v>497.61357544675633</c:v>
                </c:pt>
                <c:pt idx="20">
                  <c:v>514.26507833350854</c:v>
                </c:pt>
                <c:pt idx="21">
                  <c:v>530.76708804125872</c:v>
                </c:pt>
                <c:pt idx="22">
                  <c:v>547.12013891747097</c:v>
                </c:pt>
                <c:pt idx="23">
                  <c:v>563.32476530953102</c:v>
                </c:pt>
                <c:pt idx="24">
                  <c:v>579.3815015648604</c:v>
                </c:pt>
                <c:pt idx="25">
                  <c:v>595.29088203090191</c:v>
                </c:pt>
                <c:pt idx="26">
                  <c:v>611.0534410550556</c:v>
                </c:pt>
                <c:pt idx="27">
                  <c:v>626.66971298476426</c:v>
                </c:pt>
                <c:pt idx="28">
                  <c:v>642.14023216739236</c:v>
                </c:pt>
                <c:pt idx="29">
                  <c:v>657.46553295043952</c:v>
                </c:pt>
                <c:pt idx="30">
                  <c:v>672.64614968127034</c:v>
                </c:pt>
                <c:pt idx="31">
                  <c:v>687.68261670734182</c:v>
                </c:pt>
                <c:pt idx="32">
                  <c:v>702.57546837602547</c:v>
                </c:pt>
                <c:pt idx="33">
                  <c:v>717.32523903478545</c:v>
                </c:pt>
                <c:pt idx="34">
                  <c:v>731.93246303102205</c:v>
                </c:pt>
                <c:pt idx="35">
                  <c:v>746.39767471216351</c:v>
                </c:pt>
                <c:pt idx="36">
                  <c:v>760.72140842563135</c:v>
                </c:pt>
                <c:pt idx="37">
                  <c:v>774.9041985188328</c:v>
                </c:pt>
                <c:pt idx="38">
                  <c:v>788.94657933921053</c:v>
                </c:pt>
                <c:pt idx="39">
                  <c:v>802.84908523415766</c:v>
                </c:pt>
                <c:pt idx="40">
                  <c:v>816.61225055113107</c:v>
                </c:pt>
                <c:pt idx="41">
                  <c:v>830.23660963749535</c:v>
                </c:pt>
                <c:pt idx="42">
                  <c:v>843.72269684074297</c:v>
                </c:pt>
                <c:pt idx="43">
                  <c:v>857.07104650821009</c:v>
                </c:pt>
                <c:pt idx="44">
                  <c:v>870.28219298738918</c:v>
                </c:pt>
                <c:pt idx="45">
                  <c:v>883.35667062570167</c:v>
                </c:pt>
                <c:pt idx="46">
                  <c:v>896.29501377048371</c:v>
                </c:pt>
                <c:pt idx="47">
                  <c:v>909.09775676924198</c:v>
                </c:pt>
                <c:pt idx="48">
                  <c:v>921.76543396938371</c:v>
                </c:pt>
                <c:pt idx="49">
                  <c:v>934.29857971827346</c:v>
                </c:pt>
                <c:pt idx="50">
                  <c:v>946.69772836341792</c:v>
                </c:pt>
                <c:pt idx="51">
                  <c:v>958.96341425212484</c:v>
                </c:pt>
                <c:pt idx="52">
                  <c:v>971.09617173195772</c:v>
                </c:pt>
                <c:pt idx="53">
                  <c:v>983.0965351501959</c:v>
                </c:pt>
                <c:pt idx="54">
                  <c:v>994.96503885437448</c:v>
                </c:pt>
                <c:pt idx="55">
                  <c:v>1006.7022171918012</c:v>
                </c:pt>
                <c:pt idx="56">
                  <c:v>1018.3086045100112</c:v>
                </c:pt>
                <c:pt idx="57">
                  <c:v>1029.7847351563546</c:v>
                </c:pt>
                <c:pt idx="58">
                  <c:v>1041.1311434782961</c:v>
                </c:pt>
                <c:pt idx="59">
                  <c:v>1052.348363823171</c:v>
                </c:pt>
                <c:pt idx="60">
                  <c:v>1063.4369305384866</c:v>
                </c:pt>
                <c:pt idx="61">
                  <c:v>1074.3973779716214</c:v>
                </c:pt>
                <c:pt idx="62">
                  <c:v>1085.2302404700395</c:v>
                </c:pt>
                <c:pt idx="63">
                  <c:v>1095.9360523810915</c:v>
                </c:pt>
                <c:pt idx="64">
                  <c:v>1106.5153480522838</c:v>
                </c:pt>
                <c:pt idx="65">
                  <c:v>1116.9686618309383</c:v>
                </c:pt>
                <c:pt idx="66">
                  <c:v>1127.2965280645481</c:v>
                </c:pt>
                <c:pt idx="67">
                  <c:v>1137.4994811005195</c:v>
                </c:pt>
                <c:pt idx="68">
                  <c:v>1147.5780552862743</c:v>
                </c:pt>
                <c:pt idx="69">
                  <c:v>1157.5327849691917</c:v>
                </c:pt>
                <c:pt idx="70">
                  <c:v>1167.3642044967351</c:v>
                </c:pt>
                <c:pt idx="71">
                  <c:v>1177.0728482163263</c:v>
                </c:pt>
                <c:pt idx="72">
                  <c:v>1186.6592504753726</c:v>
                </c:pt>
                <c:pt idx="73">
                  <c:v>1196.1239456212809</c:v>
                </c:pt>
                <c:pt idx="74">
                  <c:v>1205.4674680015012</c:v>
                </c:pt>
                <c:pt idx="75">
                  <c:v>1214.6903519634122</c:v>
                </c:pt>
                <c:pt idx="76">
                  <c:v>1223.7931318545066</c:v>
                </c:pt>
                <c:pt idx="77">
                  <c:v>1232.7763420220917</c:v>
                </c:pt>
                <c:pt idx="78">
                  <c:v>1241.6405168137317</c:v>
                </c:pt>
                <c:pt idx="79">
                  <c:v>1250.3861905767194</c:v>
                </c:pt>
                <c:pt idx="80">
                  <c:v>1259.0138976585336</c:v>
                </c:pt>
                <c:pt idx="81">
                  <c:v>1267.5241724065813</c:v>
                </c:pt>
                <c:pt idx="82">
                  <c:v>1275.9175491682981</c:v>
                </c:pt>
                <c:pt idx="83">
                  <c:v>1284.1945622911198</c:v>
                </c:pt>
                <c:pt idx="84">
                  <c:v>1292.3557461224107</c:v>
                </c:pt>
                <c:pt idx="85">
                  <c:v>1300.4016350096208</c:v>
                </c:pt>
                <c:pt idx="86">
                  <c:v>1308.3327633001716</c:v>
                </c:pt>
                <c:pt idx="87">
                  <c:v>1316.1496653414986</c:v>
                </c:pt>
                <c:pt idx="88">
                  <c:v>1323.8528754810091</c:v>
                </c:pt>
                <c:pt idx="89">
                  <c:v>1331.4429280660961</c:v>
                </c:pt>
                <c:pt idx="90">
                  <c:v>1338.9203574442092</c:v>
                </c:pt>
                <c:pt idx="91">
                  <c:v>1346.2856979627986</c:v>
                </c:pt>
                <c:pt idx="92">
                  <c:v>1353.5394839692431</c:v>
                </c:pt>
                <c:pt idx="93">
                  <c:v>1360.6822498109352</c:v>
                </c:pt>
                <c:pt idx="94">
                  <c:v>1367.7145298353537</c:v>
                </c:pt>
                <c:pt idx="95">
                  <c:v>1374.6368583899057</c:v>
                </c:pt>
                <c:pt idx="96">
                  <c:v>1381.4497698219839</c:v>
                </c:pt>
                <c:pt idx="97">
                  <c:v>1388.1537984790384</c:v>
                </c:pt>
                <c:pt idx="98">
                  <c:v>1394.7494787084906</c:v>
                </c:pt>
                <c:pt idx="99">
                  <c:v>1401.2373448576909</c:v>
                </c:pt>
                <c:pt idx="100">
                  <c:v>1407.617931274217</c:v>
                </c:pt>
                <c:pt idx="101">
                  <c:v>1413.8917723053055</c:v>
                </c:pt>
                <c:pt idx="102">
                  <c:v>1420.0594022984774</c:v>
                </c:pt>
                <c:pt idx="103">
                  <c:v>1426.1213556011683</c:v>
                </c:pt>
                <c:pt idx="104">
                  <c:v>1432.0781665607001</c:v>
                </c:pt>
                <c:pt idx="105">
                  <c:v>1437.9303695246222</c:v>
                </c:pt>
                <c:pt idx="106">
                  <c:v>1443.6784988403133</c:v>
                </c:pt>
                <c:pt idx="107">
                  <c:v>1449.3230888551238</c:v>
                </c:pt>
                <c:pt idx="108">
                  <c:v>1454.8646739164894</c:v>
                </c:pt>
                <c:pt idx="109">
                  <c:v>1460.3037883719594</c:v>
                </c:pt>
                <c:pt idx="110">
                  <c:v>1465.6409665687988</c:v>
                </c:pt>
                <c:pt idx="111">
                  <c:v>1470.8767428544718</c:v>
                </c:pt>
                <c:pt idx="112">
                  <c:v>1476.0116515764423</c:v>
                </c:pt>
                <c:pt idx="113">
                  <c:v>1481.0462270820892</c:v>
                </c:pt>
                <c:pt idx="114">
                  <c:v>1485.981003718905</c:v>
                </c:pt>
                <c:pt idx="115">
                  <c:v>1490.8165158341831</c:v>
                </c:pt>
                <c:pt idx="116">
                  <c:v>1495.5532977754444</c:v>
                </c:pt>
                <c:pt idx="117">
                  <c:v>1500.1918838900394</c:v>
                </c:pt>
                <c:pt idx="118">
                  <c:v>1504.7328085254605</c:v>
                </c:pt>
                <c:pt idx="119">
                  <c:v>1509.1766060291434</c:v>
                </c:pt>
                <c:pt idx="120">
                  <c:v>1513.5238107483815</c:v>
                </c:pt>
                <c:pt idx="121">
                  <c:v>1517.7749570307242</c:v>
                </c:pt>
                <c:pt idx="122">
                  <c:v>1521.930579223465</c:v>
                </c:pt>
                <c:pt idx="123">
                  <c:v>1525.9912116741816</c:v>
                </c:pt>
                <c:pt idx="124">
                  <c:v>1529.9573887301676</c:v>
                </c:pt>
                <c:pt idx="125">
                  <c:v>1533.8296447389439</c:v>
                </c:pt>
                <c:pt idx="126">
                  <c:v>1537.608514047804</c:v>
                </c:pt>
                <c:pt idx="127">
                  <c:v>1541.2945310042971</c:v>
                </c:pt>
                <c:pt idx="128">
                  <c:v>1544.888229955717</c:v>
                </c:pt>
                <c:pt idx="129">
                  <c:v>1548.3901452496127</c:v>
                </c:pt>
                <c:pt idx="130">
                  <c:v>1551.8008112333348</c:v>
                </c:pt>
                <c:pt idx="131">
                  <c:v>1555.1207622543188</c:v>
                </c:pt>
                <c:pt idx="132">
                  <c:v>1558.3505326600289</c:v>
                </c:pt>
                <c:pt idx="133">
                  <c:v>1561.4906567976732</c:v>
                </c:pt>
                <c:pt idx="134">
                  <c:v>1564.5416690149716</c:v>
                </c:pt>
                <c:pt idx="135">
                  <c:v>1567.5041036592461</c:v>
                </c:pt>
                <c:pt idx="136">
                  <c:v>1570.3784950777617</c:v>
                </c:pt>
                <c:pt idx="137">
                  <c:v>1573.1653776181247</c:v>
                </c:pt>
                <c:pt idx="138">
                  <c:v>1575.8652856276001</c:v>
                </c:pt>
                <c:pt idx="139">
                  <c:v>1578.4787534538793</c:v>
                </c:pt>
                <c:pt idx="140">
                  <c:v>1581.0063154440286</c:v>
                </c:pt>
                <c:pt idx="141">
                  <c:v>1583.4485059457108</c:v>
                </c:pt>
                <c:pt idx="142">
                  <c:v>1585.8058593062481</c:v>
                </c:pt>
                <c:pt idx="143">
                  <c:v>1588.0789098731327</c:v>
                </c:pt>
                <c:pt idx="144">
                  <c:v>1590.2681919936867</c:v>
                </c:pt>
                <c:pt idx="145">
                  <c:v>1592.3742400153458</c:v>
                </c:pt>
                <c:pt idx="146">
                  <c:v>1594.3975882856876</c:v>
                </c:pt>
                <c:pt idx="147">
                  <c:v>1596.3387711519204</c:v>
                </c:pt>
                <c:pt idx="148">
                  <c:v>1598.1983229616503</c:v>
                </c:pt>
                <c:pt idx="149">
                  <c:v>1599.9767780621141</c:v>
                </c:pt>
                <c:pt idx="150">
                  <c:v>1601.6746708008327</c:v>
                </c:pt>
                <c:pt idx="151">
                  <c:v>1603.2925355252132</c:v>
                </c:pt>
                <c:pt idx="152">
                  <c:v>1604.8309065827482</c:v>
                </c:pt>
                <c:pt idx="153">
                  <c:v>1606.2903183207027</c:v>
                </c:pt>
                <c:pt idx="154">
                  <c:v>1607.6713050865976</c:v>
                </c:pt>
                <c:pt idx="155">
                  <c:v>1608.9744012278686</c:v>
                </c:pt>
                <c:pt idx="156">
                  <c:v>1610.2001410918945</c:v>
                </c:pt>
                <c:pt idx="157">
                  <c:v>1611.3490590261108</c:v>
                </c:pt>
                <c:pt idx="158">
                  <c:v>1612.4216893779533</c:v>
                </c:pt>
                <c:pt idx="159">
                  <c:v>1613.4185664947722</c:v>
                </c:pt>
                <c:pt idx="160">
                  <c:v>1614.340224724117</c:v>
                </c:pt>
                <c:pt idx="161">
                  <c:v>1615.1871984132242</c:v>
                </c:pt>
                <c:pt idx="162">
                  <c:v>1615.9600219098138</c:v>
                </c:pt>
                <c:pt idx="163">
                  <c:v>1616.6592295607529</c:v>
                </c:pt>
                <c:pt idx="164">
                  <c:v>1617.2853557141593</c:v>
                </c:pt>
                <c:pt idx="165">
                  <c:v>1617.8389347170423</c:v>
                </c:pt>
                <c:pt idx="166">
                  <c:v>1618.3205009168375</c:v>
                </c:pt>
                <c:pt idx="167">
                  <c:v>1618.7305886610091</c:v>
                </c:pt>
                <c:pt idx="168">
                  <c:v>1619.0697322970493</c:v>
                </c:pt>
                <c:pt idx="169">
                  <c:v>1619.3384661722803</c:v>
                </c:pt>
                <c:pt idx="170">
                  <c:v>1619.537324634166</c:v>
                </c:pt>
                <c:pt idx="171">
                  <c:v>1619.6668420301705</c:v>
                </c:pt>
                <c:pt idx="172">
                  <c:v>1619.7275527076158</c:v>
                </c:pt>
                <c:pt idx="173">
                  <c:v>1619.7199910139375</c:v>
                </c:pt>
                <c:pt idx="174">
                  <c:v>1619.6446912967417</c:v>
                </c:pt>
                <c:pt idx="175">
                  <c:v>1619.5021879031515</c:v>
                </c:pt>
                <c:pt idx="176">
                  <c:v>1619.293015180773</c:v>
                </c:pt>
                <c:pt idx="177">
                  <c:v>1619.0177074769849</c:v>
                </c:pt>
                <c:pt idx="178">
                  <c:v>1618.6767991392799</c:v>
                </c:pt>
                <c:pt idx="179">
                  <c:v>1618.2708245149229</c:v>
                </c:pt>
                <c:pt idx="180">
                  <c:v>1617.8003179514349</c:v>
                </c:pt>
                <c:pt idx="181">
                  <c:v>1617.2658137962799</c:v>
                </c:pt>
                <c:pt idx="182">
                  <c:v>1616.6678463967514</c:v>
                </c:pt>
                <c:pt idx="183">
                  <c:v>1616.0069501004273</c:v>
                </c:pt>
                <c:pt idx="184">
                  <c:v>1615.2836592546578</c:v>
                </c:pt>
                <c:pt idx="185">
                  <c:v>1614.4985082065659</c:v>
                </c:pt>
                <c:pt idx="186">
                  <c:v>1613.6520313041842</c:v>
                </c:pt>
                <c:pt idx="187">
                  <c:v>1612.7447628944651</c:v>
                </c:pt>
                <c:pt idx="188">
                  <c:v>1611.7772373249863</c:v>
                </c:pt>
                <c:pt idx="189">
                  <c:v>1610.7499889430983</c:v>
                </c:pt>
                <c:pt idx="190">
                  <c:v>1609.663552096265</c:v>
                </c:pt>
                <c:pt idx="191">
                  <c:v>1608.5184611320074</c:v>
                </c:pt>
                <c:pt idx="192">
                  <c:v>1607.3152503976189</c:v>
                </c:pt>
                <c:pt idx="193">
                  <c:v>1606.0544542405069</c:v>
                </c:pt>
                <c:pt idx="194">
                  <c:v>1604.7366070081353</c:v>
                </c:pt>
                <c:pt idx="195">
                  <c:v>1603.3622430479681</c:v>
                </c:pt>
                <c:pt idx="196">
                  <c:v>1601.9318967072991</c:v>
                </c:pt>
                <c:pt idx="197">
                  <c:v>1600.4461023337058</c:v>
                </c:pt>
                <c:pt idx="198">
                  <c:v>1598.9053942745386</c:v>
                </c:pt>
                <c:pt idx="199">
                  <c:v>1597.3103068772048</c:v>
                </c:pt>
                <c:pt idx="200">
                  <c:v>1595.6613744891683</c:v>
                </c:pt>
                <c:pt idx="201">
                  <c:v>1593.9591314575523</c:v>
                </c:pt>
                <c:pt idx="202">
                  <c:v>1592.204112130446</c:v>
                </c:pt>
                <c:pt idx="203">
                  <c:v>1590.3968508546313</c:v>
                </c:pt>
                <c:pt idx="204">
                  <c:v>1588.5378819777998</c:v>
                </c:pt>
                <c:pt idx="205">
                  <c:v>1586.6277398473017</c:v>
                </c:pt>
                <c:pt idx="206">
                  <c:v>1584.6669588106579</c:v>
                </c:pt>
                <c:pt idx="207">
                  <c:v>1582.656073215162</c:v>
                </c:pt>
                <c:pt idx="208">
                  <c:v>1580.595617408278</c:v>
                </c:pt>
                <c:pt idx="209">
                  <c:v>1578.4861257375269</c:v>
                </c:pt>
                <c:pt idx="210">
                  <c:v>1576.3281325501453</c:v>
                </c:pt>
                <c:pt idx="211">
                  <c:v>1574.1221721935972</c:v>
                </c:pt>
                <c:pt idx="212">
                  <c:v>1571.8687790157446</c:v>
                </c:pt>
                <c:pt idx="213">
                  <c:v>1569.5684873631421</c:v>
                </c:pt>
                <c:pt idx="214">
                  <c:v>1567.2218315838791</c:v>
                </c:pt>
                <c:pt idx="215">
                  <c:v>1564.8293460251921</c:v>
                </c:pt>
                <c:pt idx="216">
                  <c:v>1562.3915650344884</c:v>
                </c:pt>
                <c:pt idx="217">
                  <c:v>1559.9090229591184</c:v>
                </c:pt>
                <c:pt idx="218">
                  <c:v>1557.3822541467734</c:v>
                </c:pt>
                <c:pt idx="219">
                  <c:v>1554.8117929444629</c:v>
                </c:pt>
                <c:pt idx="220">
                  <c:v>1552.1981736998214</c:v>
                </c:pt>
                <c:pt idx="221">
                  <c:v>1549.5419307604266</c:v>
                </c:pt>
                <c:pt idx="222">
                  <c:v>1546.843598473572</c:v>
                </c:pt>
                <c:pt idx="223">
                  <c:v>1544.1037111864375</c:v>
                </c:pt>
                <c:pt idx="224">
                  <c:v>1541.3228032467146</c:v>
                </c:pt>
                <c:pt idx="225">
                  <c:v>1538.5014090019808</c:v>
                </c:pt>
                <c:pt idx="226">
                  <c:v>1535.6400627990752</c:v>
                </c:pt>
                <c:pt idx="227">
                  <c:v>1532.7392989861437</c:v>
                </c:pt>
                <c:pt idx="228">
                  <c:v>1529.7996519100252</c:v>
                </c:pt>
                <c:pt idx="229">
                  <c:v>1526.8216559182974</c:v>
                </c:pt>
                <c:pt idx="230">
                  <c:v>1523.8058453587655</c:v>
                </c:pt>
                <c:pt idx="231">
                  <c:v>1520.7527545782114</c:v>
                </c:pt>
                <c:pt idx="232">
                  <c:v>1517.6629179246106</c:v>
                </c:pt>
                <c:pt idx="233">
                  <c:v>1514.5368697448589</c:v>
                </c:pt>
                <c:pt idx="234">
                  <c:v>1511.375144386875</c:v>
                </c:pt>
                <c:pt idx="235">
                  <c:v>1508.178276197782</c:v>
                </c:pt>
                <c:pt idx="236">
                  <c:v>1504.9467995251575</c:v>
                </c:pt>
                <c:pt idx="237">
                  <c:v>1501.6812487162383</c:v>
                </c:pt>
                <c:pt idx="238">
                  <c:v>1498.3821581187158</c:v>
                </c:pt>
                <c:pt idx="239">
                  <c:v>1495.0500620797129</c:v>
                </c:pt>
                <c:pt idx="240">
                  <c:v>1491.6854949466938</c:v>
                </c:pt>
                <c:pt idx="241">
                  <c:v>1488.2889910675772</c:v>
                </c:pt>
                <c:pt idx="242">
                  <c:v>1484.8610847889177</c:v>
                </c:pt>
                <c:pt idx="243">
                  <c:v>1481.4023104588614</c:v>
                </c:pt>
                <c:pt idx="244">
                  <c:v>1477.9132024244177</c:v>
                </c:pt>
                <c:pt idx="245">
                  <c:v>1474.3942950334485</c:v>
                </c:pt>
                <c:pt idx="246">
                  <c:v>1470.8461226325653</c:v>
                </c:pt>
                <c:pt idx="247">
                  <c:v>1467.2692195702552</c:v>
                </c:pt>
                <c:pt idx="248">
                  <c:v>1463.6641201930161</c:v>
                </c:pt>
                <c:pt idx="249">
                  <c:v>1460.0313588487666</c:v>
                </c:pt>
                <c:pt idx="250">
                  <c:v>1456.3714698845729</c:v>
                </c:pt>
                <c:pt idx="251">
                  <c:v>1452.6849876486381</c:v>
                </c:pt>
                <c:pt idx="252">
                  <c:v>1448.9724464871756</c:v>
                </c:pt>
                <c:pt idx="253">
                  <c:v>1445.2343807486159</c:v>
                </c:pt>
                <c:pt idx="254">
                  <c:v>1441.4713247801387</c:v>
                </c:pt>
                <c:pt idx="255">
                  <c:v>1437.6838129286966</c:v>
                </c:pt>
                <c:pt idx="256">
                  <c:v>1433.8723795422652</c:v>
                </c:pt>
                <c:pt idx="257">
                  <c:v>1430.0375589680812</c:v>
                </c:pt>
                <c:pt idx="258">
                  <c:v>1426.1798855533243</c:v>
                </c:pt>
                <c:pt idx="259">
                  <c:v>1422.2998936457998</c:v>
                </c:pt>
                <c:pt idx="260">
                  <c:v>1418.3981175928011</c:v>
                </c:pt>
                <c:pt idx="261">
                  <c:v>1414.4750917416786</c:v>
                </c:pt>
                <c:pt idx="262">
                  <c:v>1410.5313504398396</c:v>
                </c:pt>
                <c:pt idx="263">
                  <c:v>1406.5674280346343</c:v>
                </c:pt>
                <c:pt idx="264">
                  <c:v>1402.5838588739248</c:v>
                </c:pt>
                <c:pt idx="265">
                  <c:v>1398.5811773043793</c:v>
                </c:pt>
                <c:pt idx="266">
                  <c:v>1394.5599176742007</c:v>
                </c:pt>
                <c:pt idx="267">
                  <c:v>1390.5206143301712</c:v>
                </c:pt>
                <c:pt idx="268">
                  <c:v>1386.4638016202662</c:v>
                </c:pt>
                <c:pt idx="269">
                  <c:v>1382.3900138913814</c:v>
                </c:pt>
                <c:pt idx="270">
                  <c:v>1378.2997854914356</c:v>
                </c:pt>
                <c:pt idx="271">
                  <c:v>1374.1936507672108</c:v>
                </c:pt>
                <c:pt idx="272">
                  <c:v>1370.0721440670236</c:v>
                </c:pt>
                <c:pt idx="273">
                  <c:v>1365.9357997373149</c:v>
                </c:pt>
                <c:pt idx="274">
                  <c:v>1361.7851521263447</c:v>
                </c:pt>
                <c:pt idx="275">
                  <c:v>1357.620735580781</c:v>
                </c:pt>
                <c:pt idx="276">
                  <c:v>1353.443084448827</c:v>
                </c:pt>
                <c:pt idx="277">
                  <c:v>1349.2527330771509</c:v>
                </c:pt>
                <c:pt idx="278">
                  <c:v>1345.050215813842</c:v>
                </c:pt>
                <c:pt idx="279">
                  <c:v>1340.8360670057959</c:v>
                </c:pt>
                <c:pt idx="280">
                  <c:v>1336.6108210008179</c:v>
                </c:pt>
                <c:pt idx="281">
                  <c:v>1332.375012145917</c:v>
                </c:pt>
                <c:pt idx="282">
                  <c:v>1328.1291747889554</c:v>
                </c:pt>
                <c:pt idx="283">
                  <c:v>1323.8738432769424</c:v>
                </c:pt>
                <c:pt idx="284">
                  <c:v>1319.6095519575692</c:v>
                </c:pt>
                <c:pt idx="285">
                  <c:v>1315.3368351785275</c:v>
                </c:pt>
                <c:pt idx="286">
                  <c:v>1311.0562272863717</c:v>
                </c:pt>
                <c:pt idx="287">
                  <c:v>1306.7682626293617</c:v>
                </c:pt>
                <c:pt idx="288">
                  <c:v>1302.4734755545637</c:v>
                </c:pt>
                <c:pt idx="289">
                  <c:v>1298.1724004094417</c:v>
                </c:pt>
                <c:pt idx="290">
                  <c:v>1293.8655715412892</c:v>
                </c:pt>
                <c:pt idx="291">
                  <c:v>1289.5535232978546</c:v>
                </c:pt>
                <c:pt idx="292">
                  <c:v>1285.2367900262038</c:v>
                </c:pt>
                <c:pt idx="293">
                  <c:v>1280.9159060740285</c:v>
                </c:pt>
                <c:pt idx="294">
                  <c:v>1276.5914057883947</c:v>
                </c:pt>
                <c:pt idx="295">
                  <c:v>1272.2638235171644</c:v>
                </c:pt>
                <c:pt idx="296">
                  <c:v>1267.9336936076879</c:v>
                </c:pt>
                <c:pt idx="297">
                  <c:v>1263.601550406861</c:v>
                </c:pt>
                <c:pt idx="298">
                  <c:v>1259.2679282628296</c:v>
                </c:pt>
                <c:pt idx="299">
                  <c:v>1254.9333615226601</c:v>
                </c:pt>
                <c:pt idx="300">
                  <c:v>1250.5983845335322</c:v>
                </c:pt>
                <c:pt idx="301">
                  <c:v>1246.2635316431943</c:v>
                </c:pt>
                <c:pt idx="302">
                  <c:v>1241.9293371993376</c:v>
                </c:pt>
                <c:pt idx="303">
                  <c:v>1237.5963355484032</c:v>
                </c:pt>
                <c:pt idx="304">
                  <c:v>1233.2650610391624</c:v>
                </c:pt>
                <c:pt idx="305">
                  <c:v>1228.9360480178857</c:v>
                </c:pt>
                <c:pt idx="306">
                  <c:v>1224.6098308325486</c:v>
                </c:pt>
                <c:pt idx="307">
                  <c:v>1220.2869438303878</c:v>
                </c:pt>
                <c:pt idx="308">
                  <c:v>1215.9679213589811</c:v>
                </c:pt>
                <c:pt idx="309">
                  <c:v>1211.653297765622</c:v>
                </c:pt>
                <c:pt idx="310">
                  <c:v>1207.343607397604</c:v>
                </c:pt>
                <c:pt idx="311">
                  <c:v>1203.0393846029028</c:v>
                </c:pt>
                <c:pt idx="312">
                  <c:v>1198.7411637281866</c:v>
                </c:pt>
                <c:pt idx="313">
                  <c:v>1194.4494791213174</c:v>
                </c:pt>
                <c:pt idx="314">
                  <c:v>1190.1648651295886</c:v>
                </c:pt>
                <c:pt idx="315">
                  <c:v>1185.8878561008055</c:v>
                </c:pt>
                <c:pt idx="316">
                  <c:v>1181.6189863815794</c:v>
                </c:pt>
                <c:pt idx="317">
                  <c:v>1177.3587903201701</c:v>
                </c:pt>
                <c:pt idx="318">
                  <c:v>1173.107802263246</c:v>
                </c:pt>
                <c:pt idx="319">
                  <c:v>1168.8665565588394</c:v>
                </c:pt>
                <c:pt idx="320">
                  <c:v>1164.635587554244</c:v>
                </c:pt>
                <c:pt idx="321">
                  <c:v>1160.4154295966396</c:v>
                </c:pt>
                <c:pt idx="322">
                  <c:v>1156.206617033547</c:v>
                </c:pt>
                <c:pt idx="323">
                  <c:v>1152.009684212544</c:v>
                </c:pt>
                <c:pt idx="324">
                  <c:v>1147.8251654810379</c:v>
                </c:pt>
                <c:pt idx="325">
                  <c:v>1143.6535951858104</c:v>
                </c:pt>
                <c:pt idx="326">
                  <c:v>1139.4955076751785</c:v>
                </c:pt>
                <c:pt idx="327">
                  <c:v>1135.351437296265</c:v>
                </c:pt>
                <c:pt idx="328">
                  <c:v>1131.2219183964771</c:v>
                </c:pt>
                <c:pt idx="329">
                  <c:v>1127.1074853230516</c:v>
                </c:pt>
                <c:pt idx="330">
                  <c:v>1123.0086724233388</c:v>
                </c:pt>
                <c:pt idx="331">
                  <c:v>1118.9260140450301</c:v>
                </c:pt>
                <c:pt idx="332">
                  <c:v>1114.8600445360444</c:v>
                </c:pt>
                <c:pt idx="333">
                  <c:v>1110.8112982423108</c:v>
                </c:pt>
                <c:pt idx="334">
                  <c:v>1106.7803095127715</c:v>
                </c:pt>
                <c:pt idx="335">
                  <c:v>1102.7676126939241</c:v>
                </c:pt>
                <c:pt idx="336">
                  <c:v>1098.773742134199</c:v>
                </c:pt>
                <c:pt idx="337">
                  <c:v>1094.7992321793549</c:v>
                </c:pt>
                <c:pt idx="338">
                  <c:v>1090.8446171782771</c:v>
                </c:pt>
                <c:pt idx="339">
                  <c:v>1086.9104314777474</c:v>
                </c:pt>
                <c:pt idx="340">
                  <c:v>1082.9972094256277</c:v>
                </c:pt>
                <c:pt idx="341">
                  <c:v>1079.1054853690412</c:v>
                </c:pt>
                <c:pt idx="342">
                  <c:v>1075.2357936551107</c:v>
                </c:pt>
                <c:pt idx="343">
                  <c:v>1071.3886686316414</c:v>
                </c:pt>
                <c:pt idx="344">
                  <c:v>1067.5646446456994</c:v>
                </c:pt>
                <c:pt idx="345">
                  <c:v>1063.7642560458858</c:v>
                </c:pt>
                <c:pt idx="346">
                  <c:v>1059.9880371773338</c:v>
                </c:pt>
                <c:pt idx="347">
                  <c:v>1056.236522390293</c:v>
                </c:pt>
                <c:pt idx="348">
                  <c:v>1052.510246029442</c:v>
                </c:pt>
                <c:pt idx="349">
                  <c:v>1048.8097424443481</c:v>
                </c:pt>
                <c:pt idx="350">
                  <c:v>1045.1355459813954</c:v>
                </c:pt>
                <c:pt idx="351">
                  <c:v>1041.4881909878773</c:v>
                </c:pt>
                <c:pt idx="352">
                  <c:v>1037.8682118117126</c:v>
                </c:pt>
                <c:pt idx="353">
                  <c:v>1034.2761428004792</c:v>
                </c:pt>
                <c:pt idx="354">
                  <c:v>1030.7125183005041</c:v>
                </c:pt>
                <c:pt idx="355">
                  <c:v>1027.1778726605021</c:v>
                </c:pt>
                <c:pt idx="356">
                  <c:v>1023.6727402271981</c:v>
                </c:pt>
                <c:pt idx="357">
                  <c:v>1020.1976553480563</c:v>
                </c:pt>
                <c:pt idx="358">
                  <c:v>1016.7531523709386</c:v>
                </c:pt>
                <c:pt idx="359">
                  <c:v>1013.3397656424563</c:v>
                </c:pt>
                <c:pt idx="360">
                  <c:v>1009.9580295106421</c:v>
                </c:pt>
                <c:pt idx="361">
                  <c:v>1006.6084783233009</c:v>
                </c:pt>
                <c:pt idx="362">
                  <c:v>1003.2916464263621</c:v>
                </c:pt>
                <c:pt idx="363">
                  <c:v>1000.0080681687109</c:v>
                </c:pt>
                <c:pt idx="364">
                  <c:v>996.75827789701543</c:v>
                </c:pt>
                <c:pt idx="365">
                  <c:v>993.54280995959243</c:v>
                </c:pt>
                <c:pt idx="366">
                  <c:v>990.36219870288278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DD-49D7-AD7B-D10E1347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63096"/>
        <c:axId val="1085656864"/>
      </c:scatterChart>
      <c:valAx>
        <c:axId val="1085663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85656864"/>
        <c:crosses val="autoZero"/>
        <c:crossBetween val="midCat"/>
      </c:valAx>
      <c:valAx>
        <c:axId val="108565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85663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'Model tilvækst, slagteform, fe'!$BG$8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'Model tilvækst, slagteform, fe'!$BF$9:$BF$376</c:f>
              <c:numCache>
                <c:formatCode>0.00</c:formatCode>
                <c:ptCount val="368"/>
                <c:pt idx="0">
                  <c:v>40.837706573829301</c:v>
                </c:pt>
                <c:pt idx="1">
                  <c:v>41.402645497822007</c:v>
                </c:pt>
                <c:pt idx="2">
                  <c:v>41.977259319745329</c:v>
                </c:pt>
                <c:pt idx="3">
                  <c:v>42.561499803484445</c:v>
                </c:pt>
                <c:pt idx="4">
                  <c:v>43.155318712924512</c:v>
                </c:pt>
                <c:pt idx="5">
                  <c:v>43.758667811950694</c:v>
                </c:pt>
                <c:pt idx="6">
                  <c:v>44.371498864448171</c:v>
                </c:pt>
                <c:pt idx="7">
                  <c:v>44.993763634302105</c:v>
                </c:pt>
                <c:pt idx="8">
                  <c:v>45.62541388539767</c:v>
                </c:pt>
                <c:pt idx="9">
                  <c:v>46.266401381620021</c:v>
                </c:pt>
                <c:pt idx="10">
                  <c:v>46.916677886854323</c:v>
                </c:pt>
                <c:pt idx="11">
                  <c:v>47.576195164985755</c:v>
                </c:pt>
                <c:pt idx="12">
                  <c:v>48.244904979899495</c:v>
                </c:pt>
                <c:pt idx="13">
                  <c:v>48.922759095480679</c:v>
                </c:pt>
                <c:pt idx="14">
                  <c:v>49.609709275614506</c:v>
                </c:pt>
                <c:pt idx="15">
                  <c:v>50.30570728418612</c:v>
                </c:pt>
                <c:pt idx="16">
                  <c:v>51.010704885080692</c:v>
                </c:pt>
                <c:pt idx="17">
                  <c:v>51.724653842183407</c:v>
                </c:pt>
                <c:pt idx="18">
                  <c:v>52.447505919379417</c:v>
                </c:pt>
                <c:pt idx="19">
                  <c:v>53.179212880553891</c:v>
                </c:pt>
                <c:pt idx="20">
                  <c:v>53.919726489592009</c:v>
                </c:pt>
                <c:pt idx="21">
                  <c:v>54.668998510378913</c:v>
                </c:pt>
                <c:pt idx="22">
                  <c:v>55.426980706799782</c:v>
                </c:pt>
                <c:pt idx="23">
                  <c:v>56.193624842739794</c:v>
                </c:pt>
                <c:pt idx="24">
                  <c:v>56.968882682084107</c:v>
                </c:pt>
                <c:pt idx="25">
                  <c:v>57.752705988717892</c:v>
                </c:pt>
                <c:pt idx="26">
                  <c:v>58.54504652652632</c:v>
                </c:pt>
                <c:pt idx="27">
                  <c:v>59.345856059394542</c:v>
                </c:pt>
                <c:pt idx="28">
                  <c:v>60.155086351207743</c:v>
                </c:pt>
                <c:pt idx="29">
                  <c:v>60.972689165851087</c:v>
                </c:pt>
                <c:pt idx="30">
                  <c:v>61.798616267209738</c:v>
                </c:pt>
                <c:pt idx="31">
                  <c:v>62.632819419168861</c:v>
                </c:pt>
                <c:pt idx="32">
                  <c:v>63.475250385613627</c:v>
                </c:pt>
                <c:pt idx="33">
                  <c:v>64.325860930429201</c:v>
                </c:pt>
                <c:pt idx="34">
                  <c:v>65.184602817500746</c:v>
                </c:pt>
                <c:pt idx="35">
                  <c:v>66.051427810713449</c:v>
                </c:pt>
                <c:pt idx="36">
                  <c:v>66.926287673952459</c:v>
                </c:pt>
                <c:pt idx="37">
                  <c:v>67.80913417110294</c:v>
                </c:pt>
                <c:pt idx="38">
                  <c:v>68.699919066050086</c:v>
                </c:pt>
                <c:pt idx="39">
                  <c:v>69.598594122679032</c:v>
                </c:pt>
                <c:pt idx="40">
                  <c:v>70.505111104874956</c:v>
                </c:pt>
                <c:pt idx="41">
                  <c:v>71.419421776523038</c:v>
                </c:pt>
                <c:pt idx="42">
                  <c:v>72.341477901508441</c:v>
                </c:pt>
                <c:pt idx="43">
                  <c:v>73.271231243716315</c:v>
                </c:pt>
                <c:pt idx="44">
                  <c:v>74.208633567031839</c:v>
                </c:pt>
                <c:pt idx="45">
                  <c:v>75.153636635340192</c:v>
                </c:pt>
                <c:pt idx="46">
                  <c:v>76.106192212526537</c:v>
                </c:pt>
                <c:pt idx="47">
                  <c:v>77.066252062476025</c:v>
                </c:pt>
                <c:pt idx="48">
                  <c:v>78.033767949073848</c:v>
                </c:pt>
                <c:pt idx="49">
                  <c:v>79.008691636205128</c:v>
                </c:pt>
                <c:pt idx="50">
                  <c:v>79.990974887755087</c:v>
                </c:pt>
                <c:pt idx="51">
                  <c:v>80.980569467608873</c:v>
                </c:pt>
                <c:pt idx="52">
                  <c:v>81.977427139651638</c:v>
                </c:pt>
                <c:pt idx="53">
                  <c:v>82.981499667768574</c:v>
                </c:pt>
                <c:pt idx="54">
                  <c:v>83.992738815844831</c:v>
                </c:pt>
                <c:pt idx="55">
                  <c:v>85.011096347765573</c:v>
                </c:pt>
                <c:pt idx="56">
                  <c:v>86.036524027415979</c:v>
                </c:pt>
                <c:pt idx="57">
                  <c:v>87.068973618681213</c:v>
                </c:pt>
                <c:pt idx="58">
                  <c:v>88.108396885446425</c:v>
                </c:pt>
                <c:pt idx="59">
                  <c:v>89.154745591596836</c:v>
                </c:pt>
                <c:pt idx="60">
                  <c:v>90.207971501017553</c:v>
                </c:pt>
                <c:pt idx="61">
                  <c:v>91.26802637759377</c:v>
                </c:pt>
                <c:pt idx="62">
                  <c:v>92.334861985210651</c:v>
                </c:pt>
                <c:pt idx="63">
                  <c:v>93.408430087753374</c:v>
                </c:pt>
                <c:pt idx="64">
                  <c:v>94.488682449107088</c:v>
                </c:pt>
                <c:pt idx="65">
                  <c:v>95.575570833156974</c:v>
                </c:pt>
                <c:pt idx="66">
                  <c:v>96.669047003788179</c:v>
                </c:pt>
                <c:pt idx="67">
                  <c:v>97.769062724885927</c:v>
                </c:pt>
                <c:pt idx="68">
                  <c:v>98.87556976033531</c:v>
                </c:pt>
                <c:pt idx="69">
                  <c:v>99.988519874021534</c:v>
                </c:pt>
                <c:pt idx="70">
                  <c:v>101.10786482982977</c:v>
                </c:pt>
                <c:pt idx="71">
                  <c:v>102.23355639164518</c:v>
                </c:pt>
                <c:pt idx="72">
                  <c:v>103.36554632335292</c:v>
                </c:pt>
                <c:pt idx="73">
                  <c:v>104.50378638883817</c:v>
                </c:pt>
                <c:pt idx="74">
                  <c:v>105.64822835198608</c:v>
                </c:pt>
                <c:pt idx="75">
                  <c:v>106.79882397668186</c:v>
                </c:pt>
                <c:pt idx="76">
                  <c:v>107.95552502681062</c:v>
                </c:pt>
                <c:pt idx="77">
                  <c:v>109.11828326625756</c:v>
                </c:pt>
                <c:pt idx="78">
                  <c:v>110.28705045890787</c:v>
                </c:pt>
                <c:pt idx="79">
                  <c:v>111.46177836864665</c:v>
                </c:pt>
                <c:pt idx="80">
                  <c:v>112.64241875935915</c:v>
                </c:pt>
                <c:pt idx="81">
                  <c:v>113.82892339493046</c:v>
                </c:pt>
                <c:pt idx="82">
                  <c:v>115.0212440392458</c:v>
                </c:pt>
                <c:pt idx="83">
                  <c:v>116.21933245619033</c:v>
                </c:pt>
                <c:pt idx="84">
                  <c:v>117.42314040964921</c:v>
                </c:pt>
                <c:pt idx="85">
                  <c:v>118.6326196635076</c:v>
                </c:pt>
                <c:pt idx="86">
                  <c:v>119.84772198165065</c:v>
                </c:pt>
                <c:pt idx="87">
                  <c:v>121.06839912796359</c:v>
                </c:pt>
                <c:pt idx="88">
                  <c:v>122.2946028663315</c:v>
                </c:pt>
                <c:pt idx="89">
                  <c:v>123.52628496063963</c:v>
                </c:pt>
                <c:pt idx="90">
                  <c:v>124.76339717477313</c:v>
                </c:pt>
                <c:pt idx="91">
                  <c:v>126.00589127261713</c:v>
                </c:pt>
                <c:pt idx="92">
                  <c:v>127.2537190180568</c:v>
                </c:pt>
                <c:pt idx="93">
                  <c:v>128.50683217497735</c:v>
                </c:pt>
                <c:pt idx="94">
                  <c:v>129.76518250726392</c:v>
                </c:pt>
                <c:pt idx="95">
                  <c:v>131.02872177880167</c:v>
                </c:pt>
                <c:pt idx="96">
                  <c:v>132.29740175347578</c:v>
                </c:pt>
                <c:pt idx="97">
                  <c:v>133.57117419517138</c:v>
                </c:pt>
                <c:pt idx="98">
                  <c:v>134.8499908677737</c:v>
                </c:pt>
                <c:pt idx="99">
                  <c:v>136.13380353516789</c:v>
                </c:pt>
                <c:pt idx="100">
                  <c:v>137.42256396123909</c:v>
                </c:pt>
                <c:pt idx="101">
                  <c:v>138.7162239098725</c:v>
                </c:pt>
                <c:pt idx="102">
                  <c:v>140.01473514495328</c:v>
                </c:pt>
                <c:pt idx="103">
                  <c:v>141.31804943036659</c:v>
                </c:pt>
                <c:pt idx="104">
                  <c:v>142.6261185299976</c:v>
                </c:pt>
                <c:pt idx="105">
                  <c:v>143.93889420773141</c:v>
                </c:pt>
                <c:pt idx="106">
                  <c:v>145.25632822745331</c:v>
                </c:pt>
                <c:pt idx="107">
                  <c:v>146.57837235304839</c:v>
                </c:pt>
                <c:pt idx="108">
                  <c:v>147.90497834840187</c:v>
                </c:pt>
                <c:pt idx="109">
                  <c:v>149.23609797739883</c:v>
                </c:pt>
                <c:pt idx="110">
                  <c:v>150.57168300392453</c:v>
                </c:pt>
                <c:pt idx="111">
                  <c:v>151.91168519186408</c:v>
                </c:pt>
                <c:pt idx="112">
                  <c:v>153.2560563051027</c:v>
                </c:pt>
                <c:pt idx="113">
                  <c:v>154.6047481075255</c:v>
                </c:pt>
                <c:pt idx="114">
                  <c:v>155.95771236301763</c:v>
                </c:pt>
                <c:pt idx="115">
                  <c:v>157.31490083546436</c:v>
                </c:pt>
                <c:pt idx="116">
                  <c:v>158.67626528875076</c:v>
                </c:pt>
                <c:pt idx="117">
                  <c:v>160.04175748676207</c:v>
                </c:pt>
                <c:pt idx="118">
                  <c:v>161.41132919338335</c:v>
                </c:pt>
                <c:pt idx="119">
                  <c:v>162.78493217249991</c:v>
                </c:pt>
                <c:pt idx="120">
                  <c:v>164.1625181879968</c:v>
                </c:pt>
                <c:pt idx="121">
                  <c:v>165.54403900375925</c:v>
                </c:pt>
                <c:pt idx="122">
                  <c:v>166.9294463836724</c:v>
                </c:pt>
                <c:pt idx="123">
                  <c:v>168.31869209162141</c:v>
                </c:pt>
                <c:pt idx="124">
                  <c:v>169.71172789149156</c:v>
                </c:pt>
                <c:pt idx="125">
                  <c:v>171.10850554716785</c:v>
                </c:pt>
                <c:pt idx="126">
                  <c:v>172.50897682253554</c:v>
                </c:pt>
                <c:pt idx="127">
                  <c:v>173.91309348147973</c:v>
                </c:pt>
                <c:pt idx="128">
                  <c:v>175.32080728788569</c:v>
                </c:pt>
                <c:pt idx="129">
                  <c:v>176.73207000563849</c:v>
                </c:pt>
                <c:pt idx="130">
                  <c:v>178.14683339862336</c:v>
                </c:pt>
                <c:pt idx="131">
                  <c:v>179.56504923072544</c:v>
                </c:pt>
                <c:pt idx="132">
                  <c:v>180.9866692658299</c:v>
                </c:pt>
                <c:pt idx="133">
                  <c:v>182.41164526782194</c:v>
                </c:pt>
                <c:pt idx="134">
                  <c:v>183.83992900058669</c:v>
                </c:pt>
                <c:pt idx="135">
                  <c:v>185.27147222800932</c:v>
                </c:pt>
                <c:pt idx="136">
                  <c:v>186.70622671397498</c:v>
                </c:pt>
                <c:pt idx="137">
                  <c:v>188.14414422236888</c:v>
                </c:pt>
                <c:pt idx="138">
                  <c:v>189.58517651707618</c:v>
                </c:pt>
                <c:pt idx="139">
                  <c:v>191.029275361982</c:v>
                </c:pt>
                <c:pt idx="140">
                  <c:v>192.47639252097161</c:v>
                </c:pt>
                <c:pt idx="141">
                  <c:v>193.92647975793005</c:v>
                </c:pt>
                <c:pt idx="142">
                  <c:v>195.37948883674261</c:v>
                </c:pt>
                <c:pt idx="143">
                  <c:v>196.83537152129435</c:v>
                </c:pt>
                <c:pt idx="144">
                  <c:v>198.29407957547051</c:v>
                </c:pt>
                <c:pt idx="145">
                  <c:v>199.7555647631562</c:v>
                </c:pt>
                <c:pt idx="146">
                  <c:v>201.21977884823664</c:v>
                </c:pt>
                <c:pt idx="147">
                  <c:v>202.68667359459695</c:v>
                </c:pt>
                <c:pt idx="148">
                  <c:v>204.15620076612237</c:v>
                </c:pt>
                <c:pt idx="149">
                  <c:v>205.62831212669798</c:v>
                </c:pt>
                <c:pt idx="150">
                  <c:v>207.10295944020896</c:v>
                </c:pt>
                <c:pt idx="151">
                  <c:v>208.58009447054056</c:v>
                </c:pt>
                <c:pt idx="152">
                  <c:v>210.05966898157786</c:v>
                </c:pt>
                <c:pt idx="153">
                  <c:v>211.5416347372061</c:v>
                </c:pt>
                <c:pt idx="154">
                  <c:v>213.02594350131039</c:v>
                </c:pt>
                <c:pt idx="155">
                  <c:v>214.5125470377759</c:v>
                </c:pt>
                <c:pt idx="156">
                  <c:v>216.0013971104878</c:v>
                </c:pt>
                <c:pt idx="157">
                  <c:v>217.4924454833313</c:v>
                </c:pt>
                <c:pt idx="158">
                  <c:v>218.98564392019154</c:v>
                </c:pt>
                <c:pt idx="159">
                  <c:v>220.48094418495367</c:v>
                </c:pt>
                <c:pt idx="160">
                  <c:v>221.97829804150291</c:v>
                </c:pt>
                <c:pt idx="161">
                  <c:v>223.47765725372437</c:v>
                </c:pt>
                <c:pt idx="162">
                  <c:v>224.97897358550316</c:v>
                </c:pt>
                <c:pt idx="163">
                  <c:v>226.4821988007246</c:v>
                </c:pt>
                <c:pt idx="164">
                  <c:v>227.98728466327378</c:v>
                </c:pt>
                <c:pt idx="165">
                  <c:v>229.49418293703584</c:v>
                </c:pt>
                <c:pt idx="166">
                  <c:v>231.00284538589602</c:v>
                </c:pt>
                <c:pt idx="167">
                  <c:v>232.51322377373941</c:v>
                </c:pt>
                <c:pt idx="168">
                  <c:v>234.02526986445125</c:v>
                </c:pt>
                <c:pt idx="169">
                  <c:v>235.53893542191662</c:v>
                </c:pt>
                <c:pt idx="170">
                  <c:v>237.05417221002074</c:v>
                </c:pt>
                <c:pt idx="171">
                  <c:v>238.57093199264875</c:v>
                </c:pt>
                <c:pt idx="172">
                  <c:v>240.08916653368595</c:v>
                </c:pt>
                <c:pt idx="173">
                  <c:v>241.6088275970173</c:v>
                </c:pt>
                <c:pt idx="174">
                  <c:v>243.12986694652807</c:v>
                </c:pt>
                <c:pt idx="175">
                  <c:v>244.65223634610348</c:v>
                </c:pt>
                <c:pt idx="176">
                  <c:v>246.17588755962862</c:v>
                </c:pt>
                <c:pt idx="177">
                  <c:v>247.70077235098867</c:v>
                </c:pt>
                <c:pt idx="178">
                  <c:v>249.22684248406878</c:v>
                </c:pt>
                <c:pt idx="179">
                  <c:v>250.75404972275419</c:v>
                </c:pt>
                <c:pt idx="180">
                  <c:v>252.28234583092998</c:v>
                </c:pt>
                <c:pt idx="181">
                  <c:v>253.8116825724814</c:v>
                </c:pt>
                <c:pt idx="182">
                  <c:v>255.34201171129354</c:v>
                </c:pt>
                <c:pt idx="183">
                  <c:v>256.87328501125165</c:v>
                </c:pt>
                <c:pt idx="184">
                  <c:v>258.40545423624076</c:v>
                </c:pt>
                <c:pt idx="185">
                  <c:v>259.9384711501462</c:v>
                </c:pt>
                <c:pt idx="186">
                  <c:v>261.47228751685304</c:v>
                </c:pt>
                <c:pt idx="187">
                  <c:v>263.00685510024653</c:v>
                </c:pt>
                <c:pt idx="188">
                  <c:v>264.54212566421171</c:v>
                </c:pt>
                <c:pt idx="189">
                  <c:v>266.07805097263383</c:v>
                </c:pt>
                <c:pt idx="190">
                  <c:v>267.61458278939807</c:v>
                </c:pt>
                <c:pt idx="191">
                  <c:v>269.15167287838949</c:v>
                </c:pt>
                <c:pt idx="192">
                  <c:v>270.6892730034935</c:v>
                </c:pt>
                <c:pt idx="193">
                  <c:v>272.22733492859493</c:v>
                </c:pt>
                <c:pt idx="194">
                  <c:v>273.76581041757919</c:v>
                </c:pt>
                <c:pt idx="195">
                  <c:v>275.3046512343314</c:v>
                </c:pt>
                <c:pt idx="196">
                  <c:v>276.84380914273669</c:v>
                </c:pt>
                <c:pt idx="197">
                  <c:v>278.38323590668034</c:v>
                </c:pt>
                <c:pt idx="198">
                  <c:v>279.92288329004737</c:v>
                </c:pt>
                <c:pt idx="199">
                  <c:v>281.46270305672294</c:v>
                </c:pt>
                <c:pt idx="200">
                  <c:v>283.00264697059231</c:v>
                </c:pt>
                <c:pt idx="201">
                  <c:v>284.5426667955407</c:v>
                </c:pt>
                <c:pt idx="202">
                  <c:v>286.08271429545306</c:v>
                </c:pt>
                <c:pt idx="203">
                  <c:v>287.62274123421474</c:v>
                </c:pt>
                <c:pt idx="204">
                  <c:v>289.16269937571082</c:v>
                </c:pt>
                <c:pt idx="205">
                  <c:v>290.70254048382657</c:v>
                </c:pt>
                <c:pt idx="206">
                  <c:v>292.24221632244718</c:v>
                </c:pt>
                <c:pt idx="207">
                  <c:v>293.7816786554576</c:v>
                </c:pt>
                <c:pt idx="208">
                  <c:v>295.32087924674312</c:v>
                </c:pt>
                <c:pt idx="209">
                  <c:v>296.85976986018892</c:v>
                </c:pt>
                <c:pt idx="210">
                  <c:v>298.39830225968024</c:v>
                </c:pt>
                <c:pt idx="211">
                  <c:v>299.93642820910213</c:v>
                </c:pt>
                <c:pt idx="212">
                  <c:v>301.47409947233984</c:v>
                </c:pt>
                <c:pt idx="213">
                  <c:v>303.01126781327838</c:v>
                </c:pt>
                <c:pt idx="214">
                  <c:v>304.54788499580309</c:v>
                </c:pt>
                <c:pt idx="215">
                  <c:v>306.08390278379915</c:v>
                </c:pt>
                <c:pt idx="216">
                  <c:v>307.61927294115156</c:v>
                </c:pt>
                <c:pt idx="217">
                  <c:v>309.15394723174563</c:v>
                </c:pt>
                <c:pt idx="218">
                  <c:v>310.68787741946647</c:v>
                </c:pt>
                <c:pt idx="219">
                  <c:v>312.22101526819932</c:v>
                </c:pt>
                <c:pt idx="220">
                  <c:v>313.75331254182919</c:v>
                </c:pt>
                <c:pt idx="221">
                  <c:v>315.28472100424142</c:v>
                </c:pt>
                <c:pt idx="222">
                  <c:v>316.81519241932108</c:v>
                </c:pt>
                <c:pt idx="223">
                  <c:v>318.34467855095335</c:v>
                </c:pt>
                <c:pt idx="224">
                  <c:v>319.87313116302334</c:v>
                </c:pt>
                <c:pt idx="225">
                  <c:v>321.40050201941648</c:v>
                </c:pt>
                <c:pt idx="226">
                  <c:v>322.92674288401759</c:v>
                </c:pt>
                <c:pt idx="227">
                  <c:v>324.45180552071201</c:v>
                </c:pt>
                <c:pt idx="228">
                  <c:v>325.97564169338489</c:v>
                </c:pt>
                <c:pt idx="229">
                  <c:v>327.49820316592138</c:v>
                </c:pt>
                <c:pt idx="230">
                  <c:v>329.01944170220668</c:v>
                </c:pt>
                <c:pt idx="231">
                  <c:v>330.53930906612595</c:v>
                </c:pt>
                <c:pt idx="232">
                  <c:v>332.05775702156433</c:v>
                </c:pt>
                <c:pt idx="233">
                  <c:v>333.57473733240704</c:v>
                </c:pt>
                <c:pt idx="234">
                  <c:v>335.09020176253921</c:v>
                </c:pt>
                <c:pt idx="235">
                  <c:v>336.60410207584596</c:v>
                </c:pt>
                <c:pt idx="236">
                  <c:v>338.11639003621247</c:v>
                </c:pt>
                <c:pt idx="237">
                  <c:v>339.62701740752402</c:v>
                </c:pt>
                <c:pt idx="238">
                  <c:v>341.13593595366569</c:v>
                </c:pt>
                <c:pt idx="239">
                  <c:v>342.64309743852266</c:v>
                </c:pt>
                <c:pt idx="240">
                  <c:v>344.14845362598004</c:v>
                </c:pt>
                <c:pt idx="241">
                  <c:v>345.65195627992307</c:v>
                </c:pt>
                <c:pt idx="242">
                  <c:v>347.15355716423699</c:v>
                </c:pt>
                <c:pt idx="243">
                  <c:v>348.65320804280674</c:v>
                </c:pt>
                <c:pt idx="244">
                  <c:v>350.15086067951779</c:v>
                </c:pt>
                <c:pt idx="245">
                  <c:v>351.64646683825498</c:v>
                </c:pt>
                <c:pt idx="246">
                  <c:v>353.13997828290377</c:v>
                </c:pt>
                <c:pt idx="247">
                  <c:v>354.63134677734922</c:v>
                </c:pt>
                <c:pt idx="248">
                  <c:v>356.12052408547629</c:v>
                </c:pt>
                <c:pt idx="249">
                  <c:v>357.60746197117055</c:v>
                </c:pt>
                <c:pt idx="250">
                  <c:v>359.09211219831684</c:v>
                </c:pt>
                <c:pt idx="251">
                  <c:v>360.57442653080045</c:v>
                </c:pt>
                <c:pt idx="252">
                  <c:v>362.05435673250645</c:v>
                </c:pt>
                <c:pt idx="253">
                  <c:v>363.53185456732018</c:v>
                </c:pt>
                <c:pt idx="254">
                  <c:v>365.00687179912677</c:v>
                </c:pt>
                <c:pt idx="255">
                  <c:v>366.47936019181117</c:v>
                </c:pt>
                <c:pt idx="256">
                  <c:v>367.94927150925878</c:v>
                </c:pt>
                <c:pt idx="257">
                  <c:v>369.41655751535473</c:v>
                </c:pt>
                <c:pt idx="258">
                  <c:v>370.88116997398424</c:v>
                </c:pt>
                <c:pt idx="259">
                  <c:v>372.34306064903228</c:v>
                </c:pt>
                <c:pt idx="260">
                  <c:v>373.80218130438425</c:v>
                </c:pt>
                <c:pt idx="261">
                  <c:v>375.25848370392509</c:v>
                </c:pt>
                <c:pt idx="262">
                  <c:v>376.71191961154011</c:v>
                </c:pt>
                <c:pt idx="263">
                  <c:v>378.16244079111442</c:v>
                </c:pt>
                <c:pt idx="264">
                  <c:v>379.60999900653337</c:v>
                </c:pt>
                <c:pt idx="265">
                  <c:v>381.05454602168169</c:v>
                </c:pt>
                <c:pt idx="266">
                  <c:v>382.49603360044506</c:v>
                </c:pt>
                <c:pt idx="267">
                  <c:v>383.93441350670844</c:v>
                </c:pt>
                <c:pt idx="268">
                  <c:v>385.36963750435677</c:v>
                </c:pt>
                <c:pt idx="269">
                  <c:v>386.80165735727564</c:v>
                </c:pt>
                <c:pt idx="270">
                  <c:v>388.23042482934977</c:v>
                </c:pt>
                <c:pt idx="271">
                  <c:v>389.6558916844649</c:v>
                </c:pt>
                <c:pt idx="272">
                  <c:v>391.07800968650554</c:v>
                </c:pt>
                <c:pt idx="273">
                  <c:v>392.49673059935714</c:v>
                </c:pt>
                <c:pt idx="274">
                  <c:v>393.91200618690505</c:v>
                </c:pt>
                <c:pt idx="275">
                  <c:v>395.32378821303422</c:v>
                </c:pt>
                <c:pt idx="276">
                  <c:v>396.73202844163006</c:v>
                </c:pt>
                <c:pt idx="277">
                  <c:v>398.13667863657741</c:v>
                </c:pt>
                <c:pt idx="278">
                  <c:v>399.53769056176156</c:v>
                </c:pt>
                <c:pt idx="279">
                  <c:v>400.93501598106769</c:v>
                </c:pt>
                <c:pt idx="280">
                  <c:v>402.32860665838109</c:v>
                </c:pt>
                <c:pt idx="281">
                  <c:v>403.71841435758677</c:v>
                </c:pt>
                <c:pt idx="282">
                  <c:v>405.10439084256996</c:v>
                </c:pt>
                <c:pt idx="283">
                  <c:v>406.48648787721572</c:v>
                </c:pt>
                <c:pt idx="284">
                  <c:v>407.86465722540947</c:v>
                </c:pt>
                <c:pt idx="285">
                  <c:v>409.23885065103605</c:v>
                </c:pt>
                <c:pt idx="286">
                  <c:v>410.60901991798096</c:v>
                </c:pt>
                <c:pt idx="287">
                  <c:v>411.97511679012905</c:v>
                </c:pt>
                <c:pt idx="288">
                  <c:v>413.33709303136584</c:v>
                </c:pt>
                <c:pt idx="289">
                  <c:v>414.69490040557611</c:v>
                </c:pt>
                <c:pt idx="290">
                  <c:v>416.04849067664537</c:v>
                </c:pt>
                <c:pt idx="291">
                  <c:v>417.39781560845847</c:v>
                </c:pt>
                <c:pt idx="292">
                  <c:v>418.74282696490081</c:v>
                </c:pt>
                <c:pt idx="293">
                  <c:v>420.08347650985746</c:v>
                </c:pt>
                <c:pt idx="294">
                  <c:v>421.41971600721376</c:v>
                </c:pt>
                <c:pt idx="295">
                  <c:v>422.75149722085462</c:v>
                </c:pt>
                <c:pt idx="296">
                  <c:v>424.07877191466531</c:v>
                </c:pt>
                <c:pt idx="297">
                  <c:v>425.40149185253108</c:v>
                </c:pt>
                <c:pt idx="298">
                  <c:v>426.71960879833694</c:v>
                </c:pt>
                <c:pt idx="299">
                  <c:v>428.03307451596811</c:v>
                </c:pt>
                <c:pt idx="300">
                  <c:v>429.3418407693099</c:v>
                </c:pt>
                <c:pt idx="301">
                  <c:v>430.64585932224736</c:v>
                </c:pt>
                <c:pt idx="302">
                  <c:v>431.94508193866568</c:v>
                </c:pt>
                <c:pt idx="303">
                  <c:v>433.23946038244992</c:v>
                </c:pt>
                <c:pt idx="304">
                  <c:v>434.52894641748549</c:v>
                </c:pt>
                <c:pt idx="305">
                  <c:v>435.81349180765721</c:v>
                </c:pt>
                <c:pt idx="306">
                  <c:v>437.09304831685063</c:v>
                </c:pt>
                <c:pt idx="307">
                  <c:v>438.36756770895067</c:v>
                </c:pt>
                <c:pt idx="308">
                  <c:v>439.63700174784242</c:v>
                </c:pt>
                <c:pt idx="309">
                  <c:v>440.90130219741138</c:v>
                </c:pt>
                <c:pt idx="310">
                  <c:v>442.16042082154252</c:v>
                </c:pt>
                <c:pt idx="311">
                  <c:v>443.41430938412094</c:v>
                </c:pt>
                <c:pt idx="312">
                  <c:v>444.66291964903195</c:v>
                </c:pt>
                <c:pt idx="313">
                  <c:v>445.90620338016043</c:v>
                </c:pt>
                <c:pt idx="314">
                  <c:v>447.14411234139192</c:v>
                </c:pt>
                <c:pt idx="315">
                  <c:v>448.37659829661146</c:v>
                </c:pt>
                <c:pt idx="316">
                  <c:v>449.60361300970419</c:v>
                </c:pt>
                <c:pt idx="317">
                  <c:v>450.82510824455517</c:v>
                </c:pt>
                <c:pt idx="318">
                  <c:v>452.04103576504986</c:v>
                </c:pt>
                <c:pt idx="319">
                  <c:v>453.25134733507309</c:v>
                </c:pt>
                <c:pt idx="320">
                  <c:v>454.45599471851028</c:v>
                </c:pt>
                <c:pt idx="321">
                  <c:v>455.65492967924644</c:v>
                </c:pt>
                <c:pt idx="322">
                  <c:v>456.84810398116679</c:v>
                </c:pt>
                <c:pt idx="323">
                  <c:v>458.03546938815651</c:v>
                </c:pt>
                <c:pt idx="324">
                  <c:v>459.21697766410068</c:v>
                </c:pt>
                <c:pt idx="325">
                  <c:v>460.39258057288475</c:v>
                </c:pt>
                <c:pt idx="326">
                  <c:v>461.56222987839345</c:v>
                </c:pt>
                <c:pt idx="327">
                  <c:v>462.7258773445123</c:v>
                </c:pt>
                <c:pt idx="328">
                  <c:v>463.88347473512636</c:v>
                </c:pt>
                <c:pt idx="329">
                  <c:v>465.0349738141208</c:v>
                </c:pt>
                <c:pt idx="330">
                  <c:v>466.18032634538065</c:v>
                </c:pt>
                <c:pt idx="331">
                  <c:v>467.31948409279141</c:v>
                </c:pt>
                <c:pt idx="332">
                  <c:v>468.45239882023782</c:v>
                </c:pt>
                <c:pt idx="333">
                  <c:v>469.5790222916055</c:v>
                </c:pt>
                <c:pt idx="334">
                  <c:v>470.69930627077923</c:v>
                </c:pt>
                <c:pt idx="335">
                  <c:v>471.81320252164426</c:v>
                </c:pt>
                <c:pt idx="336">
                  <c:v>472.92066280808604</c:v>
                </c:pt>
                <c:pt idx="337">
                  <c:v>474.02163889398935</c:v>
                </c:pt>
                <c:pt idx="338">
                  <c:v>475.11608254323949</c:v>
                </c:pt>
                <c:pt idx="339">
                  <c:v>476.20394551972186</c:v>
                </c:pt>
                <c:pt idx="340">
                  <c:v>477.2851795873213</c:v>
                </c:pt>
                <c:pt idx="341">
                  <c:v>478.35973650992321</c:v>
                </c:pt>
                <c:pt idx="342">
                  <c:v>479.42756805141255</c:v>
                </c:pt>
                <c:pt idx="343">
                  <c:v>480.48862597567467</c:v>
                </c:pt>
                <c:pt idx="344">
                  <c:v>481.54286204659473</c:v>
                </c:pt>
                <c:pt idx="345">
                  <c:v>482.59022802805777</c:v>
                </c:pt>
                <c:pt idx="346">
                  <c:v>483.63067568394905</c:v>
                </c:pt>
                <c:pt idx="347">
                  <c:v>484.66415677815365</c:v>
                </c:pt>
                <c:pt idx="348">
                  <c:v>485.69062307455681</c:v>
                </c:pt>
                <c:pt idx="349">
                  <c:v>486.7100263370437</c:v>
                </c:pt>
                <c:pt idx="350">
                  <c:v>487.7223183294995</c:v>
                </c:pt>
                <c:pt idx="351">
                  <c:v>488.72745081580928</c:v>
                </c:pt>
                <c:pt idx="352">
                  <c:v>489.72537555985832</c:v>
                </c:pt>
                <c:pt idx="353">
                  <c:v>490.7160443255317</c:v>
                </c:pt>
                <c:pt idx="354">
                  <c:v>491.69940887671487</c:v>
                </c:pt>
                <c:pt idx="355">
                  <c:v>492.67542097729239</c:v>
                </c:pt>
                <c:pt idx="356">
                  <c:v>493.64403239114995</c:v>
                </c:pt>
                <c:pt idx="357">
                  <c:v>494.60519488217267</c:v>
                </c:pt>
                <c:pt idx="358">
                  <c:v>495.55886021424561</c:v>
                </c:pt>
                <c:pt idx="359">
                  <c:v>496.50498015125373</c:v>
                </c:pt>
                <c:pt idx="360">
                  <c:v>497.44350645708261</c:v>
                </c:pt>
                <c:pt idx="361">
                  <c:v>498.37439089561707</c:v>
                </c:pt>
                <c:pt idx="362">
                  <c:v>499.29758523074247</c:v>
                </c:pt>
                <c:pt idx="363">
                  <c:v>500.21304122634399</c:v>
                </c:pt>
                <c:pt idx="364">
                  <c:v>501.12071064630669</c:v>
                </c:pt>
                <c:pt idx="365">
                  <c:v>502.02054525451575</c:v>
                </c:pt>
                <c:pt idx="366">
                  <c:v>502.91249681485647</c:v>
                </c:pt>
              </c:numCache>
            </c:numRef>
          </c:xVal>
          <c:yVal>
            <c:numRef>
              <c:f>'Model tilvækst, slagteform, fe'!$BG$9:$BG$376</c:f>
              <c:numCache>
                <c:formatCode>General</c:formatCode>
                <c:ptCount val="368"/>
                <c:pt idx="0">
                  <c:v>564</c:v>
                </c:pt>
                <c:pt idx="1">
                  <c:v>564.93892399270612</c:v>
                </c:pt>
                <c:pt idx="2">
                  <c:v>574.61382192332167</c:v>
                </c:pt>
                <c:pt idx="3">
                  <c:v>584.24048373911569</c:v>
                </c:pt>
                <c:pt idx="4">
                  <c:v>593.81890944006705</c:v>
                </c:pt>
                <c:pt idx="5">
                  <c:v>603.34909902618256</c:v>
                </c:pt>
                <c:pt idx="6">
                  <c:v>612.83105249747655</c:v>
                </c:pt>
                <c:pt idx="7">
                  <c:v>622.26476985393469</c:v>
                </c:pt>
                <c:pt idx="8">
                  <c:v>631.65025109556439</c:v>
                </c:pt>
                <c:pt idx="9">
                  <c:v>640.98749622235118</c:v>
                </c:pt>
                <c:pt idx="10">
                  <c:v>650.27650523430225</c:v>
                </c:pt>
                <c:pt idx="11">
                  <c:v>659.51727813143179</c:v>
                </c:pt>
                <c:pt idx="12">
                  <c:v>668.70981491373982</c:v>
                </c:pt>
                <c:pt idx="13">
                  <c:v>677.85411558118369</c:v>
                </c:pt>
                <c:pt idx="14">
                  <c:v>686.95018013382742</c:v>
                </c:pt>
                <c:pt idx="15">
                  <c:v>695.99800857161404</c:v>
                </c:pt>
                <c:pt idx="16">
                  <c:v>704.99760089457197</c:v>
                </c:pt>
                <c:pt idx="17">
                  <c:v>713.94895710271555</c:v>
                </c:pt>
                <c:pt idx="18">
                  <c:v>722.85207719600919</c:v>
                </c:pt>
                <c:pt idx="19">
                  <c:v>731.70696117447415</c:v>
                </c:pt>
                <c:pt idx="20">
                  <c:v>740.51360903811769</c:v>
                </c:pt>
                <c:pt idx="21">
                  <c:v>749.27202078690414</c:v>
                </c:pt>
                <c:pt idx="22">
                  <c:v>757.98219642086906</c:v>
                </c:pt>
                <c:pt idx="23">
                  <c:v>766.64413594001246</c:v>
                </c:pt>
                <c:pt idx="24">
                  <c:v>775.25783934431297</c:v>
                </c:pt>
                <c:pt idx="25">
                  <c:v>783.82330663378502</c:v>
                </c:pt>
                <c:pt idx="26">
                  <c:v>792.34053780842828</c:v>
                </c:pt>
                <c:pt idx="27">
                  <c:v>800.80953286822159</c:v>
                </c:pt>
                <c:pt idx="28">
                  <c:v>809.23029181320067</c:v>
                </c:pt>
                <c:pt idx="29">
                  <c:v>817.60281464334389</c:v>
                </c:pt>
                <c:pt idx="30">
                  <c:v>825.92710135865127</c:v>
                </c:pt>
                <c:pt idx="31">
                  <c:v>834.20315195912303</c:v>
                </c:pt>
                <c:pt idx="32">
                  <c:v>842.43096644476623</c:v>
                </c:pt>
                <c:pt idx="33">
                  <c:v>850.61054481557358</c:v>
                </c:pt>
                <c:pt idx="34">
                  <c:v>858.74188707154531</c:v>
                </c:pt>
                <c:pt idx="35">
                  <c:v>866.82499321270257</c:v>
                </c:pt>
                <c:pt idx="36">
                  <c:v>874.85986323900988</c:v>
                </c:pt>
                <c:pt idx="37">
                  <c:v>882.84649715048147</c:v>
                </c:pt>
                <c:pt idx="38">
                  <c:v>890.78489494714574</c:v>
                </c:pt>
                <c:pt idx="39">
                  <c:v>898.67505662894587</c:v>
                </c:pt>
                <c:pt idx="40">
                  <c:v>906.51698219592447</c:v>
                </c:pt>
                <c:pt idx="41">
                  <c:v>914.31067164808155</c:v>
                </c:pt>
                <c:pt idx="42">
                  <c:v>922.0561249854029</c:v>
                </c:pt>
                <c:pt idx="43">
                  <c:v>929.75334220787431</c:v>
                </c:pt>
                <c:pt idx="44">
                  <c:v>937.4023233155242</c:v>
                </c:pt>
                <c:pt idx="45">
                  <c:v>945.00306830835257</c:v>
                </c:pt>
                <c:pt idx="46">
                  <c:v>952.5555771863452</c:v>
                </c:pt>
                <c:pt idx="47">
                  <c:v>960.0598499494879</c:v>
                </c:pt>
                <c:pt idx="48">
                  <c:v>967.51588659782328</c:v>
                </c:pt>
                <c:pt idx="49">
                  <c:v>974.9236871312803</c:v>
                </c:pt>
                <c:pt idx="50">
                  <c:v>982.28325154995844</c:v>
                </c:pt>
                <c:pt idx="51">
                  <c:v>989.59457985378663</c:v>
                </c:pt>
                <c:pt idx="52">
                  <c:v>996.85767204276488</c:v>
                </c:pt>
                <c:pt idx="53">
                  <c:v>1004.0725281169358</c:v>
                </c:pt>
                <c:pt idx="54">
                  <c:v>1011.2391480762568</c:v>
                </c:pt>
                <c:pt idx="55">
                  <c:v>1018.3575319207421</c:v>
                </c:pt>
                <c:pt idx="56">
                  <c:v>1025.4276796504059</c:v>
                </c:pt>
                <c:pt idx="57">
                  <c:v>1032.4495912652337</c:v>
                </c:pt>
                <c:pt idx="58">
                  <c:v>1039.4232667652118</c:v>
                </c:pt>
                <c:pt idx="59">
                  <c:v>1046.3487061504111</c:v>
                </c:pt>
                <c:pt idx="60">
                  <c:v>1053.2259094207177</c:v>
                </c:pt>
                <c:pt idx="61">
                  <c:v>1060.0548765762169</c:v>
                </c:pt>
                <c:pt idx="62">
                  <c:v>1066.8356076168807</c:v>
                </c:pt>
                <c:pt idx="63">
                  <c:v>1073.5681025427225</c:v>
                </c:pt>
                <c:pt idx="64">
                  <c:v>1080.2523613537146</c:v>
                </c:pt>
                <c:pt idx="65">
                  <c:v>1086.8883840498852</c:v>
                </c:pt>
                <c:pt idx="66">
                  <c:v>1093.4761706312061</c:v>
                </c:pt>
                <c:pt idx="67">
                  <c:v>1100.0157210977477</c:v>
                </c:pt>
                <c:pt idx="68">
                  <c:v>1106.5070354493828</c:v>
                </c:pt>
                <c:pt idx="69">
                  <c:v>1112.9501136862245</c:v>
                </c:pt>
                <c:pt idx="70">
                  <c:v>1119.3449558082307</c:v>
                </c:pt>
                <c:pt idx="71">
                  <c:v>1125.6915618154153</c:v>
                </c:pt>
                <c:pt idx="72">
                  <c:v>1131.9899317077356</c:v>
                </c:pt>
                <c:pt idx="73">
                  <c:v>1138.240065485249</c:v>
                </c:pt>
                <c:pt idx="74">
                  <c:v>1144.4419631479122</c:v>
                </c:pt>
                <c:pt idx="75">
                  <c:v>1150.5956246957821</c:v>
                </c:pt>
                <c:pt idx="76">
                  <c:v>1156.7010501287598</c:v>
                </c:pt>
                <c:pt idx="77">
                  <c:v>1162.7582394469441</c:v>
                </c:pt>
                <c:pt idx="78">
                  <c:v>1168.7671926503072</c:v>
                </c:pt>
                <c:pt idx="79">
                  <c:v>1174.7279097387775</c:v>
                </c:pt>
                <c:pt idx="80">
                  <c:v>1180.6403907124973</c:v>
                </c:pt>
                <c:pt idx="81">
                  <c:v>1186.5046355713105</c:v>
                </c:pt>
                <c:pt idx="82">
                  <c:v>1192.3206443153447</c:v>
                </c:pt>
                <c:pt idx="83">
                  <c:v>1198.0884169445289</c:v>
                </c:pt>
                <c:pt idx="84">
                  <c:v>1203.8079534588774</c:v>
                </c:pt>
                <c:pt idx="85">
                  <c:v>1209.4792538583902</c:v>
                </c:pt>
                <c:pt idx="86">
                  <c:v>1215.1023181430533</c:v>
                </c:pt>
                <c:pt idx="87">
                  <c:v>1220.6771463129371</c:v>
                </c:pt>
                <c:pt idx="88">
                  <c:v>1226.2037383679144</c:v>
                </c:pt>
                <c:pt idx="89">
                  <c:v>1231.6820943081268</c:v>
                </c:pt>
                <c:pt idx="90">
                  <c:v>1237.1122141335036</c:v>
                </c:pt>
                <c:pt idx="91">
                  <c:v>1242.494097844002</c:v>
                </c:pt>
                <c:pt idx="92">
                  <c:v>1247.8277454396648</c:v>
                </c:pt>
                <c:pt idx="93">
                  <c:v>1253.1131569205486</c:v>
                </c:pt>
                <c:pt idx="94">
                  <c:v>1258.3503322865681</c:v>
                </c:pt>
                <c:pt idx="95">
                  <c:v>1263.539271537752</c:v>
                </c:pt>
                <c:pt idx="96">
                  <c:v>1268.6799746741144</c:v>
                </c:pt>
                <c:pt idx="97">
                  <c:v>1273.7724416955984</c:v>
                </c:pt>
                <c:pt idx="98">
                  <c:v>1278.8166726023178</c:v>
                </c:pt>
                <c:pt idx="99">
                  <c:v>1283.8126673941872</c:v>
                </c:pt>
                <c:pt idx="100">
                  <c:v>1288.7604260712067</c:v>
                </c:pt>
                <c:pt idx="101">
                  <c:v>1293.6599486334046</c:v>
                </c:pt>
                <c:pt idx="102">
                  <c:v>1298.511235080781</c:v>
                </c:pt>
                <c:pt idx="103">
                  <c:v>1303.3142854133075</c:v>
                </c:pt>
                <c:pt idx="104">
                  <c:v>1308.0690996310125</c:v>
                </c:pt>
                <c:pt idx="105">
                  <c:v>1312.7756777338107</c:v>
                </c:pt>
                <c:pt idx="106">
                  <c:v>1317.434019721901</c:v>
                </c:pt>
                <c:pt idx="107">
                  <c:v>1322.0441255950846</c:v>
                </c:pt>
                <c:pt idx="108">
                  <c:v>1326.605995353475</c:v>
                </c:pt>
                <c:pt idx="109">
                  <c:v>1331.1196289969587</c:v>
                </c:pt>
                <c:pt idx="110">
                  <c:v>1335.5850265257061</c:v>
                </c:pt>
                <c:pt idx="111">
                  <c:v>1340.0021879395467</c:v>
                </c:pt>
                <c:pt idx="112">
                  <c:v>1344.3711132386227</c:v>
                </c:pt>
                <c:pt idx="113">
                  <c:v>1348.6918024227919</c:v>
                </c:pt>
                <c:pt idx="114">
                  <c:v>1352.9642554921395</c:v>
                </c:pt>
                <c:pt idx="115">
                  <c:v>1357.1884724467225</c:v>
                </c:pt>
                <c:pt idx="116">
                  <c:v>1361.3644532863987</c:v>
                </c:pt>
                <c:pt idx="117">
                  <c:v>1365.4921980113102</c:v>
                </c:pt>
                <c:pt idx="118">
                  <c:v>1369.5717066212865</c:v>
                </c:pt>
                <c:pt idx="119">
                  <c:v>1373.6029791165549</c:v>
                </c:pt>
                <c:pt idx="120">
                  <c:v>1377.5860154968882</c:v>
                </c:pt>
                <c:pt idx="121">
                  <c:v>1381.5208157624568</c:v>
                </c:pt>
                <c:pt idx="122">
                  <c:v>1385.407379913147</c:v>
                </c:pt>
                <c:pt idx="123">
                  <c:v>1389.2457079490157</c:v>
                </c:pt>
                <c:pt idx="124">
                  <c:v>1393.0357998701481</c:v>
                </c:pt>
                <c:pt idx="125">
                  <c:v>1396.7776556762885</c:v>
                </c:pt>
                <c:pt idx="126">
                  <c:v>1400.4712753676927</c:v>
                </c:pt>
                <c:pt idx="127">
                  <c:v>1404.11665894419</c:v>
                </c:pt>
                <c:pt idx="128">
                  <c:v>1407.7138064059511</c:v>
                </c:pt>
                <c:pt idx="129">
                  <c:v>1411.2627177528054</c:v>
                </c:pt>
                <c:pt idx="130">
                  <c:v>1414.7633929848666</c:v>
                </c:pt>
                <c:pt idx="131">
                  <c:v>1418.2158321020779</c:v>
                </c:pt>
                <c:pt idx="132">
                  <c:v>1421.6200351044677</c:v>
                </c:pt>
                <c:pt idx="133">
                  <c:v>1424.9760019920359</c:v>
                </c:pt>
                <c:pt idx="134">
                  <c:v>1428.2837327647542</c:v>
                </c:pt>
                <c:pt idx="135">
                  <c:v>1431.5432274226225</c:v>
                </c:pt>
                <c:pt idx="136">
                  <c:v>1434.7544859656693</c:v>
                </c:pt>
                <c:pt idx="137">
                  <c:v>1437.9175083938946</c:v>
                </c:pt>
                <c:pt idx="138">
                  <c:v>1441.0322947072984</c:v>
                </c:pt>
                <c:pt idx="139">
                  <c:v>1444.0988449058239</c:v>
                </c:pt>
                <c:pt idx="140">
                  <c:v>1447.117158989613</c:v>
                </c:pt>
                <c:pt idx="141">
                  <c:v>1450.0872369584386</c:v>
                </c:pt>
                <c:pt idx="142">
                  <c:v>1453.0090788125563</c:v>
                </c:pt>
                <c:pt idx="143">
                  <c:v>1455.8826845517387</c:v>
                </c:pt>
                <c:pt idx="144">
                  <c:v>1458.7080541761566</c:v>
                </c:pt>
                <c:pt idx="145">
                  <c:v>1461.485187685696</c:v>
                </c:pt>
                <c:pt idx="146">
                  <c:v>1464.2140850804424</c:v>
                </c:pt>
                <c:pt idx="147">
                  <c:v>1466.8947463603104</c:v>
                </c:pt>
                <c:pt idx="148">
                  <c:v>1469.5271715254137</c:v>
                </c:pt>
                <c:pt idx="149">
                  <c:v>1472.1113605756102</c:v>
                </c:pt>
                <c:pt idx="150">
                  <c:v>1474.6473135109852</c:v>
                </c:pt>
                <c:pt idx="151">
                  <c:v>1477.1350303315955</c:v>
                </c:pt>
                <c:pt idx="152">
                  <c:v>1479.5745110372991</c:v>
                </c:pt>
                <c:pt idx="153">
                  <c:v>1481.965755628238</c:v>
                </c:pt>
                <c:pt idx="154">
                  <c:v>1484.3087641042985</c:v>
                </c:pt>
                <c:pt idx="155">
                  <c:v>1486.603536465509</c:v>
                </c:pt>
                <c:pt idx="156">
                  <c:v>1488.8500727118981</c:v>
                </c:pt>
                <c:pt idx="157">
                  <c:v>1491.048372843494</c:v>
                </c:pt>
                <c:pt idx="158">
                  <c:v>1493.19843686024</c:v>
                </c:pt>
                <c:pt idx="159">
                  <c:v>1495.3002647621361</c:v>
                </c:pt>
                <c:pt idx="160">
                  <c:v>1497.353856549239</c:v>
                </c:pt>
                <c:pt idx="161">
                  <c:v>1499.3592122214636</c:v>
                </c:pt>
                <c:pt idx="162">
                  <c:v>1501.3163317787814</c:v>
                </c:pt>
                <c:pt idx="163">
                  <c:v>1503.2252152214483</c:v>
                </c:pt>
                <c:pt idx="164">
                  <c:v>1505.0858625491799</c:v>
                </c:pt>
                <c:pt idx="165">
                  <c:v>1506.8982737620615</c:v>
                </c:pt>
                <c:pt idx="166">
                  <c:v>1508.6624488601785</c:v>
                </c:pt>
                <c:pt idx="167">
                  <c:v>1510.3783878433887</c:v>
                </c:pt>
                <c:pt idx="168">
                  <c:v>1512.0460907118343</c:v>
                </c:pt>
                <c:pt idx="169">
                  <c:v>1513.665557465373</c:v>
                </c:pt>
                <c:pt idx="170">
                  <c:v>1515.2367881041187</c:v>
                </c:pt>
                <c:pt idx="171">
                  <c:v>1516.7597826280144</c:v>
                </c:pt>
                <c:pt idx="172">
                  <c:v>1518.2345410372022</c:v>
                </c:pt>
                <c:pt idx="173">
                  <c:v>1519.6610633313412</c:v>
                </c:pt>
                <c:pt idx="174">
                  <c:v>1521.0393495107724</c:v>
                </c:pt>
                <c:pt idx="175">
                  <c:v>1522.3693995754104</c:v>
                </c:pt>
                <c:pt idx="176">
                  <c:v>1523.6512135251417</c:v>
                </c:pt>
                <c:pt idx="177">
                  <c:v>1524.8847913600514</c:v>
                </c:pt>
                <c:pt idx="178">
                  <c:v>1526.0701330801112</c:v>
                </c:pt>
                <c:pt idx="179">
                  <c:v>1527.2072386854063</c:v>
                </c:pt>
                <c:pt idx="180">
                  <c:v>1528.2961081757946</c:v>
                </c:pt>
                <c:pt idx="181">
                  <c:v>1529.3367415514183</c:v>
                </c:pt>
                <c:pt idx="182">
                  <c:v>1530.3291388121352</c:v>
                </c:pt>
                <c:pt idx="183">
                  <c:v>1531.2732999581158</c:v>
                </c:pt>
                <c:pt idx="184">
                  <c:v>1532.1692249891044</c:v>
                </c:pt>
                <c:pt idx="185">
                  <c:v>1533.0169139054419</c:v>
                </c:pt>
                <c:pt idx="186">
                  <c:v>1533.8163667068443</c:v>
                </c:pt>
                <c:pt idx="187">
                  <c:v>1534.567583393482</c:v>
                </c:pt>
                <c:pt idx="188">
                  <c:v>1535.2705639651845</c:v>
                </c:pt>
                <c:pt idx="189">
                  <c:v>1535.9253084221223</c:v>
                </c:pt>
                <c:pt idx="190">
                  <c:v>1536.5318167642386</c:v>
                </c:pt>
                <c:pt idx="191">
                  <c:v>1537.0900889914196</c:v>
                </c:pt>
                <c:pt idx="192">
                  <c:v>1537.6001251040066</c:v>
                </c:pt>
                <c:pt idx="193">
                  <c:v>1538.0619251014309</c:v>
                </c:pt>
                <c:pt idx="194">
                  <c:v>1538.4754889842611</c:v>
                </c:pt>
                <c:pt idx="195">
                  <c:v>1538.840816752213</c:v>
                </c:pt>
                <c:pt idx="196">
                  <c:v>1539.1579084052864</c:v>
                </c:pt>
                <c:pt idx="197">
                  <c:v>1539.4267639436521</c:v>
                </c:pt>
                <c:pt idx="198">
                  <c:v>1539.6473833670257</c:v>
                </c:pt>
                <c:pt idx="199">
                  <c:v>1539.8197666755777</c:v>
                </c:pt>
                <c:pt idx="200">
                  <c:v>1539.9439138693651</c:v>
                </c:pt>
                <c:pt idx="201">
                  <c:v>1540.0198249483878</c:v>
                </c:pt>
                <c:pt idx="202">
                  <c:v>1540.0474999123617</c:v>
                </c:pt>
                <c:pt idx="203">
                  <c:v>1540.0269387616845</c:v>
                </c:pt>
                <c:pt idx="204">
                  <c:v>1539.9581414960721</c:v>
                </c:pt>
                <c:pt idx="205">
                  <c:v>1539.8411081157519</c:v>
                </c:pt>
                <c:pt idx="206">
                  <c:v>1539.6758386206102</c:v>
                </c:pt>
                <c:pt idx="207">
                  <c:v>1539.4623330104196</c:v>
                </c:pt>
                <c:pt idx="208">
                  <c:v>1539.2005912855211</c:v>
                </c:pt>
                <c:pt idx="209">
                  <c:v>1538.8906134458011</c:v>
                </c:pt>
                <c:pt idx="210">
                  <c:v>1538.5323994913165</c:v>
                </c:pt>
                <c:pt idx="211">
                  <c:v>1538.1259494218966</c:v>
                </c:pt>
                <c:pt idx="212">
                  <c:v>1537.6712632377121</c:v>
                </c:pt>
                <c:pt idx="213">
                  <c:v>1537.1683409385355</c:v>
                </c:pt>
                <c:pt idx="214">
                  <c:v>1536.6171825247079</c:v>
                </c:pt>
                <c:pt idx="215">
                  <c:v>1536.0177879960588</c:v>
                </c:pt>
                <c:pt idx="216">
                  <c:v>1535.3701573524177</c:v>
                </c:pt>
                <c:pt idx="217">
                  <c:v>1534.6742905940687</c:v>
                </c:pt>
                <c:pt idx="218">
                  <c:v>1533.9301877208413</c:v>
                </c:pt>
                <c:pt idx="219">
                  <c:v>1533.1378487328493</c:v>
                </c:pt>
                <c:pt idx="220">
                  <c:v>1532.2972736298652</c:v>
                </c:pt>
                <c:pt idx="221">
                  <c:v>1531.4084624122302</c:v>
                </c:pt>
                <c:pt idx="222">
                  <c:v>1530.4714150796599</c:v>
                </c:pt>
                <c:pt idx="223">
                  <c:v>1529.4861316322681</c:v>
                </c:pt>
                <c:pt idx="224">
                  <c:v>1528.4526120699979</c:v>
                </c:pt>
                <c:pt idx="225">
                  <c:v>1527.3708563931336</c:v>
                </c:pt>
                <c:pt idx="226">
                  <c:v>1526.2408646011068</c:v>
                </c:pt>
                <c:pt idx="227">
                  <c:v>1525.0626366944289</c:v>
                </c:pt>
                <c:pt idx="228">
                  <c:v>1523.8361726728726</c:v>
                </c:pt>
                <c:pt idx="229">
                  <c:v>1522.5614725364949</c:v>
                </c:pt>
                <c:pt idx="230">
                  <c:v>1521.2385362852956</c:v>
                </c:pt>
                <c:pt idx="231">
                  <c:v>1519.8673639192748</c:v>
                </c:pt>
                <c:pt idx="232">
                  <c:v>1518.4479554383756</c:v>
                </c:pt>
                <c:pt idx="233">
                  <c:v>1516.9803108427118</c:v>
                </c:pt>
                <c:pt idx="234">
                  <c:v>1515.4644301321696</c:v>
                </c:pt>
                <c:pt idx="235">
                  <c:v>1513.900313306749</c:v>
                </c:pt>
                <c:pt idx="236">
                  <c:v>1512.2879603665069</c:v>
                </c:pt>
                <c:pt idx="237">
                  <c:v>1510.627371311557</c:v>
                </c:pt>
                <c:pt idx="238">
                  <c:v>1508.9185461416719</c:v>
                </c:pt>
                <c:pt idx="239">
                  <c:v>1507.1614848569652</c:v>
                </c:pt>
                <c:pt idx="240">
                  <c:v>1505.3561874573802</c:v>
                </c:pt>
                <c:pt idx="241">
                  <c:v>1503.5026539430305</c:v>
                </c:pt>
                <c:pt idx="242">
                  <c:v>1501.6008843139161</c:v>
                </c:pt>
                <c:pt idx="243">
                  <c:v>1499.6508785697529</c:v>
                </c:pt>
                <c:pt idx="244">
                  <c:v>1497.6526367110523</c:v>
                </c:pt>
                <c:pt idx="245">
                  <c:v>1495.6061587371892</c:v>
                </c:pt>
                <c:pt idx="246">
                  <c:v>1493.5114446487887</c:v>
                </c:pt>
                <c:pt idx="247">
                  <c:v>1491.3684944454531</c:v>
                </c:pt>
                <c:pt idx="248">
                  <c:v>1489.1773081270685</c:v>
                </c:pt>
                <c:pt idx="249">
                  <c:v>1486.9378856942603</c:v>
                </c:pt>
                <c:pt idx="250">
                  <c:v>1484.6502271462896</c:v>
                </c:pt>
                <c:pt idx="251">
                  <c:v>1482.314332483611</c:v>
                </c:pt>
                <c:pt idx="252">
                  <c:v>1479.9302017059972</c:v>
                </c:pt>
                <c:pt idx="253">
                  <c:v>1477.4978348137324</c:v>
                </c:pt>
                <c:pt idx="254">
                  <c:v>1475.0172318065893</c:v>
                </c:pt>
                <c:pt idx="255">
                  <c:v>1472.4883926843972</c:v>
                </c:pt>
                <c:pt idx="256">
                  <c:v>1469.9113174476111</c:v>
                </c:pt>
                <c:pt idx="257">
                  <c:v>1467.2860060959465</c:v>
                </c:pt>
                <c:pt idx="258">
                  <c:v>1464.6124586295173</c:v>
                </c:pt>
                <c:pt idx="259">
                  <c:v>1461.8906750480392</c:v>
                </c:pt>
                <c:pt idx="260">
                  <c:v>1459.1206553519669</c:v>
                </c:pt>
                <c:pt idx="261">
                  <c:v>1456.3023995408457</c:v>
                </c:pt>
                <c:pt idx="262">
                  <c:v>1453.4359076150167</c:v>
                </c:pt>
                <c:pt idx="263">
                  <c:v>1450.5211795743094</c:v>
                </c:pt>
                <c:pt idx="264">
                  <c:v>1447.558215418951</c:v>
                </c:pt>
                <c:pt idx="265">
                  <c:v>1444.5470151483164</c:v>
                </c:pt>
                <c:pt idx="266">
                  <c:v>1441.4875787633719</c:v>
                </c:pt>
                <c:pt idx="267">
                  <c:v>1438.3799062633784</c:v>
                </c:pt>
                <c:pt idx="268">
                  <c:v>1435.2239976483361</c:v>
                </c:pt>
                <c:pt idx="269">
                  <c:v>1432.0198529188701</c:v>
                </c:pt>
                <c:pt idx="270">
                  <c:v>1428.7674720741279</c:v>
                </c:pt>
                <c:pt idx="271">
                  <c:v>1425.4668551151326</c:v>
                </c:pt>
                <c:pt idx="272">
                  <c:v>1422.1180020406337</c:v>
                </c:pt>
                <c:pt idx="273">
                  <c:v>1418.7209128515974</c:v>
                </c:pt>
                <c:pt idx="274">
                  <c:v>1415.2755875479102</c:v>
                </c:pt>
                <c:pt idx="275">
                  <c:v>1411.782026129174</c:v>
                </c:pt>
                <c:pt idx="276">
                  <c:v>1408.2402285958437</c:v>
                </c:pt>
                <c:pt idx="277">
                  <c:v>1404.6501949473509</c:v>
                </c:pt>
                <c:pt idx="278">
                  <c:v>1401.0119251841502</c:v>
                </c:pt>
                <c:pt idx="279">
                  <c:v>1397.325419306128</c:v>
                </c:pt>
                <c:pt idx="280">
                  <c:v>1393.5906773133979</c:v>
                </c:pt>
                <c:pt idx="281">
                  <c:v>1389.8076992056758</c:v>
                </c:pt>
                <c:pt idx="282">
                  <c:v>1385.976484983189</c:v>
                </c:pt>
                <c:pt idx="283">
                  <c:v>1382.0970346457671</c:v>
                </c:pt>
                <c:pt idx="284">
                  <c:v>1378.1693481937509</c:v>
                </c:pt>
                <c:pt idx="285">
                  <c:v>1374.1934256265722</c:v>
                </c:pt>
                <c:pt idx="286">
                  <c:v>1370.169266944913</c:v>
                </c:pt>
                <c:pt idx="287">
                  <c:v>1366.0968721480913</c:v>
                </c:pt>
                <c:pt idx="288">
                  <c:v>1361.9762412367891</c:v>
                </c:pt>
                <c:pt idx="289">
                  <c:v>1357.8073742102674</c:v>
                </c:pt>
                <c:pt idx="290">
                  <c:v>1353.5902710692653</c:v>
                </c:pt>
                <c:pt idx="291">
                  <c:v>1349.3249318131006</c:v>
                </c:pt>
                <c:pt idx="292">
                  <c:v>1345.0113564423418</c:v>
                </c:pt>
                <c:pt idx="293">
                  <c:v>1340.6495449566478</c:v>
                </c:pt>
                <c:pt idx="294">
                  <c:v>1336.2394973563028</c:v>
                </c:pt>
                <c:pt idx="295">
                  <c:v>1331.781213640852</c:v>
                </c:pt>
                <c:pt idx="296">
                  <c:v>1327.2746938106934</c:v>
                </c:pt>
                <c:pt idx="297">
                  <c:v>1322.7199378657701</c:v>
                </c:pt>
                <c:pt idx="298">
                  <c:v>1318.1169458058548</c:v>
                </c:pt>
                <c:pt idx="299">
                  <c:v>1313.4657176311748</c:v>
                </c:pt>
                <c:pt idx="300">
                  <c:v>1308.766253341787</c:v>
                </c:pt>
                <c:pt idx="301">
                  <c:v>1304.0185529374639</c:v>
                </c:pt>
                <c:pt idx="302">
                  <c:v>1299.2226164183194</c:v>
                </c:pt>
                <c:pt idx="303">
                  <c:v>1294.3784437842396</c:v>
                </c:pt>
                <c:pt idx="304">
                  <c:v>1289.4860350355657</c:v>
                </c:pt>
                <c:pt idx="305">
                  <c:v>1284.5453901717292</c:v>
                </c:pt>
                <c:pt idx="306">
                  <c:v>1279.5565091934122</c:v>
                </c:pt>
                <c:pt idx="307">
                  <c:v>1274.5193921000464</c:v>
                </c:pt>
                <c:pt idx="308">
                  <c:v>1269.4340388917453</c:v>
                </c:pt>
                <c:pt idx="309">
                  <c:v>1264.3004495689638</c:v>
                </c:pt>
                <c:pt idx="310">
                  <c:v>1259.1186241311334</c:v>
                </c:pt>
                <c:pt idx="311">
                  <c:v>1253.8885625784246</c:v>
                </c:pt>
                <c:pt idx="312">
                  <c:v>1248.610264911008</c:v>
                </c:pt>
                <c:pt idx="313">
                  <c:v>1243.2837311284857</c:v>
                </c:pt>
                <c:pt idx="314">
                  <c:v>1237.9089612314829</c:v>
                </c:pt>
                <c:pt idx="315">
                  <c:v>1232.4859552195448</c:v>
                </c:pt>
                <c:pt idx="316">
                  <c:v>1227.0147130927285</c:v>
                </c:pt>
                <c:pt idx="317">
                  <c:v>1221.4952348509769</c:v>
                </c:pt>
                <c:pt idx="318">
                  <c:v>1215.927520494688</c:v>
                </c:pt>
                <c:pt idx="319">
                  <c:v>1210.3115700232365</c:v>
                </c:pt>
                <c:pt idx="320">
                  <c:v>1204.6473834371909</c:v>
                </c:pt>
                <c:pt idx="321">
                  <c:v>1198.9349607361532</c:v>
                </c:pt>
                <c:pt idx="322">
                  <c:v>1193.1743019203509</c:v>
                </c:pt>
                <c:pt idx="323">
                  <c:v>1187.365406989727</c:v>
                </c:pt>
                <c:pt idx="324">
                  <c:v>1181.508275944168</c:v>
                </c:pt>
                <c:pt idx="325">
                  <c:v>1175.6029087840716</c:v>
                </c:pt>
                <c:pt idx="326">
                  <c:v>1169.6493055086989</c:v>
                </c:pt>
                <c:pt idx="327">
                  <c:v>1163.6474661188458</c:v>
                </c:pt>
                <c:pt idx="328">
                  <c:v>1157.5973906140575</c:v>
                </c:pt>
                <c:pt idx="329">
                  <c:v>1151.4990789944477</c:v>
                </c:pt>
                <c:pt idx="330">
                  <c:v>1145.3525312598458</c:v>
                </c:pt>
                <c:pt idx="331">
                  <c:v>1139.1577474107635</c:v>
                </c:pt>
                <c:pt idx="332">
                  <c:v>1132.9147274464049</c:v>
                </c:pt>
                <c:pt idx="333">
                  <c:v>1126.6234713676795</c:v>
                </c:pt>
                <c:pt idx="334">
                  <c:v>1120.2839791737347</c:v>
                </c:pt>
                <c:pt idx="335">
                  <c:v>1113.8962508650252</c:v>
                </c:pt>
                <c:pt idx="336">
                  <c:v>1107.4602864417784</c:v>
                </c:pt>
                <c:pt idx="337">
                  <c:v>1100.9760859033122</c:v>
                </c:pt>
                <c:pt idx="338">
                  <c:v>1094.4436492501382</c:v>
                </c:pt>
                <c:pt idx="339">
                  <c:v>1087.86297648237</c:v>
                </c:pt>
                <c:pt idx="340">
                  <c:v>1081.2340675994392</c:v>
                </c:pt>
                <c:pt idx="341">
                  <c:v>1074.5569226019143</c:v>
                </c:pt>
                <c:pt idx="342">
                  <c:v>1067.8315414893405</c:v>
                </c:pt>
                <c:pt idx="343">
                  <c:v>1061.0579242621156</c:v>
                </c:pt>
                <c:pt idx="344">
                  <c:v>1054.2360709200693</c:v>
                </c:pt>
                <c:pt idx="345">
                  <c:v>1047.3659814630309</c:v>
                </c:pt>
                <c:pt idx="346">
                  <c:v>1040.4476558912847</c:v>
                </c:pt>
                <c:pt idx="347">
                  <c:v>1033.4810942046033</c:v>
                </c:pt>
                <c:pt idx="348">
                  <c:v>1026.4662964031572</c:v>
                </c:pt>
                <c:pt idx="349">
                  <c:v>1019.4032624868896</c:v>
                </c:pt>
                <c:pt idx="350">
                  <c:v>1012.2919924558005</c:v>
                </c:pt>
                <c:pt idx="351">
                  <c:v>1005.1324863097761</c:v>
                </c:pt>
                <c:pt idx="352">
                  <c:v>997.92474404904397</c:v>
                </c:pt>
                <c:pt idx="353">
                  <c:v>990.66876567337658</c:v>
                </c:pt>
                <c:pt idx="354">
                  <c:v>983.3645511831719</c:v>
                </c:pt>
                <c:pt idx="355">
                  <c:v>976.01210057752041</c:v>
                </c:pt>
                <c:pt idx="356">
                  <c:v>968.611413857559</c:v>
                </c:pt>
                <c:pt idx="357">
                  <c:v>961.16249102271922</c:v>
                </c:pt>
                <c:pt idx="358">
                  <c:v>953.66533207294424</c:v>
                </c:pt>
                <c:pt idx="359">
                  <c:v>946.11993700812036</c:v>
                </c:pt>
                <c:pt idx="360">
                  <c:v>938.52630582887286</c:v>
                </c:pt>
                <c:pt idx="361">
                  <c:v>930.88443853446279</c:v>
                </c:pt>
                <c:pt idx="362">
                  <c:v>923.19433512540172</c:v>
                </c:pt>
                <c:pt idx="363">
                  <c:v>915.45599560151913</c:v>
                </c:pt>
                <c:pt idx="364">
                  <c:v>907.66941996270134</c:v>
                </c:pt>
                <c:pt idx="365">
                  <c:v>899.83460820906203</c:v>
                </c:pt>
                <c:pt idx="366">
                  <c:v>891.95156034071488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B0-4DD5-AA12-0DD5324F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585624"/>
        <c:axId val="631586936"/>
      </c:scatterChart>
      <c:valAx>
        <c:axId val="631585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31586936"/>
        <c:crosses val="autoZero"/>
        <c:crossBetween val="midCat"/>
      </c:valAx>
      <c:valAx>
        <c:axId val="631586936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31585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'Model tilvækst, slagteform, fe'!$BJ$8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'Model tilvækst, slagteform, fe'!$BI$9:$BI$376</c:f>
              <c:numCache>
                <c:formatCode>0.00</c:formatCode>
                <c:ptCount val="368"/>
                <c:pt idx="0">
                  <c:v>27.6285699642522</c:v>
                </c:pt>
                <c:pt idx="1">
                  <c:v>28.47498476477206</c:v>
                </c:pt>
                <c:pt idx="2">
                  <c:v>29.32803489749891</c:v>
                </c:pt>
                <c:pt idx="3">
                  <c:v>30.187686242723455</c:v>
                </c:pt>
                <c:pt idx="4">
                  <c:v>31.053904680736409</c:v>
                </c:pt>
                <c:pt idx="5">
                  <c:v>31.92665609182848</c:v>
                </c:pt>
                <c:pt idx="6">
                  <c:v>32.805906356290372</c:v>
                </c:pt>
                <c:pt idx="7">
                  <c:v>33.691621354412803</c:v>
                </c:pt>
                <c:pt idx="8">
                  <c:v>34.583766966486472</c:v>
                </c:pt>
                <c:pt idx="9">
                  <c:v>35.48230907280211</c:v>
                </c:pt>
                <c:pt idx="10">
                  <c:v>36.387213553650398</c:v>
                </c:pt>
                <c:pt idx="11">
                  <c:v>37.298446289322065</c:v>
                </c:pt>
                <c:pt idx="12">
                  <c:v>38.215973160107815</c:v>
                </c:pt>
                <c:pt idx="13">
                  <c:v>39.139760046298349</c:v>
                </c:pt>
                <c:pt idx="14">
                  <c:v>40.069772828184398</c:v>
                </c:pt>
                <c:pt idx="15">
                  <c:v>41.005977386056642</c:v>
                </c:pt>
                <c:pt idx="16">
                  <c:v>41.94833960020582</c:v>
                </c:pt>
                <c:pt idx="17">
                  <c:v>42.896825350922619</c:v>
                </c:pt>
                <c:pt idx="18">
                  <c:v>43.851400518497762</c:v>
                </c:pt>
                <c:pt idx="19">
                  <c:v>44.812030983221945</c:v>
                </c:pt>
                <c:pt idx="20">
                  <c:v>45.778682625385891</c:v>
                </c:pt>
                <c:pt idx="21">
                  <c:v>46.751321325280308</c:v>
                </c:pt>
                <c:pt idx="22">
                  <c:v>47.729912963195893</c:v>
                </c:pt>
                <c:pt idx="23">
                  <c:v>48.714423419423362</c:v>
                </c:pt>
                <c:pt idx="24">
                  <c:v>49.70481857425343</c:v>
                </c:pt>
                <c:pt idx="25">
                  <c:v>50.701064307976807</c:v>
                </c:pt>
                <c:pt idx="26">
                  <c:v>51.703126500884196</c:v>
                </c:pt>
                <c:pt idx="27">
                  <c:v>52.710971033266304</c:v>
                </c:pt>
                <c:pt idx="28">
                  <c:v>53.724563785413835</c:v>
                </c:pt>
                <c:pt idx="29">
                  <c:v>54.743870637617512</c:v>
                </c:pt>
                <c:pt idx="30">
                  <c:v>55.768857470168051</c:v>
                </c:pt>
                <c:pt idx="31">
                  <c:v>56.799490163356147</c:v>
                </c:pt>
                <c:pt idx="32">
                  <c:v>57.835734597472516</c:v>
                </c:pt>
                <c:pt idx="33">
                  <c:v>58.877556652807861</c:v>
                </c:pt>
                <c:pt idx="34">
                  <c:v>59.924922209652891</c:v>
                </c:pt>
                <c:pt idx="35">
                  <c:v>60.977797148298322</c:v>
                </c:pt>
                <c:pt idx="36">
                  <c:v>62.036147349034856</c:v>
                </c:pt>
                <c:pt idx="37">
                  <c:v>63.099938692153209</c:v>
                </c:pt>
                <c:pt idx="38">
                  <c:v>64.169137057944099</c:v>
                </c:pt>
                <c:pt idx="39">
                  <c:v>65.243708326698211</c:v>
                </c:pt>
                <c:pt idx="40">
                  <c:v>66.323618378706271</c:v>
                </c:pt>
                <c:pt idx="41">
                  <c:v>67.408833094258995</c:v>
                </c:pt>
                <c:pt idx="42">
                  <c:v>68.49931835364707</c:v>
                </c:pt>
                <c:pt idx="43">
                  <c:v>69.595040037161226</c:v>
                </c:pt>
                <c:pt idx="44">
                  <c:v>70.695964025092152</c:v>
                </c:pt>
                <c:pt idx="45">
                  <c:v>71.802056197730593</c:v>
                </c:pt>
                <c:pt idx="46">
                  <c:v>72.913282435367222</c:v>
                </c:pt>
                <c:pt idx="47">
                  <c:v>74.02960861829277</c:v>
                </c:pt>
                <c:pt idx="48">
                  <c:v>75.151000626797924</c:v>
                </c:pt>
                <c:pt idx="49">
                  <c:v>76.277424341173401</c:v>
                </c:pt>
                <c:pt idx="50">
                  <c:v>77.408845641709931</c:v>
                </c:pt>
                <c:pt idx="51">
                  <c:v>78.545230408698217</c:v>
                </c:pt>
                <c:pt idx="52">
                  <c:v>79.686544522428946</c:v>
                </c:pt>
                <c:pt idx="53">
                  <c:v>80.832753863192849</c:v>
                </c:pt>
                <c:pt idx="54">
                  <c:v>81.983824311280628</c:v>
                </c:pt>
                <c:pt idx="55">
                  <c:v>83.139721746983</c:v>
                </c:pt>
                <c:pt idx="56">
                  <c:v>84.300412050590651</c:v>
                </c:pt>
                <c:pt idx="57">
                  <c:v>85.4658611023943</c:v>
                </c:pt>
                <c:pt idx="58">
                  <c:v>86.636034782684689</c:v>
                </c:pt>
                <c:pt idx="59">
                  <c:v>87.810898971752479</c:v>
                </c:pt>
                <c:pt idx="60">
                  <c:v>88.990419549888429</c:v>
                </c:pt>
                <c:pt idx="61">
                  <c:v>90.174562397383198</c:v>
                </c:pt>
                <c:pt idx="62">
                  <c:v>91.363293394527517</c:v>
                </c:pt>
                <c:pt idx="63">
                  <c:v>92.556578421612102</c:v>
                </c:pt>
                <c:pt idx="64">
                  <c:v>93.754383358927669</c:v>
                </c:pt>
                <c:pt idx="65">
                  <c:v>94.956674086764906</c:v>
                </c:pt>
                <c:pt idx="66">
                  <c:v>96.163416485414544</c:v>
                </c:pt>
                <c:pt idx="67">
                  <c:v>97.374576435167256</c:v>
                </c:pt>
                <c:pt idx="68">
                  <c:v>98.590119816313788</c:v>
                </c:pt>
                <c:pt idx="69">
                  <c:v>99.810012509144855</c:v>
                </c:pt>
                <c:pt idx="70">
                  <c:v>101.03422039395113</c:v>
                </c:pt>
                <c:pt idx="71">
                  <c:v>102.26270935102335</c:v>
                </c:pt>
                <c:pt idx="72">
                  <c:v>103.49544526065219</c:v>
                </c:pt>
                <c:pt idx="73">
                  <c:v>104.73239400312841</c:v>
                </c:pt>
                <c:pt idx="74">
                  <c:v>105.97352145874268</c:v>
                </c:pt>
                <c:pt idx="75">
                  <c:v>107.21879350778573</c:v>
                </c:pt>
                <c:pt idx="76">
                  <c:v>108.46817603054828</c:v>
                </c:pt>
                <c:pt idx="77">
                  <c:v>109.721634907321</c:v>
                </c:pt>
                <c:pt idx="78">
                  <c:v>110.97913601839463</c:v>
                </c:pt>
                <c:pt idx="79">
                  <c:v>112.24064524405986</c:v>
                </c:pt>
                <c:pt idx="80">
                  <c:v>113.50612846460743</c:v>
                </c:pt>
                <c:pt idx="81">
                  <c:v>114.77555156032801</c:v>
                </c:pt>
                <c:pt idx="82">
                  <c:v>116.04888041151234</c:v>
                </c:pt>
                <c:pt idx="83">
                  <c:v>117.32608089845112</c:v>
                </c:pt>
                <c:pt idx="84">
                  <c:v>118.60711890143506</c:v>
                </c:pt>
                <c:pt idx="85">
                  <c:v>119.89196030075485</c:v>
                </c:pt>
                <c:pt idx="86">
                  <c:v>121.18057097670123</c:v>
                </c:pt>
                <c:pt idx="87">
                  <c:v>122.47291680956489</c:v>
                </c:pt>
                <c:pt idx="88">
                  <c:v>123.76896367963656</c:v>
                </c:pt>
                <c:pt idx="89">
                  <c:v>125.06867746720691</c:v>
                </c:pt>
                <c:pt idx="90">
                  <c:v>126.3720240525667</c:v>
                </c:pt>
                <c:pt idx="91">
                  <c:v>127.6789693160066</c:v>
                </c:pt>
                <c:pt idx="92">
                  <c:v>128.98947913781731</c:v>
                </c:pt>
                <c:pt idx="93">
                  <c:v>130.30351939828961</c:v>
                </c:pt>
                <c:pt idx="94">
                  <c:v>131.62105597771415</c:v>
                </c:pt>
                <c:pt idx="95">
                  <c:v>132.94205475638162</c:v>
                </c:pt>
                <c:pt idx="96">
                  <c:v>134.2664816145828</c:v>
                </c:pt>
                <c:pt idx="97">
                  <c:v>135.59430243260834</c:v>
                </c:pt>
                <c:pt idx="98">
                  <c:v>136.92548309074897</c:v>
                </c:pt>
                <c:pt idx="99">
                  <c:v>138.25998946929539</c:v>
                </c:pt>
                <c:pt idx="100">
                  <c:v>139.59778744853833</c:v>
                </c:pt>
                <c:pt idx="101">
                  <c:v>140.93884290876849</c:v>
                </c:pt>
                <c:pt idx="102">
                  <c:v>142.28312173027658</c:v>
                </c:pt>
                <c:pt idx="103">
                  <c:v>143.63058979335329</c:v>
                </c:pt>
                <c:pt idx="104">
                  <c:v>144.98121297828934</c:v>
                </c:pt>
                <c:pt idx="105">
                  <c:v>146.33495716537547</c:v>
                </c:pt>
                <c:pt idx="106">
                  <c:v>147.69178823490236</c:v>
                </c:pt>
                <c:pt idx="107">
                  <c:v>149.05167206716069</c:v>
                </c:pt>
                <c:pt idx="108">
                  <c:v>150.41457454244124</c:v>
                </c:pt>
                <c:pt idx="109">
                  <c:v>151.7804615410347</c:v>
                </c:pt>
                <c:pt idx="110">
                  <c:v>153.14929894323171</c:v>
                </c:pt>
                <c:pt idx="111">
                  <c:v>154.52105262932304</c:v>
                </c:pt>
                <c:pt idx="112">
                  <c:v>155.89568847959941</c:v>
                </c:pt>
                <c:pt idx="113">
                  <c:v>157.27317237435153</c:v>
                </c:pt>
                <c:pt idx="114">
                  <c:v>158.65347019387005</c:v>
                </c:pt>
                <c:pt idx="115">
                  <c:v>160.03654781844574</c:v>
                </c:pt>
                <c:pt idx="116">
                  <c:v>161.42237112836926</c:v>
                </c:pt>
                <c:pt idx="117">
                  <c:v>162.81090600393136</c:v>
                </c:pt>
                <c:pt idx="118">
                  <c:v>164.20211832542276</c:v>
                </c:pt>
                <c:pt idx="119">
                  <c:v>165.59597397313414</c:v>
                </c:pt>
                <c:pt idx="120">
                  <c:v>166.99243882735621</c:v>
                </c:pt>
                <c:pt idx="121">
                  <c:v>168.3914787683797</c:v>
                </c:pt>
                <c:pt idx="122">
                  <c:v>169.79305967649526</c:v>
                </c:pt>
                <c:pt idx="123">
                  <c:v>171.1971474319937</c:v>
                </c:pt>
                <c:pt idx="124">
                  <c:v>172.60370791516561</c:v>
                </c:pt>
                <c:pt idx="125">
                  <c:v>174.01270700630181</c:v>
                </c:pt>
                <c:pt idx="126">
                  <c:v>175.42411058569297</c:v>
                </c:pt>
                <c:pt idx="127">
                  <c:v>176.83788453362976</c:v>
                </c:pt>
                <c:pt idx="128">
                  <c:v>178.25399473040292</c:v>
                </c:pt>
                <c:pt idx="129">
                  <c:v>179.6724070563032</c:v>
                </c:pt>
                <c:pt idx="130">
                  <c:v>181.09308739162122</c:v>
                </c:pt>
                <c:pt idx="131">
                  <c:v>182.51600161664777</c:v>
                </c:pt>
                <c:pt idx="132">
                  <c:v>183.94111561167352</c:v>
                </c:pt>
                <c:pt idx="133">
                  <c:v>185.3683952569892</c:v>
                </c:pt>
                <c:pt idx="134">
                  <c:v>186.79780643288549</c:v>
                </c:pt>
                <c:pt idx="135">
                  <c:v>188.22931501965311</c:v>
                </c:pt>
                <c:pt idx="136">
                  <c:v>189.66288689758281</c:v>
                </c:pt>
                <c:pt idx="137">
                  <c:v>191.09848794696524</c:v>
                </c:pt>
                <c:pt idx="138">
                  <c:v>192.53608404809111</c:v>
                </c:pt>
                <c:pt idx="139">
                  <c:v>193.97564108125121</c:v>
                </c:pt>
                <c:pt idx="140">
                  <c:v>195.41712492673614</c:v>
                </c:pt>
                <c:pt idx="141">
                  <c:v>196.86050146483672</c:v>
                </c:pt>
                <c:pt idx="142">
                  <c:v>198.30573657584355</c:v>
                </c:pt>
                <c:pt idx="143">
                  <c:v>199.75279614004742</c:v>
                </c:pt>
                <c:pt idx="144">
                  <c:v>201.20164603773898</c:v>
                </c:pt>
                <c:pt idx="145">
                  <c:v>202.65225214920903</c:v>
                </c:pt>
                <c:pt idx="146">
                  <c:v>204.10458035474818</c:v>
                </c:pt>
                <c:pt idx="147">
                  <c:v>205.55859653464714</c:v>
                </c:pt>
                <c:pt idx="148">
                  <c:v>207.01426656919674</c:v>
                </c:pt>
                <c:pt idx="149">
                  <c:v>208.47155633868755</c:v>
                </c:pt>
                <c:pt idx="150">
                  <c:v>209.93043172341038</c:v>
                </c:pt>
                <c:pt idx="151">
                  <c:v>211.39085860365583</c:v>
                </c:pt>
                <c:pt idx="152">
                  <c:v>212.85280285971473</c:v>
                </c:pt>
                <c:pt idx="153">
                  <c:v>214.31623037187774</c:v>
                </c:pt>
                <c:pt idx="154">
                  <c:v>215.78110702043554</c:v>
                </c:pt>
                <c:pt idx="155">
                  <c:v>217.24739868567889</c:v>
                </c:pt>
                <c:pt idx="156">
                  <c:v>218.71507124789844</c:v>
                </c:pt>
                <c:pt idx="157">
                  <c:v>220.18409058738496</c:v>
                </c:pt>
                <c:pt idx="158">
                  <c:v>221.65442258442911</c:v>
                </c:pt>
                <c:pt idx="159">
                  <c:v>223.12603311932165</c:v>
                </c:pt>
                <c:pt idx="160">
                  <c:v>224.59888807235325</c:v>
                </c:pt>
                <c:pt idx="161">
                  <c:v>226.07295332381457</c:v>
                </c:pt>
                <c:pt idx="162">
                  <c:v>227.54819475399646</c:v>
                </c:pt>
                <c:pt idx="163">
                  <c:v>229.0245782431895</c:v>
                </c:pt>
                <c:pt idx="164">
                  <c:v>230.50206967168447</c:v>
                </c:pt>
                <c:pt idx="165">
                  <c:v>231.98063491977206</c:v>
                </c:pt>
                <c:pt idx="166">
                  <c:v>233.46023986774301</c:v>
                </c:pt>
                <c:pt idx="167">
                  <c:v>234.94085039588794</c:v>
                </c:pt>
                <c:pt idx="168">
                  <c:v>236.42243238449765</c:v>
                </c:pt>
                <c:pt idx="169">
                  <c:v>237.90495171386283</c:v>
                </c:pt>
                <c:pt idx="170">
                  <c:v>239.38837426427412</c:v>
                </c:pt>
                <c:pt idx="171">
                  <c:v>240.87266591602233</c:v>
                </c:pt>
                <c:pt idx="172">
                  <c:v>242.35779254939808</c:v>
                </c:pt>
                <c:pt idx="173">
                  <c:v>243.84372004469219</c:v>
                </c:pt>
                <c:pt idx="174">
                  <c:v>245.33041428219525</c:v>
                </c:pt>
                <c:pt idx="175">
                  <c:v>246.81784114219806</c:v>
                </c:pt>
                <c:pt idx="176">
                  <c:v>248.30596650499126</c:v>
                </c:pt>
                <c:pt idx="177">
                  <c:v>249.79475625086562</c:v>
                </c:pt>
                <c:pt idx="178">
                  <c:v>251.28417626011174</c:v>
                </c:pt>
                <c:pt idx="179">
                  <c:v>252.7741924130205</c:v>
                </c:pt>
                <c:pt idx="180">
                  <c:v>254.26477058988246</c:v>
                </c:pt>
                <c:pt idx="181">
                  <c:v>255.75587667098847</c:v>
                </c:pt>
                <c:pt idx="182">
                  <c:v>257.24747653662911</c:v>
                </c:pt>
                <c:pt idx="183">
                  <c:v>258.73953606709512</c:v>
                </c:pt>
                <c:pt idx="184">
                  <c:v>260.23202114267724</c:v>
                </c:pt>
                <c:pt idx="185">
                  <c:v>261.72489764366611</c:v>
                </c:pt>
                <c:pt idx="186">
                  <c:v>263.21813145035253</c:v>
                </c:pt>
                <c:pt idx="187">
                  <c:v>264.71168844302724</c:v>
                </c:pt>
                <c:pt idx="188">
                  <c:v>266.20553450198082</c:v>
                </c:pt>
                <c:pt idx="189">
                  <c:v>267.69963550750407</c:v>
                </c:pt>
                <c:pt idx="190">
                  <c:v>269.19395733988767</c:v>
                </c:pt>
                <c:pt idx="191">
                  <c:v>270.68846587942232</c:v>
                </c:pt>
                <c:pt idx="192">
                  <c:v>272.18312700639876</c:v>
                </c:pt>
                <c:pt idx="193">
                  <c:v>273.67790660110762</c:v>
                </c:pt>
                <c:pt idx="194">
                  <c:v>275.1727705438397</c:v>
                </c:pt>
                <c:pt idx="195">
                  <c:v>276.6676847148857</c:v>
                </c:pt>
                <c:pt idx="196">
                  <c:v>278.16261499453634</c:v>
                </c:pt>
                <c:pt idx="197">
                  <c:v>279.65752726308227</c:v>
                </c:pt>
                <c:pt idx="198">
                  <c:v>281.15238740081418</c:v>
                </c:pt>
                <c:pt idx="199">
                  <c:v>282.64716128802286</c:v>
                </c:pt>
                <c:pt idx="200">
                  <c:v>284.14181480499906</c:v>
                </c:pt>
                <c:pt idx="201">
                  <c:v>285.63631383203335</c:v>
                </c:pt>
                <c:pt idx="202">
                  <c:v>287.13062424941648</c:v>
                </c:pt>
                <c:pt idx="203">
                  <c:v>288.6247119374392</c:v>
                </c:pt>
                <c:pt idx="204">
                  <c:v>290.11854277639225</c:v>
                </c:pt>
                <c:pt idx="205">
                  <c:v>291.61208264656625</c:v>
                </c:pt>
                <c:pt idx="206">
                  <c:v>293.1052974282519</c:v>
                </c:pt>
                <c:pt idx="207">
                  <c:v>294.59815300174012</c:v>
                </c:pt>
                <c:pt idx="208">
                  <c:v>296.09061524732135</c:v>
                </c:pt>
                <c:pt idx="209">
                  <c:v>297.58265004528636</c:v>
                </c:pt>
                <c:pt idx="210">
                  <c:v>299.07422327592599</c:v>
                </c:pt>
                <c:pt idx="211">
                  <c:v>300.56530081953082</c:v>
                </c:pt>
                <c:pt idx="212">
                  <c:v>302.05584855639165</c:v>
                </c:pt>
                <c:pt idx="213">
                  <c:v>303.54583236679917</c:v>
                </c:pt>
                <c:pt idx="214">
                  <c:v>305.03521813104402</c:v>
                </c:pt>
                <c:pt idx="215">
                  <c:v>306.52397172941704</c:v>
                </c:pt>
                <c:pt idx="216">
                  <c:v>308.01205904220876</c:v>
                </c:pt>
                <c:pt idx="217">
                  <c:v>309.49944594970998</c:v>
                </c:pt>
                <c:pt idx="218">
                  <c:v>310.9860983322115</c:v>
                </c:pt>
                <c:pt idx="219">
                  <c:v>312.47198207000389</c:v>
                </c:pt>
                <c:pt idx="220">
                  <c:v>313.95706304337796</c:v>
                </c:pt>
                <c:pt idx="221">
                  <c:v>315.44130713262427</c:v>
                </c:pt>
                <c:pt idx="222">
                  <c:v>316.9246802180337</c:v>
                </c:pt>
                <c:pt idx="223">
                  <c:v>318.40714817989692</c:v>
                </c:pt>
                <c:pt idx="224">
                  <c:v>319.88867689850451</c:v>
                </c:pt>
                <c:pt idx="225">
                  <c:v>321.36923225414739</c:v>
                </c:pt>
                <c:pt idx="226">
                  <c:v>322.84878012711613</c:v>
                </c:pt>
                <c:pt idx="227">
                  <c:v>324.32728639770147</c:v>
                </c:pt>
                <c:pt idx="228">
                  <c:v>325.80471694619416</c:v>
                </c:pt>
                <c:pt idx="229">
                  <c:v>327.28103765288472</c:v>
                </c:pt>
                <c:pt idx="230">
                  <c:v>328.75621439806417</c:v>
                </c:pt>
                <c:pt idx="231">
                  <c:v>330.23021306202304</c:v>
                </c:pt>
                <c:pt idx="232">
                  <c:v>331.70299952505195</c:v>
                </c:pt>
                <c:pt idx="233">
                  <c:v>333.17453966744182</c:v>
                </c:pt>
                <c:pt idx="234">
                  <c:v>334.64479936948328</c:v>
                </c:pt>
                <c:pt idx="235">
                  <c:v>336.11374451146685</c:v>
                </c:pt>
                <c:pt idx="236">
                  <c:v>337.5813409736835</c:v>
                </c:pt>
                <c:pt idx="237">
                  <c:v>339.0475546364238</c:v>
                </c:pt>
                <c:pt idx="238">
                  <c:v>340.51235137997867</c:v>
                </c:pt>
                <c:pt idx="239">
                  <c:v>341.97569708463845</c:v>
                </c:pt>
                <c:pt idx="240">
                  <c:v>343.43755763069419</c:v>
                </c:pt>
                <c:pt idx="241">
                  <c:v>344.89789889843638</c:v>
                </c:pt>
                <c:pt idx="242">
                  <c:v>346.35668676815584</c:v>
                </c:pt>
                <c:pt idx="243">
                  <c:v>347.81388712014325</c:v>
                </c:pt>
                <c:pt idx="244">
                  <c:v>349.26946583468936</c:v>
                </c:pt>
                <c:pt idx="245">
                  <c:v>350.72338879208485</c:v>
                </c:pt>
                <c:pt idx="246">
                  <c:v>352.17562187262035</c:v>
                </c:pt>
                <c:pt idx="247">
                  <c:v>353.62613095658662</c:v>
                </c:pt>
                <c:pt idx="248">
                  <c:v>355.07488192427439</c:v>
                </c:pt>
                <c:pt idx="249">
                  <c:v>356.52184065597442</c:v>
                </c:pt>
                <c:pt idx="250">
                  <c:v>357.96697303197737</c:v>
                </c:pt>
                <c:pt idx="251">
                  <c:v>359.4102449325739</c:v>
                </c:pt>
                <c:pt idx="252">
                  <c:v>360.8516222380548</c:v>
                </c:pt>
                <c:pt idx="253">
                  <c:v>362.2910708287107</c:v>
                </c:pt>
                <c:pt idx="254">
                  <c:v>363.72855658483235</c:v>
                </c:pt>
                <c:pt idx="255">
                  <c:v>365.16404538671048</c:v>
                </c:pt>
                <c:pt idx="256">
                  <c:v>366.59750311463586</c:v>
                </c:pt>
                <c:pt idx="257">
                  <c:v>368.02889564889904</c:v>
                </c:pt>
                <c:pt idx="258">
                  <c:v>369.45818886979083</c:v>
                </c:pt>
                <c:pt idx="259">
                  <c:v>370.88534865760192</c:v>
                </c:pt>
                <c:pt idx="260">
                  <c:v>372.310340892623</c:v>
                </c:pt>
                <c:pt idx="261">
                  <c:v>373.73313145514481</c:v>
                </c:pt>
                <c:pt idx="262">
                  <c:v>375.1536862254581</c:v>
                </c:pt>
                <c:pt idx="263">
                  <c:v>376.57197108385344</c:v>
                </c:pt>
                <c:pt idx="264">
                  <c:v>377.98795191062163</c:v>
                </c:pt>
                <c:pt idx="265">
                  <c:v>379.40159458605342</c:v>
                </c:pt>
                <c:pt idx="266">
                  <c:v>380.81286499043949</c:v>
                </c:pt>
                <c:pt idx="267">
                  <c:v>382.22172900407048</c:v>
                </c:pt>
                <c:pt idx="268">
                  <c:v>383.62815250723719</c:v>
                </c:pt>
                <c:pt idx="269">
                  <c:v>385.0321013802303</c:v>
                </c:pt>
                <c:pt idx="270">
                  <c:v>386.43354150334051</c:v>
                </c:pt>
                <c:pt idx="271">
                  <c:v>387.83243875685855</c:v>
                </c:pt>
                <c:pt idx="272">
                  <c:v>389.22875902107512</c:v>
                </c:pt>
                <c:pt idx="273">
                  <c:v>390.6224681762809</c:v>
                </c:pt>
                <c:pt idx="274">
                  <c:v>392.01353210276659</c:v>
                </c:pt>
                <c:pt idx="275">
                  <c:v>393.40191668082298</c:v>
                </c:pt>
                <c:pt idx="276">
                  <c:v>394.7875877907407</c:v>
                </c:pt>
                <c:pt idx="277">
                  <c:v>396.17051131281045</c:v>
                </c:pt>
                <c:pt idx="278">
                  <c:v>397.55065312732307</c:v>
                </c:pt>
                <c:pt idx="279">
                  <c:v>398.9279791145691</c:v>
                </c:pt>
                <c:pt idx="280">
                  <c:v>400.30245515483938</c:v>
                </c:pt>
                <c:pt idx="281">
                  <c:v>401.67404712842449</c:v>
                </c:pt>
                <c:pt idx="282">
                  <c:v>403.04272091561529</c:v>
                </c:pt>
                <c:pt idx="283">
                  <c:v>404.40844239670241</c:v>
                </c:pt>
                <c:pt idx="284">
                  <c:v>405.77117745197654</c:v>
                </c:pt>
                <c:pt idx="285">
                  <c:v>407.13089196172848</c:v>
                </c:pt>
                <c:pt idx="286">
                  <c:v>408.4875518062488</c:v>
                </c:pt>
                <c:pt idx="287">
                  <c:v>409.8411228658282</c:v>
                </c:pt>
                <c:pt idx="288">
                  <c:v>411.19157102075758</c:v>
                </c:pt>
                <c:pt idx="289">
                  <c:v>412.53886215132758</c:v>
                </c:pt>
                <c:pt idx="290">
                  <c:v>413.88296213782883</c:v>
                </c:pt>
                <c:pt idx="291">
                  <c:v>415.22383686055207</c:v>
                </c:pt>
                <c:pt idx="292">
                  <c:v>416.56145219978794</c:v>
                </c:pt>
                <c:pt idx="293">
                  <c:v>417.89577403582734</c:v>
                </c:pt>
                <c:pt idx="294">
                  <c:v>419.22676824896081</c:v>
                </c:pt>
                <c:pt idx="295">
                  <c:v>420.5544007194793</c:v>
                </c:pt>
                <c:pt idx="296">
                  <c:v>421.87863732767312</c:v>
                </c:pt>
                <c:pt idx="297">
                  <c:v>423.19944395383334</c:v>
                </c:pt>
                <c:pt idx="298">
                  <c:v>424.51678647825031</c:v>
                </c:pt>
                <c:pt idx="299">
                  <c:v>425.83063078121512</c:v>
                </c:pt>
                <c:pt idx="300">
                  <c:v>427.14094274301817</c:v>
                </c:pt>
                <c:pt idx="301">
                  <c:v>428.44768824395055</c:v>
                </c:pt>
                <c:pt idx="302">
                  <c:v>429.75083316430255</c:v>
                </c:pt>
                <c:pt idx="303">
                  <c:v>431.05034338436519</c:v>
                </c:pt>
                <c:pt idx="304">
                  <c:v>432.34618478442906</c:v>
                </c:pt>
                <c:pt idx="305">
                  <c:v>433.63832324478483</c:v>
                </c:pt>
                <c:pt idx="306">
                  <c:v>434.92672464572314</c:v>
                </c:pt>
                <c:pt idx="307">
                  <c:v>436.21135486753496</c:v>
                </c:pt>
                <c:pt idx="308">
                  <c:v>437.49217979051065</c:v>
                </c:pt>
                <c:pt idx="309">
                  <c:v>438.76916529494127</c:v>
                </c:pt>
                <c:pt idx="310">
                  <c:v>440.04227726111731</c:v>
                </c:pt>
                <c:pt idx="311">
                  <c:v>441.31148156932949</c:v>
                </c:pt>
                <c:pt idx="312">
                  <c:v>442.57674409986868</c:v>
                </c:pt>
                <c:pt idx="313">
                  <c:v>443.83803073302539</c:v>
                </c:pt>
                <c:pt idx="314">
                  <c:v>445.09530734909032</c:v>
                </c:pt>
                <c:pt idx="315">
                  <c:v>446.34853982835443</c:v>
                </c:pt>
                <c:pt idx="316">
                  <c:v>447.59769405110819</c:v>
                </c:pt>
                <c:pt idx="317">
                  <c:v>448.84273589764257</c:v>
                </c:pt>
                <c:pt idx="318">
                  <c:v>450.08363124824803</c:v>
                </c:pt>
                <c:pt idx="319">
                  <c:v>451.32034598321525</c:v>
                </c:pt>
                <c:pt idx="320">
                  <c:v>452.55284598283509</c:v>
                </c:pt>
                <c:pt idx="321">
                  <c:v>453.78109712739808</c:v>
                </c:pt>
                <c:pt idx="322">
                  <c:v>455.00506529719519</c:v>
                </c:pt>
                <c:pt idx="323">
                  <c:v>456.22471637251704</c:v>
                </c:pt>
                <c:pt idx="324">
                  <c:v>457.44001623365421</c:v>
                </c:pt>
                <c:pt idx="325">
                  <c:v>458.65093076089761</c:v>
                </c:pt>
                <c:pt idx="326">
                  <c:v>459.85742583453782</c:v>
                </c:pt>
                <c:pt idx="327">
                  <c:v>461.05946733486547</c:v>
                </c:pt>
                <c:pt idx="328">
                  <c:v>462.25702114217148</c:v>
                </c:pt>
                <c:pt idx="329">
                  <c:v>463.45005313674642</c:v>
                </c:pt>
                <c:pt idx="330">
                  <c:v>464.63852919888097</c:v>
                </c:pt>
                <c:pt idx="331">
                  <c:v>465.822415208866</c:v>
                </c:pt>
                <c:pt idx="332">
                  <c:v>467.00167704699197</c:v>
                </c:pt>
                <c:pt idx="333">
                  <c:v>468.17628059354973</c:v>
                </c:pt>
                <c:pt idx="334">
                  <c:v>469.34619172883004</c:v>
                </c:pt>
                <c:pt idx="335">
                  <c:v>470.51137633312362</c:v>
                </c:pt>
                <c:pt idx="336">
                  <c:v>471.67180028672101</c:v>
                </c:pt>
                <c:pt idx="337">
                  <c:v>472.82742946991311</c:v>
                </c:pt>
                <c:pt idx="338">
                  <c:v>473.97822976299068</c:v>
                </c:pt>
                <c:pt idx="339">
                  <c:v>475.12416704624411</c:v>
                </c:pt>
                <c:pt idx="340">
                  <c:v>476.26520719996438</c:v>
                </c:pt>
                <c:pt idx="341">
                  <c:v>477.40131610444223</c:v>
                </c:pt>
                <c:pt idx="342">
                  <c:v>478.53245963996801</c:v>
                </c:pt>
                <c:pt idx="343">
                  <c:v>479.65860368683292</c:v>
                </c:pt>
                <c:pt idx="344">
                  <c:v>480.77971412532719</c:v>
                </c:pt>
                <c:pt idx="345">
                  <c:v>481.89575683574196</c:v>
                </c:pt>
                <c:pt idx="346">
                  <c:v>483.00669769836765</c:v>
                </c:pt>
                <c:pt idx="347">
                  <c:v>484.11250259349504</c:v>
                </c:pt>
                <c:pt idx="348">
                  <c:v>485.21313740141494</c:v>
                </c:pt>
                <c:pt idx="349">
                  <c:v>486.30856800241804</c:v>
                </c:pt>
                <c:pt idx="350">
                  <c:v>487.39876027679486</c:v>
                </c:pt>
                <c:pt idx="351">
                  <c:v>488.48368010483631</c:v>
                </c:pt>
                <c:pt idx="352">
                  <c:v>489.56329336683302</c:v>
                </c:pt>
                <c:pt idx="353">
                  <c:v>490.63756594307586</c:v>
                </c:pt>
                <c:pt idx="354">
                  <c:v>491.70646371385521</c:v>
                </c:pt>
                <c:pt idx="355">
                  <c:v>492.76995255946201</c:v>
                </c:pt>
                <c:pt idx="356">
                  <c:v>493.82799836018677</c:v>
                </c:pt>
                <c:pt idx="357">
                  <c:v>494.88056699632062</c:v>
                </c:pt>
                <c:pt idx="358">
                  <c:v>495.92762434815376</c:v>
                </c:pt>
                <c:pt idx="359">
                  <c:v>496.96913629597731</c:v>
                </c:pt>
                <c:pt idx="360">
                  <c:v>498.00506872008174</c:v>
                </c:pt>
                <c:pt idx="361">
                  <c:v>499.03538750075791</c:v>
                </c:pt>
                <c:pt idx="362">
                  <c:v>500.06005851829633</c:v>
                </c:pt>
                <c:pt idx="363">
                  <c:v>501.07904765298781</c:v>
                </c:pt>
                <c:pt idx="364">
                  <c:v>502.09232078512321</c:v>
                </c:pt>
                <c:pt idx="365">
                  <c:v>503.09984379499303</c:v>
                </c:pt>
                <c:pt idx="366">
                  <c:v>504.10158256288793</c:v>
                </c:pt>
              </c:numCache>
            </c:numRef>
          </c:xVal>
          <c:yVal>
            <c:numRef>
              <c:f>'Model tilvækst, slagteform, fe'!$BJ$9:$BJ$376</c:f>
              <c:numCache>
                <c:formatCode>General</c:formatCode>
                <c:ptCount val="368"/>
                <c:pt idx="0">
                  <c:v>846</c:v>
                </c:pt>
                <c:pt idx="1">
                  <c:v>846.41480051985945</c:v>
                </c:pt>
                <c:pt idx="2">
                  <c:v>853.0501327268496</c:v>
                </c:pt>
                <c:pt idx="3">
                  <c:v>859.65134522454537</c:v>
                </c:pt>
                <c:pt idx="4">
                  <c:v>866.21843801295381</c:v>
                </c:pt>
                <c:pt idx="5">
                  <c:v>872.75141109207152</c:v>
                </c:pt>
                <c:pt idx="6">
                  <c:v>879.25026446189133</c:v>
                </c:pt>
                <c:pt idx="7">
                  <c:v>885.7149981224311</c:v>
                </c:pt>
                <c:pt idx="8">
                  <c:v>892.14561207366933</c:v>
                </c:pt>
                <c:pt idx="9">
                  <c:v>898.54210631563797</c:v>
                </c:pt>
                <c:pt idx="10">
                  <c:v>904.90448084828756</c:v>
                </c:pt>
                <c:pt idx="11">
                  <c:v>911.23273567166757</c:v>
                </c:pt>
                <c:pt idx="12">
                  <c:v>917.52687078574979</c:v>
                </c:pt>
                <c:pt idx="13">
                  <c:v>923.78688619053401</c:v>
                </c:pt>
                <c:pt idx="14">
                  <c:v>930.01278188604886</c:v>
                </c:pt>
                <c:pt idx="15">
                  <c:v>936.20455787224444</c:v>
                </c:pt>
                <c:pt idx="16">
                  <c:v>942.36221414917759</c:v>
                </c:pt>
                <c:pt idx="17">
                  <c:v>948.48575071679875</c:v>
                </c:pt>
                <c:pt idx="18">
                  <c:v>954.57516757514327</c:v>
                </c:pt>
                <c:pt idx="19">
                  <c:v>960.63046472418273</c:v>
                </c:pt>
                <c:pt idx="20">
                  <c:v>966.65164216394578</c:v>
                </c:pt>
                <c:pt idx="21">
                  <c:v>972.63869989441787</c:v>
                </c:pt>
                <c:pt idx="22">
                  <c:v>978.59163791558501</c:v>
                </c:pt>
                <c:pt idx="23">
                  <c:v>984.51045622746847</c:v>
                </c:pt>
                <c:pt idx="24">
                  <c:v>990.39515483006824</c:v>
                </c:pt>
                <c:pt idx="25">
                  <c:v>996.24573372337727</c:v>
                </c:pt>
                <c:pt idx="26">
                  <c:v>1002.0621929073883</c:v>
                </c:pt>
                <c:pt idx="27">
                  <c:v>1007.8445323821086</c:v>
                </c:pt>
                <c:pt idx="28">
                  <c:v>1013.592752147531</c:v>
                </c:pt>
                <c:pt idx="29">
                  <c:v>1019.3068522036767</c:v>
                </c:pt>
                <c:pt idx="30">
                  <c:v>1024.986832550539</c:v>
                </c:pt>
                <c:pt idx="31">
                  <c:v>1030.632693188096</c:v>
                </c:pt>
                <c:pt idx="32">
                  <c:v>1036.2444341163696</c:v>
                </c:pt>
                <c:pt idx="33">
                  <c:v>1041.8220553353449</c:v>
                </c:pt>
                <c:pt idx="34">
                  <c:v>1047.3655568450297</c:v>
                </c:pt>
                <c:pt idx="35">
                  <c:v>1052.8749386454308</c:v>
                </c:pt>
                <c:pt idx="36">
                  <c:v>1058.3502007365339</c:v>
                </c:pt>
                <c:pt idx="37">
                  <c:v>1063.7913431183533</c:v>
                </c:pt>
                <c:pt idx="38">
                  <c:v>1069.1983657908893</c:v>
                </c:pt>
                <c:pt idx="39">
                  <c:v>1074.5712687541129</c:v>
                </c:pt>
                <c:pt idx="40">
                  <c:v>1079.9100520080601</c:v>
                </c:pt>
                <c:pt idx="41">
                  <c:v>1085.2147155527234</c:v>
                </c:pt>
                <c:pt idx="42">
                  <c:v>1090.4852593880746</c:v>
                </c:pt>
                <c:pt idx="43">
                  <c:v>1095.7216835141567</c:v>
                </c:pt>
                <c:pt idx="44">
                  <c:v>1100.9239879309262</c:v>
                </c:pt>
                <c:pt idx="45">
                  <c:v>1106.0921726384408</c:v>
                </c:pt>
                <c:pt idx="46">
                  <c:v>1111.2262376366289</c:v>
                </c:pt>
                <c:pt idx="47">
                  <c:v>1116.3261829255475</c:v>
                </c:pt>
                <c:pt idx="48">
                  <c:v>1121.3920085051541</c:v>
                </c:pt>
                <c:pt idx="49">
                  <c:v>1126.4237143754769</c:v>
                </c:pt>
                <c:pt idx="50">
                  <c:v>1131.4213005365305</c:v>
                </c:pt>
                <c:pt idx="51">
                  <c:v>1136.3847669882857</c:v>
                </c:pt>
                <c:pt idx="52">
                  <c:v>1141.3141137307293</c:v>
                </c:pt>
                <c:pt idx="53">
                  <c:v>1146.2093407639031</c:v>
                </c:pt>
                <c:pt idx="54">
                  <c:v>1151.0704480877791</c:v>
                </c:pt>
                <c:pt idx="55">
                  <c:v>1155.8974357023715</c:v>
                </c:pt>
                <c:pt idx="56">
                  <c:v>1160.6903036076517</c:v>
                </c:pt>
                <c:pt idx="57">
                  <c:v>1165.4490518036482</c:v>
                </c:pt>
                <c:pt idx="58">
                  <c:v>1170.1736802903895</c:v>
                </c:pt>
                <c:pt idx="59">
                  <c:v>1174.8641890677902</c:v>
                </c:pt>
                <c:pt idx="60">
                  <c:v>1179.52057813595</c:v>
                </c:pt>
                <c:pt idx="61">
                  <c:v>1184.1428474947691</c:v>
                </c:pt>
                <c:pt idx="62">
                  <c:v>1188.7309971443187</c:v>
                </c:pt>
                <c:pt idx="63">
                  <c:v>1193.2850270845847</c:v>
                </c:pt>
                <c:pt idx="64">
                  <c:v>1197.804937315567</c:v>
                </c:pt>
                <c:pt idx="65">
                  <c:v>1202.2907278372372</c:v>
                </c:pt>
                <c:pt idx="66">
                  <c:v>1206.7423986496378</c:v>
                </c:pt>
                <c:pt idx="67">
                  <c:v>1211.1599497527122</c:v>
                </c:pt>
                <c:pt idx="68">
                  <c:v>1215.5433811465314</c:v>
                </c:pt>
                <c:pt idx="69">
                  <c:v>1219.8926928310671</c:v>
                </c:pt>
                <c:pt idx="70">
                  <c:v>1224.2078848062761</c:v>
                </c:pt>
                <c:pt idx="71">
                  <c:v>1228.4889570722157</c:v>
                </c:pt>
                <c:pt idx="72">
                  <c:v>1232.7359096288433</c:v>
                </c:pt>
                <c:pt idx="73">
                  <c:v>1236.9487424762156</c:v>
                </c:pt>
                <c:pt idx="74">
                  <c:v>1241.1274556142757</c:v>
                </c:pt>
                <c:pt idx="75">
                  <c:v>1245.2720490430522</c:v>
                </c:pt>
                <c:pt idx="76">
                  <c:v>1249.382522762545</c:v>
                </c:pt>
                <c:pt idx="77">
                  <c:v>1253.4588767727257</c:v>
                </c:pt>
                <c:pt idx="78">
                  <c:v>1257.5011110736227</c:v>
                </c:pt>
                <c:pt idx="79">
                  <c:v>1261.509225665236</c:v>
                </c:pt>
                <c:pt idx="80">
                  <c:v>1265.4832205475657</c:v>
                </c:pt>
                <c:pt idx="81">
                  <c:v>1269.4230957205832</c:v>
                </c:pt>
                <c:pt idx="82">
                  <c:v>1273.3288511843311</c:v>
                </c:pt>
                <c:pt idx="83">
                  <c:v>1277.2004869387815</c:v>
                </c:pt>
                <c:pt idx="84">
                  <c:v>1281.0380029839337</c:v>
                </c:pt>
                <c:pt idx="85">
                  <c:v>1284.841399319788</c:v>
                </c:pt>
                <c:pt idx="86">
                  <c:v>1288.6106759463871</c:v>
                </c:pt>
                <c:pt idx="87">
                  <c:v>1292.3458328636598</c:v>
                </c:pt>
                <c:pt idx="88">
                  <c:v>1296.0468700716633</c:v>
                </c:pt>
                <c:pt idx="89">
                  <c:v>1299.7137875703543</c:v>
                </c:pt>
                <c:pt idx="90">
                  <c:v>1303.3465853597904</c:v>
                </c:pt>
                <c:pt idx="91">
                  <c:v>1306.9452634398999</c:v>
                </c:pt>
                <c:pt idx="92">
                  <c:v>1310.5098218107116</c:v>
                </c:pt>
                <c:pt idx="93">
                  <c:v>1314.0402604722965</c:v>
                </c:pt>
                <c:pt idx="94">
                  <c:v>1317.5365794245408</c:v>
                </c:pt>
                <c:pt idx="95">
                  <c:v>1320.9987786674731</c:v>
                </c:pt>
                <c:pt idx="96">
                  <c:v>1324.4268582011784</c:v>
                </c:pt>
                <c:pt idx="97">
                  <c:v>1327.8208180255433</c:v>
                </c:pt>
                <c:pt idx="98">
                  <c:v>1331.1806581406245</c:v>
                </c:pt>
                <c:pt idx="99">
                  <c:v>1334.506378546422</c:v>
                </c:pt>
                <c:pt idx="100">
                  <c:v>1337.7979792429358</c:v>
                </c:pt>
                <c:pt idx="101">
                  <c:v>1341.0554602301659</c:v>
                </c:pt>
                <c:pt idx="102">
                  <c:v>1344.2788215080839</c:v>
                </c:pt>
                <c:pt idx="103">
                  <c:v>1347.4680630767182</c:v>
                </c:pt>
                <c:pt idx="104">
                  <c:v>1350.6231849360404</c:v>
                </c:pt>
                <c:pt idx="105">
                  <c:v>1353.7441870861358</c:v>
                </c:pt>
                <c:pt idx="106">
                  <c:v>1356.8310695268906</c:v>
                </c:pt>
                <c:pt idx="107">
                  <c:v>1359.8838322583333</c:v>
                </c:pt>
                <c:pt idx="108">
                  <c:v>1362.9024752805492</c:v>
                </c:pt>
                <c:pt idx="109">
                  <c:v>1365.886998593453</c:v>
                </c:pt>
                <c:pt idx="110">
                  <c:v>1368.8374021970162</c:v>
                </c:pt>
                <c:pt idx="111">
                  <c:v>1371.7536860913242</c:v>
                </c:pt>
                <c:pt idx="112">
                  <c:v>1374.6358502763769</c:v>
                </c:pt>
                <c:pt idx="113">
                  <c:v>1377.4838947521175</c:v>
                </c:pt>
                <c:pt idx="114">
                  <c:v>1380.2978195185176</c:v>
                </c:pt>
                <c:pt idx="115">
                  <c:v>1383.0776245756908</c:v>
                </c:pt>
                <c:pt idx="116">
                  <c:v>1385.8233099235235</c:v>
                </c:pt>
                <c:pt idx="117">
                  <c:v>1388.534875562101</c:v>
                </c:pt>
                <c:pt idx="118">
                  <c:v>1391.2123214913947</c:v>
                </c:pt>
                <c:pt idx="119">
                  <c:v>1393.8556477113764</c:v>
                </c:pt>
                <c:pt idx="120">
                  <c:v>1396.4648542220743</c:v>
                </c:pt>
                <c:pt idx="121">
                  <c:v>1399.0399410234886</c:v>
                </c:pt>
                <c:pt idx="122">
                  <c:v>1401.5809081155624</c:v>
                </c:pt>
                <c:pt idx="123">
                  <c:v>1404.0877554984377</c:v>
                </c:pt>
                <c:pt idx="124">
                  <c:v>1406.5604831719156</c:v>
                </c:pt>
                <c:pt idx="125">
                  <c:v>1408.9990911361951</c:v>
                </c:pt>
                <c:pt idx="126">
                  <c:v>1411.4035793911626</c:v>
                </c:pt>
                <c:pt idx="127">
                  <c:v>1413.7739479367895</c:v>
                </c:pt>
                <c:pt idx="128">
                  <c:v>1416.1101967731611</c:v>
                </c:pt>
                <c:pt idx="129">
                  <c:v>1418.4123259002774</c:v>
                </c:pt>
                <c:pt idx="130">
                  <c:v>1420.6803353180248</c:v>
                </c:pt>
                <c:pt idx="131">
                  <c:v>1422.9142250265454</c:v>
                </c:pt>
                <c:pt idx="132">
                  <c:v>1425.1139950257539</c:v>
                </c:pt>
                <c:pt idx="133">
                  <c:v>1427.2796453156786</c:v>
                </c:pt>
                <c:pt idx="134">
                  <c:v>1429.4111758962913</c:v>
                </c:pt>
                <c:pt idx="135">
                  <c:v>1431.5085867676203</c:v>
                </c:pt>
                <c:pt idx="136">
                  <c:v>1433.571877929694</c:v>
                </c:pt>
                <c:pt idx="137">
                  <c:v>1435.6010493824272</c:v>
                </c:pt>
                <c:pt idx="138">
                  <c:v>1437.5961011258767</c:v>
                </c:pt>
                <c:pt idx="139">
                  <c:v>1439.5570331600993</c:v>
                </c:pt>
                <c:pt idx="140">
                  <c:v>1441.4838454849246</c:v>
                </c:pt>
                <c:pt idx="141">
                  <c:v>1443.3765381005799</c:v>
                </c:pt>
                <c:pt idx="142">
                  <c:v>1445.2351110068378</c:v>
                </c:pt>
                <c:pt idx="143">
                  <c:v>1447.0595642038688</c:v>
                </c:pt>
                <c:pt idx="144">
                  <c:v>1448.8498976915594</c:v>
                </c:pt>
                <c:pt idx="145">
                  <c:v>1450.6061114700515</c:v>
                </c:pt>
                <c:pt idx="146">
                  <c:v>1452.3282055391462</c:v>
                </c:pt>
                <c:pt idx="147">
                  <c:v>1454.0161798989573</c:v>
                </c:pt>
                <c:pt idx="148">
                  <c:v>1455.6700345495983</c:v>
                </c:pt>
                <c:pt idx="149">
                  <c:v>1457.2897694908136</c:v>
                </c:pt>
                <c:pt idx="150">
                  <c:v>1458.8753847228304</c:v>
                </c:pt>
                <c:pt idx="151">
                  <c:v>1460.4268802454499</c:v>
                </c:pt>
                <c:pt idx="152">
                  <c:v>1461.9442560588993</c:v>
                </c:pt>
                <c:pt idx="153">
                  <c:v>1463.4275121630083</c:v>
                </c:pt>
                <c:pt idx="154">
                  <c:v>1464.8766485578051</c:v>
                </c:pt>
                <c:pt idx="155">
                  <c:v>1466.2916652433466</c:v>
                </c:pt>
                <c:pt idx="156">
                  <c:v>1467.6725622195477</c:v>
                </c:pt>
                <c:pt idx="157">
                  <c:v>1469.0193394865219</c:v>
                </c:pt>
                <c:pt idx="158">
                  <c:v>1470.3319970441555</c:v>
                </c:pt>
                <c:pt idx="159">
                  <c:v>1471.6105348925339</c:v>
                </c:pt>
                <c:pt idx="160">
                  <c:v>1472.8549530316002</c:v>
                </c:pt>
                <c:pt idx="161">
                  <c:v>1474.0652514613259</c:v>
                </c:pt>
                <c:pt idx="162">
                  <c:v>1475.2414301818817</c:v>
                </c:pt>
                <c:pt idx="163">
                  <c:v>1476.3834891930401</c:v>
                </c:pt>
                <c:pt idx="164">
                  <c:v>1477.4914284949716</c:v>
                </c:pt>
                <c:pt idx="165">
                  <c:v>1478.565248087591</c:v>
                </c:pt>
                <c:pt idx="166">
                  <c:v>1479.6049479709552</c:v>
                </c:pt>
                <c:pt idx="167">
                  <c:v>1480.610528144922</c:v>
                </c:pt>
                <c:pt idx="168">
                  <c:v>1481.5819886097188</c:v>
                </c:pt>
                <c:pt idx="169">
                  <c:v>1482.5193293651751</c:v>
                </c:pt>
                <c:pt idx="170">
                  <c:v>1483.4225504112908</c:v>
                </c:pt>
                <c:pt idx="171">
                  <c:v>1484.2916517482081</c:v>
                </c:pt>
                <c:pt idx="172">
                  <c:v>1485.1266333757565</c:v>
                </c:pt>
                <c:pt idx="173">
                  <c:v>1485.9274952941064</c:v>
                </c:pt>
                <c:pt idx="174">
                  <c:v>1486.694237503059</c:v>
                </c:pt>
                <c:pt idx="175">
                  <c:v>1487.4268600028131</c:v>
                </c:pt>
                <c:pt idx="176">
                  <c:v>1488.1253627931983</c:v>
                </c:pt>
                <c:pt idx="177">
                  <c:v>1488.7897458743566</c:v>
                </c:pt>
                <c:pt idx="178">
                  <c:v>1489.4200092461176</c:v>
                </c:pt>
                <c:pt idx="179">
                  <c:v>1490.0161529087654</c:v>
                </c:pt>
                <c:pt idx="180">
                  <c:v>1490.578176861959</c:v>
                </c:pt>
                <c:pt idx="181">
                  <c:v>1491.1060811060111</c:v>
                </c:pt>
                <c:pt idx="182">
                  <c:v>1491.5998656406373</c:v>
                </c:pt>
                <c:pt idx="183">
                  <c:v>1492.0595304660083</c:v>
                </c:pt>
                <c:pt idx="184">
                  <c:v>1492.485075582124</c:v>
                </c:pt>
                <c:pt idx="185">
                  <c:v>1492.8765009888707</c:v>
                </c:pt>
                <c:pt idx="186">
                  <c:v>1493.233806686419</c:v>
                </c:pt>
                <c:pt idx="187">
                  <c:v>1493.5569926747121</c:v>
                </c:pt>
                <c:pt idx="188">
                  <c:v>1493.8460589535794</c:v>
                </c:pt>
                <c:pt idx="189">
                  <c:v>1494.1010055232482</c:v>
                </c:pt>
                <c:pt idx="190">
                  <c:v>1494.3218323836049</c:v>
                </c:pt>
                <c:pt idx="191">
                  <c:v>1494.5085395346496</c:v>
                </c:pt>
                <c:pt idx="192">
                  <c:v>1494.6611269764389</c:v>
                </c:pt>
                <c:pt idx="193">
                  <c:v>1494.7795947088593</c:v>
                </c:pt>
                <c:pt idx="194">
                  <c:v>1494.8639427320813</c:v>
                </c:pt>
                <c:pt idx="195">
                  <c:v>1494.9141710459912</c:v>
                </c:pt>
                <c:pt idx="196">
                  <c:v>1494.9302796506458</c:v>
                </c:pt>
                <c:pt idx="197">
                  <c:v>1494.9122685459315</c:v>
                </c:pt>
                <c:pt idx="198">
                  <c:v>1494.8601377319051</c:v>
                </c:pt>
                <c:pt idx="199">
                  <c:v>1494.7738872086802</c:v>
                </c:pt>
                <c:pt idx="200">
                  <c:v>1494.6535169762001</c:v>
                </c:pt>
                <c:pt idx="201">
                  <c:v>1494.4990270342942</c:v>
                </c:pt>
                <c:pt idx="202">
                  <c:v>1494.310417383133</c:v>
                </c:pt>
                <c:pt idx="203">
                  <c:v>1494.0876880227165</c:v>
                </c:pt>
                <c:pt idx="204">
                  <c:v>1493.8308389530448</c:v>
                </c:pt>
                <c:pt idx="205">
                  <c:v>1493.5398701740041</c:v>
                </c:pt>
                <c:pt idx="206">
                  <c:v>1493.2147816856514</c:v>
                </c:pt>
                <c:pt idx="207">
                  <c:v>1492.8555734882138</c:v>
                </c:pt>
                <c:pt idx="208">
                  <c:v>1492.4622455812369</c:v>
                </c:pt>
                <c:pt idx="209">
                  <c:v>1492.0347979650046</c:v>
                </c:pt>
                <c:pt idx="210">
                  <c:v>1491.5732306396308</c:v>
                </c:pt>
                <c:pt idx="211">
                  <c:v>1491.0775436048311</c:v>
                </c:pt>
                <c:pt idx="212">
                  <c:v>1490.5477368608331</c:v>
                </c:pt>
                <c:pt idx="213">
                  <c:v>1489.9838104075229</c:v>
                </c:pt>
                <c:pt idx="214">
                  <c:v>1489.3857642448438</c:v>
                </c:pt>
                <c:pt idx="215">
                  <c:v>1488.7535983730231</c:v>
                </c:pt>
                <c:pt idx="216">
                  <c:v>1488.0873127917198</c:v>
                </c:pt>
                <c:pt idx="217">
                  <c:v>1487.386907501218</c:v>
                </c:pt>
                <c:pt idx="218">
                  <c:v>1486.6523825015179</c:v>
                </c:pt>
                <c:pt idx="219">
                  <c:v>1485.8837377923919</c:v>
                </c:pt>
                <c:pt idx="220">
                  <c:v>1485.0809733740675</c:v>
                </c:pt>
                <c:pt idx="221">
                  <c:v>1484.2440892463173</c:v>
                </c:pt>
                <c:pt idx="222">
                  <c:v>1483.3730854094256</c:v>
                </c:pt>
                <c:pt idx="223">
                  <c:v>1482.4679618632217</c:v>
                </c:pt>
                <c:pt idx="224">
                  <c:v>1481.5287186075921</c:v>
                </c:pt>
                <c:pt idx="225">
                  <c:v>1480.5553556428777</c:v>
                </c:pt>
                <c:pt idx="226">
                  <c:v>1479.5478729687375</c:v>
                </c:pt>
                <c:pt idx="227">
                  <c:v>1478.506270585342</c:v>
                </c:pt>
                <c:pt idx="228">
                  <c:v>1477.4305484926913</c:v>
                </c:pt>
                <c:pt idx="229">
                  <c:v>1476.3207066905579</c:v>
                </c:pt>
                <c:pt idx="230">
                  <c:v>1475.1767451794535</c:v>
                </c:pt>
                <c:pt idx="231">
                  <c:v>1473.9986639588665</c:v>
                </c:pt>
                <c:pt idx="232">
                  <c:v>1472.7864630289105</c:v>
                </c:pt>
                <c:pt idx="233">
                  <c:v>1471.5401423898697</c:v>
                </c:pt>
                <c:pt idx="234">
                  <c:v>1470.2597020414601</c:v>
                </c:pt>
                <c:pt idx="235">
                  <c:v>1468.9451419835677</c:v>
                </c:pt>
                <c:pt idx="236">
                  <c:v>1467.5964622166475</c:v>
                </c:pt>
                <c:pt idx="237">
                  <c:v>1466.2136627403015</c:v>
                </c:pt>
                <c:pt idx="238">
                  <c:v>1464.7967435548708</c:v>
                </c:pt>
                <c:pt idx="239">
                  <c:v>1463.3457046597869</c:v>
                </c:pt>
                <c:pt idx="240">
                  <c:v>1461.8605460557319</c:v>
                </c:pt>
                <c:pt idx="241">
                  <c:v>1460.3412677421943</c:v>
                </c:pt>
                <c:pt idx="242">
                  <c:v>1458.7878697194583</c:v>
                </c:pt>
                <c:pt idx="243">
                  <c:v>1457.2003519874102</c:v>
                </c:pt>
                <c:pt idx="244">
                  <c:v>1455.5787145461068</c:v>
                </c:pt>
                <c:pt idx="245">
                  <c:v>1453.9229573954913</c:v>
                </c:pt>
                <c:pt idx="246">
                  <c:v>1452.2330805355068</c:v>
                </c:pt>
                <c:pt idx="247">
                  <c:v>1450.5090839662671</c:v>
                </c:pt>
                <c:pt idx="248">
                  <c:v>1448.7509676877721</c:v>
                </c:pt>
                <c:pt idx="249">
                  <c:v>1446.9587317000219</c:v>
                </c:pt>
                <c:pt idx="250">
                  <c:v>1445.1323760029595</c:v>
                </c:pt>
                <c:pt idx="251">
                  <c:v>1443.2719005965282</c:v>
                </c:pt>
                <c:pt idx="252">
                  <c:v>1441.3773054808985</c:v>
                </c:pt>
                <c:pt idx="253">
                  <c:v>1439.4485906558998</c:v>
                </c:pt>
                <c:pt idx="254">
                  <c:v>1437.4857561216459</c:v>
                </c:pt>
                <c:pt idx="255">
                  <c:v>1435.4888018781367</c:v>
                </c:pt>
                <c:pt idx="256">
                  <c:v>1433.4577279253722</c:v>
                </c:pt>
                <c:pt idx="257">
                  <c:v>1431.3925342631819</c:v>
                </c:pt>
                <c:pt idx="258">
                  <c:v>1429.2932208917932</c:v>
                </c:pt>
                <c:pt idx="259">
                  <c:v>1427.1597878110924</c:v>
                </c:pt>
                <c:pt idx="260">
                  <c:v>1424.9922350210795</c:v>
                </c:pt>
                <c:pt idx="261">
                  <c:v>1422.7905625218114</c:v>
                </c:pt>
                <c:pt idx="262">
                  <c:v>1420.5547703132879</c:v>
                </c:pt>
                <c:pt idx="263">
                  <c:v>1418.2848583953387</c:v>
                </c:pt>
                <c:pt idx="264">
                  <c:v>1415.980826768191</c:v>
                </c:pt>
                <c:pt idx="265">
                  <c:v>1413.6426754317881</c:v>
                </c:pt>
                <c:pt idx="266">
                  <c:v>1411.2704043860731</c:v>
                </c:pt>
                <c:pt idx="267">
                  <c:v>1408.8640136309891</c:v>
                </c:pt>
                <c:pt idx="268">
                  <c:v>1406.4235031667067</c:v>
                </c:pt>
                <c:pt idx="269">
                  <c:v>1403.9488729931122</c:v>
                </c:pt>
                <c:pt idx="270">
                  <c:v>1401.4401231102056</c:v>
                </c:pt>
                <c:pt idx="271">
                  <c:v>1398.8972535180437</c:v>
                </c:pt>
                <c:pt idx="272">
                  <c:v>1396.3202642165697</c:v>
                </c:pt>
                <c:pt idx="273">
                  <c:v>1393.7091552057836</c:v>
                </c:pt>
                <c:pt idx="274">
                  <c:v>1391.0639264856854</c:v>
                </c:pt>
                <c:pt idx="275">
                  <c:v>1388.3845780563888</c:v>
                </c:pt>
                <c:pt idx="276">
                  <c:v>1385.6711099177232</c:v>
                </c:pt>
                <c:pt idx="277">
                  <c:v>1382.9235220697456</c:v>
                </c:pt>
                <c:pt idx="278">
                  <c:v>1380.1418145126263</c:v>
                </c:pt>
                <c:pt idx="279">
                  <c:v>1377.3259872460244</c:v>
                </c:pt>
                <c:pt idx="280">
                  <c:v>1374.4760402702809</c:v>
                </c:pt>
                <c:pt idx="281">
                  <c:v>1371.5919735851116</c:v>
                </c:pt>
                <c:pt idx="282">
                  <c:v>1368.6737871908008</c:v>
                </c:pt>
                <c:pt idx="283">
                  <c:v>1365.721481087121</c:v>
                </c:pt>
                <c:pt idx="284">
                  <c:v>1362.7350552741291</c:v>
                </c:pt>
                <c:pt idx="285">
                  <c:v>1359.7145097519387</c:v>
                </c:pt>
                <c:pt idx="286">
                  <c:v>1356.6598445203226</c:v>
                </c:pt>
                <c:pt idx="287">
                  <c:v>1353.5710595793944</c:v>
                </c:pt>
                <c:pt idx="288">
                  <c:v>1350.4481549293814</c:v>
                </c:pt>
                <c:pt idx="289">
                  <c:v>1347.2911305699995</c:v>
                </c:pt>
                <c:pt idx="290">
                  <c:v>1344.0999865012486</c:v>
                </c:pt>
                <c:pt idx="291">
                  <c:v>1340.8747227232425</c:v>
                </c:pt>
                <c:pt idx="292">
                  <c:v>1337.6153392358674</c:v>
                </c:pt>
                <c:pt idx="293">
                  <c:v>1334.3218360394076</c:v>
                </c:pt>
                <c:pt idx="294">
                  <c:v>1330.9942131334651</c:v>
                </c:pt>
                <c:pt idx="295">
                  <c:v>1327.6324705184948</c:v>
                </c:pt>
                <c:pt idx="296">
                  <c:v>1324.2366081938144</c:v>
                </c:pt>
                <c:pt idx="297">
                  <c:v>1320.8066261602198</c:v>
                </c:pt>
                <c:pt idx="298">
                  <c:v>1317.3425244169721</c:v>
                </c:pt>
                <c:pt idx="299">
                  <c:v>1313.8443029648101</c:v>
                </c:pt>
                <c:pt idx="300">
                  <c:v>1310.3119618030519</c:v>
                </c:pt>
                <c:pt idx="301">
                  <c:v>1306.7455009323794</c:v>
                </c:pt>
                <c:pt idx="302">
                  <c:v>1303.1449203519969</c:v>
                </c:pt>
                <c:pt idx="303">
                  <c:v>1299.5102200626434</c:v>
                </c:pt>
                <c:pt idx="304">
                  <c:v>1295.8414000638641</c:v>
                </c:pt>
                <c:pt idx="305">
                  <c:v>1292.1384603557726</c:v>
                </c:pt>
                <c:pt idx="306">
                  <c:v>1288.4014009383122</c:v>
                </c:pt>
                <c:pt idx="307">
                  <c:v>1284.630221811824</c:v>
                </c:pt>
                <c:pt idx="308">
                  <c:v>1280.8249229756825</c:v>
                </c:pt>
                <c:pt idx="309">
                  <c:v>1276.9855044306269</c:v>
                </c:pt>
                <c:pt idx="310">
                  <c:v>1273.1119661760317</c:v>
                </c:pt>
                <c:pt idx="311">
                  <c:v>1269.2043082121813</c:v>
                </c:pt>
                <c:pt idx="312">
                  <c:v>1265.2625305391894</c:v>
                </c:pt>
                <c:pt idx="313">
                  <c:v>1261.2866331567147</c:v>
                </c:pt>
                <c:pt idx="314">
                  <c:v>1257.276616064928</c:v>
                </c:pt>
                <c:pt idx="315">
                  <c:v>1253.2324792641134</c:v>
                </c:pt>
                <c:pt idx="316">
                  <c:v>1249.1542227537593</c:v>
                </c:pt>
                <c:pt idx="317">
                  <c:v>1245.0418465343773</c:v>
                </c:pt>
                <c:pt idx="318">
                  <c:v>1240.8953506054559</c:v>
                </c:pt>
                <c:pt idx="319">
                  <c:v>1236.7147349672223</c:v>
                </c:pt>
                <c:pt idx="320">
                  <c:v>1232.4999996198471</c:v>
                </c:pt>
                <c:pt idx="321">
                  <c:v>1228.2511445629893</c:v>
                </c:pt>
                <c:pt idx="322">
                  <c:v>1223.9681697971037</c:v>
                </c:pt>
                <c:pt idx="323">
                  <c:v>1219.651075321849</c:v>
                </c:pt>
                <c:pt idx="324">
                  <c:v>1215.2998611371686</c:v>
                </c:pt>
                <c:pt idx="325">
                  <c:v>1210.9145272434034</c:v>
                </c:pt>
                <c:pt idx="326">
                  <c:v>1206.4950736402125</c:v>
                </c:pt>
                <c:pt idx="327">
                  <c:v>1202.0415003276526</c:v>
                </c:pt>
                <c:pt idx="328">
                  <c:v>1197.5538073060079</c:v>
                </c:pt>
                <c:pt idx="329">
                  <c:v>1193.0319945749375</c:v>
                </c:pt>
                <c:pt idx="330">
                  <c:v>1188.4760621345549</c:v>
                </c:pt>
                <c:pt idx="331">
                  <c:v>1183.8860099850308</c:v>
                </c:pt>
                <c:pt idx="332">
                  <c:v>1179.2618381259672</c:v>
                </c:pt>
                <c:pt idx="333">
                  <c:v>1174.603546557762</c:v>
                </c:pt>
                <c:pt idx="334">
                  <c:v>1169.9111352803016</c:v>
                </c:pt>
                <c:pt idx="335">
                  <c:v>1165.1846042935858</c:v>
                </c:pt>
                <c:pt idx="336">
                  <c:v>1160.4239535973875</c:v>
                </c:pt>
                <c:pt idx="337">
                  <c:v>1155.6291831921044</c:v>
                </c:pt>
                <c:pt idx="338">
                  <c:v>1150.800293077566</c:v>
                </c:pt>
                <c:pt idx="339">
                  <c:v>1145.9372832534314</c:v>
                </c:pt>
                <c:pt idx="340">
                  <c:v>1141.0401537202688</c:v>
                </c:pt>
                <c:pt idx="341">
                  <c:v>1136.108904477851</c:v>
                </c:pt>
                <c:pt idx="342">
                  <c:v>1131.14353552578</c:v>
                </c:pt>
                <c:pt idx="343">
                  <c:v>1126.1440468649084</c:v>
                </c:pt>
                <c:pt idx="344">
                  <c:v>1121.1104384942701</c:v>
                </c:pt>
                <c:pt idx="345">
                  <c:v>1116.0427104147743</c:v>
                </c:pt>
                <c:pt idx="346">
                  <c:v>1110.9408626256823</c:v>
                </c:pt>
                <c:pt idx="347">
                  <c:v>1105.8048951273918</c:v>
                </c:pt>
                <c:pt idx="348">
                  <c:v>1100.6348079199029</c:v>
                </c:pt>
                <c:pt idx="349">
                  <c:v>1095.4306010031019</c:v>
                </c:pt>
                <c:pt idx="350">
                  <c:v>1090.1922743768182</c:v>
                </c:pt>
                <c:pt idx="351">
                  <c:v>1084.9198280414498</c:v>
                </c:pt>
                <c:pt idx="352">
                  <c:v>1079.6132619967125</c:v>
                </c:pt>
                <c:pt idx="353">
                  <c:v>1074.2725762428336</c:v>
                </c:pt>
                <c:pt idx="354">
                  <c:v>1068.8977707793583</c:v>
                </c:pt>
                <c:pt idx="355">
                  <c:v>1063.4888456067983</c:v>
                </c:pt>
                <c:pt idx="356">
                  <c:v>1058.0458007247557</c:v>
                </c:pt>
                <c:pt idx="357">
                  <c:v>1052.5686361338558</c:v>
                </c:pt>
                <c:pt idx="358">
                  <c:v>1047.0573518331321</c:v>
                </c:pt>
                <c:pt idx="359">
                  <c:v>1041.5119478235511</c:v>
                </c:pt>
                <c:pt idx="360">
                  <c:v>1035.9324241044305</c:v>
                </c:pt>
                <c:pt idx="361">
                  <c:v>1030.3187806761684</c:v>
                </c:pt>
                <c:pt idx="362">
                  <c:v>1024.6710175384237</c:v>
                </c:pt>
                <c:pt idx="363">
                  <c:v>1018.9891346914806</c:v>
                </c:pt>
                <c:pt idx="364">
                  <c:v>1013.2731321353958</c:v>
                </c:pt>
                <c:pt idx="365">
                  <c:v>1007.5230098698285</c:v>
                </c:pt>
                <c:pt idx="366">
                  <c:v>1001.7387678948921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B2-42C1-9B80-1E7B8FED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299904"/>
        <c:axId val="1069308432"/>
      </c:scatterChart>
      <c:valAx>
        <c:axId val="106929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9308432"/>
        <c:crosses val="autoZero"/>
        <c:crossBetween val="midCat"/>
      </c:valAx>
      <c:valAx>
        <c:axId val="106930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69299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'Model tilvækst, slagteform, fe'!$BM$8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'Model tilvækst, slagteform, fe'!$BL$9:$BL$376</c:f>
              <c:numCache>
                <c:formatCode>0.00</c:formatCode>
                <c:ptCount val="368"/>
                <c:pt idx="0">
                  <c:v>1.9999999999998399</c:v>
                </c:pt>
                <c:pt idx="1">
                  <c:v>3.2774679483345097</c:v>
                </c:pt>
                <c:pt idx="2">
                  <c:v>4.5574280289034483</c:v>
                </c:pt>
                <c:pt idx="3">
                  <c:v>5.8398640876379622</c:v>
                </c:pt>
                <c:pt idx="4">
                  <c:v>7.1247599704693521</c:v>
                </c:pt>
                <c:pt idx="5">
                  <c:v>8.4120995233289211</c:v>
                </c:pt>
                <c:pt idx="6">
                  <c:v>9.7018665921479812</c:v>
                </c:pt>
                <c:pt idx="7">
                  <c:v>10.994045022857826</c:v>
                </c:pt>
                <c:pt idx="8">
                  <c:v>12.288618661389767</c:v>
                </c:pt>
                <c:pt idx="9">
                  <c:v>13.585571353675107</c:v>
                </c:pt>
                <c:pt idx="10">
                  <c:v>14.884886945645146</c:v>
                </c:pt>
                <c:pt idx="11">
                  <c:v>16.186549283231191</c:v>
                </c:pt>
                <c:pt idx="12">
                  <c:v>17.490542212364549</c:v>
                </c:pt>
                <c:pt idx="13">
                  <c:v>18.79684957897652</c:v>
                </c:pt>
                <c:pt idx="14">
                  <c:v>20.105455228998405</c:v>
                </c:pt>
                <c:pt idx="15">
                  <c:v>21.416343008361519</c:v>
                </c:pt>
                <c:pt idx="16">
                  <c:v>22.729496762997158</c:v>
                </c:pt>
                <c:pt idx="17">
                  <c:v>24.044900338836623</c:v>
                </c:pt>
                <c:pt idx="18">
                  <c:v>25.362537581811232</c:v>
                </c:pt>
                <c:pt idx="19">
                  <c:v>26.682392337852271</c:v>
                </c:pt>
                <c:pt idx="20">
                  <c:v>28.004448452891054</c:v>
                </c:pt>
                <c:pt idx="21">
                  <c:v>29.32868977285889</c:v>
                </c:pt>
                <c:pt idx="22">
                  <c:v>30.655100143687072</c:v>
                </c:pt>
                <c:pt idx="23">
                  <c:v>31.983663411306907</c:v>
                </c:pt>
                <c:pt idx="24">
                  <c:v>33.314363421649702</c:v>
                </c:pt>
                <c:pt idx="25">
                  <c:v>34.647184020646762</c:v>
                </c:pt>
                <c:pt idx="26">
                  <c:v>35.98210905422939</c:v>
                </c:pt>
                <c:pt idx="27">
                  <c:v>37.319122368328891</c:v>
                </c:pt>
                <c:pt idx="28">
                  <c:v>38.658207808876561</c:v>
                </c:pt>
                <c:pt idx="29">
                  <c:v>39.999349221803726</c:v>
                </c:pt>
                <c:pt idx="30">
                  <c:v>41.342530453041661</c:v>
                </c:pt>
                <c:pt idx="31">
                  <c:v>42.687735348521684</c:v>
                </c:pt>
                <c:pt idx="32">
                  <c:v>44.0349477541751</c:v>
                </c:pt>
                <c:pt idx="33">
                  <c:v>45.384151515933212</c:v>
                </c:pt>
                <c:pt idx="34">
                  <c:v>46.735330479727324</c:v>
                </c:pt>
                <c:pt idx="35">
                  <c:v>48.08846849148874</c:v>
                </c:pt>
                <c:pt idx="36">
                  <c:v>49.443549397148772</c:v>
                </c:pt>
                <c:pt idx="37">
                  <c:v>50.800557042638708</c:v>
                </c:pt>
                <c:pt idx="38">
                  <c:v>52.159475273889868</c:v>
                </c:pt>
                <c:pt idx="39">
                  <c:v>53.52028793683354</c:v>
                </c:pt>
                <c:pt idx="40">
                  <c:v>54.882978877401037</c:v>
                </c:pt>
                <c:pt idx="41">
                  <c:v>56.247531941523668</c:v>
                </c:pt>
                <c:pt idx="42">
                  <c:v>57.613930975132732</c:v>
                </c:pt>
                <c:pt idx="43">
                  <c:v>58.982159824159531</c:v>
                </c:pt>
                <c:pt idx="44">
                  <c:v>60.35220233453537</c:v>
                </c:pt>
                <c:pt idx="45">
                  <c:v>61.724042352191553</c:v>
                </c:pt>
                <c:pt idx="46">
                  <c:v>63.097663723059384</c:v>
                </c:pt>
                <c:pt idx="47">
                  <c:v>64.473050293070173</c:v>
                </c:pt>
                <c:pt idx="48">
                  <c:v>65.850185908155225</c:v>
                </c:pt>
                <c:pt idx="49">
                  <c:v>67.229054414245837</c:v>
                </c:pt>
                <c:pt idx="50">
                  <c:v>68.609639657273291</c:v>
                </c:pt>
                <c:pt idx="51">
                  <c:v>69.991925483168941</c:v>
                </c:pt>
                <c:pt idx="52">
                  <c:v>71.375895737864056</c:v>
                </c:pt>
                <c:pt idx="53">
                  <c:v>72.761534267289946</c:v>
                </c:pt>
                <c:pt idx="54">
                  <c:v>74.148824917377922</c:v>
                </c:pt>
                <c:pt idx="55">
                  <c:v>75.537751534059282</c:v>
                </c:pt>
                <c:pt idx="56">
                  <c:v>76.928297963265322</c:v>
                </c:pt>
                <c:pt idx="57">
                  <c:v>78.320448050927368</c:v>
                </c:pt>
                <c:pt idx="58">
                  <c:v>79.71418564297673</c:v>
                </c:pt>
                <c:pt idx="59">
                  <c:v>81.109494585344663</c:v>
                </c:pt>
                <c:pt idx="60">
                  <c:v>82.506358723962521</c:v>
                </c:pt>
                <c:pt idx="61">
                  <c:v>83.904761904761585</c:v>
                </c:pt>
                <c:pt idx="62">
                  <c:v>85.304687973673154</c:v>
                </c:pt>
                <c:pt idx="63">
                  <c:v>86.706120776628552</c:v>
                </c:pt>
                <c:pt idx="64">
                  <c:v>88.109044159559062</c:v>
                </c:pt>
                <c:pt idx="65">
                  <c:v>89.513441968396009</c:v>
                </c:pt>
                <c:pt idx="66">
                  <c:v>90.91929804907069</c:v>
                </c:pt>
                <c:pt idx="67">
                  <c:v>92.326596247514388</c:v>
                </c:pt>
                <c:pt idx="68">
                  <c:v>93.735320409658428</c:v>
                </c:pt>
                <c:pt idx="69">
                  <c:v>95.145454381434121</c:v>
                </c:pt>
                <c:pt idx="70">
                  <c:v>96.556982008772763</c:v>
                </c:pt>
                <c:pt idx="71">
                  <c:v>97.969887137605681</c:v>
                </c:pt>
                <c:pt idx="72">
                  <c:v>99.384153613864129</c:v>
                </c:pt>
                <c:pt idx="73">
                  <c:v>100.79976528347943</c:v>
                </c:pt>
                <c:pt idx="74">
                  <c:v>102.2167059923829</c:v>
                </c:pt>
                <c:pt idx="75">
                  <c:v>103.63495958650583</c:v>
                </c:pt>
                <c:pt idx="76">
                  <c:v>105.05450991177953</c:v>
                </c:pt>
                <c:pt idx="77">
                  <c:v>106.47534081413532</c:v>
                </c:pt>
                <c:pt idx="78">
                  <c:v>107.89743613950449</c:v>
                </c:pt>
                <c:pt idx="79">
                  <c:v>109.32077973381833</c:v>
                </c:pt>
                <c:pt idx="80">
                  <c:v>110.74535544300818</c:v>
                </c:pt>
                <c:pt idx="81">
                  <c:v>112.1711471130053</c:v>
                </c:pt>
                <c:pt idx="82">
                  <c:v>113.59813858974103</c:v>
                </c:pt>
                <c:pt idx="83">
                  <c:v>115.02631371914666</c:v>
                </c:pt>
                <c:pt idx="84">
                  <c:v>116.45565634715349</c:v>
                </c:pt>
                <c:pt idx="85">
                  <c:v>117.88615031969285</c:v>
                </c:pt>
                <c:pt idx="86">
                  <c:v>119.31777948269598</c:v>
                </c:pt>
                <c:pt idx="87">
                  <c:v>120.75052768209426</c:v>
                </c:pt>
                <c:pt idx="88">
                  <c:v>122.18437876381894</c:v>
                </c:pt>
                <c:pt idx="89">
                  <c:v>123.61931657380136</c:v>
                </c:pt>
                <c:pt idx="90">
                  <c:v>125.0553249579728</c:v>
                </c:pt>
                <c:pt idx="91">
                  <c:v>126.49238776226457</c:v>
                </c:pt>
                <c:pt idx="92">
                  <c:v>127.93048883260798</c:v>
                </c:pt>
                <c:pt idx="93">
                  <c:v>129.36961201493435</c:v>
                </c:pt>
                <c:pt idx="94">
                  <c:v>130.80974115517495</c:v>
                </c:pt>
                <c:pt idx="95">
                  <c:v>132.25086009926108</c:v>
                </c:pt>
                <c:pt idx="96">
                  <c:v>133.69295269312408</c:v>
                </c:pt>
                <c:pt idx="97">
                  <c:v>135.13600278269527</c:v>
                </c:pt>
                <c:pt idx="98">
                  <c:v>136.57999421390591</c:v>
                </c:pt>
                <c:pt idx="99">
                  <c:v>138.02491083268728</c:v>
                </c:pt>
                <c:pt idx="100">
                  <c:v>139.47073648497073</c:v>
                </c:pt>
                <c:pt idx="101">
                  <c:v>140.91745501668754</c:v>
                </c:pt>
                <c:pt idx="102">
                  <c:v>142.36505027376907</c:v>
                </c:pt>
                <c:pt idx="103">
                  <c:v>143.81350610214656</c:v>
                </c:pt>
                <c:pt idx="104">
                  <c:v>145.26280634775131</c:v>
                </c:pt>
                <c:pt idx="105">
                  <c:v>146.71293485651469</c:v>
                </c:pt>
                <c:pt idx="106">
                  <c:v>148.16387547436796</c:v>
                </c:pt>
                <c:pt idx="107">
                  <c:v>149.61561204724245</c:v>
                </c:pt>
                <c:pt idx="108">
                  <c:v>151.06812842106939</c:v>
                </c:pt>
                <c:pt idx="109">
                  <c:v>152.52140844178018</c:v>
                </c:pt>
                <c:pt idx="110">
                  <c:v>153.97543595530604</c:v>
                </c:pt>
                <c:pt idx="111">
                  <c:v>155.43019480757835</c:v>
                </c:pt>
                <c:pt idx="112">
                  <c:v>156.88566884452834</c:v>
                </c:pt>
                <c:pt idx="113">
                  <c:v>158.3418419120874</c:v>
                </c:pt>
                <c:pt idx="114">
                  <c:v>159.79869785618678</c:v>
                </c:pt>
                <c:pt idx="115">
                  <c:v>161.25622052275776</c:v>
                </c:pt>
                <c:pt idx="116">
                  <c:v>162.71439375773173</c:v>
                </c:pt>
                <c:pt idx="117">
                  <c:v>164.1732014070399</c:v>
                </c:pt>
                <c:pt idx="118">
                  <c:v>165.63262731661362</c:v>
                </c:pt>
                <c:pt idx="119">
                  <c:v>167.09265533238417</c:v>
                </c:pt>
                <c:pt idx="120">
                  <c:v>168.55326930028286</c:v>
                </c:pt>
                <c:pt idx="121">
                  <c:v>170.01445306624103</c:v>
                </c:pt>
                <c:pt idx="122">
                  <c:v>171.47619047618997</c:v>
                </c:pt>
                <c:pt idx="123">
                  <c:v>172.93846537606098</c:v>
                </c:pt>
                <c:pt idx="124">
                  <c:v>174.40126161178534</c:v>
                </c:pt>
                <c:pt idx="125">
                  <c:v>175.86456302929437</c:v>
                </c:pt>
                <c:pt idx="126">
                  <c:v>177.32835347451939</c:v>
                </c:pt>
                <c:pt idx="127">
                  <c:v>178.79261679339169</c:v>
                </c:pt>
                <c:pt idx="128">
                  <c:v>180.25733683184257</c:v>
                </c:pt>
                <c:pt idx="129">
                  <c:v>181.72249743580332</c:v>
                </c:pt>
                <c:pt idx="130">
                  <c:v>183.18808245120528</c:v>
                </c:pt>
                <c:pt idx="131">
                  <c:v>184.6540757239797</c:v>
                </c:pt>
                <c:pt idx="132">
                  <c:v>186.12046110005798</c:v>
                </c:pt>
                <c:pt idx="133">
                  <c:v>187.58722242537135</c:v>
                </c:pt>
                <c:pt idx="134">
                  <c:v>189.05434354585111</c:v>
                </c:pt>
                <c:pt idx="135">
                  <c:v>190.52180830742859</c:v>
                </c:pt>
                <c:pt idx="136">
                  <c:v>191.9896005560351</c:v>
                </c:pt>
                <c:pt idx="137">
                  <c:v>193.45770413760192</c:v>
                </c:pt>
                <c:pt idx="138">
                  <c:v>194.92610289806035</c:v>
                </c:pt>
                <c:pt idx="139">
                  <c:v>196.39478068334171</c:v>
                </c:pt>
                <c:pt idx="140">
                  <c:v>197.86372133937735</c:v>
                </c:pt>
                <c:pt idx="141">
                  <c:v>199.33290871209852</c:v>
                </c:pt>
                <c:pt idx="142">
                  <c:v>200.8023266474365</c:v>
                </c:pt>
                <c:pt idx="143">
                  <c:v>202.27195899132263</c:v>
                </c:pt>
                <c:pt idx="144">
                  <c:v>203.74178958968824</c:v>
                </c:pt>
                <c:pt idx="145">
                  <c:v>205.21180228846455</c:v>
                </c:pt>
                <c:pt idx="146">
                  <c:v>206.68198093358293</c:v>
                </c:pt>
                <c:pt idx="147">
                  <c:v>208.15230937097471</c:v>
                </c:pt>
                <c:pt idx="148">
                  <c:v>209.62277144657111</c:v>
                </c:pt>
                <c:pt idx="149">
                  <c:v>211.09335100630352</c:v>
                </c:pt>
                <c:pt idx="150">
                  <c:v>212.56403189610316</c:v>
                </c:pt>
                <c:pt idx="151">
                  <c:v>214.03479796190143</c:v>
                </c:pt>
                <c:pt idx="152">
                  <c:v>215.50563304962955</c:v>
                </c:pt>
                <c:pt idx="153">
                  <c:v>216.97652100521887</c:v>
                </c:pt>
                <c:pt idx="154">
                  <c:v>218.44744567460069</c:v>
                </c:pt>
                <c:pt idx="155">
                  <c:v>219.91839090370627</c:v>
                </c:pt>
                <c:pt idx="156">
                  <c:v>221.38934053846697</c:v>
                </c:pt>
                <c:pt idx="157">
                  <c:v>222.86027842481408</c:v>
                </c:pt>
                <c:pt idx="158">
                  <c:v>224.33118840867888</c:v>
                </c:pt>
                <c:pt idx="159">
                  <c:v>225.80205433599269</c:v>
                </c:pt>
                <c:pt idx="160">
                  <c:v>227.27286005268687</c:v>
                </c:pt>
                <c:pt idx="161">
                  <c:v>228.74358940469261</c:v>
                </c:pt>
                <c:pt idx="162">
                  <c:v>230.21422623794126</c:v>
                </c:pt>
                <c:pt idx="163">
                  <c:v>231.68475439836419</c:v>
                </c:pt>
                <c:pt idx="164">
                  <c:v>233.15515773189261</c:v>
                </c:pt>
                <c:pt idx="165">
                  <c:v>234.62542008445791</c:v>
                </c:pt>
                <c:pt idx="166">
                  <c:v>236.0955253019913</c:v>
                </c:pt>
                <c:pt idx="167">
                  <c:v>237.56545723042419</c:v>
                </c:pt>
                <c:pt idx="168">
                  <c:v>239.03519971568781</c:v>
                </c:pt>
                <c:pt idx="169">
                  <c:v>240.50473660371344</c:v>
                </c:pt>
                <c:pt idx="170">
                  <c:v>241.97405174043246</c:v>
                </c:pt>
                <c:pt idx="171">
                  <c:v>243.44312897177613</c:v>
                </c:pt>
                <c:pt idx="172">
                  <c:v>244.91195214367579</c:v>
                </c:pt>
                <c:pt idx="173">
                  <c:v>246.38050510206267</c:v>
                </c:pt>
                <c:pt idx="174">
                  <c:v>247.84877169286813</c:v>
                </c:pt>
                <c:pt idx="175">
                  <c:v>249.31673576202348</c:v>
                </c:pt>
                <c:pt idx="176">
                  <c:v>250.78438115546007</c:v>
                </c:pt>
                <c:pt idx="177">
                  <c:v>252.25169171910903</c:v>
                </c:pt>
                <c:pt idx="178">
                  <c:v>253.7186512989019</c:v>
                </c:pt>
                <c:pt idx="179">
                  <c:v>255.18524374076978</c:v>
                </c:pt>
                <c:pt idx="180">
                  <c:v>256.65145289064407</c:v>
                </c:pt>
                <c:pt idx="181">
                  <c:v>258.11726259445612</c:v>
                </c:pt>
                <c:pt idx="182">
                  <c:v>259.58265669813704</c:v>
                </c:pt>
                <c:pt idx="183">
                  <c:v>261.04761904761841</c:v>
                </c:pt>
                <c:pt idx="184">
                  <c:v>262.5121334888313</c:v>
                </c:pt>
                <c:pt idx="185">
                  <c:v>263.97618386770716</c:v>
                </c:pt>
                <c:pt idx="186">
                  <c:v>265.43975403017726</c:v>
                </c:pt>
                <c:pt idx="187">
                  <c:v>266.90282782217281</c:v>
                </c:pt>
                <c:pt idx="188">
                  <c:v>268.36538908962524</c:v>
                </c:pt>
                <c:pt idx="189">
                  <c:v>269.82742167846578</c:v>
                </c:pt>
                <c:pt idx="190">
                  <c:v>271.28890943462579</c:v>
                </c:pt>
                <c:pt idx="191">
                  <c:v>272.74983620403651</c:v>
                </c:pt>
                <c:pt idx="192">
                  <c:v>274.21018583262935</c:v>
                </c:pt>
                <c:pt idx="193">
                  <c:v>275.66994216633543</c:v>
                </c:pt>
                <c:pt idx="194">
                  <c:v>277.12908905108623</c:v>
                </c:pt>
                <c:pt idx="195">
                  <c:v>278.58761033281303</c:v>
                </c:pt>
                <c:pt idx="196">
                  <c:v>280.04548985744702</c:v>
                </c:pt>
                <c:pt idx="197">
                  <c:v>281.50271147091962</c:v>
                </c:pt>
                <c:pt idx="198">
                  <c:v>282.959259019162</c:v>
                </c:pt>
                <c:pt idx="199">
                  <c:v>284.41511634810564</c:v>
                </c:pt>
                <c:pt idx="200">
                  <c:v>285.87026730368177</c:v>
                </c:pt>
                <c:pt idx="201">
                  <c:v>287.32469573182163</c:v>
                </c:pt>
                <c:pt idx="202">
                  <c:v>288.77838547845658</c:v>
                </c:pt>
                <c:pt idx="203">
                  <c:v>290.23132038951798</c:v>
                </c:pt>
                <c:pt idx="204">
                  <c:v>291.68348431093699</c:v>
                </c:pt>
                <c:pt idx="205">
                  <c:v>293.1348610886451</c:v>
                </c:pt>
                <c:pt idx="206">
                  <c:v>294.58543456857342</c:v>
                </c:pt>
                <c:pt idx="207">
                  <c:v>296.03518859665337</c:v>
                </c:pt>
                <c:pt idx="208">
                  <c:v>297.48410701881625</c:v>
                </c:pt>
                <c:pt idx="209">
                  <c:v>298.93217368099334</c:v>
                </c:pt>
                <c:pt idx="210">
                  <c:v>300.37937242911596</c:v>
                </c:pt>
                <c:pt idx="211">
                  <c:v>301.82568710911539</c:v>
                </c:pt>
                <c:pt idx="212">
                  <c:v>303.27110156692299</c:v>
                </c:pt>
                <c:pt idx="213">
                  <c:v>304.71559964846995</c:v>
                </c:pt>
                <c:pt idx="214">
                  <c:v>306.15916519968766</c:v>
                </c:pt>
                <c:pt idx="215">
                  <c:v>307.60178206650744</c:v>
                </c:pt>
                <c:pt idx="216">
                  <c:v>309.04343409486057</c:v>
                </c:pt>
                <c:pt idx="217">
                  <c:v>310.4841051306783</c:v>
                </c:pt>
                <c:pt idx="218">
                  <c:v>311.92377901989204</c:v>
                </c:pt>
                <c:pt idx="219">
                  <c:v>313.36243960843296</c:v>
                </c:pt>
                <c:pt idx="220">
                  <c:v>314.80007074223255</c:v>
                </c:pt>
                <c:pt idx="221">
                  <c:v>316.23665626722192</c:v>
                </c:pt>
                <c:pt idx="222">
                  <c:v>317.67218002933254</c:v>
                </c:pt>
                <c:pt idx="223">
                  <c:v>319.10662587449553</c:v>
                </c:pt>
                <c:pt idx="224">
                  <c:v>320.53997764864238</c:v>
                </c:pt>
                <c:pt idx="225">
                  <c:v>321.97221919770425</c:v>
                </c:pt>
                <c:pt idx="226">
                  <c:v>323.4033343676125</c:v>
                </c:pt>
                <c:pt idx="227">
                  <c:v>324.83330700429849</c:v>
                </c:pt>
                <c:pt idx="228">
                  <c:v>326.26212095369345</c:v>
                </c:pt>
                <c:pt idx="229">
                  <c:v>327.68976006172869</c:v>
                </c:pt>
                <c:pt idx="230">
                  <c:v>329.11620817433555</c:v>
                </c:pt>
                <c:pt idx="231">
                  <c:v>330.5414491374454</c:v>
                </c:pt>
                <c:pt idx="232">
                  <c:v>331.9654667969894</c:v>
                </c:pt>
                <c:pt idx="233">
                  <c:v>333.38824499889893</c:v>
                </c:pt>
                <c:pt idx="234">
                  <c:v>334.80976758910515</c:v>
                </c:pt>
                <c:pt idx="235">
                  <c:v>336.23001841353965</c:v>
                </c:pt>
                <c:pt idx="236">
                  <c:v>337.64898131813345</c:v>
                </c:pt>
                <c:pt idx="237">
                  <c:v>339.06664014881807</c:v>
                </c:pt>
                <c:pt idx="238">
                  <c:v>340.48297875152468</c:v>
                </c:pt>
                <c:pt idx="239">
                  <c:v>341.89798097218466</c:v>
                </c:pt>
                <c:pt idx="240">
                  <c:v>343.31163065672928</c:v>
                </c:pt>
                <c:pt idx="241">
                  <c:v>344.72391165108979</c:v>
                </c:pt>
                <c:pt idx="242">
                  <c:v>346.13480780119755</c:v>
                </c:pt>
                <c:pt idx="243">
                  <c:v>347.54430295298391</c:v>
                </c:pt>
                <c:pt idx="244">
                  <c:v>348.95238095238011</c:v>
                </c:pt>
                <c:pt idx="245">
                  <c:v>350.3590256453175</c:v>
                </c:pt>
                <c:pt idx="246">
                  <c:v>351.76422087772738</c:v>
                </c:pt>
                <c:pt idx="247">
                  <c:v>353.16795049554094</c:v>
                </c:pt>
                <c:pt idx="248">
                  <c:v>354.57019834468963</c:v>
                </c:pt>
                <c:pt idx="249">
                  <c:v>355.9709482711047</c:v>
                </c:pt>
                <c:pt idx="250">
                  <c:v>357.37018412071745</c:v>
                </c:pt>
                <c:pt idx="251">
                  <c:v>358.76788973945918</c:v>
                </c:pt>
                <c:pt idx="252">
                  <c:v>360.16404897326129</c:v>
                </c:pt>
                <c:pt idx="253">
                  <c:v>361.55864566805491</c:v>
                </c:pt>
                <c:pt idx="254">
                  <c:v>362.95166366977139</c:v>
                </c:pt>
                <c:pt idx="255">
                  <c:v>364.34308682434215</c:v>
                </c:pt>
                <c:pt idx="256">
                  <c:v>365.73289897769837</c:v>
                </c:pt>
                <c:pt idx="257">
                  <c:v>367.1210839757714</c:v>
                </c:pt>
                <c:pt idx="258">
                  <c:v>368.50762566449259</c:v>
                </c:pt>
                <c:pt idx="259">
                  <c:v>369.89250788979314</c:v>
                </c:pt>
                <c:pt idx="260">
                  <c:v>371.27571449760444</c:v>
                </c:pt>
                <c:pt idx="261">
                  <c:v>372.6572293338578</c:v>
                </c:pt>
                <c:pt idx="262">
                  <c:v>374.03703624448445</c:v>
                </c:pt>
                <c:pt idx="263">
                  <c:v>375.41511907541576</c:v>
                </c:pt>
                <c:pt idx="264">
                  <c:v>376.79146167258301</c:v>
                </c:pt>
                <c:pt idx="265">
                  <c:v>378.16604788191751</c:v>
                </c:pt>
                <c:pt idx="266">
                  <c:v>379.53886154935049</c:v>
                </c:pt>
                <c:pt idx="267">
                  <c:v>380.90988652081342</c:v>
                </c:pt>
                <c:pt idx="268">
                  <c:v>382.27910664223742</c:v>
                </c:pt>
                <c:pt idx="269">
                  <c:v>383.64650575955397</c:v>
                </c:pt>
                <c:pt idx="270">
                  <c:v>385.0120677186942</c:v>
                </c:pt>
                <c:pt idx="271">
                  <c:v>386.37577636558962</c:v>
                </c:pt>
                <c:pt idx="272">
                  <c:v>387.7376155461713</c:v>
                </c:pt>
                <c:pt idx="273">
                  <c:v>389.09756910637066</c:v>
                </c:pt>
                <c:pt idx="274">
                  <c:v>390.45562089211904</c:v>
                </c:pt>
                <c:pt idx="275">
                  <c:v>391.81175474934776</c:v>
                </c:pt>
                <c:pt idx="276">
                  <c:v>393.16595452398798</c:v>
                </c:pt>
                <c:pt idx="277">
                  <c:v>394.51820406197112</c:v>
                </c:pt>
                <c:pt idx="278">
                  <c:v>395.86848720922842</c:v>
                </c:pt>
                <c:pt idx="279">
                  <c:v>397.21678781169123</c:v>
                </c:pt>
                <c:pt idx="280">
                  <c:v>398.56308971529097</c:v>
                </c:pt>
                <c:pt idx="281">
                  <c:v>399.9073767659587</c:v>
                </c:pt>
                <c:pt idx="282">
                  <c:v>401.24963280962595</c:v>
                </c:pt>
                <c:pt idx="283">
                  <c:v>402.58984169222384</c:v>
                </c:pt>
                <c:pt idx="284">
                  <c:v>403.92798725968373</c:v>
                </c:pt>
                <c:pt idx="285">
                  <c:v>405.26405335793697</c:v>
                </c:pt>
                <c:pt idx="286">
                  <c:v>406.59802383291481</c:v>
                </c:pt>
                <c:pt idx="287">
                  <c:v>407.92988253054864</c:v>
                </c:pt>
                <c:pt idx="288">
                  <c:v>409.25961329676966</c:v>
                </c:pt>
                <c:pt idx="289">
                  <c:v>410.58719997750921</c:v>
                </c:pt>
                <c:pt idx="290">
                  <c:v>411.91262641869866</c:v>
                </c:pt>
                <c:pt idx="291">
                  <c:v>413.23587646626925</c:v>
                </c:pt>
                <c:pt idx="292">
                  <c:v>414.55693396615231</c:v>
                </c:pt>
                <c:pt idx="293">
                  <c:v>415.87578276427905</c:v>
                </c:pt>
                <c:pt idx="294">
                  <c:v>417.19240670658093</c:v>
                </c:pt>
                <c:pt idx="295">
                  <c:v>418.50678963898918</c:v>
                </c:pt>
                <c:pt idx="296">
                  <c:v>419.81891540743504</c:v>
                </c:pt>
                <c:pt idx="297">
                  <c:v>421.12876785784994</c:v>
                </c:pt>
                <c:pt idx="298">
                  <c:v>422.4363308361651</c:v>
                </c:pt>
                <c:pt idx="299">
                  <c:v>423.74158818831188</c:v>
                </c:pt>
                <c:pt idx="300">
                  <c:v>425.04452376022141</c:v>
                </c:pt>
                <c:pt idx="301">
                  <c:v>426.34512139782527</c:v>
                </c:pt>
                <c:pt idx="302">
                  <c:v>427.64336494705458</c:v>
                </c:pt>
                <c:pt idx="303">
                  <c:v>428.9392382538407</c:v>
                </c:pt>
                <c:pt idx="304">
                  <c:v>430.23272516411492</c:v>
                </c:pt>
                <c:pt idx="305">
                  <c:v>431.52380952380855</c:v>
                </c:pt>
                <c:pt idx="306">
                  <c:v>432.81247517885288</c:v>
                </c:pt>
                <c:pt idx="307">
                  <c:v>434.0987059751792</c:v>
                </c:pt>
                <c:pt idx="308">
                  <c:v>435.38248575871887</c:v>
                </c:pt>
                <c:pt idx="309">
                  <c:v>436.66379837540313</c:v>
                </c:pt>
                <c:pt idx="310">
                  <c:v>437.94262767116339</c:v>
                </c:pt>
                <c:pt idx="311">
                  <c:v>439.21895749193089</c:v>
                </c:pt>
                <c:pt idx="312">
                  <c:v>440.49277168363687</c:v>
                </c:pt>
                <c:pt idx="313">
                  <c:v>441.76405409221275</c:v>
                </c:pt>
                <c:pt idx="314">
                  <c:v>443.03278856358963</c:v>
                </c:pt>
                <c:pt idx="315">
                  <c:v>444.29895894369912</c:v>
                </c:pt>
                <c:pt idx="316">
                  <c:v>445.56254907847233</c:v>
                </c:pt>
                <c:pt idx="317">
                  <c:v>446.82354281384056</c:v>
                </c:pt>
                <c:pt idx="318">
                  <c:v>448.08192399573511</c:v>
                </c:pt>
                <c:pt idx="319">
                  <c:v>449.33767647008733</c:v>
                </c:pt>
                <c:pt idx="320">
                  <c:v>450.59078408282863</c:v>
                </c:pt>
                <c:pt idx="321">
                  <c:v>451.84123067989015</c:v>
                </c:pt>
                <c:pt idx="322">
                  <c:v>453.08900010720322</c:v>
                </c:pt>
                <c:pt idx="323">
                  <c:v>454.33407621069915</c:v>
                </c:pt>
                <c:pt idx="324">
                  <c:v>455.57644283630935</c:v>
                </c:pt>
                <c:pt idx="325">
                  <c:v>456.8160838299649</c:v>
                </c:pt>
                <c:pt idx="326">
                  <c:v>458.05298303759736</c:v>
                </c:pt>
                <c:pt idx="327">
                  <c:v>459.28712430513798</c:v>
                </c:pt>
                <c:pt idx="328">
                  <c:v>460.51849147851789</c:v>
                </c:pt>
                <c:pt idx="329">
                  <c:v>461.74706840366849</c:v>
                </c:pt>
                <c:pt idx="330">
                  <c:v>462.97283892652115</c:v>
                </c:pt>
                <c:pt idx="331">
                  <c:v>464.1957868930071</c:v>
                </c:pt>
                <c:pt idx="332">
                  <c:v>465.41589614905769</c:v>
                </c:pt>
                <c:pt idx="333">
                  <c:v>466.63315054060428</c:v>
                </c:pt>
                <c:pt idx="334">
                  <c:v>467.84753391357805</c:v>
                </c:pt>
                <c:pt idx="335">
                  <c:v>469.05903011391024</c:v>
                </c:pt>
                <c:pt idx="336">
                  <c:v>470.26762298753232</c:v>
                </c:pt>
                <c:pt idx="337">
                  <c:v>471.47329638037559</c:v>
                </c:pt>
                <c:pt idx="338">
                  <c:v>472.67603413837128</c:v>
                </c:pt>
                <c:pt idx="339">
                  <c:v>473.87582010745075</c:v>
                </c:pt>
                <c:pt idx="340">
                  <c:v>475.07263813354518</c:v>
                </c:pt>
                <c:pt idx="341">
                  <c:v>476.26647206258605</c:v>
                </c:pt>
                <c:pt idx="342">
                  <c:v>477.45730574050452</c:v>
                </c:pt>
                <c:pt idx="343">
                  <c:v>478.64512301323202</c:v>
                </c:pt>
                <c:pt idx="344">
                  <c:v>479.82990772669962</c:v>
                </c:pt>
                <c:pt idx="345">
                  <c:v>481.01164372683911</c:v>
                </c:pt>
                <c:pt idx="346">
                  <c:v>482.19031485958124</c:v>
                </c:pt>
                <c:pt idx="347">
                  <c:v>483.36590497085751</c:v>
                </c:pt>
                <c:pt idx="348">
                  <c:v>484.53839790659941</c:v>
                </c:pt>
                <c:pt idx="349">
                  <c:v>485.70777751273806</c:v>
                </c:pt>
                <c:pt idx="350">
                  <c:v>486.8740276352047</c:v>
                </c:pt>
                <c:pt idx="351">
                  <c:v>488.0371321199309</c:v>
                </c:pt>
                <c:pt idx="352">
                  <c:v>489.19707481284763</c:v>
                </c:pt>
                <c:pt idx="353">
                  <c:v>490.35383955988652</c:v>
                </c:pt>
                <c:pt idx="354">
                  <c:v>491.50741020697853</c:v>
                </c:pt>
                <c:pt idx="355">
                  <c:v>492.65777060005541</c:v>
                </c:pt>
                <c:pt idx="356">
                  <c:v>493.80490458504801</c:v>
                </c:pt>
                <c:pt idx="357">
                  <c:v>494.94879600788795</c:v>
                </c:pt>
                <c:pt idx="358">
                  <c:v>496.08942871450625</c:v>
                </c:pt>
                <c:pt idx="359">
                  <c:v>497.2267865508345</c:v>
                </c:pt>
                <c:pt idx="360">
                  <c:v>498.36085336280382</c:v>
                </c:pt>
                <c:pt idx="361">
                  <c:v>499.49161299634574</c:v>
                </c:pt>
                <c:pt idx="362">
                  <c:v>500.6190492973912</c:v>
                </c:pt>
                <c:pt idx="363">
                  <c:v>501.74314611187185</c:v>
                </c:pt>
                <c:pt idx="364">
                  <c:v>502.86388728571876</c:v>
                </c:pt>
                <c:pt idx="365">
                  <c:v>503.98125666486334</c:v>
                </c:pt>
                <c:pt idx="366">
                  <c:v>505.09523809523682</c:v>
                </c:pt>
              </c:numCache>
            </c:numRef>
          </c:xVal>
          <c:yVal>
            <c:numRef>
              <c:f>'Model tilvækst, slagteform, fe'!$BM$9:$BM$376</c:f>
              <c:numCache>
                <c:formatCode>General</c:formatCode>
                <c:ptCount val="368"/>
                <c:pt idx="0">
                  <c:v>1277</c:v>
                </c:pt>
                <c:pt idx="1">
                  <c:v>1277.4679483346697</c:v>
                </c:pt>
                <c:pt idx="2">
                  <c:v>1279.9600805689386</c:v>
                </c:pt>
                <c:pt idx="3">
                  <c:v>1282.4360587345138</c:v>
                </c:pt>
                <c:pt idx="4">
                  <c:v>1284.8958828313898</c:v>
                </c:pt>
                <c:pt idx="5">
                  <c:v>1287.339552859569</c:v>
                </c:pt>
                <c:pt idx="6">
                  <c:v>1289.7670688190601</c:v>
                </c:pt>
                <c:pt idx="7">
                  <c:v>1292.1784307098444</c:v>
                </c:pt>
                <c:pt idx="8">
                  <c:v>1294.5736385319417</c:v>
                </c:pt>
                <c:pt idx="9">
                  <c:v>1296.9526922853395</c:v>
                </c:pt>
                <c:pt idx="10">
                  <c:v>1299.3155919700391</c:v>
                </c:pt>
                <c:pt idx="11">
                  <c:v>1301.6623375860447</c:v>
                </c:pt>
                <c:pt idx="12">
                  <c:v>1303.9929291333578</c:v>
                </c:pt>
                <c:pt idx="13">
                  <c:v>1306.3073666119712</c:v>
                </c:pt>
                <c:pt idx="14">
                  <c:v>1308.6056500218851</c:v>
                </c:pt>
                <c:pt idx="15">
                  <c:v>1310.8877793631136</c:v>
                </c:pt>
                <c:pt idx="16">
                  <c:v>1313.1537546356392</c:v>
                </c:pt>
                <c:pt idx="17">
                  <c:v>1315.4035758394648</c:v>
                </c:pt>
                <c:pt idx="18">
                  <c:v>1317.6372429746089</c:v>
                </c:pt>
                <c:pt idx="19">
                  <c:v>1319.8547560410389</c:v>
                </c:pt>
                <c:pt idx="20">
                  <c:v>1322.0561150387837</c:v>
                </c:pt>
                <c:pt idx="21">
                  <c:v>1324.241319967836</c:v>
                </c:pt>
                <c:pt idx="22">
                  <c:v>1326.4103708281816</c:v>
                </c:pt>
                <c:pt idx="23">
                  <c:v>1328.5632676198347</c:v>
                </c:pt>
                <c:pt idx="24">
                  <c:v>1330.7000103427954</c:v>
                </c:pt>
                <c:pt idx="25">
                  <c:v>1332.8205989970597</c:v>
                </c:pt>
                <c:pt idx="26">
                  <c:v>1334.9250335826284</c:v>
                </c:pt>
                <c:pt idx="27">
                  <c:v>1337.0133140995008</c:v>
                </c:pt>
                <c:pt idx="28">
                  <c:v>1339.0854405476703</c:v>
                </c:pt>
                <c:pt idx="29">
                  <c:v>1341.1414129271648</c:v>
                </c:pt>
                <c:pt idx="30">
                  <c:v>1343.181231237935</c:v>
                </c:pt>
                <c:pt idx="31">
                  <c:v>1345.2048954800234</c:v>
                </c:pt>
                <c:pt idx="32">
                  <c:v>1347.2124056534155</c:v>
                </c:pt>
                <c:pt idx="33">
                  <c:v>1349.2037617581118</c:v>
                </c:pt>
                <c:pt idx="34">
                  <c:v>1351.178963794112</c:v>
                </c:pt>
                <c:pt idx="35">
                  <c:v>1353.1380117614162</c:v>
                </c:pt>
                <c:pt idx="36">
                  <c:v>1355.0809056600315</c:v>
                </c:pt>
                <c:pt idx="37">
                  <c:v>1357.0076454899365</c:v>
                </c:pt>
                <c:pt idx="38">
                  <c:v>1358.9182312511596</c:v>
                </c:pt>
                <c:pt idx="39">
                  <c:v>1360.8126629436724</c:v>
                </c:pt>
                <c:pt idx="40">
                  <c:v>1362.6909405674965</c:v>
                </c:pt>
                <c:pt idx="41">
                  <c:v>1364.5530641226314</c:v>
                </c:pt>
                <c:pt idx="42">
                  <c:v>1366.3990336090635</c:v>
                </c:pt>
                <c:pt idx="43">
                  <c:v>1368.2288490267993</c:v>
                </c:pt>
                <c:pt idx="44">
                  <c:v>1370.0425103758391</c:v>
                </c:pt>
                <c:pt idx="45">
                  <c:v>1371.8400176561829</c:v>
                </c:pt>
                <c:pt idx="46">
                  <c:v>1373.6213708678306</c:v>
                </c:pt>
                <c:pt idx="47">
                  <c:v>1375.3865700107895</c:v>
                </c:pt>
                <c:pt idx="48">
                  <c:v>1377.1356150850522</c:v>
                </c:pt>
                <c:pt idx="49">
                  <c:v>1378.8685060906118</c:v>
                </c:pt>
                <c:pt idx="50">
                  <c:v>1380.585243027454</c:v>
                </c:pt>
                <c:pt idx="51">
                  <c:v>1382.2858258956501</c:v>
                </c:pt>
                <c:pt idx="52">
                  <c:v>1383.9702546951144</c:v>
                </c:pt>
                <c:pt idx="53">
                  <c:v>1385.6385294258898</c:v>
                </c:pt>
                <c:pt idx="54">
                  <c:v>1387.2906500879765</c:v>
                </c:pt>
                <c:pt idx="55">
                  <c:v>1388.92661668136</c:v>
                </c:pt>
                <c:pt idx="56">
                  <c:v>1390.5464292060401</c:v>
                </c:pt>
                <c:pt idx="57">
                  <c:v>1392.1500876620457</c:v>
                </c:pt>
                <c:pt idx="58">
                  <c:v>1393.7375920493623</c:v>
                </c:pt>
                <c:pt idx="59">
                  <c:v>1395.308942367933</c:v>
                </c:pt>
                <c:pt idx="60">
                  <c:v>1396.8641386178574</c:v>
                </c:pt>
                <c:pt idx="61">
                  <c:v>1398.4031807990646</c:v>
                </c:pt>
                <c:pt idx="62">
                  <c:v>1399.9260689115686</c:v>
                </c:pt>
                <c:pt idx="63">
                  <c:v>1401.4328029553981</c:v>
                </c:pt>
                <c:pt idx="64">
                  <c:v>1402.9233829305099</c:v>
                </c:pt>
                <c:pt idx="65">
                  <c:v>1404.3978088369472</c:v>
                </c:pt>
                <c:pt idx="66">
                  <c:v>1405.8560806746812</c:v>
                </c:pt>
                <c:pt idx="67">
                  <c:v>1407.2981984436979</c:v>
                </c:pt>
                <c:pt idx="68">
                  <c:v>1408.7241621440398</c:v>
                </c:pt>
                <c:pt idx="69">
                  <c:v>1410.1339717756928</c:v>
                </c:pt>
                <c:pt idx="70">
                  <c:v>1411.5276273386428</c:v>
                </c:pt>
                <c:pt idx="71">
                  <c:v>1412.9051288329179</c:v>
                </c:pt>
                <c:pt idx="72">
                  <c:v>1414.2664762584473</c:v>
                </c:pt>
                <c:pt idx="73">
                  <c:v>1415.6116696153022</c:v>
                </c:pt>
                <c:pt idx="74">
                  <c:v>1416.9407089034678</c:v>
                </c:pt>
                <c:pt idx="75">
                  <c:v>1418.2535941229303</c:v>
                </c:pt>
                <c:pt idx="76">
                  <c:v>1419.5503252737039</c:v>
                </c:pt>
                <c:pt idx="77">
                  <c:v>1420.8309023557888</c:v>
                </c:pt>
                <c:pt idx="78">
                  <c:v>1422.0953253691705</c:v>
                </c:pt>
                <c:pt idx="79">
                  <c:v>1423.3435943138347</c:v>
                </c:pt>
                <c:pt idx="80">
                  <c:v>1424.5757091898527</c:v>
                </c:pt>
                <c:pt idx="81">
                  <c:v>1425.7916699971247</c:v>
                </c:pt>
                <c:pt idx="82">
                  <c:v>1426.9914767357222</c:v>
                </c:pt>
                <c:pt idx="83">
                  <c:v>1428.1751294056307</c:v>
                </c:pt>
                <c:pt idx="84">
                  <c:v>1429.3426280068361</c:v>
                </c:pt>
                <c:pt idx="85">
                  <c:v>1430.4939725393524</c:v>
                </c:pt>
                <c:pt idx="86">
                  <c:v>1431.6291630031374</c:v>
                </c:pt>
                <c:pt idx="87">
                  <c:v>1432.7481993982758</c:v>
                </c:pt>
                <c:pt idx="88">
                  <c:v>1433.8510817246829</c:v>
                </c:pt>
                <c:pt idx="89">
                  <c:v>1434.937809982415</c:v>
                </c:pt>
                <c:pt idx="90">
                  <c:v>1436.008384171444</c:v>
                </c:pt>
                <c:pt idx="91">
                  <c:v>1437.0628042917701</c:v>
                </c:pt>
                <c:pt idx="92">
                  <c:v>1438.1010703434072</c:v>
                </c:pt>
                <c:pt idx="93">
                  <c:v>1439.1231823263695</c:v>
                </c:pt>
                <c:pt idx="94">
                  <c:v>1440.1291402406002</c:v>
                </c:pt>
                <c:pt idx="95">
                  <c:v>1441.1189440861278</c:v>
                </c:pt>
                <c:pt idx="96">
                  <c:v>1442.0925938630091</c:v>
                </c:pt>
                <c:pt idx="97">
                  <c:v>1443.0500895711873</c:v>
                </c:pt>
                <c:pt idx="98">
                  <c:v>1443.9914312106339</c:v>
                </c:pt>
                <c:pt idx="99">
                  <c:v>1444.9166187813773</c:v>
                </c:pt>
                <c:pt idx="100">
                  <c:v>1445.8256522834461</c:v>
                </c:pt>
                <c:pt idx="101">
                  <c:v>1446.7185317168116</c:v>
                </c:pt>
                <c:pt idx="102">
                  <c:v>1447.5952570815309</c:v>
                </c:pt>
                <c:pt idx="103">
                  <c:v>1448.4558283774902</c:v>
                </c:pt>
                <c:pt idx="104">
                  <c:v>1449.3002456047464</c:v>
                </c:pt>
                <c:pt idx="105">
                  <c:v>1450.1285087633846</c:v>
                </c:pt>
                <c:pt idx="106">
                  <c:v>1450.9406178532629</c:v>
                </c:pt>
                <c:pt idx="107">
                  <c:v>1451.7365728744949</c:v>
                </c:pt>
                <c:pt idx="108">
                  <c:v>1452.5163738269384</c:v>
                </c:pt>
                <c:pt idx="109">
                  <c:v>1453.2800207107925</c:v>
                </c:pt>
                <c:pt idx="110">
                  <c:v>1454.0275135258582</c:v>
                </c:pt>
                <c:pt idx="111">
                  <c:v>1454.7588522723061</c:v>
                </c:pt>
                <c:pt idx="112">
                  <c:v>1455.4740369499939</c:v>
                </c:pt>
                <c:pt idx="113">
                  <c:v>1456.1730675590638</c:v>
                </c:pt>
                <c:pt idx="114">
                  <c:v>1456.8559440993738</c:v>
                </c:pt>
                <c:pt idx="115">
                  <c:v>1457.5226665709806</c:v>
                </c:pt>
                <c:pt idx="116">
                  <c:v>1458.1732349739696</c:v>
                </c:pt>
                <c:pt idx="117">
                  <c:v>1458.8076493081701</c:v>
                </c:pt>
                <c:pt idx="118">
                  <c:v>1459.4259095737243</c:v>
                </c:pt>
                <c:pt idx="119">
                  <c:v>1460.028015770547</c:v>
                </c:pt>
                <c:pt idx="120">
                  <c:v>1460.6139678986949</c:v>
                </c:pt>
                <c:pt idx="121">
                  <c:v>1461.1837659581681</c:v>
                </c:pt>
                <c:pt idx="122">
                  <c:v>1461.7374099489382</c:v>
                </c:pt>
                <c:pt idx="123">
                  <c:v>1462.2748998710051</c:v>
                </c:pt>
                <c:pt idx="124">
                  <c:v>1462.7962357243689</c:v>
                </c:pt>
                <c:pt idx="125">
                  <c:v>1463.3014175090295</c:v>
                </c:pt>
                <c:pt idx="126">
                  <c:v>1463.7904452250154</c:v>
                </c:pt>
                <c:pt idx="127">
                  <c:v>1464.2633188722982</c:v>
                </c:pt>
                <c:pt idx="128">
                  <c:v>1464.7200384508778</c:v>
                </c:pt>
                <c:pt idx="129">
                  <c:v>1465.1606039607543</c:v>
                </c:pt>
                <c:pt idx="130">
                  <c:v>1465.5850154019561</c:v>
                </c:pt>
                <c:pt idx="131">
                  <c:v>1465.9932727744263</c:v>
                </c:pt>
                <c:pt idx="132">
                  <c:v>1466.3853760782786</c:v>
                </c:pt>
                <c:pt idx="133">
                  <c:v>1466.7613253133709</c:v>
                </c:pt>
                <c:pt idx="134">
                  <c:v>1467.1211204797601</c:v>
                </c:pt>
                <c:pt idx="135">
                  <c:v>1467.4647615774745</c:v>
                </c:pt>
                <c:pt idx="136">
                  <c:v>1467.7922486065142</c:v>
                </c:pt>
                <c:pt idx="137">
                  <c:v>1468.1035815668224</c:v>
                </c:pt>
                <c:pt idx="138">
                  <c:v>1468.3987604584274</c:v>
                </c:pt>
                <c:pt idx="139">
                  <c:v>1468.6777852813577</c:v>
                </c:pt>
                <c:pt idx="140">
                  <c:v>1468.9406560356417</c:v>
                </c:pt>
                <c:pt idx="141">
                  <c:v>1469.1873727211657</c:v>
                </c:pt>
                <c:pt idx="142">
                  <c:v>1469.4179353379866</c:v>
                </c:pt>
                <c:pt idx="143">
                  <c:v>1469.6323438861327</c:v>
                </c:pt>
                <c:pt idx="144">
                  <c:v>1469.8305983656041</c:v>
                </c:pt>
                <c:pt idx="145">
                  <c:v>1470.0126987763156</c:v>
                </c:pt>
                <c:pt idx="146">
                  <c:v>1470.1786451183807</c:v>
                </c:pt>
                <c:pt idx="147">
                  <c:v>1470.3284373917711</c:v>
                </c:pt>
                <c:pt idx="148">
                  <c:v>1470.4620755964015</c:v>
                </c:pt>
                <c:pt idx="149">
                  <c:v>1470.5795597324141</c:v>
                </c:pt>
                <c:pt idx="150">
                  <c:v>1470.6808897996382</c:v>
                </c:pt>
                <c:pt idx="151">
                  <c:v>1470.7660657982728</c:v>
                </c:pt>
                <c:pt idx="152">
                  <c:v>1470.8350877281191</c:v>
                </c:pt>
                <c:pt idx="153">
                  <c:v>1470.8879555893191</c:v>
                </c:pt>
                <c:pt idx="154">
                  <c:v>1470.9246693818159</c:v>
                </c:pt>
                <c:pt idx="155">
                  <c:v>1470.9452291055811</c:v>
                </c:pt>
                <c:pt idx="156">
                  <c:v>1470.9496347607001</c:v>
                </c:pt>
                <c:pt idx="157">
                  <c:v>1470.9378863471159</c:v>
                </c:pt>
                <c:pt idx="158">
                  <c:v>1470.9099838648001</c:v>
                </c:pt>
                <c:pt idx="159">
                  <c:v>1470.8659273138096</c:v>
                </c:pt>
                <c:pt idx="160">
                  <c:v>1470.8057166941728</c:v>
                </c:pt>
                <c:pt idx="161">
                  <c:v>1470.7293520057476</c:v>
                </c:pt>
                <c:pt idx="162">
                  <c:v>1470.6368332486477</c:v>
                </c:pt>
                <c:pt idx="163">
                  <c:v>1470.5281604229299</c:v>
                </c:pt>
                <c:pt idx="164">
                  <c:v>1470.4033335284237</c:v>
                </c:pt>
                <c:pt idx="165">
                  <c:v>1470.2623525652996</c:v>
                </c:pt>
                <c:pt idx="166">
                  <c:v>1470.1052175333871</c:v>
                </c:pt>
                <c:pt idx="167">
                  <c:v>1469.9319284328851</c:v>
                </c:pt>
                <c:pt idx="168">
                  <c:v>1469.7424852636232</c:v>
                </c:pt>
                <c:pt idx="169">
                  <c:v>1469.5368880256297</c:v>
                </c:pt>
                <c:pt idx="170">
                  <c:v>1469.3151367190183</c:v>
                </c:pt>
                <c:pt idx="171">
                  <c:v>1469.0772313436753</c:v>
                </c:pt>
                <c:pt idx="172">
                  <c:v>1468.8231718996576</c:v>
                </c:pt>
                <c:pt idx="173">
                  <c:v>1468.5529583868799</c:v>
                </c:pt>
                <c:pt idx="174">
                  <c:v>1468.266590805456</c:v>
                </c:pt>
                <c:pt idx="175">
                  <c:v>1467.9640691553573</c:v>
                </c:pt>
                <c:pt idx="176">
                  <c:v>1467.6453934365838</c:v>
                </c:pt>
                <c:pt idx="177">
                  <c:v>1467.3105636489652</c:v>
                </c:pt>
                <c:pt idx="178">
                  <c:v>1466.9595797928707</c:v>
                </c:pt>
                <c:pt idx="179">
                  <c:v>1466.5924418678742</c:v>
                </c:pt>
                <c:pt idx="180">
                  <c:v>1466.2091498742882</c:v>
                </c:pt>
                <c:pt idx="181">
                  <c:v>1465.8097038120559</c:v>
                </c:pt>
                <c:pt idx="182">
                  <c:v>1465.3941036809215</c:v>
                </c:pt>
                <c:pt idx="183">
                  <c:v>1464.9623494813682</c:v>
                </c:pt>
                <c:pt idx="184">
                  <c:v>1464.5144412128843</c:v>
                </c:pt>
                <c:pt idx="185">
                  <c:v>1464.0503788758679</c:v>
                </c:pt>
                <c:pt idx="186">
                  <c:v>1463.5701624700914</c:v>
                </c:pt>
                <c:pt idx="187">
                  <c:v>1463.073791995555</c:v>
                </c:pt>
                <c:pt idx="188">
                  <c:v>1462.5612674524291</c:v>
                </c:pt>
                <c:pt idx="189">
                  <c:v>1462.0325888405432</c:v>
                </c:pt>
                <c:pt idx="190">
                  <c:v>1461.487756160011</c:v>
                </c:pt>
                <c:pt idx="191">
                  <c:v>1460.9267694107189</c:v>
                </c:pt>
                <c:pt idx="192">
                  <c:v>1460.3496285928372</c:v>
                </c:pt>
                <c:pt idx="193">
                  <c:v>1459.7563337060819</c:v>
                </c:pt>
                <c:pt idx="194">
                  <c:v>1459.146884750794</c:v>
                </c:pt>
                <c:pt idx="195">
                  <c:v>1458.521281726803</c:v>
                </c:pt>
                <c:pt idx="196">
                  <c:v>1457.8795246339951</c:v>
                </c:pt>
                <c:pt idx="197">
                  <c:v>1457.2216134725977</c:v>
                </c:pt>
                <c:pt idx="198">
                  <c:v>1456.5475482423835</c:v>
                </c:pt>
                <c:pt idx="199">
                  <c:v>1455.8573289436367</c:v>
                </c:pt>
                <c:pt idx="200">
                  <c:v>1455.1509555761299</c:v>
                </c:pt>
                <c:pt idx="201">
                  <c:v>1454.4284281398632</c:v>
                </c:pt>
                <c:pt idx="202">
                  <c:v>1453.6897466349501</c:v>
                </c:pt>
                <c:pt idx="203">
                  <c:v>1452.9349110613907</c:v>
                </c:pt>
                <c:pt idx="204">
                  <c:v>1452.1639214190145</c:v>
                </c:pt>
                <c:pt idx="205">
                  <c:v>1451.3767777081057</c:v>
                </c:pt>
                <c:pt idx="206">
                  <c:v>1450.5734799283232</c:v>
                </c:pt>
                <c:pt idx="207">
                  <c:v>1449.7540280799512</c:v>
                </c:pt>
                <c:pt idx="208">
                  <c:v>1448.9184221628761</c:v>
                </c:pt>
                <c:pt idx="209">
                  <c:v>1448.0666621770979</c:v>
                </c:pt>
                <c:pt idx="210">
                  <c:v>1447.1987481226165</c:v>
                </c:pt>
                <c:pt idx="211">
                  <c:v>1446.314679999432</c:v>
                </c:pt>
                <c:pt idx="212">
                  <c:v>1445.4144578076011</c:v>
                </c:pt>
                <c:pt idx="213">
                  <c:v>1444.4980815469535</c:v>
                </c:pt>
                <c:pt idx="214">
                  <c:v>1443.5655512177163</c:v>
                </c:pt>
                <c:pt idx="215">
                  <c:v>1442.6168668197761</c:v>
                </c:pt>
                <c:pt idx="216">
                  <c:v>1441.6520283531327</c:v>
                </c:pt>
                <c:pt idx="217">
                  <c:v>1440.6710358177293</c:v>
                </c:pt>
                <c:pt idx="218">
                  <c:v>1439.6738892137364</c:v>
                </c:pt>
                <c:pt idx="219">
                  <c:v>1438.6605885409267</c:v>
                </c:pt>
                <c:pt idx="220">
                  <c:v>1437.6311337995844</c:v>
                </c:pt>
                <c:pt idx="221">
                  <c:v>1436.5855249893684</c:v>
                </c:pt>
                <c:pt idx="222">
                  <c:v>1435.5237621106198</c:v>
                </c:pt>
                <c:pt idx="223">
                  <c:v>1434.4458451629976</c:v>
                </c:pt>
                <c:pt idx="224">
                  <c:v>1433.3517741468427</c:v>
                </c:pt>
                <c:pt idx="225">
                  <c:v>1432.241549061871</c:v>
                </c:pt>
                <c:pt idx="226">
                  <c:v>1431.1151699082529</c:v>
                </c:pt>
                <c:pt idx="227">
                  <c:v>1429.9726366859886</c:v>
                </c:pt>
                <c:pt idx="228">
                  <c:v>1428.8139493949643</c:v>
                </c:pt>
                <c:pt idx="229">
                  <c:v>1427.6391080352369</c:v>
                </c:pt>
                <c:pt idx="230">
                  <c:v>1426.4481126068631</c:v>
                </c:pt>
                <c:pt idx="231">
                  <c:v>1425.2409631098431</c:v>
                </c:pt>
                <c:pt idx="232">
                  <c:v>1424.0176595440062</c:v>
                </c:pt>
                <c:pt idx="233">
                  <c:v>1422.778201909523</c:v>
                </c:pt>
                <c:pt idx="234">
                  <c:v>1421.522590206223</c:v>
                </c:pt>
                <c:pt idx="235">
                  <c:v>1420.250824434504</c:v>
                </c:pt>
                <c:pt idx="236">
                  <c:v>1418.9629045937977</c:v>
                </c:pt>
                <c:pt idx="237">
                  <c:v>1417.6588306846156</c:v>
                </c:pt>
                <c:pt idx="238">
                  <c:v>1416.3386027066167</c:v>
                </c:pt>
                <c:pt idx="239">
                  <c:v>1415.0022206599715</c:v>
                </c:pt>
                <c:pt idx="240">
                  <c:v>1413.6496845446231</c:v>
                </c:pt>
                <c:pt idx="241">
                  <c:v>1412.2809943605148</c:v>
                </c:pt>
                <c:pt idx="242">
                  <c:v>1410.8961501077601</c:v>
                </c:pt>
                <c:pt idx="243">
                  <c:v>1409.4951517863592</c:v>
                </c:pt>
                <c:pt idx="244">
                  <c:v>1408.0779993961983</c:v>
                </c:pt>
                <c:pt idx="245">
                  <c:v>1406.644692937391</c:v>
                </c:pt>
                <c:pt idx="246">
                  <c:v>1405.1952324098806</c:v>
                </c:pt>
                <c:pt idx="247">
                  <c:v>1403.7296178135534</c:v>
                </c:pt>
                <c:pt idx="248">
                  <c:v>1402.2478491486936</c:v>
                </c:pt>
                <c:pt idx="249">
                  <c:v>1400.7499264150738</c:v>
                </c:pt>
                <c:pt idx="250">
                  <c:v>1399.2358496127508</c:v>
                </c:pt>
                <c:pt idx="251">
                  <c:v>1397.7056187417247</c:v>
                </c:pt>
                <c:pt idx="252">
                  <c:v>1396.1592338021092</c:v>
                </c:pt>
                <c:pt idx="253">
                  <c:v>1394.5966947936199</c:v>
                </c:pt>
                <c:pt idx="254">
                  <c:v>1393.0180017164844</c:v>
                </c:pt>
                <c:pt idx="255">
                  <c:v>1391.4231545707594</c:v>
                </c:pt>
                <c:pt idx="256">
                  <c:v>1389.8121533562176</c:v>
                </c:pt>
                <c:pt idx="257">
                  <c:v>1388.1849980730294</c:v>
                </c:pt>
                <c:pt idx="258">
                  <c:v>1386.541688721195</c:v>
                </c:pt>
                <c:pt idx="259">
                  <c:v>1384.8822253005437</c:v>
                </c:pt>
                <c:pt idx="260">
                  <c:v>1383.206607811303</c:v>
                </c:pt>
                <c:pt idx="261">
                  <c:v>1381.5148362533591</c:v>
                </c:pt>
                <c:pt idx="262">
                  <c:v>1379.8069106266553</c:v>
                </c:pt>
                <c:pt idx="263">
                  <c:v>1378.0828309313051</c:v>
                </c:pt>
                <c:pt idx="264">
                  <c:v>1376.3425971672518</c:v>
                </c:pt>
                <c:pt idx="265">
                  <c:v>1374.5862093344954</c:v>
                </c:pt>
                <c:pt idx="266">
                  <c:v>1372.8136674329789</c:v>
                </c:pt>
                <c:pt idx="267">
                  <c:v>1371.0249714629299</c:v>
                </c:pt>
                <c:pt idx="268">
                  <c:v>1369.2201214240072</c:v>
                </c:pt>
                <c:pt idx="269">
                  <c:v>1367.3991173165518</c:v>
                </c:pt>
                <c:pt idx="270">
                  <c:v>1365.5619591402228</c:v>
                </c:pt>
                <c:pt idx="271">
                  <c:v>1363.708646895418</c:v>
                </c:pt>
                <c:pt idx="272">
                  <c:v>1361.8391805816827</c:v>
                </c:pt>
                <c:pt idx="273">
                  <c:v>1359.953560199358</c:v>
                </c:pt>
                <c:pt idx="274">
                  <c:v>1358.0517857483869</c:v>
                </c:pt>
                <c:pt idx="275">
                  <c:v>1356.1338572287127</c:v>
                </c:pt>
                <c:pt idx="276">
                  <c:v>1354.1997746402217</c:v>
                </c:pt>
                <c:pt idx="277">
                  <c:v>1352.2495379831412</c:v>
                </c:pt>
                <c:pt idx="278">
                  <c:v>1350.2831472573007</c:v>
                </c:pt>
                <c:pt idx="279">
                  <c:v>1348.3006024628139</c:v>
                </c:pt>
                <c:pt idx="280">
                  <c:v>1346.3019035997377</c:v>
                </c:pt>
                <c:pt idx="281">
                  <c:v>1344.2870506677309</c:v>
                </c:pt>
                <c:pt idx="282">
                  <c:v>1342.2560436672484</c:v>
                </c:pt>
                <c:pt idx="283">
                  <c:v>1340.2088825978922</c:v>
                </c:pt>
                <c:pt idx="284">
                  <c:v>1338.1455674598897</c:v>
                </c:pt>
                <c:pt idx="285">
                  <c:v>1336.0660982532409</c:v>
                </c:pt>
                <c:pt idx="286">
                  <c:v>1333.9704749778321</c:v>
                </c:pt>
                <c:pt idx="287">
                  <c:v>1331.8586976338338</c:v>
                </c:pt>
                <c:pt idx="288">
                  <c:v>1329.7307662210187</c:v>
                </c:pt>
                <c:pt idx="289">
                  <c:v>1327.5866807395573</c:v>
                </c:pt>
                <c:pt idx="290">
                  <c:v>1325.4264411894496</c:v>
                </c:pt>
                <c:pt idx="291">
                  <c:v>1323.250047570582</c:v>
                </c:pt>
                <c:pt idx="292">
                  <c:v>1321.057499883068</c:v>
                </c:pt>
                <c:pt idx="293">
                  <c:v>1318.8487981267372</c:v>
                </c:pt>
                <c:pt idx="294">
                  <c:v>1316.6239423018737</c:v>
                </c:pt>
                <c:pt idx="295">
                  <c:v>1314.3829324082503</c:v>
                </c:pt>
                <c:pt idx="296">
                  <c:v>1312.1257684458669</c:v>
                </c:pt>
                <c:pt idx="297">
                  <c:v>1309.8524504148941</c:v>
                </c:pt>
                <c:pt idx="298">
                  <c:v>1307.5629783151612</c:v>
                </c:pt>
                <c:pt idx="299">
                  <c:v>1305.2573521467821</c:v>
                </c:pt>
                <c:pt idx="300">
                  <c:v>1302.9355719095292</c:v>
                </c:pt>
                <c:pt idx="301">
                  <c:v>1300.5976376038575</c:v>
                </c:pt>
                <c:pt idx="302">
                  <c:v>1298.2435492293121</c:v>
                </c:pt>
                <c:pt idx="303">
                  <c:v>1295.8733067861203</c:v>
                </c:pt>
                <c:pt idx="304">
                  <c:v>1293.4869102742255</c:v>
                </c:pt>
                <c:pt idx="305">
                  <c:v>1291.0843596936274</c:v>
                </c:pt>
                <c:pt idx="306">
                  <c:v>1288.6656550443263</c:v>
                </c:pt>
                <c:pt idx="307">
                  <c:v>1286.230796326322</c:v>
                </c:pt>
                <c:pt idx="308">
                  <c:v>1283.7797835396714</c:v>
                </c:pt>
                <c:pt idx="309">
                  <c:v>1281.3126166842608</c:v>
                </c:pt>
                <c:pt idx="310">
                  <c:v>1278.8292957602607</c:v>
                </c:pt>
                <c:pt idx="311">
                  <c:v>1276.3298207675007</c:v>
                </c:pt>
                <c:pt idx="312">
                  <c:v>1273.8141917059806</c:v>
                </c:pt>
                <c:pt idx="313">
                  <c:v>1271.2824085758712</c:v>
                </c:pt>
                <c:pt idx="314">
                  <c:v>1268.734471376888</c:v>
                </c:pt>
                <c:pt idx="315">
                  <c:v>1266.1703801094859</c:v>
                </c:pt>
                <c:pt idx="316">
                  <c:v>1263.5901347732101</c:v>
                </c:pt>
                <c:pt idx="317">
                  <c:v>1260.9937353682312</c:v>
                </c:pt>
                <c:pt idx="318">
                  <c:v>1258.3811818945492</c:v>
                </c:pt>
                <c:pt idx="319">
                  <c:v>1255.7524743522208</c:v>
                </c:pt>
                <c:pt idx="320">
                  <c:v>1253.107612741303</c:v>
                </c:pt>
                <c:pt idx="321">
                  <c:v>1250.4465970615115</c:v>
                </c:pt>
                <c:pt idx="322">
                  <c:v>1247.7694273130737</c:v>
                </c:pt>
                <c:pt idx="323">
                  <c:v>1245.0761034959328</c:v>
                </c:pt>
                <c:pt idx="324">
                  <c:v>1242.3666256102024</c:v>
                </c:pt>
                <c:pt idx="325">
                  <c:v>1239.6409936555415</c:v>
                </c:pt>
                <c:pt idx="326">
                  <c:v>1236.8992076324616</c:v>
                </c:pt>
                <c:pt idx="327">
                  <c:v>1234.1412675406218</c:v>
                </c:pt>
                <c:pt idx="328">
                  <c:v>1231.3671733799083</c:v>
                </c:pt>
                <c:pt idx="329">
                  <c:v>1228.5769251506053</c:v>
                </c:pt>
                <c:pt idx="330">
                  <c:v>1225.7705228526561</c:v>
                </c:pt>
                <c:pt idx="331">
                  <c:v>1222.9479664859468</c:v>
                </c:pt>
                <c:pt idx="332">
                  <c:v>1220.1092560505913</c:v>
                </c:pt>
                <c:pt idx="333">
                  <c:v>1217.2543915465894</c:v>
                </c:pt>
                <c:pt idx="334">
                  <c:v>1214.3833729737707</c:v>
                </c:pt>
                <c:pt idx="335">
                  <c:v>1211.4962003321921</c:v>
                </c:pt>
                <c:pt idx="336">
                  <c:v>1208.5928736220808</c:v>
                </c:pt>
                <c:pt idx="337">
                  <c:v>1205.6733928432664</c:v>
                </c:pt>
                <c:pt idx="338">
                  <c:v>1202.7377579956919</c:v>
                </c:pt>
                <c:pt idx="339">
                  <c:v>1199.7859690794712</c:v>
                </c:pt>
                <c:pt idx="340">
                  <c:v>1196.8180260944337</c:v>
                </c:pt>
                <c:pt idx="341">
                  <c:v>1193.8339290408635</c:v>
                </c:pt>
                <c:pt idx="342">
                  <c:v>1190.8336779184765</c:v>
                </c:pt>
                <c:pt idx="343">
                  <c:v>1187.8172727275</c:v>
                </c:pt>
                <c:pt idx="344">
                  <c:v>1184.7847134675931</c:v>
                </c:pt>
                <c:pt idx="345">
                  <c:v>1181.7360001394945</c:v>
                </c:pt>
                <c:pt idx="346">
                  <c:v>1178.6711327421244</c:v>
                </c:pt>
                <c:pt idx="347">
                  <c:v>1175.5901112762785</c:v>
                </c:pt>
                <c:pt idx="348">
                  <c:v>1172.4929357419001</c:v>
                </c:pt>
                <c:pt idx="349">
                  <c:v>1169.3796061386479</c:v>
                </c:pt>
                <c:pt idx="350">
                  <c:v>1166.2501224666357</c:v>
                </c:pt>
                <c:pt idx="351">
                  <c:v>1163.1044847262046</c:v>
                </c:pt>
                <c:pt idx="352">
                  <c:v>1159.9426929167294</c:v>
                </c:pt>
                <c:pt idx="353">
                  <c:v>1156.764747038892</c:v>
                </c:pt>
                <c:pt idx="354">
                  <c:v>1153.5706470920104</c:v>
                </c:pt>
                <c:pt idx="355">
                  <c:v>1150.3603930768804</c:v>
                </c:pt>
                <c:pt idx="356">
                  <c:v>1147.1339849925926</c:v>
                </c:pt>
                <c:pt idx="357">
                  <c:v>1143.8914228399426</c:v>
                </c:pt>
                <c:pt idx="358">
                  <c:v>1140.6327066183053</c:v>
                </c:pt>
                <c:pt idx="359">
                  <c:v>1137.357836328249</c:v>
                </c:pt>
                <c:pt idx="360">
                  <c:v>1134.0668119693191</c:v>
                </c:pt>
                <c:pt idx="361">
                  <c:v>1130.7596335419134</c:v>
                </c:pt>
                <c:pt idx="362">
                  <c:v>1127.4363010454636</c:v>
                </c:pt>
                <c:pt idx="363">
                  <c:v>1124.0968144806516</c:v>
                </c:pt>
                <c:pt idx="364">
                  <c:v>1120.7411738469091</c:v>
                </c:pt>
                <c:pt idx="365">
                  <c:v>1117.3693791445771</c:v>
                </c:pt>
                <c:pt idx="366">
                  <c:v>1113.9814303734852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0-4C63-9CCF-5EE05E9C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006056"/>
        <c:axId val="505000480"/>
      </c:scatterChart>
      <c:valAx>
        <c:axId val="505006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05000480"/>
        <c:crosses val="autoZero"/>
        <c:crossBetween val="midCat"/>
      </c:valAx>
      <c:valAx>
        <c:axId val="50500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05006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Godkendelsesprocent DK kalv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3882929326065805E-2"/>
          <c:y val="0.17516254555964872"/>
          <c:w val="0.95400586886125915"/>
          <c:h val="0.61388943925182793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hol'!$Y$180:$Y$335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0.83085714285714274</c:v>
                </c:pt>
                <c:pt idx="45">
                  <c:v>0.83514285714285708</c:v>
                </c:pt>
                <c:pt idx="46">
                  <c:v>0.8394285714285713</c:v>
                </c:pt>
                <c:pt idx="47">
                  <c:v>0.84371428571428564</c:v>
                </c:pt>
                <c:pt idx="48">
                  <c:v>0.84799999999999986</c:v>
                </c:pt>
                <c:pt idx="49">
                  <c:v>0.8522857142857142</c:v>
                </c:pt>
                <c:pt idx="50">
                  <c:v>0.85657142857142843</c:v>
                </c:pt>
                <c:pt idx="51">
                  <c:v>0.86085714285714277</c:v>
                </c:pt>
                <c:pt idx="52">
                  <c:v>0.8651428571428571</c:v>
                </c:pt>
                <c:pt idx="53">
                  <c:v>0.86942857142857133</c:v>
                </c:pt>
                <c:pt idx="54">
                  <c:v>0.87371428571428567</c:v>
                </c:pt>
                <c:pt idx="55">
                  <c:v>0.87799999999999989</c:v>
                </c:pt>
                <c:pt idx="56">
                  <c:v>0.88228571428571423</c:v>
                </c:pt>
                <c:pt idx="57">
                  <c:v>0.88657142857142845</c:v>
                </c:pt>
                <c:pt idx="58">
                  <c:v>0.89085714285714279</c:v>
                </c:pt>
                <c:pt idx="59">
                  <c:v>0.89514285714285702</c:v>
                </c:pt>
                <c:pt idx="60">
                  <c:v>0.89942857142857136</c:v>
                </c:pt>
                <c:pt idx="61">
                  <c:v>0.90371428571428558</c:v>
                </c:pt>
                <c:pt idx="62">
                  <c:v>0.90799999999999992</c:v>
                </c:pt>
                <c:pt idx="63">
                  <c:v>0.91228571428571414</c:v>
                </c:pt>
                <c:pt idx="64">
                  <c:v>0.91657142857142848</c:v>
                </c:pt>
                <c:pt idx="65">
                  <c:v>0.92085714285714282</c:v>
                </c:pt>
                <c:pt idx="66">
                  <c:v>0.92514285714285704</c:v>
                </c:pt>
                <c:pt idx="67">
                  <c:v>0.92942857142857138</c:v>
                </c:pt>
                <c:pt idx="68">
                  <c:v>0.93371428571428561</c:v>
                </c:pt>
                <c:pt idx="69">
                  <c:v>0.93799999999999994</c:v>
                </c:pt>
                <c:pt idx="70">
                  <c:v>0.94228571428571417</c:v>
                </c:pt>
                <c:pt idx="71">
                  <c:v>0.94657142857142851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A-40FA-BF5B-DDFD0DF715E6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kry tyr'!$Y$180:$Y$335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0.80942857142857139</c:v>
                </c:pt>
                <c:pt idx="38">
                  <c:v>0.81371428571428561</c:v>
                </c:pt>
                <c:pt idx="39">
                  <c:v>0.81799999999999995</c:v>
                </c:pt>
                <c:pt idx="40">
                  <c:v>0.82228571428571429</c:v>
                </c:pt>
                <c:pt idx="41">
                  <c:v>0.82657142857142851</c:v>
                </c:pt>
                <c:pt idx="42">
                  <c:v>0.83085714285714274</c:v>
                </c:pt>
                <c:pt idx="43">
                  <c:v>0.83514285714285708</c:v>
                </c:pt>
                <c:pt idx="44">
                  <c:v>0.83942857142857141</c:v>
                </c:pt>
                <c:pt idx="45">
                  <c:v>0.84371428571428564</c:v>
                </c:pt>
                <c:pt idx="46">
                  <c:v>0.84799999999999998</c:v>
                </c:pt>
                <c:pt idx="47">
                  <c:v>0.8522857142857142</c:v>
                </c:pt>
                <c:pt idx="48">
                  <c:v>0.85657142857142854</c:v>
                </c:pt>
                <c:pt idx="49">
                  <c:v>0.86085714285714277</c:v>
                </c:pt>
                <c:pt idx="50">
                  <c:v>0.8651428571428571</c:v>
                </c:pt>
                <c:pt idx="51">
                  <c:v>0.86942857142857133</c:v>
                </c:pt>
                <c:pt idx="52">
                  <c:v>0.87371428571428567</c:v>
                </c:pt>
                <c:pt idx="53">
                  <c:v>0.87799999999999989</c:v>
                </c:pt>
                <c:pt idx="54">
                  <c:v>0.88228571428571423</c:v>
                </c:pt>
                <c:pt idx="55">
                  <c:v>0.88657142857142845</c:v>
                </c:pt>
                <c:pt idx="56">
                  <c:v>0.89085714285714279</c:v>
                </c:pt>
                <c:pt idx="57">
                  <c:v>0.89514285714285713</c:v>
                </c:pt>
                <c:pt idx="58">
                  <c:v>0.89942857142857136</c:v>
                </c:pt>
                <c:pt idx="59">
                  <c:v>0.90371428571428569</c:v>
                </c:pt>
                <c:pt idx="60">
                  <c:v>0.90799999999999992</c:v>
                </c:pt>
                <c:pt idx="61">
                  <c:v>0.91228571428571426</c:v>
                </c:pt>
                <c:pt idx="62">
                  <c:v>0.91657142857142848</c:v>
                </c:pt>
                <c:pt idx="63">
                  <c:v>0.92085714285714282</c:v>
                </c:pt>
                <c:pt idx="64">
                  <c:v>0.92514285714285704</c:v>
                </c:pt>
                <c:pt idx="65">
                  <c:v>0.92942857142857138</c:v>
                </c:pt>
                <c:pt idx="66">
                  <c:v>0.93371428571428561</c:v>
                </c:pt>
                <c:pt idx="67">
                  <c:v>0.93799999999999994</c:v>
                </c:pt>
                <c:pt idx="68">
                  <c:v>0.94228571428571417</c:v>
                </c:pt>
                <c:pt idx="69">
                  <c:v>0.94657142857142851</c:v>
                </c:pt>
                <c:pt idx="70">
                  <c:v>0.95085714285714285</c:v>
                </c:pt>
                <c:pt idx="71">
                  <c:v>0.95514285714285707</c:v>
                </c:pt>
                <c:pt idx="72">
                  <c:v>0.95942857142857141</c:v>
                </c:pt>
                <c:pt idx="73">
                  <c:v>0.96371428571428563</c:v>
                </c:pt>
                <c:pt idx="74">
                  <c:v>0.96799999999999997</c:v>
                </c:pt>
                <c:pt idx="75">
                  <c:v>0.9722857142857142</c:v>
                </c:pt>
                <c:pt idx="76">
                  <c:v>0.97657142857142853</c:v>
                </c:pt>
                <c:pt idx="77">
                  <c:v>0.98</c:v>
                </c:pt>
                <c:pt idx="78">
                  <c:v>0.98</c:v>
                </c:pt>
                <c:pt idx="79">
                  <c:v>0.98</c:v>
                </c:pt>
                <c:pt idx="80">
                  <c:v>0.98</c:v>
                </c:pt>
                <c:pt idx="81">
                  <c:v>0.98</c:v>
                </c:pt>
                <c:pt idx="82">
                  <c:v>0.98</c:v>
                </c:pt>
                <c:pt idx="83">
                  <c:v>0.98</c:v>
                </c:pt>
                <c:pt idx="84">
                  <c:v>0.98</c:v>
                </c:pt>
                <c:pt idx="85">
                  <c:v>0.98</c:v>
                </c:pt>
                <c:pt idx="86">
                  <c:v>0.98</c:v>
                </c:pt>
                <c:pt idx="87">
                  <c:v>0.98</c:v>
                </c:pt>
                <c:pt idx="88">
                  <c:v>0.98</c:v>
                </c:pt>
                <c:pt idx="89">
                  <c:v>0.98</c:v>
                </c:pt>
                <c:pt idx="90">
                  <c:v>0.98</c:v>
                </c:pt>
                <c:pt idx="91">
                  <c:v>0.98</c:v>
                </c:pt>
                <c:pt idx="92">
                  <c:v>0.98</c:v>
                </c:pt>
                <c:pt idx="93">
                  <c:v>0.98</c:v>
                </c:pt>
                <c:pt idx="94">
                  <c:v>0.98</c:v>
                </c:pt>
                <c:pt idx="95">
                  <c:v>0.98</c:v>
                </c:pt>
                <c:pt idx="96">
                  <c:v>0.98</c:v>
                </c:pt>
                <c:pt idx="97">
                  <c:v>0.98</c:v>
                </c:pt>
                <c:pt idx="98">
                  <c:v>0.98</c:v>
                </c:pt>
                <c:pt idx="99">
                  <c:v>0.98</c:v>
                </c:pt>
                <c:pt idx="100">
                  <c:v>0.98</c:v>
                </c:pt>
                <c:pt idx="101">
                  <c:v>0.98</c:v>
                </c:pt>
                <c:pt idx="102">
                  <c:v>0.98</c:v>
                </c:pt>
                <c:pt idx="103">
                  <c:v>0.98</c:v>
                </c:pt>
                <c:pt idx="104">
                  <c:v>0.98</c:v>
                </c:pt>
                <c:pt idx="105">
                  <c:v>0.98</c:v>
                </c:pt>
                <c:pt idx="106">
                  <c:v>0.98</c:v>
                </c:pt>
                <c:pt idx="107">
                  <c:v>0.98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0.98</c:v>
                </c:pt>
                <c:pt idx="112">
                  <c:v>0.98</c:v>
                </c:pt>
                <c:pt idx="113">
                  <c:v>0.98</c:v>
                </c:pt>
                <c:pt idx="114">
                  <c:v>0.98</c:v>
                </c:pt>
                <c:pt idx="115">
                  <c:v>0.98</c:v>
                </c:pt>
                <c:pt idx="116">
                  <c:v>0.98</c:v>
                </c:pt>
                <c:pt idx="117">
                  <c:v>0.98</c:v>
                </c:pt>
                <c:pt idx="118">
                  <c:v>0.98</c:v>
                </c:pt>
                <c:pt idx="119">
                  <c:v>0.98</c:v>
                </c:pt>
                <c:pt idx="120">
                  <c:v>0.98</c:v>
                </c:pt>
                <c:pt idx="121">
                  <c:v>0.98</c:v>
                </c:pt>
                <c:pt idx="122">
                  <c:v>0.98</c:v>
                </c:pt>
                <c:pt idx="123">
                  <c:v>0.98</c:v>
                </c:pt>
                <c:pt idx="124">
                  <c:v>0.98</c:v>
                </c:pt>
                <c:pt idx="125">
                  <c:v>0.98</c:v>
                </c:pt>
                <c:pt idx="126">
                  <c:v>0.98</c:v>
                </c:pt>
                <c:pt idx="127">
                  <c:v>0.98</c:v>
                </c:pt>
                <c:pt idx="128">
                  <c:v>0.98</c:v>
                </c:pt>
                <c:pt idx="129">
                  <c:v>0.98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F-4D7E-AF7B-731965DAB2FE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kry kvie'!$Y$180:$Y$335</c:f>
              <c:numCache>
                <c:formatCode>0%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0.83085714285714274</c:v>
                </c:pt>
                <c:pt idx="41">
                  <c:v>0.83514285714285708</c:v>
                </c:pt>
                <c:pt idx="42">
                  <c:v>0.83942857142857141</c:v>
                </c:pt>
                <c:pt idx="43">
                  <c:v>0.84371428571428564</c:v>
                </c:pt>
                <c:pt idx="44">
                  <c:v>0.84799999999999998</c:v>
                </c:pt>
                <c:pt idx="45">
                  <c:v>0.8522857142857142</c:v>
                </c:pt>
                <c:pt idx="46">
                  <c:v>0.85657142857142854</c:v>
                </c:pt>
                <c:pt idx="47">
                  <c:v>0.86085714285714277</c:v>
                </c:pt>
                <c:pt idx="48">
                  <c:v>0.8651428571428571</c:v>
                </c:pt>
                <c:pt idx="49">
                  <c:v>0.86942857142857133</c:v>
                </c:pt>
                <c:pt idx="50">
                  <c:v>0.87371428571428567</c:v>
                </c:pt>
                <c:pt idx="51">
                  <c:v>0.87799999999999989</c:v>
                </c:pt>
                <c:pt idx="52">
                  <c:v>0.88228571428571423</c:v>
                </c:pt>
                <c:pt idx="53">
                  <c:v>0.88657142857142845</c:v>
                </c:pt>
                <c:pt idx="54">
                  <c:v>0.89085714285714279</c:v>
                </c:pt>
                <c:pt idx="55">
                  <c:v>0.89514285714285713</c:v>
                </c:pt>
                <c:pt idx="56">
                  <c:v>0.89942857142857136</c:v>
                </c:pt>
                <c:pt idx="57">
                  <c:v>0.90371428571428569</c:v>
                </c:pt>
                <c:pt idx="58">
                  <c:v>0.90799999999999992</c:v>
                </c:pt>
                <c:pt idx="59">
                  <c:v>0.91228571428571426</c:v>
                </c:pt>
                <c:pt idx="60">
                  <c:v>0.91657142857142848</c:v>
                </c:pt>
                <c:pt idx="61">
                  <c:v>0.92085714285714282</c:v>
                </c:pt>
                <c:pt idx="62">
                  <c:v>0.92514285714285704</c:v>
                </c:pt>
                <c:pt idx="63">
                  <c:v>0.92942857142857138</c:v>
                </c:pt>
                <c:pt idx="64">
                  <c:v>0.93371428571428561</c:v>
                </c:pt>
                <c:pt idx="65">
                  <c:v>0.93799999999999994</c:v>
                </c:pt>
                <c:pt idx="66">
                  <c:v>0.94228571428571417</c:v>
                </c:pt>
                <c:pt idx="67">
                  <c:v>0.94657142857142851</c:v>
                </c:pt>
                <c:pt idx="68">
                  <c:v>0.95085714285714285</c:v>
                </c:pt>
                <c:pt idx="69">
                  <c:v>0.95514285714285707</c:v>
                </c:pt>
                <c:pt idx="70">
                  <c:v>0.95942857142857141</c:v>
                </c:pt>
                <c:pt idx="71">
                  <c:v>0.96371428571428563</c:v>
                </c:pt>
                <c:pt idx="72">
                  <c:v>0.96799999999999997</c:v>
                </c:pt>
                <c:pt idx="73">
                  <c:v>0.9722857142857142</c:v>
                </c:pt>
                <c:pt idx="74">
                  <c:v>0.97657142857142853</c:v>
                </c:pt>
                <c:pt idx="75">
                  <c:v>0.98</c:v>
                </c:pt>
                <c:pt idx="76">
                  <c:v>0.98</c:v>
                </c:pt>
                <c:pt idx="77">
                  <c:v>0.98</c:v>
                </c:pt>
                <c:pt idx="78">
                  <c:v>0.98</c:v>
                </c:pt>
                <c:pt idx="79">
                  <c:v>0.98</c:v>
                </c:pt>
                <c:pt idx="80">
                  <c:v>0.98</c:v>
                </c:pt>
                <c:pt idx="81">
                  <c:v>0.98</c:v>
                </c:pt>
                <c:pt idx="82">
                  <c:v>0.98</c:v>
                </c:pt>
                <c:pt idx="83">
                  <c:v>0.98</c:v>
                </c:pt>
                <c:pt idx="84">
                  <c:v>0.98</c:v>
                </c:pt>
                <c:pt idx="85">
                  <c:v>0.98</c:v>
                </c:pt>
                <c:pt idx="86">
                  <c:v>0.98</c:v>
                </c:pt>
                <c:pt idx="87">
                  <c:v>0.98</c:v>
                </c:pt>
                <c:pt idx="88">
                  <c:v>0.98</c:v>
                </c:pt>
                <c:pt idx="89">
                  <c:v>0.98</c:v>
                </c:pt>
                <c:pt idx="90">
                  <c:v>0.98</c:v>
                </c:pt>
                <c:pt idx="91">
                  <c:v>0.98</c:v>
                </c:pt>
                <c:pt idx="92">
                  <c:v>0.98</c:v>
                </c:pt>
                <c:pt idx="93">
                  <c:v>0.98</c:v>
                </c:pt>
                <c:pt idx="94">
                  <c:v>0.98</c:v>
                </c:pt>
                <c:pt idx="95">
                  <c:v>0.98</c:v>
                </c:pt>
                <c:pt idx="96">
                  <c:v>0.98</c:v>
                </c:pt>
                <c:pt idx="97">
                  <c:v>0.98</c:v>
                </c:pt>
                <c:pt idx="98">
                  <c:v>0.98</c:v>
                </c:pt>
                <c:pt idx="99">
                  <c:v>0.98</c:v>
                </c:pt>
                <c:pt idx="100">
                  <c:v>0.98</c:v>
                </c:pt>
                <c:pt idx="101">
                  <c:v>0.98</c:v>
                </c:pt>
                <c:pt idx="102">
                  <c:v>0.98</c:v>
                </c:pt>
                <c:pt idx="103">
                  <c:v>0.98</c:v>
                </c:pt>
                <c:pt idx="104">
                  <c:v>0.98</c:v>
                </c:pt>
                <c:pt idx="105">
                  <c:v>0.98</c:v>
                </c:pt>
                <c:pt idx="106">
                  <c:v>0.98</c:v>
                </c:pt>
                <c:pt idx="107">
                  <c:v>0.98</c:v>
                </c:pt>
                <c:pt idx="108">
                  <c:v>0.98</c:v>
                </c:pt>
                <c:pt idx="109">
                  <c:v>0.98</c:v>
                </c:pt>
                <c:pt idx="110">
                  <c:v>0.98</c:v>
                </c:pt>
                <c:pt idx="111">
                  <c:v>0.98</c:v>
                </c:pt>
                <c:pt idx="112">
                  <c:v>0.98</c:v>
                </c:pt>
                <c:pt idx="113">
                  <c:v>0.98</c:v>
                </c:pt>
                <c:pt idx="114">
                  <c:v>0.98</c:v>
                </c:pt>
                <c:pt idx="115">
                  <c:v>0.98</c:v>
                </c:pt>
                <c:pt idx="116">
                  <c:v>0.98</c:v>
                </c:pt>
                <c:pt idx="117">
                  <c:v>0.98</c:v>
                </c:pt>
                <c:pt idx="118">
                  <c:v>0.98</c:v>
                </c:pt>
                <c:pt idx="119">
                  <c:v>0.98</c:v>
                </c:pt>
                <c:pt idx="120">
                  <c:v>0.98</c:v>
                </c:pt>
                <c:pt idx="121">
                  <c:v>0.98</c:v>
                </c:pt>
                <c:pt idx="122">
                  <c:v>0.98</c:v>
                </c:pt>
                <c:pt idx="123">
                  <c:v>0.98</c:v>
                </c:pt>
                <c:pt idx="124">
                  <c:v>0.98</c:v>
                </c:pt>
                <c:pt idx="125">
                  <c:v>0.98</c:v>
                </c:pt>
                <c:pt idx="126">
                  <c:v>0.98</c:v>
                </c:pt>
                <c:pt idx="127">
                  <c:v>0.98</c:v>
                </c:pt>
                <c:pt idx="128">
                  <c:v>0.98</c:v>
                </c:pt>
                <c:pt idx="129">
                  <c:v>0.98</c:v>
                </c:pt>
                <c:pt idx="130">
                  <c:v>0.98</c:v>
                </c:pt>
                <c:pt idx="131">
                  <c:v>0.98</c:v>
                </c:pt>
                <c:pt idx="132">
                  <c:v>0.98</c:v>
                </c:pt>
                <c:pt idx="133">
                  <c:v>0.98</c:v>
                </c:pt>
                <c:pt idx="134">
                  <c:v>0.98</c:v>
                </c:pt>
                <c:pt idx="135">
                  <c:v>0.98</c:v>
                </c:pt>
                <c:pt idx="136">
                  <c:v>0.98</c:v>
                </c:pt>
                <c:pt idx="137">
                  <c:v>0.98</c:v>
                </c:pt>
                <c:pt idx="138">
                  <c:v>0.98</c:v>
                </c:pt>
                <c:pt idx="139">
                  <c:v>0.98</c:v>
                </c:pt>
                <c:pt idx="140">
                  <c:v>0.98</c:v>
                </c:pt>
                <c:pt idx="141">
                  <c:v>0.98</c:v>
                </c:pt>
                <c:pt idx="142">
                  <c:v>0.98</c:v>
                </c:pt>
                <c:pt idx="143">
                  <c:v>0.98</c:v>
                </c:pt>
                <c:pt idx="144">
                  <c:v>0.98</c:v>
                </c:pt>
                <c:pt idx="145">
                  <c:v>0.98</c:v>
                </c:pt>
                <c:pt idx="146">
                  <c:v>0.98</c:v>
                </c:pt>
                <c:pt idx="147">
                  <c:v>0.98</c:v>
                </c:pt>
                <c:pt idx="148">
                  <c:v>0.98</c:v>
                </c:pt>
                <c:pt idx="149">
                  <c:v>0.98</c:v>
                </c:pt>
                <c:pt idx="150">
                  <c:v>0.98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F-4D7E-AF7B-731965DA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533632"/>
        <c:axId val="726640304"/>
      </c:lineChart>
      <c:catAx>
        <c:axId val="1436533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6640304"/>
        <c:crosses val="autoZero"/>
        <c:auto val="1"/>
        <c:lblAlgn val="ctr"/>
        <c:lblOffset val="100"/>
        <c:noMultiLvlLbl val="0"/>
      </c:catAx>
      <c:valAx>
        <c:axId val="726640304"/>
        <c:scaling>
          <c:orientation val="minMax"/>
          <c:max val="1.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4365336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Gns salgspris pr. kg,</a:t>
            </a:r>
            <a:r>
              <a:rPr lang="da-DK" baseline="0"/>
              <a:t> vægtet med godkendelsesprocent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4.4811813571847207E-2"/>
          <c:y val="0.13719185423365488"/>
          <c:w val="0.95001707310857986"/>
          <c:h val="0.58459494813952118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hol'!$AE$180:$AE$335</c:f>
              <c:numCache>
                <c:formatCode>#,##0.00</c:formatCode>
                <c:ptCount val="156"/>
                <c:pt idx="0">
                  <c:v>27.235124089994077</c:v>
                </c:pt>
                <c:pt idx="1">
                  <c:v>27.244948098769232</c:v>
                </c:pt>
                <c:pt idx="2">
                  <c:v>27.254759958729348</c:v>
                </c:pt>
                <c:pt idx="3">
                  <c:v>27.26455915818304</c:v>
                </c:pt>
                <c:pt idx="4">
                  <c:v>27.274345184917106</c:v>
                </c:pt>
                <c:pt idx="5">
                  <c:v>27.284117526222413</c:v>
                </c:pt>
                <c:pt idx="6">
                  <c:v>27.293875668920318</c:v>
                </c:pt>
                <c:pt idx="7">
                  <c:v>27.303619099389234</c:v>
                </c:pt>
                <c:pt idx="8">
                  <c:v>27.313347303591737</c:v>
                </c:pt>
                <c:pt idx="9">
                  <c:v>27.323059767101881</c:v>
                </c:pt>
                <c:pt idx="10">
                  <c:v>27.332755975132901</c:v>
                </c:pt>
                <c:pt idx="11">
                  <c:v>27.342435412565219</c:v>
                </c:pt>
                <c:pt idx="12">
                  <c:v>27.352097563974727</c:v>
                </c:pt>
                <c:pt idx="13">
                  <c:v>27.361741913661426</c:v>
                </c:pt>
                <c:pt idx="14">
                  <c:v>27.371367945678276</c:v>
                </c:pt>
                <c:pt idx="15">
                  <c:v>27.380975143860375</c:v>
                </c:pt>
                <c:pt idx="16">
                  <c:v>27.390562991854399</c:v>
                </c:pt>
                <c:pt idx="17">
                  <c:v>27.400130973148229</c:v>
                </c:pt>
                <c:pt idx="18">
                  <c:v>27.409678571100947</c:v>
                </c:pt>
                <c:pt idx="19">
                  <c:v>27.419205268972906</c:v>
                </c:pt>
                <c:pt idx="20">
                  <c:v>27.428710549956158</c:v>
                </c:pt>
                <c:pt idx="21">
                  <c:v>27.438193897205036</c:v>
                </c:pt>
                <c:pt idx="22">
                  <c:v>27.447654793866906</c:v>
                </c:pt>
                <c:pt idx="23">
                  <c:v>27.457092723113192</c:v>
                </c:pt>
                <c:pt idx="24">
                  <c:v>27.466507168170498</c:v>
                </c:pt>
                <c:pt idx="25">
                  <c:v>27.475897612351936</c:v>
                </c:pt>
                <c:pt idx="26">
                  <c:v>27.485263539088646</c:v>
                </c:pt>
                <c:pt idx="27">
                  <c:v>27.494604431961388</c:v>
                </c:pt>
                <c:pt idx="28">
                  <c:v>27.504127441121145</c:v>
                </c:pt>
                <c:pt idx="29">
                  <c:v>27.513692097208718</c:v>
                </c:pt>
                <c:pt idx="30">
                  <c:v>27.523230424355177</c:v>
                </c:pt>
                <c:pt idx="31">
                  <c:v>27.532742291694689</c:v>
                </c:pt>
                <c:pt idx="32">
                  <c:v>27.542227574783769</c:v>
                </c:pt>
                <c:pt idx="33">
                  <c:v>27.55168615559549</c:v>
                </c:pt>
                <c:pt idx="34">
                  <c:v>27.561117922513262</c:v>
                </c:pt>
                <c:pt idx="35">
                  <c:v>27.570522770324136</c:v>
                </c:pt>
                <c:pt idx="36">
                  <c:v>27.57990060021168</c:v>
                </c:pt>
                <c:pt idx="37">
                  <c:v>27.589251319748392</c:v>
                </c:pt>
                <c:pt idx="38">
                  <c:v>27.5985748428877</c:v>
                </c:pt>
                <c:pt idx="39">
                  <c:v>27.607871089955541</c:v>
                </c:pt>
                <c:pt idx="40">
                  <c:v>27.617139987641522</c:v>
                </c:pt>
                <c:pt idx="41">
                  <c:v>27.626381468989692</c:v>
                </c:pt>
                <c:pt idx="42">
                  <c:v>27.635595473388889</c:v>
                </c:pt>
                <c:pt idx="43">
                  <c:v>27.644781946562759</c:v>
                </c:pt>
                <c:pt idx="44">
                  <c:v>32.925940529739727</c:v>
                </c:pt>
                <c:pt idx="45">
                  <c:v>32.980548397589821</c:v>
                </c:pt>
                <c:pt idx="46">
                  <c:v>33.035260594588898</c:v>
                </c:pt>
                <c:pt idx="47">
                  <c:v>33.090076180463846</c:v>
                </c:pt>
                <c:pt idx="48">
                  <c:v>33.14499423279301</c:v>
                </c:pt>
                <c:pt idx="49">
                  <c:v>33.200013847291828</c:v>
                </c:pt>
                <c:pt idx="50">
                  <c:v>33.25513413809675</c:v>
                </c:pt>
                <c:pt idx="51">
                  <c:v>33.310354238047459</c:v>
                </c:pt>
                <c:pt idx="52">
                  <c:v>33.365673298967309</c:v>
                </c:pt>
                <c:pt idx="53">
                  <c:v>33.421090491942159</c:v>
                </c:pt>
                <c:pt idx="54">
                  <c:v>33.476605007597321</c:v>
                </c:pt>
                <c:pt idx="55">
                  <c:v>33.532216056372995</c:v>
                </c:pt>
                <c:pt idx="56">
                  <c:v>33.587922868797868</c:v>
                </c:pt>
                <c:pt idx="57">
                  <c:v>33.643724695761122</c:v>
                </c:pt>
                <c:pt idx="58">
                  <c:v>33.699620808782662</c:v>
                </c:pt>
                <c:pt idx="59">
                  <c:v>33.75561050028179</c:v>
                </c:pt>
                <c:pt idx="60">
                  <c:v>33.811693083844155</c:v>
                </c:pt>
                <c:pt idx="61">
                  <c:v>33.867867894487063</c:v>
                </c:pt>
                <c:pt idx="62">
                  <c:v>33.924134288923142</c:v>
                </c:pt>
                <c:pt idx="63">
                  <c:v>33.980491645822482</c:v>
                </c:pt>
                <c:pt idx="64">
                  <c:v>34.036939366072993</c:v>
                </c:pt>
                <c:pt idx="65">
                  <c:v>34.093476873039378</c:v>
                </c:pt>
                <c:pt idx="66">
                  <c:v>34.150103612820345</c:v>
                </c:pt>
                <c:pt idx="67">
                  <c:v>34.206819054504386</c:v>
                </c:pt>
                <c:pt idx="68">
                  <c:v>34.263622690423936</c:v>
                </c:pt>
                <c:pt idx="69">
                  <c:v>34.320514036408063</c:v>
                </c:pt>
                <c:pt idx="70">
                  <c:v>34.377492632033636</c:v>
                </c:pt>
                <c:pt idx="71">
                  <c:v>34.434558040874926</c:v>
                </c:pt>
                <c:pt idx="72">
                  <c:v>34.485767078571058</c:v>
                </c:pt>
                <c:pt idx="73">
                  <c:v>34.513274261461902</c:v>
                </c:pt>
                <c:pt idx="74">
                  <c:v>34.541125961462917</c:v>
                </c:pt>
                <c:pt idx="75">
                  <c:v>34.56888929818831</c:v>
                </c:pt>
                <c:pt idx="76">
                  <c:v>34.596564777408716</c:v>
                </c:pt>
                <c:pt idx="77">
                  <c:v>34.624152924204814</c:v>
                </c:pt>
                <c:pt idx="78">
                  <c:v>34.651654282903252</c:v>
                </c:pt>
                <c:pt idx="79">
                  <c:v>34.679069417012407</c:v>
                </c:pt>
                <c:pt idx="80">
                  <c:v>34.706398909158054</c:v>
                </c:pt>
                <c:pt idx="81">
                  <c:v>34.733643361018942</c:v>
                </c:pt>
                <c:pt idx="82">
                  <c:v>34.760803393262307</c:v>
                </c:pt>
                <c:pt idx="83">
                  <c:v>34.787879645479315</c:v>
                </c:pt>
                <c:pt idx="84">
                  <c:v>34.814872776120609</c:v>
                </c:pt>
                <c:pt idx="85">
                  <c:v>34.841783462431721</c:v>
                </c:pt>
                <c:pt idx="86">
                  <c:v>34.868612400388763</c:v>
                </c:pt>
                <c:pt idx="87">
                  <c:v>34.895360304633904</c:v>
                </c:pt>
                <c:pt idx="88">
                  <c:v>34.922027908411287</c:v>
                </c:pt>
                <c:pt idx="89">
                  <c:v>34.946251017791397</c:v>
                </c:pt>
                <c:pt idx="90">
                  <c:v>34.962357456631956</c:v>
                </c:pt>
                <c:pt idx="91">
                  <c:v>34.978415040397707</c:v>
                </c:pt>
                <c:pt idx="92">
                  <c:v>34.994423796395033</c:v>
                </c:pt>
                <c:pt idx="93">
                  <c:v>35.010383758202721</c:v>
                </c:pt>
                <c:pt idx="94">
                  <c:v>35.026294965677515</c:v>
                </c:pt>
                <c:pt idx="95">
                  <c:v>35.042157464959473</c:v>
                </c:pt>
                <c:pt idx="96">
                  <c:v>35.057971308477647</c:v>
                </c:pt>
                <c:pt idx="97">
                  <c:v>35.073736554955524</c:v>
                </c:pt>
                <c:pt idx="98">
                  <c:v>35.089453269416744</c:v>
                </c:pt>
                <c:pt idx="99">
                  <c:v>35.10512152319064</c:v>
                </c:pt>
                <c:pt idx="100">
                  <c:v>35.120741393917989</c:v>
                </c:pt>
                <c:pt idx="101">
                  <c:v>35.136312965556733</c:v>
                </c:pt>
                <c:pt idx="102">
                  <c:v>35.151836328387688</c:v>
                </c:pt>
                <c:pt idx="103">
                  <c:v>35.167311579020335</c:v>
                </c:pt>
                <c:pt idx="104">
                  <c:v>35.182738820398669</c:v>
                </c:pt>
                <c:pt idx="105">
                  <c:v>35.198118161806981</c:v>
                </c:pt>
                <c:pt idx="106">
                  <c:v>35.213449718875808</c:v>
                </c:pt>
                <c:pt idx="107">
                  <c:v>35.228733613587742</c:v>
                </c:pt>
                <c:pt idx="108">
                  <c:v>35.243969974283431</c:v>
                </c:pt>
                <c:pt idx="109">
                  <c:v>35.2591589356675</c:v>
                </c:pt>
                <c:pt idx="110">
                  <c:v>35.274300638814509</c:v>
                </c:pt>
                <c:pt idx="111">
                  <c:v>35.289395231174993</c:v>
                </c:pt>
                <c:pt idx="112">
                  <c:v>35.304442866581425</c:v>
                </c:pt>
                <c:pt idx="113">
                  <c:v>35.319443705254287</c:v>
                </c:pt>
                <c:pt idx="114">
                  <c:v>35.334397913808125</c:v>
                </c:pt>
                <c:pt idx="115">
                  <c:v>35.349305665257631</c:v>
                </c:pt>
                <c:pt idx="116">
                  <c:v>35.364167139023685</c:v>
                </c:pt>
                <c:pt idx="117">
                  <c:v>35.378982520939545</c:v>
                </c:pt>
                <c:pt idx="118">
                  <c:v>35.393752003256871</c:v>
                </c:pt>
                <c:pt idx="119">
                  <c:v>35.408475784651912</c:v>
                </c:pt>
                <c:pt idx="120">
                  <c:v>35.423154070231647</c:v>
                </c:pt>
                <c:pt idx="121">
                  <c:v>35.437787071539908</c:v>
                </c:pt>
                <c:pt idx="122">
                  <c:v>35.452375006563557</c:v>
                </c:pt>
                <c:pt idx="123">
                  <c:v>35.466918099738635</c:v>
                </c:pt>
                <c:pt idx="124">
                  <c:v>35.48141658195658</c:v>
                </c:pt>
                <c:pt idx="125">
                  <c:v>35.495870690570321</c:v>
                </c:pt>
                <c:pt idx="126">
                  <c:v>35.510280669400558</c:v>
                </c:pt>
                <c:pt idx="127">
                  <c:v>35.524646768741832</c:v>
                </c:pt>
                <c:pt idx="128">
                  <c:v>35.538969245368776</c:v>
                </c:pt>
                <c:pt idx="129">
                  <c:v>35.553248362542277</c:v>
                </c:pt>
                <c:pt idx="130">
                  <c:v>35.567484390015686</c:v>
                </c:pt>
                <c:pt idx="131">
                  <c:v>35.581677604040848</c:v>
                </c:pt>
                <c:pt idx="132">
                  <c:v>35.595828287374474</c:v>
                </c:pt>
                <c:pt idx="133">
                  <c:v>35.609936729284165</c:v>
                </c:pt>
                <c:pt idx="134">
                  <c:v>35.624003225554546</c:v>
                </c:pt>
                <c:pt idx="135">
                  <c:v>35.638028078493477</c:v>
                </c:pt>
                <c:pt idx="136">
                  <c:v>35.652011596938188</c:v>
                </c:pt>
                <c:pt idx="137">
                  <c:v>35.665954096261295</c:v>
                </c:pt>
                <c:pt idx="138">
                  <c:v>35.679855898377014</c:v>
                </c:pt>
                <c:pt idx="139">
                  <c:v>35.693717331747173</c:v>
                </c:pt>
                <c:pt idx="140">
                  <c:v>35.707538731387302</c:v>
                </c:pt>
                <c:pt idx="141">
                  <c:v>35.721320438872681</c:v>
                </c:pt>
                <c:pt idx="142">
                  <c:v>35.735062802344366</c:v>
                </c:pt>
                <c:pt idx="143">
                  <c:v>35.748766176515211</c:v>
                </c:pt>
                <c:pt idx="144">
                  <c:v>35.762430922675819</c:v>
                </c:pt>
                <c:pt idx="145">
                  <c:v>35.776057408700524</c:v>
                </c:pt>
                <c:pt idx="146">
                  <c:v>35.789646009053307</c:v>
                </c:pt>
                <c:pt idx="147">
                  <c:v>35.803197104793725</c:v>
                </c:pt>
                <c:pt idx="148">
                  <c:v>29.095990250933607</c:v>
                </c:pt>
                <c:pt idx="149">
                  <c:v>29.109283746481303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A-489F-BF24-EE73098EE5FA}"/>
            </c:ext>
          </c:extLst>
        </c:ser>
        <c:ser>
          <c:idx val="1"/>
          <c:order val="1"/>
          <c:tx>
            <c:v>kryds 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kry tyr'!$AE$180:$AE$335</c:f>
              <c:numCache>
                <c:formatCode>#,##0.00</c:formatCode>
                <c:ptCount val="156"/>
                <c:pt idx="0">
                  <c:v>30.343751113408373</c:v>
                </c:pt>
                <c:pt idx="1">
                  <c:v>30.345974896839863</c:v>
                </c:pt>
                <c:pt idx="2">
                  <c:v>30.348196066078998</c:v>
                </c:pt>
                <c:pt idx="3">
                  <c:v>30.350414476240985</c:v>
                </c:pt>
                <c:pt idx="4">
                  <c:v>30.352629981803123</c:v>
                </c:pt>
                <c:pt idx="5">
                  <c:v>30.354842436614074</c:v>
                </c:pt>
                <c:pt idx="6">
                  <c:v>30.357051693903188</c:v>
                </c:pt>
                <c:pt idx="7">
                  <c:v>30.359257606289979</c:v>
                </c:pt>
                <c:pt idx="8">
                  <c:v>30.361460025793743</c:v>
                </c:pt>
                <c:pt idx="9">
                  <c:v>30.363658803843276</c:v>
                </c:pt>
                <c:pt idx="10">
                  <c:v>30.365853791286671</c:v>
                </c:pt>
                <c:pt idx="11">
                  <c:v>30.368044838401271</c:v>
                </c:pt>
                <c:pt idx="12">
                  <c:v>30.37023179490372</c:v>
                </c:pt>
                <c:pt idx="13">
                  <c:v>30.372414509960048</c:v>
                </c:pt>
                <c:pt idx="14">
                  <c:v>30.374592832195972</c:v>
                </c:pt>
                <c:pt idx="15">
                  <c:v>30.376766609707154</c:v>
                </c:pt>
                <c:pt idx="16">
                  <c:v>30.378935690069653</c:v>
                </c:pt>
                <c:pt idx="17">
                  <c:v>30.381099920350408</c:v>
                </c:pt>
                <c:pt idx="18">
                  <c:v>30.383259147117801</c:v>
                </c:pt>
                <c:pt idx="19">
                  <c:v>30.385413216452321</c:v>
                </c:pt>
                <c:pt idx="20">
                  <c:v>30.387561973957272</c:v>
                </c:pt>
                <c:pt idx="21">
                  <c:v>30.389705264769574</c:v>
                </c:pt>
                <c:pt idx="22">
                  <c:v>30.391842933570608</c:v>
                </c:pt>
                <c:pt idx="23">
                  <c:v>30.393974824597123</c:v>
                </c:pt>
                <c:pt idx="24">
                  <c:v>30.396100781652208</c:v>
                </c:pt>
                <c:pt idx="25">
                  <c:v>30.398220648116322</c:v>
                </c:pt>
                <c:pt idx="26">
                  <c:v>30.400334266958335</c:v>
                </c:pt>
                <c:pt idx="27">
                  <c:v>30.402441480746671</c:v>
                </c:pt>
                <c:pt idx="28">
                  <c:v>30.404542131660406</c:v>
                </c:pt>
                <c:pt idx="29">
                  <c:v>30.406636061500535</c:v>
                </c:pt>
                <c:pt idx="30">
                  <c:v>30.408723111701107</c:v>
                </c:pt>
                <c:pt idx="31">
                  <c:v>30.410803123340507</c:v>
                </c:pt>
                <c:pt idx="32">
                  <c:v>30.412875937152752</c:v>
                </c:pt>
                <c:pt idx="33">
                  <c:v>30.414941418901144</c:v>
                </c:pt>
                <c:pt idx="34">
                  <c:v>30.416999536280382</c:v>
                </c:pt>
                <c:pt idx="35">
                  <c:v>30.419050284239656</c:v>
                </c:pt>
                <c:pt idx="36">
                  <c:v>30.421093659818006</c:v>
                </c:pt>
                <c:pt idx="37">
                  <c:v>34.831912860499592</c:v>
                </c:pt>
                <c:pt idx="38">
                  <c:v>34.880505058407948</c:v>
                </c:pt>
                <c:pt idx="39">
                  <c:v>34.92924969344449</c:v>
                </c:pt>
                <c:pt idx="40">
                  <c:v>34.978145500223704</c:v>
                </c:pt>
                <c:pt idx="41">
                  <c:v>35.02719124076259</c:v>
                </c:pt>
                <c:pt idx="42">
                  <c:v>35.076385705042092</c:v>
                </c:pt>
                <c:pt idx="43">
                  <c:v>35.12618962630313</c:v>
                </c:pt>
                <c:pt idx="44">
                  <c:v>35.178759713246663</c:v>
                </c:pt>
                <c:pt idx="45">
                  <c:v>35.231294757445696</c:v>
                </c:pt>
                <c:pt idx="46">
                  <c:v>35.283794983835854</c:v>
                </c:pt>
                <c:pt idx="47">
                  <c:v>35.336260642792801</c:v>
                </c:pt>
                <c:pt idx="48">
                  <c:v>35.388692010266318</c:v>
                </c:pt>
                <c:pt idx="49">
                  <c:v>35.441089387915255</c:v>
                </c:pt>
                <c:pt idx="50">
                  <c:v>35.493453103243404</c:v>
                </c:pt>
                <c:pt idx="51">
                  <c:v>35.545783509736289</c:v>
                </c:pt>
                <c:pt idx="52">
                  <c:v>35.598080986998696</c:v>
                </c:pt>
                <c:pt idx="53">
                  <c:v>35.650345940893153</c:v>
                </c:pt>
                <c:pt idx="54">
                  <c:v>35.702578803679195</c:v>
                </c:pt>
                <c:pt idx="55">
                  <c:v>35.754780034153391</c:v>
                </c:pt>
                <c:pt idx="56">
                  <c:v>35.803604319286293</c:v>
                </c:pt>
                <c:pt idx="57">
                  <c:v>35.843593193920412</c:v>
                </c:pt>
                <c:pt idx="58">
                  <c:v>35.883480376909091</c:v>
                </c:pt>
                <c:pt idx="59">
                  <c:v>35.923266789250789</c:v>
                </c:pt>
                <c:pt idx="60">
                  <c:v>35.962953361122011</c:v>
                </c:pt>
                <c:pt idx="61">
                  <c:v>36.002541031768942</c:v>
                </c:pt>
                <c:pt idx="62">
                  <c:v>36.042030749401484</c:v>
                </c:pt>
                <c:pt idx="63">
                  <c:v>36.081423471090048</c:v>
                </c:pt>
                <c:pt idx="64">
                  <c:v>36.120720162664711</c:v>
                </c:pt>
                <c:pt idx="65">
                  <c:v>36.159921798617077</c:v>
                </c:pt>
                <c:pt idx="66">
                  <c:v>36.199029362004438</c:v>
                </c:pt>
                <c:pt idx="67">
                  <c:v>36.238043844356653</c:v>
                </c:pt>
                <c:pt idx="68">
                  <c:v>36.276966245585335</c:v>
                </c:pt>
                <c:pt idx="69">
                  <c:v>36.315797573895665</c:v>
                </c:pt>
                <c:pt idx="70">
                  <c:v>36.354538845700496</c:v>
                </c:pt>
                <c:pt idx="71">
                  <c:v>36.39319108553709</c:v>
                </c:pt>
                <c:pt idx="72">
                  <c:v>36.431755325986146</c:v>
                </c:pt>
                <c:pt idx="73">
                  <c:v>36.470232607593317</c:v>
                </c:pt>
                <c:pt idx="74">
                  <c:v>36.508623978793132</c:v>
                </c:pt>
                <c:pt idx="75">
                  <c:v>36.546930495835404</c:v>
                </c:pt>
                <c:pt idx="76">
                  <c:v>36.585153222713814</c:v>
                </c:pt>
                <c:pt idx="77">
                  <c:v>36.618471586111568</c:v>
                </c:pt>
                <c:pt idx="78">
                  <c:v>36.632443296352683</c:v>
                </c:pt>
                <c:pt idx="79">
                  <c:v>36.6463700782313</c:v>
                </c:pt>
                <c:pt idx="80">
                  <c:v>36.660252596012022</c:v>
                </c:pt>
                <c:pt idx="81">
                  <c:v>36.674091528099304</c:v>
                </c:pt>
                <c:pt idx="82">
                  <c:v>36.687887566972222</c:v>
                </c:pt>
                <c:pt idx="83">
                  <c:v>36.701641419119341</c:v>
                </c:pt>
                <c:pt idx="84">
                  <c:v>36.71535380497361</c:v>
                </c:pt>
                <c:pt idx="85">
                  <c:v>36.729025458847381</c:v>
                </c:pt>
                <c:pt idx="86">
                  <c:v>36.742657128867506</c:v>
                </c:pt>
                <c:pt idx="87">
                  <c:v>36.756249576910641</c:v>
                </c:pt>
                <c:pt idx="88">
                  <c:v>36.769803578538649</c:v>
                </c:pt>
                <c:pt idx="89">
                  <c:v>36.783319922934346</c:v>
                </c:pt>
                <c:pt idx="90">
                  <c:v>36.796799412837352</c:v>
                </c:pt>
                <c:pt idx="91">
                  <c:v>36.810242864480315</c:v>
                </c:pt>
                <c:pt idx="92">
                  <c:v>36.823651107525421</c:v>
                </c:pt>
                <c:pt idx="93">
                  <c:v>36.83702498500115</c:v>
                </c:pt>
                <c:pt idx="94">
                  <c:v>36.850365214828173</c:v>
                </c:pt>
                <c:pt idx="95">
                  <c:v>36.863671971567896</c:v>
                </c:pt>
                <c:pt idx="96">
                  <c:v>36.876945296456981</c:v>
                </c:pt>
                <c:pt idx="97">
                  <c:v>36.890185235089639</c:v>
                </c:pt>
                <c:pt idx="98">
                  <c:v>36.903391837431002</c:v>
                </c:pt>
                <c:pt idx="99">
                  <c:v>36.916565157830604</c:v>
                </c:pt>
                <c:pt idx="100">
                  <c:v>36.929705255035969</c:v>
                </c:pt>
                <c:pt idx="101">
                  <c:v>36.942812192206134</c:v>
                </c:pt>
                <c:pt idx="102">
                  <c:v>36.955886036925335</c:v>
                </c:pt>
                <c:pt idx="103">
                  <c:v>36.968926861216644</c:v>
                </c:pt>
                <c:pt idx="104">
                  <c:v>36.98193474155574</c:v>
                </c:pt>
                <c:pt idx="105">
                  <c:v>36.994909758884589</c:v>
                </c:pt>
                <c:pt idx="106">
                  <c:v>37.007851998625277</c:v>
                </c:pt>
                <c:pt idx="107">
                  <c:v>37.020761550693763</c:v>
                </c:pt>
                <c:pt idx="108">
                  <c:v>37.033638509513736</c:v>
                </c:pt>
                <c:pt idx="109">
                  <c:v>37.04648297403044</c:v>
                </c:pt>
                <c:pt idx="110">
                  <c:v>37.059295047724518</c:v>
                </c:pt>
                <c:pt idx="111">
                  <c:v>37.072074838625888</c:v>
                </c:pt>
                <c:pt idx="112">
                  <c:v>37.084822459327576</c:v>
                </c:pt>
                <c:pt idx="113">
                  <c:v>37.097538026999629</c:v>
                </c:pt>
                <c:pt idx="114">
                  <c:v>37.104583045067898</c:v>
                </c:pt>
                <c:pt idx="115">
                  <c:v>37.105522378831665</c:v>
                </c:pt>
                <c:pt idx="116">
                  <c:v>37.106459048689075</c:v>
                </c:pt>
                <c:pt idx="117">
                  <c:v>37.107393067023992</c:v>
                </c:pt>
                <c:pt idx="118">
                  <c:v>37.108324446546014</c:v>
                </c:pt>
                <c:pt idx="119">
                  <c:v>37.109253200290908</c:v>
                </c:pt>
                <c:pt idx="120">
                  <c:v>37.110179341621212</c:v>
                </c:pt>
                <c:pt idx="121">
                  <c:v>37.11110288422671</c:v>
                </c:pt>
                <c:pt idx="122">
                  <c:v>37.112023842125019</c:v>
                </c:pt>
                <c:pt idx="123">
                  <c:v>37.112942229662039</c:v>
                </c:pt>
                <c:pt idx="124">
                  <c:v>37.113858061512552</c:v>
                </c:pt>
                <c:pt idx="125">
                  <c:v>37.114771352680691</c:v>
                </c:pt>
                <c:pt idx="126">
                  <c:v>37.115682118500473</c:v>
                </c:pt>
                <c:pt idx="127">
                  <c:v>37.116590374636324</c:v>
                </c:pt>
                <c:pt idx="128">
                  <c:v>37.117496137083585</c:v>
                </c:pt>
                <c:pt idx="129">
                  <c:v>37.118399422169006</c:v>
                </c:pt>
                <c:pt idx="130">
                  <c:v>31.975228491562959</c:v>
                </c:pt>
                <c:pt idx="131">
                  <c:v>31.990106008266007</c:v>
                </c:pt>
                <c:pt idx="132">
                  <c:v>32.004932905569497</c:v>
                </c:pt>
                <c:pt idx="133">
                  <c:v>32.019709549216117</c:v>
                </c:pt>
                <c:pt idx="134">
                  <c:v>32.034436309573287</c:v>
                </c:pt>
                <c:pt idx="135">
                  <c:v>32.049113561624353</c:v>
                </c:pt>
                <c:pt idx="136">
                  <c:v>32.063741684959808</c:v>
                </c:pt>
                <c:pt idx="137">
                  <c:v>32.078321063768435</c:v>
                </c:pt>
                <c:pt idx="138">
                  <c:v>32.092852086828344</c:v>
                </c:pt>
                <c:pt idx="139">
                  <c:v>32.107335147497992</c:v>
                </c:pt>
                <c:pt idx="140">
                  <c:v>32.121770643707073</c:v>
                </c:pt>
                <c:pt idx="141">
                  <c:v>32.136158977947339</c:v>
                </c:pt>
                <c:pt idx="142">
                  <c:v>32.150500557263314</c:v>
                </c:pt>
                <c:pt idx="143">
                  <c:v>32.164795793242888</c:v>
                </c:pt>
                <c:pt idx="144">
                  <c:v>32.179045102007841</c:v>
                </c:pt>
                <c:pt idx="145">
                  <c:v>32.193248904204182</c:v>
                </c:pt>
                <c:pt idx="146">
                  <c:v>32.207407624992378</c:v>
                </c:pt>
                <c:pt idx="147">
                  <c:v>32.221521694037484</c:v>
                </c:pt>
                <c:pt idx="148">
                  <c:v>32.235591545499098</c:v>
                </c:pt>
                <c:pt idx="149">
                  <c:v>32.249617618021077</c:v>
                </c:pt>
                <c:pt idx="150">
                  <c:v>32.26360035472127</c:v>
                </c:pt>
                <c:pt idx="151">
                  <c:v>32.277540203180898</c:v>
                </c:pt>
                <c:pt idx="152">
                  <c:v>32.291437615433864</c:v>
                </c:pt>
                <c:pt idx="153">
                  <c:v>32.305293047955814</c:v>
                </c:pt>
                <c:pt idx="154">
                  <c:v>32.319106961653027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1-4946-8243-10220CFE8FA0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'Vækstfunktion, hol'!$A$180:$A$335</c:f>
              <c:numCache>
                <c:formatCode>General</c:formatCode>
                <c:ptCount val="156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</c:numCache>
            </c:numRef>
          </c:cat>
          <c:val>
            <c:numRef>
              <c:f>'Vækstfunktion, kry kvie'!$AE$180:$AE$335</c:f>
              <c:numCache>
                <c:formatCode>#,##0.00</c:formatCode>
                <c:ptCount val="156"/>
                <c:pt idx="0">
                  <c:v>30.204553390008957</c:v>
                </c:pt>
                <c:pt idx="1">
                  <c:v>30.206505329156684</c:v>
                </c:pt>
                <c:pt idx="2">
                  <c:v>30.208454196342029</c:v>
                </c:pt>
                <c:pt idx="3">
                  <c:v>30.210399891654852</c:v>
                </c:pt>
                <c:pt idx="4">
                  <c:v>30.212342315235478</c:v>
                </c:pt>
                <c:pt idx="5">
                  <c:v>30.214281367280474</c:v>
                </c:pt>
                <c:pt idx="6">
                  <c:v>30.216216948048491</c:v>
                </c:pt>
                <c:pt idx="7">
                  <c:v>30.218148957866113</c:v>
                </c:pt>
                <c:pt idx="8">
                  <c:v>30.220077297133873</c:v>
                </c:pt>
                <c:pt idx="9">
                  <c:v>30.222001866332249</c:v>
                </c:pt>
                <c:pt idx="10">
                  <c:v>30.223922566027746</c:v>
                </c:pt>
                <c:pt idx="11">
                  <c:v>30.225839296879013</c:v>
                </c:pt>
                <c:pt idx="12">
                  <c:v>30.227751959643069</c:v>
                </c:pt>
                <c:pt idx="13">
                  <c:v>30.229660455181527</c:v>
                </c:pt>
                <c:pt idx="14">
                  <c:v>30.231564684466893</c:v>
                </c:pt>
                <c:pt idx="15">
                  <c:v>30.233464548588902</c:v>
                </c:pt>
                <c:pt idx="16">
                  <c:v>30.235359948760934</c:v>
                </c:pt>
                <c:pt idx="17">
                  <c:v>30.237250786326417</c:v>
                </c:pt>
                <c:pt idx="18">
                  <c:v>30.239136962765304</c:v>
                </c:pt>
                <c:pt idx="19">
                  <c:v>30.241018379700638</c:v>
                </c:pt>
                <c:pt idx="20">
                  <c:v>30.242894938905028</c:v>
                </c:pt>
                <c:pt idx="21">
                  <c:v>30.24476654230731</c:v>
                </c:pt>
                <c:pt idx="22">
                  <c:v>30.246633091999136</c:v>
                </c:pt>
                <c:pt idx="23">
                  <c:v>30.24849449024163</c:v>
                </c:pt>
                <c:pt idx="24">
                  <c:v>30.250350639472089</c:v>
                </c:pt>
                <c:pt idx="25">
                  <c:v>30.252201442310682</c:v>
                </c:pt>
                <c:pt idx="26">
                  <c:v>30.254046801567217</c:v>
                </c:pt>
                <c:pt idx="27">
                  <c:v>30.255886620247839</c:v>
                </c:pt>
                <c:pt idx="28">
                  <c:v>30.257720801561891</c:v>
                </c:pt>
                <c:pt idx="29">
                  <c:v>30.259549248928661</c:v>
                </c:pt>
                <c:pt idx="30">
                  <c:v>30.261371865984234</c:v>
                </c:pt>
                <c:pt idx="31">
                  <c:v>30.263188568079723</c:v>
                </c:pt>
                <c:pt idx="32">
                  <c:v>30.264999317118011</c:v>
                </c:pt>
                <c:pt idx="33">
                  <c:v>30.266804087704696</c:v>
                </c:pt>
                <c:pt idx="34">
                  <c:v>30.268602855744501</c:v>
                </c:pt>
                <c:pt idx="35">
                  <c:v>30.27039559843978</c:v>
                </c:pt>
                <c:pt idx="36">
                  <c:v>30.272182294288886</c:v>
                </c:pt>
                <c:pt idx="37">
                  <c:v>30.273962923084436</c:v>
                </c:pt>
                <c:pt idx="38">
                  <c:v>30.275737465911572</c:v>
                </c:pt>
                <c:pt idx="39">
                  <c:v>30.277505905146054</c:v>
                </c:pt>
                <c:pt idx="40">
                  <c:v>34.412205969144622</c:v>
                </c:pt>
                <c:pt idx="41">
                  <c:v>34.455911692969124</c:v>
                </c:pt>
                <c:pt idx="42">
                  <c:v>34.499750409599066</c:v>
                </c:pt>
                <c:pt idx="43">
                  <c:v>34.543720846368075</c:v>
                </c:pt>
                <c:pt idx="44">
                  <c:v>34.587821744149196</c:v>
                </c:pt>
                <c:pt idx="45">
                  <c:v>34.632051857710422</c:v>
                </c:pt>
                <c:pt idx="46">
                  <c:v>34.676409956068404</c:v>
                </c:pt>
                <c:pt idx="47">
                  <c:v>34.720894822840421</c:v>
                </c:pt>
                <c:pt idx="48">
                  <c:v>34.765505256594565</c:v>
                </c:pt>
                <c:pt idx="49">
                  <c:v>34.810240071198137</c:v>
                </c:pt>
                <c:pt idx="50">
                  <c:v>34.855098096164269</c:v>
                </c:pt>
                <c:pt idx="51">
                  <c:v>34.900078176996743</c:v>
                </c:pt>
                <c:pt idx="52">
                  <c:v>34.945179175533063</c:v>
                </c:pt>
                <c:pt idx="53">
                  <c:v>34.990399970285694</c:v>
                </c:pt>
                <c:pt idx="54">
                  <c:v>35.035739456781542</c:v>
                </c:pt>
                <c:pt idx="55">
                  <c:v>35.081196547899602</c:v>
                </c:pt>
                <c:pt idx="56">
                  <c:v>35.126770174206932</c:v>
                </c:pt>
                <c:pt idx="57">
                  <c:v>35.1724592842927</c:v>
                </c:pt>
                <c:pt idx="58">
                  <c:v>35.218262845100561</c:v>
                </c:pt>
                <c:pt idx="59">
                  <c:v>35.264179842259281</c:v>
                </c:pt>
                <c:pt idx="60">
                  <c:v>35.31020928041147</c:v>
                </c:pt>
                <c:pt idx="61">
                  <c:v>35.356350183540684</c:v>
                </c:pt>
                <c:pt idx="62">
                  <c:v>35.40260159529673</c:v>
                </c:pt>
                <c:pt idx="63">
                  <c:v>35.448962579319215</c:v>
                </c:pt>
                <c:pt idx="64">
                  <c:v>35.495432219559397</c:v>
                </c:pt>
                <c:pt idx="65">
                  <c:v>35.542009620600297</c:v>
                </c:pt>
                <c:pt idx="66">
                  <c:v>35.588693907975085</c:v>
                </c:pt>
                <c:pt idx="67">
                  <c:v>35.635484228483818</c:v>
                </c:pt>
                <c:pt idx="68">
                  <c:v>35.682379750508431</c:v>
                </c:pt>
                <c:pt idx="69">
                  <c:v>35.729379664326125</c:v>
                </c:pt>
                <c:pt idx="70">
                  <c:v>35.776533085506628</c:v>
                </c:pt>
                <c:pt idx="71">
                  <c:v>35.824307990612205</c:v>
                </c:pt>
                <c:pt idx="72">
                  <c:v>35.872046996238261</c:v>
                </c:pt>
                <c:pt idx="73">
                  <c:v>35.91975037926327</c:v>
                </c:pt>
                <c:pt idx="74">
                  <c:v>35.967418432788548</c:v>
                </c:pt>
                <c:pt idx="75">
                  <c:v>36.010159139907678</c:v>
                </c:pt>
                <c:pt idx="76">
                  <c:v>36.033263694018473</c:v>
                </c:pt>
                <c:pt idx="77">
                  <c:v>36.05628038182369</c:v>
                </c:pt>
                <c:pt idx="78">
                  <c:v>36.079209664922281</c:v>
                </c:pt>
                <c:pt idx="79">
                  <c:v>36.102052022382253</c:v>
                </c:pt>
                <c:pt idx="80">
                  <c:v>36.124807950684122</c:v>
                </c:pt>
                <c:pt idx="81">
                  <c:v>36.147477963664308</c:v>
                </c:pt>
                <c:pt idx="82">
                  <c:v>36.170062592458521</c:v>
                </c:pt>
                <c:pt idx="83">
                  <c:v>36.192562385445029</c:v>
                </c:pt>
                <c:pt idx="84">
                  <c:v>36.214977908188054</c:v>
                </c:pt>
                <c:pt idx="85">
                  <c:v>36.237309743381132</c:v>
                </c:pt>
                <c:pt idx="86">
                  <c:v>36.259558490790567</c:v>
                </c:pt>
                <c:pt idx="87">
                  <c:v>36.274400366719867</c:v>
                </c:pt>
                <c:pt idx="88">
                  <c:v>36.286132754162004</c:v>
                </c:pt>
                <c:pt idx="89">
                  <c:v>36.297821876071573</c:v>
                </c:pt>
                <c:pt idx="90">
                  <c:v>36.309468088532206</c:v>
                </c:pt>
                <c:pt idx="91">
                  <c:v>36.321071756526266</c:v>
                </c:pt>
                <c:pt idx="92">
                  <c:v>36.332633198956302</c:v>
                </c:pt>
                <c:pt idx="93">
                  <c:v>36.344152522668928</c:v>
                </c:pt>
                <c:pt idx="94">
                  <c:v>36.355629785362211</c:v>
                </c:pt>
                <c:pt idx="95">
                  <c:v>36.367065050264429</c:v>
                </c:pt>
                <c:pt idx="96">
                  <c:v>36.378458386141205</c:v>
                </c:pt>
                <c:pt idx="97">
                  <c:v>36.389809867302404</c:v>
                </c:pt>
                <c:pt idx="98">
                  <c:v>36.401119573609321</c:v>
                </c:pt>
                <c:pt idx="99">
                  <c:v>36.412387590481693</c:v>
                </c:pt>
                <c:pt idx="100">
                  <c:v>36.423614008904842</c:v>
                </c:pt>
                <c:pt idx="101">
                  <c:v>36.434798925436759</c:v>
                </c:pt>
                <c:pt idx="102">
                  <c:v>36.445942442215205</c:v>
                </c:pt>
                <c:pt idx="103">
                  <c:v>36.457044666964947</c:v>
                </c:pt>
                <c:pt idx="104">
                  <c:v>36.46810571300481</c:v>
                </c:pt>
                <c:pt idx="105">
                  <c:v>36.479125699254922</c:v>
                </c:pt>
                <c:pt idx="106">
                  <c:v>36.490104750243823</c:v>
                </c:pt>
                <c:pt idx="107">
                  <c:v>36.501042996115729</c:v>
                </c:pt>
                <c:pt idx="108">
                  <c:v>36.511940572637656</c:v>
                </c:pt>
                <c:pt idx="109">
                  <c:v>36.522797621206699</c:v>
                </c:pt>
                <c:pt idx="110">
                  <c:v>36.533614288857187</c:v>
                </c:pt>
                <c:pt idx="111">
                  <c:v>36.544390728267928</c:v>
                </c:pt>
                <c:pt idx="112">
                  <c:v>36.555127097769429</c:v>
                </c:pt>
                <c:pt idx="113">
                  <c:v>36.565823561351181</c:v>
                </c:pt>
                <c:pt idx="114">
                  <c:v>36.576480288668762</c:v>
                </c:pt>
                <c:pt idx="115">
                  <c:v>36.587097455051193</c:v>
                </c:pt>
                <c:pt idx="116">
                  <c:v>36.597675241508185</c:v>
                </c:pt>
                <c:pt idx="117">
                  <c:v>36.608213834737271</c:v>
                </c:pt>
                <c:pt idx="118">
                  <c:v>36.618713427131134</c:v>
                </c:pt>
                <c:pt idx="119">
                  <c:v>36.629174216784818</c:v>
                </c:pt>
                <c:pt idx="120">
                  <c:v>36.639596407502992</c:v>
                </c:pt>
                <c:pt idx="121">
                  <c:v>36.649980208807143</c:v>
                </c:pt>
                <c:pt idx="122">
                  <c:v>36.660325835942821</c:v>
                </c:pt>
                <c:pt idx="123">
                  <c:v>36.670633509886891</c:v>
                </c:pt>
                <c:pt idx="124">
                  <c:v>36.680903457354709</c:v>
                </c:pt>
                <c:pt idx="125">
                  <c:v>36.691135910807368</c:v>
                </c:pt>
                <c:pt idx="126">
                  <c:v>36.701331108458895</c:v>
                </c:pt>
                <c:pt idx="127">
                  <c:v>36.71148929428346</c:v>
                </c:pt>
                <c:pt idx="128">
                  <c:v>36.721610718022539</c:v>
                </c:pt>
                <c:pt idx="129">
                  <c:v>36.731695635192104</c:v>
                </c:pt>
                <c:pt idx="130">
                  <c:v>36.741744307089796</c:v>
                </c:pt>
                <c:pt idx="131">
                  <c:v>36.751757000802066</c:v>
                </c:pt>
                <c:pt idx="132">
                  <c:v>36.761733989211308</c:v>
                </c:pt>
                <c:pt idx="133">
                  <c:v>36.771675551003028</c:v>
                </c:pt>
                <c:pt idx="134">
                  <c:v>36.781581970672896</c:v>
                </c:pt>
                <c:pt idx="135">
                  <c:v>36.791453538533872</c:v>
                </c:pt>
                <c:pt idx="136">
                  <c:v>36.801290550723287</c:v>
                </c:pt>
                <c:pt idx="137">
                  <c:v>36.811093309209859</c:v>
                </c:pt>
                <c:pt idx="138">
                  <c:v>36.820862121800801</c:v>
                </c:pt>
                <c:pt idx="139">
                  <c:v>36.830597302148782</c:v>
                </c:pt>
                <c:pt idx="140">
                  <c:v>36.840299169758936</c:v>
                </c:pt>
                <c:pt idx="141">
                  <c:v>36.849968049995844</c:v>
                </c:pt>
                <c:pt idx="142">
                  <c:v>36.859604274090486</c:v>
                </c:pt>
                <c:pt idx="143">
                  <c:v>36.869208179147165</c:v>
                </c:pt>
                <c:pt idx="144">
                  <c:v>36.878780108150401</c:v>
                </c:pt>
                <c:pt idx="145">
                  <c:v>36.888320409971833</c:v>
                </c:pt>
                <c:pt idx="146">
                  <c:v>36.897829439377006</c:v>
                </c:pt>
                <c:pt idx="147">
                  <c:v>36.907307557032262</c:v>
                </c:pt>
                <c:pt idx="148">
                  <c:v>36.916755129511479</c:v>
                </c:pt>
                <c:pt idx="149">
                  <c:v>36.92617252930286</c:v>
                </c:pt>
                <c:pt idx="150">
                  <c:v>36.935560134815617</c:v>
                </c:pt>
                <c:pt idx="151">
                  <c:v>31.509961274761899</c:v>
                </c:pt>
                <c:pt idx="152">
                  <c:v>31.52208549794301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1-4946-8243-10220CFE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9946864"/>
        <c:axId val="1351544128"/>
      </c:lineChart>
      <c:catAx>
        <c:axId val="1349946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51544128"/>
        <c:crosses val="autoZero"/>
        <c:auto val="1"/>
        <c:lblAlgn val="ctr"/>
        <c:lblOffset val="100"/>
        <c:noMultiLvlLbl val="0"/>
      </c:catAx>
      <c:valAx>
        <c:axId val="1351544128"/>
        <c:scaling>
          <c:orientation val="minMax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4994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Levende vægt kalv, kg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3.9185716499861523E-2"/>
          <c:y val="0.18560185185185185"/>
          <c:w val="0.94016246033137441"/>
          <c:h val="0.58487518133715721"/>
        </c:manualLayout>
      </c:layout>
      <c:lineChart>
        <c:grouping val="standard"/>
        <c:varyColors val="0"/>
        <c:ser>
          <c:idx val="0"/>
          <c:order val="0"/>
          <c:tx>
            <c:v>hol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hol'!$G$3:$G$335</c:f>
              <c:numCache>
                <c:formatCode>0.0</c:formatCode>
                <c:ptCount val="333"/>
                <c:pt idx="0">
                  <c:v>69.736117614425382</c:v>
                </c:pt>
                <c:pt idx="1">
                  <c:v>70.484516615398604</c:v>
                </c:pt>
                <c:pt idx="2">
                  <c:v>71.245072360693626</c:v>
                </c:pt>
                <c:pt idx="3">
                  <c:v>72.017660689760305</c:v>
                </c:pt>
                <c:pt idx="4">
                  <c:v>72.80215792372465</c:v>
                </c:pt>
                <c:pt idx="5">
                  <c:v>73.598440865388682</c:v>
                </c:pt>
                <c:pt idx="6">
                  <c:v>74.406386799230361</c:v>
                </c:pt>
                <c:pt idx="7">
                  <c:v>75.225873491403775</c:v>
                </c:pt>
                <c:pt idx="8">
                  <c:v>76.056779189739018</c:v>
                </c:pt>
                <c:pt idx="9">
                  <c:v>76.898982623742214</c:v>
                </c:pt>
                <c:pt idx="10">
                  <c:v>77.752363004595523</c:v>
                </c:pt>
                <c:pt idx="11">
                  <c:v>78.61680002515709</c:v>
                </c:pt>
                <c:pt idx="12">
                  <c:v>79.492173859961184</c:v>
                </c:pt>
                <c:pt idx="13">
                  <c:v>80.378365165218</c:v>
                </c:pt>
                <c:pt idx="14">
                  <c:v>81.275255078813871</c:v>
                </c:pt>
                <c:pt idx="15">
                  <c:v>82.182725220311042</c:v>
                </c:pt>
                <c:pt idx="16">
                  <c:v>83.100657690947926</c:v>
                </c:pt>
                <c:pt idx="17">
                  <c:v>84.028935073638877</c:v>
                </c:pt>
                <c:pt idx="18">
                  <c:v>84.9674404329743</c:v>
                </c:pt>
                <c:pt idx="19">
                  <c:v>85.916057315220627</c:v>
                </c:pt>
                <c:pt idx="20">
                  <c:v>86.874669748320315</c:v>
                </c:pt>
                <c:pt idx="21">
                  <c:v>87.843162241891875</c:v>
                </c:pt>
                <c:pt idx="22">
                  <c:v>88.821419787229871</c:v>
                </c:pt>
                <c:pt idx="23">
                  <c:v>89.809327857304822</c:v>
                </c:pt>
                <c:pt idx="24">
                  <c:v>90.806772406763372</c:v>
                </c:pt>
                <c:pt idx="25">
                  <c:v>91.813639871928132</c:v>
                </c:pt>
                <c:pt idx="26">
                  <c:v>92.829817170797739</c:v>
                </c:pt>
                <c:pt idx="27">
                  <c:v>93.855191703046927</c:v>
                </c:pt>
                <c:pt idx="28">
                  <c:v>94.889651350026412</c:v>
                </c:pt>
                <c:pt idx="29">
                  <c:v>95.933084474762921</c:v>
                </c:pt>
                <c:pt idx="30">
                  <c:v>96.985379921959264</c:v>
                </c:pt>
                <c:pt idx="31">
                  <c:v>98.046427017994276</c:v>
                </c:pt>
                <c:pt idx="32">
                  <c:v>99.116115570922787</c:v>
                </c:pt>
                <c:pt idx="33">
                  <c:v>100.19433587047567</c:v>
                </c:pt>
                <c:pt idx="34">
                  <c:v>101.28097868805989</c:v>
                </c:pt>
                <c:pt idx="35">
                  <c:v>102.37593527675834</c:v>
                </c:pt>
                <c:pt idx="36">
                  <c:v>103.47909737133004</c:v>
                </c:pt>
                <c:pt idx="37">
                  <c:v>104.59035718820996</c:v>
                </c:pt>
                <c:pt idx="38">
                  <c:v>105.70960742550919</c:v>
                </c:pt>
                <c:pt idx="39">
                  <c:v>106.83674126301477</c:v>
                </c:pt>
                <c:pt idx="40">
                  <c:v>107.97165236218981</c:v>
                </c:pt>
                <c:pt idx="41">
                  <c:v>109.11423486617346</c:v>
                </c:pt>
                <c:pt idx="42">
                  <c:v>110.2643833997809</c:v>
                </c:pt>
                <c:pt idx="43">
                  <c:v>111.42199306950333</c:v>
                </c:pt>
                <c:pt idx="44">
                  <c:v>112.58695946350795</c:v>
                </c:pt>
                <c:pt idx="45">
                  <c:v>113.75917865163804</c:v>
                </c:pt>
                <c:pt idx="46">
                  <c:v>114.93854718541293</c:v>
                </c:pt>
                <c:pt idx="47">
                  <c:v>116.12496209802789</c:v>
                </c:pt>
                <c:pt idx="48">
                  <c:v>117.31832090435435</c:v>
                </c:pt>
                <c:pt idx="49">
                  <c:v>118.51852160093965</c:v>
                </c:pt>
                <c:pt idx="50">
                  <c:v>119.72546266600722</c:v>
                </c:pt>
                <c:pt idx="51">
                  <c:v>120.93904305945654</c:v>
                </c:pt>
                <c:pt idx="52">
                  <c:v>122.1591622228631</c:v>
                </c:pt>
                <c:pt idx="53">
                  <c:v>123.38572007947838</c:v>
                </c:pt>
                <c:pt idx="54">
                  <c:v>124.61861703422996</c:v>
                </c:pt>
                <c:pt idx="55">
                  <c:v>125.85775397372143</c:v>
                </c:pt>
                <c:pt idx="56">
                  <c:v>127.1030322662324</c:v>
                </c:pt>
                <c:pt idx="57">
                  <c:v>128.3543537617185</c:v>
                </c:pt>
                <c:pt idx="58">
                  <c:v>129.61162079181145</c:v>
                </c:pt>
                <c:pt idx="59">
                  <c:v>130.87473616981887</c:v>
                </c:pt>
                <c:pt idx="60">
                  <c:v>132.14360319072463</c:v>
                </c:pt>
                <c:pt idx="61">
                  <c:v>133.41812563118842</c:v>
                </c:pt>
                <c:pt idx="62">
                  <c:v>134.69820774954604</c:v>
                </c:pt>
                <c:pt idx="63">
                  <c:v>135.9837542858094</c:v>
                </c:pt>
                <c:pt idx="64">
                  <c:v>137.27467046166623</c:v>
                </c:pt>
                <c:pt idx="65">
                  <c:v>138.57086198048057</c:v>
                </c:pt>
                <c:pt idx="66">
                  <c:v>139.87223502729233</c:v>
                </c:pt>
                <c:pt idx="67">
                  <c:v>141.17869626881745</c:v>
                </c:pt>
                <c:pt idx="68">
                  <c:v>142.49015285344791</c:v>
                </c:pt>
                <c:pt idx="69">
                  <c:v>143.80651241125176</c:v>
                </c:pt>
                <c:pt idx="70">
                  <c:v>145.12768305397307</c:v>
                </c:pt>
                <c:pt idx="71">
                  <c:v>146.45357337503188</c:v>
                </c:pt>
                <c:pt idx="72">
                  <c:v>147.78409244952434</c:v>
                </c:pt>
                <c:pt idx="73">
                  <c:v>149.11914983422264</c:v>
                </c:pt>
                <c:pt idx="74">
                  <c:v>150.45865556757499</c:v>
                </c:pt>
                <c:pt idx="75">
                  <c:v>151.8025201697055</c:v>
                </c:pt>
                <c:pt idx="76">
                  <c:v>153.15065464241451</c:v>
                </c:pt>
                <c:pt idx="77">
                  <c:v>154.50297046917822</c:v>
                </c:pt>
                <c:pt idx="78">
                  <c:v>155.85937961514904</c:v>
                </c:pt>
                <c:pt idx="79">
                  <c:v>157.21979452715533</c:v>
                </c:pt>
                <c:pt idx="80">
                  <c:v>158.58412813370134</c:v>
                </c:pt>
                <c:pt idx="81">
                  <c:v>159.95229384496764</c:v>
                </c:pt>
                <c:pt idx="82">
                  <c:v>161.3242055528105</c:v>
                </c:pt>
                <c:pt idx="83">
                  <c:v>162.69977763076253</c:v>
                </c:pt>
                <c:pt idx="84">
                  <c:v>164.07892493403213</c:v>
                </c:pt>
                <c:pt idx="85">
                  <c:v>165.46156279950392</c:v>
                </c:pt>
                <c:pt idx="86">
                  <c:v>166.84760704573847</c:v>
                </c:pt>
                <c:pt idx="87">
                  <c:v>168.23697397297235</c:v>
                </c:pt>
                <c:pt idx="88">
                  <c:v>169.62958036311815</c:v>
                </c:pt>
                <c:pt idx="89">
                  <c:v>171.02534347976459</c:v>
                </c:pt>
                <c:pt idx="90">
                  <c:v>172.42418106817635</c:v>
                </c:pt>
                <c:pt idx="91">
                  <c:v>173.82601135529416</c:v>
                </c:pt>
                <c:pt idx="92">
                  <c:v>175.23075304973483</c:v>
                </c:pt>
                <c:pt idx="93">
                  <c:v>176.63832534179105</c:v>
                </c:pt>
                <c:pt idx="94">
                  <c:v>178.04864790343166</c:v>
                </c:pt>
                <c:pt idx="95">
                  <c:v>179.46164088830164</c:v>
                </c:pt>
                <c:pt idx="96">
                  <c:v>180.87722493172174</c:v>
                </c:pt>
                <c:pt idx="97">
                  <c:v>182.29532115068895</c:v>
                </c:pt>
                <c:pt idx="98">
                  <c:v>183.71585114387611</c:v>
                </c:pt>
                <c:pt idx="99">
                  <c:v>185.13873699163238</c:v>
                </c:pt>
                <c:pt idx="100">
                  <c:v>186.56390125598267</c:v>
                </c:pt>
                <c:pt idx="101">
                  <c:v>187.99126698062801</c:v>
                </c:pt>
                <c:pt idx="102">
                  <c:v>189.42075769094549</c:v>
                </c:pt>
                <c:pt idx="103">
                  <c:v>190.85229739398827</c:v>
                </c:pt>
                <c:pt idx="104">
                  <c:v>192.28581057848544</c:v>
                </c:pt>
                <c:pt idx="105">
                  <c:v>193.72122221484213</c:v>
                </c:pt>
                <c:pt idx="106">
                  <c:v>195.15845775513964</c:v>
                </c:pt>
                <c:pt idx="107">
                  <c:v>196.59744313313519</c:v>
                </c:pt>
                <c:pt idx="108">
                  <c:v>198.03810476426204</c:v>
                </c:pt>
                <c:pt idx="109">
                  <c:v>199.48036954562946</c:v>
                </c:pt>
                <c:pt idx="110">
                  <c:v>200.92416485602277</c:v>
                </c:pt>
                <c:pt idx="111">
                  <c:v>202.36941855590334</c:v>
                </c:pt>
                <c:pt idx="112">
                  <c:v>203.81605898740867</c:v>
                </c:pt>
                <c:pt idx="113">
                  <c:v>205.26401497435205</c:v>
                </c:pt>
                <c:pt idx="114">
                  <c:v>206.71321582222294</c:v>
                </c:pt>
                <c:pt idx="115">
                  <c:v>208.16359131818695</c:v>
                </c:pt>
                <c:pt idx="116">
                  <c:v>209.61507173108546</c:v>
                </c:pt>
                <c:pt idx="117">
                  <c:v>211.06758781143617</c:v>
                </c:pt>
                <c:pt idx="118">
                  <c:v>212.52107079143258</c:v>
                </c:pt>
                <c:pt idx="119">
                  <c:v>213.9754523849443</c:v>
                </c:pt>
                <c:pt idx="120">
                  <c:v>215.43066478751703</c:v>
                </c:pt>
                <c:pt idx="121">
                  <c:v>216.88664067637237</c:v>
                </c:pt>
                <c:pt idx="122">
                  <c:v>218.34331321040821</c:v>
                </c:pt>
                <c:pt idx="123">
                  <c:v>219.800616030198</c:v>
                </c:pt>
                <c:pt idx="124">
                  <c:v>221.25848325799174</c:v>
                </c:pt>
                <c:pt idx="125">
                  <c:v>222.71684949771526</c:v>
                </c:pt>
                <c:pt idx="126">
                  <c:v>224.1756498349703</c:v>
                </c:pt>
                <c:pt idx="127">
                  <c:v>225.63481983703471</c:v>
                </c:pt>
                <c:pt idx="128">
                  <c:v>227.09429555286249</c:v>
                </c:pt>
                <c:pt idx="129">
                  <c:v>228.5540135130835</c:v>
                </c:pt>
                <c:pt idx="130">
                  <c:v>230.01391073000372</c:v>
                </c:pt>
                <c:pt idx="131">
                  <c:v>231.47392469760521</c:v>
                </c:pt>
                <c:pt idx="132">
                  <c:v>232.93399339154593</c:v>
                </c:pt>
                <c:pt idx="133">
                  <c:v>234.39405526915991</c:v>
                </c:pt>
                <c:pt idx="134">
                  <c:v>235.85404926945742</c:v>
                </c:pt>
                <c:pt idx="135">
                  <c:v>237.3139148131244</c:v>
                </c:pt>
                <c:pt idx="136">
                  <c:v>238.77359180252307</c:v>
                </c:pt>
                <c:pt idx="137">
                  <c:v>240.23302062169162</c:v>
                </c:pt>
                <c:pt idx="138">
                  <c:v>241.6921421363443</c:v>
                </c:pt>
                <c:pt idx="139">
                  <c:v>243.15089769387131</c:v>
                </c:pt>
                <c:pt idx="140">
                  <c:v>244.60922912333896</c:v>
                </c:pt>
                <c:pt idx="141">
                  <c:v>246.06707873548962</c:v>
                </c:pt>
                <c:pt idx="142">
                  <c:v>247.52438932274154</c:v>
                </c:pt>
                <c:pt idx="143">
                  <c:v>248.98110415918921</c:v>
                </c:pt>
                <c:pt idx="144">
                  <c:v>250.43716700060304</c:v>
                </c:pt>
                <c:pt idx="145">
                  <c:v>251.89252208442926</c:v>
                </c:pt>
                <c:pt idx="146">
                  <c:v>253.34711412979061</c:v>
                </c:pt>
                <c:pt idx="147">
                  <c:v>254.80088833748547</c:v>
                </c:pt>
                <c:pt idx="148">
                  <c:v>256.25379038998841</c:v>
                </c:pt>
                <c:pt idx="149">
                  <c:v>257.70576645145002</c:v>
                </c:pt>
                <c:pt idx="150">
                  <c:v>259.15676316769679</c:v>
                </c:pt>
                <c:pt idx="151">
                  <c:v>260.60672766623145</c:v>
                </c:pt>
                <c:pt idx="152">
                  <c:v>262.05560755623276</c:v>
                </c:pt>
                <c:pt idx="153">
                  <c:v>263.50335092855528</c:v>
                </c:pt>
                <c:pt idx="154">
                  <c:v>264.94990635572975</c:v>
                </c:pt>
                <c:pt idx="155">
                  <c:v>266.39522289196299</c:v>
                </c:pt>
                <c:pt idx="156">
                  <c:v>267.83925007313769</c:v>
                </c:pt>
                <c:pt idx="157">
                  <c:v>269.28193791681281</c:v>
                </c:pt>
                <c:pt idx="158">
                  <c:v>270.72323692222318</c:v>
                </c:pt>
                <c:pt idx="159">
                  <c:v>272.1630980702796</c:v>
                </c:pt>
                <c:pt idx="160">
                  <c:v>273.60147282356911</c:v>
                </c:pt>
                <c:pt idx="161">
                  <c:v>275.03831312635441</c:v>
                </c:pt>
                <c:pt idx="162">
                  <c:v>276.47357140457484</c:v>
                </c:pt>
                <c:pt idx="163">
                  <c:v>277.90720056584524</c:v>
                </c:pt>
                <c:pt idx="164">
                  <c:v>279.33915399945664</c:v>
                </c:pt>
                <c:pt idx="165">
                  <c:v>280.76938557637618</c:v>
                </c:pt>
                <c:pt idx="166">
                  <c:v>282.1978496492469</c:v>
                </c:pt>
                <c:pt idx="167">
                  <c:v>283.62450105238798</c:v>
                </c:pt>
                <c:pt idx="168">
                  <c:v>285.0492951017946</c:v>
                </c:pt>
                <c:pt idx="169">
                  <c:v>286.47218759513805</c:v>
                </c:pt>
                <c:pt idx="170">
                  <c:v>287.89313481176538</c:v>
                </c:pt>
                <c:pt idx="171">
                  <c:v>289.3120935126999</c:v>
                </c:pt>
                <c:pt idx="172">
                  <c:v>290.72902094064119</c:v>
                </c:pt>
                <c:pt idx="173">
                  <c:v>292.14387481996425</c:v>
                </c:pt>
                <c:pt idx="174">
                  <c:v>293.55661335672056</c:v>
                </c:pt>
                <c:pt idx="175">
                  <c:v>294.9671952386376</c:v>
                </c:pt>
                <c:pt idx="176">
                  <c:v>296.3755796351187</c:v>
                </c:pt>
                <c:pt idx="177">
                  <c:v>297.7817261972433</c:v>
                </c:pt>
                <c:pt idx="178">
                  <c:v>299.18559505776699</c:v>
                </c:pt>
                <c:pt idx="179">
                  <c:v>300.58714683112123</c:v>
                </c:pt>
                <c:pt idx="180">
                  <c:v>301.98634261341351</c:v>
                </c:pt>
                <c:pt idx="181">
                  <c:v>303.38314398242755</c:v>
                </c:pt>
                <c:pt idx="182">
                  <c:v>304.77751299762298</c:v>
                </c:pt>
                <c:pt idx="183">
                  <c:v>306.16941220013535</c:v>
                </c:pt>
                <c:pt idx="184">
                  <c:v>307.55880461277633</c:v>
                </c:pt>
                <c:pt idx="185">
                  <c:v>308.94565374003378</c:v>
                </c:pt>
                <c:pt idx="186">
                  <c:v>310.32992356807125</c:v>
                </c:pt>
                <c:pt idx="187">
                  <c:v>311.71157856472877</c:v>
                </c:pt>
                <c:pt idx="188">
                  <c:v>313.0905836795219</c:v>
                </c:pt>
                <c:pt idx="189">
                  <c:v>314.46690434364257</c:v>
                </c:pt>
                <c:pt idx="190">
                  <c:v>315.84050646995883</c:v>
                </c:pt>
                <c:pt idx="191">
                  <c:v>317.21135645301433</c:v>
                </c:pt>
                <c:pt idx="192">
                  <c:v>318.57942116902922</c:v>
                </c:pt>
                <c:pt idx="193">
                  <c:v>319.94466797589928</c:v>
                </c:pt>
                <c:pt idx="194">
                  <c:v>321.30706471319661</c:v>
                </c:pt>
                <c:pt idx="195">
                  <c:v>322.66657970216909</c:v>
                </c:pt>
                <c:pt idx="196">
                  <c:v>324.02318174574111</c:v>
                </c:pt>
                <c:pt idx="197">
                  <c:v>325.37684012851247</c:v>
                </c:pt>
                <c:pt idx="198">
                  <c:v>326.72752461675947</c:v>
                </c:pt>
                <c:pt idx="199">
                  <c:v>328.07520545843414</c:v>
                </c:pt>
                <c:pt idx="200">
                  <c:v>329.41985338316471</c:v>
                </c:pt>
                <c:pt idx="201">
                  <c:v>330.76143960225562</c:v>
                </c:pt>
                <c:pt idx="202">
                  <c:v>332.09993580868672</c:v>
                </c:pt>
                <c:pt idx="203">
                  <c:v>333.43531417711466</c:v>
                </c:pt>
                <c:pt idx="204">
                  <c:v>334.76754736387159</c:v>
                </c:pt>
                <c:pt idx="205">
                  <c:v>336.12835671274968</c:v>
                </c:pt>
                <c:pt idx="206">
                  <c:v>337.49624360679798</c:v>
                </c:pt>
                <c:pt idx="207">
                  <c:v>338.8608039809983</c:v>
                </c:pt>
                <c:pt idx="208">
                  <c:v>340.22201161277781</c:v>
                </c:pt>
                <c:pt idx="209">
                  <c:v>341.57984077650713</c:v>
                </c:pt>
                <c:pt idx="210">
                  <c:v>342.93426624349979</c:v>
                </c:pt>
                <c:pt idx="211">
                  <c:v>344.28526328201303</c:v>
                </c:pt>
                <c:pt idx="212">
                  <c:v>345.63280765724613</c:v>
                </c:pt>
                <c:pt idx="213">
                  <c:v>346.9768756313423</c:v>
                </c:pt>
                <c:pt idx="214">
                  <c:v>348.31744396338786</c:v>
                </c:pt>
                <c:pt idx="215">
                  <c:v>349.65448990941155</c:v>
                </c:pt>
                <c:pt idx="216">
                  <c:v>350.98799122238586</c:v>
                </c:pt>
                <c:pt idx="217">
                  <c:v>352.31792615222616</c:v>
                </c:pt>
                <c:pt idx="218">
                  <c:v>353.64427344579076</c:v>
                </c:pt>
                <c:pt idx="219">
                  <c:v>354.96701234688135</c:v>
                </c:pt>
                <c:pt idx="220">
                  <c:v>356.28612259624265</c:v>
                </c:pt>
                <c:pt idx="221">
                  <c:v>357.6015844315624</c:v>
                </c:pt>
                <c:pt idx="222">
                  <c:v>358.91337858747147</c:v>
                </c:pt>
                <c:pt idx="223">
                  <c:v>360.22148629554368</c:v>
                </c:pt>
                <c:pt idx="224">
                  <c:v>361.5258892842964</c:v>
                </c:pt>
                <c:pt idx="225">
                  <c:v>362.82656977918947</c:v>
                </c:pt>
                <c:pt idx="226">
                  <c:v>364.12351050262652</c:v>
                </c:pt>
                <c:pt idx="227">
                  <c:v>365.41669467395354</c:v>
                </c:pt>
                <c:pt idx="228">
                  <c:v>366.70610600946043</c:v>
                </c:pt>
                <c:pt idx="229">
                  <c:v>367.99172872237938</c:v>
                </c:pt>
                <c:pt idx="230">
                  <c:v>369.27354752288642</c:v>
                </c:pt>
                <c:pt idx="231">
                  <c:v>370.5515476180999</c:v>
                </c:pt>
                <c:pt idx="232">
                  <c:v>371.82571471208229</c:v>
                </c:pt>
                <c:pt idx="233">
                  <c:v>373.09603500583796</c:v>
                </c:pt>
                <c:pt idx="234">
                  <c:v>374.36249519731547</c:v>
                </c:pt>
                <c:pt idx="235">
                  <c:v>375.62508248140557</c:v>
                </c:pt>
                <c:pt idx="236">
                  <c:v>376.88378454994302</c:v>
                </c:pt>
                <c:pt idx="237">
                  <c:v>378.13858959170477</c:v>
                </c:pt>
                <c:pt idx="238">
                  <c:v>379.38948629241162</c:v>
                </c:pt>
                <c:pt idx="239">
                  <c:v>380.63646383472701</c:v>
                </c:pt>
                <c:pt idx="240">
                  <c:v>381.87951189825776</c:v>
                </c:pt>
                <c:pt idx="241">
                  <c:v>383.11862065955347</c:v>
                </c:pt>
                <c:pt idx="242">
                  <c:v>384.35378079210722</c:v>
                </c:pt>
                <c:pt idx="243">
                  <c:v>385.58498346635474</c:v>
                </c:pt>
                <c:pt idx="244">
                  <c:v>386.81222034967533</c:v>
                </c:pt>
                <c:pt idx="245">
                  <c:v>388.03548360639132</c:v>
                </c:pt>
                <c:pt idx="246">
                  <c:v>389.25476589776764</c:v>
                </c:pt>
                <c:pt idx="247">
                  <c:v>390.47006038201295</c:v>
                </c:pt>
                <c:pt idx="248">
                  <c:v>391.6813607142787</c:v>
                </c:pt>
                <c:pt idx="249">
                  <c:v>392.88866104665948</c:v>
                </c:pt>
                <c:pt idx="250">
                  <c:v>394.0919560281929</c:v>
                </c:pt>
                <c:pt idx="251">
                  <c:v>395.29124080485991</c:v>
                </c:pt>
                <c:pt idx="252">
                  <c:v>396.48651101958427</c:v>
                </c:pt>
                <c:pt idx="253">
                  <c:v>397.67776281223308</c:v>
                </c:pt>
                <c:pt idx="254">
                  <c:v>398.8649928196163</c:v>
                </c:pt>
                <c:pt idx="255">
                  <c:v>400.0481981754873</c:v>
                </c:pt>
                <c:pt idx="256">
                  <c:v>401.22737651054246</c:v>
                </c:pt>
                <c:pt idx="257">
                  <c:v>402.40252595242083</c:v>
                </c:pt>
                <c:pt idx="258">
                  <c:v>403.57364512570524</c:v>
                </c:pt>
                <c:pt idx="259">
                  <c:v>404.74073315192129</c:v>
                </c:pt>
                <c:pt idx="260">
                  <c:v>405.90378964953749</c:v>
                </c:pt>
                <c:pt idx="261">
                  <c:v>407.06281473396569</c:v>
                </c:pt>
                <c:pt idx="262">
                  <c:v>408.21780901756108</c:v>
                </c:pt>
                <c:pt idx="263">
                  <c:v>409.36877360962109</c:v>
                </c:pt>
                <c:pt idx="264">
                  <c:v>410.51571011638748</c:v>
                </c:pt>
                <c:pt idx="265">
                  <c:v>411.65862064104414</c:v>
                </c:pt>
                <c:pt idx="266">
                  <c:v>412.7975077837184</c:v>
                </c:pt>
                <c:pt idx="267">
                  <c:v>413.93237464148064</c:v>
                </c:pt>
                <c:pt idx="268">
                  <c:v>415.0632248083445</c:v>
                </c:pt>
                <c:pt idx="269">
                  <c:v>416.19006237526651</c:v>
                </c:pt>
                <c:pt idx="270">
                  <c:v>417.31289193014629</c:v>
                </c:pt>
                <c:pt idx="271">
                  <c:v>418.43171855782703</c:v>
                </c:pt>
                <c:pt idx="272">
                  <c:v>419.54654784009421</c:v>
                </c:pt>
                <c:pt idx="273">
                  <c:v>420.65738585567703</c:v>
                </c:pt>
                <c:pt idx="274">
                  <c:v>421.76423918024756</c:v>
                </c:pt>
                <c:pt idx="275">
                  <c:v>422.86711488642129</c:v>
                </c:pt>
                <c:pt idx="276">
                  <c:v>423.9660205437562</c:v>
                </c:pt>
                <c:pt idx="277">
                  <c:v>425.06096421875395</c:v>
                </c:pt>
                <c:pt idx="278">
                  <c:v>426.15195447485877</c:v>
                </c:pt>
                <c:pt idx="279">
                  <c:v>427.23900037245846</c:v>
                </c:pt>
                <c:pt idx="280">
                  <c:v>428.32211146888392</c:v>
                </c:pt>
                <c:pt idx="281">
                  <c:v>429.40129781840881</c:v>
                </c:pt>
                <c:pt idx="282">
                  <c:v>430.47656997224999</c:v>
                </c:pt>
                <c:pt idx="283">
                  <c:v>431.54793897856769</c:v>
                </c:pt>
                <c:pt idx="284">
                  <c:v>432.61541638246501</c:v>
                </c:pt>
                <c:pt idx="285">
                  <c:v>433.67901422598783</c:v>
                </c:pt>
                <c:pt idx="286">
                  <c:v>434.73874504812574</c:v>
                </c:pt>
                <c:pt idx="287">
                  <c:v>435.79462188481125</c:v>
                </c:pt>
                <c:pt idx="288">
                  <c:v>436.84665826892001</c:v>
                </c:pt>
                <c:pt idx="289">
                  <c:v>437.89486823027045</c:v>
                </c:pt>
                <c:pt idx="290">
                  <c:v>438.93926629562412</c:v>
                </c:pt>
                <c:pt idx="291">
                  <c:v>439.97986748868601</c:v>
                </c:pt>
                <c:pt idx="292">
                  <c:v>441.01668733010456</c:v>
                </c:pt>
                <c:pt idx="293">
                  <c:v>442.04974183746987</c:v>
                </c:pt>
                <c:pt idx="294">
                  <c:v>443.07904752531675</c:v>
                </c:pt>
                <c:pt idx="295">
                  <c:v>444.10462140512209</c:v>
                </c:pt>
                <c:pt idx="296">
                  <c:v>445.1264809853069</c:v>
                </c:pt>
                <c:pt idx="297">
                  <c:v>446.14464427123374</c:v>
                </c:pt>
                <c:pt idx="298">
                  <c:v>447.15912976520951</c:v>
                </c:pt>
                <c:pt idx="299">
                  <c:v>448.16995646648382</c:v>
                </c:pt>
                <c:pt idx="300">
                  <c:v>449.17714387124965</c:v>
                </c:pt>
                <c:pt idx="301">
                  <c:v>450.18071197264288</c:v>
                </c:pt>
                <c:pt idx="302">
                  <c:v>451.18068126074212</c:v>
                </c:pt>
                <c:pt idx="303">
                  <c:v>452.17707272256956</c:v>
                </c:pt>
                <c:pt idx="304">
                  <c:v>453.16990784209003</c:v>
                </c:pt>
                <c:pt idx="305">
                  <c:v>454.15920860021271</c:v>
                </c:pt>
                <c:pt idx="306">
                  <c:v>455.14499747478766</c:v>
                </c:pt>
                <c:pt idx="307">
                  <c:v>456.12729744061062</c:v>
                </c:pt>
                <c:pt idx="308">
                  <c:v>457.10613196941802</c:v>
                </c:pt>
                <c:pt idx="309">
                  <c:v>458.08152502989122</c:v>
                </c:pt>
                <c:pt idx="310">
                  <c:v>459.05350108765396</c:v>
                </c:pt>
                <c:pt idx="311">
                  <c:v>460.02208510527265</c:v>
                </c:pt>
                <c:pt idx="312">
                  <c:v>460.98730254225757</c:v>
                </c:pt>
                <c:pt idx="313">
                  <c:v>461.94917935506197</c:v>
                </c:pt>
                <c:pt idx="314">
                  <c:v>462.90774199708147</c:v>
                </c:pt>
                <c:pt idx="315">
                  <c:v>463.86301741865572</c:v>
                </c:pt>
                <c:pt idx="316">
                  <c:v>464.81503306706702</c:v>
                </c:pt>
                <c:pt idx="317">
                  <c:v>465.76381688654072</c:v>
                </c:pt>
                <c:pt idx="318">
                  <c:v>466.70939731824569</c:v>
                </c:pt>
                <c:pt idx="319">
                  <c:v>467.65180330029318</c:v>
                </c:pt>
                <c:pt idx="320">
                  <c:v>468.59106426773809</c:v>
                </c:pt>
                <c:pt idx="321">
                  <c:v>469.52721015257873</c:v>
                </c:pt>
                <c:pt idx="322">
                  <c:v>470.46027138375524</c:v>
                </c:pt>
                <c:pt idx="323">
                  <c:v>471.39027888715214</c:v>
                </c:pt>
                <c:pt idx="324">
                  <c:v>472.31726408559638</c:v>
                </c:pt>
                <c:pt idx="325">
                  <c:v>473.2412588988588</c:v>
                </c:pt>
                <c:pt idx="326">
                  <c:v>474.16229574365246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1-4D14-9984-33B71950F7F1}"/>
            </c:ext>
          </c:extLst>
        </c:ser>
        <c:ser>
          <c:idx val="1"/>
          <c:order val="1"/>
          <c:tx>
            <c:v>krydstyr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tyr'!$G$3:$G$335</c:f>
              <c:numCache>
                <c:formatCode>0.0</c:formatCode>
                <c:ptCount val="333"/>
                <c:pt idx="0">
                  <c:v>72.725265665356659</c:v>
                </c:pt>
                <c:pt idx="1">
                  <c:v>73.461732705270038</c:v>
                </c:pt>
                <c:pt idx="2">
                  <c:v>74.209285179064608</c:v>
                </c:pt>
                <c:pt idx="3">
                  <c:v>74.967807605557994</c:v>
                </c:pt>
                <c:pt idx="4">
                  <c:v>75.737184963060869</c:v>
                </c:pt>
                <c:pt idx="5">
                  <c:v>76.517302689377004</c:v>
                </c:pt>
                <c:pt idx="6">
                  <c:v>77.308046681803262</c:v>
                </c:pt>
                <c:pt idx="7">
                  <c:v>78.109303297129614</c:v>
                </c:pt>
                <c:pt idx="8">
                  <c:v>78.920959351639127</c:v>
                </c:pt>
                <c:pt idx="9">
                  <c:v>79.74290212110796</c:v>
                </c:pt>
                <c:pt idx="10">
                  <c:v>80.575019340805341</c:v>
                </c:pt>
                <c:pt idx="11">
                  <c:v>81.417199205493588</c:v>
                </c:pt>
                <c:pt idx="12">
                  <c:v>82.269330369428204</c:v>
                </c:pt>
                <c:pt idx="13">
                  <c:v>83.131301946357667</c:v>
                </c:pt>
                <c:pt idx="14">
                  <c:v>84.003003509523623</c:v>
                </c:pt>
                <c:pt idx="15">
                  <c:v>84.88432509166077</c:v>
                </c:pt>
                <c:pt idx="16">
                  <c:v>85.775157184996914</c:v>
                </c:pt>
                <c:pt idx="17">
                  <c:v>86.675390741252983</c:v>
                </c:pt>
                <c:pt idx="18">
                  <c:v>87.584917171642971</c:v>
                </c:pt>
                <c:pt idx="19">
                  <c:v>88.503628346873953</c:v>
                </c:pt>
                <c:pt idx="20">
                  <c:v>89.431416597146125</c:v>
                </c:pt>
                <c:pt idx="21">
                  <c:v>90.368174712152779</c:v>
                </c:pt>
                <c:pt idx="22">
                  <c:v>91.313795941080286</c:v>
                </c:pt>
                <c:pt idx="23">
                  <c:v>92.268173992608098</c:v>
                </c:pt>
                <c:pt idx="24">
                  <c:v>93.231203034908788</c:v>
                </c:pt>
                <c:pt idx="25">
                  <c:v>94.20277769564801</c:v>
                </c:pt>
                <c:pt idx="26">
                  <c:v>95.182793061984526</c:v>
                </c:pt>
                <c:pt idx="27">
                  <c:v>96.171144680570151</c:v>
                </c:pt>
                <c:pt idx="28">
                  <c:v>97.235065305994439</c:v>
                </c:pt>
                <c:pt idx="29">
                  <c:v>98.307663893561084</c:v>
                </c:pt>
                <c:pt idx="30">
                  <c:v>99.388830403883063</c:v>
                </c:pt>
                <c:pt idx="31">
                  <c:v>100.47845528811325</c:v>
                </c:pt>
                <c:pt idx="32">
                  <c:v>101.57642948794448</c:v>
                </c:pt>
                <c:pt idx="33">
                  <c:v>102.68264443560946</c:v>
                </c:pt>
                <c:pt idx="34">
                  <c:v>103.79699205388089</c:v>
                </c:pt>
                <c:pt idx="35">
                  <c:v>104.91936475607127</c:v>
                </c:pt>
                <c:pt idx="36">
                  <c:v>106.04965544603317</c:v>
                </c:pt>
                <c:pt idx="37">
                  <c:v>107.187757518159</c:v>
                </c:pt>
                <c:pt idx="38">
                  <c:v>108.33356485738111</c:v>
                </c:pt>
                <c:pt idx="39">
                  <c:v>109.48697183917183</c:v>
                </c:pt>
                <c:pt idx="40">
                  <c:v>110.6478733295433</c:v>
                </c:pt>
                <c:pt idx="41">
                  <c:v>111.81616468504768</c:v>
                </c:pt>
                <c:pt idx="42">
                  <c:v>112.99174175277699</c:v>
                </c:pt>
                <c:pt idx="43">
                  <c:v>114.17450087036326</c:v>
                </c:pt>
                <c:pt idx="44">
                  <c:v>115.3643388659784</c:v>
                </c:pt>
                <c:pt idx="45">
                  <c:v>116.5611530583342</c:v>
                </c:pt>
                <c:pt idx="46">
                  <c:v>117.76484125668239</c:v>
                </c:pt>
                <c:pt idx="47">
                  <c:v>118.9753017608147</c:v>
                </c:pt>
                <c:pt idx="48">
                  <c:v>120.19243336106273</c:v>
                </c:pt>
                <c:pt idx="49">
                  <c:v>121.41613533829796</c:v>
                </c:pt>
                <c:pt idx="50">
                  <c:v>122.64630746393189</c:v>
                </c:pt>
                <c:pt idx="51">
                  <c:v>123.88284999991589</c:v>
                </c:pt>
                <c:pt idx="52">
                  <c:v>125.12566369874121</c:v>
                </c:pt>
                <c:pt idx="53">
                  <c:v>126.37464980343913</c:v>
                </c:pt>
                <c:pt idx="54">
                  <c:v>127.62971004758082</c:v>
                </c:pt>
                <c:pt idx="55">
                  <c:v>128.89074665527721</c:v>
                </c:pt>
                <c:pt idx="56">
                  <c:v>130.1576623411795</c:v>
                </c:pt>
                <c:pt idx="57">
                  <c:v>131.43036031047853</c:v>
                </c:pt>
                <c:pt idx="58">
                  <c:v>132.70874425890509</c:v>
                </c:pt>
                <c:pt idx="59">
                  <c:v>133.99271837273005</c:v>
                </c:pt>
                <c:pt idx="60">
                  <c:v>135.282187328764</c:v>
                </c:pt>
                <c:pt idx="61">
                  <c:v>136.57705629435762</c:v>
                </c:pt>
                <c:pt idx="62">
                  <c:v>137.87723092740151</c:v>
                </c:pt>
                <c:pt idx="63">
                  <c:v>139.18261737632608</c:v>
                </c:pt>
                <c:pt idx="64">
                  <c:v>140.49312228010169</c:v>
                </c:pt>
                <c:pt idx="65">
                  <c:v>141.80865276823869</c:v>
                </c:pt>
                <c:pt idx="66">
                  <c:v>143.12911646078743</c:v>
                </c:pt>
                <c:pt idx="67">
                  <c:v>144.4544214683379</c:v>
                </c:pt>
                <c:pt idx="68">
                  <c:v>145.78447639202034</c:v>
                </c:pt>
                <c:pt idx="69">
                  <c:v>147.11919032350471</c:v>
                </c:pt>
                <c:pt idx="70">
                  <c:v>148.45847284500093</c:v>
                </c:pt>
                <c:pt idx="71">
                  <c:v>149.8022340292589</c:v>
                </c:pt>
                <c:pt idx="72">
                  <c:v>151.15038443956846</c:v>
                </c:pt>
                <c:pt idx="73">
                  <c:v>152.50283512975923</c:v>
                </c:pt>
                <c:pt idx="74">
                  <c:v>153.8594976442009</c:v>
                </c:pt>
                <c:pt idx="75">
                  <c:v>155.22028401780301</c:v>
                </c:pt>
                <c:pt idx="76">
                  <c:v>156.58510677601515</c:v>
                </c:pt>
                <c:pt idx="77">
                  <c:v>157.95387893482663</c:v>
                </c:pt>
                <c:pt idx="78">
                  <c:v>159.34388912818378</c:v>
                </c:pt>
                <c:pt idx="79">
                  <c:v>160.73772403465281</c:v>
                </c:pt>
                <c:pt idx="80">
                  <c:v>162.13529705940758</c:v>
                </c:pt>
                <c:pt idx="81">
                  <c:v>163.5365221043713</c:v>
                </c:pt>
                <c:pt idx="82">
                  <c:v>164.94131356821629</c:v>
                </c:pt>
                <c:pt idx="83">
                  <c:v>166.34958634636439</c:v>
                </c:pt>
                <c:pt idx="84">
                  <c:v>167.76125583098656</c:v>
                </c:pt>
                <c:pt idx="85">
                  <c:v>169.1762379110032</c:v>
                </c:pt>
                <c:pt idx="86">
                  <c:v>170.59444897208382</c:v>
                </c:pt>
                <c:pt idx="87">
                  <c:v>172.01580589664738</c:v>
                </c:pt>
                <c:pt idx="88">
                  <c:v>173.4402260638621</c:v>
                </c:pt>
                <c:pt idx="89">
                  <c:v>174.86762734964537</c:v>
                </c:pt>
                <c:pt idx="90">
                  <c:v>176.297928126664</c:v>
                </c:pt>
                <c:pt idx="91">
                  <c:v>177.73104726433414</c:v>
                </c:pt>
                <c:pt idx="92">
                  <c:v>179.1669041288209</c:v>
                </c:pt>
                <c:pt idx="93">
                  <c:v>180.60541858303921</c:v>
                </c:pt>
                <c:pt idx="94">
                  <c:v>182.04651098665292</c:v>
                </c:pt>
                <c:pt idx="95">
                  <c:v>183.4901021960751</c:v>
                </c:pt>
                <c:pt idx="96">
                  <c:v>184.93611356446846</c:v>
                </c:pt>
                <c:pt idx="97">
                  <c:v>186.38446694174465</c:v>
                </c:pt>
                <c:pt idx="98">
                  <c:v>187.83508467456491</c:v>
                </c:pt>
                <c:pt idx="99">
                  <c:v>189.28788960633955</c:v>
                </c:pt>
                <c:pt idx="100">
                  <c:v>190.74280507722821</c:v>
                </c:pt>
                <c:pt idx="101">
                  <c:v>192.19975492413994</c:v>
                </c:pt>
                <c:pt idx="102">
                  <c:v>193.65866348073294</c:v>
                </c:pt>
                <c:pt idx="103">
                  <c:v>195.11945557741481</c:v>
                </c:pt>
                <c:pt idx="104">
                  <c:v>196.58205654134241</c:v>
                </c:pt>
                <c:pt idx="105">
                  <c:v>198.04639219642183</c:v>
                </c:pt>
                <c:pt idx="106">
                  <c:v>199.51238886330844</c:v>
                </c:pt>
                <c:pt idx="107">
                  <c:v>200.97997335940701</c:v>
                </c:pt>
                <c:pt idx="108">
                  <c:v>202.44907299887157</c:v>
                </c:pt>
                <c:pt idx="109">
                  <c:v>203.9196155926054</c:v>
                </c:pt>
                <c:pt idx="110">
                  <c:v>205.391529448261</c:v>
                </c:pt>
                <c:pt idx="111">
                  <c:v>206.86474337024035</c:v>
                </c:pt>
                <c:pt idx="112">
                  <c:v>208.33918665969466</c:v>
                </c:pt>
                <c:pt idx="113">
                  <c:v>209.8147891145243</c:v>
                </c:pt>
                <c:pt idx="114">
                  <c:v>211.29148102937901</c:v>
                </c:pt>
                <c:pt idx="115">
                  <c:v>212.76919319565786</c:v>
                </c:pt>
                <c:pt idx="116">
                  <c:v>214.24785690150921</c:v>
                </c:pt>
                <c:pt idx="117">
                  <c:v>215.72740393183057</c:v>
                </c:pt>
                <c:pt idx="118">
                  <c:v>217.20776656826897</c:v>
                </c:pt>
                <c:pt idx="119">
                  <c:v>218.68887758922062</c:v>
                </c:pt>
                <c:pt idx="120">
                  <c:v>220.17067026983088</c:v>
                </c:pt>
                <c:pt idx="121">
                  <c:v>221.65307838199476</c:v>
                </c:pt>
                <c:pt idx="122">
                  <c:v>223.13603619435605</c:v>
                </c:pt>
                <c:pt idx="123">
                  <c:v>224.61947847230829</c:v>
                </c:pt>
                <c:pt idx="124">
                  <c:v>226.10334047799424</c:v>
                </c:pt>
                <c:pt idx="125">
                  <c:v>227.5875579703056</c:v>
                </c:pt>
                <c:pt idx="126">
                  <c:v>229.07206720488375</c:v>
                </c:pt>
                <c:pt idx="127">
                  <c:v>230.55680493411916</c:v>
                </c:pt>
                <c:pt idx="128">
                  <c:v>232.04170840715176</c:v>
                </c:pt>
                <c:pt idx="129">
                  <c:v>233.52671536987057</c:v>
                </c:pt>
                <c:pt idx="130">
                  <c:v>235.01176406491393</c:v>
                </c:pt>
                <c:pt idx="131">
                  <c:v>236.49679323166961</c:v>
                </c:pt>
                <c:pt idx="132">
                  <c:v>237.98174210627474</c:v>
                </c:pt>
                <c:pt idx="133">
                  <c:v>239.4665504216153</c:v>
                </c:pt>
                <c:pt idx="134">
                  <c:v>240.95115840732703</c:v>
                </c:pt>
                <c:pt idx="135">
                  <c:v>242.43550678979486</c:v>
                </c:pt>
                <c:pt idx="136">
                  <c:v>243.91953679215274</c:v>
                </c:pt>
                <c:pt idx="137">
                  <c:v>245.40319013428416</c:v>
                </c:pt>
                <c:pt idx="138">
                  <c:v>246.88640903282189</c:v>
                </c:pt>
                <c:pt idx="139">
                  <c:v>248.36913620114802</c:v>
                </c:pt>
                <c:pt idx="140">
                  <c:v>249.85131484939376</c:v>
                </c:pt>
                <c:pt idx="141">
                  <c:v>251.33288868443969</c:v>
                </c:pt>
                <c:pt idx="142">
                  <c:v>252.81380190991578</c:v>
                </c:pt>
                <c:pt idx="143">
                  <c:v>254.29399922620112</c:v>
                </c:pt>
                <c:pt idx="144">
                  <c:v>255.77342583042423</c:v>
                </c:pt>
                <c:pt idx="145">
                  <c:v>257.25202741646302</c:v>
                </c:pt>
                <c:pt idx="146">
                  <c:v>258.72975017494434</c:v>
                </c:pt>
                <c:pt idx="147">
                  <c:v>260.20654079324447</c:v>
                </c:pt>
                <c:pt idx="148">
                  <c:v>261.68234645548921</c:v>
                </c:pt>
                <c:pt idx="149">
                  <c:v>263.15711484255354</c:v>
                </c:pt>
                <c:pt idx="150">
                  <c:v>264.63079413206145</c:v>
                </c:pt>
                <c:pt idx="151">
                  <c:v>266.10333299838675</c:v>
                </c:pt>
                <c:pt idx="152">
                  <c:v>267.57468061265189</c:v>
                </c:pt>
                <c:pt idx="153">
                  <c:v>269.04478664272926</c:v>
                </c:pt>
                <c:pt idx="154">
                  <c:v>270.51360125324015</c:v>
                </c:pt>
                <c:pt idx="155">
                  <c:v>271.98107510555513</c:v>
                </c:pt>
                <c:pt idx="156">
                  <c:v>273.44715935779419</c:v>
                </c:pt>
                <c:pt idx="157">
                  <c:v>274.91180566482666</c:v>
                </c:pt>
                <c:pt idx="158">
                  <c:v>276.37496617827099</c:v>
                </c:pt>
                <c:pt idx="159">
                  <c:v>277.83659354649518</c:v>
                </c:pt>
                <c:pt idx="160">
                  <c:v>279.29664091461603</c:v>
                </c:pt>
                <c:pt idx="161">
                  <c:v>280.75506192450047</c:v>
                </c:pt>
                <c:pt idx="162">
                  <c:v>282.21181071476366</c:v>
                </c:pt>
                <c:pt idx="163">
                  <c:v>283.66684192077093</c:v>
                </c:pt>
                <c:pt idx="164">
                  <c:v>285.12011067463641</c:v>
                </c:pt>
                <c:pt idx="165">
                  <c:v>286.57157260522371</c:v>
                </c:pt>
                <c:pt idx="166">
                  <c:v>288.02118383814593</c:v>
                </c:pt>
                <c:pt idx="167">
                  <c:v>289.4892114085776</c:v>
                </c:pt>
                <c:pt idx="168">
                  <c:v>291.00728062007624</c:v>
                </c:pt>
                <c:pt idx="169">
                  <c:v>292.52327152422748</c:v>
                </c:pt>
                <c:pt idx="170">
                  <c:v>294.03714013927168</c:v>
                </c:pt>
                <c:pt idx="171">
                  <c:v>295.54884300503619</c:v>
                </c:pt>
                <c:pt idx="172">
                  <c:v>297.0583371829353</c:v>
                </c:pt>
                <c:pt idx="173">
                  <c:v>298.56558025596939</c:v>
                </c:pt>
                <c:pt idx="174">
                  <c:v>300.07053032872636</c:v>
                </c:pt>
                <c:pt idx="175">
                  <c:v>301.57314602738029</c:v>
                </c:pt>
                <c:pt idx="176">
                  <c:v>303.07338649969233</c:v>
                </c:pt>
                <c:pt idx="177">
                  <c:v>304.5712114150104</c:v>
                </c:pt>
                <c:pt idx="178">
                  <c:v>306.06658096426895</c:v>
                </c:pt>
                <c:pt idx="179">
                  <c:v>307.55945585998927</c:v>
                </c:pt>
                <c:pt idx="180">
                  <c:v>309.04979733627954</c:v>
                </c:pt>
                <c:pt idx="181">
                  <c:v>310.53756714883457</c:v>
                </c:pt>
                <c:pt idx="182">
                  <c:v>312.02272757493597</c:v>
                </c:pt>
                <c:pt idx="183">
                  <c:v>313.50524141345221</c:v>
                </c:pt>
                <c:pt idx="184">
                  <c:v>314.98507198483821</c:v>
                </c:pt>
                <c:pt idx="185">
                  <c:v>316.46218313113587</c:v>
                </c:pt>
                <c:pt idx="186">
                  <c:v>317.93653921597388</c:v>
                </c:pt>
                <c:pt idx="187">
                  <c:v>319.4081051245675</c:v>
                </c:pt>
                <c:pt idx="188">
                  <c:v>320.87684626371907</c:v>
                </c:pt>
                <c:pt idx="189">
                  <c:v>322.34272856181718</c:v>
                </c:pt>
                <c:pt idx="190">
                  <c:v>323.80571846883765</c:v>
                </c:pt>
                <c:pt idx="191">
                  <c:v>325.26578295634295</c:v>
                </c:pt>
                <c:pt idx="192">
                  <c:v>326.72288951748203</c:v>
                </c:pt>
                <c:pt idx="193">
                  <c:v>328.17700616699091</c:v>
                </c:pt>
                <c:pt idx="194">
                  <c:v>329.62810144119226</c:v>
                </c:pt>
                <c:pt idx="195">
                  <c:v>331.07614439799539</c:v>
                </c:pt>
                <c:pt idx="196">
                  <c:v>332.52110461689659</c:v>
                </c:pt>
                <c:pt idx="197">
                  <c:v>333.96295219897888</c:v>
                </c:pt>
                <c:pt idx="198">
                  <c:v>335.40165776691163</c:v>
                </c:pt>
                <c:pt idx="199">
                  <c:v>336.83719246495144</c:v>
                </c:pt>
                <c:pt idx="200">
                  <c:v>338.26952795894181</c:v>
                </c:pt>
                <c:pt idx="201">
                  <c:v>339.69863643631214</c:v>
                </c:pt>
                <c:pt idx="202">
                  <c:v>341.12449060607935</c:v>
                </c:pt>
                <c:pt idx="203">
                  <c:v>342.54706369884696</c:v>
                </c:pt>
                <c:pt idx="204">
                  <c:v>343.96632946680535</c:v>
                </c:pt>
                <c:pt idx="205">
                  <c:v>345.38226218373109</c:v>
                </c:pt>
                <c:pt idx="206">
                  <c:v>346.79483664498821</c:v>
                </c:pt>
                <c:pt idx="207">
                  <c:v>348.20402816752716</c:v>
                </c:pt>
                <c:pt idx="208">
                  <c:v>349.60981258988488</c:v>
                </c:pt>
                <c:pt idx="209">
                  <c:v>351.01216627218582</c:v>
                </c:pt>
                <c:pt idx="210">
                  <c:v>352.41106609614036</c:v>
                </c:pt>
                <c:pt idx="211">
                  <c:v>353.80648946504613</c:v>
                </c:pt>
                <c:pt idx="212">
                  <c:v>355.19841430378744</c:v>
                </c:pt>
                <c:pt idx="213">
                  <c:v>356.58681905883515</c:v>
                </c:pt>
                <c:pt idx="214">
                  <c:v>357.97168269824721</c:v>
                </c:pt>
                <c:pt idx="215">
                  <c:v>359.35298471166806</c:v>
                </c:pt>
                <c:pt idx="216">
                  <c:v>360.73070511032893</c:v>
                </c:pt>
                <c:pt idx="217">
                  <c:v>362.1048244270479</c:v>
                </c:pt>
                <c:pt idx="218">
                  <c:v>363.47532371622975</c:v>
                </c:pt>
                <c:pt idx="219">
                  <c:v>364.8421845538661</c:v>
                </c:pt>
                <c:pt idx="220">
                  <c:v>366.20538903753504</c:v>
                </c:pt>
                <c:pt idx="221">
                  <c:v>367.5649197864019</c:v>
                </c:pt>
                <c:pt idx="222">
                  <c:v>368.92075994121825</c:v>
                </c:pt>
                <c:pt idx="223">
                  <c:v>370.2728931643228</c:v>
                </c:pt>
                <c:pt idx="224">
                  <c:v>371.62130363964064</c:v>
                </c:pt>
                <c:pt idx="225">
                  <c:v>372.96597607268427</c:v>
                </c:pt>
                <c:pt idx="226">
                  <c:v>374.30689569055221</c:v>
                </c:pt>
                <c:pt idx="227">
                  <c:v>375.64404824193008</c:v>
                </c:pt>
                <c:pt idx="228">
                  <c:v>376.97741999709024</c:v>
                </c:pt>
                <c:pt idx="229">
                  <c:v>378.30699774789178</c:v>
                </c:pt>
                <c:pt idx="230">
                  <c:v>379.63276880778051</c:v>
                </c:pt>
                <c:pt idx="231">
                  <c:v>380.95472101178927</c:v>
                </c:pt>
                <c:pt idx="232">
                  <c:v>382.27284271653707</c:v>
                </c:pt>
                <c:pt idx="233">
                  <c:v>383.58712280023025</c:v>
                </c:pt>
                <c:pt idx="234">
                  <c:v>384.89755066266173</c:v>
                </c:pt>
                <c:pt idx="235">
                  <c:v>386.2041162252109</c:v>
                </c:pt>
                <c:pt idx="236">
                  <c:v>387.50680993084438</c:v>
                </c:pt>
                <c:pt idx="237">
                  <c:v>388.80562274411506</c:v>
                </c:pt>
                <c:pt idx="238">
                  <c:v>390.10054615116314</c:v>
                </c:pt>
                <c:pt idx="239">
                  <c:v>391.39157215971517</c:v>
                </c:pt>
                <c:pt idx="240">
                  <c:v>392.67869329908439</c:v>
                </c:pt>
                <c:pt idx="241">
                  <c:v>393.96190262017092</c:v>
                </c:pt>
                <c:pt idx="242">
                  <c:v>395.24119369546207</c:v>
                </c:pt>
                <c:pt idx="243">
                  <c:v>396.51656061903117</c:v>
                </c:pt>
                <c:pt idx="244">
                  <c:v>397.78799800653877</c:v>
                </c:pt>
                <c:pt idx="245">
                  <c:v>399.05550099523197</c:v>
                </c:pt>
                <c:pt idx="246">
                  <c:v>400.31906524394464</c:v>
                </c:pt>
                <c:pt idx="247">
                  <c:v>401.5786869330978</c:v>
                </c:pt>
                <c:pt idx="248">
                  <c:v>402.8343627646986</c:v>
                </c:pt>
                <c:pt idx="249">
                  <c:v>404.08608996234125</c:v>
                </c:pt>
                <c:pt idx="250">
                  <c:v>405.333866271207</c:v>
                </c:pt>
                <c:pt idx="251">
                  <c:v>406.57768995806288</c:v>
                </c:pt>
                <c:pt idx="252">
                  <c:v>407.81755981126429</c:v>
                </c:pt>
                <c:pt idx="253">
                  <c:v>409.05347514075174</c:v>
                </c:pt>
                <c:pt idx="254">
                  <c:v>410.28543577805357</c:v>
                </c:pt>
                <c:pt idx="255">
                  <c:v>411.51344207628438</c:v>
                </c:pt>
                <c:pt idx="256">
                  <c:v>412.73749491014541</c:v>
                </c:pt>
                <c:pt idx="257">
                  <c:v>413.95759567592557</c:v>
                </c:pt>
                <c:pt idx="258">
                  <c:v>415.17374629149924</c:v>
                </c:pt>
                <c:pt idx="259">
                  <c:v>416.38594919632845</c:v>
                </c:pt>
                <c:pt idx="260">
                  <c:v>417.59420735146159</c:v>
                </c:pt>
                <c:pt idx="261">
                  <c:v>418.79852423953412</c:v>
                </c:pt>
                <c:pt idx="262">
                  <c:v>419.9989038647679</c:v>
                </c:pt>
                <c:pt idx="263">
                  <c:v>421.19535075297148</c:v>
                </c:pt>
                <c:pt idx="264">
                  <c:v>422.38786995154089</c:v>
                </c:pt>
                <c:pt idx="265">
                  <c:v>423.57646702945817</c:v>
                </c:pt>
                <c:pt idx="266">
                  <c:v>424.76114807729221</c:v>
                </c:pt>
                <c:pt idx="267">
                  <c:v>425.94191970719896</c:v>
                </c:pt>
                <c:pt idx="268">
                  <c:v>427.11878905292116</c:v>
                </c:pt>
                <c:pt idx="269">
                  <c:v>428.29176376978774</c:v>
                </c:pt>
                <c:pt idx="270">
                  <c:v>429.46085203471512</c:v>
                </c:pt>
                <c:pt idx="271">
                  <c:v>430.62606254620579</c:v>
                </c:pt>
                <c:pt idx="272">
                  <c:v>431.7874045243496</c:v>
                </c:pt>
                <c:pt idx="273">
                  <c:v>432.94488771082285</c:v>
                </c:pt>
                <c:pt idx="274">
                  <c:v>434.09852236888844</c:v>
                </c:pt>
                <c:pt idx="275">
                  <c:v>435.24831928339614</c:v>
                </c:pt>
                <c:pt idx="276">
                  <c:v>436.39428976078273</c:v>
                </c:pt>
                <c:pt idx="277">
                  <c:v>437.53644562907175</c:v>
                </c:pt>
                <c:pt idx="278">
                  <c:v>438.67479923787312</c:v>
                </c:pt>
                <c:pt idx="279">
                  <c:v>439.8093634583837</c:v>
                </c:pt>
                <c:pt idx="280">
                  <c:v>440.9401516833866</c:v>
                </c:pt>
                <c:pt idx="281">
                  <c:v>442.06717782725309</c:v>
                </c:pt>
                <c:pt idx="282">
                  <c:v>443.19045632593981</c:v>
                </c:pt>
                <c:pt idx="283">
                  <c:v>444.31000213699082</c:v>
                </c:pt>
                <c:pt idx="284">
                  <c:v>445.42583073953648</c:v>
                </c:pt>
                <c:pt idx="285">
                  <c:v>446.5379581342944</c:v>
                </c:pt>
                <c:pt idx="286">
                  <c:v>447.64640084356881</c:v>
                </c:pt>
                <c:pt idx="287">
                  <c:v>448.7511759112503</c:v>
                </c:pt>
                <c:pt idx="288">
                  <c:v>449.85230090281686</c:v>
                </c:pt>
                <c:pt idx="289">
                  <c:v>450.94979390533251</c:v>
                </c:pt>
                <c:pt idx="290">
                  <c:v>452.04367352744902</c:v>
                </c:pt>
                <c:pt idx="291">
                  <c:v>453.13395889940369</c:v>
                </c:pt>
                <c:pt idx="292">
                  <c:v>454.22066967302152</c:v>
                </c:pt>
                <c:pt idx="293">
                  <c:v>455.30382602171375</c:v>
                </c:pt>
                <c:pt idx="294">
                  <c:v>456.38344864047906</c:v>
                </c:pt>
                <c:pt idx="295">
                  <c:v>457.45955874590175</c:v>
                </c:pt>
                <c:pt idx="296">
                  <c:v>458.53217807615391</c:v>
                </c:pt>
                <c:pt idx="297">
                  <c:v>459.60132889099395</c:v>
                </c:pt>
                <c:pt idx="298">
                  <c:v>460.66703397176713</c:v>
                </c:pt>
                <c:pt idx="299">
                  <c:v>461.72931662140513</c:v>
                </c:pt>
                <c:pt idx="300">
                  <c:v>462.78820066442699</c:v>
                </c:pt>
                <c:pt idx="301">
                  <c:v>463.84371044693785</c:v>
                </c:pt>
                <c:pt idx="302">
                  <c:v>464.89587083663031</c:v>
                </c:pt>
                <c:pt idx="303">
                  <c:v>465.94470722278339</c:v>
                </c:pt>
                <c:pt idx="304">
                  <c:v>466.99024551626218</c:v>
                </c:pt>
                <c:pt idx="305">
                  <c:v>468.03251214952024</c:v>
                </c:pt>
                <c:pt idx="306">
                  <c:v>469.07153407659587</c:v>
                </c:pt>
                <c:pt idx="307">
                  <c:v>470.10733877311549</c:v>
                </c:pt>
                <c:pt idx="308">
                  <c:v>471.13995423629183</c:v>
                </c:pt>
                <c:pt idx="309">
                  <c:v>472.16940898492425</c:v>
                </c:pt>
                <c:pt idx="310">
                  <c:v>473.1957320593994</c:v>
                </c:pt>
                <c:pt idx="311">
                  <c:v>474.2189530216898</c:v>
                </c:pt>
                <c:pt idx="312">
                  <c:v>475.23910195535581</c:v>
                </c:pt>
                <c:pt idx="313">
                  <c:v>476.25620946554352</c:v>
                </c:pt>
                <c:pt idx="314">
                  <c:v>477.27030667898629</c:v>
                </c:pt>
                <c:pt idx="315">
                  <c:v>478.28142524400414</c:v>
                </c:pt>
                <c:pt idx="316">
                  <c:v>479.28959733050442</c:v>
                </c:pt>
                <c:pt idx="317">
                  <c:v>480.29485562997979</c:v>
                </c:pt>
                <c:pt idx="318">
                  <c:v>481.29723335551159</c:v>
                </c:pt>
                <c:pt idx="319">
                  <c:v>482.29676424176586</c:v>
                </c:pt>
                <c:pt idx="320">
                  <c:v>483.29348254499712</c:v>
                </c:pt>
                <c:pt idx="321">
                  <c:v>484.28742304304586</c:v>
                </c:pt>
                <c:pt idx="322">
                  <c:v>485.27862103533909</c:v>
                </c:pt>
                <c:pt idx="323">
                  <c:v>486.26711234289132</c:v>
                </c:pt>
                <c:pt idx="324">
                  <c:v>487.25293330830289</c:v>
                </c:pt>
                <c:pt idx="325">
                  <c:v>488.23612079576213</c:v>
                </c:pt>
                <c:pt idx="326">
                  <c:v>489.21671219104263</c:v>
                </c:pt>
                <c:pt idx="327">
                  <c:v>490.194745401506</c:v>
                </c:pt>
                <c:pt idx="328">
                  <c:v>491.17025885609974</c:v>
                </c:pt>
                <c:pt idx="329">
                  <c:v>492.14329150535923</c:v>
                </c:pt>
                <c:pt idx="330">
                  <c:v>493.1138828214049</c:v>
                </c:pt>
                <c:pt idx="331">
                  <c:v>494.08207279794522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6-47B5-8FE8-88C65D57B510}"/>
            </c:ext>
          </c:extLst>
        </c:ser>
        <c:ser>
          <c:idx val="2"/>
          <c:order val="2"/>
          <c:tx>
            <c:v>kryds kvie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'Vækstfunktion, kry kvie'!$G$3:$G$335</c:f>
              <c:numCache>
                <c:formatCode>0.0</c:formatCode>
                <c:ptCount val="333"/>
                <c:pt idx="0">
                  <c:v>68.659984725233073</c:v>
                </c:pt>
                <c:pt idx="1">
                  <c:v>69.331415902771667</c:v>
                </c:pt>
                <c:pt idx="2">
                  <c:v>70.014172103551431</c:v>
                </c:pt>
                <c:pt idx="3">
                  <c:v>70.70813237822486</c:v>
                </c:pt>
                <c:pt idx="4">
                  <c:v>71.413176257161396</c:v>
                </c:pt>
                <c:pt idx="5">
                  <c:v>72.129183750447353</c:v>
                </c:pt>
                <c:pt idx="6">
                  <c:v>72.856035347885964</c:v>
                </c:pt>
                <c:pt idx="7">
                  <c:v>73.593612018997305</c:v>
                </c:pt>
                <c:pt idx="8">
                  <c:v>74.341795213018401</c:v>
                </c:pt>
                <c:pt idx="9">
                  <c:v>75.100466858903175</c:v>
                </c:pt>
                <c:pt idx="10">
                  <c:v>75.869509365322358</c:v>
                </c:pt>
                <c:pt idx="11">
                  <c:v>76.648805620663708</c:v>
                </c:pt>
                <c:pt idx="12">
                  <c:v>77.438238993031788</c:v>
                </c:pt>
                <c:pt idx="13">
                  <c:v>78.237693330248064</c:v>
                </c:pt>
                <c:pt idx="14">
                  <c:v>79.047052959850973</c:v>
                </c:pt>
                <c:pt idx="15">
                  <c:v>79.866202689095715</c:v>
                </c:pt>
                <c:pt idx="16">
                  <c:v>80.69502780495452</c:v>
                </c:pt>
                <c:pt idx="17">
                  <c:v>81.533414074116422</c:v>
                </c:pt>
                <c:pt idx="18">
                  <c:v>82.381247742987384</c:v>
                </c:pt>
                <c:pt idx="19">
                  <c:v>83.238415537690287</c:v>
                </c:pt>
                <c:pt idx="20">
                  <c:v>84.104804664064858</c:v>
                </c:pt>
                <c:pt idx="21">
                  <c:v>84.980302807667769</c:v>
                </c:pt>
                <c:pt idx="22">
                  <c:v>85.864798133772538</c:v>
                </c:pt>
                <c:pt idx="23">
                  <c:v>86.758179287369643</c:v>
                </c:pt>
                <c:pt idx="24">
                  <c:v>87.660335393166392</c:v>
                </c:pt>
                <c:pt idx="25">
                  <c:v>88.571156055587011</c:v>
                </c:pt>
                <c:pt idx="26">
                  <c:v>89.490531358772643</c:v>
                </c:pt>
                <c:pt idx="27">
                  <c:v>90.418351866581318</c:v>
                </c:pt>
                <c:pt idx="28">
                  <c:v>91.392563775271128</c:v>
                </c:pt>
                <c:pt idx="29">
                  <c:v>92.375337917706375</c:v>
                </c:pt>
                <c:pt idx="30">
                  <c:v>93.366561906774223</c:v>
                </c:pt>
                <c:pt idx="31">
                  <c:v>94.3661238545793</c:v>
                </c:pt>
                <c:pt idx="32">
                  <c:v>95.373912372443925</c:v>
                </c:pt>
                <c:pt idx="33">
                  <c:v>96.389816570907911</c:v>
                </c:pt>
                <c:pt idx="34">
                  <c:v>97.413726059728759</c:v>
                </c:pt>
                <c:pt idx="35">
                  <c:v>98.445530947881466</c:v>
                </c:pt>
                <c:pt idx="36">
                  <c:v>99.485121843558659</c:v>
                </c:pt>
                <c:pt idx="37">
                  <c:v>100.53238985417049</c:v>
                </c:pt>
                <c:pt idx="38">
                  <c:v>101.58722658634477</c:v>
                </c:pt>
                <c:pt idx="39">
                  <c:v>102.64952414592682</c:v>
                </c:pt>
                <c:pt idx="40">
                  <c:v>103.71917513797962</c:v>
                </c:pt>
                <c:pt idx="41">
                  <c:v>104.79607266678364</c:v>
                </c:pt>
                <c:pt idx="42">
                  <c:v>105.88011033583706</c:v>
                </c:pt>
                <c:pt idx="43">
                  <c:v>106.97118224785547</c:v>
                </c:pt>
                <c:pt idx="44">
                  <c:v>108.0691830047722</c:v>
                </c:pt>
                <c:pt idx="45">
                  <c:v>109.17400770773806</c:v>
                </c:pt>
                <c:pt idx="46">
                  <c:v>110.28555195712156</c:v>
                </c:pt>
                <c:pt idx="47">
                  <c:v>111.40371185250862</c:v>
                </c:pt>
                <c:pt idx="48">
                  <c:v>112.55035024544105</c:v>
                </c:pt>
                <c:pt idx="49">
                  <c:v>113.70352316367899</c:v>
                </c:pt>
                <c:pt idx="50">
                  <c:v>114.86312620440722</c:v>
                </c:pt>
                <c:pt idx="51">
                  <c:v>116.02905547377857</c:v>
                </c:pt>
                <c:pt idx="52">
                  <c:v>117.20120758691371</c:v>
                </c:pt>
                <c:pt idx="53">
                  <c:v>118.37947966790119</c:v>
                </c:pt>
                <c:pt idx="54">
                  <c:v>119.56376934979761</c:v>
                </c:pt>
                <c:pt idx="55">
                  <c:v>120.75397477462738</c:v>
                </c:pt>
                <c:pt idx="56">
                  <c:v>121.94999459338294</c:v>
                </c:pt>
                <c:pt idx="57">
                  <c:v>123.15172796602458</c:v>
                </c:pt>
                <c:pt idx="58">
                  <c:v>124.35907456148051</c:v>
                </c:pt>
                <c:pt idx="59">
                  <c:v>125.57193455764698</c:v>
                </c:pt>
                <c:pt idx="60">
                  <c:v>126.79020864138796</c:v>
                </c:pt>
                <c:pt idx="61">
                  <c:v>128.01379800853562</c:v>
                </c:pt>
                <c:pt idx="62">
                  <c:v>129.24260436388971</c:v>
                </c:pt>
                <c:pt idx="63">
                  <c:v>130.47652992121832</c:v>
                </c:pt>
                <c:pt idx="64">
                  <c:v>131.71547740325701</c:v>
                </c:pt>
                <c:pt idx="65">
                  <c:v>132.95935004170965</c:v>
                </c:pt>
                <c:pt idx="66">
                  <c:v>134.20805157724789</c:v>
                </c:pt>
                <c:pt idx="67">
                  <c:v>135.46148625951128</c:v>
                </c:pt>
                <c:pt idx="68">
                  <c:v>136.71955884710724</c:v>
                </c:pt>
                <c:pt idx="69">
                  <c:v>137.98217460761131</c:v>
                </c:pt>
                <c:pt idx="70">
                  <c:v>139.24923931756678</c:v>
                </c:pt>
                <c:pt idx="71">
                  <c:v>140.52065926248497</c:v>
                </c:pt>
                <c:pt idx="72">
                  <c:v>141.79634123684497</c:v>
                </c:pt>
                <c:pt idx="73">
                  <c:v>143.07619254409406</c:v>
                </c:pt>
                <c:pt idx="74">
                  <c:v>144.36012099664717</c:v>
                </c:pt>
                <c:pt idx="75">
                  <c:v>145.64803491588734</c:v>
                </c:pt>
                <c:pt idx="76">
                  <c:v>146.93984313216546</c:v>
                </c:pt>
                <c:pt idx="77">
                  <c:v>148.23545498480044</c:v>
                </c:pt>
                <c:pt idx="78">
                  <c:v>149.53478032207889</c:v>
                </c:pt>
                <c:pt idx="79">
                  <c:v>150.83772950125555</c:v>
                </c:pt>
                <c:pt idx="80">
                  <c:v>152.14421338855306</c:v>
                </c:pt>
                <c:pt idx="81">
                  <c:v>153.45414335916198</c:v>
                </c:pt>
                <c:pt idx="82">
                  <c:v>154.76743129724073</c:v>
                </c:pt>
                <c:pt idx="83">
                  <c:v>156.08398959591563</c:v>
                </c:pt>
                <c:pt idx="84">
                  <c:v>157.4037311572811</c:v>
                </c:pt>
                <c:pt idx="85">
                  <c:v>158.72656939239937</c:v>
                </c:pt>
                <c:pt idx="86">
                  <c:v>160.05241822130054</c:v>
                </c:pt>
                <c:pt idx="87">
                  <c:v>161.38119207298274</c:v>
                </c:pt>
                <c:pt idx="88">
                  <c:v>162.712805885412</c:v>
                </c:pt>
                <c:pt idx="89">
                  <c:v>164.0471751055222</c:v>
                </c:pt>
                <c:pt idx="90">
                  <c:v>165.38421568921524</c:v>
                </c:pt>
                <c:pt idx="91">
                  <c:v>166.72384410136101</c:v>
                </c:pt>
                <c:pt idx="92">
                  <c:v>168.06597731579706</c:v>
                </c:pt>
                <c:pt idx="93">
                  <c:v>169.41053281532913</c:v>
                </c:pt>
                <c:pt idx="94">
                  <c:v>170.75742859173081</c:v>
                </c:pt>
                <c:pt idx="95">
                  <c:v>172.10658314574354</c:v>
                </c:pt>
                <c:pt idx="96">
                  <c:v>173.4579154870768</c:v>
                </c:pt>
                <c:pt idx="97">
                  <c:v>174.82690179702089</c:v>
                </c:pt>
                <c:pt idx="98">
                  <c:v>176.19792862835121</c:v>
                </c:pt>
                <c:pt idx="99">
                  <c:v>177.57091560430848</c:v>
                </c:pt>
                <c:pt idx="100">
                  <c:v>178.94578286295194</c:v>
                </c:pt>
                <c:pt idx="101">
                  <c:v>180.32245105715882</c:v>
                </c:pt>
                <c:pt idx="102">
                  <c:v>181.70084135462437</c:v>
                </c:pt>
                <c:pt idx="103">
                  <c:v>183.08087543786209</c:v>
                </c:pt>
                <c:pt idx="104">
                  <c:v>184.46247550420355</c:v>
                </c:pt>
                <c:pt idx="105">
                  <c:v>185.84556426579852</c:v>
                </c:pt>
                <c:pt idx="106">
                  <c:v>187.23006494961484</c:v>
                </c:pt>
                <c:pt idx="107">
                  <c:v>188.61590129743848</c:v>
                </c:pt>
                <c:pt idx="108">
                  <c:v>190.00299756587364</c:v>
                </c:pt>
                <c:pt idx="109">
                  <c:v>191.39127852634255</c:v>
                </c:pt>
                <c:pt idx="110">
                  <c:v>192.78066946508559</c:v>
                </c:pt>
                <c:pt idx="111">
                  <c:v>194.17109618316118</c:v>
                </c:pt>
                <c:pt idx="112">
                  <c:v>195.56248499644613</c:v>
                </c:pt>
                <c:pt idx="113">
                  <c:v>196.95476273563514</c:v>
                </c:pt>
                <c:pt idx="114">
                  <c:v>198.34785674624118</c:v>
                </c:pt>
                <c:pt idx="115">
                  <c:v>199.74169488859533</c:v>
                </c:pt>
                <c:pt idx="116">
                  <c:v>201.13620553784665</c:v>
                </c:pt>
                <c:pt idx="117">
                  <c:v>202.53131758396253</c:v>
                </c:pt>
                <c:pt idx="118">
                  <c:v>203.92696043172845</c:v>
                </c:pt>
                <c:pt idx="119">
                  <c:v>205.32306400074785</c:v>
                </c:pt>
                <c:pt idx="120">
                  <c:v>206.7195587254426</c:v>
                </c:pt>
                <c:pt idx="121">
                  <c:v>208.11637555505246</c:v>
                </c:pt>
                <c:pt idx="122">
                  <c:v>209.51344595363537</c:v>
                </c:pt>
                <c:pt idx="123">
                  <c:v>210.91070190006752</c:v>
                </c:pt>
                <c:pt idx="124">
                  <c:v>212.30807588804308</c:v>
                </c:pt>
                <c:pt idx="125">
                  <c:v>213.70550092607451</c:v>
                </c:pt>
                <c:pt idx="126">
                  <c:v>215.10291053749225</c:v>
                </c:pt>
                <c:pt idx="127">
                  <c:v>216.50023876044489</c:v>
                </c:pt>
                <c:pt idx="128">
                  <c:v>217.89742014789925</c:v>
                </c:pt>
                <c:pt idx="129">
                  <c:v>219.2943897676403</c:v>
                </c:pt>
                <c:pt idx="130">
                  <c:v>220.69108320227079</c:v>
                </c:pt>
                <c:pt idx="131">
                  <c:v>222.0980149836588</c:v>
                </c:pt>
                <c:pt idx="132">
                  <c:v>223.50454023296459</c:v>
                </c:pt>
                <c:pt idx="133">
                  <c:v>224.91059560093552</c:v>
                </c:pt>
                <c:pt idx="134">
                  <c:v>226.31611825703717</c:v>
                </c:pt>
                <c:pt idx="135">
                  <c:v>227.72104588945328</c:v>
                </c:pt>
                <c:pt idx="136">
                  <c:v>229.12531670508585</c:v>
                </c:pt>
                <c:pt idx="137">
                  <c:v>230.52886942955539</c:v>
                </c:pt>
                <c:pt idx="138">
                  <c:v>231.93164330720029</c:v>
                </c:pt>
                <c:pt idx="139">
                  <c:v>233.33357810107748</c:v>
                </c:pt>
                <c:pt idx="140">
                  <c:v>234.73461409296223</c:v>
                </c:pt>
                <c:pt idx="141">
                  <c:v>236.18118049214996</c:v>
                </c:pt>
                <c:pt idx="142">
                  <c:v>237.63283809002624</c:v>
                </c:pt>
                <c:pt idx="143">
                  <c:v>239.08338043586235</c:v>
                </c:pt>
                <c:pt idx="144">
                  <c:v>240.53274771926326</c:v>
                </c:pt>
                <c:pt idx="145">
                  <c:v>241.98088066805283</c:v>
                </c:pt>
                <c:pt idx="146">
                  <c:v>243.42772054827392</c:v>
                </c:pt>
                <c:pt idx="147">
                  <c:v>244.87320916418832</c:v>
                </c:pt>
                <c:pt idx="148">
                  <c:v>246.31728885827675</c:v>
                </c:pt>
                <c:pt idx="149">
                  <c:v>247.75990251123886</c:v>
                </c:pt>
                <c:pt idx="150">
                  <c:v>249.20099354199331</c:v>
                </c:pt>
                <c:pt idx="151">
                  <c:v>250.64050590767781</c:v>
                </c:pt>
                <c:pt idx="152">
                  <c:v>252.0783841036488</c:v>
                </c:pt>
                <c:pt idx="153">
                  <c:v>253.51457316348186</c:v>
                </c:pt>
                <c:pt idx="154">
                  <c:v>254.94901865897145</c:v>
                </c:pt>
                <c:pt idx="155">
                  <c:v>256.38166670013106</c:v>
                </c:pt>
                <c:pt idx="156">
                  <c:v>257.81246393519302</c:v>
                </c:pt>
                <c:pt idx="157">
                  <c:v>259.24135755060865</c:v>
                </c:pt>
                <c:pt idx="158">
                  <c:v>260.66829527104841</c:v>
                </c:pt>
                <c:pt idx="159">
                  <c:v>262.09322535940129</c:v>
                </c:pt>
                <c:pt idx="160">
                  <c:v>263.51609661677571</c:v>
                </c:pt>
                <c:pt idx="161">
                  <c:v>264.93685838249883</c:v>
                </c:pt>
                <c:pt idx="162">
                  <c:v>266.35546053411667</c:v>
                </c:pt>
                <c:pt idx="163">
                  <c:v>267.77185348739437</c:v>
                </c:pt>
                <c:pt idx="164">
                  <c:v>269.18598819631603</c:v>
                </c:pt>
                <c:pt idx="165">
                  <c:v>270.59781615308452</c:v>
                </c:pt>
                <c:pt idx="166">
                  <c:v>272.00728938812188</c:v>
                </c:pt>
                <c:pt idx="167">
                  <c:v>273.41436047006897</c:v>
                </c:pt>
                <c:pt idx="168">
                  <c:v>274.8189825057857</c:v>
                </c:pt>
                <c:pt idx="169">
                  <c:v>276.22110914035085</c:v>
                </c:pt>
                <c:pt idx="170">
                  <c:v>277.62069455706222</c:v>
                </c:pt>
                <c:pt idx="171">
                  <c:v>279.01769347743652</c:v>
                </c:pt>
                <c:pt idx="172">
                  <c:v>280.41206116120935</c:v>
                </c:pt>
                <c:pt idx="173">
                  <c:v>281.80375340633555</c:v>
                </c:pt>
                <c:pt idx="174">
                  <c:v>283.19272654898856</c:v>
                </c:pt>
                <c:pt idx="175">
                  <c:v>284.57893746356103</c:v>
                </c:pt>
                <c:pt idx="176">
                  <c:v>285.96234356266456</c:v>
                </c:pt>
                <c:pt idx="177">
                  <c:v>287.34290279712923</c:v>
                </c:pt>
                <c:pt idx="178">
                  <c:v>288.72057365600483</c:v>
                </c:pt>
                <c:pt idx="179">
                  <c:v>290.09531516655971</c:v>
                </c:pt>
                <c:pt idx="180">
                  <c:v>291.46708689428101</c:v>
                </c:pt>
                <c:pt idx="181">
                  <c:v>292.83584894287526</c:v>
                </c:pt>
                <c:pt idx="182">
                  <c:v>294.20156195426762</c:v>
                </c:pt>
                <c:pt idx="183">
                  <c:v>295.5641871086022</c:v>
                </c:pt>
                <c:pt idx="184">
                  <c:v>296.92368612424212</c:v>
                </c:pt>
                <c:pt idx="185">
                  <c:v>298.2800212577697</c:v>
                </c:pt>
                <c:pt idx="186">
                  <c:v>299.63315530398597</c:v>
                </c:pt>
                <c:pt idx="187">
                  <c:v>300.98305159591075</c:v>
                </c:pt>
                <c:pt idx="188">
                  <c:v>302.32967400478327</c:v>
                </c:pt>
                <c:pt idx="189">
                  <c:v>303.67298694006143</c:v>
                </c:pt>
                <c:pt idx="190">
                  <c:v>305.01295534942204</c:v>
                </c:pt>
                <c:pt idx="191">
                  <c:v>306.34954471876097</c:v>
                </c:pt>
                <c:pt idx="192">
                  <c:v>307.68272107219303</c:v>
                </c:pt>
                <c:pt idx="193">
                  <c:v>309.01245097205202</c:v>
                </c:pt>
                <c:pt idx="194">
                  <c:v>310.33870151889067</c:v>
                </c:pt>
                <c:pt idx="195">
                  <c:v>311.66144035148062</c:v>
                </c:pt>
                <c:pt idx="196">
                  <c:v>312.98063564681252</c:v>
                </c:pt>
                <c:pt idx="197">
                  <c:v>314.29625612009602</c:v>
                </c:pt>
                <c:pt idx="198">
                  <c:v>315.60827102475952</c:v>
                </c:pt>
                <c:pt idx="199">
                  <c:v>316.91665015245076</c:v>
                </c:pt>
                <c:pt idx="200">
                  <c:v>318.22136383303581</c:v>
                </c:pt>
                <c:pt idx="201">
                  <c:v>319.5223829346005</c:v>
                </c:pt>
                <c:pt idx="202">
                  <c:v>320.81967886344898</c:v>
                </c:pt>
                <c:pt idx="203">
                  <c:v>322.11322356410449</c:v>
                </c:pt>
                <c:pt idx="204">
                  <c:v>323.40298951930953</c:v>
                </c:pt>
                <c:pt idx="205">
                  <c:v>324.68894975002524</c:v>
                </c:pt>
                <c:pt idx="206">
                  <c:v>325.9710778154319</c:v>
                </c:pt>
                <c:pt idx="207">
                  <c:v>327.24934781292853</c:v>
                </c:pt>
                <c:pt idx="208">
                  <c:v>328.52373437813333</c:v>
                </c:pt>
                <c:pt idx="209">
                  <c:v>329.79421268488323</c:v>
                </c:pt>
                <c:pt idx="210">
                  <c:v>331.06075844523446</c:v>
                </c:pt>
                <c:pt idx="211">
                  <c:v>332.32334790946186</c:v>
                </c:pt>
                <c:pt idx="212">
                  <c:v>333.58195786605927</c:v>
                </c:pt>
                <c:pt idx="213">
                  <c:v>334.83656564173987</c:v>
                </c:pt>
                <c:pt idx="214">
                  <c:v>336.0871491014351</c:v>
                </c:pt>
                <c:pt idx="215">
                  <c:v>337.33368664829607</c:v>
                </c:pt>
                <c:pt idx="216">
                  <c:v>338.57615722369258</c:v>
                </c:pt>
                <c:pt idx="217">
                  <c:v>339.81454030721301</c:v>
                </c:pt>
                <c:pt idx="218">
                  <c:v>341.04881591666549</c:v>
                </c:pt>
                <c:pt idx="219">
                  <c:v>342.27896460807614</c:v>
                </c:pt>
                <c:pt idx="220">
                  <c:v>343.50496747569088</c:v>
                </c:pt>
                <c:pt idx="221">
                  <c:v>344.72680615197413</c:v>
                </c:pt>
                <c:pt idx="222">
                  <c:v>345.94446280760945</c:v>
                </c:pt>
                <c:pt idx="223">
                  <c:v>347.15792015149924</c:v>
                </c:pt>
                <c:pt idx="224">
                  <c:v>348.36716143076484</c:v>
                </c:pt>
                <c:pt idx="225">
                  <c:v>349.57217043074672</c:v>
                </c:pt>
                <c:pt idx="226">
                  <c:v>350.77293147500421</c:v>
                </c:pt>
                <c:pt idx="227">
                  <c:v>351.96942942531547</c:v>
                </c:pt>
                <c:pt idx="228">
                  <c:v>353.16164968167772</c:v>
                </c:pt>
                <c:pt idx="229">
                  <c:v>354.34957818230731</c:v>
                </c:pt>
                <c:pt idx="230">
                  <c:v>355.53320140363923</c:v>
                </c:pt>
                <c:pt idx="231">
                  <c:v>356.71250636032778</c:v>
                </c:pt>
                <c:pt idx="232">
                  <c:v>357.88748060524586</c:v>
                </c:pt>
                <c:pt idx="233">
                  <c:v>359.05811222948557</c:v>
                </c:pt>
                <c:pt idx="234">
                  <c:v>360.22438986235755</c:v>
                </c:pt>
                <c:pt idx="235">
                  <c:v>361.38630267139189</c:v>
                </c:pt>
                <c:pt idx="236">
                  <c:v>362.54384036233785</c:v>
                </c:pt>
                <c:pt idx="237">
                  <c:v>363.69699317916275</c:v>
                </c:pt>
                <c:pt idx="238">
                  <c:v>364.84575190405366</c:v>
                </c:pt>
                <c:pt idx="239">
                  <c:v>365.99010785741626</c:v>
                </c:pt>
                <c:pt idx="240">
                  <c:v>367.13005289787549</c:v>
                </c:pt>
                <c:pt idx="241">
                  <c:v>368.26557942227436</c:v>
                </c:pt>
                <c:pt idx="242">
                  <c:v>369.39668036567622</c:v>
                </c:pt>
                <c:pt idx="243">
                  <c:v>370.52334920136212</c:v>
                </c:pt>
                <c:pt idx="244">
                  <c:v>371.64557994083287</c:v>
                </c:pt>
                <c:pt idx="245">
                  <c:v>372.76336713380772</c:v>
                </c:pt>
                <c:pt idx="246">
                  <c:v>373.87670586822554</c:v>
                </c:pt>
                <c:pt idx="247">
                  <c:v>374.98559177024322</c:v>
                </c:pt>
                <c:pt idx="248">
                  <c:v>376.09002100423749</c:v>
                </c:pt>
                <c:pt idx="249">
                  <c:v>377.18999027280336</c:v>
                </c:pt>
                <c:pt idx="250">
                  <c:v>378.28549681675537</c:v>
                </c:pt>
                <c:pt idx="251">
                  <c:v>379.37653841512656</c:v>
                </c:pt>
                <c:pt idx="252">
                  <c:v>380.46311338516909</c:v>
                </c:pt>
                <c:pt idx="253">
                  <c:v>381.54522058235415</c:v>
                </c:pt>
                <c:pt idx="254">
                  <c:v>382.62285940037196</c:v>
                </c:pt>
                <c:pt idx="255">
                  <c:v>383.69602977113141</c:v>
                </c:pt>
                <c:pt idx="256">
                  <c:v>384.76473216476052</c:v>
                </c:pt>
                <c:pt idx="257">
                  <c:v>385.82896758960618</c:v>
                </c:pt>
                <c:pt idx="258">
                  <c:v>386.88873759223441</c:v>
                </c:pt>
                <c:pt idx="259">
                  <c:v>387.94404425743005</c:v>
                </c:pt>
                <c:pt idx="260">
                  <c:v>388.99489020819698</c:v>
                </c:pt>
                <c:pt idx="261">
                  <c:v>390.04127860575801</c:v>
                </c:pt>
                <c:pt idx="262">
                  <c:v>391.08321314955464</c:v>
                </c:pt>
                <c:pt idx="263">
                  <c:v>392.12069807724765</c:v>
                </c:pt>
                <c:pt idx="264">
                  <c:v>393.15373816471708</c:v>
                </c:pt>
                <c:pt idx="265">
                  <c:v>394.18233872606095</c:v>
                </c:pt>
                <c:pt idx="266">
                  <c:v>395.20650561359713</c:v>
                </c:pt>
                <c:pt idx="267">
                  <c:v>396.22624521786219</c:v>
                </c:pt>
                <c:pt idx="268">
                  <c:v>397.2415644676114</c:v>
                </c:pt>
                <c:pt idx="269">
                  <c:v>398.25247082981929</c:v>
                </c:pt>
                <c:pt idx="270">
                  <c:v>399.25897230967928</c:v>
                </c:pt>
                <c:pt idx="271">
                  <c:v>400.26107745060364</c:v>
                </c:pt>
                <c:pt idx="272">
                  <c:v>401.25879533422381</c:v>
                </c:pt>
                <c:pt idx="273">
                  <c:v>402.2521355803899</c:v>
                </c:pt>
                <c:pt idx="274">
                  <c:v>403.24110834717135</c:v>
                </c:pt>
                <c:pt idx="275">
                  <c:v>404.22572433085577</c:v>
                </c:pt>
                <c:pt idx="276">
                  <c:v>405.20599476595083</c:v>
                </c:pt>
                <c:pt idx="277">
                  <c:v>406.18193142518271</c:v>
                </c:pt>
                <c:pt idx="278">
                  <c:v>407.15354661949584</c:v>
                </c:pt>
                <c:pt idx="279">
                  <c:v>408.1208531980547</c:v>
                </c:pt>
                <c:pt idx="280">
                  <c:v>409.08386454824216</c:v>
                </c:pt>
                <c:pt idx="281">
                  <c:v>410.04259459565998</c:v>
                </c:pt>
                <c:pt idx="282">
                  <c:v>410.99705780412899</c:v>
                </c:pt>
                <c:pt idx="283">
                  <c:v>411.94726917568903</c:v>
                </c:pt>
                <c:pt idx="284">
                  <c:v>412.8932442505992</c:v>
                </c:pt>
                <c:pt idx="285">
                  <c:v>413.83499910733678</c:v>
                </c:pt>
                <c:pt idx="286">
                  <c:v>414.77255036259891</c:v>
                </c:pt>
                <c:pt idx="287">
                  <c:v>415.70591517130049</c:v>
                </c:pt>
                <c:pt idx="288">
                  <c:v>416.63511122657712</c:v>
                </c:pt>
                <c:pt idx="289">
                  <c:v>417.56015675978153</c:v>
                </c:pt>
                <c:pt idx="290">
                  <c:v>418.48107054048666</c:v>
                </c:pt>
                <c:pt idx="291">
                  <c:v>419.39787187648375</c:v>
                </c:pt>
                <c:pt idx="292">
                  <c:v>420.31058061378337</c:v>
                </c:pt>
                <c:pt idx="293">
                  <c:v>421.21921713661487</c:v>
                </c:pt>
                <c:pt idx="294">
                  <c:v>422.12380236742649</c:v>
                </c:pt>
                <c:pt idx="295">
                  <c:v>423.02435776688571</c:v>
                </c:pt>
                <c:pt idx="296">
                  <c:v>423.92090533387835</c:v>
                </c:pt>
                <c:pt idx="297">
                  <c:v>424.81346760551008</c:v>
                </c:pt>
                <c:pt idx="298">
                  <c:v>425.70206765710492</c:v>
                </c:pt>
                <c:pt idx="299">
                  <c:v>426.58672910220599</c:v>
                </c:pt>
                <c:pt idx="300">
                  <c:v>427.46747609257523</c:v>
                </c:pt>
                <c:pt idx="301">
                  <c:v>428.34433331819383</c:v>
                </c:pt>
                <c:pt idx="302">
                  <c:v>429.21732600726176</c:v>
                </c:pt>
                <c:pt idx="303">
                  <c:v>430.08647992619763</c:v>
                </c:pt>
                <c:pt idx="304">
                  <c:v>430.95182137963997</c:v>
                </c:pt>
                <c:pt idx="305">
                  <c:v>431.81337721044497</c:v>
                </c:pt>
                <c:pt idx="306">
                  <c:v>432.67117479968869</c:v>
                </c:pt>
                <c:pt idx="307">
                  <c:v>433.52524206666624</c:v>
                </c:pt>
                <c:pt idx="308">
                  <c:v>434.37560746889085</c:v>
                </c:pt>
                <c:pt idx="309">
                  <c:v>435.22230000209515</c:v>
                </c:pt>
                <c:pt idx="310">
                  <c:v>436.06534920023154</c:v>
                </c:pt>
                <c:pt idx="311">
                  <c:v>436.90478513546952</c:v>
                </c:pt>
                <c:pt idx="312">
                  <c:v>437.74063841819935</c:v>
                </c:pt>
                <c:pt idx="313">
                  <c:v>438.57294019702965</c:v>
                </c:pt>
                <c:pt idx="314">
                  <c:v>439.40172215878721</c:v>
                </c:pt>
                <c:pt idx="315">
                  <c:v>440.22701652851902</c:v>
                </c:pt>
                <c:pt idx="316">
                  <c:v>441.04885606948994</c:v>
                </c:pt>
                <c:pt idx="317">
                  <c:v>441.86727408318512</c:v>
                </c:pt>
                <c:pt idx="318">
                  <c:v>442.68230440930682</c:v>
                </c:pt>
                <c:pt idx="319">
                  <c:v>443.49398142577814</c:v>
                </c:pt>
                <c:pt idx="320">
                  <c:v>444.30234004873944</c:v>
                </c:pt>
                <c:pt idx="321">
                  <c:v>445.10741573255171</c:v>
                </c:pt>
                <c:pt idx="322">
                  <c:v>445.90924446979369</c:v>
                </c:pt>
                <c:pt idx="323">
                  <c:v>446.70786279126332</c:v>
                </c:pt>
                <c:pt idx="324">
                  <c:v>447.50330776597787</c:v>
                </c:pt>
                <c:pt idx="325">
                  <c:v>448.29561700117267</c:v>
                </c:pt>
                <c:pt idx="326">
                  <c:v>449.08482864230376</c:v>
                </c:pt>
                <c:pt idx="327">
                  <c:v>449.87098137304406</c:v>
                </c:pt>
                <c:pt idx="328">
                  <c:v>450.65411441528687</c:v>
                </c:pt>
                <c:pt idx="329">
                  <c:v>451.43426752914365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6-47B5-8FE8-88C65D57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576528"/>
        <c:axId val="1131148032"/>
      </c:lineChart>
      <c:catAx>
        <c:axId val="1142576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31148032"/>
        <c:crosses val="autoZero"/>
        <c:auto val="1"/>
        <c:lblAlgn val="ctr"/>
        <c:lblOffset val="100"/>
        <c:noMultiLvlLbl val="0"/>
      </c:catAx>
      <c:valAx>
        <c:axId val="113114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1425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Dækningsbidrag</a:t>
            </a:r>
            <a:r>
              <a:rPr lang="da-DK" baseline="0"/>
              <a:t> minus arbejdsomkostninger, kr. pr. produceret kalv</a:t>
            </a:r>
            <a:endParaRPr lang="da-D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146675420978683E-2"/>
          <c:y val="0.22422550873557609"/>
          <c:w val="0.91156218615478979"/>
          <c:h val="0.63787155719459121"/>
        </c:manualLayout>
      </c:layout>
      <c:lineChart>
        <c:grouping val="standard"/>
        <c:varyColors val="0"/>
        <c:ser>
          <c:idx val="3"/>
          <c:order val="0"/>
          <c:tx>
            <c:v>hol tyr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hol'!$AN$184:$AN$327</c15:sqref>
                  </c15:fullRef>
                </c:ext>
              </c:extLst>
              <c:f>'Vækstfunktion, hol'!$AN$184:$AN$327</c:f>
              <c:numCache>
                <c:formatCode>#,##0</c:formatCode>
                <c:ptCount val="144"/>
                <c:pt idx="0">
                  <c:v>-19.793979671684582</c:v>
                </c:pt>
                <c:pt idx="1">
                  <c:v>-17.444658335444416</c:v>
                </c:pt>
                <c:pt idx="2">
                  <c:v>-15.136601352184556</c:v>
                </c:pt>
                <c:pt idx="3">
                  <c:v>-12.870976110874864</c:v>
                </c:pt>
                <c:pt idx="4">
                  <c:v>-10.648957592078858</c:v>
                </c:pt>
                <c:pt idx="5">
                  <c:v>-8.4717283006115451</c:v>
                </c:pt>
                <c:pt idx="6">
                  <c:v>-6.3552553657887927</c:v>
                </c:pt>
                <c:pt idx="7">
                  <c:v>-4.2859405781394173</c:v>
                </c:pt>
                <c:pt idx="8">
                  <c:v>-2.2649925060822795</c:v>
                </c:pt>
                <c:pt idx="9">
                  <c:v>-0.29362695909927083</c:v>
                </c:pt>
                <c:pt idx="10">
                  <c:v>1.6269330863989637</c:v>
                </c:pt>
                <c:pt idx="11">
                  <c:v>3.4807320784125011</c:v>
                </c:pt>
                <c:pt idx="12">
                  <c:v>5.281253351711058</c:v>
                </c:pt>
                <c:pt idx="13">
                  <c:v>7.0272489780564626</c:v>
                </c:pt>
                <c:pt idx="14">
                  <c:v>8.7174641716341341</c:v>
                </c:pt>
                <c:pt idx="15">
                  <c:v>10.350637369466057</c:v>
                </c:pt>
                <c:pt idx="16">
                  <c:v>11.925500313009735</c:v>
                </c:pt>
                <c:pt idx="17">
                  <c:v>13.425935094793516</c:v>
                </c:pt>
                <c:pt idx="18">
                  <c:v>14.865470922309811</c:v>
                </c:pt>
                <c:pt idx="19">
                  <c:v>16.242816042622934</c:v>
                </c:pt>
                <c:pt idx="20">
                  <c:v>17.556672345029966</c:v>
                </c:pt>
                <c:pt idx="21">
                  <c:v>18.805735448215813</c:v>
                </c:pt>
                <c:pt idx="22">
                  <c:v>19.988694788496929</c:v>
                </c:pt>
                <c:pt idx="23">
                  <c:v>21.089081588978132</c:v>
                </c:pt>
                <c:pt idx="24">
                  <c:v>22.594926991006588</c:v>
                </c:pt>
                <c:pt idx="25">
                  <c:v>24.185772518240668</c:v>
                </c:pt>
                <c:pt idx="26">
                  <c:v>25.706246278449868</c:v>
                </c:pt>
                <c:pt idx="27">
                  <c:v>27.155883064693597</c:v>
                </c:pt>
                <c:pt idx="28">
                  <c:v>28.518658702863178</c:v>
                </c:pt>
                <c:pt idx="29">
                  <c:v>29.80961532291721</c:v>
                </c:pt>
                <c:pt idx="30">
                  <c:v>31.02831549156636</c:v>
                </c:pt>
                <c:pt idx="31">
                  <c:v>32.174332403603074</c:v>
                </c:pt>
                <c:pt idx="32">
                  <c:v>33.247249913116804</c:v>
                </c:pt>
                <c:pt idx="33">
                  <c:v>34.24666256322493</c:v>
                </c:pt>
                <c:pt idx="34">
                  <c:v>35.155941335486801</c:v>
                </c:pt>
                <c:pt idx="35">
                  <c:v>35.990825908741925</c:v>
                </c:pt>
                <c:pt idx="36">
                  <c:v>36.750939148510753</c:v>
                </c:pt>
                <c:pt idx="37">
                  <c:v>37.435914714064978</c:v>
                </c:pt>
                <c:pt idx="38">
                  <c:v>38.045397081135349</c:v>
                </c:pt>
                <c:pt idx="39">
                  <c:v>38.579041563243862</c:v>
                </c:pt>
                <c:pt idx="40">
                  <c:v>991.14835335711268</c:v>
                </c:pt>
                <c:pt idx="41">
                  <c:v>1003.4601036529</c:v>
                </c:pt>
                <c:pt idx="42">
                  <c:v>1015.7714036511816</c:v>
                </c:pt>
                <c:pt idx="43">
                  <c:v>1028.0817559264624</c:v>
                </c:pt>
                <c:pt idx="44">
                  <c:v>1040.3906741032258</c:v>
                </c:pt>
                <c:pt idx="45">
                  <c:v>1052.6976830868266</c:v>
                </c:pt>
                <c:pt idx="46">
                  <c:v>1065.0023192943399</c:v>
                </c:pt>
                <c:pt idx="47">
                  <c:v>1077.3041308853187</c:v>
                </c:pt>
                <c:pt idx="48">
                  <c:v>1089.6026779924255</c:v>
                </c:pt>
                <c:pt idx="49">
                  <c:v>1101.8788867946832</c:v>
                </c:pt>
                <c:pt idx="50">
                  <c:v>1114.1508111650262</c:v>
                </c:pt>
                <c:pt idx="51">
                  <c:v>1126.418044628967</c:v>
                </c:pt>
                <c:pt idx="52">
                  <c:v>1138.6801936060501</c:v>
                </c:pt>
                <c:pt idx="53">
                  <c:v>1150.9368776396218</c:v>
                </c:pt>
                <c:pt idx="54">
                  <c:v>1163.1877296263067</c:v>
                </c:pt>
                <c:pt idx="55">
                  <c:v>1175.4323960452834</c:v>
                </c:pt>
                <c:pt idx="56">
                  <c:v>1187.6705371872472</c:v>
                </c:pt>
                <c:pt idx="57">
                  <c:v>1199.9018273831362</c:v>
                </c:pt>
                <c:pt idx="58">
                  <c:v>1212.125955232543</c:v>
                </c:pt>
                <c:pt idx="59">
                  <c:v>1224.3426238318493</c:v>
                </c:pt>
                <c:pt idx="60">
                  <c:v>1236.5305222087163</c:v>
                </c:pt>
                <c:pt idx="61">
                  <c:v>1248.710187969245</c:v>
                </c:pt>
                <c:pt idx="62">
                  <c:v>1260.8813651569919</c:v>
                </c:pt>
                <c:pt idx="63">
                  <c:v>1273.043813221665</c:v>
                </c:pt>
                <c:pt idx="64">
                  <c:v>1285.1973072456631</c:v>
                </c:pt>
                <c:pt idx="65">
                  <c:v>1297.3416381702687</c:v>
                </c:pt>
                <c:pt idx="66">
                  <c:v>1309.4766130215587</c:v>
                </c:pt>
                <c:pt idx="67">
                  <c:v>1321.6020551359225</c:v>
                </c:pt>
                <c:pt idx="68">
                  <c:v>1332.532438081183</c:v>
                </c:pt>
                <c:pt idx="69">
                  <c:v>1338.6852148869712</c:v>
                </c:pt>
                <c:pt idx="70">
                  <c:v>1344.8418612450334</c:v>
                </c:pt>
                <c:pt idx="71">
                  <c:v>1350.9158377839317</c:v>
                </c:pt>
                <c:pt idx="72">
                  <c:v>1356.9070726761856</c:v>
                </c:pt>
                <c:pt idx="73">
                  <c:v>1362.8155210239006</c:v>
                </c:pt>
                <c:pt idx="74">
                  <c:v>1368.6411648978153</c:v>
                </c:pt>
                <c:pt idx="75">
                  <c:v>1374.3840133746726</c:v>
                </c:pt>
                <c:pt idx="76">
                  <c:v>1380.0441025729019</c:v>
                </c:pt>
                <c:pt idx="77">
                  <c:v>1385.6214956867634</c:v>
                </c:pt>
                <c:pt idx="78">
                  <c:v>1391.116283018888</c:v>
                </c:pt>
                <c:pt idx="79">
                  <c:v>1396.528582011339</c:v>
                </c:pt>
                <c:pt idx="80">
                  <c:v>1401.8585372752859</c:v>
                </c:pt>
                <c:pt idx="81">
                  <c:v>1407.1063206192052</c:v>
                </c:pt>
                <c:pt idx="82">
                  <c:v>1412.2721310758259</c:v>
                </c:pt>
                <c:pt idx="83">
                  <c:v>1417.3561949277409</c:v>
                </c:pt>
                <c:pt idx="84">
                  <c:v>1422.3587657318481</c:v>
                </c:pt>
                <c:pt idx="85">
                  <c:v>1426.7830561941682</c:v>
                </c:pt>
                <c:pt idx="86">
                  <c:v>1429.4289570864923</c:v>
                </c:pt>
                <c:pt idx="87">
                  <c:v>1431.9865490013649</c:v>
                </c:pt>
                <c:pt idx="88">
                  <c:v>1434.455513949646</c:v>
                </c:pt>
                <c:pt idx="89">
                  <c:v>1436.835548139687</c:v>
                </c:pt>
                <c:pt idx="90">
                  <c:v>1439.1263620233492</c:v>
                </c:pt>
                <c:pt idx="91">
                  <c:v>1441.3276803416393</c:v>
                </c:pt>
                <c:pt idx="92">
                  <c:v>1443.4392421702582</c:v>
                </c:pt>
                <c:pt idx="93">
                  <c:v>1445.4608009647091</c:v>
                </c:pt>
                <c:pt idx="94">
                  <c:v>1447.3921246052971</c:v>
                </c:pt>
                <c:pt idx="95">
                  <c:v>1449.2329954417532</c:v>
                </c:pt>
                <c:pt idx="96">
                  <c:v>1450.9832103376521</c:v>
                </c:pt>
                <c:pt idx="97">
                  <c:v>1452.6425807145756</c:v>
                </c:pt>
                <c:pt idx="98">
                  <c:v>1454.2109325959752</c:v>
                </c:pt>
                <c:pt idx="99">
                  <c:v>1455.688106650764</c:v>
                </c:pt>
                <c:pt idx="100">
                  <c:v>1457.0739582366864</c:v>
                </c:pt>
                <c:pt idx="101">
                  <c:v>1458.3683574433817</c:v>
                </c:pt>
                <c:pt idx="102">
                  <c:v>1459.5711891351887</c:v>
                </c:pt>
                <c:pt idx="103">
                  <c:v>1460.6823529936942</c:v>
                </c:pt>
                <c:pt idx="104">
                  <c:v>1461.7318582504777</c:v>
                </c:pt>
                <c:pt idx="105">
                  <c:v>1462.6896674818177</c:v>
                </c:pt>
                <c:pt idx="106">
                  <c:v>1463.5557212001029</c:v>
                </c:pt>
                <c:pt idx="107">
                  <c:v>1464.3299749024181</c:v>
                </c:pt>
                <c:pt idx="108">
                  <c:v>1465.0123991117348</c:v>
                </c:pt>
                <c:pt idx="109">
                  <c:v>1465.602979417843</c:v>
                </c:pt>
                <c:pt idx="110">
                  <c:v>1466.1017165180103</c:v>
                </c:pt>
                <c:pt idx="111">
                  <c:v>1466.50862625736</c:v>
                </c:pt>
                <c:pt idx="112">
                  <c:v>1466.8237396689574</c:v>
                </c:pt>
                <c:pt idx="113">
                  <c:v>1467.0471030137282</c:v>
                </c:pt>
                <c:pt idx="114">
                  <c:v>1467.209883483473</c:v>
                </c:pt>
                <c:pt idx="115">
                  <c:v>1467.2811452127553</c:v>
                </c:pt>
                <c:pt idx="116">
                  <c:v>1467.2609765089187</c:v>
                </c:pt>
                <c:pt idx="117">
                  <c:v>1467.1494810638505</c:v>
                </c:pt>
                <c:pt idx="118">
                  <c:v>1466.9467779925237</c:v>
                </c:pt>
                <c:pt idx="119">
                  <c:v>1466.653001871256</c:v>
                </c:pt>
                <c:pt idx="120">
                  <c:v>1466.2683027757021</c:v>
                </c:pt>
                <c:pt idx="121">
                  <c:v>1465.7928463185913</c:v>
                </c:pt>
                <c:pt idx="122">
                  <c:v>1465.2584887492992</c:v>
                </c:pt>
                <c:pt idx="123">
                  <c:v>1464.6338176536583</c:v>
                </c:pt>
                <c:pt idx="124">
                  <c:v>1463.9190416060815</c:v>
                </c:pt>
                <c:pt idx="125">
                  <c:v>1463.1143848664296</c:v>
                </c:pt>
                <c:pt idx="126">
                  <c:v>1462.2200874165703</c:v>
                </c:pt>
                <c:pt idx="127">
                  <c:v>1461.2364049964831</c:v>
                </c:pt>
                <c:pt idx="128">
                  <c:v>1460.1636091403607</c:v>
                </c:pt>
                <c:pt idx="129">
                  <c:v>1459.0339992653039</c:v>
                </c:pt>
                <c:pt idx="130">
                  <c:v>1457.8159091557015</c:v>
                </c:pt>
                <c:pt idx="131">
                  <c:v>1456.5096540681125</c:v>
                </c:pt>
                <c:pt idx="132">
                  <c:v>1455.1155651947424</c:v>
                </c:pt>
                <c:pt idx="133">
                  <c:v>1453.6339896981654</c:v>
                </c:pt>
                <c:pt idx="134">
                  <c:v>1452.0652907459419</c:v>
                </c:pt>
                <c:pt idx="135">
                  <c:v>1450.4420339036392</c:v>
                </c:pt>
                <c:pt idx="136">
                  <c:v>1448.7324513334261</c:v>
                </c:pt>
                <c:pt idx="137">
                  <c:v>1446.9369505492646</c:v>
                </c:pt>
                <c:pt idx="138">
                  <c:v>1445.0559552059701</c:v>
                </c:pt>
                <c:pt idx="139">
                  <c:v>1443.0899051327115</c:v>
                </c:pt>
                <c:pt idx="140">
                  <c:v>1441.0392563661931</c:v>
                </c:pt>
                <c:pt idx="141">
                  <c:v>1438.9367450116179</c:v>
                </c:pt>
                <c:pt idx="142">
                  <c:v>1436.7505996651419</c:v>
                </c:pt>
                <c:pt idx="143">
                  <c:v>1434.481321309931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2-44B5-B7DA-A6880C7395EA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tyr'!$AN$184:$AN$367</c15:sqref>
                  </c15:fullRef>
                </c:ext>
              </c:extLst>
              <c:f>'Vækstfunktion, kry tyr'!$AN$184:$AN$327</c:f>
              <c:numCache>
                <c:formatCode>#,##0.00</c:formatCode>
                <c:ptCount val="144"/>
                <c:pt idx="0">
                  <c:v>196.39245241232888</c:v>
                </c:pt>
                <c:pt idx="1">
                  <c:v>204.26337282811997</c:v>
                </c:pt>
                <c:pt idx="2">
                  <c:v>212.074363787794</c:v>
                </c:pt>
                <c:pt idx="3">
                  <c:v>219.82364264370861</c:v>
                </c:pt>
                <c:pt idx="4">
                  <c:v>227.49464862148952</c:v>
                </c:pt>
                <c:pt idx="5">
                  <c:v>235.10035049140552</c:v>
                </c:pt>
                <c:pt idx="6">
                  <c:v>242.63891881448828</c:v>
                </c:pt>
                <c:pt idx="7">
                  <c:v>250.09377107025787</c:v>
                </c:pt>
                <c:pt idx="8">
                  <c:v>257.47778262272448</c:v>
                </c:pt>
                <c:pt idx="9">
                  <c:v>264.78907830614764</c:v>
                </c:pt>
                <c:pt idx="10">
                  <c:v>272.02576984177313</c:v>
                </c:pt>
                <c:pt idx="11">
                  <c:v>279.17111996357448</c:v>
                </c:pt>
                <c:pt idx="12">
                  <c:v>286.23801429257003</c:v>
                </c:pt>
                <c:pt idx="13">
                  <c:v>293.22452030660395</c:v>
                </c:pt>
                <c:pt idx="14">
                  <c:v>300.12869287619856</c:v>
                </c:pt>
                <c:pt idx="15">
                  <c:v>306.93350059745956</c:v>
                </c:pt>
                <c:pt idx="16">
                  <c:v>313.65198278530704</c:v>
                </c:pt>
                <c:pt idx="17">
                  <c:v>320.28215161514493</c:v>
                </c:pt>
                <c:pt idx="18">
                  <c:v>326.82200718091917</c:v>
                </c:pt>
                <c:pt idx="19">
                  <c:v>333.25408463055771</c:v>
                </c:pt>
                <c:pt idx="20">
                  <c:v>339.59172048883613</c:v>
                </c:pt>
                <c:pt idx="21">
                  <c:v>345.83287375874795</c:v>
                </c:pt>
                <c:pt idx="22">
                  <c:v>351.97549190479754</c:v>
                </c:pt>
                <c:pt idx="23">
                  <c:v>358.00153738642632</c:v>
                </c:pt>
                <c:pt idx="24">
                  <c:v>363.92478752116392</c:v>
                </c:pt>
                <c:pt idx="25">
                  <c:v>369.7431503335257</c:v>
                </c:pt>
                <c:pt idx="26">
                  <c:v>375.45452286655518</c:v>
                </c:pt>
                <c:pt idx="27">
                  <c:v>381.05679132292096</c:v>
                </c:pt>
                <c:pt idx="28">
                  <c:v>386.53104622204967</c:v>
                </c:pt>
                <c:pt idx="29">
                  <c:v>391.89209589854215</c:v>
                </c:pt>
                <c:pt idx="30">
                  <c:v>397.13936663838854</c:v>
                </c:pt>
                <c:pt idx="31">
                  <c:v>402.27261603277896</c:v>
                </c:pt>
                <c:pt idx="32">
                  <c:v>407.27400541141685</c:v>
                </c:pt>
                <c:pt idx="33">
                  <c:v>1273.1555499093747</c:v>
                </c:pt>
                <c:pt idx="34">
                  <c:v>1290.6362326061487</c:v>
                </c:pt>
                <c:pt idx="35">
                  <c:v>1308.095699801491</c:v>
                </c:pt>
                <c:pt idx="36">
                  <c:v>1325.5335380901656</c:v>
                </c:pt>
                <c:pt idx="37">
                  <c:v>1342.9305552433991</c:v>
                </c:pt>
                <c:pt idx="38">
                  <c:v>1360.3049674527676</c:v>
                </c:pt>
                <c:pt idx="39">
                  <c:v>1377.7488606915663</c:v>
                </c:pt>
                <c:pt idx="40">
                  <c:v>1395.6965425314709</c:v>
                </c:pt>
                <c:pt idx="41">
                  <c:v>1413.5891449479191</c:v>
                </c:pt>
                <c:pt idx="42">
                  <c:v>1431.4262036255752</c:v>
                </c:pt>
                <c:pt idx="43">
                  <c:v>1449.1868446012543</c:v>
                </c:pt>
                <c:pt idx="44">
                  <c:v>1466.8908502337517</c:v>
                </c:pt>
                <c:pt idx="45">
                  <c:v>1484.5378449049961</c:v>
                </c:pt>
                <c:pt idx="46">
                  <c:v>1502.1274849325689</c:v>
                </c:pt>
                <c:pt idx="47">
                  <c:v>1519.6594588066469</c:v>
                </c:pt>
                <c:pt idx="48">
                  <c:v>1537.1334874238225</c:v>
                </c:pt>
                <c:pt idx="49">
                  <c:v>1554.5269668242825</c:v>
                </c:pt>
                <c:pt idx="50">
                  <c:v>1571.8617444700685</c:v>
                </c:pt>
                <c:pt idx="51">
                  <c:v>1589.1376341935918</c:v>
                </c:pt>
                <c:pt idx="52">
                  <c:v>1605.6511641040395</c:v>
                </c:pt>
                <c:pt idx="53">
                  <c:v>1620.2429605994223</c:v>
                </c:pt>
                <c:pt idx="54">
                  <c:v>1634.7420430699995</c:v>
                </c:pt>
                <c:pt idx="55">
                  <c:v>1649.1483741068043</c:v>
                </c:pt>
                <c:pt idx="56">
                  <c:v>1663.4619479651508</c:v>
                </c:pt>
                <c:pt idx="57">
                  <c:v>1677.6575615929848</c:v>
                </c:pt>
                <c:pt idx="58">
                  <c:v>1691.7601542730322</c:v>
                </c:pt>
                <c:pt idx="59">
                  <c:v>1705.7698096843276</c:v>
                </c:pt>
                <c:pt idx="60">
                  <c:v>1719.6866432186582</c:v>
                </c:pt>
                <c:pt idx="61">
                  <c:v>1733.5108019951056</c:v>
                </c:pt>
                <c:pt idx="62">
                  <c:v>1747.2424678105667</c:v>
                </c:pt>
                <c:pt idx="63">
                  <c:v>1760.8818642742301</c:v>
                </c:pt>
                <c:pt idx="64">
                  <c:v>1774.4292578634324</c:v>
                </c:pt>
                <c:pt idx="65">
                  <c:v>1787.8849579192649</c:v>
                </c:pt>
                <c:pt idx="66">
                  <c:v>1801.2205395284268</c:v>
                </c:pt>
                <c:pt idx="67">
                  <c:v>1814.4648397576018</c:v>
                </c:pt>
                <c:pt idx="68">
                  <c:v>1827.6183019852854</c:v>
                </c:pt>
                <c:pt idx="69">
                  <c:v>1840.6814124158416</c:v>
                </c:pt>
                <c:pt idx="70">
                  <c:v>1853.6547000654753</c:v>
                </c:pt>
                <c:pt idx="71">
                  <c:v>1866.5387367466712</c:v>
                </c:pt>
                <c:pt idx="72">
                  <c:v>1879.3341370509768</c:v>
                </c:pt>
                <c:pt idx="73">
                  <c:v>1890.9540599685317</c:v>
                </c:pt>
                <c:pt idx="74">
                  <c:v>1898.1212468165211</c:v>
                </c:pt>
                <c:pt idx="75">
                  <c:v>1905.1762265253681</c:v>
                </c:pt>
                <c:pt idx="76">
                  <c:v>1912.1199207240591</c:v>
                </c:pt>
                <c:pt idx="77">
                  <c:v>1918.9532903126753</c:v>
                </c:pt>
                <c:pt idx="78">
                  <c:v>1925.6773353957722</c:v>
                </c:pt>
                <c:pt idx="79">
                  <c:v>1932.2930952147492</c:v>
                </c:pt>
                <c:pt idx="80">
                  <c:v>1938.7684213864238</c:v>
                </c:pt>
                <c:pt idx="81">
                  <c:v>1945.1374052203585</c:v>
                </c:pt>
                <c:pt idx="82">
                  <c:v>1951.4012084480034</c:v>
                </c:pt>
                <c:pt idx="83">
                  <c:v>1957.561031659641</c:v>
                </c:pt>
                <c:pt idx="84">
                  <c:v>1963.618114233501</c:v>
                </c:pt>
                <c:pt idx="85">
                  <c:v>1969.5737342646087</c:v>
                </c:pt>
                <c:pt idx="86">
                  <c:v>1975.4292084933702</c:v>
                </c:pt>
                <c:pt idx="87">
                  <c:v>1981.1858922340709</c:v>
                </c:pt>
                <c:pt idx="88">
                  <c:v>1986.8451793033635</c:v>
                </c:pt>
                <c:pt idx="89">
                  <c:v>1992.4085019488969</c:v>
                </c:pt>
                <c:pt idx="90">
                  <c:v>1997.8770411189987</c:v>
                </c:pt>
                <c:pt idx="91">
                  <c:v>2003.2508496846647</c:v>
                </c:pt>
                <c:pt idx="92">
                  <c:v>2008.5297078748829</c:v>
                </c:pt>
                <c:pt idx="93">
                  <c:v>2013.7134110506374</c:v>
                </c:pt>
                <c:pt idx="94">
                  <c:v>2018.801769758448</c:v>
                </c:pt>
                <c:pt idx="95">
                  <c:v>2023.7946097839451</c:v>
                </c:pt>
                <c:pt idx="96">
                  <c:v>2028.6917722054184</c:v>
                </c:pt>
                <c:pt idx="97">
                  <c:v>2033.4931134473693</c:v>
                </c:pt>
                <c:pt idx="98">
                  <c:v>2038.1985053340748</c:v>
                </c:pt>
                <c:pt idx="99">
                  <c:v>2042.8078351430729</c:v>
                </c:pt>
                <c:pt idx="100">
                  <c:v>2047.321005658717</c:v>
                </c:pt>
                <c:pt idx="101">
                  <c:v>2051.7379352255502</c:v>
                </c:pt>
                <c:pt idx="102">
                  <c:v>2056.0585578017581</c:v>
                </c:pt>
                <c:pt idx="103">
                  <c:v>2060.2828230124928</c:v>
                </c:pt>
                <c:pt idx="104">
                  <c:v>2064.4106962031647</c:v>
                </c:pt>
                <c:pt idx="105">
                  <c:v>2068.4421584926508</c:v>
                </c:pt>
                <c:pt idx="106">
                  <c:v>2072.3772068264043</c:v>
                </c:pt>
                <c:pt idx="107">
                  <c:v>2076.2539752619205</c:v>
                </c:pt>
                <c:pt idx="108">
                  <c:v>2080.0344756973423</c:v>
                </c:pt>
                <c:pt idx="109">
                  <c:v>2083.7187473824388</c:v>
                </c:pt>
                <c:pt idx="110">
                  <c:v>2085.895460734685</c:v>
                </c:pt>
                <c:pt idx="111">
                  <c:v>2086.4446784414117</c:v>
                </c:pt>
                <c:pt idx="112">
                  <c:v>2086.8902943734975</c:v>
                </c:pt>
                <c:pt idx="113">
                  <c:v>2087.2324915680015</c:v>
                </c:pt>
                <c:pt idx="114">
                  <c:v>2087.4714673064145</c:v>
                </c:pt>
                <c:pt idx="115">
                  <c:v>2087.6074331398904</c:v>
                </c:pt>
                <c:pt idx="116">
                  <c:v>2087.6406149144027</c:v>
                </c:pt>
                <c:pt idx="117">
                  <c:v>2087.5712527958103</c:v>
                </c:pt>
                <c:pt idx="118">
                  <c:v>2087.3996012948483</c:v>
                </c:pt>
                <c:pt idx="119">
                  <c:v>2087.1259292920445</c:v>
                </c:pt>
                <c:pt idx="120">
                  <c:v>2086.7505200624846</c:v>
                </c:pt>
                <c:pt idx="121">
                  <c:v>2086.2736713005256</c:v>
                </c:pt>
                <c:pt idx="122">
                  <c:v>2085.7347777060459</c:v>
                </c:pt>
                <c:pt idx="123">
                  <c:v>2085.0951107903284</c:v>
                </c:pt>
                <c:pt idx="124">
                  <c:v>2084.3550061591209</c:v>
                </c:pt>
                <c:pt idx="125">
                  <c:v>2083.5148139348721</c:v>
                </c:pt>
                <c:pt idx="126">
                  <c:v>743.46893251939412</c:v>
                </c:pt>
                <c:pt idx="127">
                  <c:v>742.92350596917959</c:v>
                </c:pt>
                <c:pt idx="128">
                  <c:v>742.29104771193022</c:v>
                </c:pt>
                <c:pt idx="129">
                  <c:v>741.61101980882745</c:v>
                </c:pt>
                <c:pt idx="130">
                  <c:v>740.8837302244898</c:v>
                </c:pt>
                <c:pt idx="131">
                  <c:v>740.10949782568514</c:v>
                </c:pt>
                <c:pt idx="132">
                  <c:v>739.28865241830169</c:v>
                </c:pt>
                <c:pt idx="133">
                  <c:v>738.42153478401974</c:v>
                </c:pt>
                <c:pt idx="134">
                  <c:v>737.50849671656954</c:v>
                </c:pt>
                <c:pt idx="135">
                  <c:v>736.54990105768275</c:v>
                </c:pt>
                <c:pt idx="136">
                  <c:v>735.54612173259545</c:v>
                </c:pt>
                <c:pt idx="137">
                  <c:v>734.49754378526836</c:v>
                </c:pt>
                <c:pt idx="138">
                  <c:v>733.40456341312404</c:v>
                </c:pt>
                <c:pt idx="139">
                  <c:v>732.26758800151674</c:v>
                </c:pt>
                <c:pt idx="140">
                  <c:v>731.08703615769298</c:v>
                </c:pt>
                <c:pt idx="141">
                  <c:v>729.86333774443733</c:v>
                </c:pt>
                <c:pt idx="142">
                  <c:v>728.59693391328994</c:v>
                </c:pt>
                <c:pt idx="143">
                  <c:v>727.28827713736291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2-44B5-B7DA-A6880C7395EA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hol'!$A$184:$A$327</c:f>
              <c:numCache>
                <c:formatCode>General</c:formatCode>
                <c:ptCount val="144"/>
                <c:pt idx="0">
                  <c:v>182</c:v>
                </c:pt>
                <c:pt idx="1">
                  <c:v>183</c:v>
                </c:pt>
                <c:pt idx="2">
                  <c:v>184</c:v>
                </c:pt>
                <c:pt idx="3">
                  <c:v>185</c:v>
                </c:pt>
                <c:pt idx="4">
                  <c:v>186</c:v>
                </c:pt>
                <c:pt idx="5">
                  <c:v>187</c:v>
                </c:pt>
                <c:pt idx="6">
                  <c:v>188</c:v>
                </c:pt>
                <c:pt idx="7">
                  <c:v>189</c:v>
                </c:pt>
                <c:pt idx="8">
                  <c:v>190</c:v>
                </c:pt>
                <c:pt idx="9">
                  <c:v>191</c:v>
                </c:pt>
                <c:pt idx="10">
                  <c:v>192</c:v>
                </c:pt>
                <c:pt idx="11">
                  <c:v>193</c:v>
                </c:pt>
                <c:pt idx="12">
                  <c:v>194</c:v>
                </c:pt>
                <c:pt idx="13">
                  <c:v>195</c:v>
                </c:pt>
                <c:pt idx="14">
                  <c:v>196</c:v>
                </c:pt>
                <c:pt idx="15">
                  <c:v>197</c:v>
                </c:pt>
                <c:pt idx="16">
                  <c:v>198</c:v>
                </c:pt>
                <c:pt idx="17">
                  <c:v>199</c:v>
                </c:pt>
                <c:pt idx="18">
                  <c:v>200</c:v>
                </c:pt>
                <c:pt idx="19">
                  <c:v>201</c:v>
                </c:pt>
                <c:pt idx="20">
                  <c:v>202</c:v>
                </c:pt>
                <c:pt idx="21">
                  <c:v>203</c:v>
                </c:pt>
                <c:pt idx="22">
                  <c:v>204</c:v>
                </c:pt>
                <c:pt idx="23">
                  <c:v>205</c:v>
                </c:pt>
                <c:pt idx="24">
                  <c:v>206</c:v>
                </c:pt>
                <c:pt idx="25">
                  <c:v>207</c:v>
                </c:pt>
                <c:pt idx="26">
                  <c:v>208</c:v>
                </c:pt>
                <c:pt idx="27">
                  <c:v>209</c:v>
                </c:pt>
                <c:pt idx="28">
                  <c:v>210</c:v>
                </c:pt>
                <c:pt idx="29">
                  <c:v>211</c:v>
                </c:pt>
                <c:pt idx="30">
                  <c:v>212</c:v>
                </c:pt>
                <c:pt idx="31">
                  <c:v>213</c:v>
                </c:pt>
                <c:pt idx="32">
                  <c:v>214</c:v>
                </c:pt>
                <c:pt idx="33">
                  <c:v>215</c:v>
                </c:pt>
                <c:pt idx="34">
                  <c:v>216</c:v>
                </c:pt>
                <c:pt idx="35">
                  <c:v>217</c:v>
                </c:pt>
                <c:pt idx="36">
                  <c:v>218</c:v>
                </c:pt>
                <c:pt idx="37">
                  <c:v>219</c:v>
                </c:pt>
                <c:pt idx="38">
                  <c:v>220</c:v>
                </c:pt>
                <c:pt idx="39">
                  <c:v>221</c:v>
                </c:pt>
                <c:pt idx="40">
                  <c:v>222</c:v>
                </c:pt>
                <c:pt idx="41">
                  <c:v>223</c:v>
                </c:pt>
                <c:pt idx="42">
                  <c:v>224</c:v>
                </c:pt>
                <c:pt idx="43">
                  <c:v>225</c:v>
                </c:pt>
                <c:pt idx="44">
                  <c:v>226</c:v>
                </c:pt>
                <c:pt idx="45">
                  <c:v>227</c:v>
                </c:pt>
                <c:pt idx="46">
                  <c:v>228</c:v>
                </c:pt>
                <c:pt idx="47">
                  <c:v>229</c:v>
                </c:pt>
                <c:pt idx="48">
                  <c:v>230</c:v>
                </c:pt>
                <c:pt idx="49">
                  <c:v>231</c:v>
                </c:pt>
                <c:pt idx="50">
                  <c:v>232</c:v>
                </c:pt>
                <c:pt idx="51">
                  <c:v>233</c:v>
                </c:pt>
                <c:pt idx="52">
                  <c:v>234</c:v>
                </c:pt>
                <c:pt idx="53">
                  <c:v>235</c:v>
                </c:pt>
                <c:pt idx="54">
                  <c:v>236</c:v>
                </c:pt>
                <c:pt idx="55">
                  <c:v>237</c:v>
                </c:pt>
                <c:pt idx="56">
                  <c:v>238</c:v>
                </c:pt>
                <c:pt idx="57">
                  <c:v>239</c:v>
                </c:pt>
                <c:pt idx="58">
                  <c:v>240</c:v>
                </c:pt>
                <c:pt idx="59">
                  <c:v>241</c:v>
                </c:pt>
                <c:pt idx="60">
                  <c:v>242</c:v>
                </c:pt>
                <c:pt idx="61">
                  <c:v>243</c:v>
                </c:pt>
                <c:pt idx="62">
                  <c:v>244</c:v>
                </c:pt>
                <c:pt idx="63">
                  <c:v>245</c:v>
                </c:pt>
                <c:pt idx="64">
                  <c:v>246</c:v>
                </c:pt>
                <c:pt idx="65">
                  <c:v>247</c:v>
                </c:pt>
                <c:pt idx="66">
                  <c:v>248</c:v>
                </c:pt>
                <c:pt idx="67">
                  <c:v>249</c:v>
                </c:pt>
                <c:pt idx="68">
                  <c:v>250</c:v>
                </c:pt>
                <c:pt idx="69">
                  <c:v>251</c:v>
                </c:pt>
                <c:pt idx="70">
                  <c:v>252</c:v>
                </c:pt>
                <c:pt idx="71">
                  <c:v>253</c:v>
                </c:pt>
                <c:pt idx="72">
                  <c:v>254</c:v>
                </c:pt>
                <c:pt idx="73">
                  <c:v>255</c:v>
                </c:pt>
                <c:pt idx="74">
                  <c:v>256</c:v>
                </c:pt>
                <c:pt idx="75">
                  <c:v>257</c:v>
                </c:pt>
                <c:pt idx="76">
                  <c:v>258</c:v>
                </c:pt>
                <c:pt idx="77">
                  <c:v>259</c:v>
                </c:pt>
                <c:pt idx="78">
                  <c:v>260</c:v>
                </c:pt>
                <c:pt idx="79">
                  <c:v>261</c:v>
                </c:pt>
                <c:pt idx="80">
                  <c:v>262</c:v>
                </c:pt>
                <c:pt idx="81">
                  <c:v>263</c:v>
                </c:pt>
                <c:pt idx="82">
                  <c:v>264</c:v>
                </c:pt>
                <c:pt idx="83">
                  <c:v>265</c:v>
                </c:pt>
                <c:pt idx="84">
                  <c:v>266</c:v>
                </c:pt>
                <c:pt idx="85">
                  <c:v>267</c:v>
                </c:pt>
                <c:pt idx="86">
                  <c:v>268</c:v>
                </c:pt>
                <c:pt idx="87">
                  <c:v>269</c:v>
                </c:pt>
                <c:pt idx="88">
                  <c:v>270</c:v>
                </c:pt>
                <c:pt idx="89">
                  <c:v>271</c:v>
                </c:pt>
                <c:pt idx="90">
                  <c:v>272</c:v>
                </c:pt>
                <c:pt idx="91">
                  <c:v>273</c:v>
                </c:pt>
                <c:pt idx="92">
                  <c:v>274</c:v>
                </c:pt>
                <c:pt idx="93">
                  <c:v>275</c:v>
                </c:pt>
                <c:pt idx="94">
                  <c:v>276</c:v>
                </c:pt>
                <c:pt idx="95">
                  <c:v>277</c:v>
                </c:pt>
                <c:pt idx="96">
                  <c:v>278</c:v>
                </c:pt>
                <c:pt idx="97">
                  <c:v>279</c:v>
                </c:pt>
                <c:pt idx="98">
                  <c:v>280</c:v>
                </c:pt>
                <c:pt idx="99">
                  <c:v>281</c:v>
                </c:pt>
                <c:pt idx="100">
                  <c:v>282</c:v>
                </c:pt>
                <c:pt idx="101">
                  <c:v>283</c:v>
                </c:pt>
                <c:pt idx="102">
                  <c:v>284</c:v>
                </c:pt>
                <c:pt idx="103">
                  <c:v>285</c:v>
                </c:pt>
                <c:pt idx="104">
                  <c:v>286</c:v>
                </c:pt>
                <c:pt idx="105">
                  <c:v>287</c:v>
                </c:pt>
                <c:pt idx="106">
                  <c:v>288</c:v>
                </c:pt>
                <c:pt idx="107">
                  <c:v>289</c:v>
                </c:pt>
                <c:pt idx="108">
                  <c:v>290</c:v>
                </c:pt>
                <c:pt idx="109">
                  <c:v>291</c:v>
                </c:pt>
                <c:pt idx="110">
                  <c:v>292</c:v>
                </c:pt>
                <c:pt idx="111">
                  <c:v>293</c:v>
                </c:pt>
                <c:pt idx="112">
                  <c:v>294</c:v>
                </c:pt>
                <c:pt idx="113">
                  <c:v>295</c:v>
                </c:pt>
                <c:pt idx="114">
                  <c:v>296</c:v>
                </c:pt>
                <c:pt idx="115">
                  <c:v>297</c:v>
                </c:pt>
                <c:pt idx="116">
                  <c:v>298</c:v>
                </c:pt>
                <c:pt idx="117">
                  <c:v>299</c:v>
                </c:pt>
                <c:pt idx="118">
                  <c:v>300</c:v>
                </c:pt>
                <c:pt idx="119">
                  <c:v>301</c:v>
                </c:pt>
                <c:pt idx="120">
                  <c:v>302</c:v>
                </c:pt>
                <c:pt idx="121">
                  <c:v>303</c:v>
                </c:pt>
                <c:pt idx="122">
                  <c:v>304</c:v>
                </c:pt>
                <c:pt idx="123">
                  <c:v>305</c:v>
                </c:pt>
                <c:pt idx="124">
                  <c:v>306</c:v>
                </c:pt>
                <c:pt idx="125">
                  <c:v>307</c:v>
                </c:pt>
                <c:pt idx="126">
                  <c:v>308</c:v>
                </c:pt>
                <c:pt idx="127">
                  <c:v>309</c:v>
                </c:pt>
                <c:pt idx="128">
                  <c:v>310</c:v>
                </c:pt>
                <c:pt idx="129">
                  <c:v>311</c:v>
                </c:pt>
                <c:pt idx="130">
                  <c:v>312</c:v>
                </c:pt>
                <c:pt idx="131">
                  <c:v>313</c:v>
                </c:pt>
                <c:pt idx="132">
                  <c:v>314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318</c:v>
                </c:pt>
                <c:pt idx="137">
                  <c:v>319</c:v>
                </c:pt>
                <c:pt idx="138">
                  <c:v>320</c:v>
                </c:pt>
                <c:pt idx="139">
                  <c:v>321</c:v>
                </c:pt>
                <c:pt idx="140">
                  <c:v>322</c:v>
                </c:pt>
                <c:pt idx="141">
                  <c:v>323</c:v>
                </c:pt>
                <c:pt idx="142">
                  <c:v>324</c:v>
                </c:pt>
                <c:pt idx="143">
                  <c:v>325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kvie'!$AN$184:$AN$327</c15:sqref>
                  </c15:fullRef>
                </c:ext>
              </c:extLst>
              <c:f>'Vækstfunktion, kry kvie'!$AN$184:$AN$327</c:f>
              <c:numCache>
                <c:formatCode>#,##0.00</c:formatCode>
                <c:ptCount val="144"/>
                <c:pt idx="0">
                  <c:v>390.7042915874664</c:v>
                </c:pt>
                <c:pt idx="1">
                  <c:v>395.06651681513938</c:v>
                </c:pt>
                <c:pt idx="2">
                  <c:v>399.31489301150646</c:v>
                </c:pt>
                <c:pt idx="3">
                  <c:v>403.48169131196721</c:v>
                </c:pt>
                <c:pt idx="4">
                  <c:v>407.56619375731441</c:v>
                </c:pt>
                <c:pt idx="5">
                  <c:v>411.56768931395948</c:v>
                </c:pt>
                <c:pt idx="6">
                  <c:v>415.48547394846855</c:v>
                </c:pt>
                <c:pt idx="7">
                  <c:v>419.31885070295209</c:v>
                </c:pt>
                <c:pt idx="8">
                  <c:v>423.03818983404346</c:v>
                </c:pt>
                <c:pt idx="9">
                  <c:v>426.67228399683097</c:v>
                </c:pt>
                <c:pt idx="10">
                  <c:v>430.22046420776292</c:v>
                </c:pt>
                <c:pt idx="11">
                  <c:v>433.68206886807786</c:v>
                </c:pt>
                <c:pt idx="12">
                  <c:v>437.05644384294089</c:v>
                </c:pt>
                <c:pt idx="13">
                  <c:v>440.34294254123336</c:v>
                </c:pt>
                <c:pt idx="14">
                  <c:v>443.51586516682892</c:v>
                </c:pt>
                <c:pt idx="15">
                  <c:v>446.60022059595019</c:v>
                </c:pt>
                <c:pt idx="16">
                  <c:v>449.59539164141609</c:v>
                </c:pt>
                <c:pt idx="17">
                  <c:v>452.5007689851808</c:v>
                </c:pt>
                <c:pt idx="18">
                  <c:v>455.31575126112352</c:v>
                </c:pt>
                <c:pt idx="19">
                  <c:v>458.03974513831838</c:v>
                </c:pt>
                <c:pt idx="20">
                  <c:v>460.67216540484003</c:v>
                </c:pt>
                <c:pt idx="21">
                  <c:v>463.19218474599359</c:v>
                </c:pt>
                <c:pt idx="22">
                  <c:v>465.62011432141071</c:v>
                </c:pt>
                <c:pt idx="23">
                  <c:v>467.95539446933969</c:v>
                </c:pt>
                <c:pt idx="24">
                  <c:v>470.19745691757919</c:v>
                </c:pt>
                <c:pt idx="25">
                  <c:v>472.34572343504703</c:v>
                </c:pt>
                <c:pt idx="26">
                  <c:v>474.39960591793283</c:v>
                </c:pt>
                <c:pt idx="27">
                  <c:v>476.3586475783178</c:v>
                </c:pt>
                <c:pt idx="28">
                  <c:v>478.22295083649522</c:v>
                </c:pt>
                <c:pt idx="29">
                  <c:v>479.99276193119169</c:v>
                </c:pt>
                <c:pt idx="30">
                  <c:v>481.66833093645664</c:v>
                </c:pt>
                <c:pt idx="31">
                  <c:v>483.23605718364786</c:v>
                </c:pt>
                <c:pt idx="32">
                  <c:v>484.71056252171059</c:v>
                </c:pt>
                <c:pt idx="33">
                  <c:v>486.09209623989398</c:v>
                </c:pt>
                <c:pt idx="34">
                  <c:v>487.3809114087328</c:v>
                </c:pt>
                <c:pt idx="35">
                  <c:v>488.57726486361355</c:v>
                </c:pt>
                <c:pt idx="36">
                  <c:v>1233.8206555604906</c:v>
                </c:pt>
                <c:pt idx="37">
                  <c:v>1245.318672844455</c:v>
                </c:pt>
                <c:pt idx="38">
                  <c:v>1256.7988346400746</c:v>
                </c:pt>
                <c:pt idx="39">
                  <c:v>1268.2611434992591</c:v>
                </c:pt>
                <c:pt idx="40">
                  <c:v>1279.705603681449</c:v>
                </c:pt>
                <c:pt idx="41">
                  <c:v>1291.13222136798</c:v>
                </c:pt>
                <c:pt idx="42">
                  <c:v>1302.541004876967</c:v>
                </c:pt>
                <c:pt idx="43">
                  <c:v>1313.9319648786607</c:v>
                </c:pt>
                <c:pt idx="44">
                  <c:v>1325.3051146112871</c:v>
                </c:pt>
                <c:pt idx="45">
                  <c:v>1336.6529765128068</c:v>
                </c:pt>
                <c:pt idx="46">
                  <c:v>1347.9833895318468</c:v>
                </c:pt>
                <c:pt idx="47">
                  <c:v>1359.296363693798</c:v>
                </c:pt>
                <c:pt idx="48">
                  <c:v>1370.5919124590812</c:v>
                </c:pt>
                <c:pt idx="49">
                  <c:v>1381.8700529406649</c:v>
                </c:pt>
                <c:pt idx="50">
                  <c:v>1393.1308061218861</c:v>
                </c:pt>
                <c:pt idx="51">
                  <c:v>1404.3741970744279</c:v>
                </c:pt>
                <c:pt idx="52">
                  <c:v>1415.600255176558</c:v>
                </c:pt>
                <c:pt idx="53">
                  <c:v>1426.8090143314687</c:v>
                </c:pt>
                <c:pt idx="54">
                  <c:v>1438.0005131857997</c:v>
                </c:pt>
                <c:pt idx="55">
                  <c:v>1449.1747953482597</c:v>
                </c:pt>
                <c:pt idx="56">
                  <c:v>1460.3319096083126</c:v>
                </c:pt>
                <c:pt idx="57">
                  <c:v>1471.4719101549647</c:v>
                </c:pt>
                <c:pt idx="58">
                  <c:v>1482.5948567955975</c:v>
                </c:pt>
                <c:pt idx="59">
                  <c:v>1493.7008151748021</c:v>
                </c:pt>
                <c:pt idx="60">
                  <c:v>1504.7898569932274</c:v>
                </c:pt>
                <c:pt idx="61">
                  <c:v>1515.8620602264789</c:v>
                </c:pt>
                <c:pt idx="62">
                  <c:v>1526.9175093438889</c:v>
                </c:pt>
                <c:pt idx="63">
                  <c:v>1537.9562955273539</c:v>
                </c:pt>
                <c:pt idx="64">
                  <c:v>1548.9785168900428</c:v>
                </c:pt>
                <c:pt idx="65">
                  <c:v>1559.9842786951338</c:v>
                </c:pt>
                <c:pt idx="66">
                  <c:v>1570.9836766298727</c:v>
                </c:pt>
                <c:pt idx="67">
                  <c:v>1582.074126744016</c:v>
                </c:pt>
                <c:pt idx="68">
                  <c:v>1593.1213532692188</c:v>
                </c:pt>
                <c:pt idx="69">
                  <c:v>1604.1254432675662</c:v>
                </c:pt>
                <c:pt idx="70">
                  <c:v>1615.0864950441378</c:v>
                </c:pt>
                <c:pt idx="71">
                  <c:v>1625.0106546648738</c:v>
                </c:pt>
                <c:pt idx="72">
                  <c:v>1630.8914970700378</c:v>
                </c:pt>
                <c:pt idx="73">
                  <c:v>1636.6886410462055</c:v>
                </c:pt>
                <c:pt idx="74">
                  <c:v>1642.4023245724534</c:v>
                </c:pt>
                <c:pt idx="75">
                  <c:v>1648.0327973480305</c:v>
                </c:pt>
                <c:pt idx="76">
                  <c:v>1653.5803208084565</c:v>
                </c:pt>
                <c:pt idx="77">
                  <c:v>1659.0451681400434</c:v>
                </c:pt>
                <c:pt idx="78">
                  <c:v>1664.427624292869</c:v>
                </c:pt>
                <c:pt idx="79">
                  <c:v>1669.7279859922485</c:v>
                </c:pt>
                <c:pt idx="80">
                  <c:v>1674.9465617487847</c:v>
                </c:pt>
                <c:pt idx="81">
                  <c:v>1680.0870117753395</c:v>
                </c:pt>
                <c:pt idx="82">
                  <c:v>1685.1464294730936</c:v>
                </c:pt>
                <c:pt idx="83">
                  <c:v>1688.5839915208833</c:v>
                </c:pt>
                <c:pt idx="84">
                  <c:v>1691.2937538847439</c:v>
                </c:pt>
                <c:pt idx="85">
                  <c:v>1693.91946542236</c:v>
                </c:pt>
                <c:pt idx="86">
                  <c:v>1696.4615846095458</c:v>
                </c:pt>
                <c:pt idx="87">
                  <c:v>1698.9205780969899</c:v>
                </c:pt>
                <c:pt idx="88">
                  <c:v>1701.2968086244653</c:v>
                </c:pt>
                <c:pt idx="89">
                  <c:v>1703.5901960421418</c:v>
                </c:pt>
                <c:pt idx="90">
                  <c:v>1705.8050402117756</c:v>
                </c:pt>
                <c:pt idx="91">
                  <c:v>1707.9368566203218</c:v>
                </c:pt>
                <c:pt idx="92">
                  <c:v>1709.9854654992971</c:v>
                </c:pt>
                <c:pt idx="93">
                  <c:v>1711.9506870055127</c:v>
                </c:pt>
                <c:pt idx="94">
                  <c:v>1713.8323412618629</c:v>
                </c:pt>
                <c:pt idx="95">
                  <c:v>1715.6302483979073</c:v>
                </c:pt>
                <c:pt idx="96">
                  <c:v>1717.3442285901017</c:v>
                </c:pt>
                <c:pt idx="97">
                  <c:v>1718.9799704766522</c:v>
                </c:pt>
                <c:pt idx="98">
                  <c:v>1720.5316983002717</c:v>
                </c:pt>
                <c:pt idx="99">
                  <c:v>1721.9992489085232</c:v>
                </c:pt>
                <c:pt idx="100">
                  <c:v>1723.3824745163422</c:v>
                </c:pt>
                <c:pt idx="101">
                  <c:v>1724.6812446202327</c:v>
                </c:pt>
                <c:pt idx="102">
                  <c:v>1725.8954460368795</c:v>
                </c:pt>
                <c:pt idx="103">
                  <c:v>1727.0321513209967</c:v>
                </c:pt>
                <c:pt idx="104">
                  <c:v>1728.0843595768163</c:v>
                </c:pt>
                <c:pt idx="105">
                  <c:v>1729.0520049889367</c:v>
                </c:pt>
                <c:pt idx="106">
                  <c:v>1729.9350392139618</c:v>
                </c:pt>
                <c:pt idx="107">
                  <c:v>1730.7334314178268</c:v>
                </c:pt>
                <c:pt idx="108">
                  <c:v>1731.4552914085964</c:v>
                </c:pt>
                <c:pt idx="109">
                  <c:v>1732.0927270103582</c:v>
                </c:pt>
                <c:pt idx="110">
                  <c:v>1732.6457553161254</c:v>
                </c:pt>
                <c:pt idx="111">
                  <c:v>1733.1144110746593</c:v>
                </c:pt>
                <c:pt idx="112">
                  <c:v>1733.4987467263797</c:v>
                </c:pt>
                <c:pt idx="113">
                  <c:v>1733.807833102411</c:v>
                </c:pt>
                <c:pt idx="114">
                  <c:v>1734.0329648072025</c:v>
                </c:pt>
                <c:pt idx="115">
                  <c:v>1734.1742427472398</c:v>
                </c:pt>
                <c:pt idx="116">
                  <c:v>1734.2317856617549</c:v>
                </c:pt>
                <c:pt idx="117">
                  <c:v>1734.2057301572911</c:v>
                </c:pt>
                <c:pt idx="118">
                  <c:v>1734.1060318242398</c:v>
                </c:pt>
                <c:pt idx="119">
                  <c:v>1733.9232500745941</c:v>
                </c:pt>
                <c:pt idx="120">
                  <c:v>1733.6575705001312</c:v>
                </c:pt>
                <c:pt idx="121">
                  <c:v>1733.3091966957857</c:v>
                </c:pt>
                <c:pt idx="122">
                  <c:v>1732.8887010603398</c:v>
                </c:pt>
                <c:pt idx="123">
                  <c:v>1732.3861461122412</c:v>
                </c:pt>
                <c:pt idx="124">
                  <c:v>1731.8017848330539</c:v>
                </c:pt>
                <c:pt idx="125">
                  <c:v>1731.1358883393311</c:v>
                </c:pt>
                <c:pt idx="126">
                  <c:v>1730.3996029712771</c:v>
                </c:pt>
                <c:pt idx="127">
                  <c:v>1729.5825382751748</c:v>
                </c:pt>
                <c:pt idx="128">
                  <c:v>1728.6850151437154</c:v>
                </c:pt>
                <c:pt idx="129">
                  <c:v>1727.7185432058225</c:v>
                </c:pt>
                <c:pt idx="130">
                  <c:v>1726.6724589137598</c:v>
                </c:pt>
                <c:pt idx="131">
                  <c:v>1725.5471332209861</c:v>
                </c:pt>
                <c:pt idx="132">
                  <c:v>1724.3429554373135</c:v>
                </c:pt>
                <c:pt idx="133">
                  <c:v>1723.0719376949135</c:v>
                </c:pt>
                <c:pt idx="134">
                  <c:v>1721.7230366833019</c:v>
                </c:pt>
                <c:pt idx="135">
                  <c:v>1720.2966921429409</c:v>
                </c:pt>
                <c:pt idx="136">
                  <c:v>1718.7933622922144</c:v>
                </c:pt>
                <c:pt idx="137">
                  <c:v>1717.2255188583533</c:v>
                </c:pt>
                <c:pt idx="138">
                  <c:v>1715.5817826488251</c:v>
                </c:pt>
                <c:pt idx="139">
                  <c:v>1713.8626626722496</c:v>
                </c:pt>
                <c:pt idx="140">
                  <c:v>1712.0809178027296</c:v>
                </c:pt>
                <c:pt idx="141">
                  <c:v>1710.2249739023507</c:v>
                </c:pt>
                <c:pt idx="142">
                  <c:v>1708.2953910334072</c:v>
                </c:pt>
                <c:pt idx="143">
                  <c:v>1706.3051961913045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2-44B5-B7DA-A6880C739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"/>
        <c:auto val="1"/>
        <c:lblAlgn val="ctr"/>
        <c:lblOffset val="100"/>
        <c:tickLblSkip val="10"/>
        <c:tickMarkSkip val="1"/>
        <c:noMultiLvlLbl val="0"/>
      </c:catAx>
      <c:valAx>
        <c:axId val="76917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At val="1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1800" b="0" i="0" baseline="0">
                <a:effectLst/>
              </a:rPr>
              <a:t>Dækningsbidrag minus arbejdsomkostninger, Kr. pr. anvendt m2, Zoom</a:t>
            </a:r>
            <a:endParaRPr lang="da-DK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3507961136153358E-2"/>
          <c:y val="0.21492873874636639"/>
          <c:w val="0.88712934592026715"/>
          <c:h val="0.6413498715886321"/>
        </c:manualLayout>
      </c:layout>
      <c:lineChart>
        <c:grouping val="standard"/>
        <c:varyColors val="0"/>
        <c:ser>
          <c:idx val="3"/>
          <c:order val="0"/>
          <c:tx>
            <c:strRef>
              <c:f>'Vækstfunktion, hol'!$AP$2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hol'!$A$212:$A$302</c:f>
              <c:numCache>
                <c:formatCode>General</c:formatCode>
                <c:ptCount val="91"/>
                <c:pt idx="0">
                  <c:v>210</c:v>
                </c:pt>
                <c:pt idx="1">
                  <c:v>211</c:v>
                </c:pt>
                <c:pt idx="2">
                  <c:v>212</c:v>
                </c:pt>
                <c:pt idx="3">
                  <c:v>213</c:v>
                </c:pt>
                <c:pt idx="4">
                  <c:v>214</c:v>
                </c:pt>
                <c:pt idx="5">
                  <c:v>215</c:v>
                </c:pt>
                <c:pt idx="6">
                  <c:v>216</c:v>
                </c:pt>
                <c:pt idx="7">
                  <c:v>217</c:v>
                </c:pt>
                <c:pt idx="8">
                  <c:v>218</c:v>
                </c:pt>
                <c:pt idx="9">
                  <c:v>219</c:v>
                </c:pt>
                <c:pt idx="10">
                  <c:v>220</c:v>
                </c:pt>
                <c:pt idx="11">
                  <c:v>221</c:v>
                </c:pt>
                <c:pt idx="12">
                  <c:v>222</c:v>
                </c:pt>
                <c:pt idx="13">
                  <c:v>223</c:v>
                </c:pt>
                <c:pt idx="14">
                  <c:v>224</c:v>
                </c:pt>
                <c:pt idx="15">
                  <c:v>225</c:v>
                </c:pt>
                <c:pt idx="16">
                  <c:v>226</c:v>
                </c:pt>
                <c:pt idx="17">
                  <c:v>227</c:v>
                </c:pt>
                <c:pt idx="18">
                  <c:v>228</c:v>
                </c:pt>
                <c:pt idx="19">
                  <c:v>229</c:v>
                </c:pt>
                <c:pt idx="20">
                  <c:v>230</c:v>
                </c:pt>
                <c:pt idx="21">
                  <c:v>231</c:v>
                </c:pt>
                <c:pt idx="22">
                  <c:v>232</c:v>
                </c:pt>
                <c:pt idx="23">
                  <c:v>233</c:v>
                </c:pt>
                <c:pt idx="24">
                  <c:v>234</c:v>
                </c:pt>
                <c:pt idx="25">
                  <c:v>235</c:v>
                </c:pt>
                <c:pt idx="26">
                  <c:v>236</c:v>
                </c:pt>
                <c:pt idx="27">
                  <c:v>237</c:v>
                </c:pt>
                <c:pt idx="28">
                  <c:v>238</c:v>
                </c:pt>
                <c:pt idx="29">
                  <c:v>239</c:v>
                </c:pt>
                <c:pt idx="30">
                  <c:v>240</c:v>
                </c:pt>
                <c:pt idx="31">
                  <c:v>241</c:v>
                </c:pt>
                <c:pt idx="32">
                  <c:v>242</c:v>
                </c:pt>
                <c:pt idx="33">
                  <c:v>243</c:v>
                </c:pt>
                <c:pt idx="34">
                  <c:v>244</c:v>
                </c:pt>
                <c:pt idx="35">
                  <c:v>245</c:v>
                </c:pt>
                <c:pt idx="36">
                  <c:v>246</c:v>
                </c:pt>
                <c:pt idx="37">
                  <c:v>247</c:v>
                </c:pt>
                <c:pt idx="38">
                  <c:v>248</c:v>
                </c:pt>
                <c:pt idx="39">
                  <c:v>249</c:v>
                </c:pt>
                <c:pt idx="40">
                  <c:v>250</c:v>
                </c:pt>
                <c:pt idx="41">
                  <c:v>251</c:v>
                </c:pt>
                <c:pt idx="42">
                  <c:v>252</c:v>
                </c:pt>
                <c:pt idx="43">
                  <c:v>253</c:v>
                </c:pt>
                <c:pt idx="44">
                  <c:v>254</c:v>
                </c:pt>
                <c:pt idx="45">
                  <c:v>255</c:v>
                </c:pt>
                <c:pt idx="46">
                  <c:v>256</c:v>
                </c:pt>
                <c:pt idx="47">
                  <c:v>257</c:v>
                </c:pt>
                <c:pt idx="48">
                  <c:v>258</c:v>
                </c:pt>
                <c:pt idx="49">
                  <c:v>259</c:v>
                </c:pt>
                <c:pt idx="50">
                  <c:v>260</c:v>
                </c:pt>
                <c:pt idx="51">
                  <c:v>261</c:v>
                </c:pt>
                <c:pt idx="52">
                  <c:v>262</c:v>
                </c:pt>
                <c:pt idx="53">
                  <c:v>263</c:v>
                </c:pt>
                <c:pt idx="54">
                  <c:v>264</c:v>
                </c:pt>
                <c:pt idx="55">
                  <c:v>265</c:v>
                </c:pt>
                <c:pt idx="56">
                  <c:v>266</c:v>
                </c:pt>
                <c:pt idx="57">
                  <c:v>267</c:v>
                </c:pt>
                <c:pt idx="58">
                  <c:v>268</c:v>
                </c:pt>
                <c:pt idx="59">
                  <c:v>269</c:v>
                </c:pt>
                <c:pt idx="60">
                  <c:v>270</c:v>
                </c:pt>
                <c:pt idx="61">
                  <c:v>271</c:v>
                </c:pt>
                <c:pt idx="62">
                  <c:v>272</c:v>
                </c:pt>
                <c:pt idx="63">
                  <c:v>273</c:v>
                </c:pt>
                <c:pt idx="64">
                  <c:v>274</c:v>
                </c:pt>
                <c:pt idx="65">
                  <c:v>275</c:v>
                </c:pt>
                <c:pt idx="66">
                  <c:v>276</c:v>
                </c:pt>
                <c:pt idx="67">
                  <c:v>277</c:v>
                </c:pt>
                <c:pt idx="68">
                  <c:v>278</c:v>
                </c:pt>
                <c:pt idx="69">
                  <c:v>279</c:v>
                </c:pt>
                <c:pt idx="70">
                  <c:v>280</c:v>
                </c:pt>
                <c:pt idx="71">
                  <c:v>281</c:v>
                </c:pt>
                <c:pt idx="72">
                  <c:v>282</c:v>
                </c:pt>
                <c:pt idx="73">
                  <c:v>283</c:v>
                </c:pt>
                <c:pt idx="74">
                  <c:v>284</c:v>
                </c:pt>
                <c:pt idx="75">
                  <c:v>285</c:v>
                </c:pt>
                <c:pt idx="76">
                  <c:v>286</c:v>
                </c:pt>
                <c:pt idx="77">
                  <c:v>287</c:v>
                </c:pt>
                <c:pt idx="78">
                  <c:v>288</c:v>
                </c:pt>
                <c:pt idx="79">
                  <c:v>289</c:v>
                </c:pt>
                <c:pt idx="80">
                  <c:v>290</c:v>
                </c:pt>
                <c:pt idx="81">
                  <c:v>291</c:v>
                </c:pt>
                <c:pt idx="82">
                  <c:v>292</c:v>
                </c:pt>
                <c:pt idx="83">
                  <c:v>293</c:v>
                </c:pt>
                <c:pt idx="84">
                  <c:v>294</c:v>
                </c:pt>
                <c:pt idx="85">
                  <c:v>295</c:v>
                </c:pt>
                <c:pt idx="86">
                  <c:v>296</c:v>
                </c:pt>
                <c:pt idx="87">
                  <c:v>297</c:v>
                </c:pt>
                <c:pt idx="88">
                  <c:v>298</c:v>
                </c:pt>
                <c:pt idx="89">
                  <c:v>299</c:v>
                </c:pt>
                <c:pt idx="90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hol'!$AP$184:$AP$327</c15:sqref>
                  </c15:fullRef>
                </c:ext>
              </c:extLst>
              <c:f>'Vækstfunktion, hol'!$AP$212:$AP$302</c:f>
              <c:numCache>
                <c:formatCode>#,##0.00</c:formatCode>
                <c:ptCount val="91"/>
                <c:pt idx="0">
                  <c:v>16.727158005053983</c:v>
                </c:pt>
                <c:pt idx="1">
                  <c:v>17.358545002257166</c:v>
                </c:pt>
                <c:pt idx="2">
                  <c:v>17.939135706807569</c:v>
                </c:pt>
                <c:pt idx="3">
                  <c:v>18.469766018141893</c:v>
                </c:pt>
                <c:pt idx="4">
                  <c:v>18.951254362194572</c:v>
                </c:pt>
                <c:pt idx="5">
                  <c:v>19.384402319263607</c:v>
                </c:pt>
                <c:pt idx="6">
                  <c:v>19.760870068148211</c:v>
                </c:pt>
                <c:pt idx="7">
                  <c:v>20.090616570099321</c:v>
                </c:pt>
                <c:pt idx="8">
                  <c:v>20.374392887400084</c:v>
                </c:pt>
                <c:pt idx="9">
                  <c:v>20.612935586045591</c:v>
                </c:pt>
                <c:pt idx="10">
                  <c:v>20.806967237959913</c:v>
                </c:pt>
                <c:pt idx="11">
                  <c:v>20.957196902239964</c:v>
                </c:pt>
                <c:pt idx="12">
                  <c:v>534.82917266690413</c:v>
                </c:pt>
                <c:pt idx="13">
                  <c:v>537.88632874643463</c:v>
                </c:pt>
                <c:pt idx="14">
                  <c:v>540.90301460767171</c:v>
                </c:pt>
                <c:pt idx="15">
                  <c:v>543.8797607263715</c:v>
                </c:pt>
                <c:pt idx="16">
                  <c:v>546.81708960585013</c:v>
                </c:pt>
                <c:pt idx="17">
                  <c:v>549.71551615476062</c:v>
                </c:pt>
                <c:pt idx="18">
                  <c:v>552.57554805031475</c:v>
                </c:pt>
                <c:pt idx="19">
                  <c:v>555.39768608757572</c:v>
                </c:pt>
                <c:pt idx="20">
                  <c:v>558.18242451541983</c:v>
                </c:pt>
                <c:pt idx="21">
                  <c:v>560.92075937582558</c:v>
                </c:pt>
                <c:pt idx="22">
                  <c:v>563.62269386189701</c:v>
                </c:pt>
                <c:pt idx="23">
                  <c:v>566.28870196765183</c:v>
                </c:pt>
                <c:pt idx="24">
                  <c:v>568.91925242452123</c:v>
                </c:pt>
                <c:pt idx="25">
                  <c:v>571.51480897689044</c:v>
                </c:pt>
                <c:pt idx="26">
                  <c:v>574.07583064741652</c:v>
                </c:pt>
                <c:pt idx="27">
                  <c:v>576.60277199259463</c:v>
                </c:pt>
                <c:pt idx="28">
                  <c:v>579.0960833489363</c:v>
                </c:pt>
                <c:pt idx="29">
                  <c:v>581.55621107018567</c:v>
                </c:pt>
                <c:pt idx="30">
                  <c:v>583.98359775591302</c:v>
                </c:pt>
                <c:pt idx="31">
                  <c:v>586.37868247185645</c:v>
                </c:pt>
                <c:pt idx="32">
                  <c:v>588.7318888186885</c:v>
                </c:pt>
                <c:pt idx="33">
                  <c:v>591.05367267357769</c:v>
                </c:pt>
                <c:pt idx="34">
                  <c:v>593.34446171201034</c:v>
                </c:pt>
                <c:pt idx="35">
                  <c:v>595.60468092791052</c:v>
                </c:pt>
                <c:pt idx="36">
                  <c:v>597.83475281608423</c:v>
                </c:pt>
                <c:pt idx="37">
                  <c:v>600.03509754824654</c:v>
                </c:pt>
                <c:pt idx="38">
                  <c:v>602.20613314291734</c:v>
                </c:pt>
                <c:pt idx="39">
                  <c:v>604.34827562937824</c:v>
                </c:pt>
                <c:pt idx="40">
                  <c:v>605.92293496902141</c:v>
                </c:pt>
                <c:pt idx="41">
                  <c:v>605.31968562548309</c:v>
                </c:pt>
                <c:pt idx="42">
                  <c:v>604.72487970536508</c:v>
                </c:pt>
                <c:pt idx="43">
                  <c:v>604.09967875615553</c:v>
                </c:pt>
                <c:pt idx="44">
                  <c:v>603.44455190049155</c:v>
                </c:pt>
                <c:pt idx="45">
                  <c:v>602.75996991666216</c:v>
                </c:pt>
                <c:pt idx="46">
                  <c:v>602.04640521078909</c:v>
                </c:pt>
                <c:pt idx="47">
                  <c:v>601.3043317891777</c:v>
                </c:pt>
                <c:pt idx="48">
                  <c:v>600.53422523082463</c:v>
                </c:pt>
                <c:pt idx="49">
                  <c:v>599.7365626601412</c:v>
                </c:pt>
                <c:pt idx="50">
                  <c:v>598.91182271985838</c:v>
                </c:pt>
                <c:pt idx="51">
                  <c:v>598.06048554415725</c:v>
                </c:pt>
                <c:pt idx="52">
                  <c:v>597.1830327320572</c:v>
                </c:pt>
                <c:pt idx="53">
                  <c:v>596.27994732101718</c:v>
                </c:pt>
                <c:pt idx="54">
                  <c:v>595.35171376083144</c:v>
                </c:pt>
                <c:pt idx="55">
                  <c:v>594.39881788777757</c:v>
                </c:pt>
                <c:pt idx="56">
                  <c:v>593.42174689907688</c:v>
                </c:pt>
                <c:pt idx="57">
                  <c:v>592.21467131113559</c:v>
                </c:pt>
                <c:pt idx="58">
                  <c:v>590.28552443382762</c:v>
                </c:pt>
                <c:pt idx="59">
                  <c:v>588.33968233039559</c:v>
                </c:pt>
                <c:pt idx="60">
                  <c:v>586.37726799375378</c:v>
                </c:pt>
                <c:pt idx="61">
                  <c:v>584.39840771886622</c:v>
                </c:pt>
                <c:pt idx="62">
                  <c:v>582.40323103881099</c:v>
                </c:pt>
                <c:pt idx="63">
                  <c:v>580.39187066259979</c:v>
                </c:pt>
                <c:pt idx="64">
                  <c:v>578.36446241480917</c:v>
                </c:pt>
                <c:pt idx="65">
                  <c:v>576.32114517682101</c:v>
                </c:pt>
                <c:pt idx="66">
                  <c:v>574.26206082974852</c:v>
                </c:pt>
                <c:pt idx="67">
                  <c:v>572.18735419888355</c:v>
                </c:pt>
                <c:pt idx="68">
                  <c:v>570.09717299968247</c:v>
                </c:pt>
                <c:pt idx="69">
                  <c:v>567.99166778521692</c:v>
                </c:pt>
                <c:pt idx="70">
                  <c:v>565.87099189502442</c:v>
                </c:pt>
                <c:pt idx="71">
                  <c:v>563.73530140532284</c:v>
                </c:pt>
                <c:pt idx="72">
                  <c:v>561.58475508056063</c:v>
                </c:pt>
                <c:pt idx="73">
                  <c:v>559.41951432622864</c:v>
                </c:pt>
                <c:pt idx="74">
                  <c:v>557.23974314290808</c:v>
                </c:pt>
                <c:pt idx="75">
                  <c:v>555.04560808151621</c:v>
                </c:pt>
                <c:pt idx="76">
                  <c:v>552.84866045782269</c:v>
                </c:pt>
                <c:pt idx="77">
                  <c:v>550.63763176548923</c:v>
                </c:pt>
                <c:pt idx="78">
                  <c:v>548.41269530022134</c:v>
                </c:pt>
                <c:pt idx="79">
                  <c:v>546.17402675214817</c:v>
                </c:pt>
                <c:pt idx="80">
                  <c:v>543.92180416619385</c:v>
                </c:pt>
                <c:pt idx="81">
                  <c:v>541.65620790343837</c:v>
                </c:pt>
                <c:pt idx="82">
                  <c:v>539.37742060343089</c:v>
                </c:pt>
                <c:pt idx="83">
                  <c:v>537.08562714742527</c:v>
                </c:pt>
                <c:pt idx="84">
                  <c:v>534.78101462250186</c:v>
                </c:pt>
                <c:pt idx="85">
                  <c:v>532.46377228659355</c:v>
                </c:pt>
                <c:pt idx="86">
                  <c:v>530.14533090942984</c:v>
                </c:pt>
                <c:pt idx="87">
                  <c:v>527.81457814132455</c:v>
                </c:pt>
                <c:pt idx="88">
                  <c:v>525.47170904625034</c:v>
                </c:pt>
                <c:pt idx="89">
                  <c:v>523.11692073607003</c:v>
                </c:pt>
                <c:pt idx="90">
                  <c:v>520.75041233930483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4-4241-87EC-328AF32F99DB}"/>
            </c:ext>
          </c:extLst>
        </c:ser>
        <c:ser>
          <c:idx val="0"/>
          <c:order val="1"/>
          <c:tx>
            <c:v>kryds tyr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hol'!$A$212:$A$302</c:f>
              <c:numCache>
                <c:formatCode>General</c:formatCode>
                <c:ptCount val="91"/>
                <c:pt idx="0">
                  <c:v>210</c:v>
                </c:pt>
                <c:pt idx="1">
                  <c:v>211</c:v>
                </c:pt>
                <c:pt idx="2">
                  <c:v>212</c:v>
                </c:pt>
                <c:pt idx="3">
                  <c:v>213</c:v>
                </c:pt>
                <c:pt idx="4">
                  <c:v>214</c:v>
                </c:pt>
                <c:pt idx="5">
                  <c:v>215</c:v>
                </c:pt>
                <c:pt idx="6">
                  <c:v>216</c:v>
                </c:pt>
                <c:pt idx="7">
                  <c:v>217</c:v>
                </c:pt>
                <c:pt idx="8">
                  <c:v>218</c:v>
                </c:pt>
                <c:pt idx="9">
                  <c:v>219</c:v>
                </c:pt>
                <c:pt idx="10">
                  <c:v>220</c:v>
                </c:pt>
                <c:pt idx="11">
                  <c:v>221</c:v>
                </c:pt>
                <c:pt idx="12">
                  <c:v>222</c:v>
                </c:pt>
                <c:pt idx="13">
                  <c:v>223</c:v>
                </c:pt>
                <c:pt idx="14">
                  <c:v>224</c:v>
                </c:pt>
                <c:pt idx="15">
                  <c:v>225</c:v>
                </c:pt>
                <c:pt idx="16">
                  <c:v>226</c:v>
                </c:pt>
                <c:pt idx="17">
                  <c:v>227</c:v>
                </c:pt>
                <c:pt idx="18">
                  <c:v>228</c:v>
                </c:pt>
                <c:pt idx="19">
                  <c:v>229</c:v>
                </c:pt>
                <c:pt idx="20">
                  <c:v>230</c:v>
                </c:pt>
                <c:pt idx="21">
                  <c:v>231</c:v>
                </c:pt>
                <c:pt idx="22">
                  <c:v>232</c:v>
                </c:pt>
                <c:pt idx="23">
                  <c:v>233</c:v>
                </c:pt>
                <c:pt idx="24">
                  <c:v>234</c:v>
                </c:pt>
                <c:pt idx="25">
                  <c:v>235</c:v>
                </c:pt>
                <c:pt idx="26">
                  <c:v>236</c:v>
                </c:pt>
                <c:pt idx="27">
                  <c:v>237</c:v>
                </c:pt>
                <c:pt idx="28">
                  <c:v>238</c:v>
                </c:pt>
                <c:pt idx="29">
                  <c:v>239</c:v>
                </c:pt>
                <c:pt idx="30">
                  <c:v>240</c:v>
                </c:pt>
                <c:pt idx="31">
                  <c:v>241</c:v>
                </c:pt>
                <c:pt idx="32">
                  <c:v>242</c:v>
                </c:pt>
                <c:pt idx="33">
                  <c:v>243</c:v>
                </c:pt>
                <c:pt idx="34">
                  <c:v>244</c:v>
                </c:pt>
                <c:pt idx="35">
                  <c:v>245</c:v>
                </c:pt>
                <c:pt idx="36">
                  <c:v>246</c:v>
                </c:pt>
                <c:pt idx="37">
                  <c:v>247</c:v>
                </c:pt>
                <c:pt idx="38">
                  <c:v>248</c:v>
                </c:pt>
                <c:pt idx="39">
                  <c:v>249</c:v>
                </c:pt>
                <c:pt idx="40">
                  <c:v>250</c:v>
                </c:pt>
                <c:pt idx="41">
                  <c:v>251</c:v>
                </c:pt>
                <c:pt idx="42">
                  <c:v>252</c:v>
                </c:pt>
                <c:pt idx="43">
                  <c:v>253</c:v>
                </c:pt>
                <c:pt idx="44">
                  <c:v>254</c:v>
                </c:pt>
                <c:pt idx="45">
                  <c:v>255</c:v>
                </c:pt>
                <c:pt idx="46">
                  <c:v>256</c:v>
                </c:pt>
                <c:pt idx="47">
                  <c:v>257</c:v>
                </c:pt>
                <c:pt idx="48">
                  <c:v>258</c:v>
                </c:pt>
                <c:pt idx="49">
                  <c:v>259</c:v>
                </c:pt>
                <c:pt idx="50">
                  <c:v>260</c:v>
                </c:pt>
                <c:pt idx="51">
                  <c:v>261</c:v>
                </c:pt>
                <c:pt idx="52">
                  <c:v>262</c:v>
                </c:pt>
                <c:pt idx="53">
                  <c:v>263</c:v>
                </c:pt>
                <c:pt idx="54">
                  <c:v>264</c:v>
                </c:pt>
                <c:pt idx="55">
                  <c:v>265</c:v>
                </c:pt>
                <c:pt idx="56">
                  <c:v>266</c:v>
                </c:pt>
                <c:pt idx="57">
                  <c:v>267</c:v>
                </c:pt>
                <c:pt idx="58">
                  <c:v>268</c:v>
                </c:pt>
                <c:pt idx="59">
                  <c:v>269</c:v>
                </c:pt>
                <c:pt idx="60">
                  <c:v>270</c:v>
                </c:pt>
                <c:pt idx="61">
                  <c:v>271</c:v>
                </c:pt>
                <c:pt idx="62">
                  <c:v>272</c:v>
                </c:pt>
                <c:pt idx="63">
                  <c:v>273</c:v>
                </c:pt>
                <c:pt idx="64">
                  <c:v>274</c:v>
                </c:pt>
                <c:pt idx="65">
                  <c:v>275</c:v>
                </c:pt>
                <c:pt idx="66">
                  <c:v>276</c:v>
                </c:pt>
                <c:pt idx="67">
                  <c:v>277</c:v>
                </c:pt>
                <c:pt idx="68">
                  <c:v>278</c:v>
                </c:pt>
                <c:pt idx="69">
                  <c:v>279</c:v>
                </c:pt>
                <c:pt idx="70">
                  <c:v>280</c:v>
                </c:pt>
                <c:pt idx="71">
                  <c:v>281</c:v>
                </c:pt>
                <c:pt idx="72">
                  <c:v>282</c:v>
                </c:pt>
                <c:pt idx="73">
                  <c:v>283</c:v>
                </c:pt>
                <c:pt idx="74">
                  <c:v>284</c:v>
                </c:pt>
                <c:pt idx="75">
                  <c:v>285</c:v>
                </c:pt>
                <c:pt idx="76">
                  <c:v>286</c:v>
                </c:pt>
                <c:pt idx="77">
                  <c:v>287</c:v>
                </c:pt>
                <c:pt idx="78">
                  <c:v>288</c:v>
                </c:pt>
                <c:pt idx="79">
                  <c:v>289</c:v>
                </c:pt>
                <c:pt idx="80">
                  <c:v>290</c:v>
                </c:pt>
                <c:pt idx="81">
                  <c:v>291</c:v>
                </c:pt>
                <c:pt idx="82">
                  <c:v>292</c:v>
                </c:pt>
                <c:pt idx="83">
                  <c:v>293</c:v>
                </c:pt>
                <c:pt idx="84">
                  <c:v>294</c:v>
                </c:pt>
                <c:pt idx="85">
                  <c:v>295</c:v>
                </c:pt>
                <c:pt idx="86">
                  <c:v>296</c:v>
                </c:pt>
                <c:pt idx="87">
                  <c:v>297</c:v>
                </c:pt>
                <c:pt idx="88">
                  <c:v>298</c:v>
                </c:pt>
                <c:pt idx="89">
                  <c:v>299</c:v>
                </c:pt>
                <c:pt idx="90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tyr'!$AP$184:$AP$327</c15:sqref>
                  </c15:fullRef>
                </c:ext>
              </c:extLst>
              <c:f>'Vækstfunktion, kry tyr'!$AP$212:$AP$302</c:f>
              <c:numCache>
                <c:formatCode>#,##0.00</c:formatCode>
                <c:ptCount val="91"/>
                <c:pt idx="0">
                  <c:v>223.48143809765338</c:v>
                </c:pt>
                <c:pt idx="1">
                  <c:v>224.97383652815833</c:v>
                </c:pt>
                <c:pt idx="2">
                  <c:v>226.38035485852743</c:v>
                </c:pt>
                <c:pt idx="3">
                  <c:v>227.7026578353439</c:v>
                </c:pt>
                <c:pt idx="4">
                  <c:v>228.93247293431429</c:v>
                </c:pt>
                <c:pt idx="5">
                  <c:v>710.7161821777521</c:v>
                </c:pt>
                <c:pt idx="6">
                  <c:v>715.53895270254247</c:v>
                </c:pt>
                <c:pt idx="7">
                  <c:v>720.28441538694733</c:v>
                </c:pt>
                <c:pt idx="8">
                  <c:v>724.95391141914956</c:v>
                </c:pt>
                <c:pt idx="9">
                  <c:v>729.53854449960909</c:v>
                </c:pt>
                <c:pt idx="10">
                  <c:v>734.04984198737702</c:v>
                </c:pt>
                <c:pt idx="11">
                  <c:v>738.53862353677187</c:v>
                </c:pt>
                <c:pt idx="12">
                  <c:v>743.23661116394123</c:v>
                </c:pt>
                <c:pt idx="13">
                  <c:v>747.84403911410175</c:v>
                </c:pt>
                <c:pt idx="14">
                  <c:v>752.36242774514244</c:v>
                </c:pt>
                <c:pt idx="15">
                  <c:v>756.78260001353408</c:v>
                </c:pt>
                <c:pt idx="16">
                  <c:v>761.11670931584047</c:v>
                </c:pt>
                <c:pt idx="17">
                  <c:v>765.36620674650828</c:v>
                </c:pt>
                <c:pt idx="18">
                  <c:v>769.5325230187367</c:v>
                </c:pt>
                <c:pt idx="19">
                  <c:v>773.61706922610927</c:v>
                </c:pt>
                <c:pt idx="20">
                  <c:v>777.62123757407778</c:v>
                </c:pt>
                <c:pt idx="21">
                  <c:v>781.53516189978779</c:v>
                </c:pt>
                <c:pt idx="22">
                  <c:v>785.3714295728754</c:v>
                </c:pt>
                <c:pt idx="23">
                  <c:v>789.13137760453719</c:v>
                </c:pt>
                <c:pt idx="24">
                  <c:v>792.46920369145198</c:v>
                </c:pt>
                <c:pt idx="25">
                  <c:v>794.82384331535673</c:v>
                </c:pt>
                <c:pt idx="26">
                  <c:v>797.1049023732927</c:v>
                </c:pt>
                <c:pt idx="27">
                  <c:v>799.31368471587734</c:v>
                </c:pt>
                <c:pt idx="28">
                  <c:v>801.45147840133347</c:v>
                </c:pt>
                <c:pt idx="29">
                  <c:v>803.50747284630631</c:v>
                </c:pt>
                <c:pt idx="30">
                  <c:v>805.49498605486417</c:v>
                </c:pt>
                <c:pt idx="31">
                  <c:v>807.41525921694927</c:v>
                </c:pt>
                <c:pt idx="32">
                  <c:v>809.26951957764425</c:v>
                </c:pt>
                <c:pt idx="33">
                  <c:v>811.05898084705859</c:v>
                </c:pt>
                <c:pt idx="34">
                  <c:v>812.78484496184137</c:v>
                </c:pt>
                <c:pt idx="35">
                  <c:v>814.44830572146782</c:v>
                </c:pt>
                <c:pt idx="36">
                  <c:v>816.05054950502131</c:v>
                </c:pt>
                <c:pt idx="37">
                  <c:v>817.59275547882544</c:v>
                </c:pt>
                <c:pt idx="38">
                  <c:v>819.06301007609284</c:v>
                </c:pt>
                <c:pt idx="39">
                  <c:v>820.47555905242518</c:v>
                </c:pt>
                <c:pt idx="40">
                  <c:v>821.83156366222943</c:v>
                </c:pt>
                <c:pt idx="41">
                  <c:v>823.13217864493777</c:v>
                </c:pt>
                <c:pt idx="42">
                  <c:v>824.37855239777377</c:v>
                </c:pt>
                <c:pt idx="43">
                  <c:v>825.57182714217561</c:v>
                </c:pt>
                <c:pt idx="44">
                  <c:v>826.71313908406114</c:v>
                </c:pt>
                <c:pt idx="45">
                  <c:v>827.32781766678659</c:v>
                </c:pt>
                <c:pt idx="46">
                  <c:v>825.99820578953791</c:v>
                </c:pt>
                <c:pt idx="47">
                  <c:v>824.63424843971916</c:v>
                </c:pt>
                <c:pt idx="48">
                  <c:v>823.23689054269289</c:v>
                </c:pt>
                <c:pt idx="49">
                  <c:v>821.80707384121501</c:v>
                </c:pt>
                <c:pt idx="50">
                  <c:v>820.34573695081633</c:v>
                </c:pt>
                <c:pt idx="51">
                  <c:v>818.85381541301751</c:v>
                </c:pt>
                <c:pt idx="52">
                  <c:v>817.31823451300193</c:v>
                </c:pt>
                <c:pt idx="53">
                  <c:v>815.7539702244361</c:v>
                </c:pt>
                <c:pt idx="54">
                  <c:v>814.16195085218317</c:v>
                </c:pt>
                <c:pt idx="55">
                  <c:v>812.54310178628714</c:v>
                </c:pt>
                <c:pt idx="56">
                  <c:v>810.89834554706692</c:v>
                </c:pt>
                <c:pt idx="57">
                  <c:v>809.22860182872557</c:v>
                </c:pt>
                <c:pt idx="58">
                  <c:v>807.53478754153161</c:v>
                </c:pt>
                <c:pt idx="59">
                  <c:v>805.81781685269345</c:v>
                </c:pt>
                <c:pt idx="60">
                  <c:v>804.07860122600107</c:v>
                </c:pt>
                <c:pt idx="61">
                  <c:v>802.31804946034367</c:v>
                </c:pt>
                <c:pt idx="62">
                  <c:v>800.5369516625359</c:v>
                </c:pt>
                <c:pt idx="63">
                  <c:v>798.73563258239869</c:v>
                </c:pt>
                <c:pt idx="64">
                  <c:v>796.91430242660954</c:v>
                </c:pt>
                <c:pt idx="65">
                  <c:v>795.07317327436374</c:v>
                </c:pt>
                <c:pt idx="66">
                  <c:v>793.21245905295859</c:v>
                </c:pt>
                <c:pt idx="67">
                  <c:v>791.3323755140957</c:v>
                </c:pt>
                <c:pt idx="68">
                  <c:v>789.43314021085803</c:v>
                </c:pt>
                <c:pt idx="69">
                  <c:v>787.51497247534996</c:v>
                </c:pt>
                <c:pt idx="70">
                  <c:v>785.57809339698008</c:v>
                </c:pt>
                <c:pt idx="71">
                  <c:v>783.62272580133106</c:v>
                </c:pt>
                <c:pt idx="72">
                  <c:v>781.64909422965491</c:v>
                </c:pt>
                <c:pt idx="73">
                  <c:v>779.65742491887681</c:v>
                </c:pt>
                <c:pt idx="74">
                  <c:v>777.64794578218994</c:v>
                </c:pt>
                <c:pt idx="75">
                  <c:v>775.62088639014257</c:v>
                </c:pt>
                <c:pt idx="76">
                  <c:v>773.57647795223909</c:v>
                </c:pt>
                <c:pt idx="77">
                  <c:v>771.51495329901843</c:v>
                </c:pt>
                <c:pt idx="78">
                  <c:v>769.43654686458933</c:v>
                </c:pt>
                <c:pt idx="79">
                  <c:v>767.35558376512915</c:v>
                </c:pt>
                <c:pt idx="80">
                  <c:v>765.25812279964998</c:v>
                </c:pt>
                <c:pt idx="81">
                  <c:v>763.14440231845265</c:v>
                </c:pt>
                <c:pt idx="82">
                  <c:v>760.50008307511894</c:v>
                </c:pt>
                <c:pt idx="83">
                  <c:v>757.28877184562748</c:v>
                </c:pt>
                <c:pt idx="84">
                  <c:v>754.06870082001456</c:v>
                </c:pt>
                <c:pt idx="85">
                  <c:v>750.84005265098654</c:v>
                </c:pt>
                <c:pt idx="86">
                  <c:v>747.60301185961407</c:v>
                </c:pt>
                <c:pt idx="87">
                  <c:v>744.3577648031719</c:v>
                </c:pt>
                <c:pt idx="88">
                  <c:v>741.10449964379779</c:v>
                </c:pt>
                <c:pt idx="89">
                  <c:v>737.84340631794032</c:v>
                </c:pt>
                <c:pt idx="90">
                  <c:v>734.57467650657782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4-4241-87EC-328AF32F99DB}"/>
            </c:ext>
          </c:extLst>
        </c:ser>
        <c:ser>
          <c:idx val="1"/>
          <c:order val="2"/>
          <c:tx>
            <c:v>kryds kvie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'Vækstfunktion, hol'!$A$184:$A$327</c15:sqref>
                  </c15:fullRef>
                </c:ext>
              </c:extLst>
              <c:f>'Vækstfunktion, hol'!$A$212:$A$302</c:f>
              <c:numCache>
                <c:formatCode>General</c:formatCode>
                <c:ptCount val="91"/>
                <c:pt idx="0">
                  <c:v>210</c:v>
                </c:pt>
                <c:pt idx="1">
                  <c:v>211</c:v>
                </c:pt>
                <c:pt idx="2">
                  <c:v>212</c:v>
                </c:pt>
                <c:pt idx="3">
                  <c:v>213</c:v>
                </c:pt>
                <c:pt idx="4">
                  <c:v>214</c:v>
                </c:pt>
                <c:pt idx="5">
                  <c:v>215</c:v>
                </c:pt>
                <c:pt idx="6">
                  <c:v>216</c:v>
                </c:pt>
                <c:pt idx="7">
                  <c:v>217</c:v>
                </c:pt>
                <c:pt idx="8">
                  <c:v>218</c:v>
                </c:pt>
                <c:pt idx="9">
                  <c:v>219</c:v>
                </c:pt>
                <c:pt idx="10">
                  <c:v>220</c:v>
                </c:pt>
                <c:pt idx="11">
                  <c:v>221</c:v>
                </c:pt>
                <c:pt idx="12">
                  <c:v>222</c:v>
                </c:pt>
                <c:pt idx="13">
                  <c:v>223</c:v>
                </c:pt>
                <c:pt idx="14">
                  <c:v>224</c:v>
                </c:pt>
                <c:pt idx="15">
                  <c:v>225</c:v>
                </c:pt>
                <c:pt idx="16">
                  <c:v>226</c:v>
                </c:pt>
                <c:pt idx="17">
                  <c:v>227</c:v>
                </c:pt>
                <c:pt idx="18">
                  <c:v>228</c:v>
                </c:pt>
                <c:pt idx="19">
                  <c:v>229</c:v>
                </c:pt>
                <c:pt idx="20">
                  <c:v>230</c:v>
                </c:pt>
                <c:pt idx="21">
                  <c:v>231</c:v>
                </c:pt>
                <c:pt idx="22">
                  <c:v>232</c:v>
                </c:pt>
                <c:pt idx="23">
                  <c:v>233</c:v>
                </c:pt>
                <c:pt idx="24">
                  <c:v>234</c:v>
                </c:pt>
                <c:pt idx="25">
                  <c:v>235</c:v>
                </c:pt>
                <c:pt idx="26">
                  <c:v>236</c:v>
                </c:pt>
                <c:pt idx="27">
                  <c:v>237</c:v>
                </c:pt>
                <c:pt idx="28">
                  <c:v>238</c:v>
                </c:pt>
                <c:pt idx="29">
                  <c:v>239</c:v>
                </c:pt>
                <c:pt idx="30">
                  <c:v>240</c:v>
                </c:pt>
                <c:pt idx="31">
                  <c:v>241</c:v>
                </c:pt>
                <c:pt idx="32">
                  <c:v>242</c:v>
                </c:pt>
                <c:pt idx="33">
                  <c:v>243</c:v>
                </c:pt>
                <c:pt idx="34">
                  <c:v>244</c:v>
                </c:pt>
                <c:pt idx="35">
                  <c:v>245</c:v>
                </c:pt>
                <c:pt idx="36">
                  <c:v>246</c:v>
                </c:pt>
                <c:pt idx="37">
                  <c:v>247</c:v>
                </c:pt>
                <c:pt idx="38">
                  <c:v>248</c:v>
                </c:pt>
                <c:pt idx="39">
                  <c:v>249</c:v>
                </c:pt>
                <c:pt idx="40">
                  <c:v>250</c:v>
                </c:pt>
                <c:pt idx="41">
                  <c:v>251</c:v>
                </c:pt>
                <c:pt idx="42">
                  <c:v>252</c:v>
                </c:pt>
                <c:pt idx="43">
                  <c:v>253</c:v>
                </c:pt>
                <c:pt idx="44">
                  <c:v>254</c:v>
                </c:pt>
                <c:pt idx="45">
                  <c:v>255</c:v>
                </c:pt>
                <c:pt idx="46">
                  <c:v>256</c:v>
                </c:pt>
                <c:pt idx="47">
                  <c:v>257</c:v>
                </c:pt>
                <c:pt idx="48">
                  <c:v>258</c:v>
                </c:pt>
                <c:pt idx="49">
                  <c:v>259</c:v>
                </c:pt>
                <c:pt idx="50">
                  <c:v>260</c:v>
                </c:pt>
                <c:pt idx="51">
                  <c:v>261</c:v>
                </c:pt>
                <c:pt idx="52">
                  <c:v>262</c:v>
                </c:pt>
                <c:pt idx="53">
                  <c:v>263</c:v>
                </c:pt>
                <c:pt idx="54">
                  <c:v>264</c:v>
                </c:pt>
                <c:pt idx="55">
                  <c:v>265</c:v>
                </c:pt>
                <c:pt idx="56">
                  <c:v>266</c:v>
                </c:pt>
                <c:pt idx="57">
                  <c:v>267</c:v>
                </c:pt>
                <c:pt idx="58">
                  <c:v>268</c:v>
                </c:pt>
                <c:pt idx="59">
                  <c:v>269</c:v>
                </c:pt>
                <c:pt idx="60">
                  <c:v>270</c:v>
                </c:pt>
                <c:pt idx="61">
                  <c:v>271</c:v>
                </c:pt>
                <c:pt idx="62">
                  <c:v>272</c:v>
                </c:pt>
                <c:pt idx="63">
                  <c:v>273</c:v>
                </c:pt>
                <c:pt idx="64">
                  <c:v>274</c:v>
                </c:pt>
                <c:pt idx="65">
                  <c:v>275</c:v>
                </c:pt>
                <c:pt idx="66">
                  <c:v>276</c:v>
                </c:pt>
                <c:pt idx="67">
                  <c:v>277</c:v>
                </c:pt>
                <c:pt idx="68">
                  <c:v>278</c:v>
                </c:pt>
                <c:pt idx="69">
                  <c:v>279</c:v>
                </c:pt>
                <c:pt idx="70">
                  <c:v>280</c:v>
                </c:pt>
                <c:pt idx="71">
                  <c:v>281</c:v>
                </c:pt>
                <c:pt idx="72">
                  <c:v>282</c:v>
                </c:pt>
                <c:pt idx="73">
                  <c:v>283</c:v>
                </c:pt>
                <c:pt idx="74">
                  <c:v>284</c:v>
                </c:pt>
                <c:pt idx="75">
                  <c:v>285</c:v>
                </c:pt>
                <c:pt idx="76">
                  <c:v>286</c:v>
                </c:pt>
                <c:pt idx="77">
                  <c:v>287</c:v>
                </c:pt>
                <c:pt idx="78">
                  <c:v>288</c:v>
                </c:pt>
                <c:pt idx="79">
                  <c:v>289</c:v>
                </c:pt>
                <c:pt idx="80">
                  <c:v>290</c:v>
                </c:pt>
                <c:pt idx="81">
                  <c:v>291</c:v>
                </c:pt>
                <c:pt idx="82">
                  <c:v>292</c:v>
                </c:pt>
                <c:pt idx="83">
                  <c:v>293</c:v>
                </c:pt>
                <c:pt idx="84">
                  <c:v>294</c:v>
                </c:pt>
                <c:pt idx="85">
                  <c:v>295</c:v>
                </c:pt>
                <c:pt idx="86">
                  <c:v>296</c:v>
                </c:pt>
                <c:pt idx="87">
                  <c:v>297</c:v>
                </c:pt>
                <c:pt idx="88">
                  <c:v>298</c:v>
                </c:pt>
                <c:pt idx="89">
                  <c:v>299</c:v>
                </c:pt>
                <c:pt idx="90">
                  <c:v>300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'Vækstfunktion, kry kvie'!$AP$184:$AP$327</c15:sqref>
                  </c15:fullRef>
                </c:ext>
              </c:extLst>
              <c:f>'Vækstfunktion, kry kvie'!$AP$212:$AP$302</c:f>
              <c:numCache>
                <c:formatCode>#,##0.00</c:formatCode>
                <c:ptCount val="91"/>
                <c:pt idx="0">
                  <c:v>287.70624205591116</c:v>
                </c:pt>
                <c:pt idx="1">
                  <c:v>286.64020239342534</c:v>
                </c:pt>
                <c:pt idx="2">
                  <c:v>285.5339128042084</c:v>
                </c:pt>
                <c:pt idx="3">
                  <c:v>284.38024744374184</c:v>
                </c:pt>
                <c:pt idx="4">
                  <c:v>283.18877504309779</c:v>
                </c:pt>
                <c:pt idx="5">
                  <c:v>281.9604531228635</c:v>
                </c:pt>
                <c:pt idx="6">
                  <c:v>280.6962141255176</c:v>
                </c:pt>
                <c:pt idx="7">
                  <c:v>279.3969662920386</c:v>
                </c:pt>
                <c:pt idx="8">
                  <c:v>700.62002439338562</c:v>
                </c:pt>
                <c:pt idx="9">
                  <c:v>702.22205748308716</c:v>
                </c:pt>
                <c:pt idx="10">
                  <c:v>703.79192182207532</c:v>
                </c:pt>
                <c:pt idx="11">
                  <c:v>705.33028199666467</c:v>
                </c:pt>
                <c:pt idx="12">
                  <c:v>706.83778539349657</c:v>
                </c:pt>
                <c:pt idx="13">
                  <c:v>708.31506290008599</c:v>
                </c:pt>
                <c:pt idx="14">
                  <c:v>709.76272957735353</c:v>
                </c:pt>
                <c:pt idx="15">
                  <c:v>711.18138530542399</c:v>
                </c:pt>
                <c:pt idx="16">
                  <c:v>712.57161540394395</c:v>
                </c:pt>
                <c:pt idx="17">
                  <c:v>713.9299887720797</c:v>
                </c:pt>
                <c:pt idx="18">
                  <c:v>715.26129147398638</c:v>
                </c:pt>
                <c:pt idx="19">
                  <c:v>716.56605778280721</c:v>
                </c:pt>
                <c:pt idx="20">
                  <c:v>717.84480994054559</c:v>
                </c:pt>
                <c:pt idx="21">
                  <c:v>719.09805865805208</c:v>
                </c:pt>
                <c:pt idx="22">
                  <c:v>720.3263035960025</c:v>
                </c:pt>
                <c:pt idx="23">
                  <c:v>721.53003382763666</c:v>
                </c:pt>
                <c:pt idx="24">
                  <c:v>722.70972828411527</c:v>
                </c:pt>
                <c:pt idx="25">
                  <c:v>723.86585618317849</c:v>
                </c:pt>
                <c:pt idx="26">
                  <c:v>724.99887744187333</c:v>
                </c:pt>
                <c:pt idx="27">
                  <c:v>726.10924307399978</c:v>
                </c:pt>
                <c:pt idx="28">
                  <c:v>727.19739557291587</c:v>
                </c:pt>
                <c:pt idx="29">
                  <c:v>728.26376928034813</c:v>
                </c:pt>
                <c:pt idx="30">
                  <c:v>729.3087907417721</c:v>
                </c:pt>
                <c:pt idx="31">
                  <c:v>730.33287904891358</c:v>
                </c:pt>
                <c:pt idx="32">
                  <c:v>731.33644616991535</c:v>
                </c:pt>
                <c:pt idx="33">
                  <c:v>732.31989726770166</c:v>
                </c:pt>
                <c:pt idx="34">
                  <c:v>733.28363100694878</c:v>
                </c:pt>
                <c:pt idx="35">
                  <c:v>734.22803985022051</c:v>
                </c:pt>
                <c:pt idx="36">
                  <c:v>735.15351034362402</c:v>
                </c:pt>
                <c:pt idx="37">
                  <c:v>736.06042339248654</c:v>
                </c:pt>
                <c:pt idx="38">
                  <c:v>736.95383761297751</c:v>
                </c:pt>
                <c:pt idx="39">
                  <c:v>737.87942123151049</c:v>
                </c:pt>
                <c:pt idx="40">
                  <c:v>738.77435388548713</c:v>
                </c:pt>
                <c:pt idx="41">
                  <c:v>739.63919959659893</c:v>
                </c:pt>
                <c:pt idx="42">
                  <c:v>740.47451476047877</c:v>
                </c:pt>
                <c:pt idx="43">
                  <c:v>740.8277093697227</c:v>
                </c:pt>
                <c:pt idx="44">
                  <c:v>739.34396059140738</c:v>
                </c:pt>
                <c:pt idx="45">
                  <c:v>737.83900942613127</c:v>
                </c:pt>
                <c:pt idx="46">
                  <c:v>736.31331491223784</c:v>
                </c:pt>
                <c:pt idx="47">
                  <c:v>734.76733119820346</c:v>
                </c:pt>
                <c:pt idx="48">
                  <c:v>733.20150768372503</c:v>
                </c:pt>
                <c:pt idx="49">
                  <c:v>731.61628915550273</c:v>
                </c:pt>
                <c:pt idx="50">
                  <c:v>730.01211591792753</c:v>
                </c:pt>
                <c:pt idx="51">
                  <c:v>728.38942391888804</c:v>
                </c:pt>
                <c:pt idx="52">
                  <c:v>726.74864487091202</c:v>
                </c:pt>
                <c:pt idx="53">
                  <c:v>725.09164780485639</c:v>
                </c:pt>
                <c:pt idx="54">
                  <c:v>723.41744302512382</c:v>
                </c:pt>
                <c:pt idx="55">
                  <c:v>721.06833214989717</c:v>
                </c:pt>
                <c:pt idx="56">
                  <c:v>718.43472309654089</c:v>
                </c:pt>
                <c:pt idx="57">
                  <c:v>715.79309871744056</c:v>
                </c:pt>
                <c:pt idx="58">
                  <c:v>713.14377664173583</c:v>
                </c:pt>
                <c:pt idx="59">
                  <c:v>710.48707135210486</c:v>
                </c:pt>
                <c:pt idx="60">
                  <c:v>707.8232476324315</c:v>
                </c:pt>
                <c:pt idx="61">
                  <c:v>705.15238152820223</c:v>
                </c:pt>
                <c:pt idx="62">
                  <c:v>702.47635129219736</c:v>
                </c:pt>
                <c:pt idx="63">
                  <c:v>699.7933979170208</c:v>
                </c:pt>
                <c:pt idx="64">
                  <c:v>697.10355273666505</c:v>
                </c:pt>
                <c:pt idx="65">
                  <c:v>694.40684642664269</c:v>
                </c:pt>
                <c:pt idx="66">
                  <c:v>691.7033090368684</c:v>
                </c:pt>
                <c:pt idx="67">
                  <c:v>688.99297002347805</c:v>
                </c:pt>
                <c:pt idx="68">
                  <c:v>686.27585827956534</c:v>
                </c:pt>
                <c:pt idx="69">
                  <c:v>683.55433573083963</c:v>
                </c:pt>
                <c:pt idx="70">
                  <c:v>680.82618156938588</c:v>
                </c:pt>
                <c:pt idx="71">
                  <c:v>678.09142834969225</c:v>
                </c:pt>
                <c:pt idx="72">
                  <c:v>675.35011401780855</c:v>
                </c:pt>
                <c:pt idx="73">
                  <c:v>672.60228252795332</c:v>
                </c:pt>
                <c:pt idx="74">
                  <c:v>669.8479837134355</c:v>
                </c:pt>
                <c:pt idx="75">
                  <c:v>667.09004204684493</c:v>
                </c:pt>
                <c:pt idx="76">
                  <c:v>664.32581809190526</c:v>
                </c:pt>
                <c:pt idx="77">
                  <c:v>661.55537576754432</c:v>
                </c:pt>
                <c:pt idx="78">
                  <c:v>658.77878444317935</c:v>
                </c:pt>
                <c:pt idx="79">
                  <c:v>655.99611882523095</c:v>
                </c:pt>
                <c:pt idx="80">
                  <c:v>653.21052337378819</c:v>
                </c:pt>
                <c:pt idx="81">
                  <c:v>650.41907527575142</c:v>
                </c:pt>
                <c:pt idx="82">
                  <c:v>647.62186201039208</c:v>
                </c:pt>
                <c:pt idx="83">
                  <c:v>644.81897601730122</c:v>
                </c:pt>
                <c:pt idx="84">
                  <c:v>642.01051459619191</c:v>
                </c:pt>
                <c:pt idx="85">
                  <c:v>639.19989806816056</c:v>
                </c:pt>
                <c:pt idx="86">
                  <c:v>636.38396090193783</c:v>
                </c:pt>
                <c:pt idx="87">
                  <c:v>633.56281201792149</c:v>
                </c:pt>
                <c:pt idx="88">
                  <c:v>630.73656486432867</c:v>
                </c:pt>
                <c:pt idx="89">
                  <c:v>627.90533732842687</c:v>
                </c:pt>
                <c:pt idx="90">
                  <c:v>625.07278453076231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4-4241-87EC-328AF32F9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862592"/>
        <c:axId val="769170576"/>
      </c:lineChart>
      <c:catAx>
        <c:axId val="932862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Foderdage</a:t>
                </a:r>
              </a:p>
            </c:rich>
          </c:tx>
          <c:layout>
            <c:manualLayout>
              <c:xMode val="edge"/>
              <c:yMode val="edge"/>
              <c:x val="0.46126016186683672"/>
              <c:y val="0.931164733440578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9170576"/>
        <c:crossesAt val="-400"/>
        <c:auto val="1"/>
        <c:lblAlgn val="ctr"/>
        <c:lblOffset val="100"/>
        <c:tickLblSkip val="10"/>
        <c:noMultiLvlLbl val="0"/>
      </c:catAx>
      <c:valAx>
        <c:axId val="76917057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28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1019175</xdr:colOff>
      <xdr:row>3</xdr:row>
      <xdr:rowOff>79130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788753A-BCAD-419D-922B-753835D2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5260"/>
          <a:ext cx="1019175" cy="4296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121920</xdr:rowOff>
    </xdr:from>
    <xdr:to>
      <xdr:col>4</xdr:col>
      <xdr:colOff>1091564</xdr:colOff>
      <xdr:row>3</xdr:row>
      <xdr:rowOff>106140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8D216D4-7031-4A8D-A7D6-7D73A316D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9840" y="121920"/>
          <a:ext cx="3735704" cy="51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38553</xdr:colOff>
      <xdr:row>105</xdr:row>
      <xdr:rowOff>83910</xdr:rowOff>
    </xdr:from>
    <xdr:to>
      <xdr:col>5</xdr:col>
      <xdr:colOff>2486025</xdr:colOff>
      <xdr:row>122</xdr:row>
      <xdr:rowOff>64861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4CFE2AD-F607-4409-B005-D7EA7D1B7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43088</xdr:colOff>
      <xdr:row>139</xdr:row>
      <xdr:rowOff>171449</xdr:rowOff>
    </xdr:from>
    <xdr:to>
      <xdr:col>5</xdr:col>
      <xdr:colOff>2558143</xdr:colOff>
      <xdr:row>158</xdr:row>
      <xdr:rowOff>142875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C236140-44E0-404B-B60F-79A40E7A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54881</xdr:colOff>
      <xdr:row>125</xdr:row>
      <xdr:rowOff>29483</xdr:rowOff>
    </xdr:from>
    <xdr:to>
      <xdr:col>15</xdr:col>
      <xdr:colOff>110219</xdr:colOff>
      <xdr:row>144</xdr:row>
      <xdr:rowOff>136526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323F7FF-9E7C-4BEA-88CC-5BB5966B7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14968</xdr:colOff>
      <xdr:row>145</xdr:row>
      <xdr:rowOff>15421</xdr:rowOff>
    </xdr:from>
    <xdr:to>
      <xdr:col>14</xdr:col>
      <xdr:colOff>590550</xdr:colOff>
      <xdr:row>167</xdr:row>
      <xdr:rowOff>43995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984A620-8457-432E-B9B3-CCF2AA644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594176</xdr:colOff>
      <xdr:row>176</xdr:row>
      <xdr:rowOff>51253</xdr:rowOff>
    </xdr:from>
    <xdr:to>
      <xdr:col>5</xdr:col>
      <xdr:colOff>2558143</xdr:colOff>
      <xdr:row>193</xdr:row>
      <xdr:rowOff>142875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3EC716A-B9FF-41FB-9056-662E8DD01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76201</xdr:colOff>
      <xdr:row>159</xdr:row>
      <xdr:rowOff>142874</xdr:rowOff>
    </xdr:from>
    <xdr:to>
      <xdr:col>5</xdr:col>
      <xdr:colOff>2571751</xdr:colOff>
      <xdr:row>175</xdr:row>
      <xdr:rowOff>57149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422F143-C2DD-4D24-AA05-CEF5232C4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81189</xdr:colOff>
      <xdr:row>123</xdr:row>
      <xdr:rowOff>146050</xdr:rowOff>
    </xdr:from>
    <xdr:to>
      <xdr:col>5</xdr:col>
      <xdr:colOff>2558143</xdr:colOff>
      <xdr:row>139</xdr:row>
      <xdr:rowOff>79375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96C297B-FEFA-4070-AD9D-69B31E3A4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19050</xdr:colOff>
      <xdr:row>105</xdr:row>
      <xdr:rowOff>9525</xdr:rowOff>
    </xdr:from>
    <xdr:to>
      <xdr:col>15</xdr:col>
      <xdr:colOff>0</xdr:colOff>
      <xdr:row>124</xdr:row>
      <xdr:rowOff>116568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0BE1D4B-BB18-4A54-9355-10FC2D518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552450</xdr:colOff>
      <xdr:row>144</xdr:row>
      <xdr:rowOff>171450</xdr:rowOff>
    </xdr:from>
    <xdr:to>
      <xdr:col>30</xdr:col>
      <xdr:colOff>820574</xdr:colOff>
      <xdr:row>167</xdr:row>
      <xdr:rowOff>9524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0D20A5C-792C-4C5C-AF1F-ADBEB7B9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571500</xdr:colOff>
      <xdr:row>125</xdr:row>
      <xdr:rowOff>0</xdr:rowOff>
    </xdr:from>
    <xdr:to>
      <xdr:col>30</xdr:col>
      <xdr:colOff>721485</xdr:colOff>
      <xdr:row>144</xdr:row>
      <xdr:rowOff>107043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647E349-088F-44A9-9B1D-77993DEF2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</xdr:colOff>
      <xdr:row>194</xdr:row>
      <xdr:rowOff>142875</xdr:rowOff>
    </xdr:from>
    <xdr:to>
      <xdr:col>5</xdr:col>
      <xdr:colOff>2517323</xdr:colOff>
      <xdr:row>214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510079C9-2585-4107-9780-ADE477C75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32</xdr:col>
      <xdr:colOff>553089</xdr:colOff>
      <xdr:row>235</xdr:row>
      <xdr:rowOff>86444</xdr:rowOff>
    </xdr:from>
    <xdr:to>
      <xdr:col>49</xdr:col>
      <xdr:colOff>295356</xdr:colOff>
      <xdr:row>263</xdr:row>
      <xdr:rowOff>156081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65C10B8A-7918-4245-AFE3-79A06FE4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52</xdr:col>
      <xdr:colOff>188900</xdr:colOff>
      <xdr:row>236</xdr:row>
      <xdr:rowOff>101653</xdr:rowOff>
    </xdr:from>
    <xdr:to>
      <xdr:col>70</xdr:col>
      <xdr:colOff>13609</xdr:colOff>
      <xdr:row>264</xdr:row>
      <xdr:rowOff>157683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C0434A63-5EE2-49F6-9AD1-CDC6822E7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326572</xdr:colOff>
      <xdr:row>269</xdr:row>
      <xdr:rowOff>81643</xdr:rowOff>
    </xdr:from>
    <xdr:to>
      <xdr:col>49</xdr:col>
      <xdr:colOff>68839</xdr:colOff>
      <xdr:row>297</xdr:row>
      <xdr:rowOff>137673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AC2CC211-6139-4AD5-940D-8B3A99E25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32</xdr:col>
      <xdr:colOff>353785</xdr:colOff>
      <xdr:row>302</xdr:row>
      <xdr:rowOff>13607</xdr:rowOff>
    </xdr:from>
    <xdr:to>
      <xdr:col>49</xdr:col>
      <xdr:colOff>96052</xdr:colOff>
      <xdr:row>330</xdr:row>
      <xdr:rowOff>69637</xdr:rowOff>
    </xdr:to>
    <xdr:graphicFrame macro="">
      <xdr:nvGraphicFramePr>
        <xdr:cNvPr id="23" name="Chart 2">
          <a:extLst>
            <a:ext uri="{FF2B5EF4-FFF2-40B4-BE49-F238E27FC236}">
              <a16:creationId xmlns:a16="http://schemas.microsoft.com/office/drawing/2014/main" id="{77FFC101-8F86-424E-B0C4-2C3AFF81F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52</xdr:col>
      <xdr:colOff>285750</xdr:colOff>
      <xdr:row>269</xdr:row>
      <xdr:rowOff>122465</xdr:rowOff>
    </xdr:from>
    <xdr:to>
      <xdr:col>70</xdr:col>
      <xdr:colOff>110459</xdr:colOff>
      <xdr:row>297</xdr:row>
      <xdr:rowOff>178495</xdr:rowOff>
    </xdr:to>
    <xdr:graphicFrame macro="">
      <xdr:nvGraphicFramePr>
        <xdr:cNvPr id="24" name="Chart 2">
          <a:extLst>
            <a:ext uri="{FF2B5EF4-FFF2-40B4-BE49-F238E27FC236}">
              <a16:creationId xmlns:a16="http://schemas.microsoft.com/office/drawing/2014/main" id="{89463650-619E-4079-95A8-D1E458736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435428</xdr:colOff>
      <xdr:row>302</xdr:row>
      <xdr:rowOff>81643</xdr:rowOff>
    </xdr:from>
    <xdr:to>
      <xdr:col>70</xdr:col>
      <xdr:colOff>260137</xdr:colOff>
      <xdr:row>330</xdr:row>
      <xdr:rowOff>137673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CD222CD0-411E-4FB1-9A39-B4C8189B6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4</xdr:row>
      <xdr:rowOff>54430</xdr:rowOff>
    </xdr:from>
    <xdr:to>
      <xdr:col>5</xdr:col>
      <xdr:colOff>2381250</xdr:colOff>
      <xdr:row>25</xdr:row>
      <xdr:rowOff>163287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20C9BB9-0FE9-49E4-AD35-DD1236844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43088</xdr:colOff>
      <xdr:row>42</xdr:row>
      <xdr:rowOff>171449</xdr:rowOff>
    </xdr:from>
    <xdr:to>
      <xdr:col>5</xdr:col>
      <xdr:colOff>2558143</xdr:colOff>
      <xdr:row>61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C1A750C-1DA1-47E3-991B-ABD9E45B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54881</xdr:colOff>
      <xdr:row>28</xdr:row>
      <xdr:rowOff>29483</xdr:rowOff>
    </xdr:from>
    <xdr:to>
      <xdr:col>14</xdr:col>
      <xdr:colOff>581025</xdr:colOff>
      <xdr:row>47</xdr:row>
      <xdr:rowOff>136526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BC04468-9CBE-46AE-AF20-D4C1E566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62593</xdr:colOff>
      <xdr:row>48</xdr:row>
      <xdr:rowOff>15421</xdr:rowOff>
    </xdr:from>
    <xdr:to>
      <xdr:col>15</xdr:col>
      <xdr:colOff>28575</xdr:colOff>
      <xdr:row>70</xdr:row>
      <xdr:rowOff>43995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07B3D4F-B3B2-4DAD-813D-ADC73975E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594176</xdr:colOff>
      <xdr:row>79</xdr:row>
      <xdr:rowOff>51253</xdr:rowOff>
    </xdr:from>
    <xdr:to>
      <xdr:col>5</xdr:col>
      <xdr:colOff>2558143</xdr:colOff>
      <xdr:row>96</xdr:row>
      <xdr:rowOff>142875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CB24F27-DE2A-407A-BCD6-778DD6F8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76201</xdr:colOff>
      <xdr:row>62</xdr:row>
      <xdr:rowOff>142874</xdr:rowOff>
    </xdr:from>
    <xdr:to>
      <xdr:col>5</xdr:col>
      <xdr:colOff>2571751</xdr:colOff>
      <xdr:row>78</xdr:row>
      <xdr:rowOff>57149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F892AE8-EEF4-4BFE-8DE6-27A13FAF9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504825</xdr:colOff>
      <xdr:row>26</xdr:row>
      <xdr:rowOff>104776</xdr:rowOff>
    </xdr:from>
    <xdr:to>
      <xdr:col>5</xdr:col>
      <xdr:colOff>2558143</xdr:colOff>
      <xdr:row>42</xdr:row>
      <xdr:rowOff>79376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9FCF3F2-E3DE-4598-8384-DCD181BCD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38100</xdr:colOff>
      <xdr:row>8</xdr:row>
      <xdr:rowOff>57150</xdr:rowOff>
    </xdr:from>
    <xdr:to>
      <xdr:col>15</xdr:col>
      <xdr:colOff>19050</xdr:colOff>
      <xdr:row>27</xdr:row>
      <xdr:rowOff>164193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A98E1480-2F97-413D-8E69-BF935A9D5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552450</xdr:colOff>
      <xdr:row>47</xdr:row>
      <xdr:rowOff>171450</xdr:rowOff>
    </xdr:from>
    <xdr:to>
      <xdr:col>30</xdr:col>
      <xdr:colOff>820574</xdr:colOff>
      <xdr:row>70</xdr:row>
      <xdr:rowOff>9524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E1DF0A1-CB04-4BB5-B006-417FF6275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571500</xdr:colOff>
      <xdr:row>28</xdr:row>
      <xdr:rowOff>0</xdr:rowOff>
    </xdr:from>
    <xdr:to>
      <xdr:col>30</xdr:col>
      <xdr:colOff>721485</xdr:colOff>
      <xdr:row>47</xdr:row>
      <xdr:rowOff>107043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745C3AE-9E79-4B60-A1EC-D13A5F15E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</xdr:colOff>
      <xdr:row>97</xdr:row>
      <xdr:rowOff>142875</xdr:rowOff>
    </xdr:from>
    <xdr:to>
      <xdr:col>5</xdr:col>
      <xdr:colOff>2517323</xdr:colOff>
      <xdr:row>117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9A2F961-4448-47E0-91DA-6F3B2497E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32</xdr:col>
      <xdr:colOff>31751</xdr:colOff>
      <xdr:row>3</xdr:row>
      <xdr:rowOff>42334</xdr:rowOff>
    </xdr:from>
    <xdr:to>
      <xdr:col>49</xdr:col>
      <xdr:colOff>21166</xdr:colOff>
      <xdr:row>31</xdr:row>
      <xdr:rowOff>95250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D92136D-A9C1-4E35-921F-A7A06E627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</xdr:col>
      <xdr:colOff>0</xdr:colOff>
      <xdr:row>35</xdr:row>
      <xdr:rowOff>0</xdr:rowOff>
    </xdr:from>
    <xdr:to>
      <xdr:col>48</xdr:col>
      <xdr:colOff>603249</xdr:colOff>
      <xdr:row>62</xdr:row>
      <xdr:rowOff>52916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9703A8FE-D31C-4479-8E36-546A9230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0</xdr:colOff>
      <xdr:row>65</xdr:row>
      <xdr:rowOff>0</xdr:rowOff>
    </xdr:from>
    <xdr:to>
      <xdr:col>48</xdr:col>
      <xdr:colOff>603249</xdr:colOff>
      <xdr:row>92</xdr:row>
      <xdr:rowOff>42332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07F3B1-0E62-4698-B3CE-A53D793E7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170</xdr:row>
      <xdr:rowOff>61912</xdr:rowOff>
    </xdr:from>
    <xdr:to>
      <xdr:col>12</xdr:col>
      <xdr:colOff>661987</xdr:colOff>
      <xdr:row>184</xdr:row>
      <xdr:rowOff>138112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D0C5151-8FFE-4CEB-AB5E-1352963F37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23</xdr:row>
      <xdr:rowOff>152399</xdr:rowOff>
    </xdr:from>
    <xdr:to>
      <xdr:col>19</xdr:col>
      <xdr:colOff>228600</xdr:colOff>
      <xdr:row>37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37DAC3-A941-CA0E-C5AC-EA3881E063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176212</xdr:colOff>
      <xdr:row>23</xdr:row>
      <xdr:rowOff>157162</xdr:rowOff>
    </xdr:from>
    <xdr:to>
      <xdr:col>6</xdr:col>
      <xdr:colOff>23812</xdr:colOff>
      <xdr:row>38</xdr:row>
      <xdr:rowOff>42862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C01A80F-EDA4-3003-9201-069A836DB8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457200</xdr:colOff>
      <xdr:row>23</xdr:row>
      <xdr:rowOff>114300</xdr:rowOff>
    </xdr:from>
    <xdr:to>
      <xdr:col>10</xdr:col>
      <xdr:colOff>447675</xdr:colOff>
      <xdr:row>38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D8DD850-5056-40D8-864E-F0AD8B6CE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95250</xdr:colOff>
      <xdr:row>9</xdr:row>
      <xdr:rowOff>114300</xdr:rowOff>
    </xdr:from>
    <xdr:to>
      <xdr:col>39</xdr:col>
      <xdr:colOff>495299</xdr:colOff>
      <xdr:row>32</xdr:row>
      <xdr:rowOff>9525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17760DE-560A-C711-3CC4-9CD1651121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114300</xdr:colOff>
      <xdr:row>32</xdr:row>
      <xdr:rowOff>104775</xdr:rowOff>
    </xdr:from>
    <xdr:to>
      <xdr:col>39</xdr:col>
      <xdr:colOff>514349</xdr:colOff>
      <xdr:row>55</xdr:row>
      <xdr:rowOff>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45D0835-38CC-41E7-8B8E-6480C3DA2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276225</xdr:colOff>
      <xdr:row>9</xdr:row>
      <xdr:rowOff>95250</xdr:rowOff>
    </xdr:from>
    <xdr:to>
      <xdr:col>51</xdr:col>
      <xdr:colOff>47625</xdr:colOff>
      <xdr:row>31</xdr:row>
      <xdr:rowOff>47625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E7F744-5924-7058-A49A-D8ECC0C6A4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152399</xdr:colOff>
      <xdr:row>32</xdr:row>
      <xdr:rowOff>114300</xdr:rowOff>
    </xdr:from>
    <xdr:to>
      <xdr:col>51</xdr:col>
      <xdr:colOff>180974</xdr:colOff>
      <xdr:row>55</xdr:row>
      <xdr:rowOff>47625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5184888-B047-4CA5-B9EA-E2BC521C4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214312</xdr:colOff>
      <xdr:row>19</xdr:row>
      <xdr:rowOff>61912</xdr:rowOff>
    </xdr:from>
    <xdr:to>
      <xdr:col>53</xdr:col>
      <xdr:colOff>519112</xdr:colOff>
      <xdr:row>33</xdr:row>
      <xdr:rowOff>138112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73F732F-AA80-1750-2B84-DAF6CE3238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595312</xdr:colOff>
      <xdr:row>19</xdr:row>
      <xdr:rowOff>42862</xdr:rowOff>
    </xdr:from>
    <xdr:to>
      <xdr:col>62</xdr:col>
      <xdr:colOff>290512</xdr:colOff>
      <xdr:row>33</xdr:row>
      <xdr:rowOff>119062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3ED9E3E-EBF0-9AD2-AF1A-0F7D74D3B9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62</xdr:col>
      <xdr:colOff>366712</xdr:colOff>
      <xdr:row>19</xdr:row>
      <xdr:rowOff>33337</xdr:rowOff>
    </xdr:from>
    <xdr:to>
      <xdr:col>70</xdr:col>
      <xdr:colOff>61912</xdr:colOff>
      <xdr:row>33</xdr:row>
      <xdr:rowOff>109537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FB7BB86-9819-A001-8F86-FE6A53925F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70</xdr:col>
      <xdr:colOff>204787</xdr:colOff>
      <xdr:row>19</xdr:row>
      <xdr:rowOff>33337</xdr:rowOff>
    </xdr:from>
    <xdr:to>
      <xdr:col>77</xdr:col>
      <xdr:colOff>509587</xdr:colOff>
      <xdr:row>33</xdr:row>
      <xdr:rowOff>109537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1B694F5-2962-C8C5-3484-8EEA9DD29D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edelse&amp;&#216;konomi/Medarbejderarkiv/MONY/Slagtekalve/Optimal%20beregner/Optimal%20slagtev&#230;g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al slagtevægt"/>
      <sheetName val="Dansk kalv"/>
      <sheetName val="Vækstfunktion"/>
      <sheetName val="Alle afregningsmasker"/>
      <sheetName val="popup"/>
      <sheetName val="Slagtevægt og afregning"/>
      <sheetName val="Simulering"/>
      <sheetName val="Ark1"/>
      <sheetName val="Noteringer og tillæg"/>
      <sheetName val="Userform &amp; Rapport"/>
      <sheetName val="Instruktion og logbog"/>
    </sheetNames>
    <sheetDataSet>
      <sheetData sheetId="0">
        <row r="235">
          <cell r="L235">
            <v>-5</v>
          </cell>
        </row>
        <row r="236">
          <cell r="L236">
            <v>-4.5</v>
          </cell>
        </row>
        <row r="237">
          <cell r="L237">
            <v>-4</v>
          </cell>
        </row>
        <row r="238">
          <cell r="L238">
            <v>-3.5</v>
          </cell>
        </row>
        <row r="239">
          <cell r="L239">
            <v>-3</v>
          </cell>
        </row>
        <row r="240">
          <cell r="L240">
            <v>-2.5</v>
          </cell>
        </row>
        <row r="241">
          <cell r="L241">
            <v>-2</v>
          </cell>
        </row>
        <row r="242">
          <cell r="L242">
            <v>-1.5</v>
          </cell>
        </row>
        <row r="243">
          <cell r="L243">
            <v>-1</v>
          </cell>
        </row>
        <row r="244">
          <cell r="L244">
            <v>-0.5</v>
          </cell>
        </row>
        <row r="245">
          <cell r="L245">
            <v>0</v>
          </cell>
        </row>
        <row r="246">
          <cell r="L246">
            <v>0.5</v>
          </cell>
        </row>
        <row r="247">
          <cell r="L247">
            <v>1</v>
          </cell>
        </row>
        <row r="248">
          <cell r="L248">
            <v>1.5</v>
          </cell>
        </row>
        <row r="249">
          <cell r="L249">
            <v>2</v>
          </cell>
        </row>
        <row r="250">
          <cell r="L250">
            <v>2.5</v>
          </cell>
        </row>
        <row r="251">
          <cell r="L251">
            <v>3</v>
          </cell>
        </row>
        <row r="252">
          <cell r="L252">
            <v>3.5</v>
          </cell>
        </row>
        <row r="253">
          <cell r="L253">
            <v>4</v>
          </cell>
        </row>
        <row r="254">
          <cell r="L254">
            <v>4.5</v>
          </cell>
        </row>
        <row r="255">
          <cell r="L255">
            <v>5</v>
          </cell>
        </row>
      </sheetData>
      <sheetData sheetId="1" refreshError="1"/>
      <sheetData sheetId="2">
        <row r="9">
          <cell r="G9">
            <v>229.72972972972974</v>
          </cell>
        </row>
        <row r="18">
          <cell r="G18">
            <v>1.2113131774283421E-2</v>
          </cell>
        </row>
      </sheetData>
      <sheetData sheetId="3">
        <row r="308">
          <cell r="A308" t="str">
            <v>DC: Sektionvis</v>
          </cell>
        </row>
        <row r="309">
          <cell r="A309" t="str">
            <v>DC: Sektionvis</v>
          </cell>
        </row>
        <row r="314">
          <cell r="A314">
            <v>0</v>
          </cell>
          <cell r="B314">
            <v>-0.15</v>
          </cell>
        </row>
        <row r="315">
          <cell r="A315">
            <v>81</v>
          </cell>
          <cell r="B315">
            <v>-0.1</v>
          </cell>
        </row>
        <row r="316">
          <cell r="A316">
            <v>82</v>
          </cell>
          <cell r="B316">
            <v>-0.05</v>
          </cell>
        </row>
        <row r="317">
          <cell r="A317">
            <v>89</v>
          </cell>
          <cell r="B317">
            <v>-0.1</v>
          </cell>
        </row>
        <row r="318">
          <cell r="A318">
            <v>91</v>
          </cell>
          <cell r="B318">
            <v>-0.15</v>
          </cell>
        </row>
        <row r="319">
          <cell r="A319">
            <v>100</v>
          </cell>
          <cell r="B319">
            <v>-0.15</v>
          </cell>
        </row>
        <row r="320">
          <cell r="A320">
            <v>110</v>
          </cell>
          <cell r="B320">
            <v>-0.15</v>
          </cell>
        </row>
        <row r="321">
          <cell r="A321">
            <v>300</v>
          </cell>
          <cell r="B321">
            <v>-0.15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N11" t="str">
            <v>Indlagte masker</v>
          </cell>
          <cell r="O11" t="str">
            <v>Krav til Klasse I tillæg &amp; tillæg kr/kg</v>
          </cell>
          <cell r="S11" t="str">
            <v>Krav til Klasse II tillæg &amp; tillæg kr/kg</v>
          </cell>
          <cell r="W11" t="str">
            <v>Special smågrisetillæg</v>
          </cell>
        </row>
        <row r="12">
          <cell r="N12" t="str">
            <v>Slagteri+maskenavn</v>
          </cell>
          <cell r="O12" t="str">
            <v>Vægt fra</v>
          </cell>
          <cell r="P12" t="str">
            <v>Vægt til</v>
          </cell>
          <cell r="Q12" t="str">
            <v>Kpct.&gt;=</v>
          </cell>
          <cell r="R12" t="str">
            <v>Tillæg kr/kg</v>
          </cell>
          <cell r="S12" t="str">
            <v>Vægt fra</v>
          </cell>
          <cell r="T12" t="str">
            <v>Vægt til</v>
          </cell>
          <cell r="U12" t="str">
            <v>Kpct.&gt;=</v>
          </cell>
          <cell r="V12" t="str">
            <v>Tillæg kr/kg</v>
          </cell>
          <cell r="W12" t="str">
            <v>Tillæg ved fravænning</v>
          </cell>
          <cell r="X12" t="str">
            <v xml:space="preserve">Tillæg ved 30 kg </v>
          </cell>
        </row>
        <row r="13">
          <cell r="N13" t="str">
            <v>DC: Alm.</v>
          </cell>
        </row>
        <row r="14">
          <cell r="N14" t="str">
            <v>DC: Tungsvin</v>
          </cell>
        </row>
        <row r="15">
          <cell r="N15" t="str">
            <v>DC: UK</v>
          </cell>
          <cell r="O15">
            <v>70</v>
          </cell>
          <cell r="P15">
            <v>97.9</v>
          </cell>
          <cell r="Q15">
            <v>58</v>
          </cell>
          <cell r="R15">
            <v>0.3</v>
          </cell>
          <cell r="W15">
            <v>14.16</v>
          </cell>
          <cell r="X15">
            <v>15.16</v>
          </cell>
        </row>
        <row r="16">
          <cell r="N16" t="str">
            <v>DC: Friland</v>
          </cell>
          <cell r="O16">
            <v>77</v>
          </cell>
          <cell r="P16">
            <v>79.900000000000006</v>
          </cell>
          <cell r="Q16">
            <v>56.5</v>
          </cell>
          <cell r="R16">
            <v>1.7</v>
          </cell>
          <cell r="S16">
            <v>80</v>
          </cell>
          <cell r="T16">
            <v>94.9</v>
          </cell>
          <cell r="U16">
            <v>56.5</v>
          </cell>
          <cell r="V16">
            <v>2.4</v>
          </cell>
          <cell r="W16">
            <v>73.400000000000006</v>
          </cell>
          <cell r="X16">
            <v>97.4</v>
          </cell>
        </row>
        <row r="17">
          <cell r="N17" t="str">
            <v>DC: Økologisk</v>
          </cell>
          <cell r="O17">
            <v>60</v>
          </cell>
          <cell r="P17">
            <v>104.9</v>
          </cell>
          <cell r="Q17">
            <v>56.5</v>
          </cell>
          <cell r="R17">
            <v>4.8</v>
          </cell>
          <cell r="S17">
            <v>75</v>
          </cell>
          <cell r="T17">
            <v>93.9</v>
          </cell>
          <cell r="U17">
            <v>56.5</v>
          </cell>
          <cell r="V17">
            <v>2.5</v>
          </cell>
          <cell r="X17">
            <v>197.72999999999996</v>
          </cell>
        </row>
        <row r="18">
          <cell r="N18" t="str">
            <v>DC: Antonius</v>
          </cell>
          <cell r="O18">
            <v>70</v>
          </cell>
          <cell r="P18">
            <v>79.900000000000006</v>
          </cell>
          <cell r="Q18">
            <v>57</v>
          </cell>
          <cell r="R18">
            <v>0.4</v>
          </cell>
          <cell r="S18">
            <v>81</v>
          </cell>
          <cell r="T18">
            <v>98.9</v>
          </cell>
          <cell r="U18">
            <v>57</v>
          </cell>
          <cell r="V18">
            <v>1.4</v>
          </cell>
          <cell r="W18">
            <v>19</v>
          </cell>
          <cell r="X18">
            <v>39</v>
          </cell>
        </row>
        <row r="19">
          <cell r="N19" t="str">
            <v>DC: Bornholmer</v>
          </cell>
          <cell r="O19">
            <v>76</v>
          </cell>
          <cell r="P19">
            <v>80.900000000000006</v>
          </cell>
          <cell r="Q19">
            <v>57</v>
          </cell>
          <cell r="R19">
            <v>0.4</v>
          </cell>
          <cell r="S19">
            <v>81</v>
          </cell>
          <cell r="T19">
            <v>98.9</v>
          </cell>
          <cell r="U19">
            <v>57</v>
          </cell>
          <cell r="V19">
            <v>1.65</v>
          </cell>
          <cell r="W19">
            <v>27.47767517223172</v>
          </cell>
          <cell r="X19">
            <v>52.314076053772837</v>
          </cell>
        </row>
        <row r="20">
          <cell r="N20" t="str">
            <v>DC: Sektionvis</v>
          </cell>
        </row>
        <row r="21">
          <cell r="N21" t="str">
            <v>DC: OUA</v>
          </cell>
          <cell r="O21">
            <v>85</v>
          </cell>
          <cell r="P21">
            <v>109.9</v>
          </cell>
          <cell r="Q21">
            <v>0</v>
          </cell>
          <cell r="R21">
            <v>0.1</v>
          </cell>
          <cell r="S21">
            <v>50</v>
          </cell>
          <cell r="T21">
            <v>109.9</v>
          </cell>
          <cell r="U21">
            <v>0</v>
          </cell>
          <cell r="V21">
            <v>1.2000000000000002</v>
          </cell>
          <cell r="W21">
            <v>38</v>
          </cell>
          <cell r="X21">
            <v>75</v>
          </cell>
        </row>
        <row r="22">
          <cell r="N22" t="str">
            <v>DC: OUA UK</v>
          </cell>
          <cell r="O22">
            <v>70</v>
          </cell>
          <cell r="P22">
            <v>95.9</v>
          </cell>
          <cell r="Q22">
            <v>58</v>
          </cell>
          <cell r="R22">
            <v>0.3</v>
          </cell>
          <cell r="S22">
            <v>50</v>
          </cell>
          <cell r="T22">
            <v>109.9</v>
          </cell>
          <cell r="U22">
            <v>0</v>
          </cell>
          <cell r="V22">
            <v>1.25</v>
          </cell>
          <cell r="W22">
            <v>49</v>
          </cell>
          <cell r="X22">
            <v>86</v>
          </cell>
        </row>
        <row r="23">
          <cell r="N23" t="str">
            <v>DC: AI-AU med rådg.</v>
          </cell>
        </row>
        <row r="24">
          <cell r="N24" t="str">
            <v>DC: x</v>
          </cell>
          <cell r="O24">
            <v>50</v>
          </cell>
          <cell r="P24">
            <v>109.9</v>
          </cell>
          <cell r="Q24">
            <v>0</v>
          </cell>
          <cell r="R24">
            <v>1</v>
          </cell>
          <cell r="W24">
            <v>0</v>
          </cell>
          <cell r="X24">
            <v>0</v>
          </cell>
        </row>
        <row r="25">
          <cell r="N25">
            <v>0</v>
          </cell>
          <cell r="O25">
            <v>72</v>
          </cell>
          <cell r="P25">
            <v>99.9</v>
          </cell>
          <cell r="R25">
            <v>0.1</v>
          </cell>
          <cell r="S25">
            <v>88</v>
          </cell>
          <cell r="T25">
            <v>92.9</v>
          </cell>
          <cell r="V25">
            <v>0.1</v>
          </cell>
        </row>
        <row r="26">
          <cell r="N26">
            <v>0</v>
          </cell>
        </row>
        <row r="27">
          <cell r="N27">
            <v>0</v>
          </cell>
          <cell r="O27">
            <v>70</v>
          </cell>
          <cell r="P27">
            <v>96.9</v>
          </cell>
          <cell r="Q27">
            <v>58</v>
          </cell>
          <cell r="R27">
            <v>0.3</v>
          </cell>
          <cell r="W27">
            <v>14.16</v>
          </cell>
          <cell r="X27">
            <v>15.16</v>
          </cell>
        </row>
        <row r="28">
          <cell r="N28">
            <v>0</v>
          </cell>
          <cell r="W28" t="str">
            <v xml:space="preserve"> </v>
          </cell>
          <cell r="X28" t="str">
            <v xml:space="preserve"> </v>
          </cell>
        </row>
        <row r="29">
          <cell r="N29">
            <v>0</v>
          </cell>
        </row>
        <row r="30">
          <cell r="N30" t="str">
            <v xml:space="preserve">: </v>
          </cell>
        </row>
        <row r="31">
          <cell r="N31" t="str">
            <v>Tican: 2019 alm. slgt.</v>
          </cell>
          <cell r="O31">
            <v>72</v>
          </cell>
          <cell r="P31">
            <v>99.9</v>
          </cell>
          <cell r="R31">
            <v>0.1</v>
          </cell>
        </row>
        <row r="32">
          <cell r="N32" t="str">
            <v>Tican: 2019 UK</v>
          </cell>
          <cell r="O32">
            <v>72</v>
          </cell>
          <cell r="P32">
            <v>99.9</v>
          </cell>
          <cell r="R32">
            <v>0.1</v>
          </cell>
          <cell r="S32">
            <v>72</v>
          </cell>
          <cell r="T32">
            <v>99.9</v>
          </cell>
          <cell r="U32">
            <v>58</v>
          </cell>
          <cell r="V32">
            <v>0.35</v>
          </cell>
          <cell r="W32">
            <v>14.49</v>
          </cell>
          <cell r="X32">
            <v>15.65</v>
          </cell>
        </row>
        <row r="33">
          <cell r="N33" t="str">
            <v xml:space="preserve">: </v>
          </cell>
        </row>
        <row r="34">
          <cell r="N34" t="str">
            <v xml:space="preserve">: </v>
          </cell>
        </row>
        <row r="35">
          <cell r="N35" t="str">
            <v xml:space="preserve">: </v>
          </cell>
        </row>
        <row r="36">
          <cell r="N36" t="str">
            <v xml:space="preserve">: </v>
          </cell>
        </row>
        <row r="37">
          <cell r="N37" t="str">
            <v xml:space="preserve">: </v>
          </cell>
        </row>
        <row r="38">
          <cell r="N38" t="str">
            <v xml:space="preserve">: </v>
          </cell>
        </row>
        <row r="39">
          <cell r="N39" t="str">
            <v xml:space="preserve">: </v>
          </cell>
        </row>
        <row r="40">
          <cell r="N40" t="str">
            <v xml:space="preserve">: </v>
          </cell>
        </row>
        <row r="41">
          <cell r="N41" t="str">
            <v xml:space="preserve">: </v>
          </cell>
        </row>
        <row r="42">
          <cell r="N42" t="str">
            <v xml:space="preserve">: </v>
          </cell>
        </row>
        <row r="43">
          <cell r="N43">
            <v>0</v>
          </cell>
        </row>
        <row r="44">
          <cell r="N44">
            <v>0</v>
          </cell>
        </row>
        <row r="45">
          <cell r="N45">
            <v>0</v>
          </cell>
        </row>
      </sheetData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Kontortema">
  <a:themeElements>
    <a:clrScheme name="SEGES">
      <a:dk1>
        <a:srgbClr val="000000"/>
      </a:dk1>
      <a:lt1>
        <a:sysClr val="window" lastClr="FFFFFF"/>
      </a:lt1>
      <a:dk2>
        <a:srgbClr val="09562C"/>
      </a:dk2>
      <a:lt2>
        <a:srgbClr val="E7E5DB"/>
      </a:lt2>
      <a:accent1>
        <a:srgbClr val="076471"/>
      </a:accent1>
      <a:accent2>
        <a:srgbClr val="C8C7B2"/>
      </a:accent2>
      <a:accent3>
        <a:srgbClr val="9DDCF9"/>
      </a:accent3>
      <a:accent4>
        <a:srgbClr val="7C9877"/>
      </a:accent4>
      <a:accent5>
        <a:srgbClr val="338291"/>
      </a:accent5>
      <a:accent6>
        <a:srgbClr val="E95D0F"/>
      </a:accent6>
      <a:hlink>
        <a:srgbClr val="076471"/>
      </a:hlink>
      <a:folHlink>
        <a:srgbClr val="E95D0F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landbrugsinfo.dk/public/2/1/8/abonnement_om_landbrugsinf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39FCA-F6BC-4F43-81B2-DAEDD40AA6AE}">
  <dimension ref="B2:E34"/>
  <sheetViews>
    <sheetView showGridLines="0" tabSelected="1" workbookViewId="0">
      <selection activeCell="C25" sqref="C25"/>
    </sheetView>
  </sheetViews>
  <sheetFormatPr defaultColWidth="8.85546875" defaultRowHeight="14.25" x14ac:dyDescent="0.2"/>
  <cols>
    <col min="1" max="1" width="8.85546875" style="182"/>
    <col min="2" max="2" width="32.7109375" style="182" customWidth="1"/>
    <col min="3" max="3" width="19.140625" style="182" customWidth="1"/>
    <col min="4" max="4" width="19.42578125" style="182" customWidth="1"/>
    <col min="5" max="5" width="24.5703125" style="182" customWidth="1"/>
    <col min="6" max="16384" width="8.85546875" style="182"/>
  </cols>
  <sheetData>
    <row r="2" spans="2:5" ht="13.9" customHeight="1" x14ac:dyDescent="0.2"/>
    <row r="5" spans="2:5" x14ac:dyDescent="0.2">
      <c r="B5" s="183" t="s">
        <v>219</v>
      </c>
      <c r="C5" s="199" t="s">
        <v>220</v>
      </c>
      <c r="D5" s="200"/>
      <c r="E5" s="200"/>
    </row>
    <row r="6" spans="2:5" x14ac:dyDescent="0.2">
      <c r="B6" s="204" t="s">
        <v>221</v>
      </c>
      <c r="C6" s="206" t="s">
        <v>232</v>
      </c>
      <c r="D6" s="207"/>
      <c r="E6" s="208"/>
    </row>
    <row r="7" spans="2:5" x14ac:dyDescent="0.2">
      <c r="B7" s="205"/>
      <c r="C7" s="209"/>
      <c r="D7" s="210"/>
      <c r="E7" s="211"/>
    </row>
    <row r="8" spans="2:5" x14ac:dyDescent="0.2">
      <c r="B8" s="184" t="s">
        <v>222</v>
      </c>
      <c r="C8" s="201">
        <v>45223</v>
      </c>
      <c r="D8" s="202"/>
      <c r="E8" s="203"/>
    </row>
    <row r="9" spans="2:5" x14ac:dyDescent="0.2">
      <c r="B9" s="184" t="s">
        <v>223</v>
      </c>
      <c r="C9" s="197" t="s">
        <v>224</v>
      </c>
      <c r="D9" s="192"/>
      <c r="E9" s="198"/>
    </row>
    <row r="10" spans="2:5" x14ac:dyDescent="0.2">
      <c r="B10" s="184" t="s">
        <v>225</v>
      </c>
      <c r="C10" s="197" t="s">
        <v>226</v>
      </c>
      <c r="D10" s="192"/>
      <c r="E10" s="198"/>
    </row>
    <row r="11" spans="2:5" ht="14.45" customHeight="1" x14ac:dyDescent="0.2">
      <c r="B11" s="184" t="s">
        <v>227</v>
      </c>
      <c r="C11" s="197" t="s">
        <v>241</v>
      </c>
      <c r="D11" s="192"/>
      <c r="E11" s="198"/>
    </row>
    <row r="12" spans="2:5" x14ac:dyDescent="0.2">
      <c r="B12" s="185" t="s">
        <v>228</v>
      </c>
      <c r="C12" s="187"/>
      <c r="D12" s="188"/>
      <c r="E12" s="189"/>
    </row>
    <row r="13" spans="2:5" x14ac:dyDescent="0.2">
      <c r="B13" s="184" t="s">
        <v>240</v>
      </c>
      <c r="C13" s="190" t="s">
        <v>229</v>
      </c>
      <c r="D13" s="191"/>
      <c r="E13" s="191"/>
    </row>
    <row r="14" spans="2:5" ht="15" x14ac:dyDescent="0.25">
      <c r="B14" s="192"/>
      <c r="C14" s="193"/>
      <c r="D14" s="193"/>
      <c r="E14" s="193"/>
    </row>
    <row r="15" spans="2:5" ht="42" customHeight="1" x14ac:dyDescent="0.25">
      <c r="B15" s="194" t="s">
        <v>230</v>
      </c>
      <c r="C15" s="194"/>
      <c r="D15" s="195"/>
      <c r="E15" s="195"/>
    </row>
    <row r="18" spans="2:3" ht="18.75" x14ac:dyDescent="0.3">
      <c r="B18" s="196" t="s">
        <v>231</v>
      </c>
      <c r="C18" s="196"/>
    </row>
    <row r="21" spans="2:3" x14ac:dyDescent="0.2">
      <c r="B21" s="182" t="s">
        <v>233</v>
      </c>
    </row>
    <row r="22" spans="2:3" x14ac:dyDescent="0.2">
      <c r="B22" s="182" t="s">
        <v>234</v>
      </c>
    </row>
    <row r="23" spans="2:3" x14ac:dyDescent="0.2">
      <c r="B23" s="182" t="s">
        <v>235</v>
      </c>
    </row>
    <row r="25" spans="2:3" ht="16.5" x14ac:dyDescent="0.2">
      <c r="B25" s="182" t="s">
        <v>236</v>
      </c>
    </row>
    <row r="26" spans="2:3" x14ac:dyDescent="0.2">
      <c r="B26" s="182" t="s">
        <v>237</v>
      </c>
    </row>
    <row r="28" spans="2:3" ht="15" x14ac:dyDescent="0.25">
      <c r="B28" s="186" t="s">
        <v>238</v>
      </c>
      <c r="C28" s="186" t="s">
        <v>239</v>
      </c>
    </row>
    <row r="29" spans="2:3" x14ac:dyDescent="0.2">
      <c r="B29" s="182" t="s">
        <v>208</v>
      </c>
      <c r="C29" s="182" t="s">
        <v>218</v>
      </c>
    </row>
    <row r="30" spans="2:3" x14ac:dyDescent="0.2">
      <c r="B30" s="182" t="s">
        <v>20</v>
      </c>
      <c r="C30" s="182" t="s">
        <v>209</v>
      </c>
    </row>
    <row r="31" spans="2:3" x14ac:dyDescent="0.2">
      <c r="B31" s="182" t="s">
        <v>210</v>
      </c>
      <c r="C31" s="182" t="s">
        <v>214</v>
      </c>
    </row>
    <row r="32" spans="2:3" x14ac:dyDescent="0.2">
      <c r="B32" s="182" t="s">
        <v>212</v>
      </c>
      <c r="C32" s="182" t="s">
        <v>215</v>
      </c>
    </row>
    <row r="33" spans="2:3" x14ac:dyDescent="0.2">
      <c r="B33" s="182" t="s">
        <v>213</v>
      </c>
      <c r="C33" s="182" t="s">
        <v>216</v>
      </c>
    </row>
    <row r="34" spans="2:3" x14ac:dyDescent="0.2">
      <c r="B34" s="182" t="s">
        <v>211</v>
      </c>
      <c r="C34" s="182" t="s">
        <v>217</v>
      </c>
    </row>
  </sheetData>
  <mergeCells count="12">
    <mergeCell ref="C11:E11"/>
    <mergeCell ref="C5:E5"/>
    <mergeCell ref="C8:E8"/>
    <mergeCell ref="C9:E9"/>
    <mergeCell ref="B6:B7"/>
    <mergeCell ref="C6:E7"/>
    <mergeCell ref="C10:E10"/>
    <mergeCell ref="C12:E12"/>
    <mergeCell ref="C13:E13"/>
    <mergeCell ref="B14:E14"/>
    <mergeCell ref="B15:E15"/>
    <mergeCell ref="B18:C18"/>
  </mergeCells>
  <hyperlinks>
    <hyperlink ref="C13" r:id="rId1" xr:uid="{3FE52C91-94D0-497A-BED1-D5B3F4D893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FF03A-8C65-42F1-A444-CD9947247B8A}">
  <dimension ref="A1:AY332"/>
  <sheetViews>
    <sheetView zoomScale="70" zoomScaleNormal="70" workbookViewId="0">
      <selection activeCell="B7" sqref="B7"/>
    </sheetView>
  </sheetViews>
  <sheetFormatPr defaultColWidth="9.140625" defaultRowHeight="21" x14ac:dyDescent="0.35"/>
  <cols>
    <col min="1" max="1" width="11.85546875" style="64" customWidth="1"/>
    <col min="2" max="2" width="74" style="64" customWidth="1"/>
    <col min="3" max="3" width="23.140625" style="64" customWidth="1"/>
    <col min="4" max="4" width="39.28515625" style="64" customWidth="1"/>
    <col min="5" max="5" width="43.7109375" style="64" customWidth="1"/>
    <col min="6" max="6" width="39.5703125" style="64" customWidth="1"/>
    <col min="7" max="7" width="36.5703125" style="64" customWidth="1"/>
    <col min="8" max="8" width="22.140625" style="64" customWidth="1"/>
    <col min="9" max="9" width="39.5703125" style="64" customWidth="1"/>
    <col min="10" max="10" width="31.7109375" style="64" customWidth="1"/>
    <col min="11" max="11" width="12" style="64" bestFit="1" customWidth="1"/>
    <col min="12" max="12" width="17.7109375" style="64" bestFit="1" customWidth="1"/>
    <col min="13" max="13" width="13.85546875" style="64" bestFit="1" customWidth="1"/>
    <col min="14" max="14" width="13.42578125" style="64" bestFit="1" customWidth="1"/>
    <col min="15" max="15" width="13.140625" style="64" bestFit="1" customWidth="1"/>
    <col min="16" max="16" width="13.42578125" style="64" bestFit="1" customWidth="1"/>
    <col min="17" max="17" width="13.140625" style="64" bestFit="1" customWidth="1"/>
    <col min="18" max="18" width="9.140625" style="64"/>
    <col min="19" max="19" width="11.42578125" style="64" customWidth="1"/>
    <col min="20" max="20" width="12.7109375" style="64" bestFit="1" customWidth="1"/>
    <col min="21" max="21" width="9.140625" style="65"/>
    <col min="22" max="22" width="12.85546875" style="66" customWidth="1"/>
    <col min="23" max="24" width="9.140625" style="65"/>
    <col min="25" max="26" width="9.140625" style="64"/>
    <col min="27" max="27" width="13.5703125" style="64" customWidth="1"/>
    <col min="28" max="30" width="9.140625" style="64"/>
    <col min="31" max="31" width="13.42578125" style="64" customWidth="1"/>
    <col min="32" max="32" width="13.5703125" style="64" customWidth="1"/>
    <col min="33" max="33" width="13.42578125" style="64" customWidth="1"/>
    <col min="34" max="34" width="15.140625" style="64" customWidth="1"/>
    <col min="35" max="16384" width="9.140625" style="64"/>
  </cols>
  <sheetData>
    <row r="1" spans="2:24" ht="21.75" thickBot="1" x14ac:dyDescent="0.4">
      <c r="O1" s="65"/>
      <c r="P1" s="66"/>
      <c r="Q1" s="65"/>
      <c r="R1" s="65"/>
      <c r="U1" s="64"/>
      <c r="V1" s="64"/>
      <c r="W1" s="64"/>
      <c r="X1" s="64"/>
    </row>
    <row r="2" spans="2:24" ht="26.25" x14ac:dyDescent="0.4">
      <c r="B2" s="62" t="s">
        <v>182</v>
      </c>
      <c r="C2" s="67"/>
      <c r="O2" s="65"/>
      <c r="P2" s="66"/>
      <c r="Q2" s="65"/>
      <c r="R2" s="65"/>
      <c r="U2" s="64"/>
      <c r="V2" s="64"/>
      <c r="W2" s="64"/>
      <c r="X2" s="64"/>
    </row>
    <row r="3" spans="2:24" ht="27" thickBot="1" x14ac:dyDescent="0.45">
      <c r="B3" s="63" t="s">
        <v>183</v>
      </c>
      <c r="C3" s="68"/>
      <c r="O3" s="65"/>
      <c r="P3" s="66"/>
      <c r="Q3" s="65"/>
      <c r="R3" s="65"/>
      <c r="U3" s="64"/>
      <c r="V3" s="64"/>
      <c r="W3" s="64"/>
      <c r="X3" s="64"/>
    </row>
    <row r="4" spans="2:24" ht="21.75" thickBot="1" x14ac:dyDescent="0.4">
      <c r="F4" s="69" t="s">
        <v>64</v>
      </c>
      <c r="G4" s="69">
        <v>2020</v>
      </c>
      <c r="O4" s="65"/>
      <c r="P4" s="66"/>
      <c r="Q4" s="65"/>
      <c r="R4" s="65"/>
      <c r="U4" s="64"/>
      <c r="V4" s="64"/>
      <c r="W4" s="64"/>
      <c r="X4" s="64"/>
    </row>
    <row r="5" spans="2:24" x14ac:dyDescent="0.35">
      <c r="B5" s="70" t="s">
        <v>57</v>
      </c>
      <c r="C5" s="71"/>
      <c r="D5" s="71"/>
      <c r="E5" s="72"/>
      <c r="F5" s="69"/>
      <c r="G5" s="69"/>
      <c r="O5" s="65"/>
      <c r="P5" s="66"/>
      <c r="Q5" s="65"/>
      <c r="R5" s="65"/>
      <c r="U5" s="64"/>
      <c r="V5" s="64"/>
      <c r="W5" s="64"/>
      <c r="X5" s="64"/>
    </row>
    <row r="6" spans="2:24" x14ac:dyDescent="0.35">
      <c r="B6" s="73" t="s">
        <v>184</v>
      </c>
      <c r="C6" s="74">
        <v>675</v>
      </c>
      <c r="D6" s="64" t="s">
        <v>56</v>
      </c>
      <c r="E6" s="75"/>
      <c r="F6" s="69">
        <v>600</v>
      </c>
      <c r="G6" s="69">
        <v>600</v>
      </c>
      <c r="O6" s="65"/>
      <c r="P6" s="66"/>
      <c r="Q6" s="66"/>
      <c r="R6" s="65"/>
      <c r="U6" s="64"/>
      <c r="V6" s="64"/>
      <c r="W6" s="64"/>
      <c r="X6" s="64"/>
    </row>
    <row r="7" spans="2:24" x14ac:dyDescent="0.35">
      <c r="B7" s="73" t="s">
        <v>40</v>
      </c>
      <c r="C7" s="74">
        <v>25</v>
      </c>
      <c r="D7" s="64" t="s">
        <v>41</v>
      </c>
      <c r="E7" s="75"/>
      <c r="F7" s="69">
        <v>22</v>
      </c>
      <c r="G7" s="69">
        <v>15</v>
      </c>
      <c r="O7" s="65"/>
      <c r="P7" s="66"/>
      <c r="Q7" s="66"/>
      <c r="R7" s="65"/>
      <c r="U7" s="64"/>
      <c r="V7" s="64"/>
      <c r="W7" s="64"/>
      <c r="X7" s="64"/>
    </row>
    <row r="8" spans="2:24" x14ac:dyDescent="0.35">
      <c r="B8" s="73" t="s">
        <v>185</v>
      </c>
      <c r="C8" s="74">
        <v>24</v>
      </c>
      <c r="D8" s="64" t="s">
        <v>13</v>
      </c>
      <c r="E8" s="75"/>
      <c r="F8" s="69">
        <v>20</v>
      </c>
      <c r="G8" s="69">
        <v>20</v>
      </c>
      <c r="O8" s="65"/>
      <c r="P8" s="66"/>
      <c r="Q8" s="66"/>
      <c r="R8" s="65"/>
      <c r="U8" s="64"/>
      <c r="V8" s="64"/>
      <c r="W8" s="64"/>
      <c r="X8" s="64"/>
    </row>
    <row r="9" spans="2:24" x14ac:dyDescent="0.35">
      <c r="B9" s="73" t="s">
        <v>186</v>
      </c>
      <c r="C9" s="74">
        <v>2.5099999999999998</v>
      </c>
      <c r="D9" s="64" t="s">
        <v>33</v>
      </c>
      <c r="E9" s="75"/>
      <c r="F9" s="69">
        <v>3.5</v>
      </c>
      <c r="G9" s="69">
        <v>2.1</v>
      </c>
      <c r="N9" s="76"/>
      <c r="O9" s="65"/>
      <c r="P9" s="66"/>
      <c r="Q9" s="66"/>
      <c r="R9" s="65"/>
      <c r="U9" s="64"/>
      <c r="V9" s="64"/>
      <c r="W9" s="64"/>
      <c r="X9" s="64"/>
    </row>
    <row r="10" spans="2:24" x14ac:dyDescent="0.35">
      <c r="B10" s="73" t="s">
        <v>48</v>
      </c>
      <c r="C10" s="74">
        <v>100</v>
      </c>
      <c r="D10" s="64" t="s">
        <v>47</v>
      </c>
      <c r="E10" s="75"/>
      <c r="F10" s="69">
        <v>100</v>
      </c>
      <c r="G10" s="69">
        <v>100</v>
      </c>
      <c r="N10" s="76"/>
      <c r="O10" s="65"/>
      <c r="P10" s="66"/>
      <c r="Q10" s="66"/>
      <c r="R10" s="65"/>
      <c r="U10" s="64"/>
      <c r="V10" s="64"/>
      <c r="W10" s="64"/>
      <c r="X10" s="64"/>
    </row>
    <row r="11" spans="2:24" x14ac:dyDescent="0.35">
      <c r="B11" s="73" t="s">
        <v>91</v>
      </c>
      <c r="C11" s="74">
        <v>2.34</v>
      </c>
      <c r="D11" s="64" t="s">
        <v>33</v>
      </c>
      <c r="E11" s="75"/>
      <c r="F11" s="69">
        <v>2.5</v>
      </c>
      <c r="G11" s="69">
        <v>1.75</v>
      </c>
      <c r="O11" s="65"/>
      <c r="P11" s="66"/>
      <c r="Q11" s="65"/>
      <c r="R11" s="65"/>
      <c r="U11" s="64"/>
      <c r="V11" s="64"/>
      <c r="W11" s="64"/>
      <c r="X11" s="64"/>
    </row>
    <row r="12" spans="2:24" x14ac:dyDescent="0.35">
      <c r="B12" s="73" t="s">
        <v>1</v>
      </c>
      <c r="C12" s="74">
        <v>900</v>
      </c>
      <c r="D12" s="64" t="s">
        <v>35</v>
      </c>
      <c r="E12" s="75"/>
      <c r="F12" s="69">
        <v>950</v>
      </c>
      <c r="G12" s="69">
        <v>1045</v>
      </c>
      <c r="O12" s="65"/>
      <c r="P12" s="66"/>
      <c r="Q12" s="65"/>
      <c r="R12" s="65"/>
      <c r="U12" s="64"/>
      <c r="V12" s="64"/>
      <c r="W12" s="64"/>
      <c r="X12" s="64"/>
    </row>
    <row r="13" spans="2:24" x14ac:dyDescent="0.35">
      <c r="B13" s="73" t="s">
        <v>32</v>
      </c>
      <c r="C13" s="74">
        <v>0.65</v>
      </c>
      <c r="D13" s="64" t="s">
        <v>34</v>
      </c>
      <c r="E13" s="75"/>
      <c r="F13" s="69"/>
      <c r="G13" s="69"/>
      <c r="O13" s="65"/>
      <c r="P13" s="66"/>
      <c r="Q13" s="65"/>
      <c r="R13" s="65"/>
      <c r="U13" s="64"/>
      <c r="V13" s="64"/>
      <c r="W13" s="64"/>
      <c r="X13" s="64"/>
    </row>
    <row r="14" spans="2:24" x14ac:dyDescent="0.35">
      <c r="B14" s="73" t="s">
        <v>67</v>
      </c>
      <c r="C14" s="74">
        <v>999</v>
      </c>
      <c r="D14" s="64" t="s">
        <v>66</v>
      </c>
      <c r="E14" s="75"/>
      <c r="F14" s="69"/>
      <c r="G14" s="69"/>
      <c r="O14" s="65"/>
      <c r="P14" s="66"/>
      <c r="Q14" s="65"/>
      <c r="R14" s="65"/>
      <c r="U14" s="64"/>
      <c r="V14" s="64"/>
      <c r="W14" s="64"/>
      <c r="X14" s="64"/>
    </row>
    <row r="15" spans="2:24" x14ac:dyDescent="0.35">
      <c r="B15" s="73" t="s">
        <v>68</v>
      </c>
      <c r="C15" s="74">
        <v>100</v>
      </c>
      <c r="D15" s="64" t="s">
        <v>69</v>
      </c>
      <c r="E15" s="75"/>
      <c r="F15" s="69"/>
      <c r="G15" s="69"/>
      <c r="O15" s="65"/>
      <c r="P15" s="66"/>
      <c r="Q15" s="65"/>
      <c r="R15" s="65"/>
      <c r="U15" s="64"/>
      <c r="V15" s="64"/>
      <c r="W15" s="64"/>
      <c r="X15" s="64"/>
    </row>
    <row r="16" spans="2:24" x14ac:dyDescent="0.35">
      <c r="B16" s="73" t="s">
        <v>44</v>
      </c>
      <c r="C16" s="74">
        <v>200</v>
      </c>
      <c r="D16" s="64" t="s">
        <v>35</v>
      </c>
      <c r="E16" s="75"/>
      <c r="O16" s="65"/>
      <c r="P16" s="66"/>
      <c r="Q16" s="65"/>
      <c r="R16" s="65"/>
      <c r="U16" s="64"/>
      <c r="V16" s="64"/>
      <c r="W16" s="64"/>
      <c r="X16" s="64"/>
    </row>
    <row r="17" spans="2:25" x14ac:dyDescent="0.35">
      <c r="B17" s="73" t="s">
        <v>92</v>
      </c>
      <c r="C17" s="74">
        <v>250</v>
      </c>
      <c r="D17" s="64" t="s">
        <v>45</v>
      </c>
      <c r="E17" s="75"/>
      <c r="O17" s="65"/>
      <c r="P17" s="66"/>
      <c r="Q17" s="65"/>
      <c r="R17" s="65"/>
      <c r="U17" s="64"/>
      <c r="V17" s="64"/>
      <c r="W17" s="64"/>
      <c r="X17" s="64"/>
    </row>
    <row r="18" spans="2:25" x14ac:dyDescent="0.35">
      <c r="B18" s="73" t="s">
        <v>187</v>
      </c>
      <c r="C18" s="74">
        <v>550</v>
      </c>
      <c r="D18" s="64" t="s">
        <v>35</v>
      </c>
      <c r="E18" s="75"/>
      <c r="O18" s="65"/>
      <c r="P18" s="66"/>
      <c r="Q18" s="65"/>
      <c r="R18" s="65"/>
      <c r="U18" s="64"/>
      <c r="V18" s="64"/>
      <c r="W18" s="64"/>
      <c r="X18" s="64"/>
    </row>
    <row r="19" spans="2:25" x14ac:dyDescent="0.35">
      <c r="B19" s="77" t="s">
        <v>58</v>
      </c>
      <c r="C19" s="74">
        <v>265</v>
      </c>
      <c r="D19" s="64" t="s">
        <v>46</v>
      </c>
      <c r="E19" s="75"/>
      <c r="F19" s="78"/>
      <c r="O19" s="65"/>
      <c r="P19" s="66"/>
      <c r="Q19" s="65"/>
      <c r="R19" s="65"/>
      <c r="U19" s="64"/>
      <c r="V19" s="64"/>
      <c r="W19" s="64"/>
      <c r="X19" s="64"/>
    </row>
    <row r="20" spans="2:25" x14ac:dyDescent="0.35">
      <c r="B20" s="77" t="s">
        <v>188</v>
      </c>
      <c r="C20" s="79">
        <f>(C18/3*2)/(3*30.5)</f>
        <v>4.0072859744990899</v>
      </c>
      <c r="D20" s="64" t="s">
        <v>54</v>
      </c>
      <c r="E20" s="75"/>
      <c r="O20" s="65"/>
      <c r="P20" s="66"/>
      <c r="Q20" s="65"/>
      <c r="R20" s="65"/>
      <c r="U20" s="64"/>
      <c r="V20" s="64"/>
      <c r="W20" s="64"/>
      <c r="X20" s="64"/>
    </row>
    <row r="21" spans="2:25" ht="21.75" thickBot="1" x14ac:dyDescent="0.4">
      <c r="B21" s="80" t="s">
        <v>189</v>
      </c>
      <c r="C21" s="81">
        <f>(C18-((C18/3*2)))/(C19-(3*30.5))</f>
        <v>1.0566762728146013</v>
      </c>
      <c r="D21" s="82" t="s">
        <v>190</v>
      </c>
      <c r="E21" s="83"/>
      <c r="O21" s="65"/>
      <c r="P21" s="66"/>
      <c r="Q21" s="65"/>
      <c r="R21" s="65"/>
      <c r="U21" s="64"/>
      <c r="V21" s="64"/>
      <c r="W21" s="64"/>
      <c r="X21" s="64"/>
    </row>
    <row r="22" spans="2:25" ht="21.75" thickBot="1" x14ac:dyDescent="0.4">
      <c r="B22" s="76"/>
      <c r="C22" s="84"/>
      <c r="O22" s="65"/>
      <c r="P22" s="66"/>
      <c r="Q22" s="65"/>
      <c r="R22" s="65"/>
      <c r="U22" s="64"/>
      <c r="V22" s="64"/>
      <c r="W22" s="64"/>
      <c r="X22" s="64"/>
    </row>
    <row r="23" spans="2:25" x14ac:dyDescent="0.35">
      <c r="B23" s="175" t="s">
        <v>193</v>
      </c>
      <c r="C23" s="67">
        <v>0</v>
      </c>
      <c r="D23" s="64" t="s">
        <v>191</v>
      </c>
      <c r="O23" s="65"/>
      <c r="P23" s="66"/>
      <c r="Q23" s="65"/>
      <c r="R23" s="65"/>
      <c r="U23" s="64"/>
      <c r="V23" s="64"/>
      <c r="W23" s="64"/>
      <c r="X23" s="64"/>
    </row>
    <row r="24" spans="2:25" ht="21.75" thickBot="1" x14ac:dyDescent="0.4">
      <c r="B24" s="176" t="s">
        <v>192</v>
      </c>
      <c r="C24" s="177">
        <v>0</v>
      </c>
      <c r="D24" s="64" t="s">
        <v>191</v>
      </c>
      <c r="G24" s="66"/>
      <c r="O24" s="65"/>
      <c r="P24" s="66"/>
      <c r="Q24" s="65"/>
      <c r="R24" s="65"/>
      <c r="U24" s="64"/>
      <c r="V24" s="64"/>
      <c r="W24" s="64"/>
      <c r="X24" s="64"/>
    </row>
    <row r="25" spans="2:25" x14ac:dyDescent="0.35">
      <c r="B25" s="174" t="s">
        <v>195</v>
      </c>
      <c r="C25" s="140" t="s">
        <v>13</v>
      </c>
      <c r="D25" s="85">
        <v>5</v>
      </c>
      <c r="E25" s="85">
        <v>3</v>
      </c>
      <c r="F25" s="71" t="s">
        <v>194</v>
      </c>
      <c r="G25" s="86" t="s">
        <v>174</v>
      </c>
      <c r="H25" s="72" t="s">
        <v>83</v>
      </c>
      <c r="P25" s="65"/>
      <c r="Q25" s="66"/>
      <c r="R25" s="65"/>
      <c r="S25" s="65"/>
      <c r="U25" s="64"/>
      <c r="V25" s="64"/>
      <c r="W25" s="64"/>
      <c r="X25" s="64"/>
    </row>
    <row r="26" spans="2:25" x14ac:dyDescent="0.35">
      <c r="B26" s="73" t="s">
        <v>31</v>
      </c>
      <c r="C26" s="64">
        <v>180</v>
      </c>
      <c r="D26" s="84">
        <f>$C$23 +35.1</f>
        <v>35.1</v>
      </c>
      <c r="E26" s="84">
        <f>$C$23 +33.6</f>
        <v>33.6</v>
      </c>
      <c r="G26" s="87">
        <f>(D26-E26)/(D25-E25)</f>
        <v>0.75</v>
      </c>
      <c r="H26" s="88">
        <v>3</v>
      </c>
      <c r="P26" s="65"/>
      <c r="Q26" s="66"/>
      <c r="R26" s="65"/>
      <c r="S26" s="65"/>
      <c r="U26" s="64"/>
      <c r="V26" s="64"/>
      <c r="W26" s="64"/>
      <c r="X26" s="64"/>
    </row>
    <row r="27" spans="2:25" x14ac:dyDescent="0.35">
      <c r="B27" s="73"/>
      <c r="C27" s="64">
        <v>210</v>
      </c>
      <c r="D27" s="84">
        <f>$C$23 +36.2</f>
        <v>36.200000000000003</v>
      </c>
      <c r="E27" s="84">
        <f>$C$23 +34.7</f>
        <v>34.700000000000003</v>
      </c>
      <c r="F27" s="87">
        <f>(E27-E26)/(C27-C26)</f>
        <v>3.6666666666666715E-2</v>
      </c>
      <c r="G27" s="87">
        <f>(D27-E27)/(D25-E25)</f>
        <v>0.75</v>
      </c>
      <c r="H27" s="88">
        <f>(G27-G26)/(C27-C26)</f>
        <v>0</v>
      </c>
      <c r="P27" s="65"/>
      <c r="Q27" s="66"/>
      <c r="R27" s="65"/>
      <c r="S27" s="65"/>
      <c r="U27" s="64"/>
      <c r="V27" s="64"/>
      <c r="W27" s="64"/>
      <c r="X27" s="64"/>
    </row>
    <row r="28" spans="2:25" x14ac:dyDescent="0.35">
      <c r="B28" s="73"/>
      <c r="C28" s="64">
        <v>250</v>
      </c>
      <c r="D28" s="84">
        <f>$C$23 +36.95</f>
        <v>36.950000000000003</v>
      </c>
      <c r="E28" s="84">
        <f>$C$23 +35.45</f>
        <v>35.450000000000003</v>
      </c>
      <c r="F28" s="87">
        <f>(E28-E27)/(C28-C27)</f>
        <v>1.8749999999999999E-2</v>
      </c>
      <c r="G28" s="87">
        <f>(D28-E28)/(D25-E25)</f>
        <v>0.75</v>
      </c>
      <c r="H28" s="88">
        <f>(G28-G27)/(C28-C27)</f>
        <v>0</v>
      </c>
      <c r="P28" s="65"/>
      <c r="Q28" s="66"/>
      <c r="R28" s="65"/>
      <c r="S28" s="65"/>
      <c r="U28" s="64"/>
      <c r="V28" s="64"/>
      <c r="W28" s="64"/>
      <c r="X28" s="64"/>
    </row>
    <row r="29" spans="2:25" x14ac:dyDescent="0.35">
      <c r="B29" s="73"/>
      <c r="G29" s="66"/>
      <c r="H29" s="89"/>
      <c r="P29" s="65"/>
      <c r="Q29" s="66"/>
      <c r="R29" s="65"/>
      <c r="S29" s="65"/>
      <c r="U29" s="64"/>
      <c r="V29" s="64"/>
      <c r="W29" s="64"/>
      <c r="X29" s="64"/>
    </row>
    <row r="30" spans="2:25" x14ac:dyDescent="0.35">
      <c r="B30" s="90" t="s">
        <v>30</v>
      </c>
      <c r="C30" s="91" t="s">
        <v>13</v>
      </c>
      <c r="D30" s="92">
        <v>3</v>
      </c>
      <c r="E30" s="93">
        <v>2</v>
      </c>
      <c r="G30" s="66"/>
      <c r="H30" s="89"/>
      <c r="U30" s="64"/>
      <c r="V30" s="65"/>
      <c r="W30" s="66"/>
      <c r="Y30" s="65"/>
    </row>
    <row r="31" spans="2:25" x14ac:dyDescent="0.35">
      <c r="B31" s="94"/>
      <c r="C31" s="64">
        <v>200</v>
      </c>
      <c r="D31" s="64">
        <f>$C$24 +28.3</f>
        <v>28.3</v>
      </c>
      <c r="E31" s="95">
        <f>$C$24 +27</f>
        <v>27</v>
      </c>
      <c r="F31" s="96"/>
      <c r="G31" s="87">
        <f>(D31-E31)/(D30-E30)</f>
        <v>1.3000000000000007</v>
      </c>
      <c r="H31" s="88">
        <v>2</v>
      </c>
      <c r="U31" s="64"/>
      <c r="V31" s="65"/>
      <c r="W31" s="66"/>
      <c r="Y31" s="65"/>
    </row>
    <row r="32" spans="2:25" x14ac:dyDescent="0.35">
      <c r="B32" s="94"/>
      <c r="C32" s="64">
        <v>280</v>
      </c>
      <c r="D32" s="64">
        <f>$C$24 +29.5</f>
        <v>29.5</v>
      </c>
      <c r="E32" s="95">
        <f>$C$24 +28.5</f>
        <v>28.5</v>
      </c>
      <c r="F32" s="87">
        <f>(E32-E31)/(C32-C31)</f>
        <v>1.8749999999999999E-2</v>
      </c>
      <c r="G32" s="87">
        <f>(D32-E32)/(D30-E30)</f>
        <v>1</v>
      </c>
      <c r="H32" s="88">
        <f>(G32-G31)/(C32-C31)</f>
        <v>-3.750000000000009E-3</v>
      </c>
      <c r="U32" s="64"/>
      <c r="V32" s="65"/>
      <c r="W32" s="66"/>
      <c r="Y32" s="65"/>
    </row>
    <row r="33" spans="2:25" ht="21.75" thickBot="1" x14ac:dyDescent="0.4">
      <c r="B33" s="97"/>
      <c r="C33" s="98">
        <v>380</v>
      </c>
      <c r="D33" s="98">
        <f>$C$24 +25.9</f>
        <v>25.9</v>
      </c>
      <c r="E33" s="99">
        <f>$C$24 +24.9</f>
        <v>24.9</v>
      </c>
      <c r="F33" s="100">
        <f>(E33-E32)/(C33-C32)</f>
        <v>-3.6000000000000011E-2</v>
      </c>
      <c r="G33" s="100">
        <f>(D33-E33)/(D30-E30)</f>
        <v>1</v>
      </c>
      <c r="H33" s="101">
        <f>(G33-G32)/(C33-C32)</f>
        <v>0</v>
      </c>
      <c r="U33" s="64"/>
      <c r="V33" s="65"/>
      <c r="W33" s="66"/>
      <c r="Y33" s="65"/>
    </row>
    <row r="34" spans="2:25" x14ac:dyDescent="0.35">
      <c r="G34" s="66"/>
      <c r="H34" s="102"/>
      <c r="U34" s="64"/>
      <c r="V34" s="65"/>
      <c r="W34" s="66"/>
      <c r="Y34" s="65"/>
    </row>
    <row r="35" spans="2:25" ht="21.75" thickBot="1" x14ac:dyDescent="0.4">
      <c r="G35" s="66"/>
      <c r="H35" s="102"/>
      <c r="U35" s="64"/>
      <c r="V35" s="65"/>
      <c r="W35" s="66"/>
      <c r="Y35" s="65"/>
    </row>
    <row r="36" spans="2:25" x14ac:dyDescent="0.35">
      <c r="B36" s="70" t="s">
        <v>196</v>
      </c>
      <c r="C36" s="85" t="s">
        <v>13</v>
      </c>
      <c r="D36" s="85">
        <v>8</v>
      </c>
      <c r="E36" s="85">
        <v>5</v>
      </c>
      <c r="F36" s="71" t="s">
        <v>194</v>
      </c>
      <c r="G36" s="86" t="s">
        <v>174</v>
      </c>
      <c r="H36" s="72" t="s">
        <v>83</v>
      </c>
      <c r="U36" s="64"/>
      <c r="V36" s="65"/>
      <c r="W36" s="66"/>
      <c r="Y36" s="65"/>
    </row>
    <row r="37" spans="2:25" x14ac:dyDescent="0.35">
      <c r="B37" s="73" t="s">
        <v>31</v>
      </c>
      <c r="C37" s="64">
        <v>180</v>
      </c>
      <c r="D37" s="84">
        <f>$C$23 +35.4</f>
        <v>35.4</v>
      </c>
      <c r="E37" s="84">
        <f>D26</f>
        <v>35.1</v>
      </c>
      <c r="G37" s="87">
        <f>(D37-E37)/(D36-E36)</f>
        <v>9.9999999999999048E-2</v>
      </c>
      <c r="H37" s="88">
        <v>5</v>
      </c>
      <c r="U37" s="64"/>
      <c r="V37" s="65"/>
      <c r="W37" s="66"/>
      <c r="Y37" s="65"/>
    </row>
    <row r="38" spans="2:25" x14ac:dyDescent="0.35">
      <c r="B38" s="73"/>
      <c r="C38" s="64">
        <v>210</v>
      </c>
      <c r="D38" s="84">
        <f>$C$23 +36.5</f>
        <v>36.5</v>
      </c>
      <c r="E38" s="84">
        <f t="shared" ref="E38:E39" si="0">D27</f>
        <v>36.200000000000003</v>
      </c>
      <c r="F38" s="87">
        <f>(E38-E37)/(C38-C37)</f>
        <v>3.6666666666666715E-2</v>
      </c>
      <c r="G38" s="87">
        <f>(D38-E38)/(D36-E36)</f>
        <v>9.9999999999999048E-2</v>
      </c>
      <c r="H38" s="88">
        <f>(G38-G37)/(C38-C37)</f>
        <v>0</v>
      </c>
      <c r="U38" s="64"/>
      <c r="V38" s="65"/>
      <c r="W38" s="66"/>
      <c r="Y38" s="65"/>
    </row>
    <row r="39" spans="2:25" x14ac:dyDescent="0.35">
      <c r="B39" s="73"/>
      <c r="C39" s="64">
        <v>250</v>
      </c>
      <c r="D39" s="84">
        <f>$C$23 +37.25</f>
        <v>37.25</v>
      </c>
      <c r="E39" s="84">
        <f t="shared" si="0"/>
        <v>36.950000000000003</v>
      </c>
      <c r="F39" s="87">
        <f>(E39-E38)/(C39-C38)</f>
        <v>1.8749999999999999E-2</v>
      </c>
      <c r="G39" s="87">
        <f>(D39-E39)/(D36-E36)</f>
        <v>9.9999999999999048E-2</v>
      </c>
      <c r="H39" s="88">
        <f>(G39-G38)/(C39-C38)</f>
        <v>0</v>
      </c>
      <c r="U39" s="64"/>
      <c r="V39" s="65"/>
      <c r="W39" s="66"/>
      <c r="Y39" s="65"/>
    </row>
    <row r="40" spans="2:25" x14ac:dyDescent="0.35">
      <c r="B40" s="73"/>
      <c r="G40" s="66"/>
      <c r="H40" s="89"/>
      <c r="U40" s="64"/>
      <c r="V40" s="65"/>
      <c r="W40" s="66"/>
      <c r="Y40" s="65"/>
    </row>
    <row r="41" spans="2:25" x14ac:dyDescent="0.35">
      <c r="B41" s="90" t="s">
        <v>30</v>
      </c>
      <c r="C41" s="91" t="s">
        <v>13</v>
      </c>
      <c r="D41" s="91">
        <v>8</v>
      </c>
      <c r="E41" s="178">
        <v>5</v>
      </c>
      <c r="G41" s="66"/>
      <c r="H41" s="89"/>
      <c r="U41" s="64"/>
      <c r="V41" s="65"/>
      <c r="W41" s="66"/>
      <c r="Y41" s="65"/>
    </row>
    <row r="42" spans="2:25" x14ac:dyDescent="0.35">
      <c r="B42" s="94"/>
      <c r="C42" s="64">
        <v>200</v>
      </c>
      <c r="D42" s="84">
        <f>$C$24 +30.65</f>
        <v>30.65</v>
      </c>
      <c r="E42" s="103">
        <f>$C$24 +29.9</f>
        <v>29.9</v>
      </c>
      <c r="F42" s="96"/>
      <c r="G42" s="87">
        <f>(D42-E42)/(D41-E41)</f>
        <v>0.25</v>
      </c>
      <c r="H42" s="88">
        <v>5</v>
      </c>
      <c r="U42" s="64"/>
      <c r="V42" s="65"/>
      <c r="W42" s="66"/>
      <c r="Y42" s="65"/>
    </row>
    <row r="43" spans="2:25" x14ac:dyDescent="0.35">
      <c r="B43" s="94"/>
      <c r="C43" s="64">
        <v>280</v>
      </c>
      <c r="D43" s="84">
        <f>$C$24 +32.45</f>
        <v>32.450000000000003</v>
      </c>
      <c r="E43" s="103">
        <f>$C$24 +32.2</f>
        <v>32.200000000000003</v>
      </c>
      <c r="F43" s="87">
        <f>(E43-E42)/(C43-C42)</f>
        <v>2.8750000000000053E-2</v>
      </c>
      <c r="G43" s="87">
        <f>(D43-E43)/(D41-E41)</f>
        <v>8.3333333333333329E-2</v>
      </c>
      <c r="H43" s="88">
        <f>(G43-G42)/(C43-C42)</f>
        <v>-2.0833333333333337E-3</v>
      </c>
      <c r="U43" s="64"/>
      <c r="V43" s="65"/>
      <c r="W43" s="66"/>
      <c r="Y43" s="65"/>
    </row>
    <row r="44" spans="2:25" ht="21.75" thickBot="1" x14ac:dyDescent="0.4">
      <c r="B44" s="97"/>
      <c r="C44" s="98">
        <v>380</v>
      </c>
      <c r="D44" s="104">
        <f>$C$24 +32.45</f>
        <v>32.450000000000003</v>
      </c>
      <c r="E44" s="105">
        <f>$C$24 +28.1</f>
        <v>28.1</v>
      </c>
      <c r="F44" s="100">
        <f>(E44-E43)/(C44-C43)</f>
        <v>-4.1000000000000016E-2</v>
      </c>
      <c r="G44" s="100">
        <f>(D44-E44)/(D41-E41)</f>
        <v>1.4500000000000004</v>
      </c>
      <c r="H44" s="101">
        <f>(G44-G43)/(C44-C43)</f>
        <v>1.3666666666666671E-2</v>
      </c>
      <c r="U44" s="64"/>
      <c r="V44" s="65"/>
      <c r="W44" s="66"/>
      <c r="Y44" s="65"/>
    </row>
    <row r="45" spans="2:25" x14ac:dyDescent="0.35">
      <c r="G45" s="66"/>
      <c r="H45" s="102"/>
      <c r="U45" s="64"/>
      <c r="V45" s="65"/>
      <c r="W45" s="66"/>
      <c r="Y45" s="65"/>
    </row>
    <row r="46" spans="2:25" ht="21.75" thickBot="1" x14ac:dyDescent="0.4">
      <c r="G46" s="66"/>
      <c r="H46" s="102"/>
      <c r="U46" s="64"/>
      <c r="V46" s="65"/>
      <c r="W46" s="66"/>
      <c r="Y46" s="65"/>
    </row>
    <row r="47" spans="2:25" x14ac:dyDescent="0.35">
      <c r="B47" s="70" t="s">
        <v>197</v>
      </c>
      <c r="C47" s="85" t="s">
        <v>13</v>
      </c>
      <c r="D47" s="85">
        <v>8</v>
      </c>
      <c r="E47" s="85">
        <v>5</v>
      </c>
      <c r="F47" s="71" t="s">
        <v>194</v>
      </c>
      <c r="G47" s="86" t="s">
        <v>174</v>
      </c>
      <c r="H47" s="72" t="s">
        <v>83</v>
      </c>
      <c r="U47" s="64"/>
      <c r="V47" s="65"/>
      <c r="W47" s="66"/>
      <c r="Y47" s="65"/>
    </row>
    <row r="48" spans="2:25" x14ac:dyDescent="0.35">
      <c r="B48" s="73" t="s">
        <v>31</v>
      </c>
      <c r="C48" s="64">
        <v>180</v>
      </c>
      <c r="D48" s="84">
        <f>D37</f>
        <v>35.4</v>
      </c>
      <c r="E48" s="84">
        <f>E37</f>
        <v>35.1</v>
      </c>
      <c r="G48" s="87">
        <f>(D48-E48)/(D47-E47)</f>
        <v>9.9999999999999048E-2</v>
      </c>
      <c r="H48" s="88">
        <v>5</v>
      </c>
      <c r="U48" s="64"/>
      <c r="V48" s="65"/>
      <c r="W48" s="66"/>
      <c r="Y48" s="65"/>
    </row>
    <row r="49" spans="2:25" x14ac:dyDescent="0.35">
      <c r="B49" s="73"/>
      <c r="C49" s="64">
        <v>210</v>
      </c>
      <c r="D49" s="84">
        <f t="shared" ref="D49:E50" si="1">D38</f>
        <v>36.5</v>
      </c>
      <c r="E49" s="84">
        <f t="shared" si="1"/>
        <v>36.200000000000003</v>
      </c>
      <c r="F49" s="87">
        <f>(E49-E48)/(C49-C48)</f>
        <v>3.6666666666666715E-2</v>
      </c>
      <c r="G49" s="87">
        <f>(D49-E49)/(D47-E47)</f>
        <v>9.9999999999999048E-2</v>
      </c>
      <c r="H49" s="88">
        <f>(G49-G48)/(C49-C48)</f>
        <v>0</v>
      </c>
      <c r="U49" s="64"/>
      <c r="V49" s="65"/>
      <c r="W49" s="66"/>
      <c r="Y49" s="65"/>
    </row>
    <row r="50" spans="2:25" x14ac:dyDescent="0.35">
      <c r="B50" s="73"/>
      <c r="C50" s="64">
        <v>250</v>
      </c>
      <c r="D50" s="84">
        <f t="shared" si="1"/>
        <v>37.25</v>
      </c>
      <c r="E50" s="84">
        <f t="shared" si="1"/>
        <v>36.950000000000003</v>
      </c>
      <c r="F50" s="87">
        <f>(E50-E49)/(C50-C49)</f>
        <v>1.8749999999999999E-2</v>
      </c>
      <c r="G50" s="87">
        <f>(D50-E50)/(D47-E47)</f>
        <v>9.9999999999999048E-2</v>
      </c>
      <c r="H50" s="88">
        <f>(G50-G49)/(C50-C49)</f>
        <v>0</v>
      </c>
      <c r="U50" s="64"/>
      <c r="V50" s="65"/>
      <c r="W50" s="66"/>
      <c r="Y50" s="65"/>
    </row>
    <row r="51" spans="2:25" x14ac:dyDescent="0.35">
      <c r="B51" s="90" t="s">
        <v>30</v>
      </c>
      <c r="C51" s="91" t="s">
        <v>13</v>
      </c>
      <c r="D51" s="91">
        <v>8</v>
      </c>
      <c r="E51" s="178">
        <v>5</v>
      </c>
      <c r="G51" s="66"/>
      <c r="H51" s="89"/>
      <c r="U51" s="64"/>
      <c r="V51" s="65"/>
      <c r="W51" s="66"/>
      <c r="Y51" s="65"/>
    </row>
    <row r="52" spans="2:25" x14ac:dyDescent="0.35">
      <c r="B52" s="94"/>
      <c r="C52" s="64">
        <v>200</v>
      </c>
      <c r="D52" s="84">
        <f>D42</f>
        <v>30.65</v>
      </c>
      <c r="E52" s="103">
        <f>E42</f>
        <v>29.9</v>
      </c>
      <c r="F52" s="96"/>
      <c r="G52" s="87">
        <f>(D52-E52)/(D51-E51)</f>
        <v>0.25</v>
      </c>
      <c r="H52" s="88">
        <v>5</v>
      </c>
      <c r="U52" s="64"/>
      <c r="V52" s="65"/>
      <c r="W52" s="66"/>
      <c r="Y52" s="65"/>
    </row>
    <row r="53" spans="2:25" x14ac:dyDescent="0.35">
      <c r="B53" s="94"/>
      <c r="C53" s="64">
        <v>280</v>
      </c>
      <c r="D53" s="84">
        <f t="shared" ref="D53:E54" si="2">D43</f>
        <v>32.450000000000003</v>
      </c>
      <c r="E53" s="103">
        <f t="shared" si="2"/>
        <v>32.200000000000003</v>
      </c>
      <c r="F53" s="87">
        <f>(E53-E52)/(C53-C52)</f>
        <v>2.8750000000000053E-2</v>
      </c>
      <c r="G53" s="87">
        <f>(D53-E53)/(D51-E51)</f>
        <v>8.3333333333333329E-2</v>
      </c>
      <c r="H53" s="88">
        <f>(G53-G52)/(C53-C52)</f>
        <v>-2.0833333333333337E-3</v>
      </c>
      <c r="U53" s="64"/>
      <c r="V53" s="65"/>
      <c r="W53" s="66"/>
      <c r="Y53" s="65"/>
    </row>
    <row r="54" spans="2:25" ht="21.75" thickBot="1" x14ac:dyDescent="0.4">
      <c r="B54" s="97"/>
      <c r="C54" s="98">
        <v>380</v>
      </c>
      <c r="D54" s="104">
        <f t="shared" si="2"/>
        <v>32.450000000000003</v>
      </c>
      <c r="E54" s="105">
        <f t="shared" si="2"/>
        <v>28.1</v>
      </c>
      <c r="F54" s="100">
        <f>(E54-E53)/(C54-C53)</f>
        <v>-4.1000000000000016E-2</v>
      </c>
      <c r="G54" s="100">
        <f>(D54-E54)/(D51-E51)</f>
        <v>1.4500000000000004</v>
      </c>
      <c r="H54" s="101">
        <f>(G54-G53)/(C54-C53)</f>
        <v>1.3666666666666671E-2</v>
      </c>
      <c r="U54" s="64"/>
      <c r="V54" s="65"/>
      <c r="W54" s="66"/>
      <c r="Y54" s="65"/>
    </row>
    <row r="58" spans="2:25" x14ac:dyDescent="0.35">
      <c r="B58" s="106" t="s">
        <v>198</v>
      </c>
      <c r="C58" s="92" t="s">
        <v>151</v>
      </c>
      <c r="D58" s="92" t="s">
        <v>157</v>
      </c>
      <c r="E58" s="93" t="s">
        <v>153</v>
      </c>
    </row>
    <row r="59" spans="2:25" x14ac:dyDescent="0.35">
      <c r="B59" s="94" t="s">
        <v>59</v>
      </c>
      <c r="C59" s="107"/>
      <c r="D59" s="108">
        <v>650</v>
      </c>
      <c r="E59" s="109">
        <v>250</v>
      </c>
      <c r="S59" s="65"/>
    </row>
    <row r="60" spans="2:25" x14ac:dyDescent="0.35">
      <c r="B60" s="94" t="s">
        <v>16</v>
      </c>
      <c r="C60" s="74">
        <v>39</v>
      </c>
      <c r="D60" s="74">
        <v>34</v>
      </c>
      <c r="E60" s="110">
        <v>36</v>
      </c>
      <c r="S60" s="65"/>
    </row>
    <row r="61" spans="2:25" x14ac:dyDescent="0.35">
      <c r="B61" s="94" t="s">
        <v>139</v>
      </c>
      <c r="C61" s="74">
        <v>69</v>
      </c>
      <c r="D61" s="74">
        <v>72</v>
      </c>
      <c r="E61" s="110">
        <v>68</v>
      </c>
      <c r="S61" s="65"/>
    </row>
    <row r="62" spans="2:25" x14ac:dyDescent="0.35">
      <c r="B62" s="94" t="s">
        <v>71</v>
      </c>
      <c r="C62" s="111">
        <f>$C$6+C59+IF(C61&lt;70,(C61-50)*25,20*25+(C61-70)*15)</f>
        <v>1150</v>
      </c>
      <c r="D62" s="111">
        <f>$C$6+D59+IF(D61&lt;70,(D61-50)*25,20*25+(D61-70)*15)</f>
        <v>1855</v>
      </c>
      <c r="E62" s="111">
        <f>$C$6+E59+IF(E61&lt;70,(E61-50)*25,20*25+(E61-70)*15)</f>
        <v>1375</v>
      </c>
    </row>
    <row r="63" spans="2:25" ht="21.75" thickBot="1" x14ac:dyDescent="0.4">
      <c r="B63" s="112" t="s">
        <v>17</v>
      </c>
      <c r="E63" s="95"/>
    </row>
    <row r="64" spans="2:25" x14ac:dyDescent="0.35">
      <c r="B64" s="94" t="s">
        <v>18</v>
      </c>
      <c r="C64" s="113">
        <v>0.03</v>
      </c>
      <c r="D64" s="113">
        <v>0.03</v>
      </c>
      <c r="E64" s="114">
        <v>0.03</v>
      </c>
      <c r="G64" s="115" t="s">
        <v>173</v>
      </c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2"/>
    </row>
    <row r="65" spans="2:34" x14ac:dyDescent="0.35">
      <c r="B65" s="94" t="s">
        <v>36</v>
      </c>
      <c r="C65" s="74">
        <v>9.5</v>
      </c>
      <c r="D65" s="74">
        <v>9.5</v>
      </c>
      <c r="E65" s="110">
        <v>9.5</v>
      </c>
      <c r="G65" s="116"/>
      <c r="J65" s="84"/>
      <c r="S65" s="75"/>
      <c r="AE65" s="65"/>
      <c r="AF65" s="65"/>
      <c r="AG65" s="65"/>
      <c r="AH65" s="65"/>
    </row>
    <row r="66" spans="2:34" x14ac:dyDescent="0.35">
      <c r="B66" s="94" t="s">
        <v>37</v>
      </c>
      <c r="C66" s="117">
        <f>C65*30.4-C60</f>
        <v>249.8</v>
      </c>
      <c r="D66" s="117">
        <f>D65*30.4-D60</f>
        <v>254.8</v>
      </c>
      <c r="E66" s="118">
        <f>E65*30.4-E60</f>
        <v>252.8</v>
      </c>
      <c r="G66" s="116" t="s">
        <v>167</v>
      </c>
      <c r="J66" s="84">
        <v>-5</v>
      </c>
      <c r="K66" s="84"/>
      <c r="M66" s="64">
        <v>-40</v>
      </c>
      <c r="N66" s="64">
        <v>-20</v>
      </c>
      <c r="O66" s="64">
        <v>0</v>
      </c>
      <c r="P66" s="119">
        <v>20</v>
      </c>
      <c r="Q66" s="64">
        <v>40</v>
      </c>
      <c r="R66" s="64">
        <v>60</v>
      </c>
      <c r="S66" s="75"/>
    </row>
    <row r="67" spans="2:34" x14ac:dyDescent="0.35">
      <c r="B67" s="94" t="s">
        <v>175</v>
      </c>
      <c r="C67" s="74">
        <v>0.95</v>
      </c>
      <c r="D67" s="74">
        <v>0.98</v>
      </c>
      <c r="E67" s="110">
        <v>0.98</v>
      </c>
      <c r="G67" s="116" t="s">
        <v>168</v>
      </c>
      <c r="H67" s="74">
        <v>612</v>
      </c>
      <c r="I67" s="119">
        <f>C83-H67</f>
        <v>7.959769216920904</v>
      </c>
      <c r="J67" s="84">
        <f>6.45966800485405-5</f>
        <v>1.4596680048540502</v>
      </c>
      <c r="M67" s="64">
        <f>O67-4*J67</f>
        <v>-10.838672019416201</v>
      </c>
      <c r="N67" s="64">
        <f>O67-2*J67</f>
        <v>-7.9193360097081005</v>
      </c>
      <c r="O67" s="64">
        <v>-5</v>
      </c>
      <c r="P67" s="64">
        <f>O67+2*J67</f>
        <v>-2.0806639902918995</v>
      </c>
      <c r="Q67" s="64">
        <f>O67+4*J67</f>
        <v>0.83867201941620095</v>
      </c>
      <c r="R67" s="64">
        <f>O67+6*J67</f>
        <v>3.7580080291243014</v>
      </c>
      <c r="S67" s="75"/>
      <c r="T67" s="120"/>
      <c r="V67" s="121"/>
      <c r="X67" s="121"/>
      <c r="AD67" s="65"/>
    </row>
    <row r="68" spans="2:34" x14ac:dyDescent="0.35">
      <c r="B68" s="94" t="s">
        <v>95</v>
      </c>
      <c r="C68" s="74">
        <v>3.78</v>
      </c>
      <c r="D68" s="74">
        <v>7.43</v>
      </c>
      <c r="E68" s="110">
        <v>6.85</v>
      </c>
      <c r="G68" s="73"/>
      <c r="J68" s="84">
        <v>-13</v>
      </c>
      <c r="M68" s="64">
        <v>80</v>
      </c>
      <c r="N68" s="64">
        <v>-40</v>
      </c>
      <c r="O68" s="64">
        <v>0</v>
      </c>
      <c r="P68" s="119">
        <v>40</v>
      </c>
      <c r="Q68" s="64">
        <v>80</v>
      </c>
      <c r="R68" s="64">
        <v>120</v>
      </c>
      <c r="S68" s="75"/>
      <c r="T68" s="121"/>
      <c r="V68" s="121"/>
      <c r="X68" s="121"/>
      <c r="AE68" s="65"/>
      <c r="AF68" s="65"/>
      <c r="AG68" s="65"/>
    </row>
    <row r="69" spans="2:34" x14ac:dyDescent="0.35">
      <c r="B69" s="94" t="s">
        <v>89</v>
      </c>
      <c r="C69" s="74">
        <v>-1</v>
      </c>
      <c r="D69" s="74">
        <v>0</v>
      </c>
      <c r="E69" s="110">
        <v>0</v>
      </c>
      <c r="G69" s="73" t="s">
        <v>169</v>
      </c>
      <c r="H69" s="74">
        <v>697</v>
      </c>
      <c r="I69" s="119">
        <f>H69-D83</f>
        <v>-8.1713228151884323</v>
      </c>
      <c r="J69" s="84">
        <f>-10.7140352534699+13</f>
        <v>2.2859647465300998</v>
      </c>
      <c r="M69" s="64">
        <f>O69-4*J69</f>
        <v>-22.143858986120399</v>
      </c>
      <c r="N69" s="64">
        <f>O69-2*J69</f>
        <v>-17.5719294930602</v>
      </c>
      <c r="O69" s="64">
        <v>-13</v>
      </c>
      <c r="P69" s="64">
        <f>O69+2*J69</f>
        <v>-8.4280705069398003</v>
      </c>
      <c r="Q69" s="64">
        <f>O69+4*J69</f>
        <v>-3.8561410138796006</v>
      </c>
      <c r="R69" s="64">
        <f>O69+6*J69</f>
        <v>0.71578847918059907</v>
      </c>
      <c r="S69" s="75"/>
      <c r="T69" s="121"/>
      <c r="V69" s="121"/>
      <c r="X69" s="121"/>
      <c r="AE69" s="65"/>
      <c r="AF69" s="65"/>
      <c r="AG69" s="65"/>
    </row>
    <row r="70" spans="2:34" x14ac:dyDescent="0.35">
      <c r="B70" s="94" t="s">
        <v>85</v>
      </c>
      <c r="C70" s="122">
        <v>0.05</v>
      </c>
      <c r="D70" s="122">
        <v>0.05</v>
      </c>
      <c r="E70" s="123">
        <v>0.05</v>
      </c>
      <c r="G70" s="73"/>
      <c r="J70" s="84">
        <v>-10</v>
      </c>
      <c r="M70" s="64">
        <v>-40</v>
      </c>
      <c r="N70" s="64">
        <v>-20</v>
      </c>
      <c r="O70" s="64">
        <v>0</v>
      </c>
      <c r="P70" s="119">
        <v>20</v>
      </c>
      <c r="Q70" s="64">
        <v>40</v>
      </c>
      <c r="R70" s="64">
        <v>60</v>
      </c>
      <c r="S70" s="75"/>
      <c r="T70" s="121"/>
      <c r="V70" s="121"/>
      <c r="X70" s="121"/>
      <c r="AE70" s="65"/>
      <c r="AF70" s="65"/>
      <c r="AG70" s="65"/>
    </row>
    <row r="71" spans="2:34" x14ac:dyDescent="0.35">
      <c r="B71" s="94" t="s">
        <v>90</v>
      </c>
      <c r="C71" s="74">
        <v>100</v>
      </c>
      <c r="D71" s="74">
        <v>100</v>
      </c>
      <c r="E71" s="110">
        <v>100</v>
      </c>
      <c r="G71" s="124" t="s">
        <v>170</v>
      </c>
      <c r="H71" s="119">
        <v>606</v>
      </c>
      <c r="I71" s="119">
        <f>H71-E83</f>
        <v>-25.075885320228167</v>
      </c>
      <c r="J71" s="84">
        <f>-8.65249403686898+10</f>
        <v>1.3475059631310202</v>
      </c>
      <c r="M71" s="64">
        <f>O71-4*J71</f>
        <v>-15.390023852524081</v>
      </c>
      <c r="N71" s="64">
        <f>O71-2*J71</f>
        <v>-12.69501192626204</v>
      </c>
      <c r="O71" s="64">
        <v>-10</v>
      </c>
      <c r="P71" s="64">
        <f>O71+2*J71</f>
        <v>-7.3049880737379596</v>
      </c>
      <c r="Q71" s="64">
        <f>O71+4*J71</f>
        <v>-4.6099761474759191</v>
      </c>
      <c r="R71" s="64">
        <f>O71+6*J71</f>
        <v>-1.9149642212138787</v>
      </c>
      <c r="S71" s="75"/>
      <c r="T71" s="121"/>
      <c r="V71" s="121"/>
      <c r="X71" s="121"/>
      <c r="AE71" s="65"/>
      <c r="AF71" s="65"/>
      <c r="AG71" s="65"/>
    </row>
    <row r="72" spans="2:34" x14ac:dyDescent="0.35">
      <c r="B72" s="94" t="s">
        <v>86</v>
      </c>
      <c r="C72" s="117">
        <f>VLOOKUP(C71,'Vækstfunktion, hol'!A:AI,COLUMN('Vækstfunktion, hol'!G2),FALSE)</f>
        <v>185.13873699163238</v>
      </c>
      <c r="D72" s="117">
        <f>VLOOKUP(D71,'Vækstfunktion, kry tyr'!A:AI,COLUMN('Vækstfunktion, kry tyr'!G2),FALSE)</f>
        <v>189.28788960633955</v>
      </c>
      <c r="E72" s="118">
        <f>VLOOKUP(E71,'Vækstfunktion, kry kvie'!A:AI,COLUMN('Vækstfunktion, kry kvie'!G2),FALSE)</f>
        <v>177.57091560430848</v>
      </c>
      <c r="G72" s="73"/>
      <c r="J72" s="84"/>
      <c r="S72" s="75"/>
      <c r="T72" s="121"/>
      <c r="V72" s="121"/>
      <c r="X72" s="121"/>
      <c r="AE72" s="65"/>
      <c r="AF72" s="65"/>
      <c r="AG72" s="65"/>
    </row>
    <row r="73" spans="2:34" x14ac:dyDescent="0.35">
      <c r="B73" s="94" t="s">
        <v>176</v>
      </c>
      <c r="C73" s="79">
        <f>VLOOKUP(C71,'Vækstfunktion, hol'!A:AI,COLUMN('Vækstfunktion, hol'!AI1),FALSE)*C70</f>
        <v>0.10999999999999982</v>
      </c>
      <c r="D73" s="79">
        <f>VLOOKUP(D71,'Vækstfunktion, kry tyr'!A:AI,COLUMN('Vækstfunktion, kry tyr'!AI1),FALSE)*D70</f>
        <v>0.10999999999999982</v>
      </c>
      <c r="E73" s="125">
        <f>VLOOKUP(E71,'Vækstfunktion, kry kvie'!A:AI,COLUMN('Vækstfunktion, kry kvie'!AI1),FALSE)*E70</f>
        <v>0.10999999999999982</v>
      </c>
      <c r="G73" s="73"/>
      <c r="S73" s="75"/>
      <c r="T73" s="121"/>
      <c r="V73" s="121"/>
      <c r="X73" s="121"/>
      <c r="AE73" s="65"/>
      <c r="AF73" s="65"/>
      <c r="AG73" s="65"/>
    </row>
    <row r="74" spans="2:34" x14ac:dyDescent="0.35">
      <c r="B74" s="94"/>
      <c r="C74" s="126"/>
      <c r="D74" s="126"/>
      <c r="E74" s="117"/>
      <c r="G74" s="73" t="s">
        <v>171</v>
      </c>
      <c r="S74" s="75"/>
      <c r="T74" s="121"/>
      <c r="V74" s="121"/>
      <c r="X74" s="121"/>
      <c r="AE74" s="65"/>
      <c r="AF74" s="65"/>
      <c r="AG74" s="65"/>
    </row>
    <row r="75" spans="2:34" x14ac:dyDescent="0.35">
      <c r="B75" s="94" t="s">
        <v>87</v>
      </c>
      <c r="C75" s="111">
        <f>(VLOOKUP(C71,'Vækstfunktion, hol'!A:AR,COLUMN('Vækstfunktion, hol'!AR2),FALSE)+250)*C70</f>
        <v>182.39419254939455</v>
      </c>
      <c r="D75" s="111">
        <f>(VLOOKUP(D71,'Vækstfunktion, kry tyr'!A:AR,COLUMN('Vækstfunktion, kry tyr'!AR2),FALSE)+250)*D70</f>
        <v>217.89197370096022</v>
      </c>
      <c r="E75" s="127">
        <f>(VLOOKUP(E71,'Vækstfunktion, kry kvie'!A:AR,COLUMN('Vækstfunktion, kry kvie'!AR2),FALSE)+250)*E70</f>
        <v>191.2167613366158</v>
      </c>
      <c r="G75" s="73"/>
      <c r="M75" s="64">
        <v>-0.4</v>
      </c>
      <c r="N75" s="64">
        <v>-0.2</v>
      </c>
      <c r="O75" s="64">
        <v>0</v>
      </c>
      <c r="P75" s="64">
        <v>0.2</v>
      </c>
      <c r="Q75" s="64">
        <v>0.4</v>
      </c>
      <c r="R75" s="64">
        <v>0.6</v>
      </c>
      <c r="S75" s="75"/>
      <c r="T75" s="121"/>
      <c r="V75" s="121"/>
      <c r="X75" s="121"/>
      <c r="AE75" s="65"/>
      <c r="AF75" s="65"/>
      <c r="AG75" s="65"/>
    </row>
    <row r="76" spans="2:34" x14ac:dyDescent="0.35">
      <c r="B76" s="112" t="s">
        <v>60</v>
      </c>
      <c r="E76" s="95"/>
      <c r="G76" s="73" t="s">
        <v>172</v>
      </c>
      <c r="H76" s="84">
        <v>8.49</v>
      </c>
      <c r="I76" s="84">
        <f>H76-C85</f>
        <v>1.4542271811137653E-3</v>
      </c>
      <c r="J76" s="128">
        <f>6.0837851246093-5</f>
        <v>1.0837851246093004</v>
      </c>
      <c r="K76" s="129"/>
      <c r="M76" s="64">
        <f>O76+4*J76</f>
        <v>-0.66485950156279827</v>
      </c>
      <c r="N76" s="64">
        <f>O76+2*J76</f>
        <v>-2.8324297507813991</v>
      </c>
      <c r="O76" s="64">
        <v>-5</v>
      </c>
      <c r="P76" s="64">
        <f>O76-2*J76</f>
        <v>-7.1675702492186009</v>
      </c>
      <c r="Q76" s="64">
        <f>O76-4*J76</f>
        <v>-9.3351404984372017</v>
      </c>
      <c r="R76" s="64">
        <f>O76-6*J76</f>
        <v>-11.502710747655803</v>
      </c>
      <c r="S76" s="75"/>
      <c r="T76" s="121"/>
      <c r="V76" s="121"/>
      <c r="X76" s="121"/>
      <c r="AE76" s="65"/>
      <c r="AF76" s="65"/>
      <c r="AG76" s="65"/>
    </row>
    <row r="77" spans="2:34" x14ac:dyDescent="0.35">
      <c r="B77" s="94" t="s">
        <v>142</v>
      </c>
      <c r="C77" s="130">
        <v>10</v>
      </c>
      <c r="D77" s="74">
        <v>9.6999999999999993</v>
      </c>
      <c r="E77" s="110">
        <v>10.1</v>
      </c>
      <c r="G77" s="116"/>
      <c r="H77" s="84"/>
      <c r="K77" s="129"/>
      <c r="M77" s="64">
        <v>-0.4</v>
      </c>
      <c r="N77" s="64">
        <v>-0.2</v>
      </c>
      <c r="O77" s="64">
        <v>0</v>
      </c>
      <c r="P77" s="64">
        <v>0.2</v>
      </c>
      <c r="Q77" s="64">
        <v>0.4</v>
      </c>
      <c r="R77" s="64">
        <v>0.6</v>
      </c>
      <c r="S77" s="75"/>
      <c r="T77" s="121"/>
      <c r="V77" s="121"/>
      <c r="X77" s="121"/>
      <c r="AE77" s="65"/>
      <c r="AF77" s="65"/>
      <c r="AG77" s="65"/>
    </row>
    <row r="78" spans="2:34" x14ac:dyDescent="0.35">
      <c r="B78" s="94" t="s">
        <v>93</v>
      </c>
      <c r="C78" s="113">
        <v>-7.0000000000000007E-2</v>
      </c>
      <c r="D78" s="113">
        <v>-0.16</v>
      </c>
      <c r="E78" s="114">
        <v>-0.08</v>
      </c>
      <c r="G78" s="73"/>
      <c r="H78" s="128">
        <v>7.99</v>
      </c>
      <c r="I78" s="84">
        <f>H78-D85</f>
        <v>0.49803763195215645</v>
      </c>
      <c r="J78" s="84">
        <f>-(3.8320045853447-5)</f>
        <v>1.1679954146553002</v>
      </c>
      <c r="K78" s="129"/>
      <c r="M78" s="64">
        <f>O78-4*J78</f>
        <v>-9.6719816586212009</v>
      </c>
      <c r="N78" s="64">
        <f>O78-2*J78</f>
        <v>-7.3359908293106004</v>
      </c>
      <c r="O78" s="64">
        <v>-5</v>
      </c>
      <c r="P78" s="64">
        <f>O78+2*J78</f>
        <v>-2.6640091706893996</v>
      </c>
      <c r="Q78" s="64">
        <f>O78+4*J78</f>
        <v>-0.32801834137879915</v>
      </c>
      <c r="R78" s="64">
        <f>O78+6*J78</f>
        <v>2.0079724879318013</v>
      </c>
      <c r="S78" s="75"/>
      <c r="T78" s="121"/>
      <c r="V78" s="121"/>
      <c r="X78" s="121"/>
      <c r="AE78" s="65"/>
      <c r="AF78" s="65"/>
      <c r="AG78" s="65"/>
    </row>
    <row r="79" spans="2:34" x14ac:dyDescent="0.35">
      <c r="B79" s="94" t="s">
        <v>82</v>
      </c>
      <c r="C79" s="113">
        <v>0.02</v>
      </c>
      <c r="D79" s="113">
        <v>0.02</v>
      </c>
      <c r="E79" s="114">
        <v>0.04</v>
      </c>
      <c r="G79" s="73"/>
      <c r="H79" s="84"/>
      <c r="J79" s="84"/>
      <c r="K79" s="129"/>
      <c r="M79" s="64">
        <v>-0.4</v>
      </c>
      <c r="N79" s="64">
        <v>-0.2</v>
      </c>
      <c r="O79" s="64">
        <v>0</v>
      </c>
      <c r="P79" s="64">
        <v>0.2</v>
      </c>
      <c r="Q79" s="64">
        <v>0.4</v>
      </c>
      <c r="R79" s="64">
        <v>0.6</v>
      </c>
      <c r="S79" s="75"/>
      <c r="T79" s="121"/>
      <c r="V79" s="121"/>
      <c r="X79" s="121"/>
      <c r="AE79" s="65"/>
      <c r="AF79" s="65"/>
      <c r="AG79" s="65"/>
    </row>
    <row r="80" spans="2:34" x14ac:dyDescent="0.35">
      <c r="B80" s="94" t="s">
        <v>177</v>
      </c>
      <c r="C80" s="113">
        <v>-0.05</v>
      </c>
      <c r="D80" s="113">
        <v>-0.11</v>
      </c>
      <c r="E80" s="114">
        <v>-0.02</v>
      </c>
      <c r="G80" s="73"/>
      <c r="H80" s="84">
        <v>8.39</v>
      </c>
      <c r="I80" s="84">
        <f>H80-E85</f>
        <v>0.16478871287886854</v>
      </c>
      <c r="J80" s="84">
        <f>6.13476219040184-5</f>
        <v>1.1347621904018403</v>
      </c>
      <c r="K80" s="129"/>
      <c r="M80" s="64">
        <f>O80-4*J80</f>
        <v>-9.5390487616073614</v>
      </c>
      <c r="N80" s="64">
        <f>O80-2*J80</f>
        <v>-7.2695243808036807</v>
      </c>
      <c r="O80" s="64">
        <v>-5</v>
      </c>
      <c r="P80" s="64">
        <f>O80+2*J80</f>
        <v>-2.7304756191963193</v>
      </c>
      <c r="Q80" s="64">
        <f>O80+4*J80</f>
        <v>-0.46095123839263863</v>
      </c>
      <c r="R80" s="64">
        <f>O80+6*J80</f>
        <v>1.8085731424110421</v>
      </c>
      <c r="S80" s="75"/>
      <c r="T80" s="121"/>
      <c r="V80" s="121"/>
      <c r="X80" s="121"/>
      <c r="AE80" s="65"/>
      <c r="AF80" s="65"/>
      <c r="AG80" s="65"/>
    </row>
    <row r="81" spans="2:33" x14ac:dyDescent="0.35">
      <c r="B81" s="94" t="s">
        <v>61</v>
      </c>
      <c r="C81" s="111">
        <f>VLOOKUP(C77,'Vækstfunktion, hol'!B:Y,COLUMN('Vækstfunktion, hol'!I1)-1,FALSE)</f>
        <v>1289.275657612201</v>
      </c>
      <c r="D81" s="111">
        <f>VLOOKUP(D77,'Vækstfunktion, kry tyr'!B:Y,COLUMN('Vækstfunktion, kry tyr'!I1)-1,FALSE)</f>
        <v>1324.5613430628018</v>
      </c>
      <c r="E81" s="127">
        <f>VLOOKUP(E77,'Vækstfunktion, kry kvie'!B:AA,COLUMN('Vækstfunktion, kry kvie'!I1)-1,FALSE)</f>
        <v>1223.1572993697009</v>
      </c>
      <c r="G81" s="73"/>
      <c r="K81" s="129"/>
      <c r="S81" s="75"/>
      <c r="T81" s="121"/>
      <c r="V81" s="121"/>
      <c r="X81" s="121"/>
      <c r="AE81" s="65"/>
      <c r="AF81" s="65"/>
      <c r="AG81" s="65"/>
    </row>
    <row r="82" spans="2:33" x14ac:dyDescent="0.35">
      <c r="B82" s="112" t="s">
        <v>78</v>
      </c>
      <c r="C82" s="131">
        <f>VLOOKUP(C77,'Vækstfunktion, hol'!B:Y,COLUMN('Vækstfunktion, hol'!J1)-1,FALSE)</f>
        <v>50.881925424963711</v>
      </c>
      <c r="D82" s="131">
        <f>VLOOKUP(D77,'Vækstfunktion, kry tyr'!B:Y,COLUMN('Vækstfunktion, kry tyr'!J1)-1,FALSE)</f>
        <v>55.006402667070191</v>
      </c>
      <c r="E82" s="132">
        <f>VLOOKUP(E77,'Vækstfunktion, kry kvie'!B:AA,COLUMN('Vækstfunktion, kry kvie'!J1)-1,FALSE)</f>
        <v>53.569944863945047</v>
      </c>
      <c r="G82" s="73"/>
      <c r="K82" s="129"/>
      <c r="S82" s="75"/>
      <c r="T82" s="121"/>
      <c r="V82" s="121"/>
      <c r="X82" s="121"/>
      <c r="AE82" s="65"/>
      <c r="AF82" s="65"/>
      <c r="AG82" s="65"/>
    </row>
    <row r="83" spans="2:33" x14ac:dyDescent="0.35">
      <c r="B83" s="94" t="s">
        <v>62</v>
      </c>
      <c r="C83" s="117">
        <f>VLOOKUP(C77,'Vækstfunktion, hol'!B:Y,COLUMN('Vækstfunktion, hol'!M1)-1,FALSE)</f>
        <v>619.9597692169209</v>
      </c>
      <c r="D83" s="117">
        <f>VLOOKUP(D77,'Vækstfunktion, kry tyr'!B:Y,COLUMN('Vækstfunktion, kry tyr'!M1)-1,FALSE)</f>
        <v>705.17132281518843</v>
      </c>
      <c r="E83" s="118">
        <f>VLOOKUP(E77,'Vækstfunktion, kry kvie'!B:AA,COLUMN('Vækstfunktion, kry kvie'!M1)-1,FALSE)</f>
        <v>631.07588532022817</v>
      </c>
      <c r="G83" s="73"/>
      <c r="O83" s="65"/>
      <c r="S83" s="75"/>
      <c r="T83" s="121"/>
      <c r="V83" s="121"/>
      <c r="X83" s="121"/>
      <c r="AE83" s="65"/>
      <c r="AF83" s="65"/>
      <c r="AG83" s="65"/>
    </row>
    <row r="84" spans="2:33" ht="21.75" thickBot="1" x14ac:dyDescent="0.4">
      <c r="B84" s="112" t="s">
        <v>63</v>
      </c>
      <c r="C84" s="133">
        <f>VLOOKUP(C77,'Vækstfunktion, hol'!B:Y,COLUMN('Vækstfunktion, hol'!K2)-1,FALSE)</f>
        <v>208.29471410113595</v>
      </c>
      <c r="D84" s="133">
        <f>VLOOKUP(D77,'Vækstfunktion, kry tyr'!B:Y,COLUMN('Vækstfunktion, kry tyr'!K2)-1,FALSE)</f>
        <v>229.03893186403474</v>
      </c>
      <c r="E84" s="134">
        <f>VLOOKUP(E77,'Vækstfunktion, kry kvie'!B:AA,COLUMN('Vækstfunktion, kry kvie'!K1)-1,FALSE)</f>
        <v>213.34362904283304</v>
      </c>
      <c r="G84" s="135"/>
      <c r="H84" s="82"/>
      <c r="I84" s="82"/>
      <c r="J84" s="82"/>
      <c r="K84" s="82"/>
      <c r="L84" s="82"/>
      <c r="M84" s="82"/>
      <c r="N84" s="82"/>
      <c r="O84" s="136"/>
      <c r="P84" s="82"/>
      <c r="Q84" s="82"/>
      <c r="R84" s="82"/>
      <c r="S84" s="83"/>
      <c r="T84" s="121"/>
      <c r="V84" s="121"/>
      <c r="X84" s="121"/>
      <c r="AE84" s="65"/>
      <c r="AF84" s="65"/>
      <c r="AG84" s="65"/>
    </row>
    <row r="85" spans="2:33" x14ac:dyDescent="0.35">
      <c r="B85" s="112" t="s">
        <v>70</v>
      </c>
      <c r="C85" s="137">
        <f>VLOOKUP(C77,'Vækstfunktion, hol'!B:Y,COLUMN('Vækstfunktion, hol'!R1)-1,FALSE)</f>
        <v>8.4885457728188864</v>
      </c>
      <c r="D85" s="137">
        <f>VLOOKUP(D77,'Vækstfunktion, kry tyr'!B:Y,COLUMN('Vækstfunktion, kry tyr'!R3)-1,FALSE)</f>
        <v>7.4919623680478438</v>
      </c>
      <c r="E85" s="138">
        <f>VLOOKUP(E77,'Vækstfunktion, kry kvie'!B:AA,COLUMN('Vækstfunktion, kry kvie'!R2)-1,FALSE)</f>
        <v>8.225211287121132</v>
      </c>
      <c r="F85" s="119"/>
      <c r="G85" s="119"/>
      <c r="O85" s="65"/>
      <c r="T85" s="121"/>
      <c r="V85" s="121"/>
      <c r="X85" s="121"/>
      <c r="AE85" s="65"/>
      <c r="AF85" s="65"/>
      <c r="AG85" s="65"/>
    </row>
    <row r="86" spans="2:33" x14ac:dyDescent="0.35">
      <c r="B86" s="139" t="s">
        <v>94</v>
      </c>
      <c r="C86" s="137">
        <f>VLOOKUP(C77,'Vækstfunktion, hol'!B:Y,COLUMN('Vækstfunktion, hol'!S1)-1,FALSE)</f>
        <v>4.3936743342093312</v>
      </c>
      <c r="D86" s="137">
        <f>VLOOKUP(D77,'Vækstfunktion, kry tyr'!B:Y,COLUMN('Vækstfunktion, kry tyr'!S3)-1,FALSE)</f>
        <v>4.222107735713724</v>
      </c>
      <c r="E86" s="138">
        <f>VLOOKUP(E77,'Vækstfunktion, kry kvie'!B:AA,COLUMN('Vækstfunktion, kry kvie'!S2)-1,FALSE)</f>
        <v>4.4924374405647471</v>
      </c>
      <c r="O86" s="65"/>
      <c r="T86" s="121"/>
      <c r="V86" s="121"/>
      <c r="X86" s="121"/>
      <c r="AE86" s="65"/>
      <c r="AF86" s="65"/>
      <c r="AG86" s="65"/>
    </row>
    <row r="87" spans="2:33" x14ac:dyDescent="0.35">
      <c r="B87" s="140"/>
      <c r="C87" s="141"/>
      <c r="D87" s="141"/>
      <c r="E87" s="141"/>
      <c r="O87" s="65"/>
      <c r="T87" s="121"/>
      <c r="V87" s="121"/>
      <c r="X87" s="121"/>
      <c r="AE87" s="65"/>
      <c r="AF87" s="65"/>
      <c r="AG87" s="65"/>
    </row>
    <row r="88" spans="2:33" x14ac:dyDescent="0.35">
      <c r="B88" s="106"/>
      <c r="C88" s="142"/>
      <c r="D88" s="142"/>
      <c r="E88" s="143"/>
      <c r="O88" s="65"/>
      <c r="T88" s="121"/>
      <c r="V88" s="121"/>
      <c r="X88" s="121"/>
      <c r="AE88" s="65"/>
      <c r="AF88" s="65"/>
      <c r="AG88" s="65"/>
    </row>
    <row r="89" spans="2:33" x14ac:dyDescent="0.35">
      <c r="B89" s="112"/>
      <c r="C89" s="65"/>
      <c r="D89" s="65"/>
      <c r="E89" s="144"/>
      <c r="O89" s="65"/>
      <c r="T89" s="121"/>
      <c r="V89" s="121"/>
      <c r="X89" s="121"/>
      <c r="AE89" s="65"/>
      <c r="AF89" s="65"/>
      <c r="AG89" s="65"/>
    </row>
    <row r="90" spans="2:33" x14ac:dyDescent="0.35">
      <c r="B90" s="112"/>
      <c r="C90" s="65"/>
      <c r="D90" s="65"/>
      <c r="E90" s="144"/>
      <c r="O90" s="65"/>
      <c r="T90" s="121"/>
      <c r="V90" s="121"/>
      <c r="X90" s="121"/>
      <c r="AE90" s="65"/>
      <c r="AF90" s="65"/>
      <c r="AG90" s="65"/>
    </row>
    <row r="91" spans="2:33" x14ac:dyDescent="0.35">
      <c r="B91" s="112"/>
      <c r="C91" s="65"/>
      <c r="D91" s="65"/>
      <c r="E91" s="144"/>
      <c r="O91" s="65"/>
      <c r="T91" s="121"/>
      <c r="V91" s="121"/>
      <c r="X91" s="121"/>
      <c r="AE91" s="65"/>
      <c r="AF91" s="65"/>
      <c r="AG91" s="65"/>
    </row>
    <row r="92" spans="2:33" x14ac:dyDescent="0.35">
      <c r="B92" s="112"/>
      <c r="C92" s="65"/>
      <c r="D92" s="65"/>
      <c r="E92" s="144"/>
      <c r="O92" s="65"/>
      <c r="T92" s="121"/>
      <c r="V92" s="121"/>
      <c r="X92" s="121"/>
      <c r="AE92" s="65"/>
      <c r="AF92" s="65"/>
      <c r="AG92" s="65"/>
    </row>
    <row r="93" spans="2:33" x14ac:dyDescent="0.35">
      <c r="B93" s="139"/>
      <c r="C93" s="145"/>
      <c r="D93" s="145"/>
      <c r="E93" s="146"/>
      <c r="O93" s="65"/>
      <c r="T93" s="121"/>
      <c r="V93" s="121"/>
      <c r="X93" s="121"/>
      <c r="AE93" s="65"/>
      <c r="AF93" s="65"/>
      <c r="AG93" s="65"/>
    </row>
    <row r="94" spans="2:33" x14ac:dyDescent="0.35">
      <c r="B94" s="140"/>
      <c r="O94" s="65"/>
      <c r="T94" s="121"/>
      <c r="V94" s="121"/>
      <c r="X94" s="121"/>
      <c r="AE94" s="65"/>
      <c r="AF94" s="65"/>
      <c r="AG94" s="65"/>
    </row>
    <row r="95" spans="2:33" x14ac:dyDescent="0.35">
      <c r="B95" s="106" t="s">
        <v>19</v>
      </c>
      <c r="C95" s="92"/>
      <c r="D95" s="92"/>
      <c r="E95" s="92"/>
      <c r="F95" s="92"/>
      <c r="G95" s="92"/>
      <c r="H95" s="92"/>
      <c r="I95" s="93"/>
      <c r="T95" s="121"/>
      <c r="V95" s="121"/>
      <c r="X95" s="121"/>
      <c r="AE95" s="65"/>
      <c r="AF95" s="65"/>
      <c r="AG95" s="65"/>
    </row>
    <row r="96" spans="2:33" x14ac:dyDescent="0.35">
      <c r="B96" s="94" t="s">
        <v>39</v>
      </c>
      <c r="C96" s="126" t="s">
        <v>3</v>
      </c>
      <c r="D96" s="74">
        <v>60</v>
      </c>
      <c r="E96" s="74">
        <v>100</v>
      </c>
      <c r="F96" s="74">
        <v>150</v>
      </c>
      <c r="G96" s="74">
        <v>200</v>
      </c>
      <c r="H96" s="74">
        <v>300</v>
      </c>
      <c r="I96" s="110">
        <v>400</v>
      </c>
      <c r="T96" s="121"/>
      <c r="V96" s="121"/>
      <c r="X96" s="121"/>
      <c r="AE96" s="65"/>
      <c r="AF96" s="65"/>
      <c r="AG96" s="65"/>
    </row>
    <row r="97" spans="1:33" x14ac:dyDescent="0.35">
      <c r="B97" s="94" t="s">
        <v>38</v>
      </c>
      <c r="C97" s="126">
        <f>D96</f>
        <v>60</v>
      </c>
      <c r="D97" s="126">
        <f>E96</f>
        <v>100</v>
      </c>
      <c r="E97" s="126">
        <f t="shared" ref="E97:H97" si="3">F96</f>
        <v>150</v>
      </c>
      <c r="F97" s="126">
        <f t="shared" si="3"/>
        <v>200</v>
      </c>
      <c r="G97" s="126">
        <f t="shared" si="3"/>
        <v>300</v>
      </c>
      <c r="H97" s="126">
        <f t="shared" si="3"/>
        <v>400</v>
      </c>
      <c r="I97" s="147">
        <v>1000</v>
      </c>
      <c r="K97" s="129"/>
      <c r="T97" s="121"/>
      <c r="V97" s="121"/>
      <c r="X97" s="121"/>
      <c r="AE97" s="65"/>
      <c r="AF97" s="65"/>
      <c r="AG97" s="65"/>
    </row>
    <row r="98" spans="1:33" x14ac:dyDescent="0.35">
      <c r="B98" s="97" t="s">
        <v>2</v>
      </c>
      <c r="C98" s="148">
        <v>1.5</v>
      </c>
      <c r="D98" s="148">
        <v>1.8</v>
      </c>
      <c r="E98" s="148">
        <v>2.2000000000000002</v>
      </c>
      <c r="F98" s="148">
        <v>2.2000000000000002</v>
      </c>
      <c r="G98" s="148">
        <v>3.2</v>
      </c>
      <c r="H98" s="148">
        <v>3.8</v>
      </c>
      <c r="I98" s="149">
        <v>4.4000000000000004</v>
      </c>
      <c r="T98" s="121"/>
      <c r="V98" s="121"/>
      <c r="X98" s="121"/>
      <c r="AE98" s="65"/>
      <c r="AF98" s="65"/>
      <c r="AG98" s="65"/>
    </row>
    <row r="99" spans="1:33" x14ac:dyDescent="0.35">
      <c r="T99" s="121"/>
      <c r="V99" s="121"/>
      <c r="X99" s="121"/>
      <c r="AE99" s="65"/>
      <c r="AF99" s="65"/>
      <c r="AG99" s="65"/>
    </row>
    <row r="100" spans="1:33" x14ac:dyDescent="0.35">
      <c r="C100" s="84"/>
      <c r="M100" s="65"/>
      <c r="T100" s="121"/>
      <c r="V100" s="121"/>
      <c r="X100" s="121"/>
      <c r="AE100" s="65"/>
      <c r="AF100" s="65"/>
      <c r="AG100" s="65"/>
    </row>
    <row r="101" spans="1:33" x14ac:dyDescent="0.35">
      <c r="F101" s="119"/>
      <c r="T101" s="121"/>
      <c r="V101" s="121"/>
      <c r="X101" s="121"/>
      <c r="AE101" s="65"/>
      <c r="AF101" s="65"/>
      <c r="AG101" s="65"/>
    </row>
    <row r="102" spans="1:33" hidden="1" x14ac:dyDescent="0.35">
      <c r="T102" s="121"/>
      <c r="V102" s="121"/>
      <c r="X102" s="121"/>
      <c r="AE102" s="65"/>
      <c r="AF102" s="65"/>
      <c r="AG102" s="65"/>
    </row>
    <row r="103" spans="1:33" ht="21.75" hidden="1" thickBot="1" x14ac:dyDescent="0.4">
      <c r="T103" s="121"/>
      <c r="V103" s="121"/>
      <c r="X103" s="121"/>
      <c r="AE103" s="65"/>
      <c r="AF103" s="65"/>
      <c r="AG103" s="65"/>
    </row>
    <row r="104" spans="1:33" hidden="1" x14ac:dyDescent="0.35">
      <c r="A104" s="150"/>
      <c r="B104" s="85" t="s">
        <v>65</v>
      </c>
      <c r="C104" s="71"/>
      <c r="D104" s="71"/>
      <c r="E104" s="71"/>
      <c r="F104" s="72"/>
      <c r="H104" s="150" t="s">
        <v>20</v>
      </c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151"/>
      <c r="U104" s="152"/>
      <c r="V104" s="151"/>
      <c r="W104" s="152"/>
      <c r="X104" s="151"/>
      <c r="Y104" s="71"/>
      <c r="Z104" s="71"/>
      <c r="AA104" s="71"/>
      <c r="AB104" s="71"/>
      <c r="AC104" s="71"/>
      <c r="AD104" s="71"/>
      <c r="AE104" s="153"/>
      <c r="AF104" s="65"/>
      <c r="AG104" s="65"/>
    </row>
    <row r="105" spans="1:33" hidden="1" x14ac:dyDescent="0.35">
      <c r="A105" s="73"/>
      <c r="F105" s="75"/>
      <c r="H105" s="73"/>
      <c r="T105" s="121"/>
      <c r="V105" s="121"/>
      <c r="X105" s="121"/>
      <c r="AE105" s="154"/>
      <c r="AF105" s="65"/>
      <c r="AG105" s="65"/>
    </row>
    <row r="106" spans="1:33" hidden="1" x14ac:dyDescent="0.35">
      <c r="A106" s="73"/>
      <c r="F106" s="75"/>
      <c r="H106" s="73"/>
      <c r="T106" s="121"/>
      <c r="V106" s="121"/>
      <c r="X106" s="121"/>
      <c r="AE106" s="154"/>
      <c r="AF106" s="65"/>
      <c r="AG106" s="65"/>
    </row>
    <row r="107" spans="1:33" hidden="1" x14ac:dyDescent="0.35">
      <c r="A107" s="73"/>
      <c r="F107" s="75"/>
      <c r="H107" s="73"/>
      <c r="T107" s="155"/>
      <c r="AE107" s="154"/>
      <c r="AF107" s="65"/>
      <c r="AG107" s="65"/>
    </row>
    <row r="108" spans="1:33" hidden="1" x14ac:dyDescent="0.35">
      <c r="A108" s="73"/>
      <c r="F108" s="75"/>
      <c r="H108" s="73"/>
      <c r="T108" s="155"/>
      <c r="AE108" s="154"/>
      <c r="AF108" s="65"/>
      <c r="AG108" s="65"/>
    </row>
    <row r="109" spans="1:33" hidden="1" x14ac:dyDescent="0.35">
      <c r="A109" s="73"/>
      <c r="F109" s="75"/>
      <c r="H109" s="73"/>
      <c r="T109" s="155"/>
      <c r="AE109" s="154"/>
      <c r="AF109" s="65"/>
      <c r="AG109" s="65"/>
    </row>
    <row r="110" spans="1:33" hidden="1" x14ac:dyDescent="0.35">
      <c r="A110" s="73"/>
      <c r="F110" s="75"/>
      <c r="H110" s="73"/>
      <c r="T110" s="155"/>
      <c r="AE110" s="154"/>
      <c r="AF110" s="65"/>
      <c r="AG110" s="65"/>
    </row>
    <row r="111" spans="1:33" hidden="1" x14ac:dyDescent="0.35">
      <c r="A111" s="73"/>
      <c r="F111" s="75"/>
      <c r="H111" s="73"/>
      <c r="AE111" s="154"/>
      <c r="AF111" s="65"/>
      <c r="AG111" s="65"/>
    </row>
    <row r="112" spans="1:33" hidden="1" x14ac:dyDescent="0.35">
      <c r="A112" s="73"/>
      <c r="F112" s="75"/>
      <c r="H112" s="73"/>
      <c r="AE112" s="154"/>
      <c r="AF112" s="65"/>
      <c r="AG112" s="65"/>
    </row>
    <row r="113" spans="1:33" hidden="1" x14ac:dyDescent="0.35">
      <c r="A113" s="73"/>
      <c r="F113" s="75"/>
      <c r="H113" s="73"/>
      <c r="AE113" s="154"/>
      <c r="AF113" s="65"/>
      <c r="AG113" s="65"/>
    </row>
    <row r="114" spans="1:33" hidden="1" x14ac:dyDescent="0.35">
      <c r="A114" s="73"/>
      <c r="F114" s="75"/>
      <c r="H114" s="73"/>
      <c r="AE114" s="154"/>
      <c r="AF114" s="65"/>
      <c r="AG114" s="65"/>
    </row>
    <row r="115" spans="1:33" hidden="1" x14ac:dyDescent="0.35">
      <c r="A115" s="73"/>
      <c r="F115" s="75"/>
      <c r="H115" s="73"/>
      <c r="AE115" s="154"/>
      <c r="AF115" s="65"/>
      <c r="AG115" s="65"/>
    </row>
    <row r="116" spans="1:33" hidden="1" x14ac:dyDescent="0.35">
      <c r="A116" s="73"/>
      <c r="F116" s="75"/>
      <c r="H116" s="73"/>
      <c r="AE116" s="154"/>
      <c r="AF116" s="65"/>
      <c r="AG116" s="65"/>
    </row>
    <row r="117" spans="1:33" hidden="1" x14ac:dyDescent="0.35">
      <c r="A117" s="73"/>
      <c r="F117" s="75"/>
      <c r="H117" s="73"/>
      <c r="AE117" s="154"/>
      <c r="AF117" s="65"/>
      <c r="AG117" s="65"/>
    </row>
    <row r="118" spans="1:33" hidden="1" x14ac:dyDescent="0.35">
      <c r="A118" s="73"/>
      <c r="F118" s="75"/>
      <c r="H118" s="73"/>
      <c r="AE118" s="154"/>
      <c r="AF118" s="65"/>
      <c r="AG118" s="65"/>
    </row>
    <row r="119" spans="1:33" hidden="1" x14ac:dyDescent="0.35">
      <c r="A119" s="73"/>
      <c r="F119" s="75"/>
      <c r="H119" s="73"/>
      <c r="AE119" s="154"/>
      <c r="AF119" s="65"/>
      <c r="AG119" s="65"/>
    </row>
    <row r="120" spans="1:33" hidden="1" x14ac:dyDescent="0.35">
      <c r="A120" s="73"/>
      <c r="F120" s="75"/>
      <c r="H120" s="73"/>
      <c r="AE120" s="154"/>
      <c r="AF120" s="65"/>
      <c r="AG120" s="65"/>
    </row>
    <row r="121" spans="1:33" hidden="1" x14ac:dyDescent="0.35">
      <c r="A121" s="73"/>
      <c r="F121" s="75"/>
      <c r="H121" s="73"/>
      <c r="AE121" s="154"/>
      <c r="AF121" s="65"/>
      <c r="AG121" s="65"/>
    </row>
    <row r="122" spans="1:33" hidden="1" x14ac:dyDescent="0.35">
      <c r="A122" s="73"/>
      <c r="F122" s="75"/>
      <c r="H122" s="73"/>
      <c r="AE122" s="154"/>
      <c r="AF122" s="65"/>
      <c r="AG122" s="65"/>
    </row>
    <row r="123" spans="1:33" hidden="1" x14ac:dyDescent="0.35">
      <c r="A123" s="73"/>
      <c r="F123" s="75"/>
      <c r="H123" s="73"/>
      <c r="AE123" s="154"/>
      <c r="AF123" s="65"/>
      <c r="AG123" s="65"/>
    </row>
    <row r="124" spans="1:33" hidden="1" x14ac:dyDescent="0.35">
      <c r="A124" s="73"/>
      <c r="F124" s="75"/>
      <c r="H124" s="73"/>
      <c r="AE124" s="154"/>
      <c r="AF124" s="65"/>
      <c r="AG124" s="65"/>
    </row>
    <row r="125" spans="1:33" hidden="1" x14ac:dyDescent="0.35">
      <c r="A125" s="73"/>
      <c r="F125" s="75"/>
      <c r="H125" s="73"/>
      <c r="AE125" s="154"/>
      <c r="AF125" s="65"/>
      <c r="AG125" s="65"/>
    </row>
    <row r="126" spans="1:33" hidden="1" x14ac:dyDescent="0.35">
      <c r="A126" s="73"/>
      <c r="F126" s="75"/>
      <c r="H126" s="73"/>
      <c r="AE126" s="154"/>
      <c r="AF126" s="65"/>
      <c r="AG126" s="65"/>
    </row>
    <row r="127" spans="1:33" hidden="1" x14ac:dyDescent="0.35">
      <c r="A127" s="73"/>
      <c r="F127" s="75"/>
      <c r="H127" s="73"/>
      <c r="AE127" s="154"/>
      <c r="AF127" s="65"/>
      <c r="AG127" s="65"/>
    </row>
    <row r="128" spans="1:33" hidden="1" x14ac:dyDescent="0.35">
      <c r="A128" s="73"/>
      <c r="F128" s="75"/>
      <c r="H128" s="73"/>
      <c r="AE128" s="154"/>
      <c r="AF128" s="65"/>
      <c r="AG128" s="65"/>
    </row>
    <row r="129" spans="1:33" hidden="1" x14ac:dyDescent="0.35">
      <c r="A129" s="73"/>
      <c r="F129" s="75"/>
      <c r="H129" s="73"/>
      <c r="AE129" s="154"/>
      <c r="AF129" s="65"/>
      <c r="AG129" s="65"/>
    </row>
    <row r="130" spans="1:33" hidden="1" x14ac:dyDescent="0.35">
      <c r="A130" s="73"/>
      <c r="F130" s="75"/>
      <c r="H130" s="73"/>
      <c r="AE130" s="154"/>
      <c r="AF130" s="65"/>
      <c r="AG130" s="65"/>
    </row>
    <row r="131" spans="1:33" hidden="1" x14ac:dyDescent="0.35">
      <c r="A131" s="73"/>
      <c r="F131" s="75"/>
      <c r="H131" s="73"/>
      <c r="AE131" s="154"/>
      <c r="AF131" s="65"/>
      <c r="AG131" s="65"/>
    </row>
    <row r="132" spans="1:33" hidden="1" x14ac:dyDescent="0.35">
      <c r="A132" s="73"/>
      <c r="F132" s="75"/>
      <c r="H132" s="73"/>
      <c r="AE132" s="154"/>
      <c r="AF132" s="65"/>
      <c r="AG132" s="65"/>
    </row>
    <row r="133" spans="1:33" hidden="1" x14ac:dyDescent="0.35">
      <c r="A133" s="73"/>
      <c r="F133" s="75"/>
      <c r="H133" s="73"/>
      <c r="AE133" s="154"/>
      <c r="AF133" s="65"/>
      <c r="AG133" s="65"/>
    </row>
    <row r="134" spans="1:33" hidden="1" x14ac:dyDescent="0.35">
      <c r="A134" s="73"/>
      <c r="F134" s="75"/>
      <c r="H134" s="73"/>
      <c r="AE134" s="154"/>
      <c r="AF134" s="65"/>
      <c r="AG134" s="65"/>
    </row>
    <row r="135" spans="1:33" hidden="1" x14ac:dyDescent="0.35">
      <c r="A135" s="73"/>
      <c r="F135" s="75"/>
      <c r="H135" s="73"/>
      <c r="AE135" s="154"/>
      <c r="AF135" s="65"/>
      <c r="AG135" s="65"/>
    </row>
    <row r="136" spans="1:33" hidden="1" x14ac:dyDescent="0.35">
      <c r="A136" s="73"/>
      <c r="F136" s="75"/>
      <c r="H136" s="73"/>
      <c r="AE136" s="75"/>
    </row>
    <row r="137" spans="1:33" hidden="1" x14ac:dyDescent="0.35">
      <c r="A137" s="73"/>
      <c r="F137" s="75"/>
      <c r="H137" s="73"/>
      <c r="AE137" s="75"/>
    </row>
    <row r="138" spans="1:33" hidden="1" x14ac:dyDescent="0.35">
      <c r="A138" s="73"/>
      <c r="F138" s="75"/>
      <c r="H138" s="73"/>
      <c r="AE138" s="75"/>
    </row>
    <row r="139" spans="1:33" hidden="1" x14ac:dyDescent="0.35">
      <c r="A139" s="73"/>
      <c r="F139" s="75"/>
      <c r="H139" s="73"/>
      <c r="AE139" s="75"/>
    </row>
    <row r="140" spans="1:33" hidden="1" x14ac:dyDescent="0.35">
      <c r="A140" s="73"/>
      <c r="F140" s="75"/>
      <c r="H140" s="73"/>
      <c r="AE140" s="75"/>
    </row>
    <row r="141" spans="1:33" hidden="1" x14ac:dyDescent="0.35">
      <c r="A141" s="73"/>
      <c r="F141" s="75"/>
      <c r="H141" s="73"/>
      <c r="AE141" s="75"/>
    </row>
    <row r="142" spans="1:33" hidden="1" x14ac:dyDescent="0.35">
      <c r="A142" s="73"/>
      <c r="F142" s="75"/>
      <c r="H142" s="73"/>
      <c r="AE142" s="75"/>
    </row>
    <row r="143" spans="1:33" hidden="1" x14ac:dyDescent="0.35">
      <c r="A143" s="73"/>
      <c r="F143" s="75"/>
      <c r="H143" s="73"/>
      <c r="AE143" s="75"/>
    </row>
    <row r="144" spans="1:33" hidden="1" x14ac:dyDescent="0.35">
      <c r="A144" s="73"/>
      <c r="F144" s="75"/>
      <c r="H144" s="73"/>
      <c r="AE144" s="75"/>
    </row>
    <row r="145" spans="1:31" hidden="1" x14ac:dyDescent="0.35">
      <c r="A145" s="73"/>
      <c r="F145" s="75"/>
      <c r="H145" s="73"/>
      <c r="AE145" s="75"/>
    </row>
    <row r="146" spans="1:31" hidden="1" x14ac:dyDescent="0.35">
      <c r="A146" s="73"/>
      <c r="F146" s="75"/>
      <c r="H146" s="73"/>
      <c r="AE146" s="75"/>
    </row>
    <row r="147" spans="1:31" hidden="1" x14ac:dyDescent="0.35">
      <c r="A147" s="73"/>
      <c r="F147" s="75"/>
      <c r="H147" s="73"/>
      <c r="AE147" s="75"/>
    </row>
    <row r="148" spans="1:31" hidden="1" x14ac:dyDescent="0.35">
      <c r="A148" s="73"/>
      <c r="F148" s="75"/>
      <c r="H148" s="73"/>
      <c r="AE148" s="75"/>
    </row>
    <row r="149" spans="1:31" hidden="1" x14ac:dyDescent="0.35">
      <c r="A149" s="73"/>
      <c r="F149" s="75"/>
      <c r="H149" s="73"/>
      <c r="AE149" s="75"/>
    </row>
    <row r="150" spans="1:31" hidden="1" x14ac:dyDescent="0.35">
      <c r="A150" s="73"/>
      <c r="F150" s="75"/>
      <c r="H150" s="73"/>
      <c r="AE150" s="75"/>
    </row>
    <row r="151" spans="1:31" hidden="1" x14ac:dyDescent="0.35">
      <c r="A151" s="73"/>
      <c r="F151" s="75"/>
      <c r="H151" s="73"/>
      <c r="AE151" s="75"/>
    </row>
    <row r="152" spans="1:31" hidden="1" x14ac:dyDescent="0.35">
      <c r="A152" s="73"/>
      <c r="F152" s="75"/>
      <c r="H152" s="73"/>
      <c r="AE152" s="75"/>
    </row>
    <row r="153" spans="1:31" hidden="1" x14ac:dyDescent="0.35">
      <c r="A153" s="73"/>
      <c r="F153" s="75"/>
      <c r="H153" s="73"/>
      <c r="AE153" s="75"/>
    </row>
    <row r="154" spans="1:31" hidden="1" x14ac:dyDescent="0.35">
      <c r="A154" s="73"/>
      <c r="F154" s="75"/>
      <c r="H154" s="73"/>
      <c r="AE154" s="75"/>
    </row>
    <row r="155" spans="1:31" hidden="1" x14ac:dyDescent="0.35">
      <c r="A155" s="73"/>
      <c r="F155" s="75"/>
      <c r="H155" s="73"/>
      <c r="AE155" s="75"/>
    </row>
    <row r="156" spans="1:31" hidden="1" x14ac:dyDescent="0.35">
      <c r="A156" s="73"/>
      <c r="F156" s="75"/>
      <c r="H156" s="73"/>
      <c r="AE156" s="75"/>
    </row>
    <row r="157" spans="1:31" hidden="1" x14ac:dyDescent="0.35">
      <c r="A157" s="73"/>
      <c r="F157" s="75"/>
      <c r="H157" s="73"/>
      <c r="AE157" s="75"/>
    </row>
    <row r="158" spans="1:31" hidden="1" x14ac:dyDescent="0.35">
      <c r="A158" s="73"/>
      <c r="F158" s="75"/>
      <c r="H158" s="73"/>
      <c r="AE158" s="75"/>
    </row>
    <row r="159" spans="1:31" hidden="1" x14ac:dyDescent="0.35">
      <c r="A159" s="73"/>
      <c r="F159" s="75"/>
      <c r="H159" s="73"/>
      <c r="AE159" s="75"/>
    </row>
    <row r="160" spans="1:31" hidden="1" x14ac:dyDescent="0.35">
      <c r="A160" s="73"/>
      <c r="F160" s="75"/>
      <c r="H160" s="73"/>
      <c r="AE160" s="75"/>
    </row>
    <row r="161" spans="1:31" hidden="1" x14ac:dyDescent="0.35">
      <c r="A161" s="73"/>
      <c r="F161" s="75"/>
      <c r="H161" s="73"/>
      <c r="AE161" s="75"/>
    </row>
    <row r="162" spans="1:31" hidden="1" x14ac:dyDescent="0.35">
      <c r="A162" s="73"/>
      <c r="F162" s="75"/>
      <c r="H162" s="73"/>
      <c r="AE162" s="75"/>
    </row>
    <row r="163" spans="1:31" hidden="1" x14ac:dyDescent="0.35">
      <c r="A163" s="73"/>
      <c r="F163" s="75"/>
      <c r="H163" s="73"/>
      <c r="AE163" s="75"/>
    </row>
    <row r="164" spans="1:31" hidden="1" x14ac:dyDescent="0.35">
      <c r="A164" s="73"/>
      <c r="F164" s="75"/>
      <c r="H164" s="73"/>
      <c r="AE164" s="75"/>
    </row>
    <row r="165" spans="1:31" hidden="1" x14ac:dyDescent="0.35">
      <c r="A165" s="73"/>
      <c r="F165" s="75"/>
      <c r="H165" s="73"/>
      <c r="AE165" s="75"/>
    </row>
    <row r="166" spans="1:31" hidden="1" x14ac:dyDescent="0.35">
      <c r="A166" s="73"/>
      <c r="F166" s="75"/>
      <c r="H166" s="73"/>
      <c r="AE166" s="75"/>
    </row>
    <row r="167" spans="1:31" hidden="1" x14ac:dyDescent="0.35">
      <c r="A167" s="73"/>
      <c r="F167" s="75"/>
      <c r="H167" s="73"/>
      <c r="AE167" s="75"/>
    </row>
    <row r="168" spans="1:31" ht="21.75" hidden="1" thickBot="1" x14ac:dyDescent="0.4">
      <c r="A168" s="73"/>
      <c r="F168" s="75"/>
      <c r="H168" s="135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136"/>
      <c r="V168" s="156"/>
      <c r="W168" s="136"/>
      <c r="X168" s="136"/>
      <c r="Y168" s="82"/>
      <c r="Z168" s="82"/>
      <c r="AA168" s="82"/>
      <c r="AB168" s="82"/>
      <c r="AC168" s="82"/>
      <c r="AD168" s="82"/>
      <c r="AE168" s="83"/>
    </row>
    <row r="169" spans="1:31" hidden="1" x14ac:dyDescent="0.35">
      <c r="A169" s="73"/>
      <c r="F169" s="75"/>
    </row>
    <row r="170" spans="1:31" hidden="1" x14ac:dyDescent="0.35">
      <c r="A170" s="73"/>
      <c r="F170" s="75"/>
    </row>
    <row r="171" spans="1:31" hidden="1" x14ac:dyDescent="0.35">
      <c r="A171" s="73"/>
      <c r="F171" s="75"/>
    </row>
    <row r="172" spans="1:31" hidden="1" x14ac:dyDescent="0.35">
      <c r="A172" s="73"/>
      <c r="F172" s="75"/>
    </row>
    <row r="173" spans="1:31" hidden="1" x14ac:dyDescent="0.35">
      <c r="A173" s="73"/>
      <c r="F173" s="75"/>
    </row>
    <row r="174" spans="1:31" hidden="1" x14ac:dyDescent="0.35">
      <c r="A174" s="73"/>
      <c r="F174" s="75"/>
    </row>
    <row r="175" spans="1:31" hidden="1" x14ac:dyDescent="0.35">
      <c r="A175" s="73"/>
      <c r="F175" s="75"/>
    </row>
    <row r="176" spans="1:31" hidden="1" x14ac:dyDescent="0.35">
      <c r="A176" s="73"/>
      <c r="F176" s="75"/>
    </row>
    <row r="177" spans="1:6" hidden="1" x14ac:dyDescent="0.35">
      <c r="A177" s="73"/>
      <c r="F177" s="75"/>
    </row>
    <row r="178" spans="1:6" hidden="1" x14ac:dyDescent="0.35">
      <c r="A178" s="73"/>
      <c r="F178" s="75"/>
    </row>
    <row r="179" spans="1:6" hidden="1" x14ac:dyDescent="0.35">
      <c r="A179" s="73"/>
      <c r="F179" s="75"/>
    </row>
    <row r="180" spans="1:6" hidden="1" x14ac:dyDescent="0.35">
      <c r="A180" s="73"/>
      <c r="F180" s="75"/>
    </row>
    <row r="181" spans="1:6" hidden="1" x14ac:dyDescent="0.35">
      <c r="A181" s="73"/>
      <c r="F181" s="75"/>
    </row>
    <row r="182" spans="1:6" hidden="1" x14ac:dyDescent="0.35">
      <c r="A182" s="73"/>
      <c r="F182" s="75"/>
    </row>
    <row r="183" spans="1:6" hidden="1" x14ac:dyDescent="0.35">
      <c r="A183" s="73"/>
      <c r="F183" s="75"/>
    </row>
    <row r="184" spans="1:6" hidden="1" x14ac:dyDescent="0.35">
      <c r="A184" s="73"/>
      <c r="F184" s="75"/>
    </row>
    <row r="185" spans="1:6" hidden="1" x14ac:dyDescent="0.35">
      <c r="A185" s="73"/>
      <c r="F185" s="75"/>
    </row>
    <row r="186" spans="1:6" hidden="1" x14ac:dyDescent="0.35">
      <c r="A186" s="73"/>
      <c r="F186" s="75"/>
    </row>
    <row r="187" spans="1:6" hidden="1" x14ac:dyDescent="0.35">
      <c r="A187" s="73"/>
      <c r="F187" s="75"/>
    </row>
    <row r="188" spans="1:6" hidden="1" x14ac:dyDescent="0.35">
      <c r="A188" s="73"/>
      <c r="F188" s="75"/>
    </row>
    <row r="189" spans="1:6" hidden="1" x14ac:dyDescent="0.35">
      <c r="A189" s="73"/>
      <c r="F189" s="75"/>
    </row>
    <row r="190" spans="1:6" hidden="1" x14ac:dyDescent="0.35">
      <c r="A190" s="73"/>
      <c r="F190" s="75"/>
    </row>
    <row r="191" spans="1:6" hidden="1" x14ac:dyDescent="0.35">
      <c r="A191" s="73"/>
      <c r="F191" s="75"/>
    </row>
    <row r="192" spans="1:6" hidden="1" x14ac:dyDescent="0.35">
      <c r="A192" s="73"/>
      <c r="F192" s="75"/>
    </row>
    <row r="193" spans="1:6" hidden="1" x14ac:dyDescent="0.35">
      <c r="A193" s="73"/>
      <c r="F193" s="75"/>
    </row>
    <row r="194" spans="1:6" hidden="1" x14ac:dyDescent="0.35">
      <c r="A194" s="73"/>
      <c r="F194" s="75"/>
    </row>
    <row r="195" spans="1:6" hidden="1" x14ac:dyDescent="0.35">
      <c r="A195" s="73"/>
      <c r="F195" s="75"/>
    </row>
    <row r="196" spans="1:6" hidden="1" x14ac:dyDescent="0.35">
      <c r="A196" s="73"/>
      <c r="F196" s="75"/>
    </row>
    <row r="197" spans="1:6" hidden="1" x14ac:dyDescent="0.35">
      <c r="A197" s="73"/>
      <c r="F197" s="75"/>
    </row>
    <row r="198" spans="1:6" hidden="1" x14ac:dyDescent="0.35">
      <c r="A198" s="73"/>
      <c r="F198" s="75"/>
    </row>
    <row r="199" spans="1:6" hidden="1" x14ac:dyDescent="0.35">
      <c r="A199" s="73"/>
      <c r="F199" s="75"/>
    </row>
    <row r="200" spans="1:6" hidden="1" x14ac:dyDescent="0.35">
      <c r="A200" s="73"/>
      <c r="F200" s="75"/>
    </row>
    <row r="201" spans="1:6" hidden="1" x14ac:dyDescent="0.35">
      <c r="A201" s="73"/>
      <c r="F201" s="75"/>
    </row>
    <row r="202" spans="1:6" hidden="1" x14ac:dyDescent="0.35">
      <c r="A202" s="73"/>
      <c r="F202" s="75"/>
    </row>
    <row r="203" spans="1:6" hidden="1" x14ac:dyDescent="0.35">
      <c r="A203" s="73"/>
      <c r="F203" s="75"/>
    </row>
    <row r="204" spans="1:6" hidden="1" x14ac:dyDescent="0.35">
      <c r="A204" s="73"/>
      <c r="F204" s="75"/>
    </row>
    <row r="205" spans="1:6" hidden="1" x14ac:dyDescent="0.35">
      <c r="A205" s="73"/>
      <c r="F205" s="75"/>
    </row>
    <row r="206" spans="1:6" hidden="1" x14ac:dyDescent="0.35">
      <c r="A206" s="73"/>
      <c r="F206" s="75"/>
    </row>
    <row r="207" spans="1:6" hidden="1" x14ac:dyDescent="0.35">
      <c r="A207" s="73"/>
      <c r="F207" s="75"/>
    </row>
    <row r="208" spans="1:6" hidden="1" x14ac:dyDescent="0.35">
      <c r="A208" s="73"/>
      <c r="F208" s="75"/>
    </row>
    <row r="209" spans="1:7" hidden="1" x14ac:dyDescent="0.35">
      <c r="A209" s="73"/>
      <c r="F209" s="75"/>
    </row>
    <row r="210" spans="1:7" hidden="1" x14ac:dyDescent="0.35">
      <c r="A210" s="73"/>
      <c r="F210" s="75"/>
    </row>
    <row r="211" spans="1:7" hidden="1" x14ac:dyDescent="0.35">
      <c r="A211" s="73"/>
      <c r="F211" s="75"/>
    </row>
    <row r="212" spans="1:7" hidden="1" x14ac:dyDescent="0.35">
      <c r="A212" s="73"/>
      <c r="F212" s="75"/>
    </row>
    <row r="213" spans="1:7" hidden="1" x14ac:dyDescent="0.35">
      <c r="A213" s="73"/>
      <c r="F213" s="75"/>
    </row>
    <row r="214" spans="1:7" hidden="1" x14ac:dyDescent="0.35">
      <c r="A214" s="73"/>
      <c r="F214" s="75"/>
    </row>
    <row r="215" spans="1:7" ht="21.75" hidden="1" thickBot="1" x14ac:dyDescent="0.4">
      <c r="A215" s="135"/>
      <c r="B215" s="82"/>
      <c r="C215" s="82"/>
      <c r="D215" s="82"/>
      <c r="E215" s="82"/>
      <c r="F215" s="83"/>
    </row>
    <row r="216" spans="1:7" hidden="1" x14ac:dyDescent="0.35"/>
    <row r="217" spans="1:7" hidden="1" x14ac:dyDescent="0.35"/>
    <row r="218" spans="1:7" hidden="1" x14ac:dyDescent="0.35"/>
    <row r="220" spans="1:7" ht="21.75" thickBot="1" x14ac:dyDescent="0.4"/>
    <row r="221" spans="1:7" x14ac:dyDescent="0.35">
      <c r="B221" s="150" t="s">
        <v>55</v>
      </c>
      <c r="C221" s="71"/>
      <c r="D221" s="71"/>
      <c r="E221" s="71"/>
      <c r="F221" s="71"/>
      <c r="G221" s="72"/>
    </row>
    <row r="222" spans="1:7" x14ac:dyDescent="0.35">
      <c r="B222" s="73">
        <v>7.46</v>
      </c>
      <c r="C222" s="64" t="s">
        <v>42</v>
      </c>
      <c r="G222" s="75"/>
    </row>
    <row r="223" spans="1:7" x14ac:dyDescent="0.35">
      <c r="B223" s="73">
        <v>11.7</v>
      </c>
      <c r="C223" s="64" t="s">
        <v>51</v>
      </c>
      <c r="G223" s="75"/>
    </row>
    <row r="224" spans="1:7" x14ac:dyDescent="0.35">
      <c r="B224" s="157">
        <f>C8*(B223/B222)</f>
        <v>37.640750670241289</v>
      </c>
      <c r="C224" s="64" t="s">
        <v>43</v>
      </c>
      <c r="G224" s="75"/>
    </row>
    <row r="225" spans="1:51" x14ac:dyDescent="0.35">
      <c r="B225" s="157">
        <f>(C8*C7)/B224</f>
        <v>15.940170940170939</v>
      </c>
      <c r="C225" s="64" t="s">
        <v>52</v>
      </c>
      <c r="G225" s="75"/>
    </row>
    <row r="226" spans="1:51" x14ac:dyDescent="0.35">
      <c r="B226" s="73"/>
      <c r="G226" s="75"/>
    </row>
    <row r="227" spans="1:51" x14ac:dyDescent="0.35">
      <c r="B227" s="124">
        <f>B224</f>
        <v>37.640750670241289</v>
      </c>
      <c r="C227" s="64" t="s">
        <v>49</v>
      </c>
      <c r="G227" s="75"/>
    </row>
    <row r="228" spans="1:51" x14ac:dyDescent="0.35">
      <c r="B228" s="124">
        <f>B227+C10</f>
        <v>137.64075067024129</v>
      </c>
      <c r="C228" s="64" t="s">
        <v>50</v>
      </c>
      <c r="G228" s="75"/>
    </row>
    <row r="229" spans="1:51" ht="21.75" thickBot="1" x14ac:dyDescent="0.4">
      <c r="B229" s="135"/>
      <c r="C229" s="82"/>
      <c r="D229" s="82"/>
      <c r="E229" s="82"/>
      <c r="F229" s="82"/>
      <c r="G229" s="83"/>
    </row>
    <row r="230" spans="1:51" x14ac:dyDescent="0.35">
      <c r="L230" s="64" t="s">
        <v>158</v>
      </c>
    </row>
    <row r="231" spans="1:51" ht="21.75" thickBot="1" x14ac:dyDescent="0.4">
      <c r="L231" s="64" t="s">
        <v>159</v>
      </c>
    </row>
    <row r="232" spans="1:51" x14ac:dyDescent="0.35">
      <c r="A232" s="150"/>
      <c r="B232" s="71" t="s">
        <v>149</v>
      </c>
      <c r="C232" s="71"/>
      <c r="D232" s="71"/>
      <c r="E232" s="71"/>
      <c r="F232" s="71"/>
      <c r="G232" s="71"/>
      <c r="H232" s="72"/>
    </row>
    <row r="233" spans="1:51" ht="21.75" thickBot="1" x14ac:dyDescent="0.4">
      <c r="A233" s="73"/>
      <c r="H233" s="75"/>
    </row>
    <row r="234" spans="1:51" x14ac:dyDescent="0.35">
      <c r="A234" s="150"/>
      <c r="B234" s="158" t="s">
        <v>151</v>
      </c>
      <c r="C234" s="71"/>
      <c r="D234" s="71"/>
      <c r="E234" s="71"/>
      <c r="F234" s="71"/>
      <c r="G234" s="71"/>
      <c r="H234" s="159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152"/>
      <c r="V234" s="86"/>
      <c r="W234" s="152"/>
      <c r="X234" s="152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2"/>
    </row>
    <row r="235" spans="1:51" x14ac:dyDescent="0.35">
      <c r="A235" s="73"/>
      <c r="H235" s="95"/>
      <c r="AY235" s="75"/>
    </row>
    <row r="236" spans="1:51" x14ac:dyDescent="0.35">
      <c r="A236" s="73"/>
      <c r="B236" s="64" t="s">
        <v>143</v>
      </c>
      <c r="C236" s="160" t="s">
        <v>146</v>
      </c>
      <c r="H236" s="95"/>
      <c r="K236" s="64" t="s">
        <v>160</v>
      </c>
      <c r="L236" s="160" t="s">
        <v>146</v>
      </c>
      <c r="Q236" s="95"/>
      <c r="AY236" s="75"/>
    </row>
    <row r="237" spans="1:51" x14ac:dyDescent="0.35">
      <c r="A237" s="73"/>
      <c r="B237" s="107">
        <f>VLOOKUP(MAX('Vækstfunktion, hol'!AN50:AN337),'Vækstfunktion, hol'!AN:AS,6,FALSE)</f>
        <v>11.1</v>
      </c>
      <c r="C237" s="161">
        <v>2.2000000000000002</v>
      </c>
      <c r="D237" s="161">
        <v>2.4</v>
      </c>
      <c r="E237" s="161">
        <v>2.6</v>
      </c>
      <c r="F237" s="161">
        <v>2.8</v>
      </c>
      <c r="G237" s="161">
        <v>3</v>
      </c>
      <c r="H237" s="162">
        <v>3.2</v>
      </c>
      <c r="K237" s="65">
        <f>VLOOKUP(MAX('Vækstfunktion, hol'!AN50:AN337),'Vækstfunktion, hol'!AN:AW,10,FALSE)</f>
        <v>6.9010756939123983</v>
      </c>
      <c r="L237" s="160">
        <f>C237</f>
        <v>2.2000000000000002</v>
      </c>
      <c r="M237" s="160">
        <f t="shared" ref="M237:Q237" si="4">D237</f>
        <v>2.4</v>
      </c>
      <c r="N237" s="160">
        <f t="shared" si="4"/>
        <v>2.6</v>
      </c>
      <c r="O237" s="160">
        <f t="shared" si="4"/>
        <v>2.8</v>
      </c>
      <c r="P237" s="160">
        <f t="shared" si="4"/>
        <v>3</v>
      </c>
      <c r="Q237" s="160">
        <f t="shared" si="4"/>
        <v>3.2</v>
      </c>
      <c r="AY237" s="75"/>
    </row>
    <row r="238" spans="1:51" x14ac:dyDescent="0.35">
      <c r="A238" s="163" t="s">
        <v>147</v>
      </c>
      <c r="B238" s="161">
        <v>4</v>
      </c>
      <c r="C238" s="107">
        <f t="dataTable" ref="C238:H243" dt2D="1" dtr="1" r1="C11" r2="C23"/>
        <v>12</v>
      </c>
      <c r="D238" s="107">
        <v>11.6</v>
      </c>
      <c r="E238" s="107">
        <v>11.1</v>
      </c>
      <c r="F238" s="107">
        <v>10.5</v>
      </c>
      <c r="G238" s="107">
        <v>10.1</v>
      </c>
      <c r="H238" s="164">
        <v>10.1</v>
      </c>
      <c r="J238" s="165" t="s">
        <v>147</v>
      </c>
      <c r="K238" s="160">
        <f>B238</f>
        <v>4</v>
      </c>
      <c r="L238" s="65">
        <f t="dataTable" ref="L238:Q243" dt2D="1" dtr="1" r1="C11" r2="C23" ca="1"/>
        <v>9.9400056367908167</v>
      </c>
      <c r="M238" s="65">
        <v>9.0488763858744008</v>
      </c>
      <c r="N238" s="65">
        <v>8.3826686710144553</v>
      </c>
      <c r="O238" s="65">
        <v>7.6827412033740883</v>
      </c>
      <c r="P238" s="65">
        <v>6.9486990511293847</v>
      </c>
      <c r="Q238" s="65">
        <v>5.9038160445032304</v>
      </c>
      <c r="AY238" s="75"/>
    </row>
    <row r="239" spans="1:51" x14ac:dyDescent="0.35">
      <c r="A239" s="163" t="s">
        <v>148</v>
      </c>
      <c r="B239" s="161">
        <v>2</v>
      </c>
      <c r="C239" s="107">
        <v>11.9</v>
      </c>
      <c r="D239" s="107">
        <v>11.3</v>
      </c>
      <c r="E239" s="107">
        <v>10.7</v>
      </c>
      <c r="F239" s="107">
        <v>10.199999999999999</v>
      </c>
      <c r="G239" s="107">
        <v>10.1</v>
      </c>
      <c r="H239" s="164">
        <v>9.8000000000000007</v>
      </c>
      <c r="J239" s="165" t="s">
        <v>148</v>
      </c>
      <c r="K239" s="160">
        <f t="shared" ref="K239:K243" si="5">B239</f>
        <v>2</v>
      </c>
      <c r="L239" s="65">
        <v>8.5675326308416029</v>
      </c>
      <c r="M239" s="65">
        <v>7.873002487639595</v>
      </c>
      <c r="N239" s="65">
        <v>7.1720995403622396</v>
      </c>
      <c r="O239" s="65">
        <v>6.4388718989571565</v>
      </c>
      <c r="P239" s="65">
        <v>5.4533283397045036</v>
      </c>
      <c r="Q239" s="65">
        <v>4.5104623839125351</v>
      </c>
      <c r="AY239" s="75"/>
    </row>
    <row r="240" spans="1:51" x14ac:dyDescent="0.35">
      <c r="A240" s="163"/>
      <c r="B240" s="161">
        <v>0</v>
      </c>
      <c r="C240" s="107">
        <v>11.5</v>
      </c>
      <c r="D240" s="107">
        <v>10.9</v>
      </c>
      <c r="E240" s="107">
        <v>10.3</v>
      </c>
      <c r="F240" s="107">
        <v>10.1</v>
      </c>
      <c r="G240" s="107">
        <v>10</v>
      </c>
      <c r="H240" s="164">
        <v>9.5</v>
      </c>
      <c r="J240" s="165"/>
      <c r="K240" s="160">
        <f t="shared" si="5"/>
        <v>0</v>
      </c>
      <c r="L240" s="65">
        <v>7.3998525895311884</v>
      </c>
      <c r="M240" s="65">
        <v>6.6694474384950588</v>
      </c>
      <c r="N240" s="65">
        <v>5.9286575109194217</v>
      </c>
      <c r="O240" s="65">
        <v>5.0028406349057688</v>
      </c>
      <c r="P240" s="65">
        <v>3.9946278961679877</v>
      </c>
      <c r="Q240" s="65">
        <v>3.1152576443693398</v>
      </c>
      <c r="AY240" s="75"/>
    </row>
    <row r="241" spans="1:51" x14ac:dyDescent="0.35">
      <c r="A241" s="163"/>
      <c r="B241" s="161">
        <v>-2</v>
      </c>
      <c r="C241" s="107">
        <v>11.1</v>
      </c>
      <c r="D241" s="107">
        <v>10.5</v>
      </c>
      <c r="E241" s="107">
        <v>10.1</v>
      </c>
      <c r="F241" s="107">
        <v>10</v>
      </c>
      <c r="G241" s="107">
        <v>9.5</v>
      </c>
      <c r="H241" s="164">
        <v>9.5</v>
      </c>
      <c r="J241" s="165"/>
      <c r="K241" s="160">
        <f t="shared" si="5"/>
        <v>-2</v>
      </c>
      <c r="L241" s="65">
        <v>6.1982583623066976</v>
      </c>
      <c r="M241" s="65">
        <v>5.4250798963023232</v>
      </c>
      <c r="N241" s="65">
        <v>4.5523529301070322</v>
      </c>
      <c r="O241" s="65">
        <v>3.5179758792796325</v>
      </c>
      <c r="P241" s="65">
        <v>2.6099325800440374</v>
      </c>
      <c r="Q241" s="65">
        <v>1.599334833024699</v>
      </c>
      <c r="AY241" s="75"/>
    </row>
    <row r="242" spans="1:51" x14ac:dyDescent="0.35">
      <c r="A242" s="163"/>
      <c r="B242" s="161">
        <v>-4</v>
      </c>
      <c r="C242" s="107">
        <v>10.7</v>
      </c>
      <c r="D242" s="107">
        <v>10.1</v>
      </c>
      <c r="E242" s="107">
        <v>10.1</v>
      </c>
      <c r="F242" s="107">
        <v>9.6</v>
      </c>
      <c r="G242" s="107">
        <v>9.5</v>
      </c>
      <c r="H242" s="164">
        <v>9.1999999999999993</v>
      </c>
      <c r="J242" s="165"/>
      <c r="K242" s="160">
        <f t="shared" si="5"/>
        <v>-4</v>
      </c>
      <c r="L242" s="65">
        <v>4.9346365830465384</v>
      </c>
      <c r="M242" s="65">
        <v>4.1018652253082912</v>
      </c>
      <c r="N242" s="65">
        <v>3.0569822186821307</v>
      </c>
      <c r="O242" s="65">
        <v>2.0901287493656846</v>
      </c>
      <c r="P242" s="65">
        <v>1.0940097686994006</v>
      </c>
      <c r="Q242" s="65">
        <v>5.2484805273051431E-2</v>
      </c>
      <c r="AY242" s="75"/>
    </row>
    <row r="243" spans="1:51" x14ac:dyDescent="0.35">
      <c r="A243" s="163"/>
      <c r="B243" s="161">
        <v>-6</v>
      </c>
      <c r="C243" s="107">
        <v>10.199999999999999</v>
      </c>
      <c r="D243" s="107">
        <v>10.1</v>
      </c>
      <c r="E243" s="107">
        <v>9.8000000000000007</v>
      </c>
      <c r="F243" s="107">
        <v>6.5</v>
      </c>
      <c r="G243" s="107">
        <v>6.3</v>
      </c>
      <c r="H243" s="164">
        <v>6.3</v>
      </c>
      <c r="J243" s="165"/>
      <c r="K243" s="160">
        <f t="shared" si="5"/>
        <v>-6</v>
      </c>
      <c r="L243" s="65">
        <v>3.6152325259773468</v>
      </c>
      <c r="M243" s="65">
        <v>2.606494513883403</v>
      </c>
      <c r="N243" s="65">
        <v>1.5920441358005946</v>
      </c>
      <c r="O243" s="65">
        <v>0.47162486087164468</v>
      </c>
      <c r="P243" s="65">
        <v>-0.2823922094211358</v>
      </c>
      <c r="Q243" s="65">
        <v>-1.0199586107788232</v>
      </c>
      <c r="AY243" s="75"/>
    </row>
    <row r="244" spans="1:51" x14ac:dyDescent="0.35">
      <c r="A244" s="73"/>
      <c r="H244" s="95"/>
      <c r="AY244" s="75"/>
    </row>
    <row r="245" spans="1:51" x14ac:dyDescent="0.35">
      <c r="A245" s="73"/>
      <c r="H245" s="95"/>
      <c r="AY245" s="75"/>
    </row>
    <row r="246" spans="1:51" x14ac:dyDescent="0.35">
      <c r="A246" s="73"/>
      <c r="H246" s="95"/>
      <c r="AY246" s="75"/>
    </row>
    <row r="247" spans="1:51" x14ac:dyDescent="0.35">
      <c r="A247" s="73"/>
      <c r="B247" s="64" t="s">
        <v>144</v>
      </c>
      <c r="C247" s="160" t="s">
        <v>146</v>
      </c>
      <c r="D247" s="160"/>
      <c r="E247" s="160"/>
      <c r="F247" s="160"/>
      <c r="G247" s="160"/>
      <c r="H247" s="166"/>
      <c r="K247" s="64" t="s">
        <v>161</v>
      </c>
      <c r="L247" s="160" t="s">
        <v>146</v>
      </c>
      <c r="Q247" s="95"/>
      <c r="AY247" s="75"/>
    </row>
    <row r="248" spans="1:51" x14ac:dyDescent="0.35">
      <c r="A248" s="73"/>
      <c r="B248" s="64">
        <f>VLOOKUP(MAX('Vækstfunktion, hol'!AO50:AO337),'Vækstfunktion, hol'!AO:AS,5,FALSE)</f>
        <v>9.9</v>
      </c>
      <c r="C248" s="160">
        <f>C237</f>
        <v>2.2000000000000002</v>
      </c>
      <c r="D248" s="160">
        <f t="shared" ref="D248:H248" si="6">D237</f>
        <v>2.4</v>
      </c>
      <c r="E248" s="160">
        <f t="shared" si="6"/>
        <v>2.6</v>
      </c>
      <c r="F248" s="160">
        <f t="shared" si="6"/>
        <v>2.8</v>
      </c>
      <c r="G248" s="160">
        <f t="shared" si="6"/>
        <v>3</v>
      </c>
      <c r="H248" s="166">
        <f t="shared" si="6"/>
        <v>3.2</v>
      </c>
      <c r="K248" s="65">
        <f>VLOOKUP(MAX('Vækstfunktion, hol'!AO50:AO337),'Vækstfunktion, hol'!AO:AW,9,FALSE)</f>
        <v>7.4361171343649106</v>
      </c>
      <c r="L248" s="160">
        <f>C248</f>
        <v>2.2000000000000002</v>
      </c>
      <c r="M248" s="160">
        <f t="shared" ref="M248" si="7">D248</f>
        <v>2.4</v>
      </c>
      <c r="N248" s="160">
        <f t="shared" ref="N248" si="8">E248</f>
        <v>2.6</v>
      </c>
      <c r="O248" s="160">
        <f t="shared" ref="O248" si="9">F248</f>
        <v>2.8</v>
      </c>
      <c r="P248" s="160">
        <f t="shared" ref="P248" si="10">G248</f>
        <v>3</v>
      </c>
      <c r="Q248" s="160">
        <f t="shared" ref="Q248" si="11">H248</f>
        <v>3.2</v>
      </c>
      <c r="AY248" s="75"/>
    </row>
    <row r="249" spans="1:51" x14ac:dyDescent="0.35">
      <c r="A249" s="163" t="s">
        <v>147</v>
      </c>
      <c r="B249" s="160">
        <f>B238</f>
        <v>4</v>
      </c>
      <c r="C249" s="84">
        <f t="dataTable" ref="C249:H254" dt2D="1" dtr="1" r1="C11" r2="C23" ca="1"/>
        <v>9.8000000000000007</v>
      </c>
      <c r="D249" s="84">
        <v>9.6</v>
      </c>
      <c r="E249" s="84">
        <v>9.5</v>
      </c>
      <c r="F249" s="84">
        <v>9.5</v>
      </c>
      <c r="G249" s="64">
        <v>9.5</v>
      </c>
      <c r="H249" s="95">
        <v>9.5</v>
      </c>
      <c r="J249" s="165" t="s">
        <v>147</v>
      </c>
      <c r="K249" s="160">
        <f>B249</f>
        <v>4</v>
      </c>
      <c r="L249" s="65">
        <f t="dataTable" ref="L249:Q254" dt2D="1" dtr="1" r1="C11" r2="C23" ca="1"/>
        <v>11.178143845442955</v>
      </c>
      <c r="M249" s="65">
        <v>10.18158647419237</v>
      </c>
      <c r="N249" s="65">
        <v>9.1788965081166296</v>
      </c>
      <c r="O249" s="65">
        <v>8.1682987610972937</v>
      </c>
      <c r="P249" s="65">
        <v>7.1577010140779489</v>
      </c>
      <c r="Q249" s="65">
        <v>6.1471032670586103</v>
      </c>
      <c r="AY249" s="75"/>
    </row>
    <row r="250" spans="1:51" x14ac:dyDescent="0.35">
      <c r="A250" s="163" t="s">
        <v>148</v>
      </c>
      <c r="B250" s="160">
        <f t="shared" ref="B250:B254" si="12">B239</f>
        <v>2</v>
      </c>
      <c r="C250" s="84">
        <v>9.9</v>
      </c>
      <c r="D250" s="84">
        <v>9.6999999999999993</v>
      </c>
      <c r="E250" s="84">
        <v>9.5</v>
      </c>
      <c r="F250" s="84">
        <v>9.5</v>
      </c>
      <c r="G250" s="64">
        <v>9.5</v>
      </c>
      <c r="H250" s="95">
        <v>9.5</v>
      </c>
      <c r="J250" s="165" t="s">
        <v>148</v>
      </c>
      <c r="K250" s="160">
        <f t="shared" ref="K250:K254" si="13">B250</f>
        <v>2</v>
      </c>
      <c r="L250" s="65">
        <v>9.6581709300334069</v>
      </c>
      <c r="M250" s="65">
        <v>8.6537272198641055</v>
      </c>
      <c r="N250" s="65">
        <v>7.6629736967719966</v>
      </c>
      <c r="O250" s="65">
        <v>6.6523759497526607</v>
      </c>
      <c r="P250" s="65">
        <v>5.641778202733315</v>
      </c>
      <c r="Q250" s="65">
        <v>4.6311804557139764</v>
      </c>
      <c r="AY250" s="75"/>
    </row>
    <row r="251" spans="1:51" x14ac:dyDescent="0.35">
      <c r="A251" s="163"/>
      <c r="B251" s="160">
        <f t="shared" si="12"/>
        <v>0</v>
      </c>
      <c r="C251" s="84">
        <v>10</v>
      </c>
      <c r="D251" s="84">
        <v>9.8000000000000007</v>
      </c>
      <c r="E251" s="84">
        <v>9.6</v>
      </c>
      <c r="F251" s="84">
        <v>9.5</v>
      </c>
      <c r="G251" s="64">
        <v>9.5</v>
      </c>
      <c r="H251" s="95">
        <v>9.5</v>
      </c>
      <c r="J251" s="165"/>
      <c r="K251" s="160">
        <f t="shared" si="13"/>
        <v>0</v>
      </c>
      <c r="L251" s="65">
        <v>8.1433535737880742</v>
      </c>
      <c r="M251" s="65">
        <v>7.1345643094169153</v>
      </c>
      <c r="N251" s="65">
        <v>6.1357023674357638</v>
      </c>
      <c r="O251" s="65">
        <v>5.1364531384080241</v>
      </c>
      <c r="P251" s="65">
        <v>4.1258553913886784</v>
      </c>
      <c r="Q251" s="65">
        <v>3.1152576443693398</v>
      </c>
      <c r="AY251" s="75"/>
    </row>
    <row r="252" spans="1:51" x14ac:dyDescent="0.35">
      <c r="A252" s="163"/>
      <c r="B252" s="160">
        <f t="shared" si="12"/>
        <v>-2</v>
      </c>
      <c r="C252" s="84">
        <v>10</v>
      </c>
      <c r="D252" s="84">
        <v>9.9</v>
      </c>
      <c r="E252" s="84">
        <v>9.6999999999999993</v>
      </c>
      <c r="F252" s="84">
        <v>9.5</v>
      </c>
      <c r="G252" s="64">
        <v>9.5</v>
      </c>
      <c r="H252" s="95">
        <v>9.5</v>
      </c>
      <c r="J252" s="165"/>
      <c r="K252" s="160">
        <f t="shared" si="13"/>
        <v>-2</v>
      </c>
      <c r="L252" s="65">
        <v>6.6467392542603632</v>
      </c>
      <c r="M252" s="65">
        <v>5.6164010934808744</v>
      </c>
      <c r="N252" s="65">
        <v>4.6091507598406318</v>
      </c>
      <c r="O252" s="65">
        <v>3.6205303270633835</v>
      </c>
      <c r="P252" s="65">
        <v>2.6099325800440374</v>
      </c>
      <c r="Q252" s="65">
        <v>1.599334833024699</v>
      </c>
      <c r="AY252" s="75"/>
    </row>
    <row r="253" spans="1:51" x14ac:dyDescent="0.35">
      <c r="A253" s="163"/>
      <c r="B253" s="160">
        <f t="shared" si="12"/>
        <v>-4</v>
      </c>
      <c r="C253" s="84">
        <v>10.1</v>
      </c>
      <c r="D253" s="84">
        <v>10</v>
      </c>
      <c r="E253" s="84">
        <v>9.9</v>
      </c>
      <c r="F253" s="84">
        <v>9.6</v>
      </c>
      <c r="G253" s="64">
        <v>9.5</v>
      </c>
      <c r="H253" s="95">
        <v>9.5</v>
      </c>
      <c r="J253" s="165"/>
      <c r="K253" s="160">
        <f t="shared" si="13"/>
        <v>-4</v>
      </c>
      <c r="L253" s="65">
        <v>5.1467482319344411</v>
      </c>
      <c r="M253" s="65">
        <v>4.1072038097390839</v>
      </c>
      <c r="N253" s="65">
        <v>3.0876427028230475</v>
      </c>
      <c r="O253" s="65">
        <v>2.0901287493656846</v>
      </c>
      <c r="P253" s="65">
        <v>1.0940097686994006</v>
      </c>
      <c r="Q253" s="65">
        <v>8.3412021680062023E-2</v>
      </c>
      <c r="AY253" s="75"/>
    </row>
    <row r="254" spans="1:51" x14ac:dyDescent="0.35">
      <c r="A254" s="163"/>
      <c r="B254" s="160">
        <f t="shared" si="12"/>
        <v>-6</v>
      </c>
      <c r="C254" s="84">
        <v>10.1</v>
      </c>
      <c r="D254" s="84">
        <v>10</v>
      </c>
      <c r="E254" s="84">
        <v>10</v>
      </c>
      <c r="F254" s="84">
        <v>9.8000000000000007</v>
      </c>
      <c r="G254" s="64">
        <v>9.5</v>
      </c>
      <c r="H254" s="95">
        <v>9.5</v>
      </c>
      <c r="J254" s="165"/>
      <c r="K254" s="160">
        <f t="shared" si="13"/>
        <v>-6</v>
      </c>
      <c r="L254" s="65">
        <v>3.6513775205095533</v>
      </c>
      <c r="M254" s="65">
        <v>2.6105894902113813</v>
      </c>
      <c r="N254" s="65">
        <v>1.5716162591950518</v>
      </c>
      <c r="O254" s="65">
        <v>0.56505027056146417</v>
      </c>
      <c r="P254" s="65">
        <v>-0.42191304264524027</v>
      </c>
      <c r="Q254" s="65">
        <v>-1.4325107896645786</v>
      </c>
      <c r="AY254" s="75"/>
    </row>
    <row r="255" spans="1:51" x14ac:dyDescent="0.35">
      <c r="A255" s="73"/>
      <c r="H255" s="95"/>
      <c r="AY255" s="75"/>
    </row>
    <row r="256" spans="1:51" x14ac:dyDescent="0.35">
      <c r="A256" s="73"/>
      <c r="H256" s="95"/>
      <c r="AY256" s="75"/>
    </row>
    <row r="257" spans="1:51" x14ac:dyDescent="0.35">
      <c r="A257" s="73"/>
      <c r="B257" s="64" t="s">
        <v>145</v>
      </c>
      <c r="C257" s="160" t="s">
        <v>146</v>
      </c>
      <c r="D257" s="160"/>
      <c r="E257" s="160"/>
      <c r="F257" s="160"/>
      <c r="G257" s="160"/>
      <c r="H257" s="166"/>
      <c r="K257" s="64" t="s">
        <v>162</v>
      </c>
      <c r="L257" s="160" t="s">
        <v>146</v>
      </c>
      <c r="Q257" s="95"/>
      <c r="T257" s="64" t="s">
        <v>164</v>
      </c>
      <c r="AA257" s="64" t="s">
        <v>165</v>
      </c>
      <c r="AY257" s="75"/>
    </row>
    <row r="258" spans="1:51" x14ac:dyDescent="0.35">
      <c r="A258" s="73"/>
      <c r="B258" s="64">
        <f>VLOOKUP(MAX('Vækstfunktion, hol'!AP50:AP337),'Vækstfunktion, hol'!AP:AS,4,FALSE)</f>
        <v>9.5</v>
      </c>
      <c r="C258" s="160">
        <f>C237</f>
        <v>2.2000000000000002</v>
      </c>
      <c r="D258" s="160">
        <f t="shared" ref="D258:H258" si="14">D237</f>
        <v>2.4</v>
      </c>
      <c r="E258" s="160">
        <f t="shared" si="14"/>
        <v>2.6</v>
      </c>
      <c r="F258" s="160">
        <f t="shared" si="14"/>
        <v>2.8</v>
      </c>
      <c r="G258" s="160">
        <f t="shared" si="14"/>
        <v>3</v>
      </c>
      <c r="H258" s="166">
        <f t="shared" si="14"/>
        <v>3.2</v>
      </c>
      <c r="K258" s="65">
        <f>VLOOKUP(MAX('Vækstfunktion, hol'!AP50:AP337),'Vækstfunktion, hol'!AP:AW,8,FALSE)</f>
        <v>7.4608279565525004</v>
      </c>
      <c r="L258" s="160">
        <f>C258</f>
        <v>2.2000000000000002</v>
      </c>
      <c r="M258" s="160">
        <f t="shared" ref="M258" si="15">D258</f>
        <v>2.4</v>
      </c>
      <c r="N258" s="160">
        <f t="shared" ref="N258" si="16">E258</f>
        <v>2.6</v>
      </c>
      <c r="O258" s="160">
        <f t="shared" ref="O258" si="17">F258</f>
        <v>2.8</v>
      </c>
      <c r="P258" s="160">
        <f t="shared" ref="P258" si="18">G258</f>
        <v>3</v>
      </c>
      <c r="Q258" s="160">
        <f t="shared" ref="Q258" si="19">H258</f>
        <v>3.2</v>
      </c>
      <c r="T258" s="64">
        <f>L258</f>
        <v>2.2000000000000002</v>
      </c>
      <c r="U258" s="64">
        <f t="shared" ref="U258:Y258" si="20">M258</f>
        <v>2.4</v>
      </c>
      <c r="V258" s="64">
        <f t="shared" si="20"/>
        <v>2.6</v>
      </c>
      <c r="W258" s="64">
        <f t="shared" si="20"/>
        <v>2.8</v>
      </c>
      <c r="X258" s="64">
        <f t="shared" si="20"/>
        <v>3</v>
      </c>
      <c r="Y258" s="64">
        <f t="shared" si="20"/>
        <v>3.2</v>
      </c>
      <c r="AA258" s="64">
        <f>L258</f>
        <v>2.2000000000000002</v>
      </c>
      <c r="AB258" s="64">
        <f t="shared" ref="AB258:AF258" si="21">M258</f>
        <v>2.4</v>
      </c>
      <c r="AC258" s="64">
        <f t="shared" si="21"/>
        <v>2.6</v>
      </c>
      <c r="AD258" s="64">
        <f t="shared" si="21"/>
        <v>2.8</v>
      </c>
      <c r="AE258" s="64">
        <f t="shared" si="21"/>
        <v>3</v>
      </c>
      <c r="AF258" s="64">
        <f t="shared" si="21"/>
        <v>3.2</v>
      </c>
      <c r="AY258" s="75"/>
    </row>
    <row r="259" spans="1:51" x14ac:dyDescent="0.35">
      <c r="A259" s="163" t="s">
        <v>147</v>
      </c>
      <c r="B259" s="160">
        <f>B238</f>
        <v>4</v>
      </c>
      <c r="C259" s="64">
        <f t="dataTable" ref="C259:H264" dt2D="1" dtr="1" r1="C11" r2="C23" ca="1"/>
        <v>9.5</v>
      </c>
      <c r="D259" s="64">
        <v>9.5</v>
      </c>
      <c r="E259" s="64">
        <v>9.5</v>
      </c>
      <c r="F259" s="64">
        <v>9.5</v>
      </c>
      <c r="G259" s="64">
        <v>9.5</v>
      </c>
      <c r="H259" s="95">
        <v>9.5</v>
      </c>
      <c r="J259" s="165" t="s">
        <v>147</v>
      </c>
      <c r="K259" s="160">
        <f>B259</f>
        <v>4</v>
      </c>
      <c r="L259" s="65">
        <f t="dataTable" ref="L259:Q264" dt2D="1" dtr="1" r1="C11" r2="C23" ca="1"/>
        <v>11.200092002155314</v>
      </c>
      <c r="M259" s="65">
        <v>10.189494255135974</v>
      </c>
      <c r="N259" s="65">
        <v>9.1788965081166296</v>
      </c>
      <c r="O259" s="65">
        <v>8.1682987610972937</v>
      </c>
      <c r="P259" s="65">
        <v>7.1577010140779489</v>
      </c>
      <c r="Q259" s="65">
        <v>6.1471032670586103</v>
      </c>
      <c r="S259" s="84" t="str">
        <f>IF(K259&gt;0,"+"&amp;K259&amp;"kr./kg slg.",K259&amp;"kr./kg slg.")</f>
        <v>+4kr./kg slg.</v>
      </c>
      <c r="T259" s="65">
        <f>IF(C259&lt;C238,L259,L238)</f>
        <v>11.200092002155314</v>
      </c>
      <c r="U259" s="65">
        <f t="shared" ref="U259:Y259" si="22">IF(D259&lt;D238,M259,M238)</f>
        <v>10.189494255135974</v>
      </c>
      <c r="V259" s="65">
        <f t="shared" si="22"/>
        <v>9.1788965081166296</v>
      </c>
      <c r="W259" s="65">
        <f t="shared" si="22"/>
        <v>8.1682987610972937</v>
      </c>
      <c r="X259" s="65">
        <f t="shared" si="22"/>
        <v>7.1577010140779489</v>
      </c>
      <c r="Y259" s="65">
        <f t="shared" si="22"/>
        <v>6.1471032670586103</v>
      </c>
      <c r="AA259" s="167">
        <f>IF(C259&lt;C238,C259,C238)</f>
        <v>9.5</v>
      </c>
      <c r="AB259" s="167">
        <f t="shared" ref="AB259:AE259" si="23">IF(D259&lt;D238,D259,D238)</f>
        <v>9.5</v>
      </c>
      <c r="AC259" s="167">
        <f t="shared" si="23"/>
        <v>9.5</v>
      </c>
      <c r="AD259" s="167">
        <f t="shared" si="23"/>
        <v>9.5</v>
      </c>
      <c r="AE259" s="167">
        <f t="shared" si="23"/>
        <v>9.5</v>
      </c>
      <c r="AF259" s="167">
        <f>IF(H259&lt;H238,H259,H238)</f>
        <v>9.5</v>
      </c>
      <c r="AY259" s="75"/>
    </row>
    <row r="260" spans="1:51" x14ac:dyDescent="0.35">
      <c r="A260" s="163" t="s">
        <v>148</v>
      </c>
      <c r="B260" s="160">
        <f t="shared" ref="B260:B264" si="24">B239</f>
        <v>2</v>
      </c>
      <c r="C260" s="64">
        <v>9.5</v>
      </c>
      <c r="D260" s="64">
        <v>9.5</v>
      </c>
      <c r="E260" s="64">
        <v>9.5</v>
      </c>
      <c r="F260" s="64">
        <v>9.5</v>
      </c>
      <c r="G260" s="64">
        <v>9.5</v>
      </c>
      <c r="H260" s="95">
        <v>9.5</v>
      </c>
      <c r="J260" s="165" t="s">
        <v>148</v>
      </c>
      <c r="K260" s="160">
        <f t="shared" ref="K260:K264" si="25">B260</f>
        <v>2</v>
      </c>
      <c r="L260" s="65">
        <v>9.68416919081068</v>
      </c>
      <c r="M260" s="65">
        <v>8.6735714437913405</v>
      </c>
      <c r="N260" s="65">
        <v>7.6629736967719966</v>
      </c>
      <c r="O260" s="65">
        <v>6.6523759497526607</v>
      </c>
      <c r="P260" s="65">
        <v>5.641778202733315</v>
      </c>
      <c r="Q260" s="65">
        <v>4.6311804557139764</v>
      </c>
      <c r="S260" s="84" t="str">
        <f t="shared" ref="S260:S264" si="26">IF(K260&gt;0,"+"&amp;K260&amp;"kr./kg slg.",K260&amp;"kr./kg slg.")</f>
        <v>+2kr./kg slg.</v>
      </c>
      <c r="T260" s="65">
        <f t="shared" ref="T260:T264" si="27">IF(C260&lt;C239,L260,L239)</f>
        <v>9.68416919081068</v>
      </c>
      <c r="U260" s="65">
        <f t="shared" ref="U260:U264" si="28">IF(D260&lt;D239,M260,M239)</f>
        <v>8.6735714437913405</v>
      </c>
      <c r="V260" s="65">
        <f t="shared" ref="V260:V264" si="29">IF(E260&lt;E239,N260,N239)</f>
        <v>7.6629736967719966</v>
      </c>
      <c r="W260" s="65">
        <f t="shared" ref="W260:W264" si="30">IF(F260&lt;F239,O260,O239)</f>
        <v>6.6523759497526607</v>
      </c>
      <c r="X260" s="65">
        <f t="shared" ref="X260:X264" si="31">IF(G260&lt;G239,P260,P239)</f>
        <v>5.641778202733315</v>
      </c>
      <c r="Y260" s="65">
        <f t="shared" ref="Y260:Y264" si="32">IF(H260&lt;H239,Q260,Q239)</f>
        <v>4.6311804557139764</v>
      </c>
      <c r="AA260" s="167">
        <f t="shared" ref="AA260:AA264" si="33">IF(C260&lt;C239,C260,C239)</f>
        <v>9.5</v>
      </c>
      <c r="AB260" s="167">
        <f t="shared" ref="AB260:AB264" si="34">IF(D260&lt;D239,D260,D239)</f>
        <v>9.5</v>
      </c>
      <c r="AC260" s="167">
        <f t="shared" ref="AC260:AC264" si="35">IF(E260&lt;E239,E260,E239)</f>
        <v>9.5</v>
      </c>
      <c r="AD260" s="167">
        <f t="shared" ref="AD260:AD262" si="36">IF(F260&lt;F239,F260,F239)</f>
        <v>9.5</v>
      </c>
      <c r="AE260" s="167">
        <f t="shared" ref="AE260:AE264" si="37">IF(G260&lt;G239,G260,G239)</f>
        <v>9.5</v>
      </c>
      <c r="AF260" s="167">
        <f t="shared" ref="AF260:AF263" si="38">IF(H260&lt;H239,H260,H239)</f>
        <v>9.5</v>
      </c>
      <c r="AY260" s="75"/>
    </row>
    <row r="261" spans="1:51" x14ac:dyDescent="0.35">
      <c r="A261" s="163"/>
      <c r="B261" s="160">
        <f t="shared" si="24"/>
        <v>0</v>
      </c>
      <c r="C261" s="64">
        <v>9.5</v>
      </c>
      <c r="D261" s="64">
        <v>9.5</v>
      </c>
      <c r="E261" s="64">
        <v>9.5</v>
      </c>
      <c r="F261" s="64">
        <v>9.5</v>
      </c>
      <c r="G261" s="64">
        <v>9.5</v>
      </c>
      <c r="H261" s="95">
        <v>9.5</v>
      </c>
      <c r="J261" s="165"/>
      <c r="K261" s="160">
        <f t="shared" si="25"/>
        <v>0</v>
      </c>
      <c r="L261" s="65">
        <v>8.1682463794660443</v>
      </c>
      <c r="M261" s="65">
        <v>7.1576486324467048</v>
      </c>
      <c r="N261" s="65">
        <v>6.1470508854273591</v>
      </c>
      <c r="O261" s="65">
        <v>5.1364531384080241</v>
      </c>
      <c r="P261" s="65">
        <v>4.1258553913886784</v>
      </c>
      <c r="Q261" s="65">
        <v>3.1152576443693398</v>
      </c>
      <c r="S261" s="84" t="str">
        <f t="shared" si="26"/>
        <v>0kr./kg slg.</v>
      </c>
      <c r="T261" s="65">
        <f t="shared" si="27"/>
        <v>8.1682463794660443</v>
      </c>
      <c r="U261" s="65">
        <f t="shared" si="28"/>
        <v>7.1576486324467048</v>
      </c>
      <c r="V261" s="65">
        <f t="shared" si="29"/>
        <v>6.1470508854273591</v>
      </c>
      <c r="W261" s="65">
        <f t="shared" si="30"/>
        <v>5.1364531384080241</v>
      </c>
      <c r="X261" s="65">
        <f t="shared" si="31"/>
        <v>4.1258553913886784</v>
      </c>
      <c r="Y261" s="65">
        <f t="shared" si="32"/>
        <v>3.1152576443693398</v>
      </c>
      <c r="AA261" s="167">
        <f t="shared" si="33"/>
        <v>9.5</v>
      </c>
      <c r="AB261" s="167">
        <f t="shared" si="34"/>
        <v>9.5</v>
      </c>
      <c r="AC261" s="167">
        <f t="shared" si="35"/>
        <v>9.5</v>
      </c>
      <c r="AD261" s="167">
        <f t="shared" si="36"/>
        <v>9.5</v>
      </c>
      <c r="AE261" s="167">
        <f t="shared" si="37"/>
        <v>9.5</v>
      </c>
      <c r="AF261" s="167">
        <f t="shared" si="38"/>
        <v>9.5</v>
      </c>
      <c r="AY261" s="75"/>
    </row>
    <row r="262" spans="1:51" x14ac:dyDescent="0.35">
      <c r="A262" s="163"/>
      <c r="B262" s="160">
        <f t="shared" si="24"/>
        <v>-2</v>
      </c>
      <c r="C262" s="64">
        <v>9.5</v>
      </c>
      <c r="D262" s="64">
        <v>9.5</v>
      </c>
      <c r="E262" s="64">
        <v>9.5</v>
      </c>
      <c r="F262" s="64">
        <v>9.5</v>
      </c>
      <c r="G262" s="64">
        <v>9.5</v>
      </c>
      <c r="H262" s="95">
        <v>9.5</v>
      </c>
      <c r="J262" s="165"/>
      <c r="K262" s="160">
        <f t="shared" si="25"/>
        <v>-2</v>
      </c>
      <c r="L262" s="65">
        <v>6.6523235681214041</v>
      </c>
      <c r="M262" s="65">
        <v>5.6417258211020647</v>
      </c>
      <c r="N262" s="65">
        <v>4.631128074082719</v>
      </c>
      <c r="O262" s="65">
        <v>3.6205303270633835</v>
      </c>
      <c r="P262" s="65">
        <v>2.6099325800440374</v>
      </c>
      <c r="Q262" s="65">
        <v>1.599334833024699</v>
      </c>
      <c r="S262" s="84" t="str">
        <f t="shared" si="26"/>
        <v>-2kr./kg slg.</v>
      </c>
      <c r="T262" s="65">
        <f t="shared" si="27"/>
        <v>6.6523235681214041</v>
      </c>
      <c r="U262" s="65">
        <f t="shared" si="28"/>
        <v>5.6417258211020647</v>
      </c>
      <c r="V262" s="65">
        <f t="shared" si="29"/>
        <v>4.631128074082719</v>
      </c>
      <c r="W262" s="65">
        <f t="shared" si="30"/>
        <v>3.6205303270633835</v>
      </c>
      <c r="X262" s="65">
        <f t="shared" si="31"/>
        <v>2.6099325800440374</v>
      </c>
      <c r="Y262" s="65">
        <f t="shared" si="32"/>
        <v>1.599334833024699</v>
      </c>
      <c r="AA262" s="167">
        <f t="shared" si="33"/>
        <v>9.5</v>
      </c>
      <c r="AB262" s="167">
        <f t="shared" si="34"/>
        <v>9.5</v>
      </c>
      <c r="AC262" s="167">
        <f t="shared" si="35"/>
        <v>9.5</v>
      </c>
      <c r="AD262" s="167">
        <f t="shared" si="36"/>
        <v>9.5</v>
      </c>
      <c r="AE262" s="167">
        <f t="shared" si="37"/>
        <v>9.5</v>
      </c>
      <c r="AF262" s="167">
        <f t="shared" si="38"/>
        <v>9.5</v>
      </c>
      <c r="AY262" s="75"/>
    </row>
    <row r="263" spans="1:51" x14ac:dyDescent="0.35">
      <c r="A263" s="163"/>
      <c r="B263" s="160">
        <f t="shared" si="24"/>
        <v>-4</v>
      </c>
      <c r="C263" s="64">
        <v>9.8000000000000007</v>
      </c>
      <c r="D263" s="64">
        <v>9.6999999999999993</v>
      </c>
      <c r="E263" s="64">
        <v>9.6999999999999993</v>
      </c>
      <c r="F263" s="64">
        <v>9.6</v>
      </c>
      <c r="G263" s="64">
        <v>9.6</v>
      </c>
      <c r="H263" s="95">
        <v>9.5</v>
      </c>
      <c r="J263" s="165"/>
      <c r="K263" s="160">
        <f t="shared" si="25"/>
        <v>-4</v>
      </c>
      <c r="L263" s="65">
        <v>5.1531499070749369</v>
      </c>
      <c r="M263" s="65">
        <v>4.1264940484819208</v>
      </c>
      <c r="N263" s="65">
        <v>3.1042966938454075</v>
      </c>
      <c r="O263" s="65">
        <v>2.0901287493656846</v>
      </c>
      <c r="P263" s="65">
        <v>1.0772864241440689</v>
      </c>
      <c r="Q263" s="65">
        <v>8.3412021680062023E-2</v>
      </c>
      <c r="S263" s="84" t="str">
        <f t="shared" si="26"/>
        <v>-4kr./kg slg.</v>
      </c>
      <c r="T263" s="65">
        <f t="shared" si="27"/>
        <v>5.1531499070749369</v>
      </c>
      <c r="U263" s="65">
        <f t="shared" si="28"/>
        <v>4.1264940484819208</v>
      </c>
      <c r="V263" s="65">
        <f t="shared" si="29"/>
        <v>3.1042966938454075</v>
      </c>
      <c r="W263" s="65">
        <f t="shared" si="30"/>
        <v>2.0901287493656846</v>
      </c>
      <c r="X263" s="65">
        <f t="shared" si="31"/>
        <v>1.0940097686994006</v>
      </c>
      <c r="Y263" s="65">
        <f t="shared" si="32"/>
        <v>5.2484805273051431E-2</v>
      </c>
      <c r="AA263" s="167">
        <f t="shared" si="33"/>
        <v>9.8000000000000007</v>
      </c>
      <c r="AB263" s="167">
        <f t="shared" si="34"/>
        <v>9.6999999999999993</v>
      </c>
      <c r="AC263" s="167">
        <f t="shared" si="35"/>
        <v>9.6999999999999993</v>
      </c>
      <c r="AD263" s="167">
        <f>IF(F263&lt;F242,F263,F242)</f>
        <v>9.6</v>
      </c>
      <c r="AE263" s="167">
        <f t="shared" si="37"/>
        <v>9.5</v>
      </c>
      <c r="AF263" s="167">
        <f t="shared" si="38"/>
        <v>9.1999999999999993</v>
      </c>
      <c r="AY263" s="75"/>
    </row>
    <row r="264" spans="1:51" x14ac:dyDescent="0.35">
      <c r="A264" s="168"/>
      <c r="B264" s="169">
        <f t="shared" si="24"/>
        <v>-6</v>
      </c>
      <c r="C264" s="98">
        <v>10</v>
      </c>
      <c r="D264" s="98">
        <v>10</v>
      </c>
      <c r="E264" s="98">
        <v>10</v>
      </c>
      <c r="F264" s="98">
        <v>10</v>
      </c>
      <c r="G264" s="98">
        <v>10</v>
      </c>
      <c r="H264" s="99">
        <v>9.9</v>
      </c>
      <c r="J264" s="165"/>
      <c r="K264" s="160">
        <f t="shared" si="25"/>
        <v>-6</v>
      </c>
      <c r="L264" s="65">
        <v>3.6535106152049583</v>
      </c>
      <c r="M264" s="65">
        <v>2.6105894902113813</v>
      </c>
      <c r="N264" s="65">
        <v>1.5676683652177947</v>
      </c>
      <c r="O264" s="65">
        <v>0.52474724022422803</v>
      </c>
      <c r="P264" s="65">
        <v>-0.5026443401065378</v>
      </c>
      <c r="Q264" s="65">
        <v>-1.5230911604083559</v>
      </c>
      <c r="S264" s="84" t="str">
        <f t="shared" si="26"/>
        <v>-6kr./kg slg.</v>
      </c>
      <c r="T264" s="65">
        <f t="shared" si="27"/>
        <v>3.6535106152049583</v>
      </c>
      <c r="U264" s="65">
        <f t="shared" si="28"/>
        <v>2.6105894902113813</v>
      </c>
      <c r="V264" s="65">
        <f t="shared" si="29"/>
        <v>1.5920441358005946</v>
      </c>
      <c r="W264" s="65">
        <f t="shared" si="30"/>
        <v>0.47162486087164468</v>
      </c>
      <c r="X264" s="65">
        <f t="shared" si="31"/>
        <v>-0.2823922094211358</v>
      </c>
      <c r="Y264" s="65">
        <f t="shared" si="32"/>
        <v>-1.0199586107788232</v>
      </c>
      <c r="AA264" s="167">
        <f t="shared" si="33"/>
        <v>10</v>
      </c>
      <c r="AB264" s="167">
        <f t="shared" si="34"/>
        <v>10</v>
      </c>
      <c r="AC264" s="167">
        <f t="shared" si="35"/>
        <v>9.8000000000000007</v>
      </c>
      <c r="AD264" s="167">
        <f>IF(F264&lt;F243,F264,F243)</f>
        <v>6.5</v>
      </c>
      <c r="AE264" s="167">
        <f t="shared" si="37"/>
        <v>6.3</v>
      </c>
      <c r="AF264" s="167">
        <f>IF(H264&lt;H243,H264,H243)</f>
        <v>6.3</v>
      </c>
      <c r="AY264" s="75"/>
    </row>
    <row r="265" spans="1:51" x14ac:dyDescent="0.35">
      <c r="A265" s="73"/>
      <c r="H265" s="75"/>
      <c r="AY265" s="75"/>
    </row>
    <row r="266" spans="1:51" x14ac:dyDescent="0.35">
      <c r="A266" s="73"/>
      <c r="H266" s="75"/>
      <c r="AY266" s="75"/>
    </row>
    <row r="267" spans="1:51" ht="21.75" thickBot="1" x14ac:dyDescent="0.4">
      <c r="A267" s="135"/>
      <c r="B267" s="156"/>
      <c r="C267" s="82"/>
      <c r="D267" s="82"/>
      <c r="E267" s="82"/>
      <c r="F267" s="82"/>
      <c r="G267" s="82"/>
      <c r="H267" s="83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 t="str">
        <f>""</f>
        <v/>
      </c>
      <c r="T267" s="170"/>
      <c r="U267" s="136"/>
      <c r="V267" s="156"/>
      <c r="W267" s="136"/>
      <c r="X267" s="136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3"/>
    </row>
    <row r="268" spans="1:51" x14ac:dyDescent="0.35">
      <c r="A268" s="150"/>
      <c r="B268" s="158" t="s">
        <v>152</v>
      </c>
      <c r="C268" s="71"/>
      <c r="D268" s="71"/>
      <c r="E268" s="71"/>
      <c r="F268" s="71"/>
      <c r="G268" s="71"/>
      <c r="H268" s="159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171"/>
      <c r="T268" s="71"/>
      <c r="U268" s="152"/>
      <c r="V268" s="86"/>
      <c r="W268" s="152"/>
      <c r="X268" s="152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2"/>
    </row>
    <row r="269" spans="1:51" x14ac:dyDescent="0.35">
      <c r="A269" s="73"/>
      <c r="H269" s="95"/>
      <c r="Q269" s="95"/>
      <c r="AY269" s="75"/>
    </row>
    <row r="270" spans="1:51" x14ac:dyDescent="0.35">
      <c r="A270" s="73"/>
      <c r="B270" s="64" t="s">
        <v>143</v>
      </c>
      <c r="C270" s="160" t="s">
        <v>146</v>
      </c>
      <c r="D270" s="160"/>
      <c r="E270" s="160"/>
      <c r="F270" s="160"/>
      <c r="G270" s="160"/>
      <c r="H270" s="166"/>
      <c r="K270" s="64" t="s">
        <v>160</v>
      </c>
      <c r="L270" s="160" t="s">
        <v>146</v>
      </c>
      <c r="Q270" s="95"/>
      <c r="AY270" s="75"/>
    </row>
    <row r="271" spans="1:51" x14ac:dyDescent="0.35">
      <c r="A271" s="73"/>
      <c r="B271" s="107">
        <f>VLOOKUP(MAX('Vækstfunktion, kry tyr'!AN50:AN337),'Vækstfunktion, kry tyr'!AN:AS,6,FALSE)</f>
        <v>10.9</v>
      </c>
      <c r="C271" s="160">
        <f>C237</f>
        <v>2.2000000000000002</v>
      </c>
      <c r="D271" s="160">
        <f t="shared" ref="D271:H271" si="39">D237</f>
        <v>2.4</v>
      </c>
      <c r="E271" s="160">
        <f t="shared" si="39"/>
        <v>2.6</v>
      </c>
      <c r="F271" s="160">
        <f t="shared" si="39"/>
        <v>2.8</v>
      </c>
      <c r="G271" s="160">
        <f t="shared" si="39"/>
        <v>3</v>
      </c>
      <c r="H271" s="166">
        <f t="shared" si="39"/>
        <v>3.2</v>
      </c>
      <c r="K271" s="65">
        <f>VLOOKUP(MAX('Vækstfunktion, kry tyr'!AN50:AN337),'Vækstfunktion, kry tyr'!AN:AW,10,FALSE)</f>
        <v>8.9632068022363907</v>
      </c>
      <c r="L271" s="160">
        <f>C271</f>
        <v>2.2000000000000002</v>
      </c>
      <c r="M271" s="160">
        <f t="shared" ref="M271" si="40">D271</f>
        <v>2.4</v>
      </c>
      <c r="N271" s="160">
        <f t="shared" ref="N271" si="41">E271</f>
        <v>2.6</v>
      </c>
      <c r="O271" s="160">
        <f t="shared" ref="O271" si="42">F271</f>
        <v>2.8</v>
      </c>
      <c r="P271" s="160">
        <f t="shared" ref="P271" si="43">G271</f>
        <v>3</v>
      </c>
      <c r="Q271" s="160">
        <f t="shared" ref="Q271" si="44">H271</f>
        <v>3.2</v>
      </c>
      <c r="AY271" s="75"/>
    </row>
    <row r="272" spans="1:51" x14ac:dyDescent="0.35">
      <c r="A272" s="163" t="s">
        <v>147</v>
      </c>
      <c r="B272" s="160">
        <f>B238</f>
        <v>4</v>
      </c>
      <c r="C272" s="64">
        <f t="dataTable" ref="C272:H277" dt2D="1" dtr="1" r1="C11" r2="C23" ca="1"/>
        <v>11.2</v>
      </c>
      <c r="D272" s="64">
        <v>11.2</v>
      </c>
      <c r="E272" s="64">
        <v>11</v>
      </c>
      <c r="F272" s="64">
        <v>10.7</v>
      </c>
      <c r="G272" s="64">
        <v>10.7</v>
      </c>
      <c r="H272" s="95">
        <v>10.4</v>
      </c>
      <c r="J272" s="165" t="s">
        <v>147</v>
      </c>
      <c r="K272" s="160">
        <f>B272</f>
        <v>4</v>
      </c>
      <c r="L272" s="167">
        <f t="dataTable" ref="L272:Q277" dt2D="1" dtr="1" r1="C11" r2="C23" ca="1"/>
        <v>12.81452535943377</v>
      </c>
      <c r="M272" s="167">
        <v>11.699620423328838</v>
      </c>
      <c r="N272" s="167">
        <v>10.814393364074121</v>
      </c>
      <c r="O272" s="167">
        <v>9.9817907262470431</v>
      </c>
      <c r="P272" s="167">
        <v>8.9251695243316913</v>
      </c>
      <c r="Q272" s="167">
        <v>8.0469744903100633</v>
      </c>
      <c r="AY272" s="75"/>
    </row>
    <row r="273" spans="1:51" x14ac:dyDescent="0.35">
      <c r="A273" s="163" t="s">
        <v>148</v>
      </c>
      <c r="B273" s="160">
        <f t="shared" ref="B273:B277" si="45">B239</f>
        <v>2</v>
      </c>
      <c r="C273" s="64">
        <v>11.2</v>
      </c>
      <c r="D273" s="64">
        <v>11.2</v>
      </c>
      <c r="E273" s="64">
        <v>10.7</v>
      </c>
      <c r="F273" s="64">
        <v>10.7</v>
      </c>
      <c r="G273" s="64">
        <v>10.5</v>
      </c>
      <c r="H273" s="95">
        <v>10</v>
      </c>
      <c r="J273" s="165" t="s">
        <v>148</v>
      </c>
      <c r="K273" s="160">
        <f t="shared" ref="K273:K277" si="46">B273</f>
        <v>2</v>
      </c>
      <c r="L273" s="167">
        <v>11.15646949292729</v>
      </c>
      <c r="M273" s="167">
        <v>10.101067996194052</v>
      </c>
      <c r="N273" s="167">
        <v>9.3878167646612347</v>
      </c>
      <c r="O273" s="167">
        <v>8.3277926398865318</v>
      </c>
      <c r="P273" s="167">
        <v>7.3567774224703779</v>
      </c>
      <c r="Q273" s="167">
        <v>6.6174351833934164</v>
      </c>
      <c r="AY273" s="75"/>
    </row>
    <row r="274" spans="1:51" x14ac:dyDescent="0.35">
      <c r="A274" s="163"/>
      <c r="B274" s="160">
        <f t="shared" si="45"/>
        <v>0</v>
      </c>
      <c r="C274" s="64">
        <v>11.2</v>
      </c>
      <c r="D274" s="64">
        <v>10.8</v>
      </c>
      <c r="E274" s="64">
        <v>10.7</v>
      </c>
      <c r="F274" s="64">
        <v>10.7</v>
      </c>
      <c r="G274" s="64">
        <v>10.1</v>
      </c>
      <c r="H274" s="95">
        <v>9.6999999999999993</v>
      </c>
      <c r="J274" s="165"/>
      <c r="K274" s="160">
        <f t="shared" si="46"/>
        <v>0</v>
      </c>
      <c r="L274" s="167">
        <v>9.4984136264208168</v>
      </c>
      <c r="M274" s="167">
        <v>8.767619086598053</v>
      </c>
      <c r="N274" s="167">
        <v>7.7076748036256344</v>
      </c>
      <c r="O274" s="167">
        <v>6.6658007327623405</v>
      </c>
      <c r="P274" s="167">
        <v>5.8992226362228823</v>
      </c>
      <c r="Q274" s="167">
        <v>5.0985099784493757</v>
      </c>
      <c r="AY274" s="75"/>
    </row>
    <row r="275" spans="1:51" x14ac:dyDescent="0.35">
      <c r="A275" s="163"/>
      <c r="B275" s="160">
        <f t="shared" si="45"/>
        <v>-2</v>
      </c>
      <c r="C275" s="64">
        <v>10.9</v>
      </c>
      <c r="D275" s="64">
        <v>10.7</v>
      </c>
      <c r="E275" s="64">
        <v>10.7</v>
      </c>
      <c r="F275" s="64">
        <v>10.199999999999999</v>
      </c>
      <c r="G275" s="64">
        <v>9.6999999999999993</v>
      </c>
      <c r="H275" s="95">
        <v>9.5</v>
      </c>
      <c r="J275" s="165"/>
      <c r="K275" s="160">
        <f t="shared" si="46"/>
        <v>-2</v>
      </c>
      <c r="L275" s="167">
        <v>8.0839942316318272</v>
      </c>
      <c r="M275" s="167">
        <v>7.1137008420398553</v>
      </c>
      <c r="N275" s="167">
        <v>6.0488040288303848</v>
      </c>
      <c r="O275" s="167">
        <v>5.1993760601602119</v>
      </c>
      <c r="P275" s="167">
        <v>4.3822655319581569</v>
      </c>
      <c r="Q275" s="167">
        <v>3.4382484770141977</v>
      </c>
      <c r="AY275" s="75"/>
    </row>
    <row r="276" spans="1:51" x14ac:dyDescent="0.35">
      <c r="A276" s="163"/>
      <c r="B276" s="160">
        <f t="shared" si="45"/>
        <v>-4</v>
      </c>
      <c r="C276" s="64">
        <v>10.7</v>
      </c>
      <c r="D276" s="64">
        <v>10.7</v>
      </c>
      <c r="E276" s="64">
        <v>10.3</v>
      </c>
      <c r="F276" s="64">
        <v>9.8000000000000007</v>
      </c>
      <c r="G276" s="64">
        <v>9.5</v>
      </c>
      <c r="H276" s="95">
        <v>9.3000000000000007</v>
      </c>
      <c r="J276" s="165"/>
      <c r="K276" s="160">
        <f t="shared" si="46"/>
        <v>-4</v>
      </c>
      <c r="L276" s="167">
        <v>6.5197268804540522</v>
      </c>
      <c r="M276" s="167">
        <v>5.4514271443852467</v>
      </c>
      <c r="N276" s="167">
        <v>4.5178970022021723</v>
      </c>
      <c r="O276" s="167">
        <v>3.6627872908536596</v>
      </c>
      <c r="P276" s="167">
        <v>2.7170411944952395</v>
      </c>
      <c r="Q276" s="167">
        <v>1.7247182782185826</v>
      </c>
      <c r="AY276" s="75"/>
    </row>
    <row r="277" spans="1:51" x14ac:dyDescent="0.35">
      <c r="A277" s="163"/>
      <c r="B277" s="160">
        <f t="shared" si="45"/>
        <v>-6</v>
      </c>
      <c r="C277" s="64">
        <v>11.7</v>
      </c>
      <c r="D277" s="64">
        <v>11.3</v>
      </c>
      <c r="E277" s="64">
        <v>11.3</v>
      </c>
      <c r="F277" s="64">
        <v>9.3000000000000007</v>
      </c>
      <c r="G277" s="64">
        <v>8.1999999999999993</v>
      </c>
      <c r="H277" s="95">
        <v>7.8</v>
      </c>
      <c r="J277" s="165"/>
      <c r="K277" s="160">
        <f t="shared" si="46"/>
        <v>-6</v>
      </c>
      <c r="L277" s="167">
        <v>4.9606625476597737</v>
      </c>
      <c r="M277" s="167">
        <v>4.0072675295552491</v>
      </c>
      <c r="N277" s="167">
        <v>2.8904676562158009</v>
      </c>
      <c r="O277" s="167">
        <v>2.0335376847213245</v>
      </c>
      <c r="P277" s="167">
        <v>1.17383575861732</v>
      </c>
      <c r="Q277" s="167">
        <v>0.24429495481809191</v>
      </c>
      <c r="AY277" s="75"/>
    </row>
    <row r="278" spans="1:51" x14ac:dyDescent="0.35">
      <c r="A278" s="73"/>
      <c r="H278" s="95"/>
      <c r="AY278" s="75"/>
    </row>
    <row r="279" spans="1:51" x14ac:dyDescent="0.35">
      <c r="A279" s="73"/>
      <c r="H279" s="95"/>
      <c r="AY279" s="75"/>
    </row>
    <row r="280" spans="1:51" x14ac:dyDescent="0.35">
      <c r="A280" s="73"/>
      <c r="H280" s="95"/>
      <c r="AY280" s="75"/>
    </row>
    <row r="281" spans="1:51" x14ac:dyDescent="0.35">
      <c r="A281" s="73"/>
      <c r="B281" s="64" t="s">
        <v>144</v>
      </c>
      <c r="C281" s="160" t="s">
        <v>146</v>
      </c>
      <c r="D281" s="160"/>
      <c r="E281" s="160"/>
      <c r="F281" s="160"/>
      <c r="G281" s="160"/>
      <c r="H281" s="166"/>
      <c r="K281" s="64" t="s">
        <v>161</v>
      </c>
      <c r="L281" s="160" t="s">
        <v>146</v>
      </c>
      <c r="Q281" s="95"/>
      <c r="AY281" s="75"/>
    </row>
    <row r="282" spans="1:51" x14ac:dyDescent="0.35">
      <c r="A282" s="73"/>
      <c r="B282" s="64">
        <f>VLOOKUP(MAX('Vækstfunktion, kry tyr'!AO50:AO337),'Vækstfunktion, kry tyr'!AO:AS,5,FALSE)</f>
        <v>9.5</v>
      </c>
      <c r="C282" s="160">
        <f>C237</f>
        <v>2.2000000000000002</v>
      </c>
      <c r="D282" s="160">
        <f t="shared" ref="D282:H282" si="47">D237</f>
        <v>2.4</v>
      </c>
      <c r="E282" s="160">
        <f t="shared" si="47"/>
        <v>2.6</v>
      </c>
      <c r="F282" s="160">
        <f t="shared" si="47"/>
        <v>2.8</v>
      </c>
      <c r="G282" s="160">
        <f t="shared" si="47"/>
        <v>3</v>
      </c>
      <c r="H282" s="166">
        <f t="shared" si="47"/>
        <v>3.2</v>
      </c>
      <c r="K282" s="65">
        <f>VLOOKUP(MAX('Vækstfunktion, kry tyr'!AO50:AO337),'Vækstfunktion, kry tyr'!AO:AW,9,FALSE)</f>
        <v>9.525145068194302</v>
      </c>
      <c r="L282" s="160">
        <f>C282</f>
        <v>2.2000000000000002</v>
      </c>
      <c r="M282" s="160">
        <f t="shared" ref="M282" si="48">D282</f>
        <v>2.4</v>
      </c>
      <c r="N282" s="160">
        <f t="shared" ref="N282" si="49">E282</f>
        <v>2.6</v>
      </c>
      <c r="O282" s="160">
        <f t="shared" ref="O282" si="50">F282</f>
        <v>2.8</v>
      </c>
      <c r="P282" s="160">
        <f t="shared" ref="P282" si="51">G282</f>
        <v>3</v>
      </c>
      <c r="Q282" s="160">
        <f t="shared" ref="Q282" si="52">H282</f>
        <v>3.2</v>
      </c>
      <c r="AY282" s="75"/>
    </row>
    <row r="283" spans="1:51" x14ac:dyDescent="0.35">
      <c r="A283" s="163" t="s">
        <v>147</v>
      </c>
      <c r="B283" s="172">
        <f>B238</f>
        <v>4</v>
      </c>
      <c r="C283" s="64">
        <f t="dataTable" ref="C283:H288" dt2D="1" dtr="1" r1="C11" r2="C23" ca="1"/>
        <v>9.5</v>
      </c>
      <c r="D283" s="64">
        <v>9.5</v>
      </c>
      <c r="E283" s="64">
        <v>9.5</v>
      </c>
      <c r="F283" s="64">
        <v>9.5</v>
      </c>
      <c r="G283" s="64">
        <v>9.5</v>
      </c>
      <c r="H283" s="95">
        <v>9.5</v>
      </c>
      <c r="J283" s="165" t="s">
        <v>147</v>
      </c>
      <c r="K283" s="160">
        <f>B283</f>
        <v>4</v>
      </c>
      <c r="L283" s="65">
        <f t="dataTable" ref="L283:Q288" dt2D="1" dtr="1" r1="C11" r2="C23" ca="1"/>
        <v>13.701023998021856</v>
      </c>
      <c r="M283" s="65">
        <v>12.688629788840528</v>
      </c>
      <c r="N283" s="65">
        <v>11.676235579659163</v>
      </c>
      <c r="O283" s="65">
        <v>10.663841370477826</v>
      </c>
      <c r="P283" s="65">
        <v>9.6514471612964865</v>
      </c>
      <c r="Q283" s="65">
        <v>8.6390529521151311</v>
      </c>
      <c r="AY283" s="75"/>
    </row>
    <row r="284" spans="1:51" x14ac:dyDescent="0.35">
      <c r="A284" s="163" t="s">
        <v>148</v>
      </c>
      <c r="B284" s="172">
        <f t="shared" ref="B284:B288" si="53">B239</f>
        <v>2</v>
      </c>
      <c r="C284" s="64">
        <v>9.5</v>
      </c>
      <c r="D284" s="64">
        <v>9.5</v>
      </c>
      <c r="E284" s="64">
        <v>9.5</v>
      </c>
      <c r="F284" s="64">
        <v>9.5</v>
      </c>
      <c r="G284" s="64">
        <v>9.5</v>
      </c>
      <c r="H284" s="95">
        <v>9.5</v>
      </c>
      <c r="J284" s="165" t="s">
        <v>148</v>
      </c>
      <c r="K284" s="160">
        <f t="shared" ref="K284:K288" si="54">B284</f>
        <v>2</v>
      </c>
      <c r="L284" s="65">
        <v>11.967422506321542</v>
      </c>
      <c r="M284" s="65">
        <v>10.955028297140215</v>
      </c>
      <c r="N284" s="65">
        <v>9.9426340879588508</v>
      </c>
      <c r="O284" s="65">
        <v>8.9302398787775132</v>
      </c>
      <c r="P284" s="65">
        <v>7.917845669596173</v>
      </c>
      <c r="Q284" s="65">
        <v>6.9054514604148176</v>
      </c>
      <c r="AY284" s="75"/>
    </row>
    <row r="285" spans="1:51" x14ac:dyDescent="0.35">
      <c r="A285" s="163"/>
      <c r="B285" s="172">
        <f t="shared" si="53"/>
        <v>0</v>
      </c>
      <c r="C285" s="64">
        <v>9.6</v>
      </c>
      <c r="D285" s="64">
        <v>9.5</v>
      </c>
      <c r="E285" s="64">
        <v>9.5</v>
      </c>
      <c r="F285" s="64">
        <v>9.5</v>
      </c>
      <c r="G285" s="64">
        <v>9.5</v>
      </c>
      <c r="H285" s="95">
        <v>9.5</v>
      </c>
      <c r="J285" s="165"/>
      <c r="K285" s="160">
        <f t="shared" si="54"/>
        <v>0</v>
      </c>
      <c r="L285" s="65">
        <v>10.22613629878296</v>
      </c>
      <c r="M285" s="65">
        <v>9.2214268054399007</v>
      </c>
      <c r="N285" s="65">
        <v>8.2090325962585364</v>
      </c>
      <c r="O285" s="65">
        <v>7.1966383870771988</v>
      </c>
      <c r="P285" s="65">
        <v>6.1842441778958595</v>
      </c>
      <c r="Q285" s="65">
        <v>5.1718499687145041</v>
      </c>
      <c r="AY285" s="75"/>
    </row>
    <row r="286" spans="1:51" x14ac:dyDescent="0.35">
      <c r="A286" s="163"/>
      <c r="B286" s="172">
        <f t="shared" si="53"/>
        <v>-2</v>
      </c>
      <c r="C286" s="64">
        <v>9.6999999999999993</v>
      </c>
      <c r="D286" s="64">
        <v>9.5</v>
      </c>
      <c r="E286" s="64">
        <v>9.5</v>
      </c>
      <c r="F286" s="64">
        <v>9.5</v>
      </c>
      <c r="G286" s="64">
        <v>9.5</v>
      </c>
      <c r="H286" s="95">
        <v>9.5</v>
      </c>
      <c r="J286" s="165"/>
      <c r="K286" s="160">
        <f t="shared" si="54"/>
        <v>-2</v>
      </c>
      <c r="L286" s="65">
        <v>8.4850843578501038</v>
      </c>
      <c r="M286" s="65">
        <v>7.4878253137395943</v>
      </c>
      <c r="N286" s="65">
        <v>6.47543110455823</v>
      </c>
      <c r="O286" s="65">
        <v>5.4630368953768924</v>
      </c>
      <c r="P286" s="65">
        <v>4.450642686195553</v>
      </c>
      <c r="Q286" s="65">
        <v>3.4382484770141977</v>
      </c>
      <c r="AY286" s="75"/>
    </row>
    <row r="287" spans="1:51" x14ac:dyDescent="0.35">
      <c r="A287" s="163"/>
      <c r="B287" s="172">
        <f t="shared" si="53"/>
        <v>-4</v>
      </c>
      <c r="C287" s="64">
        <v>9.8000000000000007</v>
      </c>
      <c r="D287" s="64">
        <v>9.6</v>
      </c>
      <c r="E287" s="64">
        <v>9.5</v>
      </c>
      <c r="F287" s="64">
        <v>9.5</v>
      </c>
      <c r="G287" s="64">
        <v>9.5</v>
      </c>
      <c r="H287" s="95">
        <v>9.4</v>
      </c>
      <c r="J287" s="165"/>
      <c r="K287" s="160">
        <f t="shared" si="54"/>
        <v>-4</v>
      </c>
      <c r="L287" s="65">
        <v>6.749011016237338</v>
      </c>
      <c r="M287" s="65">
        <v>5.7443093076005551</v>
      </c>
      <c r="N287" s="65">
        <v>4.7418296128579156</v>
      </c>
      <c r="O287" s="65">
        <v>3.729435403676578</v>
      </c>
      <c r="P287" s="65">
        <v>2.7170411944952395</v>
      </c>
      <c r="Q287" s="65">
        <v>1.7146926066987975</v>
      </c>
      <c r="AY287" s="75"/>
    </row>
    <row r="288" spans="1:51" x14ac:dyDescent="0.35">
      <c r="A288" s="163"/>
      <c r="B288" s="172">
        <f t="shared" si="53"/>
        <v>-6</v>
      </c>
      <c r="C288" s="64">
        <v>11.3</v>
      </c>
      <c r="D288" s="64">
        <v>11.3</v>
      </c>
      <c r="E288" s="64">
        <v>11.3</v>
      </c>
      <c r="F288" s="64">
        <v>9.3000000000000007</v>
      </c>
      <c r="G288" s="64">
        <v>9.1999999999999993</v>
      </c>
      <c r="H288" s="95">
        <v>8.1999999999999993</v>
      </c>
      <c r="J288" s="165"/>
      <c r="K288" s="160">
        <f t="shared" si="54"/>
        <v>-6</v>
      </c>
      <c r="L288" s="65">
        <v>5.1240674028946653</v>
      </c>
      <c r="M288" s="65">
        <v>4.0072675295552491</v>
      </c>
      <c r="N288" s="65">
        <v>2.8904676562158009</v>
      </c>
      <c r="O288" s="65">
        <v>2.0294103295652262</v>
      </c>
      <c r="P288" s="65">
        <v>1.0514192419744739</v>
      </c>
      <c r="Q288" s="65">
        <v>0.25241497370804039</v>
      </c>
      <c r="AY288" s="75"/>
    </row>
    <row r="289" spans="1:51" x14ac:dyDescent="0.35">
      <c r="A289" s="73"/>
      <c r="H289" s="95"/>
      <c r="AY289" s="75"/>
    </row>
    <row r="290" spans="1:51" x14ac:dyDescent="0.35">
      <c r="A290" s="73"/>
      <c r="H290" s="95"/>
      <c r="AY290" s="75"/>
    </row>
    <row r="291" spans="1:51" x14ac:dyDescent="0.35">
      <c r="A291" s="73"/>
      <c r="B291" s="64" t="s">
        <v>145</v>
      </c>
      <c r="C291" s="160" t="s">
        <v>146</v>
      </c>
      <c r="D291" s="160"/>
      <c r="E291" s="160"/>
      <c r="F291" s="160"/>
      <c r="G291" s="160"/>
      <c r="H291" s="166"/>
      <c r="K291" s="64" t="s">
        <v>162</v>
      </c>
      <c r="L291" s="160" t="s">
        <v>146</v>
      </c>
      <c r="Q291" s="95"/>
      <c r="T291" s="64" t="s">
        <v>164</v>
      </c>
      <c r="AA291" s="64" t="s">
        <v>165</v>
      </c>
      <c r="AY291" s="75"/>
    </row>
    <row r="292" spans="1:51" x14ac:dyDescent="0.35">
      <c r="A292" s="73"/>
      <c r="B292" s="64">
        <f>VLOOKUP(MAX('Vækstfunktion, kry tyr'!AP50:AP337),'Vækstfunktion, kry tyr'!AP:AS,4,FALSE)</f>
        <v>9.5</v>
      </c>
      <c r="C292" s="160">
        <f>C237</f>
        <v>2.2000000000000002</v>
      </c>
      <c r="D292" s="160">
        <f t="shared" ref="D292:H292" si="55">D237</f>
        <v>2.4</v>
      </c>
      <c r="E292" s="160">
        <f t="shared" si="55"/>
        <v>2.6</v>
      </c>
      <c r="F292" s="160">
        <f t="shared" si="55"/>
        <v>2.8</v>
      </c>
      <c r="G292" s="160">
        <f t="shared" si="55"/>
        <v>3</v>
      </c>
      <c r="H292" s="166">
        <f t="shared" si="55"/>
        <v>3.2</v>
      </c>
      <c r="K292" s="65">
        <f>VLOOKUP(MAX('Vækstfunktion, kry tyr'!AP50:AP337),'Vækstfunktion, kry tyr'!AP:AW,8,FALSE)</f>
        <v>9.525145068194302</v>
      </c>
      <c r="L292" s="160">
        <f>C292</f>
        <v>2.2000000000000002</v>
      </c>
      <c r="M292" s="160">
        <f t="shared" ref="M292" si="56">D292</f>
        <v>2.4</v>
      </c>
      <c r="N292" s="160">
        <f t="shared" ref="N292" si="57">E292</f>
        <v>2.6</v>
      </c>
      <c r="O292" s="160">
        <f t="shared" ref="O292" si="58">F292</f>
        <v>2.8</v>
      </c>
      <c r="P292" s="160">
        <f t="shared" ref="P292" si="59">G292</f>
        <v>3</v>
      </c>
      <c r="Q292" s="160">
        <f t="shared" ref="Q292" si="60">H292</f>
        <v>3.2</v>
      </c>
      <c r="T292" s="64">
        <f>L292</f>
        <v>2.2000000000000002</v>
      </c>
      <c r="U292" s="64">
        <f t="shared" ref="U292" si="61">M292</f>
        <v>2.4</v>
      </c>
      <c r="V292" s="64">
        <f t="shared" ref="V292" si="62">N292</f>
        <v>2.6</v>
      </c>
      <c r="W292" s="64">
        <f t="shared" ref="W292" si="63">O292</f>
        <v>2.8</v>
      </c>
      <c r="X292" s="64">
        <f t="shared" ref="X292" si="64">P292</f>
        <v>3</v>
      </c>
      <c r="Y292" s="64">
        <f t="shared" ref="Y292" si="65">Q292</f>
        <v>3.2</v>
      </c>
      <c r="AA292" s="64">
        <f>L292</f>
        <v>2.2000000000000002</v>
      </c>
      <c r="AB292" s="64">
        <f t="shared" ref="AB292" si="66">M292</f>
        <v>2.4</v>
      </c>
      <c r="AC292" s="64">
        <f t="shared" ref="AC292" si="67">N292</f>
        <v>2.6</v>
      </c>
      <c r="AD292" s="64">
        <f t="shared" ref="AD292" si="68">O292</f>
        <v>2.8</v>
      </c>
      <c r="AE292" s="64">
        <f t="shared" ref="AE292" si="69">P292</f>
        <v>3</v>
      </c>
      <c r="AF292" s="64">
        <f t="shared" ref="AF292" si="70">Q292</f>
        <v>3.2</v>
      </c>
      <c r="AY292" s="75"/>
    </row>
    <row r="293" spans="1:51" x14ac:dyDescent="0.35">
      <c r="A293" s="163" t="s">
        <v>147</v>
      </c>
      <c r="B293" s="160">
        <f>B238</f>
        <v>4</v>
      </c>
      <c r="C293" s="64">
        <f t="dataTable" ref="C293:H298" dt2D="1" dtr="1" r1="C11" r2="C23" ca="1"/>
        <v>9.5</v>
      </c>
      <c r="D293" s="64">
        <v>9.5</v>
      </c>
      <c r="E293" s="64">
        <v>9.5</v>
      </c>
      <c r="F293" s="64">
        <v>9.5</v>
      </c>
      <c r="G293" s="64">
        <v>9.5</v>
      </c>
      <c r="H293" s="95">
        <v>9.5</v>
      </c>
      <c r="J293" s="165" t="s">
        <v>147</v>
      </c>
      <c r="K293" s="160">
        <f>B293</f>
        <v>4</v>
      </c>
      <c r="L293" s="167">
        <f t="dataTable" ref="L293:Q298" dt2D="1" dtr="1" r1="C11" r2="C23" ca="1"/>
        <v>13.701023998021856</v>
      </c>
      <c r="M293" s="167">
        <v>12.688629788840528</v>
      </c>
      <c r="N293" s="167">
        <v>11.676235579659163</v>
      </c>
      <c r="O293" s="167">
        <v>10.663841370477826</v>
      </c>
      <c r="P293" s="167">
        <v>9.6514471612964865</v>
      </c>
      <c r="Q293" s="167">
        <v>8.6390529521151311</v>
      </c>
      <c r="S293" s="84" t="str">
        <f>IF(K293&gt;0,"+"&amp;K293&amp;"kr./kg slg.",K293&amp;"kr./kg slg.")</f>
        <v>+4kr./kg slg.</v>
      </c>
      <c r="T293" s="65">
        <f>IF(C293&lt;C272,L293,L272)</f>
        <v>13.701023998021856</v>
      </c>
      <c r="U293" s="65">
        <f t="shared" ref="U293:U298" si="71">IF(D293&lt;D272,M293,M272)</f>
        <v>12.688629788840528</v>
      </c>
      <c r="V293" s="65">
        <f t="shared" ref="V293:V298" si="72">IF(E293&lt;E272,N293,N272)</f>
        <v>11.676235579659163</v>
      </c>
      <c r="W293" s="65">
        <f t="shared" ref="W293:W298" si="73">IF(F293&lt;F272,O293,O272)</f>
        <v>10.663841370477826</v>
      </c>
      <c r="X293" s="65">
        <f t="shared" ref="X293:X298" si="74">IF(G293&lt;G272,P293,P272)</f>
        <v>9.6514471612964865</v>
      </c>
      <c r="Y293" s="65">
        <f t="shared" ref="Y293:Y298" si="75">IF(H293&lt;H272,Q293,Q272)</f>
        <v>8.6390529521151311</v>
      </c>
      <c r="AA293" s="167">
        <f>IF(C293&lt;C272,C293,C272)</f>
        <v>9.5</v>
      </c>
      <c r="AB293" s="167">
        <f>IF(D293&lt;D272,D293,D272)</f>
        <v>9.5</v>
      </c>
      <c r="AC293" s="167">
        <f t="shared" ref="AC293:AC298" si="76">IF(E293&lt;E272,E293,E272)</f>
        <v>9.5</v>
      </c>
      <c r="AD293" s="167">
        <f t="shared" ref="AD293:AD298" si="77">IF(F293&lt;F272,F293,F272)</f>
        <v>9.5</v>
      </c>
      <c r="AE293" s="167">
        <f t="shared" ref="AE293:AE298" si="78">IF(G293&lt;G272,G293,G272)</f>
        <v>9.5</v>
      </c>
      <c r="AF293" s="167">
        <f>IF(H293&lt;H272,H293,H272)</f>
        <v>9.5</v>
      </c>
      <c r="AY293" s="75"/>
    </row>
    <row r="294" spans="1:51" x14ac:dyDescent="0.35">
      <c r="A294" s="163" t="s">
        <v>148</v>
      </c>
      <c r="B294" s="160">
        <f t="shared" ref="B294:B298" si="79">B239</f>
        <v>2</v>
      </c>
      <c r="C294" s="64">
        <v>9.5</v>
      </c>
      <c r="D294" s="64">
        <v>9.5</v>
      </c>
      <c r="E294" s="64">
        <v>9.5</v>
      </c>
      <c r="F294" s="64">
        <v>9.5</v>
      </c>
      <c r="G294" s="64">
        <v>9.5</v>
      </c>
      <c r="H294" s="95">
        <v>9.5</v>
      </c>
      <c r="J294" s="165" t="s">
        <v>148</v>
      </c>
      <c r="K294" s="160">
        <f t="shared" ref="K294:K298" si="80">B294</f>
        <v>2</v>
      </c>
      <c r="L294" s="167">
        <v>11.967422506321542</v>
      </c>
      <c r="M294" s="167">
        <v>10.955028297140215</v>
      </c>
      <c r="N294" s="167">
        <v>9.9426340879588508</v>
      </c>
      <c r="O294" s="167">
        <v>8.9302398787775132</v>
      </c>
      <c r="P294" s="167">
        <v>7.917845669596173</v>
      </c>
      <c r="Q294" s="167">
        <v>6.9054514604148176</v>
      </c>
      <c r="S294" s="84" t="str">
        <f t="shared" ref="S294:S298" si="81">IF(K294&gt;0,"+"&amp;K294&amp;"kr./kg slg.",K294&amp;"kr./kg slg.")</f>
        <v>+2kr./kg slg.</v>
      </c>
      <c r="T294" s="65">
        <f t="shared" ref="T294:T298" si="82">IF(C294&lt;C273,L294,L273)</f>
        <v>11.967422506321542</v>
      </c>
      <c r="U294" s="65">
        <f t="shared" si="71"/>
        <v>10.955028297140215</v>
      </c>
      <c r="V294" s="65">
        <f t="shared" si="72"/>
        <v>9.9426340879588508</v>
      </c>
      <c r="W294" s="65">
        <f t="shared" si="73"/>
        <v>8.9302398787775132</v>
      </c>
      <c r="X294" s="65">
        <f t="shared" si="74"/>
        <v>7.917845669596173</v>
      </c>
      <c r="Y294" s="65">
        <f t="shared" si="75"/>
        <v>6.9054514604148176</v>
      </c>
      <c r="AA294" s="167">
        <f t="shared" ref="AA294:AA298" si="83">IF(C294&lt;C273,C294,C273)</f>
        <v>9.5</v>
      </c>
      <c r="AB294" s="167">
        <f t="shared" ref="AB294:AB298" si="84">IF(D294&lt;D273,D294,D273)</f>
        <v>9.5</v>
      </c>
      <c r="AC294" s="167">
        <f t="shared" si="76"/>
        <v>9.5</v>
      </c>
      <c r="AD294" s="167">
        <f t="shared" si="77"/>
        <v>9.5</v>
      </c>
      <c r="AE294" s="167">
        <f t="shared" si="78"/>
        <v>9.5</v>
      </c>
      <c r="AF294" s="167">
        <f t="shared" ref="AF294:AF297" si="85">IF(H294&lt;H273,H294,H273)</f>
        <v>9.5</v>
      </c>
      <c r="AY294" s="75"/>
    </row>
    <row r="295" spans="1:51" x14ac:dyDescent="0.35">
      <c r="A295" s="163"/>
      <c r="B295" s="160">
        <f t="shared" si="79"/>
        <v>0</v>
      </c>
      <c r="C295" s="64">
        <v>9.5</v>
      </c>
      <c r="D295" s="64">
        <v>9.5</v>
      </c>
      <c r="E295" s="64">
        <v>9.5</v>
      </c>
      <c r="F295" s="64">
        <v>9.5</v>
      </c>
      <c r="G295" s="64">
        <v>9.5</v>
      </c>
      <c r="H295" s="95">
        <v>9.5</v>
      </c>
      <c r="J295" s="165"/>
      <c r="K295" s="160">
        <f t="shared" si="80"/>
        <v>0</v>
      </c>
      <c r="L295" s="167">
        <v>10.233821014621229</v>
      </c>
      <c r="M295" s="167">
        <v>9.2214268054399007</v>
      </c>
      <c r="N295" s="167">
        <v>8.2090325962585364</v>
      </c>
      <c r="O295" s="167">
        <v>7.1966383870771988</v>
      </c>
      <c r="P295" s="167">
        <v>6.1842441778958595</v>
      </c>
      <c r="Q295" s="167">
        <v>5.1718499687145041</v>
      </c>
      <c r="S295" s="84" t="str">
        <f t="shared" si="81"/>
        <v>0kr./kg slg.</v>
      </c>
      <c r="T295" s="65">
        <f t="shared" si="82"/>
        <v>10.233821014621229</v>
      </c>
      <c r="U295" s="65">
        <f t="shared" si="71"/>
        <v>9.2214268054399007</v>
      </c>
      <c r="V295" s="65">
        <f t="shared" si="72"/>
        <v>8.2090325962585364</v>
      </c>
      <c r="W295" s="65">
        <f t="shared" si="73"/>
        <v>7.1966383870771988</v>
      </c>
      <c r="X295" s="65">
        <f t="shared" si="74"/>
        <v>6.1842441778958595</v>
      </c>
      <c r="Y295" s="65">
        <f t="shared" si="75"/>
        <v>5.1718499687145041</v>
      </c>
      <c r="AA295" s="167">
        <f t="shared" si="83"/>
        <v>9.5</v>
      </c>
      <c r="AB295" s="167">
        <f t="shared" si="84"/>
        <v>9.5</v>
      </c>
      <c r="AC295" s="167">
        <f t="shared" si="76"/>
        <v>9.5</v>
      </c>
      <c r="AD295" s="167">
        <f t="shared" si="77"/>
        <v>9.5</v>
      </c>
      <c r="AE295" s="167">
        <f t="shared" si="78"/>
        <v>9.5</v>
      </c>
      <c r="AF295" s="167">
        <f t="shared" si="85"/>
        <v>9.5</v>
      </c>
      <c r="AY295" s="75"/>
    </row>
    <row r="296" spans="1:51" x14ac:dyDescent="0.35">
      <c r="A296" s="163"/>
      <c r="B296" s="160">
        <f t="shared" si="79"/>
        <v>-2</v>
      </c>
      <c r="C296" s="64">
        <v>9.5</v>
      </c>
      <c r="D296" s="64">
        <v>9.5</v>
      </c>
      <c r="E296" s="64">
        <v>9.5</v>
      </c>
      <c r="F296" s="64">
        <v>9.5</v>
      </c>
      <c r="G296" s="64">
        <v>9.5</v>
      </c>
      <c r="H296" s="95">
        <v>9.5</v>
      </c>
      <c r="J296" s="165"/>
      <c r="K296" s="160">
        <f t="shared" si="80"/>
        <v>-2</v>
      </c>
      <c r="L296" s="167">
        <v>8.5002195229209221</v>
      </c>
      <c r="M296" s="167">
        <v>7.4878253137395943</v>
      </c>
      <c r="N296" s="167">
        <v>6.47543110455823</v>
      </c>
      <c r="O296" s="167">
        <v>5.4630368953768924</v>
      </c>
      <c r="P296" s="167">
        <v>4.450642686195553</v>
      </c>
      <c r="Q296" s="167">
        <v>3.4382484770141977</v>
      </c>
      <c r="S296" s="84" t="str">
        <f t="shared" si="81"/>
        <v>-2kr./kg slg.</v>
      </c>
      <c r="T296" s="65">
        <f t="shared" si="82"/>
        <v>8.5002195229209221</v>
      </c>
      <c r="U296" s="65">
        <f t="shared" si="71"/>
        <v>7.4878253137395943</v>
      </c>
      <c r="V296" s="65">
        <f t="shared" si="72"/>
        <v>6.47543110455823</v>
      </c>
      <c r="W296" s="65">
        <f t="shared" si="73"/>
        <v>5.4630368953768924</v>
      </c>
      <c r="X296" s="65">
        <f t="shared" si="74"/>
        <v>4.450642686195553</v>
      </c>
      <c r="Y296" s="65">
        <f t="shared" si="75"/>
        <v>3.4382484770141977</v>
      </c>
      <c r="AA296" s="167">
        <f t="shared" si="83"/>
        <v>9.5</v>
      </c>
      <c r="AB296" s="167">
        <f t="shared" si="84"/>
        <v>9.5</v>
      </c>
      <c r="AC296" s="167">
        <f t="shared" si="76"/>
        <v>9.5</v>
      </c>
      <c r="AD296" s="167">
        <f t="shared" si="77"/>
        <v>9.5</v>
      </c>
      <c r="AE296" s="167">
        <f t="shared" si="78"/>
        <v>9.5</v>
      </c>
      <c r="AF296" s="167">
        <f t="shared" si="85"/>
        <v>9.5</v>
      </c>
      <c r="AY296" s="75"/>
    </row>
    <row r="297" spans="1:51" x14ac:dyDescent="0.35">
      <c r="A297" s="163"/>
      <c r="B297" s="160">
        <f t="shared" si="79"/>
        <v>-4</v>
      </c>
      <c r="C297" s="64">
        <v>9.5</v>
      </c>
      <c r="D297" s="64">
        <v>9.5</v>
      </c>
      <c r="E297" s="64">
        <v>9.5</v>
      </c>
      <c r="F297" s="64">
        <v>9.5</v>
      </c>
      <c r="G297" s="64">
        <v>9.5</v>
      </c>
      <c r="H297" s="95">
        <v>9.5</v>
      </c>
      <c r="J297" s="165"/>
      <c r="K297" s="160">
        <f t="shared" si="80"/>
        <v>-4</v>
      </c>
      <c r="L297" s="167">
        <v>6.7666180312206086</v>
      </c>
      <c r="M297" s="167">
        <v>5.7542238220392798</v>
      </c>
      <c r="N297" s="167">
        <v>4.7418296128579156</v>
      </c>
      <c r="O297" s="167">
        <v>3.729435403676578</v>
      </c>
      <c r="P297" s="167">
        <v>2.7208237473081756</v>
      </c>
      <c r="Q297" s="167">
        <v>1.7104941134128104</v>
      </c>
      <c r="S297" s="84" t="str">
        <f t="shared" si="81"/>
        <v>-4kr./kg slg.</v>
      </c>
      <c r="T297" s="65">
        <f t="shared" si="82"/>
        <v>6.7666180312206086</v>
      </c>
      <c r="U297" s="65">
        <f t="shared" si="71"/>
        <v>5.7542238220392798</v>
      </c>
      <c r="V297" s="65">
        <f t="shared" si="72"/>
        <v>4.7418296128579156</v>
      </c>
      <c r="W297" s="65">
        <f t="shared" si="73"/>
        <v>3.729435403676578</v>
      </c>
      <c r="X297" s="65">
        <f t="shared" si="74"/>
        <v>2.7170411944952395</v>
      </c>
      <c r="Y297" s="65">
        <f t="shared" si="75"/>
        <v>1.7247182782185826</v>
      </c>
      <c r="AA297" s="167">
        <f t="shared" si="83"/>
        <v>9.5</v>
      </c>
      <c r="AB297" s="167">
        <f t="shared" si="84"/>
        <v>9.5</v>
      </c>
      <c r="AC297" s="167">
        <f t="shared" si="76"/>
        <v>9.5</v>
      </c>
      <c r="AD297" s="167">
        <f t="shared" si="77"/>
        <v>9.5</v>
      </c>
      <c r="AE297" s="167">
        <f t="shared" si="78"/>
        <v>9.5</v>
      </c>
      <c r="AF297" s="167">
        <f t="shared" si="85"/>
        <v>9.3000000000000007</v>
      </c>
      <c r="AY297" s="75"/>
    </row>
    <row r="298" spans="1:51" x14ac:dyDescent="0.35">
      <c r="A298" s="168"/>
      <c r="B298" s="169">
        <f t="shared" si="79"/>
        <v>-6</v>
      </c>
      <c r="C298" s="98">
        <v>11.3</v>
      </c>
      <c r="D298" s="98">
        <v>11.3</v>
      </c>
      <c r="E298" s="98">
        <v>11.3</v>
      </c>
      <c r="F298" s="98">
        <v>9.3000000000000007</v>
      </c>
      <c r="G298" s="98">
        <v>9.3000000000000007</v>
      </c>
      <c r="H298" s="99">
        <v>9.1999999999999993</v>
      </c>
      <c r="J298" s="165"/>
      <c r="K298" s="160">
        <f t="shared" si="80"/>
        <v>-6</v>
      </c>
      <c r="L298" s="167">
        <v>5.1240674028946653</v>
      </c>
      <c r="M298" s="167">
        <v>4.0072675295552491</v>
      </c>
      <c r="N298" s="167">
        <v>2.8904676562158009</v>
      </c>
      <c r="O298" s="167">
        <v>2.0294103295652262</v>
      </c>
      <c r="P298" s="167">
        <v>1.0357244465301194</v>
      </c>
      <c r="Q298" s="167">
        <v>4.5804971604482887E-2</v>
      </c>
      <c r="S298" s="84" t="str">
        <f t="shared" si="81"/>
        <v>-6kr./kg slg.</v>
      </c>
      <c r="T298" s="65">
        <f t="shared" si="82"/>
        <v>5.1240674028946653</v>
      </c>
      <c r="U298" s="65">
        <f t="shared" si="71"/>
        <v>4.0072675295552491</v>
      </c>
      <c r="V298" s="65">
        <f t="shared" si="72"/>
        <v>2.8904676562158009</v>
      </c>
      <c r="W298" s="65">
        <f t="shared" si="73"/>
        <v>2.0335376847213245</v>
      </c>
      <c r="X298" s="65">
        <f t="shared" si="74"/>
        <v>1.17383575861732</v>
      </c>
      <c r="Y298" s="65">
        <f t="shared" si="75"/>
        <v>0.24429495481809191</v>
      </c>
      <c r="AA298" s="167">
        <f t="shared" si="83"/>
        <v>11.3</v>
      </c>
      <c r="AB298" s="167">
        <f t="shared" si="84"/>
        <v>11.3</v>
      </c>
      <c r="AC298" s="167">
        <f t="shared" si="76"/>
        <v>11.3</v>
      </c>
      <c r="AD298" s="167">
        <f t="shared" si="77"/>
        <v>9.3000000000000007</v>
      </c>
      <c r="AE298" s="167">
        <f t="shared" si="78"/>
        <v>8.1999999999999993</v>
      </c>
      <c r="AF298" s="167">
        <f>IF(H298&lt;H277,H298,H277)</f>
        <v>7.8</v>
      </c>
      <c r="AY298" s="75"/>
    </row>
    <row r="299" spans="1:51" x14ac:dyDescent="0.35">
      <c r="A299" s="73"/>
      <c r="H299" s="75"/>
      <c r="AY299" s="75"/>
    </row>
    <row r="300" spans="1:51" ht="21.75" thickBot="1" x14ac:dyDescent="0.4">
      <c r="A300" s="135"/>
      <c r="B300" s="82"/>
      <c r="C300" s="82"/>
      <c r="D300" s="82"/>
      <c r="E300" s="82"/>
      <c r="F300" s="82"/>
      <c r="G300" s="82"/>
      <c r="H300" s="83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136"/>
      <c r="V300" s="156"/>
      <c r="W300" s="136"/>
      <c r="X300" s="136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3"/>
    </row>
    <row r="301" spans="1:51" x14ac:dyDescent="0.35">
      <c r="A301" s="150"/>
      <c r="B301" s="71" t="s">
        <v>153</v>
      </c>
      <c r="C301" s="71"/>
      <c r="D301" s="71"/>
      <c r="E301" s="71"/>
      <c r="F301" s="71"/>
      <c r="G301" s="71"/>
      <c r="H301" s="159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152"/>
      <c r="V301" s="86"/>
      <c r="W301" s="152"/>
      <c r="X301" s="152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2"/>
    </row>
    <row r="302" spans="1:51" x14ac:dyDescent="0.35">
      <c r="A302" s="73"/>
      <c r="H302" s="95"/>
      <c r="Q302" s="95"/>
      <c r="AY302" s="75"/>
    </row>
    <row r="303" spans="1:51" x14ac:dyDescent="0.35">
      <c r="A303" s="73"/>
      <c r="B303" s="64" t="s">
        <v>143</v>
      </c>
      <c r="C303" s="160" t="s">
        <v>146</v>
      </c>
      <c r="D303" s="160"/>
      <c r="E303" s="160"/>
      <c r="F303" s="160"/>
      <c r="G303" s="160"/>
      <c r="H303" s="166"/>
      <c r="K303" s="64" t="s">
        <v>160</v>
      </c>
      <c r="L303" s="160" t="s">
        <v>146</v>
      </c>
      <c r="Q303" s="95"/>
      <c r="AY303" s="75"/>
    </row>
    <row r="304" spans="1:51" x14ac:dyDescent="0.35">
      <c r="A304" s="73"/>
      <c r="B304" s="64">
        <f>VLOOKUP(MAX('Vækstfunktion, kry kvie'!AN50:AN337),'Vækstfunktion, kry kvie'!AN:AS,6,FALSE)</f>
        <v>11</v>
      </c>
      <c r="C304" s="160">
        <f>C237</f>
        <v>2.2000000000000002</v>
      </c>
      <c r="D304" s="160">
        <f t="shared" ref="D304:H304" si="86">D237</f>
        <v>2.4</v>
      </c>
      <c r="E304" s="160">
        <f t="shared" si="86"/>
        <v>2.6</v>
      </c>
      <c r="F304" s="160">
        <f t="shared" si="86"/>
        <v>2.8</v>
      </c>
      <c r="G304" s="160">
        <f t="shared" si="86"/>
        <v>3</v>
      </c>
      <c r="H304" s="166">
        <f t="shared" si="86"/>
        <v>3.2</v>
      </c>
      <c r="K304" s="65">
        <f>VLOOKUP(MAX('Vækstfunktion, kry kvie'!AN50:AN337),'Vækstfunktion, kry kvie'!AN:AW,10,FALSE)</f>
        <v>7.7772711336033442</v>
      </c>
      <c r="L304" s="160">
        <f>C304</f>
        <v>2.2000000000000002</v>
      </c>
      <c r="M304" s="160">
        <f t="shared" ref="M304" si="87">D304</f>
        <v>2.4</v>
      </c>
      <c r="N304" s="160">
        <f t="shared" ref="N304" si="88">E304</f>
        <v>2.6</v>
      </c>
      <c r="O304" s="160">
        <f t="shared" ref="O304" si="89">F304</f>
        <v>2.8</v>
      </c>
      <c r="P304" s="160">
        <f t="shared" ref="P304" si="90">G304</f>
        <v>3</v>
      </c>
      <c r="Q304" s="160">
        <f t="shared" ref="Q304" si="91">H304</f>
        <v>3.2</v>
      </c>
      <c r="AY304" s="75"/>
    </row>
    <row r="305" spans="1:51" x14ac:dyDescent="0.35">
      <c r="A305" s="163" t="s">
        <v>147</v>
      </c>
      <c r="B305" s="160">
        <f>B238</f>
        <v>4</v>
      </c>
      <c r="C305" s="64">
        <f t="dataTable" ref="C305:H310" dt2D="1" dtr="1" r1="C11" r2="C23" ca="1"/>
        <v>12</v>
      </c>
      <c r="D305" s="64">
        <v>11.6</v>
      </c>
      <c r="E305" s="64">
        <v>11</v>
      </c>
      <c r="F305" s="64">
        <v>10.5</v>
      </c>
      <c r="G305" s="64">
        <v>9.9</v>
      </c>
      <c r="H305" s="95">
        <v>9.9</v>
      </c>
      <c r="J305" s="165" t="s">
        <v>147</v>
      </c>
      <c r="K305" s="160">
        <f>B305</f>
        <v>4</v>
      </c>
      <c r="L305" s="65">
        <f t="dataTable" ref="L305:Q310" dt2D="1" dtr="1" r1="C11" r2="C23" ca="1"/>
        <v>10.73692227993673</v>
      </c>
      <c r="M305" s="65">
        <v>9.9542009611649309</v>
      </c>
      <c r="N305" s="65">
        <v>9.3907344535730104</v>
      </c>
      <c r="O305" s="65">
        <v>8.7919931914824172</v>
      </c>
      <c r="P305" s="65">
        <v>8.2406651080250288</v>
      </c>
      <c r="Q305" s="65">
        <v>7.2975611893107795</v>
      </c>
      <c r="AY305" s="75"/>
    </row>
    <row r="306" spans="1:51" x14ac:dyDescent="0.35">
      <c r="A306" s="163" t="s">
        <v>148</v>
      </c>
      <c r="B306" s="160">
        <f t="shared" ref="B306:B310" si="92">B239</f>
        <v>2</v>
      </c>
      <c r="C306" s="64">
        <v>11.9</v>
      </c>
      <c r="D306" s="64">
        <v>11.2</v>
      </c>
      <c r="E306" s="64">
        <v>10.6</v>
      </c>
      <c r="F306" s="64">
        <v>10.1</v>
      </c>
      <c r="G306" s="64">
        <v>9.9</v>
      </c>
      <c r="H306" s="95">
        <v>9.8000000000000007</v>
      </c>
      <c r="J306" s="165" t="s">
        <v>148</v>
      </c>
      <c r="K306" s="160">
        <f t="shared" ref="K306:K309" si="93">B306</f>
        <v>2</v>
      </c>
      <c r="L306" s="65">
        <v>9.3579720515317337</v>
      </c>
      <c r="M306" s="65">
        <v>8.7914621498709238</v>
      </c>
      <c r="N306" s="65">
        <v>8.193734197759083</v>
      </c>
      <c r="O306" s="65">
        <v>7.5885743586525578</v>
      </c>
      <c r="P306" s="65">
        <v>6.7339296179207953</v>
      </c>
      <c r="Q306" s="65">
        <v>5.7951198622149294</v>
      </c>
      <c r="AY306" s="75"/>
    </row>
    <row r="307" spans="1:51" x14ac:dyDescent="0.35">
      <c r="A307" s="163"/>
      <c r="B307" s="160">
        <f t="shared" si="92"/>
        <v>0</v>
      </c>
      <c r="C307" s="64">
        <v>11.4</v>
      </c>
      <c r="D307" s="64">
        <v>10.8</v>
      </c>
      <c r="E307" s="64">
        <v>10.199999999999999</v>
      </c>
      <c r="F307" s="64">
        <v>9.9</v>
      </c>
      <c r="G307" s="64">
        <v>9.9</v>
      </c>
      <c r="H307" s="95">
        <v>9.5</v>
      </c>
      <c r="J307" s="165"/>
      <c r="K307" s="160">
        <f t="shared" si="93"/>
        <v>0</v>
      </c>
      <c r="L307" s="65">
        <v>8.2028013236810029</v>
      </c>
      <c r="M307" s="65">
        <v>7.5747699572919327</v>
      </c>
      <c r="N307" s="65">
        <v>6.9396268128648595</v>
      </c>
      <c r="O307" s="65">
        <v>6.1702980465308537</v>
      </c>
      <c r="P307" s="65">
        <v>5.1761350622335653</v>
      </c>
      <c r="Q307" s="65">
        <v>4.3600143509898279</v>
      </c>
      <c r="AY307" s="75"/>
    </row>
    <row r="308" spans="1:51" x14ac:dyDescent="0.35">
      <c r="A308" s="163"/>
      <c r="B308" s="160">
        <f t="shared" si="92"/>
        <v>-2</v>
      </c>
      <c r="C308" s="64">
        <v>11</v>
      </c>
      <c r="D308" s="64">
        <v>10.4</v>
      </c>
      <c r="E308" s="64">
        <v>9.9</v>
      </c>
      <c r="F308" s="64">
        <v>9.9</v>
      </c>
      <c r="G308" s="64">
        <v>9.5</v>
      </c>
      <c r="H308" s="95">
        <v>9.5</v>
      </c>
      <c r="J308" s="165"/>
      <c r="K308" s="160">
        <f t="shared" si="93"/>
        <v>-2</v>
      </c>
      <c r="L308" s="65">
        <v>6.9893917060411326</v>
      </c>
      <c r="M308" s="65">
        <v>6.3201742760263766</v>
      </c>
      <c r="N308" s="65">
        <v>5.5907417072067931</v>
      </c>
      <c r="O308" s="65">
        <v>4.6125034908436096</v>
      </c>
      <c r="P308" s="65">
        <v>3.7583714226215821</v>
      </c>
      <c r="Q308" s="65">
        <v>2.7860655087142123</v>
      </c>
      <c r="AY308" s="75"/>
    </row>
    <row r="309" spans="1:51" x14ac:dyDescent="0.35">
      <c r="A309" s="163"/>
      <c r="B309" s="160">
        <f t="shared" si="92"/>
        <v>-4</v>
      </c>
      <c r="C309" s="64">
        <v>10.6</v>
      </c>
      <c r="D309" s="64">
        <v>9.9</v>
      </c>
      <c r="E309" s="64">
        <v>9.9</v>
      </c>
      <c r="F309" s="64">
        <v>9.5</v>
      </c>
      <c r="G309" s="64">
        <v>9.5</v>
      </c>
      <c r="H309" s="95">
        <v>8.4</v>
      </c>
      <c r="J309" s="165"/>
      <c r="K309" s="160">
        <f t="shared" si="93"/>
        <v>-4</v>
      </c>
      <c r="L309" s="65">
        <v>5.729809909967301</v>
      </c>
      <c r="M309" s="65">
        <v>5.030514238472275</v>
      </c>
      <c r="N309" s="65">
        <v>4.0488719194536191</v>
      </c>
      <c r="O309" s="65">
        <v>3.1485526446210428</v>
      </c>
      <c r="P309" s="65">
        <v>2.1897513307961338</v>
      </c>
      <c r="Q309" s="65">
        <v>1.3791080661827033</v>
      </c>
      <c r="AY309" s="75"/>
    </row>
    <row r="310" spans="1:51" x14ac:dyDescent="0.35">
      <c r="A310" s="163"/>
      <c r="B310" s="160">
        <f t="shared" si="92"/>
        <v>-6</v>
      </c>
      <c r="C310" s="64">
        <v>10.1</v>
      </c>
      <c r="D310" s="64">
        <v>8.3000000000000007</v>
      </c>
      <c r="E310" s="64">
        <v>8.1</v>
      </c>
      <c r="F310" s="64">
        <v>7.6</v>
      </c>
      <c r="G310" s="64">
        <v>7.1</v>
      </c>
      <c r="H310" s="95">
        <v>6.6</v>
      </c>
      <c r="J310" s="165"/>
      <c r="K310" s="160">
        <f>B310</f>
        <v>-6</v>
      </c>
      <c r="L310" s="65">
        <v>4.409858810787858</v>
      </c>
      <c r="M310" s="65">
        <v>4.2795541873587508</v>
      </c>
      <c r="N310" s="65">
        <v>3.4971858325658083</v>
      </c>
      <c r="O310" s="65">
        <v>2.8107851515713489</v>
      </c>
      <c r="P310" s="65">
        <v>2.1212206248626164</v>
      </c>
      <c r="Q310" s="65">
        <v>1.4378606719123852</v>
      </c>
      <c r="AY310" s="75"/>
    </row>
    <row r="311" spans="1:51" x14ac:dyDescent="0.35">
      <c r="A311" s="73"/>
      <c r="H311" s="95"/>
      <c r="AY311" s="75"/>
    </row>
    <row r="312" spans="1:51" x14ac:dyDescent="0.35">
      <c r="A312" s="73"/>
      <c r="H312" s="95"/>
      <c r="AY312" s="75"/>
    </row>
    <row r="313" spans="1:51" x14ac:dyDescent="0.35">
      <c r="A313" s="73"/>
      <c r="H313" s="95"/>
      <c r="AY313" s="75"/>
    </row>
    <row r="314" spans="1:51" x14ac:dyDescent="0.35">
      <c r="A314" s="73"/>
      <c r="B314" s="64" t="s">
        <v>144</v>
      </c>
      <c r="C314" s="160" t="s">
        <v>146</v>
      </c>
      <c r="D314" s="160"/>
      <c r="E314" s="160"/>
      <c r="F314" s="160"/>
      <c r="G314" s="160"/>
      <c r="H314" s="166"/>
      <c r="K314" s="64" t="s">
        <v>161</v>
      </c>
      <c r="L314" s="160" t="s">
        <v>146</v>
      </c>
      <c r="Q314" s="95"/>
      <c r="AY314" s="75"/>
    </row>
    <row r="315" spans="1:51" x14ac:dyDescent="0.35">
      <c r="A315" s="73"/>
      <c r="B315" s="64">
        <f>VLOOKUP(MAX('Vækstfunktion, kry kvie'!AO50:AO337),'Vækstfunktion, kry kvie'!AO:AS,5,FALSE)</f>
        <v>9.5</v>
      </c>
      <c r="C315" s="160">
        <f t="shared" ref="C315:H315" si="94">C237</f>
        <v>2.2000000000000002</v>
      </c>
      <c r="D315" s="160">
        <f t="shared" si="94"/>
        <v>2.4</v>
      </c>
      <c r="E315" s="160">
        <f t="shared" si="94"/>
        <v>2.6</v>
      </c>
      <c r="F315" s="160">
        <f t="shared" si="94"/>
        <v>2.8</v>
      </c>
      <c r="G315" s="160">
        <f t="shared" si="94"/>
        <v>3</v>
      </c>
      <c r="H315" s="166">
        <f t="shared" si="94"/>
        <v>3.2</v>
      </c>
      <c r="K315" s="65">
        <f>VLOOKUP(MAX('Vækstfunktion, kry kvie'!AO50:AO337),'Vækstfunktion, kry kvie'!AO:AW,9,FALSE)</f>
        <v>8.5409297807915401</v>
      </c>
      <c r="L315" s="160">
        <f>C315</f>
        <v>2.2000000000000002</v>
      </c>
      <c r="M315" s="160">
        <f t="shared" ref="M315" si="95">D315</f>
        <v>2.4</v>
      </c>
      <c r="N315" s="160">
        <f t="shared" ref="N315" si="96">E315</f>
        <v>2.6</v>
      </c>
      <c r="O315" s="160">
        <f t="shared" ref="O315" si="97">F315</f>
        <v>2.8</v>
      </c>
      <c r="P315" s="160">
        <f t="shared" ref="P315" si="98">G315</f>
        <v>3</v>
      </c>
      <c r="Q315" s="160">
        <f t="shared" ref="Q315" si="99">H315</f>
        <v>3.2</v>
      </c>
      <c r="AY315" s="75"/>
    </row>
    <row r="316" spans="1:51" x14ac:dyDescent="0.35">
      <c r="A316" s="163" t="s">
        <v>147</v>
      </c>
      <c r="B316" s="160">
        <f t="shared" ref="B316:B321" si="100">B238</f>
        <v>4</v>
      </c>
      <c r="C316" s="64">
        <f t="dataTable" ref="C316:H321" dt2D="1" dtr="1" r1="C11" r2="C23" ca="1"/>
        <v>9.5</v>
      </c>
      <c r="D316" s="64">
        <v>9.5</v>
      </c>
      <c r="E316" s="64">
        <v>9.5</v>
      </c>
      <c r="F316" s="64">
        <v>9.5</v>
      </c>
      <c r="G316" s="64">
        <v>9.5</v>
      </c>
      <c r="H316" s="95">
        <v>9.5</v>
      </c>
      <c r="J316" s="165" t="s">
        <v>147</v>
      </c>
      <c r="K316" s="160">
        <f>B316</f>
        <v>4</v>
      </c>
      <c r="L316" s="65">
        <f t="dataTable" ref="L316:Q321" dt2D="1" dtr="1" r1="C11" r2="C23" ca="1"/>
        <v>12.369441605077942</v>
      </c>
      <c r="M316" s="65">
        <v>11.397135691170574</v>
      </c>
      <c r="N316" s="65">
        <v>10.4248297772632</v>
      </c>
      <c r="O316" s="65">
        <v>9.4525238633558342</v>
      </c>
      <c r="P316" s="65">
        <v>8.480217949448436</v>
      </c>
      <c r="Q316" s="65">
        <v>7.5079120355410653</v>
      </c>
      <c r="AY316" s="75"/>
    </row>
    <row r="317" spans="1:51" x14ac:dyDescent="0.35">
      <c r="A317" s="163" t="s">
        <v>148</v>
      </c>
      <c r="B317" s="160">
        <f t="shared" si="100"/>
        <v>2</v>
      </c>
      <c r="C317" s="64">
        <v>9.5</v>
      </c>
      <c r="D317" s="64">
        <v>9.5</v>
      </c>
      <c r="E317" s="64">
        <v>9.5</v>
      </c>
      <c r="F317" s="64">
        <v>9.5</v>
      </c>
      <c r="G317" s="64">
        <v>9.5</v>
      </c>
      <c r="H317" s="95">
        <v>9.5</v>
      </c>
      <c r="J317" s="165" t="s">
        <v>148</v>
      </c>
      <c r="K317" s="160">
        <f t="shared" ref="K317:K321" si="101">B317</f>
        <v>2</v>
      </c>
      <c r="L317" s="65">
        <v>10.795492762802322</v>
      </c>
      <c r="M317" s="65">
        <v>9.8231868488949559</v>
      </c>
      <c r="N317" s="65">
        <v>8.8508809349875825</v>
      </c>
      <c r="O317" s="65">
        <v>7.8785750210802155</v>
      </c>
      <c r="P317" s="65">
        <v>6.9062691071728164</v>
      </c>
      <c r="Q317" s="65">
        <v>5.9339631932654466</v>
      </c>
      <c r="AY317" s="75"/>
    </row>
    <row r="318" spans="1:51" x14ac:dyDescent="0.35">
      <c r="A318" s="163"/>
      <c r="B318" s="160">
        <f t="shared" si="100"/>
        <v>0</v>
      </c>
      <c r="C318" s="64">
        <v>9.5</v>
      </c>
      <c r="D318" s="64">
        <v>9.5</v>
      </c>
      <c r="E318" s="64">
        <v>9.5</v>
      </c>
      <c r="F318" s="64">
        <v>9.5</v>
      </c>
      <c r="G318" s="64">
        <v>9.5</v>
      </c>
      <c r="H318" s="95">
        <v>9.5</v>
      </c>
      <c r="J318" s="165"/>
      <c r="K318" s="160">
        <f t="shared" si="101"/>
        <v>0</v>
      </c>
      <c r="L318" s="65">
        <v>9.2215439205267025</v>
      </c>
      <c r="M318" s="65">
        <v>8.2492380066193363</v>
      </c>
      <c r="N318" s="65">
        <v>7.276932092711963</v>
      </c>
      <c r="O318" s="65">
        <v>6.3046261788045959</v>
      </c>
      <c r="P318" s="65">
        <v>5.3323202648971977</v>
      </c>
      <c r="Q318" s="65">
        <v>4.3600143509898279</v>
      </c>
      <c r="AY318" s="75"/>
    </row>
    <row r="319" spans="1:51" x14ac:dyDescent="0.35">
      <c r="A319" s="163"/>
      <c r="B319" s="160">
        <f t="shared" si="100"/>
        <v>-2</v>
      </c>
      <c r="C319" s="64">
        <v>9.6</v>
      </c>
      <c r="D319" s="64">
        <v>9.5</v>
      </c>
      <c r="E319" s="64">
        <v>9.5</v>
      </c>
      <c r="F319" s="64">
        <v>9.5</v>
      </c>
      <c r="G319" s="64">
        <v>9.5</v>
      </c>
      <c r="H319" s="95">
        <v>9.5</v>
      </c>
      <c r="J319" s="165"/>
      <c r="K319" s="160">
        <f t="shared" si="101"/>
        <v>-2</v>
      </c>
      <c r="L319" s="65">
        <v>7.6364532391235249</v>
      </c>
      <c r="M319" s="65">
        <v>6.6752891643437211</v>
      </c>
      <c r="N319" s="65">
        <v>5.702983250436346</v>
      </c>
      <c r="O319" s="65">
        <v>4.7306773365289807</v>
      </c>
      <c r="P319" s="65">
        <v>3.7583714226215821</v>
      </c>
      <c r="Q319" s="65">
        <v>2.7860655087142123</v>
      </c>
      <c r="AY319" s="75"/>
    </row>
    <row r="320" spans="1:51" x14ac:dyDescent="0.35">
      <c r="A320" s="163"/>
      <c r="B320" s="160">
        <f t="shared" si="100"/>
        <v>-4</v>
      </c>
      <c r="C320" s="64">
        <v>9.8000000000000007</v>
      </c>
      <c r="D320" s="64">
        <v>9.5</v>
      </c>
      <c r="E320" s="64">
        <v>9.5</v>
      </c>
      <c r="F320" s="64">
        <v>9.5</v>
      </c>
      <c r="G320" s="64">
        <v>9.5</v>
      </c>
      <c r="H320" s="95">
        <v>8.9</v>
      </c>
      <c r="J320" s="165"/>
      <c r="K320" s="160">
        <f t="shared" si="101"/>
        <v>-4</v>
      </c>
      <c r="L320" s="65">
        <v>6.0501811469893276</v>
      </c>
      <c r="M320" s="65">
        <v>5.0972850814743191</v>
      </c>
      <c r="N320" s="65">
        <v>4.1290344081607389</v>
      </c>
      <c r="O320" s="65">
        <v>3.1567284942533727</v>
      </c>
      <c r="P320" s="65">
        <v>2.1897513307961338</v>
      </c>
      <c r="Q320" s="65">
        <v>1.3132757618411179</v>
      </c>
      <c r="AY320" s="75"/>
    </row>
    <row r="321" spans="1:51" x14ac:dyDescent="0.35">
      <c r="A321" s="163"/>
      <c r="B321" s="160">
        <f t="shared" si="100"/>
        <v>-6</v>
      </c>
      <c r="C321" s="64">
        <v>8.1</v>
      </c>
      <c r="D321" s="64">
        <v>7.9</v>
      </c>
      <c r="E321" s="64">
        <v>7.7</v>
      </c>
      <c r="F321" s="64">
        <v>7.4</v>
      </c>
      <c r="G321" s="64">
        <v>7.2</v>
      </c>
      <c r="H321" s="95">
        <v>7</v>
      </c>
      <c r="J321" s="165"/>
      <c r="K321" s="160">
        <f t="shared" si="101"/>
        <v>-6</v>
      </c>
      <c r="L321" s="65">
        <v>5.2194630960776447</v>
      </c>
      <c r="M321" s="65">
        <v>4.4071496370351433</v>
      </c>
      <c r="N321" s="65">
        <v>3.6101394556472175</v>
      </c>
      <c r="O321" s="65">
        <v>2.843251971150774</v>
      </c>
      <c r="P321" s="65">
        <v>2.0930924090889231</v>
      </c>
      <c r="Q321" s="65">
        <v>1.3674967636787201</v>
      </c>
      <c r="AY321" s="75"/>
    </row>
    <row r="322" spans="1:51" x14ac:dyDescent="0.35">
      <c r="A322" s="73"/>
      <c r="H322" s="95"/>
      <c r="AY322" s="75"/>
    </row>
    <row r="323" spans="1:51" x14ac:dyDescent="0.35">
      <c r="A323" s="73"/>
      <c r="H323" s="95"/>
      <c r="AY323" s="75"/>
    </row>
    <row r="324" spans="1:51" x14ac:dyDescent="0.35">
      <c r="A324" s="73"/>
      <c r="B324" s="64" t="s">
        <v>145</v>
      </c>
      <c r="C324" s="160" t="s">
        <v>146</v>
      </c>
      <c r="D324" s="160"/>
      <c r="E324" s="160"/>
      <c r="F324" s="160"/>
      <c r="G324" s="160"/>
      <c r="H324" s="166"/>
      <c r="K324" s="64" t="s">
        <v>162</v>
      </c>
      <c r="L324" s="160" t="s">
        <v>146</v>
      </c>
      <c r="Q324" s="95"/>
      <c r="T324" s="64" t="s">
        <v>164</v>
      </c>
      <c r="AA324" s="64" t="s">
        <v>165</v>
      </c>
      <c r="AY324" s="75"/>
    </row>
    <row r="325" spans="1:51" x14ac:dyDescent="0.35">
      <c r="A325" s="73"/>
      <c r="B325" s="64">
        <f>VLOOKUP(MAX('Vækstfunktion, kry kvie'!AP50:AP337),'Vækstfunktion, kry kvie'!AP:AS,4,FALSE)</f>
        <v>9.5</v>
      </c>
      <c r="C325" s="160">
        <f t="shared" ref="C325:H325" si="102">C237</f>
        <v>2.2000000000000002</v>
      </c>
      <c r="D325" s="160">
        <f t="shared" si="102"/>
        <v>2.4</v>
      </c>
      <c r="E325" s="160">
        <f t="shared" si="102"/>
        <v>2.6</v>
      </c>
      <c r="F325" s="160">
        <f t="shared" si="102"/>
        <v>2.8</v>
      </c>
      <c r="G325" s="160">
        <f t="shared" si="102"/>
        <v>3</v>
      </c>
      <c r="H325" s="166">
        <f t="shared" si="102"/>
        <v>3.2</v>
      </c>
      <c r="K325" s="65">
        <f>VLOOKUP(MAX('Vækstfunktion, kry kvie'!AP50:AP337),'Vækstfunktion, kry kvie'!AP:AW,8,FALSE)</f>
        <v>8.5409297807915401</v>
      </c>
      <c r="L325" s="160">
        <f>C325</f>
        <v>2.2000000000000002</v>
      </c>
      <c r="M325" s="160">
        <f t="shared" ref="M325" si="103">D325</f>
        <v>2.4</v>
      </c>
      <c r="N325" s="160">
        <f t="shared" ref="N325" si="104">E325</f>
        <v>2.6</v>
      </c>
      <c r="O325" s="160">
        <f t="shared" ref="O325" si="105">F325</f>
        <v>2.8</v>
      </c>
      <c r="P325" s="160">
        <f t="shared" ref="P325" si="106">G325</f>
        <v>3</v>
      </c>
      <c r="Q325" s="160">
        <f t="shared" ref="Q325" si="107">H325</f>
        <v>3.2</v>
      </c>
      <c r="T325" s="64">
        <f>L325</f>
        <v>2.2000000000000002</v>
      </c>
      <c r="U325" s="64">
        <f t="shared" ref="U325" si="108">M325</f>
        <v>2.4</v>
      </c>
      <c r="V325" s="64">
        <f t="shared" ref="V325" si="109">N325</f>
        <v>2.6</v>
      </c>
      <c r="W325" s="64">
        <f t="shared" ref="W325" si="110">O325</f>
        <v>2.8</v>
      </c>
      <c r="X325" s="64">
        <f t="shared" ref="X325" si="111">P325</f>
        <v>3</v>
      </c>
      <c r="Y325" s="64">
        <f t="shared" ref="Y325" si="112">Q325</f>
        <v>3.2</v>
      </c>
      <c r="AA325" s="64">
        <f>L325</f>
        <v>2.2000000000000002</v>
      </c>
      <c r="AB325" s="64">
        <f t="shared" ref="AB325" si="113">M325</f>
        <v>2.4</v>
      </c>
      <c r="AC325" s="64">
        <f t="shared" ref="AC325" si="114">N325</f>
        <v>2.6</v>
      </c>
      <c r="AD325" s="64">
        <f t="shared" ref="AD325" si="115">O325</f>
        <v>2.8</v>
      </c>
      <c r="AE325" s="64">
        <f t="shared" ref="AE325" si="116">P325</f>
        <v>3</v>
      </c>
      <c r="AF325" s="64">
        <f t="shared" ref="AF325" si="117">Q325</f>
        <v>3.2</v>
      </c>
      <c r="AY325" s="75"/>
    </row>
    <row r="326" spans="1:51" x14ac:dyDescent="0.35">
      <c r="A326" s="163" t="s">
        <v>147</v>
      </c>
      <c r="B326" s="160">
        <f t="shared" ref="B326:B331" si="118">B238</f>
        <v>4</v>
      </c>
      <c r="C326" s="64">
        <f t="dataTable" ref="C326:H331" dt2D="1" dtr="1" r1="C11" r2="C23" ca="1"/>
        <v>9.5</v>
      </c>
      <c r="D326" s="64">
        <v>9.5</v>
      </c>
      <c r="E326" s="64">
        <v>9.5</v>
      </c>
      <c r="F326" s="64">
        <v>9.5</v>
      </c>
      <c r="G326" s="64">
        <v>9.5</v>
      </c>
      <c r="H326" s="95">
        <v>9.5</v>
      </c>
      <c r="J326" s="165" t="s">
        <v>147</v>
      </c>
      <c r="K326" s="160">
        <f>B326</f>
        <v>4</v>
      </c>
      <c r="L326" s="65">
        <f t="dataTable" ref="L326:Q331" dt2D="1" dtr="1" r1="C11" r2="C23" ca="1"/>
        <v>12.369441605077942</v>
      </c>
      <c r="M326" s="65">
        <v>11.397135691170574</v>
      </c>
      <c r="N326" s="65">
        <v>10.4248297772632</v>
      </c>
      <c r="O326" s="65">
        <v>9.4525238633558342</v>
      </c>
      <c r="P326" s="65">
        <v>8.480217949448436</v>
      </c>
      <c r="Q326" s="65">
        <v>7.5079120355410653</v>
      </c>
      <c r="S326" s="84" t="str">
        <f>IF(K326&gt;0,"+"&amp;K326&amp;"kr./kg slg.",K326&amp;"kr./kg slg.")</f>
        <v>+4kr./kg slg.</v>
      </c>
      <c r="T326" s="65">
        <f>IF(C326&lt;C305,L326,L305)</f>
        <v>12.369441605077942</v>
      </c>
      <c r="U326" s="65">
        <f t="shared" ref="U326:U331" si="119">IF(D326&lt;D305,M326,M305)</f>
        <v>11.397135691170574</v>
      </c>
      <c r="V326" s="65">
        <f t="shared" ref="V326:V331" si="120">IF(E326&lt;E305,N326,N305)</f>
        <v>10.4248297772632</v>
      </c>
      <c r="W326" s="65">
        <f t="shared" ref="W326:W331" si="121">IF(F326&lt;F305,O326,O305)</f>
        <v>9.4525238633558342</v>
      </c>
      <c r="X326" s="65">
        <f t="shared" ref="X326:X331" si="122">IF(G326&lt;G305,P326,P305)</f>
        <v>8.480217949448436</v>
      </c>
      <c r="Y326" s="65">
        <f t="shared" ref="Y326:Y331" si="123">IF(H326&lt;H305,Q326,Q305)</f>
        <v>7.5079120355410653</v>
      </c>
      <c r="AA326" s="167">
        <f>IF(C326&lt;C305,C326,C305)</f>
        <v>9.5</v>
      </c>
      <c r="AB326" s="167">
        <f t="shared" ref="AB326:AB331" si="124">IF(D326&lt;D305,D326,D305)</f>
        <v>9.5</v>
      </c>
      <c r="AC326" s="167">
        <f t="shared" ref="AC326:AC331" si="125">IF(E326&lt;E305,E326,E305)</f>
        <v>9.5</v>
      </c>
      <c r="AD326" s="167">
        <f t="shared" ref="AD326:AD331" si="126">IF(F326&lt;F305,F326,F305)</f>
        <v>9.5</v>
      </c>
      <c r="AE326" s="167">
        <f t="shared" ref="AE326:AE331" si="127">IF(G326&lt;G305,G326,G305)</f>
        <v>9.5</v>
      </c>
      <c r="AF326" s="167">
        <f>IF(H326&lt;H305,H326,H305)</f>
        <v>9.5</v>
      </c>
      <c r="AY326" s="75"/>
    </row>
    <row r="327" spans="1:51" x14ac:dyDescent="0.35">
      <c r="A327" s="163" t="s">
        <v>148</v>
      </c>
      <c r="B327" s="160">
        <f t="shared" si="118"/>
        <v>2</v>
      </c>
      <c r="C327" s="64">
        <v>9.5</v>
      </c>
      <c r="D327" s="64">
        <v>9.5</v>
      </c>
      <c r="E327" s="64">
        <v>9.5</v>
      </c>
      <c r="F327" s="64">
        <v>9.5</v>
      </c>
      <c r="G327" s="64">
        <v>9.5</v>
      </c>
      <c r="H327" s="95">
        <v>9.5</v>
      </c>
      <c r="J327" s="165" t="s">
        <v>148</v>
      </c>
      <c r="K327" s="160">
        <f t="shared" ref="K327:K331" si="128">B327</f>
        <v>2</v>
      </c>
      <c r="L327" s="65">
        <v>10.795492762802322</v>
      </c>
      <c r="M327" s="65">
        <v>9.8231868488949559</v>
      </c>
      <c r="N327" s="65">
        <v>8.8508809349875825</v>
      </c>
      <c r="O327" s="65">
        <v>7.8785750210802155</v>
      </c>
      <c r="P327" s="65">
        <v>6.9062691071728164</v>
      </c>
      <c r="Q327" s="65">
        <v>5.9339631932654466</v>
      </c>
      <c r="S327" s="84" t="str">
        <f t="shared" ref="S327:S331" si="129">IF(K327&gt;0,"+"&amp;K327&amp;"kr./kg slg.",K327&amp;"kr./kg slg.")</f>
        <v>+2kr./kg slg.</v>
      </c>
      <c r="T327" s="65">
        <f t="shared" ref="T327:T331" si="130">IF(C327&lt;C306,L327,L306)</f>
        <v>10.795492762802322</v>
      </c>
      <c r="U327" s="65">
        <f t="shared" si="119"/>
        <v>9.8231868488949559</v>
      </c>
      <c r="V327" s="65">
        <f t="shared" si="120"/>
        <v>8.8508809349875825</v>
      </c>
      <c r="W327" s="65">
        <f t="shared" si="121"/>
        <v>7.8785750210802155</v>
      </c>
      <c r="X327" s="65">
        <f t="shared" si="122"/>
        <v>6.9062691071728164</v>
      </c>
      <c r="Y327" s="65">
        <f t="shared" si="123"/>
        <v>5.9339631932654466</v>
      </c>
      <c r="AA327" s="167">
        <f t="shared" ref="AA327:AA331" si="131">IF(C327&lt;C306,C327,C306)</f>
        <v>9.5</v>
      </c>
      <c r="AB327" s="167">
        <f t="shared" si="124"/>
        <v>9.5</v>
      </c>
      <c r="AC327" s="167">
        <f t="shared" si="125"/>
        <v>9.5</v>
      </c>
      <c r="AD327" s="167">
        <f t="shared" si="126"/>
        <v>9.5</v>
      </c>
      <c r="AE327" s="167">
        <f t="shared" si="127"/>
        <v>9.5</v>
      </c>
      <c r="AF327" s="167">
        <f t="shared" ref="AF327:AF330" si="132">IF(H327&lt;H306,H327,H306)</f>
        <v>9.5</v>
      </c>
      <c r="AY327" s="75"/>
    </row>
    <row r="328" spans="1:51" x14ac:dyDescent="0.35">
      <c r="A328" s="163"/>
      <c r="B328" s="160">
        <f t="shared" si="118"/>
        <v>0</v>
      </c>
      <c r="C328" s="64">
        <v>9.5</v>
      </c>
      <c r="D328" s="64">
        <v>9.5</v>
      </c>
      <c r="E328" s="64">
        <v>9.5</v>
      </c>
      <c r="F328" s="64">
        <v>9.5</v>
      </c>
      <c r="G328" s="64">
        <v>9.5</v>
      </c>
      <c r="H328" s="95">
        <v>9.5</v>
      </c>
      <c r="J328" s="165"/>
      <c r="K328" s="160">
        <f t="shared" si="128"/>
        <v>0</v>
      </c>
      <c r="L328" s="65">
        <v>9.2215439205267025</v>
      </c>
      <c r="M328" s="65">
        <v>8.2492380066193363</v>
      </c>
      <c r="N328" s="65">
        <v>7.276932092711963</v>
      </c>
      <c r="O328" s="65">
        <v>6.3046261788045959</v>
      </c>
      <c r="P328" s="65">
        <v>5.3323202648971977</v>
      </c>
      <c r="Q328" s="65">
        <v>4.3600143509898279</v>
      </c>
      <c r="S328" s="84" t="str">
        <f t="shared" si="129"/>
        <v>0kr./kg slg.</v>
      </c>
      <c r="T328" s="65">
        <f t="shared" si="130"/>
        <v>9.2215439205267025</v>
      </c>
      <c r="U328" s="65">
        <f t="shared" si="119"/>
        <v>8.2492380066193363</v>
      </c>
      <c r="V328" s="65">
        <f t="shared" si="120"/>
        <v>7.276932092711963</v>
      </c>
      <c r="W328" s="65">
        <f t="shared" si="121"/>
        <v>6.3046261788045959</v>
      </c>
      <c r="X328" s="65">
        <f t="shared" si="122"/>
        <v>5.3323202648971977</v>
      </c>
      <c r="Y328" s="65">
        <f t="shared" si="123"/>
        <v>4.3600143509898279</v>
      </c>
      <c r="AA328" s="167">
        <f t="shared" si="131"/>
        <v>9.5</v>
      </c>
      <c r="AB328" s="167">
        <f t="shared" si="124"/>
        <v>9.5</v>
      </c>
      <c r="AC328" s="167">
        <f t="shared" si="125"/>
        <v>9.5</v>
      </c>
      <c r="AD328" s="167">
        <f t="shared" si="126"/>
        <v>9.5</v>
      </c>
      <c r="AE328" s="167">
        <f t="shared" si="127"/>
        <v>9.5</v>
      </c>
      <c r="AF328" s="167">
        <f t="shared" si="132"/>
        <v>9.5</v>
      </c>
      <c r="AY328" s="75"/>
    </row>
    <row r="329" spans="1:51" x14ac:dyDescent="0.35">
      <c r="A329" s="163"/>
      <c r="B329" s="160">
        <f t="shared" si="118"/>
        <v>-2</v>
      </c>
      <c r="C329" s="64">
        <v>9.5</v>
      </c>
      <c r="D329" s="64">
        <v>9.5</v>
      </c>
      <c r="E329" s="64">
        <v>9.5</v>
      </c>
      <c r="F329" s="64">
        <v>9.5</v>
      </c>
      <c r="G329" s="64">
        <v>9.5</v>
      </c>
      <c r="H329" s="95">
        <v>9.5</v>
      </c>
      <c r="J329" s="165"/>
      <c r="K329" s="160">
        <f t="shared" si="128"/>
        <v>-2</v>
      </c>
      <c r="L329" s="65">
        <v>7.6475950782510873</v>
      </c>
      <c r="M329" s="65">
        <v>6.6752891643437211</v>
      </c>
      <c r="N329" s="65">
        <v>5.702983250436346</v>
      </c>
      <c r="O329" s="65">
        <v>4.7306773365289807</v>
      </c>
      <c r="P329" s="65">
        <v>3.7583714226215821</v>
      </c>
      <c r="Q329" s="65">
        <v>2.7893892618580081</v>
      </c>
      <c r="S329" s="84" t="str">
        <f t="shared" si="129"/>
        <v>-2kr./kg slg.</v>
      </c>
      <c r="T329" s="65">
        <f t="shared" si="130"/>
        <v>7.6475950782510873</v>
      </c>
      <c r="U329" s="65">
        <f t="shared" si="119"/>
        <v>6.6752891643437211</v>
      </c>
      <c r="V329" s="65">
        <f t="shared" si="120"/>
        <v>5.702983250436346</v>
      </c>
      <c r="W329" s="65">
        <f t="shared" si="121"/>
        <v>4.7306773365289807</v>
      </c>
      <c r="X329" s="65">
        <f t="shared" si="122"/>
        <v>3.7583714226215821</v>
      </c>
      <c r="Y329" s="65">
        <f t="shared" si="123"/>
        <v>2.7860655087142123</v>
      </c>
      <c r="AA329" s="167">
        <f t="shared" si="131"/>
        <v>9.5</v>
      </c>
      <c r="AB329" s="167">
        <f t="shared" si="124"/>
        <v>9.5</v>
      </c>
      <c r="AC329" s="167">
        <f>IF(E329&lt;E308,E329,E308)</f>
        <v>9.5</v>
      </c>
      <c r="AD329" s="167">
        <f t="shared" si="126"/>
        <v>9.5</v>
      </c>
      <c r="AE329" s="167">
        <f t="shared" si="127"/>
        <v>9.5</v>
      </c>
      <c r="AF329" s="167">
        <f t="shared" si="132"/>
        <v>9.5</v>
      </c>
      <c r="AY329" s="75"/>
    </row>
    <row r="330" spans="1:51" x14ac:dyDescent="0.35">
      <c r="A330" s="163"/>
      <c r="B330" s="160">
        <f t="shared" si="118"/>
        <v>-4</v>
      </c>
      <c r="C330" s="64">
        <v>9.5</v>
      </c>
      <c r="D330" s="64">
        <v>9.5</v>
      </c>
      <c r="E330" s="64">
        <v>9.5</v>
      </c>
      <c r="F330" s="64">
        <v>9.5</v>
      </c>
      <c r="G330" s="64">
        <v>9.5</v>
      </c>
      <c r="H330" s="95">
        <v>9.4</v>
      </c>
      <c r="J330" s="165"/>
      <c r="K330" s="160">
        <f t="shared" si="128"/>
        <v>-4</v>
      </c>
      <c r="L330" s="65">
        <v>6.0736462359754793</v>
      </c>
      <c r="M330" s="65">
        <v>5.1013403220681122</v>
      </c>
      <c r="N330" s="65">
        <v>4.1302118669310737</v>
      </c>
      <c r="O330" s="65">
        <v>3.1599815988636202</v>
      </c>
      <c r="P330" s="65">
        <v>2.1897513307961338</v>
      </c>
      <c r="Q330" s="65">
        <v>1.2314547188527509</v>
      </c>
      <c r="S330" s="84" t="str">
        <f t="shared" si="129"/>
        <v>-4kr./kg slg.</v>
      </c>
      <c r="T330" s="65">
        <f t="shared" si="130"/>
        <v>6.0736462359754793</v>
      </c>
      <c r="U330" s="65">
        <f t="shared" si="119"/>
        <v>5.1013403220681122</v>
      </c>
      <c r="V330" s="65">
        <f t="shared" si="120"/>
        <v>4.1302118669310737</v>
      </c>
      <c r="W330" s="65">
        <f t="shared" si="121"/>
        <v>3.1485526446210428</v>
      </c>
      <c r="X330" s="65">
        <f t="shared" si="122"/>
        <v>2.1897513307961338</v>
      </c>
      <c r="Y330" s="65">
        <f t="shared" si="123"/>
        <v>1.3791080661827033</v>
      </c>
      <c r="AA330" s="167">
        <f t="shared" si="131"/>
        <v>9.5</v>
      </c>
      <c r="AB330" s="167">
        <f t="shared" si="124"/>
        <v>9.5</v>
      </c>
      <c r="AC330" s="167">
        <f t="shared" si="125"/>
        <v>9.5</v>
      </c>
      <c r="AD330" s="167">
        <f t="shared" si="126"/>
        <v>9.5</v>
      </c>
      <c r="AE330" s="167">
        <f t="shared" si="127"/>
        <v>9.5</v>
      </c>
      <c r="AF330" s="167">
        <f t="shared" si="132"/>
        <v>8.4</v>
      </c>
      <c r="AY330" s="75"/>
    </row>
    <row r="331" spans="1:51" x14ac:dyDescent="0.35">
      <c r="A331" s="163"/>
      <c r="B331" s="160">
        <f t="shared" si="118"/>
        <v>-6</v>
      </c>
      <c r="C331" s="64">
        <v>7.5</v>
      </c>
      <c r="D331" s="64">
        <v>7.4</v>
      </c>
      <c r="E331" s="64">
        <v>7.4</v>
      </c>
      <c r="F331" s="64">
        <v>7.4</v>
      </c>
      <c r="G331" s="64">
        <v>7.3</v>
      </c>
      <c r="H331" s="95">
        <v>7.1</v>
      </c>
      <c r="J331" s="165"/>
      <c r="K331" s="160">
        <f t="shared" si="128"/>
        <v>-6</v>
      </c>
      <c r="L331" s="65">
        <v>5.2626267192774225</v>
      </c>
      <c r="M331" s="65">
        <v>4.4552301287907152</v>
      </c>
      <c r="N331" s="65">
        <v>3.6528023549501762</v>
      </c>
      <c r="O331" s="65">
        <v>2.856905305475856</v>
      </c>
      <c r="P331" s="65">
        <v>2.0848599696848127</v>
      </c>
      <c r="Q331" s="65">
        <v>1.3393288959382574</v>
      </c>
      <c r="S331" s="84" t="str">
        <f t="shared" si="129"/>
        <v>-6kr./kg slg.</v>
      </c>
      <c r="T331" s="65">
        <f t="shared" si="130"/>
        <v>5.2626267192774225</v>
      </c>
      <c r="U331" s="65">
        <f t="shared" si="119"/>
        <v>4.4552301287907152</v>
      </c>
      <c r="V331" s="65">
        <f t="shared" si="120"/>
        <v>3.6528023549501762</v>
      </c>
      <c r="W331" s="65">
        <f t="shared" si="121"/>
        <v>2.856905305475856</v>
      </c>
      <c r="X331" s="65">
        <f t="shared" si="122"/>
        <v>2.1212206248626164</v>
      </c>
      <c r="Y331" s="65">
        <f t="shared" si="123"/>
        <v>1.4378606719123852</v>
      </c>
      <c r="AA331" s="167">
        <f t="shared" si="131"/>
        <v>7.5</v>
      </c>
      <c r="AB331" s="167">
        <f t="shared" si="124"/>
        <v>7.4</v>
      </c>
      <c r="AC331" s="167">
        <f t="shared" si="125"/>
        <v>7.4</v>
      </c>
      <c r="AD331" s="167">
        <f t="shared" si="126"/>
        <v>7.4</v>
      </c>
      <c r="AE331" s="167">
        <f t="shared" si="127"/>
        <v>7.1</v>
      </c>
      <c r="AF331" s="167">
        <f>IF(H331&lt;H310,H331,H310)</f>
        <v>6.6</v>
      </c>
      <c r="AY331" s="75"/>
    </row>
    <row r="332" spans="1:51" ht="21.75" thickBot="1" x14ac:dyDescent="0.4">
      <c r="A332" s="135"/>
      <c r="B332" s="82"/>
      <c r="C332" s="82"/>
      <c r="D332" s="82"/>
      <c r="E332" s="82"/>
      <c r="F332" s="82"/>
      <c r="G332" s="82"/>
      <c r="H332" s="173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136"/>
      <c r="V332" s="156"/>
      <c r="W332" s="136"/>
      <c r="X332" s="136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3"/>
    </row>
  </sheetData>
  <pageMargins left="0.7" right="0.7" top="0.75" bottom="0.75" header="0.3" footer="0.3"/>
  <pageSetup paperSize="9" scale="44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CFD1D-CEC6-4075-9314-FF282F8D2297}">
  <dimension ref="A1:AG129"/>
  <sheetViews>
    <sheetView workbookViewId="0"/>
  </sheetViews>
  <sheetFormatPr defaultRowHeight="15" x14ac:dyDescent="0.25"/>
  <cols>
    <col min="2" max="2" width="53.5703125" customWidth="1"/>
    <col min="3" max="3" width="14.140625" customWidth="1"/>
    <col min="4" max="4" width="39.28515625" customWidth="1"/>
    <col min="5" max="5" width="35.7109375" customWidth="1"/>
    <col min="6" max="6" width="39.5703125" customWidth="1"/>
    <col min="7" max="7" width="36.5703125" customWidth="1"/>
    <col min="8" max="8" width="22.140625" customWidth="1"/>
    <col min="9" max="9" width="39.5703125" customWidth="1"/>
    <col min="10" max="10" width="31.7109375" customWidth="1"/>
    <col min="11" max="11" width="22.28515625" customWidth="1"/>
    <col min="12" max="12" width="29.140625" customWidth="1"/>
    <col min="13" max="13" width="37.28515625" customWidth="1"/>
    <col min="20" max="20" width="12.7109375" bestFit="1" customWidth="1"/>
    <col min="21" max="21" width="9.140625" style="3"/>
    <col min="22" max="22" width="12.85546875" style="2" customWidth="1"/>
    <col min="23" max="24" width="9.140625" style="3"/>
    <col min="27" max="27" width="13.5703125" customWidth="1"/>
    <col min="31" max="31" width="13.42578125" customWidth="1"/>
    <col min="32" max="32" width="13.5703125" customWidth="1"/>
    <col min="33" max="33" width="13.42578125" customWidth="1"/>
    <col min="34" max="34" width="15.140625" customWidth="1"/>
  </cols>
  <sheetData>
    <row r="1" spans="1:33" x14ac:dyDescent="0.25">
      <c r="F1" s="16"/>
      <c r="T1" s="24"/>
      <c r="V1" s="24"/>
      <c r="X1" s="24"/>
      <c r="AE1" s="3"/>
      <c r="AF1" s="3"/>
      <c r="AG1" s="3"/>
    </row>
    <row r="2" spans="1:33" x14ac:dyDescent="0.25">
      <c r="J2" s="2"/>
      <c r="T2" s="24"/>
      <c r="V2" s="24"/>
      <c r="X2" s="24"/>
      <c r="AE2" s="3"/>
      <c r="AF2" s="3"/>
      <c r="AG2" s="51" t="s">
        <v>96</v>
      </c>
    </row>
    <row r="3" spans="1:33" ht="15.75" thickBot="1" x14ac:dyDescent="0.3">
      <c r="T3" s="24"/>
      <c r="V3" s="24"/>
      <c r="X3" s="24"/>
      <c r="AE3" s="3"/>
      <c r="AF3" s="3"/>
      <c r="AG3" s="3"/>
    </row>
    <row r="4" spans="1:33" ht="15.75" thickBot="1" x14ac:dyDescent="0.3">
      <c r="A4" s="37"/>
      <c r="B4" s="40" t="s">
        <v>65</v>
      </c>
      <c r="C4" s="34"/>
      <c r="D4" s="34"/>
      <c r="E4" s="34"/>
      <c r="F4" s="38"/>
      <c r="H4" s="47" t="s">
        <v>20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41"/>
      <c r="U4" s="42"/>
      <c r="V4" s="41"/>
      <c r="W4" s="42"/>
      <c r="X4" s="41"/>
      <c r="Y4" s="34"/>
      <c r="Z4" s="34"/>
      <c r="AA4" s="34"/>
      <c r="AB4" s="34"/>
      <c r="AC4" s="34"/>
      <c r="AD4" s="34"/>
      <c r="AE4" s="43"/>
      <c r="AF4" s="3"/>
      <c r="AG4" s="3"/>
    </row>
    <row r="5" spans="1:33" x14ac:dyDescent="0.25">
      <c r="A5" s="26"/>
      <c r="B5" s="48"/>
      <c r="F5" s="27"/>
      <c r="H5" s="49"/>
      <c r="I5" s="37" t="s">
        <v>150</v>
      </c>
      <c r="J5" s="34" t="s">
        <v>151</v>
      </c>
      <c r="K5" s="34" t="s">
        <v>152</v>
      </c>
      <c r="L5" s="38" t="s">
        <v>153</v>
      </c>
      <c r="T5" s="24"/>
      <c r="V5" s="24"/>
      <c r="X5" s="24"/>
      <c r="AE5" s="44"/>
      <c r="AF5" s="3"/>
      <c r="AG5" s="3"/>
    </row>
    <row r="6" spans="1:33" x14ac:dyDescent="0.25">
      <c r="A6" s="26"/>
      <c r="B6" s="48"/>
      <c r="F6" s="27"/>
      <c r="H6" s="49"/>
      <c r="I6" s="26" t="s">
        <v>154</v>
      </c>
      <c r="J6" s="1">
        <f>VLOOKUP(MAX('Vækstfunktion, hol'!AN50:AN337),'Vækstfunktion, hol'!AN:AS,6,FALSE)</f>
        <v>11.1</v>
      </c>
      <c r="K6" s="1">
        <f>VLOOKUP(MAX('Vækstfunktion, kry tyr'!AN50:AN337),'Vækstfunktion, kry tyr'!AN:AS,6,FALSE)</f>
        <v>10.9</v>
      </c>
      <c r="L6" s="53">
        <f>VLOOKUP(MAX('Vækstfunktion, kry kvie'!AN50:AN337),'Vækstfunktion, kry kvie'!AN:AS,6,FALSE)</f>
        <v>11</v>
      </c>
      <c r="T6" s="24"/>
      <c r="V6" s="24"/>
      <c r="X6" s="24"/>
      <c r="AE6" s="44"/>
      <c r="AF6" s="3"/>
      <c r="AG6" s="3"/>
    </row>
    <row r="7" spans="1:33" x14ac:dyDescent="0.25">
      <c r="A7" s="26"/>
      <c r="B7" s="48"/>
      <c r="F7" s="27"/>
      <c r="H7" s="49"/>
      <c r="I7" s="26" t="s">
        <v>155</v>
      </c>
      <c r="J7" s="17">
        <f>VLOOKUP(MAX('Vækstfunktion, hol'!AO50:AO337),'Vækstfunktion, hol'!AO:AS,5,FALSE)</f>
        <v>9.9</v>
      </c>
      <c r="K7" s="1">
        <f>VLOOKUP(MAX('Vækstfunktion, kry tyr'!AO50:AO337),'Vækstfunktion, kry tyr'!AO:AS,5,FALSE)</f>
        <v>9.5</v>
      </c>
      <c r="L7" s="54">
        <f>VLOOKUP(MAX('Vækstfunktion, kry kvie'!AO50:AO337),'Vækstfunktion, kry kvie'!AO:AS,5,FALSE)</f>
        <v>9.5</v>
      </c>
      <c r="T7" s="24"/>
      <c r="V7" s="24"/>
      <c r="X7" s="24"/>
      <c r="AE7" s="44"/>
      <c r="AF7" s="3"/>
      <c r="AG7" s="3"/>
    </row>
    <row r="8" spans="1:33" ht="15.75" thickBot="1" x14ac:dyDescent="0.3">
      <c r="A8" s="26"/>
      <c r="F8" s="27"/>
      <c r="H8" s="26"/>
      <c r="I8" s="35" t="s">
        <v>156</v>
      </c>
      <c r="J8" s="36">
        <f>VLOOKUP(MAX('Vækstfunktion, hol'!AP50:AP337),'Vækstfunktion, hol'!AP:AS,4,FALSE)</f>
        <v>9.5</v>
      </c>
      <c r="K8" s="36">
        <f>VLOOKUP(MAX('Vækstfunktion, kry tyr'!AP50:AP337),'Vækstfunktion, kry tyr'!AP:AS,4,FALSE)</f>
        <v>9.5</v>
      </c>
      <c r="L8" s="39">
        <f>VLOOKUP(MAX('Vækstfunktion, kry kvie'!AP50:AP337),'Vækstfunktion, kry kvie'!AP:AS,4,FALSE)</f>
        <v>9.5</v>
      </c>
      <c r="T8" s="24"/>
      <c r="V8" s="24"/>
      <c r="X8" s="24"/>
      <c r="AE8" s="44"/>
      <c r="AF8" s="3"/>
      <c r="AG8" s="3"/>
    </row>
    <row r="9" spans="1:33" x14ac:dyDescent="0.25">
      <c r="A9" s="26"/>
      <c r="F9" s="27"/>
      <c r="H9" s="26"/>
      <c r="T9" s="24"/>
      <c r="V9" s="24"/>
      <c r="X9" s="24"/>
      <c r="AE9" s="44"/>
      <c r="AF9" s="3"/>
      <c r="AG9" s="3"/>
    </row>
    <row r="10" spans="1:33" x14ac:dyDescent="0.25">
      <c r="A10" s="26"/>
      <c r="F10" s="27"/>
      <c r="H10" s="26"/>
      <c r="T10" s="25"/>
      <c r="AE10" s="44"/>
      <c r="AF10" s="3"/>
      <c r="AG10" s="3"/>
    </row>
    <row r="11" spans="1:33" x14ac:dyDescent="0.25">
      <c r="A11" s="26"/>
      <c r="F11" s="27"/>
      <c r="H11" s="26"/>
      <c r="T11" s="25"/>
      <c r="AE11" s="44"/>
      <c r="AF11" s="3"/>
      <c r="AG11" s="3"/>
    </row>
    <row r="12" spans="1:33" x14ac:dyDescent="0.25">
      <c r="A12" s="26"/>
      <c r="F12" s="27"/>
      <c r="H12" s="26"/>
      <c r="R12" s="1"/>
      <c r="T12" s="5"/>
      <c r="AE12" s="44"/>
      <c r="AF12" s="3"/>
      <c r="AG12" s="3"/>
    </row>
    <row r="13" spans="1:33" x14ac:dyDescent="0.25">
      <c r="A13" s="26"/>
      <c r="F13" s="27"/>
      <c r="H13" s="26"/>
      <c r="T13" s="25"/>
      <c r="AE13" s="44"/>
      <c r="AF13" s="3"/>
      <c r="AG13" s="3"/>
    </row>
    <row r="14" spans="1:33" x14ac:dyDescent="0.25">
      <c r="A14" s="26"/>
      <c r="F14" s="27"/>
      <c r="H14" s="26"/>
      <c r="AE14" s="44"/>
      <c r="AF14" s="3"/>
      <c r="AG14" s="3"/>
    </row>
    <row r="15" spans="1:33" x14ac:dyDescent="0.25">
      <c r="A15" s="26"/>
      <c r="F15" s="27"/>
      <c r="H15" s="26"/>
      <c r="AE15" s="44"/>
      <c r="AF15" s="3"/>
      <c r="AG15" s="3"/>
    </row>
    <row r="16" spans="1:33" x14ac:dyDescent="0.25">
      <c r="A16" s="26"/>
      <c r="F16" s="27"/>
      <c r="H16" s="26"/>
      <c r="AE16" s="44"/>
      <c r="AF16" s="3"/>
      <c r="AG16" s="3"/>
    </row>
    <row r="17" spans="1:33" x14ac:dyDescent="0.25">
      <c r="A17" s="26"/>
      <c r="F17" s="27"/>
      <c r="H17" s="26"/>
      <c r="AE17" s="44"/>
      <c r="AF17" s="3"/>
      <c r="AG17" s="3"/>
    </row>
    <row r="18" spans="1:33" x14ac:dyDescent="0.25">
      <c r="A18" s="26"/>
      <c r="F18" s="27"/>
      <c r="H18" s="26"/>
      <c r="AE18" s="44"/>
      <c r="AF18" s="3"/>
      <c r="AG18" s="3"/>
    </row>
    <row r="19" spans="1:33" x14ac:dyDescent="0.25">
      <c r="A19" s="26"/>
      <c r="F19" s="27"/>
      <c r="H19" s="26"/>
      <c r="AE19" s="44"/>
      <c r="AF19" s="3"/>
      <c r="AG19" s="3"/>
    </row>
    <row r="20" spans="1:33" x14ac:dyDescent="0.25">
      <c r="A20" s="26"/>
      <c r="F20" s="27"/>
      <c r="H20" s="26"/>
      <c r="AE20" s="44"/>
      <c r="AF20" s="3"/>
      <c r="AG20" s="3"/>
    </row>
    <row r="21" spans="1:33" x14ac:dyDescent="0.25">
      <c r="A21" s="26"/>
      <c r="F21" s="27"/>
      <c r="H21" s="26"/>
      <c r="AE21" s="44"/>
      <c r="AF21" s="3"/>
      <c r="AG21" s="3"/>
    </row>
    <row r="22" spans="1:33" x14ac:dyDescent="0.25">
      <c r="A22" s="26"/>
      <c r="F22" s="27"/>
      <c r="H22" s="26"/>
      <c r="AE22" s="44"/>
      <c r="AF22" s="3"/>
      <c r="AG22" s="3"/>
    </row>
    <row r="23" spans="1:33" x14ac:dyDescent="0.25">
      <c r="A23" s="26"/>
      <c r="F23" s="27"/>
      <c r="H23" s="26"/>
      <c r="AE23" s="44"/>
      <c r="AF23" s="3"/>
      <c r="AG23" s="3"/>
    </row>
    <row r="24" spans="1:33" x14ac:dyDescent="0.25">
      <c r="A24" s="26"/>
      <c r="F24" s="27"/>
      <c r="H24" s="26"/>
      <c r="AE24" s="44"/>
      <c r="AF24" s="3"/>
      <c r="AG24" s="3"/>
    </row>
    <row r="25" spans="1:33" x14ac:dyDescent="0.25">
      <c r="A25" s="26"/>
      <c r="F25" s="27"/>
      <c r="H25" s="26"/>
      <c r="AE25" s="44"/>
      <c r="AF25" s="3"/>
      <c r="AG25" s="3"/>
    </row>
    <row r="26" spans="1:33" x14ac:dyDescent="0.25">
      <c r="A26" s="26"/>
      <c r="F26" s="27"/>
      <c r="H26" s="26"/>
      <c r="AE26" s="44"/>
      <c r="AF26" s="3"/>
      <c r="AG26" s="3"/>
    </row>
    <row r="27" spans="1:33" x14ac:dyDescent="0.25">
      <c r="A27" s="26"/>
      <c r="F27" s="27"/>
      <c r="H27" s="26"/>
      <c r="AE27" s="44"/>
      <c r="AF27" s="3"/>
      <c r="AG27" s="3"/>
    </row>
    <row r="28" spans="1:33" x14ac:dyDescent="0.25">
      <c r="A28" s="26"/>
      <c r="F28" s="27"/>
      <c r="H28" s="26"/>
      <c r="AE28" s="44"/>
      <c r="AF28" s="3"/>
      <c r="AG28" s="3"/>
    </row>
    <row r="29" spans="1:33" x14ac:dyDescent="0.25">
      <c r="A29" s="26"/>
      <c r="F29" s="27"/>
      <c r="H29" s="26"/>
      <c r="AE29" s="44"/>
      <c r="AF29" s="3"/>
      <c r="AG29" s="3"/>
    </row>
    <row r="30" spans="1:33" x14ac:dyDescent="0.25">
      <c r="A30" s="26"/>
      <c r="F30" s="27"/>
      <c r="H30" s="26"/>
      <c r="AE30" s="44"/>
      <c r="AF30" s="3"/>
      <c r="AG30" s="3"/>
    </row>
    <row r="31" spans="1:33" x14ac:dyDescent="0.25">
      <c r="A31" s="26"/>
      <c r="F31" s="27"/>
      <c r="H31" s="26"/>
      <c r="AE31" s="44"/>
      <c r="AF31" s="3"/>
      <c r="AG31" s="3"/>
    </row>
    <row r="32" spans="1:33" x14ac:dyDescent="0.25">
      <c r="A32" s="26"/>
      <c r="F32" s="27"/>
      <c r="H32" s="26"/>
      <c r="AE32" s="44"/>
      <c r="AF32" s="3"/>
      <c r="AG32" s="3"/>
    </row>
    <row r="33" spans="1:33" x14ac:dyDescent="0.25">
      <c r="A33" s="26"/>
      <c r="F33" s="27"/>
      <c r="H33" s="26"/>
      <c r="AE33" s="44"/>
      <c r="AF33" s="3"/>
      <c r="AG33" s="3"/>
    </row>
    <row r="34" spans="1:33" x14ac:dyDescent="0.25">
      <c r="A34" s="26"/>
      <c r="F34" s="27"/>
      <c r="H34" s="26"/>
      <c r="AE34" s="44"/>
      <c r="AF34" s="3"/>
      <c r="AG34" s="3"/>
    </row>
    <row r="35" spans="1:33" x14ac:dyDescent="0.25">
      <c r="A35" s="26"/>
      <c r="F35" s="27"/>
      <c r="H35" s="26"/>
      <c r="AE35" s="44"/>
      <c r="AF35" s="3"/>
      <c r="AG35" s="51" t="s">
        <v>96</v>
      </c>
    </row>
    <row r="36" spans="1:33" x14ac:dyDescent="0.25">
      <c r="A36" s="26"/>
      <c r="F36" s="27"/>
      <c r="H36" s="26"/>
      <c r="AE36" s="44"/>
      <c r="AF36" s="3"/>
      <c r="AG36" s="3"/>
    </row>
    <row r="37" spans="1:33" x14ac:dyDescent="0.25">
      <c r="A37" s="26"/>
      <c r="F37" s="27"/>
      <c r="H37" s="26"/>
      <c r="AE37" s="44"/>
      <c r="AF37" s="3"/>
      <c r="AG37" s="3"/>
    </row>
    <row r="38" spans="1:33" x14ac:dyDescent="0.25">
      <c r="A38" s="26"/>
      <c r="F38" s="27"/>
      <c r="H38" s="26"/>
      <c r="AE38" s="44"/>
      <c r="AF38" s="3"/>
      <c r="AG38" s="3"/>
    </row>
    <row r="39" spans="1:33" x14ac:dyDescent="0.25">
      <c r="A39" s="26"/>
      <c r="F39" s="27"/>
      <c r="H39" s="26"/>
      <c r="AE39" s="27"/>
    </row>
    <row r="40" spans="1:33" x14ac:dyDescent="0.25">
      <c r="A40" s="26"/>
      <c r="F40" s="27"/>
      <c r="H40" s="26"/>
      <c r="AE40" s="27"/>
    </row>
    <row r="41" spans="1:33" x14ac:dyDescent="0.25">
      <c r="A41" s="26"/>
      <c r="F41" s="27"/>
      <c r="H41" s="26"/>
      <c r="AE41" s="27"/>
    </row>
    <row r="42" spans="1:33" x14ac:dyDescent="0.25">
      <c r="A42" s="26"/>
      <c r="F42" s="27"/>
      <c r="H42" s="26"/>
      <c r="AE42" s="27"/>
    </row>
    <row r="43" spans="1:33" x14ac:dyDescent="0.25">
      <c r="A43" s="26"/>
      <c r="F43" s="27"/>
      <c r="H43" s="26"/>
      <c r="AE43" s="27"/>
    </row>
    <row r="44" spans="1:33" x14ac:dyDescent="0.25">
      <c r="A44" s="26"/>
      <c r="F44" s="27"/>
      <c r="H44" s="26"/>
      <c r="AE44" s="27"/>
    </row>
    <row r="45" spans="1:33" x14ac:dyDescent="0.25">
      <c r="A45" s="26"/>
      <c r="F45" s="27"/>
      <c r="H45" s="26"/>
      <c r="AE45" s="27"/>
    </row>
    <row r="46" spans="1:33" x14ac:dyDescent="0.25">
      <c r="A46" s="26"/>
      <c r="F46" s="27"/>
      <c r="H46" s="26"/>
      <c r="AE46" s="27"/>
    </row>
    <row r="47" spans="1:33" x14ac:dyDescent="0.25">
      <c r="A47" s="26"/>
      <c r="F47" s="27"/>
      <c r="H47" s="26"/>
      <c r="AE47" s="27"/>
    </row>
    <row r="48" spans="1:33" x14ac:dyDescent="0.25">
      <c r="A48" s="26"/>
      <c r="F48" s="27"/>
      <c r="H48" s="26"/>
      <c r="AE48" s="27"/>
    </row>
    <row r="49" spans="1:31" x14ac:dyDescent="0.25">
      <c r="A49" s="26"/>
      <c r="F49" s="27"/>
      <c r="H49" s="26"/>
      <c r="AE49" s="27"/>
    </row>
    <row r="50" spans="1:31" x14ac:dyDescent="0.25">
      <c r="A50" s="26"/>
      <c r="F50" s="27"/>
      <c r="H50" s="26"/>
      <c r="AE50" s="27"/>
    </row>
    <row r="51" spans="1:31" x14ac:dyDescent="0.25">
      <c r="A51" s="26"/>
      <c r="F51" s="27"/>
      <c r="H51" s="26"/>
      <c r="AE51" s="27"/>
    </row>
    <row r="52" spans="1:31" x14ac:dyDescent="0.25">
      <c r="A52" s="26"/>
      <c r="F52" s="27"/>
      <c r="H52" s="26"/>
      <c r="AE52" s="27"/>
    </row>
    <row r="53" spans="1:31" x14ac:dyDescent="0.25">
      <c r="A53" s="26"/>
      <c r="F53" s="27"/>
      <c r="H53" s="26"/>
      <c r="AE53" s="27"/>
    </row>
    <row r="54" spans="1:31" x14ac:dyDescent="0.25">
      <c r="A54" s="26"/>
      <c r="F54" s="27"/>
      <c r="H54" s="26"/>
      <c r="AE54" s="27"/>
    </row>
    <row r="55" spans="1:31" x14ac:dyDescent="0.25">
      <c r="A55" s="26"/>
      <c r="F55" s="27"/>
      <c r="H55" s="26"/>
      <c r="AE55" s="27"/>
    </row>
    <row r="56" spans="1:31" x14ac:dyDescent="0.25">
      <c r="A56" s="26"/>
      <c r="F56" s="27"/>
      <c r="H56" s="26"/>
      <c r="AE56" s="27"/>
    </row>
    <row r="57" spans="1:31" x14ac:dyDescent="0.25">
      <c r="A57" s="26"/>
      <c r="F57" s="27"/>
      <c r="H57" s="26"/>
      <c r="AE57" s="27"/>
    </row>
    <row r="58" spans="1:31" x14ac:dyDescent="0.25">
      <c r="A58" s="26"/>
      <c r="F58" s="27"/>
      <c r="H58" s="26"/>
      <c r="AE58" s="27"/>
    </row>
    <row r="59" spans="1:31" x14ac:dyDescent="0.25">
      <c r="A59" s="26"/>
      <c r="F59" s="27"/>
      <c r="H59" s="26"/>
      <c r="AE59" s="27"/>
    </row>
    <row r="60" spans="1:31" x14ac:dyDescent="0.25">
      <c r="A60" s="26"/>
      <c r="F60" s="27"/>
      <c r="H60" s="26"/>
      <c r="AE60" s="27"/>
    </row>
    <row r="61" spans="1:31" x14ac:dyDescent="0.25">
      <c r="A61" s="26"/>
      <c r="F61" s="27"/>
      <c r="H61" s="26"/>
      <c r="AE61" s="27"/>
    </row>
    <row r="62" spans="1:31" x14ac:dyDescent="0.25">
      <c r="A62" s="26"/>
      <c r="F62" s="27"/>
      <c r="H62" s="26"/>
      <c r="AE62" s="27"/>
    </row>
    <row r="63" spans="1:31" x14ac:dyDescent="0.25">
      <c r="A63" s="26"/>
      <c r="F63" s="27"/>
      <c r="H63" s="26"/>
      <c r="AE63" s="27"/>
    </row>
    <row r="64" spans="1:31" x14ac:dyDescent="0.25">
      <c r="A64" s="26"/>
      <c r="F64" s="27"/>
      <c r="H64" s="26"/>
      <c r="AE64" s="27"/>
    </row>
    <row r="65" spans="1:33" x14ac:dyDescent="0.25">
      <c r="A65" s="26"/>
      <c r="F65" s="27"/>
      <c r="H65" s="26"/>
      <c r="AE65" s="27"/>
      <c r="AG65" s="51" t="s">
        <v>96</v>
      </c>
    </row>
    <row r="66" spans="1:33" x14ac:dyDescent="0.25">
      <c r="A66" s="26"/>
      <c r="F66" s="27"/>
      <c r="H66" s="26"/>
      <c r="AE66" s="27"/>
    </row>
    <row r="67" spans="1:33" x14ac:dyDescent="0.25">
      <c r="A67" s="26"/>
      <c r="F67" s="27"/>
      <c r="H67" s="26"/>
      <c r="AE67" s="27"/>
    </row>
    <row r="68" spans="1:33" x14ac:dyDescent="0.25">
      <c r="A68" s="26"/>
      <c r="F68" s="27"/>
      <c r="H68" s="26"/>
      <c r="AE68" s="27"/>
    </row>
    <row r="69" spans="1:33" x14ac:dyDescent="0.25">
      <c r="A69" s="26"/>
      <c r="F69" s="27"/>
      <c r="H69" s="26"/>
      <c r="AE69" s="27"/>
    </row>
    <row r="70" spans="1:33" x14ac:dyDescent="0.25">
      <c r="A70" s="26"/>
      <c r="F70" s="27"/>
      <c r="H70" s="26"/>
      <c r="AE70" s="27"/>
    </row>
    <row r="71" spans="1:33" ht="15.75" thickBot="1" x14ac:dyDescent="0.3">
      <c r="A71" s="26"/>
      <c r="F71" s="27"/>
      <c r="H71" s="35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45"/>
      <c r="V71" s="46"/>
      <c r="W71" s="45"/>
      <c r="X71" s="45"/>
      <c r="Y71" s="36"/>
      <c r="Z71" s="36"/>
      <c r="AA71" s="36"/>
      <c r="AB71" s="36"/>
      <c r="AC71" s="36"/>
      <c r="AD71" s="36"/>
      <c r="AE71" s="39"/>
    </row>
    <row r="72" spans="1:33" x14ac:dyDescent="0.25">
      <c r="A72" s="26"/>
      <c r="F72" s="27"/>
    </row>
    <row r="73" spans="1:33" x14ac:dyDescent="0.25">
      <c r="A73" s="26"/>
      <c r="F73" s="27"/>
    </row>
    <row r="74" spans="1:33" x14ac:dyDescent="0.25">
      <c r="A74" s="26"/>
      <c r="F74" s="27"/>
    </row>
    <row r="75" spans="1:33" x14ac:dyDescent="0.25">
      <c r="A75" s="26"/>
      <c r="F75" s="27"/>
    </row>
    <row r="76" spans="1:33" x14ac:dyDescent="0.25">
      <c r="A76" s="26"/>
      <c r="F76" s="27"/>
    </row>
    <row r="77" spans="1:33" x14ac:dyDescent="0.25">
      <c r="A77" s="26"/>
      <c r="F77" s="27"/>
    </row>
    <row r="78" spans="1:33" x14ac:dyDescent="0.25">
      <c r="A78" s="26"/>
      <c r="F78" s="27"/>
    </row>
    <row r="79" spans="1:33" x14ac:dyDescent="0.25">
      <c r="A79" s="26"/>
      <c r="F79" s="27"/>
    </row>
    <row r="80" spans="1:33" x14ac:dyDescent="0.25">
      <c r="A80" s="26"/>
      <c r="F80" s="27"/>
    </row>
    <row r="81" spans="1:6" x14ac:dyDescent="0.25">
      <c r="A81" s="26"/>
      <c r="F81" s="27"/>
    </row>
    <row r="82" spans="1:6" x14ac:dyDescent="0.25">
      <c r="A82" s="26"/>
      <c r="F82" s="27"/>
    </row>
    <row r="83" spans="1:6" x14ac:dyDescent="0.25">
      <c r="A83" s="26"/>
      <c r="F83" s="27"/>
    </row>
    <row r="84" spans="1:6" x14ac:dyDescent="0.25">
      <c r="A84" s="26"/>
      <c r="F84" s="27"/>
    </row>
    <row r="85" spans="1:6" x14ac:dyDescent="0.25">
      <c r="A85" s="26"/>
      <c r="F85" s="27"/>
    </row>
    <row r="86" spans="1:6" x14ac:dyDescent="0.25">
      <c r="A86" s="26"/>
      <c r="F86" s="27"/>
    </row>
    <row r="87" spans="1:6" x14ac:dyDescent="0.25">
      <c r="A87" s="26"/>
      <c r="F87" s="27"/>
    </row>
    <row r="88" spans="1:6" x14ac:dyDescent="0.25">
      <c r="A88" s="26"/>
      <c r="F88" s="27"/>
    </row>
    <row r="89" spans="1:6" x14ac:dyDescent="0.25">
      <c r="A89" s="26"/>
      <c r="F89" s="27"/>
    </row>
    <row r="90" spans="1:6" x14ac:dyDescent="0.25">
      <c r="A90" s="26"/>
      <c r="F90" s="27"/>
    </row>
    <row r="91" spans="1:6" x14ac:dyDescent="0.25">
      <c r="A91" s="26"/>
      <c r="F91" s="27"/>
    </row>
    <row r="92" spans="1:6" x14ac:dyDescent="0.25">
      <c r="A92" s="26"/>
      <c r="F92" s="27"/>
    </row>
    <row r="93" spans="1:6" x14ac:dyDescent="0.25">
      <c r="A93" s="26"/>
      <c r="F93" s="27"/>
    </row>
    <row r="94" spans="1:6" x14ac:dyDescent="0.25">
      <c r="A94" s="26"/>
      <c r="F94" s="27"/>
    </row>
    <row r="95" spans="1:6" x14ac:dyDescent="0.25">
      <c r="A95" s="26"/>
      <c r="F95" s="27"/>
    </row>
    <row r="96" spans="1:6" x14ac:dyDescent="0.25">
      <c r="A96" s="26"/>
      <c r="F96" s="27"/>
    </row>
    <row r="97" spans="1:6" x14ac:dyDescent="0.25">
      <c r="A97" s="26"/>
      <c r="F97" s="27"/>
    </row>
    <row r="98" spans="1:6" x14ac:dyDescent="0.25">
      <c r="A98" s="26"/>
      <c r="F98" s="27"/>
    </row>
    <row r="99" spans="1:6" x14ac:dyDescent="0.25">
      <c r="A99" s="26"/>
      <c r="F99" s="27"/>
    </row>
    <row r="100" spans="1:6" x14ac:dyDescent="0.25">
      <c r="A100" s="26"/>
      <c r="F100" s="27"/>
    </row>
    <row r="101" spans="1:6" x14ac:dyDescent="0.25">
      <c r="A101" s="26"/>
      <c r="F101" s="27"/>
    </row>
    <row r="102" spans="1:6" x14ac:dyDescent="0.25">
      <c r="A102" s="26"/>
      <c r="F102" s="27"/>
    </row>
    <row r="103" spans="1:6" x14ac:dyDescent="0.25">
      <c r="A103" s="26"/>
      <c r="F103" s="27"/>
    </row>
    <row r="104" spans="1:6" x14ac:dyDescent="0.25">
      <c r="A104" s="26"/>
      <c r="F104" s="27"/>
    </row>
    <row r="105" spans="1:6" x14ac:dyDescent="0.25">
      <c r="A105" s="26"/>
      <c r="F105" s="27"/>
    </row>
    <row r="106" spans="1:6" x14ac:dyDescent="0.25">
      <c r="A106" s="26"/>
      <c r="F106" s="27"/>
    </row>
    <row r="107" spans="1:6" x14ac:dyDescent="0.25">
      <c r="A107" s="26"/>
      <c r="F107" s="27"/>
    </row>
    <row r="108" spans="1:6" x14ac:dyDescent="0.25">
      <c r="A108" s="26"/>
      <c r="F108" s="27"/>
    </row>
    <row r="109" spans="1:6" x14ac:dyDescent="0.25">
      <c r="A109" s="26"/>
      <c r="F109" s="27"/>
    </row>
    <row r="110" spans="1:6" x14ac:dyDescent="0.25">
      <c r="A110" s="26"/>
      <c r="F110" s="27"/>
    </row>
    <row r="111" spans="1:6" x14ac:dyDescent="0.25">
      <c r="A111" s="26"/>
      <c r="F111" s="27"/>
    </row>
    <row r="112" spans="1:6" x14ac:dyDescent="0.25">
      <c r="A112" s="26"/>
      <c r="F112" s="27"/>
    </row>
    <row r="113" spans="1:6" x14ac:dyDescent="0.25">
      <c r="A113" s="26"/>
      <c r="F113" s="27"/>
    </row>
    <row r="114" spans="1:6" x14ac:dyDescent="0.25">
      <c r="A114" s="26"/>
      <c r="F114" s="27"/>
    </row>
    <row r="115" spans="1:6" x14ac:dyDescent="0.25">
      <c r="A115" s="26"/>
      <c r="F115" s="27"/>
    </row>
    <row r="116" spans="1:6" x14ac:dyDescent="0.25">
      <c r="A116" s="26"/>
      <c r="F116" s="27"/>
    </row>
    <row r="117" spans="1:6" x14ac:dyDescent="0.25">
      <c r="A117" s="26"/>
      <c r="F117" s="27"/>
    </row>
    <row r="118" spans="1:6" ht="15.75" thickBot="1" x14ac:dyDescent="0.3">
      <c r="A118" s="35"/>
      <c r="B118" s="36"/>
      <c r="C118" s="36"/>
      <c r="D118" s="36"/>
      <c r="E118" s="36"/>
      <c r="F118" s="39"/>
    </row>
    <row r="129" spans="2:2" x14ac:dyDescent="0.25">
      <c r="B129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G367"/>
  <sheetViews>
    <sheetView workbookViewId="0">
      <selection activeCell="C10" sqref="C10"/>
    </sheetView>
  </sheetViews>
  <sheetFormatPr defaultRowHeight="15" x14ac:dyDescent="0.25"/>
  <cols>
    <col min="1" max="1" width="21.28515625" customWidth="1"/>
    <col min="2" max="2" width="12.85546875" style="1" customWidth="1"/>
    <col min="3" max="3" width="24" style="1" customWidth="1"/>
    <col min="4" max="4" width="22" style="3" customWidth="1"/>
    <col min="5" max="5" width="18.28515625" customWidth="1"/>
    <col min="6" max="6" width="22" style="3" customWidth="1"/>
    <col min="7" max="7" width="16.28515625" style="1" customWidth="1"/>
    <col min="8" max="8" width="19.28515625" style="1" customWidth="1"/>
    <col min="9" max="9" width="21.140625" style="1" customWidth="1"/>
    <col min="10" max="10" width="19.28515625" style="1" customWidth="1"/>
    <col min="11" max="13" width="24.7109375" style="17" customWidth="1"/>
    <col min="14" max="14" width="22.7109375" style="17" customWidth="1"/>
    <col min="15" max="15" width="19.140625" style="19" customWidth="1"/>
    <col min="16" max="16" width="20.85546875" style="17" bestFit="1" customWidth="1"/>
    <col min="17" max="17" width="20.85546875" style="17" customWidth="1"/>
    <col min="18" max="19" width="35.28515625" style="17" customWidth="1"/>
    <col min="20" max="20" width="24.7109375" style="19" customWidth="1"/>
    <col min="21" max="21" width="12.28515625" style="2" customWidth="1"/>
    <col min="22" max="22" width="13.7109375" customWidth="1"/>
    <col min="23" max="23" width="14.42578125" customWidth="1"/>
    <col min="24" max="24" width="21.85546875" bestFit="1" customWidth="1"/>
    <col min="25" max="25" width="16.85546875" style="22" customWidth="1"/>
    <col min="26" max="26" width="21" style="19" customWidth="1"/>
    <col min="27" max="27" width="22.85546875" style="19" customWidth="1"/>
    <col min="28" max="28" width="15.28515625" style="19" customWidth="1"/>
    <col min="29" max="29" width="15.85546875" style="19" bestFit="1" customWidth="1"/>
    <col min="30" max="30" width="11.5703125" style="19" customWidth="1"/>
    <col min="31" max="31" width="9.140625" style="19"/>
    <col min="32" max="33" width="11.85546875" customWidth="1"/>
    <col min="34" max="34" width="16.7109375" style="1" customWidth="1"/>
    <col min="35" max="35" width="13.28515625" style="1" customWidth="1"/>
    <col min="36" max="36" width="21.85546875" style="3" customWidth="1"/>
    <col min="37" max="39" width="18.42578125" style="3" customWidth="1"/>
    <col min="40" max="40" width="13.140625" style="2" customWidth="1"/>
    <col min="41" max="41" width="24" style="2" bestFit="1" customWidth="1"/>
    <col min="42" max="42" width="24.28515625" style="2" customWidth="1"/>
    <col min="43" max="43" width="18.5703125" style="18" customWidth="1"/>
    <col min="44" max="44" width="15.7109375" style="18" customWidth="1"/>
    <col min="45" max="45" width="15.7109375" style="52" customWidth="1"/>
    <col min="46" max="47" width="15.7109375" style="50" customWidth="1"/>
    <col min="48" max="48" width="16" customWidth="1"/>
    <col min="49" max="49" width="20.28515625" style="61" customWidth="1"/>
    <col min="50" max="50" width="25.5703125" style="5" customWidth="1"/>
    <col min="51" max="51" width="24.42578125" style="3" customWidth="1"/>
    <col min="55" max="55" width="19.5703125" style="3" bestFit="1" customWidth="1"/>
    <col min="56" max="56" width="9.140625" style="5"/>
    <col min="57" max="58" width="9.140625" style="2"/>
    <col min="59" max="59" width="19.5703125" style="2" bestFit="1" customWidth="1"/>
  </cols>
  <sheetData>
    <row r="1" spans="1:59" x14ac:dyDescent="0.25">
      <c r="A1" t="s">
        <v>53</v>
      </c>
      <c r="B1" s="1" t="s">
        <v>21</v>
      </c>
      <c r="C1" s="1" t="s">
        <v>11</v>
      </c>
      <c r="D1" s="3" t="s">
        <v>12</v>
      </c>
      <c r="E1" s="1" t="s">
        <v>140</v>
      </c>
      <c r="F1" s="3" t="s">
        <v>141</v>
      </c>
      <c r="G1" s="1" t="s">
        <v>22</v>
      </c>
      <c r="H1" s="1" t="s">
        <v>97</v>
      </c>
      <c r="I1" s="1" t="s">
        <v>121</v>
      </c>
      <c r="J1" s="1" t="s">
        <v>98</v>
      </c>
      <c r="K1" s="17" t="s">
        <v>0</v>
      </c>
      <c r="L1" s="17" t="s">
        <v>99</v>
      </c>
      <c r="M1" s="17" t="s">
        <v>100</v>
      </c>
      <c r="N1" s="17" t="s">
        <v>101</v>
      </c>
      <c r="O1" s="19" t="s">
        <v>23</v>
      </c>
      <c r="P1" s="17" t="s">
        <v>102</v>
      </c>
      <c r="Q1" s="17" t="s">
        <v>103</v>
      </c>
      <c r="R1" s="17" t="s">
        <v>104</v>
      </c>
      <c r="S1" s="17" t="s">
        <v>105</v>
      </c>
      <c r="T1" s="19" t="s">
        <v>106</v>
      </c>
      <c r="U1" s="2" t="s">
        <v>4</v>
      </c>
      <c r="V1" s="17" t="s">
        <v>107</v>
      </c>
      <c r="W1" t="s">
        <v>1</v>
      </c>
      <c r="X1" t="s">
        <v>26</v>
      </c>
      <c r="Y1" s="22" t="s">
        <v>25</v>
      </c>
      <c r="Z1" s="19" t="s">
        <v>27</v>
      </c>
      <c r="AA1" s="19" t="s">
        <v>28</v>
      </c>
      <c r="AB1" s="19" t="s">
        <v>108</v>
      </c>
      <c r="AC1" s="19" t="s">
        <v>108</v>
      </c>
      <c r="AD1" s="19" t="s">
        <v>5</v>
      </c>
      <c r="AE1" s="19" t="s">
        <v>14</v>
      </c>
      <c r="AF1" s="23" t="s">
        <v>109</v>
      </c>
      <c r="AG1" s="7" t="s">
        <v>6</v>
      </c>
      <c r="AH1" s="21" t="s">
        <v>110</v>
      </c>
      <c r="AI1" s="21" t="s">
        <v>111</v>
      </c>
      <c r="AJ1" s="20" t="s">
        <v>7</v>
      </c>
      <c r="AK1" s="20" t="s">
        <v>112</v>
      </c>
      <c r="AL1" s="20" t="s">
        <v>113</v>
      </c>
      <c r="AM1" s="20" t="s">
        <v>114</v>
      </c>
      <c r="AN1" s="19" t="s">
        <v>115</v>
      </c>
      <c r="AO1" s="30" t="s">
        <v>116</v>
      </c>
      <c r="AP1" s="30" t="s">
        <v>117</v>
      </c>
      <c r="AQ1" s="18" t="s">
        <v>15</v>
      </c>
      <c r="AR1" s="18" t="s">
        <v>118</v>
      </c>
      <c r="AS1" s="52" t="s">
        <v>88</v>
      </c>
      <c r="AT1" s="50" t="s">
        <v>119</v>
      </c>
      <c r="AU1" s="50" t="s">
        <v>119</v>
      </c>
      <c r="AV1" s="50" t="s">
        <v>119</v>
      </c>
      <c r="AW1" s="59" t="s">
        <v>166</v>
      </c>
      <c r="AX1" s="50"/>
      <c r="AY1" s="50"/>
      <c r="BD1"/>
      <c r="BE1"/>
      <c r="BF1"/>
    </row>
    <row r="2" spans="1:59" x14ac:dyDescent="0.25">
      <c r="A2" s="6">
        <v>0</v>
      </c>
      <c r="B2" s="1" t="s">
        <v>120</v>
      </c>
      <c r="C2" s="1">
        <f>VLOOKUP((A2+Forudsætninger!$C$60),'Model tilvækst, slagteform, fe'!A:B,2,FALSE)</f>
        <v>65.124654410493989</v>
      </c>
      <c r="D2" s="3" t="s">
        <v>123</v>
      </c>
      <c r="E2" s="1">
        <f>(1+Forudsætninger!$C$78)*C2</f>
        <v>60.565928601759403</v>
      </c>
      <c r="F2" s="2">
        <f>(Forudsætninger!$C$61-$E$2)</f>
        <v>8.4340713982405973</v>
      </c>
      <c r="G2" s="1">
        <f>E2+F2</f>
        <v>69</v>
      </c>
      <c r="H2" s="1" t="s">
        <v>123</v>
      </c>
      <c r="I2" s="1" t="s">
        <v>122</v>
      </c>
      <c r="J2" s="1">
        <f>VLOOKUP((A2+Forudsætninger!$C$60),'Model tilvækst, slagteform, fe'!G:K,2,FALSE)*(1+Forudsætninger!$C$79)</f>
        <v>46.550311444200297</v>
      </c>
      <c r="K2" s="17">
        <f t="shared" ref="K2:K65" si="0">G2*(J2/100)</f>
        <v>32.119714896498209</v>
      </c>
      <c r="L2" s="17" t="s">
        <v>124</v>
      </c>
      <c r="M2" s="17" t="s">
        <v>125</v>
      </c>
      <c r="N2" s="17">
        <v>0</v>
      </c>
      <c r="O2" s="19" t="s">
        <v>126</v>
      </c>
      <c r="P2" s="17" t="s">
        <v>24</v>
      </c>
      <c r="Q2" s="17" t="s">
        <v>127</v>
      </c>
      <c r="T2" s="19" t="s">
        <v>128</v>
      </c>
      <c r="U2" s="2" t="s">
        <v>84</v>
      </c>
      <c r="V2" s="17" t="s">
        <v>30</v>
      </c>
      <c r="W2" t="s">
        <v>8</v>
      </c>
      <c r="X2" s="2" t="s">
        <v>9</v>
      </c>
      <c r="Y2" s="22" t="s">
        <v>10</v>
      </c>
      <c r="Z2" s="19">
        <v>0</v>
      </c>
      <c r="AA2" s="19" t="s">
        <v>129</v>
      </c>
      <c r="AB2" s="19" t="s">
        <v>31</v>
      </c>
      <c r="AC2" s="19" t="s">
        <v>30</v>
      </c>
      <c r="AD2" s="19" t="s">
        <v>130</v>
      </c>
      <c r="AE2" s="19" t="s">
        <v>131</v>
      </c>
      <c r="AF2" s="1" t="s">
        <v>132</v>
      </c>
      <c r="AG2" s="1" t="s">
        <v>132</v>
      </c>
      <c r="AH2" s="1" t="s">
        <v>133</v>
      </c>
      <c r="AI2" s="1" t="s">
        <v>134</v>
      </c>
      <c r="AJ2" s="4" t="str">
        <f>"Sl. præmie "&amp;Forudsætninger!C12&amp;" kr. pr. dyr"</f>
        <v>Sl. præmie 900 kr. pr. dyr</v>
      </c>
      <c r="AK2" s="4"/>
      <c r="AL2" s="4"/>
      <c r="AM2" s="4">
        <v>0</v>
      </c>
      <c r="AN2" s="11"/>
      <c r="AO2" s="11"/>
      <c r="AP2" s="11"/>
      <c r="AQ2" s="18" t="s">
        <v>29</v>
      </c>
      <c r="AR2" s="18" t="s">
        <v>135</v>
      </c>
      <c r="AS2" s="52" t="str">
        <f t="shared" ref="AS2:AS65" si="1">B2</f>
        <v>Mdr.</v>
      </c>
      <c r="AT2" s="50" t="s">
        <v>136</v>
      </c>
      <c r="AU2" s="50" t="s">
        <v>137</v>
      </c>
      <c r="AV2" s="18" t="s">
        <v>138</v>
      </c>
      <c r="AW2" s="60" t="s">
        <v>163</v>
      </c>
      <c r="AX2" s="12"/>
      <c r="AY2" s="13"/>
      <c r="AZ2" s="9"/>
      <c r="BA2" s="9"/>
      <c r="BB2" s="9"/>
      <c r="BC2" s="14"/>
      <c r="BD2" s="10"/>
      <c r="BE2" s="10"/>
      <c r="BF2" s="10"/>
      <c r="BG2" s="15"/>
    </row>
    <row r="3" spans="1:59" x14ac:dyDescent="0.25">
      <c r="A3">
        <v>1</v>
      </c>
      <c r="B3" s="1">
        <f>ROUND((A3+Forudsætninger!$C$60)/30.4,1)</f>
        <v>1.3</v>
      </c>
      <c r="C3" s="1">
        <f>VLOOKUP((A3+Forudsætninger!$C$60),'Model tilvækst, slagteform, fe'!A:B,2,FALSE)</f>
        <v>65.94126666104512</v>
      </c>
      <c r="D3" s="3">
        <f>(C3-C2)*1000</f>
        <v>816.61225055113107</v>
      </c>
      <c r="E3" s="1">
        <f>(1+Forudsætninger!$C$78)*C3</f>
        <v>61.325377994771955</v>
      </c>
      <c r="F3" s="2">
        <f>MAX(F2-((D3/1000)/35),0)</f>
        <v>8.4107396196534214</v>
      </c>
      <c r="G3" s="1">
        <f t="shared" ref="G3:G66" si="2">E3+F3</f>
        <v>69.736117614425382</v>
      </c>
      <c r="H3" s="3">
        <f t="shared" ref="H3:H66" si="3">(G3-G2)*1000</f>
        <v>736.11761442538182</v>
      </c>
      <c r="I3" s="3">
        <f t="shared" ref="I3:I66" si="4">(G3-$G$2)*1000/A3</f>
        <v>736.11761442538182</v>
      </c>
      <c r="J3" s="1">
        <f>VLOOKUP((A3+Forudsætninger!$C$60),'Model tilvækst, slagteform, fe'!G:K,2,FALSE)*(1+Forudsætninger!$C$79)</f>
        <v>46.566817333149714</v>
      </c>
      <c r="K3" s="17">
        <f t="shared" si="0"/>
        <v>32.473890504739906</v>
      </c>
      <c r="L3" s="17">
        <f>(K3-K2)*1000</f>
        <v>354.17560824169669</v>
      </c>
      <c r="M3" s="3">
        <f>((K3-(('Model tilvækst, slagteform, fe'!$H$9/100)*'Model tilvækst, slagteform, fe'!$B$9))*1000/(A3+Forudsætninger!$C$60))</f>
        <v>300.67466190827525</v>
      </c>
      <c r="N3" s="17">
        <f>N2+P3</f>
        <v>1.8561637810626035</v>
      </c>
      <c r="O3" s="19">
        <f>IF( A3&lt;Forudsætninger!$C$14,(G3/100)*Forudsætninger!$C$13,(Forudsætninger!$C$15/1000)*Forudsætninger!$C$13)</f>
        <v>0.45328476449376504</v>
      </c>
      <c r="P3" s="17" cm="1">
        <f t="array" ref="P3">INDEX('Model tilvækst, slagteform, fe'!$N$9:$N$375,MATCH(MIN(ABS('Model tilvækst, slagteform, fe'!$M$9:$M$375-'Vækstfunktion, hol'!G3)),ABS('Model tilvækst, slagteform, fe'!$M$9:$M$375-'Vækstfunktion, hol'!G3),0))*(1+Forudsætninger!$C$80)</f>
        <v>1.8561637810626035</v>
      </c>
      <c r="Q3" s="17">
        <f>P3/(L3/1000)</f>
        <v>5.2408007154346983</v>
      </c>
      <c r="R3" s="17">
        <f>N3/(K3-$K$2)</f>
        <v>5.2408007154346983</v>
      </c>
      <c r="S3" s="17">
        <f t="shared" ref="S3:S66" si="5">N3/(G3-$G$2)</f>
        <v>2.5215587084022393</v>
      </c>
      <c r="T3" s="19">
        <f>(P3)*IF(N3&lt;Forudsætninger!$B$228,IF(N3&lt;Forudsætninger!$B$227,Forudsætninger!$B$225,Forudsætninger!$C$9),Forudsætninger!$C$11)+O3</f>
        <v>30.04085272758569</v>
      </c>
      <c r="U3" s="2">
        <f>Forudsætninger!$C$68+((K3-(Forudsætninger!$C$84)))*0.01</f>
        <v>2.0217917640360392</v>
      </c>
      <c r="V3" s="2">
        <f>U3+Forudsætninger!$C$69</f>
        <v>1.0217917640360392</v>
      </c>
      <c r="W3">
        <f t="shared" ref="W3:W66" si="6">IF(K3&gt;130,1,0)</f>
        <v>0</v>
      </c>
      <c r="X3">
        <f>IF(A3+Forudsætninger!$C$60&gt;248,IF(A3+Forudsætninger!$C$60&lt;365,IF(K3&gt;180,IF(K3&lt;260,1,0),0),0),0)</f>
        <v>0</v>
      </c>
      <c r="Y3" s="22">
        <f>IF(X3=0,0,IF('Vækstfunktion, hol'!A3&lt;Forudsætninger!$C$66,Forudsætninger!$C$67+(('Vækstfunktion, hol'!A3-Forudsætninger!$C$66)/7)*Forudsætninger!$C$64,Forudsætninger!$C$67))</f>
        <v>0</v>
      </c>
      <c r="Z3" s="19">
        <f>Z2+T3</f>
        <v>30.04085272758569</v>
      </c>
      <c r="AA3" s="19">
        <f>Forudsætninger!$C$62+Forudsætninger!$C$16</f>
        <v>1350</v>
      </c>
      <c r="AB3" s="19">
        <f>IF(K3&gt;Forudsætninger!$C$26,IF(K3&gt;Forudsætninger!$C$27,IF(K3&gt;Forudsætninger!$C$28,Forudsætninger!$E$28,Forudsætninger!$E$27+Forudsætninger!$F$28*(K3-Forudsætninger!$C$27)),Forudsætninger!$E$26+Forudsætninger!$F$27*(K3-Forudsætninger!$C$26)),Forudsætninger!$E$26)+IF(K3&gt;Forudsætninger!$C$28,Forudsætninger!$G$28,IF(K3&gt;Forudsætninger!$C$27,Forudsætninger!$G$27+Forudsætninger!$H$28*(K3-Forudsætninger!$C$27),IF(K3&gt;Forudsætninger!$C$26,Forudsætninger!$G$26+Forudsætninger!$H$27*(K3-Forudsætninger!$C$26),Forudsætninger!$G$26)))*(U3-Forudsætninger!$H$26)</f>
        <v>32.86634382302703</v>
      </c>
      <c r="AC3" s="19">
        <f>IF(K3&gt;Forudsætninger!$C$31,IF(K3&gt;Forudsætninger!$C$32,IF(K3&gt;Forudsætninger!$C$33,Forudsætninger!$E$33,Forudsætninger!$E$32+Forudsætninger!$F$33*(K3-Forudsætninger!$C$32)),Forudsætninger!$E$31+Forudsætninger!$F$32*(K3-Forudsætninger!$C$31)),Forudsætninger!$E$31)+IF(K3&gt;Forudsætninger!$C$33,Forudsætninger!$G$33,IF(K3&gt;Forudsætninger!$C$32,Forudsætninger!$G$32+Forudsætninger!$H$33*(K3-Forudsætninger!$C$32),IF(K3&gt;Forudsætninger!$C$31,Forudsætninger!$G$31+Forudsætninger!$H$32*(K3-Forudsætninger!$C$31),Forudsætninger!$G$31)))*(V3-Forudsætninger!$H$31)</f>
        <v>25.728329293246851</v>
      </c>
      <c r="AD3" s="19">
        <f t="shared" ref="AD3:AD66" si="7">(K3*(Y3*AB3+((1-Y3)*AC3)))</f>
        <v>835.49894833879046</v>
      </c>
      <c r="AE3" s="19">
        <f t="shared" ref="AE3:AE66" si="8">AD3/K3</f>
        <v>25.728329293246851</v>
      </c>
      <c r="AF3" s="1">
        <f>IF(G3&lt;=Forudsætninger!$C$97,Forudsætninger!$C$98,(IF(G3&lt;=Forudsætninger!$D$97,Forudsætninger!$D$98,IF(G3&lt;=Forudsætninger!$E$97,Forudsætninger!$E$98,IF(G3&lt;=Forudsætninger!$F$97,Forudsætninger!$F$98,IF(G3&lt;=Forudsætninger!$G$97,Forudsætninger!$G$98,IF(G3&lt;=Forudsætninger!$H$97,Forudsætninger!$H$98,IF(G3&lt;=Forudsætninger!$I$97,Forudsætninger!$I$98,Forudsætninger!$I$98))))))))</f>
        <v>1.8</v>
      </c>
      <c r="AG3" s="1">
        <f>IF(AF3&lt;=3.2,IF(AF3&lt;=2.2,2.2,3.2),4.4)</f>
        <v>2.2000000000000002</v>
      </c>
      <c r="AH3" s="1">
        <f>AG3</f>
        <v>2.2000000000000002</v>
      </c>
      <c r="AI3" s="1">
        <f t="shared" ref="AI3:AI66" si="9">AH3/A3</f>
        <v>2.2000000000000002</v>
      </c>
      <c r="AJ3" s="20">
        <f>+(W3*Forudsætninger!$C$12)</f>
        <v>0</v>
      </c>
      <c r="AK3" s="20">
        <f>Forudsætninger!$C$17</f>
        <v>250</v>
      </c>
      <c r="AL3" s="20">
        <f>IF(A3&lt;92,Forudsætninger!$C$20,Forudsætninger!$C$21)</f>
        <v>4.0072859744990899</v>
      </c>
      <c r="AM3" s="20">
        <f>AL3+AM2</f>
        <v>4.0072859744990899</v>
      </c>
      <c r="AN3" s="20">
        <f>IFERROR(AD3+AJ3-AA3-Z3-AK3-AM3-Forudsætninger!$C$75,-99999999)</f>
        <v>-980.94338291268889</v>
      </c>
      <c r="AO3" s="19">
        <f>IFERROR(AN3/(A3+Forudsætninger!$C$74),-99999999)</f>
        <v>-980.94338291268889</v>
      </c>
      <c r="AP3" s="19">
        <f>IFERROR(((365/(A3+Forudsætninger!$C$74))*AN3)/(AI3+Forudsætninger!$C$73),-9999999)</f>
        <v>-154997.54751650713</v>
      </c>
      <c r="AQ3" s="18">
        <f t="shared" ref="AQ3:AQ66" si="10">A3</f>
        <v>1</v>
      </c>
      <c r="AR3" s="18">
        <f>AA3+Z3+AK3+AM3</f>
        <v>1634.0481387020848</v>
      </c>
      <c r="AS3" s="52">
        <f t="shared" si="1"/>
        <v>1.3</v>
      </c>
      <c r="AV3" s="2"/>
      <c r="AW3" s="61">
        <f>((AN3+AM3)/A3)</f>
        <v>-976.93609693818985</v>
      </c>
      <c r="BA3" s="16"/>
      <c r="BB3" s="2"/>
    </row>
    <row r="4" spans="1:59" x14ac:dyDescent="0.25">
      <c r="A4">
        <v>2</v>
      </c>
      <c r="B4" s="1">
        <f>ROUND((A4+Forudsætninger!$C$60)/30.4,1)</f>
        <v>1.3</v>
      </c>
      <c r="C4" s="1">
        <f>VLOOKUP((A4+Forudsætninger!$C$60),'Model tilvækst, slagteform, fe'!A:B,2,FALSE)</f>
        <v>66.771503270682615</v>
      </c>
      <c r="D4" s="3">
        <f>(C4-C3)*1000</f>
        <v>830.23660963749535</v>
      </c>
      <c r="E4" s="1">
        <f>(1+Forudsætninger!$C$78)*C4</f>
        <v>62.097498041734831</v>
      </c>
      <c r="F4" s="2">
        <f>MAX(F3-((D4/1000)/35),0)</f>
        <v>8.387018573663779</v>
      </c>
      <c r="G4" s="1">
        <f t="shared" si="2"/>
        <v>70.484516615398604</v>
      </c>
      <c r="H4" s="3">
        <f t="shared" si="3"/>
        <v>748.39900097322243</v>
      </c>
      <c r="I4" s="3">
        <f t="shared" si="4"/>
        <v>742.25830769930212</v>
      </c>
      <c r="J4" s="1">
        <f>VLOOKUP((A4+Forudsætninger!$C$60),'Model tilvækst, slagteform, fe'!G:K,2,FALSE)*(1+Forudsætninger!$C$79)</f>
        <v>46.583332812103556</v>
      </c>
      <c r="K4" s="17">
        <f t="shared" si="0"/>
        <v>32.834036955953557</v>
      </c>
      <c r="L4" s="17">
        <f>(K4-K3)*1000</f>
        <v>360.14645121365163</v>
      </c>
      <c r="M4" s="3">
        <f>((K4-(('Model tilvækst, slagteform, fe'!$H$9/100)*'Model tilvækst, slagteform, fe'!$B$9))*1000/(A4+Forudsætninger!$C$60))</f>
        <v>302.12519335474786</v>
      </c>
      <c r="N4" s="17">
        <f t="shared" ref="N4:N67" si="11">N3+P4</f>
        <v>3.712327562125207</v>
      </c>
      <c r="O4" s="19">
        <f>IF( A4&lt;Forudsætninger!$C$14,(G4/100)*Forudsætninger!$C$13,(Forudsætninger!$C$15/1000)*Forudsætninger!$C$13)</f>
        <v>0.45814935800009093</v>
      </c>
      <c r="P4" s="17" cm="1">
        <f t="array" ref="P4">INDEX('Model tilvækst, slagteform, fe'!$N$9:$N$375,MATCH(MIN(ABS('Model tilvækst, slagteform, fe'!$M$9:$M$375-'Vækstfunktion, hol'!G4)),ABS('Model tilvækst, slagteform, fe'!$M$9:$M$375-'Vækstfunktion, hol'!G4),0))*(1+Forudsætninger!$C$80)</f>
        <v>1.8561637810626035</v>
      </c>
      <c r="Q4" s="17">
        <f t="shared" ref="Q4:Q67" si="12">P4/(L4/1000)</f>
        <v>5.1539138447916049</v>
      </c>
      <c r="R4" s="17">
        <f t="shared" ref="R4:R67" si="13">N4/(K4-$K$2)</f>
        <v>5.1969941470878815</v>
      </c>
      <c r="S4" s="17">
        <f t="shared" si="5"/>
        <v>2.5006978861792115</v>
      </c>
      <c r="T4" s="19">
        <f>(P4)*IF(N4&lt;Forudsætninger!$B$228,IF(N4&lt;Forudsætninger!$B$227,Forudsætninger!$B$225,Forudsætninger!$C$9),Forudsætninger!$C$11)+O4</f>
        <v>30.045717321092017</v>
      </c>
      <c r="U4" s="2">
        <f>Forudsætninger!$C$68+((K4-(Forudsætninger!$C$84)))*0.01</f>
        <v>2.0253932285481762</v>
      </c>
      <c r="V4" s="2">
        <f>U4+Forudsætninger!$C$69</f>
        <v>1.0253932285481762</v>
      </c>
      <c r="W4">
        <f t="shared" si="6"/>
        <v>0</v>
      </c>
      <c r="X4">
        <f>IF(A4+Forudsætninger!$C$60&gt;248,IF(A4+Forudsætninger!$C$60&lt;365,IF(K4&gt;180,IF(K4&lt;260,1,0),0),0),0)</f>
        <v>0</v>
      </c>
      <c r="Y4" s="22">
        <f>IF(X4=0,0,IF('Vækstfunktion, hol'!A4&lt;Forudsætninger!$C$66,Forudsætninger!$C$67+(('Vækstfunktion, hol'!A4-Forudsætninger!$C$66)/7)*Forudsætninger!$C$64,Forudsætninger!$C$67))</f>
        <v>0</v>
      </c>
      <c r="Z4" s="19">
        <f>Z3+T4</f>
        <v>60.086570048677707</v>
      </c>
      <c r="AA4" s="19">
        <f>Forudsætninger!$C$62+Forudsætninger!$C$16</f>
        <v>1350</v>
      </c>
      <c r="AB4" s="19">
        <f>IF(K4&gt;Forudsætninger!$C$26,IF(K4&gt;Forudsætninger!$C$27,IF(K4&gt;Forudsætninger!$C$28,Forudsætninger!$E$28,Forudsætninger!$E$27+Forudsætninger!$F$28*(K4-Forudsætninger!$C$27)),Forudsætninger!$E$26+Forudsætninger!$F$27*(K4-Forudsætninger!$C$26)),Forudsætninger!$E$26)+IF(K4&gt;Forudsætninger!$C$28,Forudsætninger!$G$28,IF(K4&gt;Forudsætninger!$C$27,Forudsætninger!$G$27+Forudsætninger!$H$28*(K4-Forudsætninger!$C$27),IF(K4&gt;Forudsætninger!$C$26,Forudsætninger!$G$26+Forudsætninger!$H$27*(K4-Forudsætninger!$C$26),Forudsætninger!$G$26)))*(U4-Forudsætninger!$H$26)</f>
        <v>32.869044921411131</v>
      </c>
      <c r="AC4" s="19">
        <f>IF(K4&gt;Forudsætninger!$C$31,IF(K4&gt;Forudsætninger!$C$32,IF(K4&gt;Forudsætninger!$C$33,Forudsætninger!$E$33,Forudsætninger!$E$32+Forudsætninger!$F$33*(K4-Forudsætninger!$C$32)),Forudsætninger!$E$31+Forudsætninger!$F$32*(K4-Forudsætninger!$C$31)),Forudsætninger!$E$31)+IF(K4&gt;Forudsætninger!$C$33,Forudsætninger!$G$33,IF(K4&gt;Forudsætninger!$C$32,Forudsætninger!$G$32+Forudsætninger!$H$33*(K4-Forudsætninger!$C$32),IF(K4&gt;Forudsætninger!$C$31,Forudsætninger!$G$31+Forudsætninger!$H$32*(K4-Forudsætninger!$C$31),Forudsætninger!$G$31)))*(V4-Forudsætninger!$H$31)</f>
        <v>25.733011197112628</v>
      </c>
      <c r="AD4" s="19">
        <f t="shared" si="7"/>
        <v>844.9186406339627</v>
      </c>
      <c r="AE4" s="19">
        <f t="shared" si="8"/>
        <v>25.733011197112628</v>
      </c>
      <c r="AF4">
        <f>IF(G4&lt;=Forudsætninger!$C$97,Forudsætninger!$C$98,(IF(G4&lt;=Forudsætninger!$D$97,Forudsætninger!$D$98,IF(G4&lt;=Forudsætninger!$E$97,Forudsætninger!$E$98,IF(G4&lt;=Forudsætninger!$F$97,Forudsætninger!$F$98,IF(G4&lt;=Forudsætninger!$G$97,Forudsætninger!$G$98,IF(G4&lt;=Forudsætninger!$H$97,Forudsætninger!$H$98,IF(G4&lt;=Forudsætninger!$I$97,Forudsætninger!$I$98,Forudsætninger!$I$98))))))))</f>
        <v>1.8</v>
      </c>
      <c r="AG4" s="1">
        <f t="shared" ref="AG4:AG67" si="14">IF(AF4&lt;=3.2,IF(AF4&lt;=2.2,2.2,3.2),4.4)</f>
        <v>2.2000000000000002</v>
      </c>
      <c r="AH4" s="1">
        <f>AH3+AG4</f>
        <v>4.4000000000000004</v>
      </c>
      <c r="AI4" s="1">
        <f t="shared" si="9"/>
        <v>2.2000000000000002</v>
      </c>
      <c r="AJ4" s="20">
        <f>+(W4*Forudsætninger!$C$12)</f>
        <v>0</v>
      </c>
      <c r="AK4" s="20">
        <f>Forudsætninger!$C$17</f>
        <v>250</v>
      </c>
      <c r="AL4" s="20">
        <f>IF(A4&lt;92,Forudsætninger!$C$20,Forudsætninger!$C$21)</f>
        <v>4.0072859744990899</v>
      </c>
      <c r="AM4" s="20">
        <f t="shared" ref="AM4:AM67" si="15">AL4+AM3</f>
        <v>8.0145719489981797</v>
      </c>
      <c r="AN4" s="20">
        <f>IFERROR(AD4+AJ4-AA4-Z4-AK4-AM4-Forudsætninger!$C$75,-99999999)</f>
        <v>-1005.5766939131078</v>
      </c>
      <c r="AO4" s="19">
        <f>IFERROR(AN4/(A4+Forudsætninger!$C$74),-99999999)</f>
        <v>-502.78834695655388</v>
      </c>
      <c r="AP4" s="19">
        <f>IFERROR(((365/(A4+Forudsætninger!$C$74))*AN4)/(AI4+Forudsætninger!$C$73),-9999999)</f>
        <v>-79444.911964996601</v>
      </c>
      <c r="AQ4" s="18">
        <f t="shared" si="10"/>
        <v>2</v>
      </c>
      <c r="AR4" s="18">
        <f t="shared" ref="AR4:AR67" si="16">AA4+Z4+AK4+AM4</f>
        <v>1668.1011419976758</v>
      </c>
      <c r="AS4" s="52">
        <f t="shared" si="1"/>
        <v>1.3</v>
      </c>
      <c r="AT4" s="50">
        <f>AN4-AN3</f>
        <v>-24.633311000418871</v>
      </c>
      <c r="AU4" s="50">
        <f>AO4-AO3</f>
        <v>478.15503595613501</v>
      </c>
      <c r="AV4" s="2">
        <f>AP4-AP3</f>
        <v>75552.635551510524</v>
      </c>
      <c r="AW4" s="61">
        <f t="shared" ref="AW4:AW67" si="17">((AN4+AM4)/A4)</f>
        <v>-498.78106098205478</v>
      </c>
      <c r="BA4" s="16"/>
      <c r="BB4" s="2"/>
    </row>
    <row r="5" spans="1:59" x14ac:dyDescent="0.25">
      <c r="A5">
        <v>3</v>
      </c>
      <c r="B5" s="1">
        <f>ROUND((A5+Forudsætninger!$C$60)/30.4,1)</f>
        <v>1.4</v>
      </c>
      <c r="C5" s="1">
        <f>VLOOKUP((A5+Forudsætninger!$C$60),'Model tilvækst, slagteform, fe'!A:B,2,FALSE)</f>
        <v>67.615225967523358</v>
      </c>
      <c r="D5" s="3">
        <f>(C5-C4)*1000</f>
        <v>843.72269684074297</v>
      </c>
      <c r="E5" s="1">
        <f>(1+Forudsætninger!$C$78)*C5</f>
        <v>62.882160149796718</v>
      </c>
      <c r="F5" s="2">
        <f>MAX(F4-((D5/1000)/35),0)</f>
        <v>8.3629122108969014</v>
      </c>
      <c r="G5" s="1">
        <f t="shared" si="2"/>
        <v>71.245072360693626</v>
      </c>
      <c r="H5" s="3">
        <f t="shared" si="3"/>
        <v>760.55574529502223</v>
      </c>
      <c r="I5" s="3">
        <f t="shared" si="4"/>
        <v>748.35745356454208</v>
      </c>
      <c r="J5" s="1">
        <f>VLOOKUP((A5+Forudsætninger!$C$60),'Model tilvækst, slagteform, fe'!G:K,2,FALSE)*(1+Forudsætninger!$C$79)</f>
        <v>46.59986070165138</v>
      </c>
      <c r="K5" s="17">
        <f t="shared" si="0"/>
        <v>33.20010447687396</v>
      </c>
      <c r="L5" s="17">
        <f t="shared" ref="L5:L67" si="18">(K5-K4)*1000</f>
        <v>366.06752092040296</v>
      </c>
      <c r="M5" s="3">
        <f>((K5-(('Model tilvækst, slagteform, fe'!$H$9/100)*'Model tilvækst, slagteform, fe'!$B$9))*1000/(A5+Forudsætninger!$C$60))</f>
        <v>303.64762972535874</v>
      </c>
      <c r="N5" s="17">
        <f t="shared" si="11"/>
        <v>5.603732255517893</v>
      </c>
      <c r="O5" s="19">
        <f>IF( A5&lt;Forudsætninger!$C$14,(G5/100)*Forudsætninger!$C$13,(Forudsætninger!$C$15/1000)*Forudsætninger!$C$13)</f>
        <v>0.46309297034450858</v>
      </c>
      <c r="P5" s="17" cm="1">
        <f t="array" ref="P5">INDEX('Model tilvækst, slagteform, fe'!$N$9:$N$375,MATCH(MIN(ABS('Model tilvækst, slagteform, fe'!$M$9:$M$375-'Vækstfunktion, hol'!G5)),ABS('Model tilvækst, slagteform, fe'!$M$9:$M$375-'Vækstfunktion, hol'!G5),0))*(1+Forudsætninger!$C$80)</f>
        <v>1.8914046933926858</v>
      </c>
      <c r="Q5" s="17">
        <f t="shared" si="12"/>
        <v>5.1668191940031454</v>
      </c>
      <c r="R5" s="17">
        <f t="shared" si="13"/>
        <v>5.1867699923290242</v>
      </c>
      <c r="S5" s="17">
        <f t="shared" si="5"/>
        <v>2.4960140945241478</v>
      </c>
      <c r="T5" s="19">
        <f>(P5)*IF(N5&lt;Forudsætninger!$B$228,IF(N5&lt;Forudsætninger!$B$227,Forudsætninger!$B$225,Forudsætninger!$C$9),Forudsætninger!$C$11)+O5</f>
        <v>30.612407100065521</v>
      </c>
      <c r="U5" s="2">
        <f>Forudsætninger!$C$68+((K5-(Forudsætninger!$C$84)))*0.01</f>
        <v>2.0290539037573803</v>
      </c>
      <c r="V5" s="2">
        <f>U5+Forudsætninger!$C$69</f>
        <v>1.0290539037573803</v>
      </c>
      <c r="W5">
        <f t="shared" si="6"/>
        <v>0</v>
      </c>
      <c r="X5">
        <f>IF(A5+Forudsætninger!$C$60&gt;248,IF(A5+Forudsætninger!$C$60&lt;365,IF(K5&gt;180,IF(K5&lt;260,1,0),0),0),0)</f>
        <v>0</v>
      </c>
      <c r="Y5" s="22">
        <f>IF(X5=0,0,IF('Vækstfunktion, hol'!A5&lt;Forudsætninger!$C$66,Forudsætninger!$C$67+(('Vækstfunktion, hol'!A5-Forudsætninger!$C$66)/7)*Forudsætninger!$C$64,Forudsætninger!$C$67))</f>
        <v>0</v>
      </c>
      <c r="Z5" s="19">
        <f t="shared" ref="Z5:Z67" si="19">Z4+T5</f>
        <v>90.698977148743225</v>
      </c>
      <c r="AA5" s="19">
        <f>Forudsætninger!$C$62+Forudsætninger!$C$16</f>
        <v>1350</v>
      </c>
      <c r="AB5" s="19">
        <f>IF(K5&gt;Forudsætninger!$C$26,IF(K5&gt;Forudsætninger!$C$27,IF(K5&gt;Forudsætninger!$C$28,Forudsætninger!$E$28,Forudsætninger!$E$27+Forudsætninger!$F$28*(K5-Forudsætninger!$C$27)),Forudsætninger!$E$26+Forudsætninger!$F$27*(K5-Forudsætninger!$C$26)),Forudsætninger!$E$26)+IF(K5&gt;Forudsætninger!$C$28,Forudsætninger!$G$28,IF(K5&gt;Forudsætninger!$C$27,Forudsætninger!$G$27+Forudsætninger!$H$28*(K5-Forudsætninger!$C$27),IF(K5&gt;Forudsætninger!$C$26,Forudsætninger!$G$26+Forudsætninger!$H$27*(K5-Forudsætninger!$C$26),Forudsætninger!$G$26)))*(U5-Forudsætninger!$H$26)</f>
        <v>32.871790427818034</v>
      </c>
      <c r="AC5" s="19">
        <f>IF(K5&gt;Forudsætninger!$C$31,IF(K5&gt;Forudsætninger!$C$32,IF(K5&gt;Forudsætninger!$C$33,Forudsætninger!$E$33,Forudsætninger!$E$32+Forudsætninger!$F$33*(K5-Forudsætninger!$C$32)),Forudsætninger!$E$31+Forudsætninger!$F$32*(K5-Forudsætninger!$C$31)),Forudsætninger!$E$31)+IF(K5&gt;Forudsætninger!$C$33,Forudsætninger!$G$33,IF(K5&gt;Forudsætninger!$C$32,Forudsætninger!$G$32+Forudsætninger!$H$33*(K5-Forudsætninger!$C$32),IF(K5&gt;Forudsætninger!$C$31,Forudsætninger!$G$31+Forudsætninger!$H$32*(K5-Forudsætninger!$C$31),Forudsætninger!$G$31)))*(V5-Forudsætninger!$H$31)</f>
        <v>25.737770074884594</v>
      </c>
      <c r="AD5" s="19">
        <f t="shared" si="7"/>
        <v>854.49665548792871</v>
      </c>
      <c r="AE5" s="19">
        <f t="shared" si="8"/>
        <v>25.737770074884594</v>
      </c>
      <c r="AF5">
        <f>IF(G5&lt;=Forudsætninger!$C$97,Forudsætninger!$C$98,(IF(G5&lt;=Forudsætninger!$D$97,Forudsætninger!$D$98,IF(G5&lt;=Forudsætninger!$E$97,Forudsætninger!$E$98,IF(G5&lt;=Forudsætninger!$F$97,Forudsætninger!$F$98,IF(G5&lt;=Forudsætninger!$G$97,Forudsætninger!$G$98,IF(G5&lt;=Forudsætninger!$H$97,Forudsætninger!$H$98,IF(G5&lt;=Forudsætninger!$I$97,Forudsætninger!$I$98,Forudsætninger!$I$98))))))))</f>
        <v>1.8</v>
      </c>
      <c r="AG5" s="1">
        <f>IF(AF5&lt;=3.2,IF(AF5&lt;=2.2,2.2,3.2),4.4)</f>
        <v>2.2000000000000002</v>
      </c>
      <c r="AH5" s="1">
        <f t="shared" ref="AH5:AH67" si="20">AH4+AG5</f>
        <v>6.6000000000000005</v>
      </c>
      <c r="AI5" s="1">
        <f t="shared" si="9"/>
        <v>2.2000000000000002</v>
      </c>
      <c r="AJ5" s="20">
        <f>+(W5*Forudsætninger!$C$12)</f>
        <v>0</v>
      </c>
      <c r="AK5" s="20">
        <f>Forudsætninger!$C$17</f>
        <v>250</v>
      </c>
      <c r="AL5" s="20">
        <f>IF(A5&lt;92,Forudsætninger!$C$20,Forudsætninger!$C$21)</f>
        <v>4.0072859744990899</v>
      </c>
      <c r="AM5" s="20">
        <f t="shared" si="15"/>
        <v>12.021857923497269</v>
      </c>
      <c r="AN5" s="20">
        <f>IFERROR(AD5+AJ5-AA5-Z5-AK5-AM5-Forudsætninger!$C$75,-99999999)</f>
        <v>-1030.6183721337063</v>
      </c>
      <c r="AO5" s="19">
        <f>IFERROR(AN5/(A5+Forudsætninger!$C$74),-99999999)</f>
        <v>-343.53945737790212</v>
      </c>
      <c r="AP5" s="19">
        <f>IFERROR(((365/(A5+Forudsætninger!$C$74))*AN5)/(AI5+Forudsætninger!$C$73),-9999999)</f>
        <v>-54282.208633304879</v>
      </c>
      <c r="AQ5" s="18">
        <f t="shared" si="10"/>
        <v>3</v>
      </c>
      <c r="AR5" s="18">
        <f t="shared" si="16"/>
        <v>1702.7208350722406</v>
      </c>
      <c r="AS5" s="52">
        <f t="shared" si="1"/>
        <v>1.4</v>
      </c>
      <c r="AT5" s="50">
        <f t="shared" ref="AT5:AT68" si="21">AN5-AN4</f>
        <v>-25.041678220598556</v>
      </c>
      <c r="AU5" s="50">
        <f t="shared" ref="AU5:AU68" si="22">AO5-AO4</f>
        <v>159.24888957865176</v>
      </c>
      <c r="AV5" s="2">
        <f t="shared" ref="AV5:AV68" si="23">AP5-AP4</f>
        <v>25162.703331691722</v>
      </c>
      <c r="AW5" s="61">
        <f t="shared" si="17"/>
        <v>-339.53217140340303</v>
      </c>
      <c r="BA5" s="16"/>
      <c r="BB5" s="2"/>
    </row>
    <row r="6" spans="1:59" x14ac:dyDescent="0.25">
      <c r="A6">
        <v>4</v>
      </c>
      <c r="B6" s="1">
        <f>ROUND((A6+Forudsætninger!$C$60)/30.4,1)</f>
        <v>1.4</v>
      </c>
      <c r="C6" s="1">
        <f>VLOOKUP((A6+Forudsætninger!$C$60),'Model tilvækst, slagteform, fe'!A:B,2,FALSE)</f>
        <v>68.472297014031568</v>
      </c>
      <c r="D6" s="3">
        <f t="shared" ref="D6:D67" si="24">(C6-C5)*1000</f>
        <v>857.07104650821009</v>
      </c>
      <c r="E6" s="1">
        <f>(1+Forudsætninger!$C$78)*C6</f>
        <v>63.679236223049351</v>
      </c>
      <c r="F6" s="2">
        <f t="shared" ref="F6:F67" si="25">MAX(F5-((D6/1000)/35),0)</f>
        <v>8.3384244667109524</v>
      </c>
      <c r="G6" s="1">
        <f t="shared" si="2"/>
        <v>72.017660689760305</v>
      </c>
      <c r="H6" s="3">
        <f t="shared" si="3"/>
        <v>772.58832906667863</v>
      </c>
      <c r="I6" s="3">
        <f t="shared" si="4"/>
        <v>754.41517244007628</v>
      </c>
      <c r="J6" s="1">
        <f>VLOOKUP((A6+Forudsætninger!$C$60),'Model tilvækst, slagteform, fe'!G:K,2,FALSE)*(1+Forudsætninger!$C$79)</f>
        <v>46.616403822382701</v>
      </c>
      <c r="K6" s="17">
        <f t="shared" si="0"/>
        <v>33.572043530572024</v>
      </c>
      <c r="L6" s="17">
        <f>(K6-K5)*1000</f>
        <v>371.93905369806401</v>
      </c>
      <c r="M6" s="3">
        <f>((K6-(('Model tilvækst, slagteform, fe'!$H$9/100)*'Model tilvækst, slagteform, fe'!$B$9))*1000/(A6+Forudsætninger!$C$60))</f>
        <v>305.23580237588669</v>
      </c>
      <c r="N6" s="17">
        <f t="shared" si="11"/>
        <v>7.5304427190075396</v>
      </c>
      <c r="O6" s="19">
        <f>IF( A6&lt;Forudsætninger!$C$14,(G6/100)*Forudsætninger!$C$13,(Forudsætninger!$C$15/1000)*Forudsætninger!$C$13)</f>
        <v>0.46811479448344201</v>
      </c>
      <c r="P6" s="17" cm="1">
        <f t="array" ref="P6">INDEX('Model tilvækst, slagteform, fe'!$N$9:$N$375,MATCH(MIN(ABS('Model tilvækst, slagteform, fe'!$M$9:$M$375-'Vækstfunktion, hol'!G6)),ABS('Model tilvækst, slagteform, fe'!$M$9:$M$375-'Vækstfunktion, hol'!G6),0))*(1+Forudsætninger!$C$80)</f>
        <v>1.9267104634896468</v>
      </c>
      <c r="Q6" s="17">
        <f t="shared" si="12"/>
        <v>5.1801778929451405</v>
      </c>
      <c r="R6" s="17">
        <f>N6/(K6-$K$2)</f>
        <v>5.1850817661595459</v>
      </c>
      <c r="S6" s="17">
        <f t="shared" si="5"/>
        <v>2.4954570752637162</v>
      </c>
      <c r="T6" s="19">
        <f>(P6)*IF(N6&lt;Forudsætninger!$B$228,IF(N6&lt;Forudsætninger!$B$227,Forudsætninger!$B$225,Forudsætninger!$C$9),Forudsætninger!$C$11)+O6</f>
        <v>31.180208934724391</v>
      </c>
      <c r="U6" s="2">
        <f>Forudsætninger!$C$68+((K6-(Forudsætninger!$C$84)))*0.01</f>
        <v>2.0327732942943602</v>
      </c>
      <c r="V6" s="2">
        <f>U6+Forudsætninger!$C$69</f>
        <v>1.0327732942943602</v>
      </c>
      <c r="W6">
        <f t="shared" si="6"/>
        <v>0</v>
      </c>
      <c r="X6">
        <f>IF(A6+Forudsætninger!$C$60&gt;248,IF(A6+Forudsætninger!$C$60&lt;365,IF(K6&gt;180,IF(K6&lt;260,1,0),0),0),0)</f>
        <v>0</v>
      </c>
      <c r="Y6" s="22">
        <f>IF(X6=0,0,IF('Vækstfunktion, hol'!A6&lt;Forudsætninger!$C$66,Forudsætninger!$C$67+(('Vækstfunktion, hol'!A6-Forudsætninger!$C$66)/7)*Forudsætninger!$C$64,Forudsætninger!$C$67))</f>
        <v>0</v>
      </c>
      <c r="Z6" s="19">
        <f t="shared" si="19"/>
        <v>121.87918608346762</v>
      </c>
      <c r="AA6" s="19">
        <f>Forudsætninger!$C$62+Forudsætninger!$C$16</f>
        <v>1350</v>
      </c>
      <c r="AB6" s="19">
        <f>IF(K6&gt;Forudsætninger!$C$26,IF(K6&gt;Forudsætninger!$C$27,IF(K6&gt;Forudsætninger!$C$28,Forudsætninger!$E$28,Forudsætninger!$E$27+Forudsætninger!$F$28*(K6-Forudsætninger!$C$27)),Forudsætninger!$E$26+Forudsætninger!$F$27*(K6-Forudsætninger!$C$26)),Forudsætninger!$E$26)+IF(K6&gt;Forudsætninger!$C$28,Forudsætninger!$G$28,IF(K6&gt;Forudsætninger!$C$27,Forudsætninger!$G$27+Forudsætninger!$H$28*(K6-Forudsætninger!$C$27),IF(K6&gt;Forudsætninger!$C$26,Forudsætninger!$G$26+Forudsætninger!$H$27*(K6-Forudsætninger!$C$26),Forudsætninger!$G$26)))*(U6-Forudsætninger!$H$26)</f>
        <v>32.874579970720774</v>
      </c>
      <c r="AC6" s="19">
        <f>IF(K6&gt;Forudsætninger!$C$31,IF(K6&gt;Forudsætninger!$C$32,IF(K6&gt;Forudsætninger!$C$33,Forudsætninger!$E$33,Forudsætninger!$E$32+Forudsætninger!$F$33*(K6-Forudsætninger!$C$32)),Forudsætninger!$E$31+Forudsætninger!$F$32*(K6-Forudsætninger!$C$31)),Forudsætninger!$E$31)+IF(K6&gt;Forudsætninger!$C$33,Forudsætninger!$G$33,IF(K6&gt;Forudsætninger!$C$32,Forudsætninger!$G$32+Forudsætninger!$H$33*(K6-Forudsætninger!$C$32),IF(K6&gt;Forudsætninger!$C$31,Forudsætninger!$G$31+Forudsætninger!$H$32*(K6-Forudsætninger!$C$31),Forudsætninger!$G$31)))*(V6-Forudsætninger!$H$31)</f>
        <v>25.742605282582666</v>
      </c>
      <c r="AD6" s="19">
        <f t="shared" si="7"/>
        <v>864.23186513719861</v>
      </c>
      <c r="AE6" s="19">
        <f t="shared" si="8"/>
        <v>25.742605282582666</v>
      </c>
      <c r="AF6">
        <f>IF(G6&lt;=Forudsætninger!$C$97,Forudsætninger!$C$98,(IF(G6&lt;=Forudsætninger!$D$97,Forudsætninger!$D$98,IF(G6&lt;=Forudsætninger!$E$97,Forudsætninger!$E$98,IF(G6&lt;=Forudsætninger!$F$97,Forudsætninger!$F$98,IF(G6&lt;=Forudsætninger!$G$97,Forudsætninger!$G$98,IF(G6&lt;=Forudsætninger!$H$97,Forudsætninger!$H$98,IF(G6&lt;=Forudsætninger!$I$97,Forudsætninger!$I$98,Forudsætninger!$I$98))))))))</f>
        <v>1.8</v>
      </c>
      <c r="AG6" s="1">
        <f t="shared" si="14"/>
        <v>2.2000000000000002</v>
      </c>
      <c r="AH6" s="1">
        <f t="shared" si="20"/>
        <v>8.8000000000000007</v>
      </c>
      <c r="AI6" s="1">
        <f t="shared" si="9"/>
        <v>2.2000000000000002</v>
      </c>
      <c r="AJ6" s="20">
        <f>+(W6*Forudsætninger!$C$12)</f>
        <v>0</v>
      </c>
      <c r="AK6" s="20">
        <f>Forudsætninger!$C$17</f>
        <v>250</v>
      </c>
      <c r="AL6" s="20">
        <f>IF(A6&lt;92,Forudsætninger!$C$20,Forudsætninger!$C$21)</f>
        <v>4.0072859744990899</v>
      </c>
      <c r="AM6" s="20">
        <f t="shared" si="15"/>
        <v>16.029143897996359</v>
      </c>
      <c r="AN6" s="20">
        <f>IFERROR(AD6+AJ6-AA6-Z6-AK6-AM6-Forudsætninger!$C$75,-99999999)</f>
        <v>-1056.07065739366</v>
      </c>
      <c r="AO6" s="19">
        <f>IFERROR(AN6/(A6+Forudsætninger!$C$74),-99999999)</f>
        <v>-264.017664348415</v>
      </c>
      <c r="AP6" s="19">
        <f>IFERROR(((365/(A6+Forudsætninger!$C$74))*AN6)/(AI6+Forudsætninger!$C$73),-9999999)</f>
        <v>-41717.076834273365</v>
      </c>
      <c r="AQ6" s="18">
        <f t="shared" si="10"/>
        <v>4</v>
      </c>
      <c r="AR6" s="18">
        <f t="shared" si="16"/>
        <v>1737.908329981464</v>
      </c>
      <c r="AS6" s="52">
        <f t="shared" si="1"/>
        <v>1.4</v>
      </c>
      <c r="AT6" s="50">
        <f t="shared" si="21"/>
        <v>-25.452285259953669</v>
      </c>
      <c r="AU6" s="50">
        <f t="shared" si="22"/>
        <v>79.521793029487128</v>
      </c>
      <c r="AV6" s="2">
        <f t="shared" si="23"/>
        <v>12565.131799031515</v>
      </c>
      <c r="AW6" s="61">
        <f t="shared" si="17"/>
        <v>-260.0103783739159</v>
      </c>
      <c r="BA6" s="16"/>
      <c r="BB6" s="2"/>
    </row>
    <row r="7" spans="1:59" x14ac:dyDescent="0.25">
      <c r="A7">
        <v>5</v>
      </c>
      <c r="B7" s="1">
        <f>ROUND((A7+Forudsætninger!$C$60)/30.4,1)</f>
        <v>1.4</v>
      </c>
      <c r="C7" s="1">
        <f>VLOOKUP((A7+Forudsætninger!$C$60),'Model tilvækst, slagteform, fe'!A:B,2,FALSE)</f>
        <v>69.342579207018957</v>
      </c>
      <c r="D7" s="3">
        <f t="shared" si="24"/>
        <v>870.28219298738918</v>
      </c>
      <c r="E7" s="1">
        <f>(1+Forudsætninger!$C$78)*C7</f>
        <v>64.488598662527622</v>
      </c>
      <c r="F7" s="2">
        <f t="shared" si="25"/>
        <v>8.3135592611970264</v>
      </c>
      <c r="G7" s="1">
        <f t="shared" si="2"/>
        <v>72.80215792372465</v>
      </c>
      <c r="H7" s="3">
        <f t="shared" si="3"/>
        <v>784.49723396434479</v>
      </c>
      <c r="I7" s="3">
        <f t="shared" si="4"/>
        <v>760.43158474492998</v>
      </c>
      <c r="J7" s="1">
        <f>VLOOKUP((A7+Forudsætninger!$C$60),'Model tilvækst, slagteform, fe'!G:K,2,FALSE)*(1+Forudsætninger!$C$79)</f>
        <v>46.632964994887082</v>
      </c>
      <c r="K7" s="17">
        <f t="shared" si="0"/>
        <v>33.949804820092929</v>
      </c>
      <c r="L7" s="17">
        <f t="shared" si="18"/>
        <v>377.7612895209046</v>
      </c>
      <c r="M7" s="3">
        <f>((K7-(('Model tilvækst, slagteform, fe'!$H$9/100)*'Model tilvækst, slagteform, fe'!$B$9))*1000/(A7+Forudsætninger!$C$60))</f>
        <v>306.88410890190988</v>
      </c>
      <c r="N7" s="17">
        <f t="shared" si="11"/>
        <v>9.4571531824971871</v>
      </c>
      <c r="O7" s="19">
        <f>IF( A7&lt;Forudsætninger!$C$14,(G7/100)*Forudsætninger!$C$13,(Forudsætninger!$C$15/1000)*Forudsætninger!$C$13)</f>
        <v>0.47321402650421024</v>
      </c>
      <c r="P7" s="17" cm="1">
        <f t="array" ref="P7">INDEX('Model tilvækst, slagteform, fe'!$N$9:$N$375,MATCH(MIN(ABS('Model tilvækst, slagteform, fe'!$M$9:$M$375-'Vækstfunktion, hol'!G7)),ABS('Model tilvækst, slagteform, fe'!$M$9:$M$375-'Vækstfunktion, hol'!G7),0))*(1+Forudsætninger!$C$80)</f>
        <v>1.9267104634896468</v>
      </c>
      <c r="Q7" s="17">
        <f t="shared" si="12"/>
        <v>5.1003385390101661</v>
      </c>
      <c r="R7" s="17">
        <f t="shared" si="13"/>
        <v>5.1675893411407623</v>
      </c>
      <c r="S7" s="17">
        <f t="shared" si="5"/>
        <v>2.487312040219734</v>
      </c>
      <c r="T7" s="19">
        <f>(P7)*IF(N7&lt;Forudsætninger!$B$228,IF(N7&lt;Forudsætninger!$B$227,Forudsætninger!$B$225,Forudsætninger!$C$9),Forudsætninger!$C$11)+O7</f>
        <v>31.185308166745159</v>
      </c>
      <c r="U7" s="2">
        <f>Forudsætninger!$C$68+((K7-(Forudsætninger!$C$84)))*0.01</f>
        <v>2.0365509071895698</v>
      </c>
      <c r="V7" s="2">
        <f>U7+Forudsætninger!$C$69</f>
        <v>1.0365509071895698</v>
      </c>
      <c r="W7">
        <f t="shared" si="6"/>
        <v>0</v>
      </c>
      <c r="X7">
        <f>IF(A7+Forudsætninger!$C$60&gt;248,IF(A7+Forudsætninger!$C$60&lt;365,IF(K7&gt;180,IF(K7&lt;260,1,0),0),0),0)</f>
        <v>0</v>
      </c>
      <c r="Y7" s="22">
        <f>IF(X7=0,0,IF('Vækstfunktion, hol'!A7&lt;Forudsætninger!$C$66,Forudsætninger!$C$67+(('Vækstfunktion, hol'!A7-Forudsætninger!$C$66)/7)*Forudsætninger!$C$64,Forudsætninger!$C$67))</f>
        <v>0</v>
      </c>
      <c r="Z7" s="19">
        <f t="shared" si="19"/>
        <v>153.06449425021276</v>
      </c>
      <c r="AA7" s="19">
        <f>Forudsætninger!$C$62+Forudsætninger!$C$16</f>
        <v>1350</v>
      </c>
      <c r="AB7" s="19">
        <f>IF(K7&gt;Forudsætninger!$C$26,IF(K7&gt;Forudsætninger!$C$27,IF(K7&gt;Forudsætninger!$C$28,Forudsætninger!$E$28,Forudsætninger!$E$27+Forudsætninger!$F$28*(K7-Forudsætninger!$C$27)),Forudsætninger!$E$26+Forudsætninger!$F$27*(K7-Forudsætninger!$C$26)),Forudsætninger!$E$26)+IF(K7&gt;Forudsætninger!$C$28,Forudsætninger!$G$28,IF(K7&gt;Forudsætninger!$C$27,Forudsætninger!$G$27+Forudsætninger!$H$28*(K7-Forudsætninger!$C$27),IF(K7&gt;Forudsætninger!$C$26,Forudsætninger!$G$26+Forudsætninger!$H$27*(K7-Forudsætninger!$C$26),Forudsætninger!$G$26)))*(U7-Forudsætninger!$H$26)</f>
        <v>32.877413180392182</v>
      </c>
      <c r="AC7" s="19">
        <f>IF(K7&gt;Forudsætninger!$C$31,IF(K7&gt;Forudsætninger!$C$32,IF(K7&gt;Forudsætninger!$C$33,Forudsætninger!$E$33,Forudsætninger!$E$32+Forudsætninger!$F$33*(K7-Forudsætninger!$C$32)),Forudsætninger!$E$31+Forudsætninger!$F$32*(K7-Forudsætninger!$C$31)),Forudsætninger!$E$31)+IF(K7&gt;Forudsætninger!$C$33,Forudsætninger!$G$33,IF(K7&gt;Forudsætninger!$C$32,Forudsætninger!$G$32+Forudsætninger!$H$33*(K7-Forudsætninger!$C$32),IF(K7&gt;Forudsætninger!$C$31,Forudsætninger!$G$31+Forudsætninger!$H$32*(K7-Forudsætninger!$C$31),Forudsætninger!$G$31)))*(V7-Forudsætninger!$H$31)</f>
        <v>25.747516179346441</v>
      </c>
      <c r="AD7" s="19">
        <f t="shared" si="7"/>
        <v>874.1231488909965</v>
      </c>
      <c r="AE7" s="19">
        <f t="shared" si="8"/>
        <v>25.747516179346441</v>
      </c>
      <c r="AF7">
        <f>IF(G7&lt;=Forudsætninger!$C$97,Forudsætninger!$C$98,(IF(G7&lt;=Forudsætninger!$D$97,Forudsætninger!$D$98,IF(G7&lt;=Forudsætninger!$E$97,Forudsætninger!$E$98,IF(G7&lt;=Forudsætninger!$F$97,Forudsætninger!$F$98,IF(G7&lt;=Forudsætninger!$G$97,Forudsætninger!$G$98,IF(G7&lt;=Forudsætninger!$H$97,Forudsætninger!$H$98,IF(G7&lt;=Forudsætninger!$I$97,Forudsætninger!$I$98,Forudsætninger!$I$98))))))))</f>
        <v>1.8</v>
      </c>
      <c r="AG7" s="1">
        <f t="shared" si="14"/>
        <v>2.2000000000000002</v>
      </c>
      <c r="AH7" s="1">
        <f t="shared" si="20"/>
        <v>11</v>
      </c>
      <c r="AI7" s="1">
        <f t="shared" si="9"/>
        <v>2.2000000000000002</v>
      </c>
      <c r="AJ7" s="20">
        <f>+(W7*Forudsætninger!$C$12)</f>
        <v>0</v>
      </c>
      <c r="AK7" s="20">
        <f>Forudsætninger!$C$17</f>
        <v>250</v>
      </c>
      <c r="AL7" s="20">
        <f>IF(A7&lt;92,Forudsætninger!$C$20,Forudsætninger!$C$21)</f>
        <v>4.0072859744990899</v>
      </c>
      <c r="AM7" s="20">
        <f t="shared" si="15"/>
        <v>20.03642987249545</v>
      </c>
      <c r="AN7" s="20">
        <f>IFERROR(AD7+AJ7-AA7-Z7-AK7-AM7-Forudsætninger!$C$75,-99999999)</f>
        <v>-1081.3719677811062</v>
      </c>
      <c r="AO7" s="19">
        <f>IFERROR(AN7/(A7+Forudsætninger!$C$74),-99999999)</f>
        <v>-216.27439355622124</v>
      </c>
      <c r="AP7" s="19">
        <f>IFERROR(((365/(A7+Forudsætninger!$C$74))*AN7)/(AI7+Forudsætninger!$C$73),-9999999)</f>
        <v>-34173.226687454866</v>
      </c>
      <c r="AQ7" s="18">
        <f t="shared" si="10"/>
        <v>5</v>
      </c>
      <c r="AR7" s="18">
        <f t="shared" si="16"/>
        <v>1773.1009241227082</v>
      </c>
      <c r="AS7" s="52">
        <f t="shared" si="1"/>
        <v>1.4</v>
      </c>
      <c r="AT7" s="50">
        <f t="shared" si="21"/>
        <v>-25.301310387446165</v>
      </c>
      <c r="AU7" s="50">
        <f t="shared" si="22"/>
        <v>47.743270792193755</v>
      </c>
      <c r="AV7" s="2">
        <f t="shared" si="23"/>
        <v>7543.8501468184986</v>
      </c>
      <c r="AW7" s="61">
        <f t="shared" si="17"/>
        <v>-212.26710758172212</v>
      </c>
      <c r="BA7" s="16"/>
      <c r="BB7" s="2"/>
    </row>
    <row r="8" spans="1:59" x14ac:dyDescent="0.25">
      <c r="A8">
        <v>6</v>
      </c>
      <c r="B8" s="1">
        <f>ROUND((A8+Forudsætninger!$C$60)/30.4,1)</f>
        <v>1.5</v>
      </c>
      <c r="C8" s="1">
        <f>VLOOKUP((A8+Forudsætninger!$C$60),'Model tilvækst, slagteform, fe'!A:B,2,FALSE)</f>
        <v>70.225935877644659</v>
      </c>
      <c r="D8" s="3">
        <f>(C8-C7)*1000</f>
        <v>883.35667062570167</v>
      </c>
      <c r="E8" s="1">
        <f>(1+Forudsætninger!$C$78)*C8</f>
        <v>65.310120366209532</v>
      </c>
      <c r="F8" s="2">
        <f>MAX(F7-((D8/1000)/35),0)</f>
        <v>8.2883204991791484</v>
      </c>
      <c r="G8" s="1">
        <f t="shared" si="2"/>
        <v>73.598440865388682</v>
      </c>
      <c r="H8" s="3">
        <f t="shared" si="3"/>
        <v>796.2829416640318</v>
      </c>
      <c r="I8" s="3">
        <f t="shared" si="4"/>
        <v>766.40681089811369</v>
      </c>
      <c r="J8" s="1">
        <f>VLOOKUP((A8+Forudsætninger!$C$60),'Model tilvækst, slagteform, fe'!G:K,2,FALSE)*(1+Forudsætninger!$C$79)</f>
        <v>46.649547039754033</v>
      </c>
      <c r="K8" s="17">
        <f t="shared" si="0"/>
        <v>34.333339292025052</v>
      </c>
      <c r="L8" s="17">
        <f t="shared" si="18"/>
        <v>383.53447193212276</v>
      </c>
      <c r="M8" s="3">
        <f>((K8-(('Model tilvækst, slagteform, fe'!$H$9/100)*'Model tilvækst, slagteform, fe'!$B$9))*1000/(A8+Forudsætninger!$C$60))</f>
        <v>308.58745030258126</v>
      </c>
      <c r="N8" s="17">
        <f t="shared" si="11"/>
        <v>11.419237877059945</v>
      </c>
      <c r="O8" s="19">
        <f>IF( A8&lt;Forudsætninger!$C$14,(G8/100)*Forudsætninger!$C$13,(Forudsætninger!$C$15/1000)*Forudsætninger!$C$13)</f>
        <v>0.47838986562502644</v>
      </c>
      <c r="P8" s="17" cm="1">
        <f t="array" ref="P8">INDEX('Model tilvækst, slagteform, fe'!$N$9:$N$375,MATCH(MIN(ABS('Model tilvækst, slagteform, fe'!$M$9:$M$375-'Vækstfunktion, hol'!G8)),ABS('Model tilvækst, slagteform, fe'!$M$9:$M$375-'Vækstfunktion, hol'!G8),0))*(1+Forudsætninger!$C$80)</f>
        <v>1.9620846945627579</v>
      </c>
      <c r="Q8" s="17">
        <f t="shared" si="12"/>
        <v>5.1157975049241573</v>
      </c>
      <c r="R8" s="17">
        <f t="shared" si="13"/>
        <v>5.1586158429294713</v>
      </c>
      <c r="S8" s="17">
        <f t="shared" si="5"/>
        <v>2.4832847069992141</v>
      </c>
      <c r="T8" s="19">
        <f>(P8)*IF(N8&lt;Forudsætninger!$B$228,IF(N8&lt;Forudsætninger!$B$227,Forudsætninger!$B$225,Forudsætninger!$C$9),Forudsætninger!$C$11)+O8</f>
        <v>31.754355296048473</v>
      </c>
      <c r="U8" s="2">
        <f>Forudsætninger!$C$68+((K8-(Forudsætninger!$C$84)))*0.01</f>
        <v>2.0403862519088909</v>
      </c>
      <c r="V8" s="2">
        <f>U8+Forudsætninger!$C$69</f>
        <v>1.0403862519088909</v>
      </c>
      <c r="W8">
        <f t="shared" si="6"/>
        <v>0</v>
      </c>
      <c r="X8">
        <f>IF(A8+Forudsætninger!$C$60&gt;248,IF(A8+Forudsætninger!$C$60&lt;365,IF(K8&gt;180,IF(K8&lt;260,1,0),0),0),0)</f>
        <v>0</v>
      </c>
      <c r="Y8" s="22">
        <f>IF(X8=0,0,IF('Vækstfunktion, hol'!A8&lt;Forudsætninger!$C$66,Forudsætninger!$C$67+(('Vækstfunktion, hol'!A8-Forudsætninger!$C$66)/7)*Forudsætninger!$C$64,Forudsætninger!$C$67))</f>
        <v>0</v>
      </c>
      <c r="Z8" s="19">
        <f>Z7+T8</f>
        <v>184.81884954626122</v>
      </c>
      <c r="AA8" s="19">
        <f>Forudsætninger!$C$62+Forudsætninger!$C$16</f>
        <v>1350</v>
      </c>
      <c r="AB8" s="19">
        <f>IF(K8&gt;Forudsætninger!$C$26,IF(K8&gt;Forudsætninger!$C$27,IF(K8&gt;Forudsætninger!$C$28,Forudsætninger!$E$28,Forudsætninger!$E$27+Forudsætninger!$F$28*(K8-Forudsætninger!$C$27)),Forudsætninger!$E$26+Forudsætninger!$F$27*(K8-Forudsætninger!$C$26)),Forudsætninger!$E$26)+IF(K8&gt;Forudsætninger!$C$28,Forudsætninger!$G$28,IF(K8&gt;Forudsætninger!$C$27,Forudsætninger!$G$27+Forudsætninger!$H$28*(K8-Forudsætninger!$C$27),IF(K8&gt;Forudsætninger!$C$26,Forudsætninger!$G$26+Forudsætninger!$H$27*(K8-Forudsætninger!$C$26),Forudsætninger!$G$26)))*(U8-Forudsætninger!$H$26)</f>
        <v>32.880289688931668</v>
      </c>
      <c r="AC8" s="19">
        <f>IF(K8&gt;Forudsætninger!$C$31,IF(K8&gt;Forudsætninger!$C$32,IF(K8&gt;Forudsætninger!$C$33,Forudsætninger!$E$33,Forudsætninger!$E$32+Forudsætninger!$F$33*(K8-Forudsætninger!$C$32)),Forudsætninger!$E$31+Forudsætninger!$F$32*(K8-Forudsætninger!$C$31)),Forudsætninger!$E$31)+IF(K8&gt;Forudsætninger!$C$33,Forudsætninger!$G$33,IF(K8&gt;Forudsætninger!$C$32,Forudsætninger!$G$32+Forudsætninger!$H$33*(K8-Forudsætninger!$C$32),IF(K8&gt;Forudsætninger!$C$31,Forudsætninger!$G$31+Forudsætninger!$H$32*(K8-Forudsætninger!$C$31),Forudsætninger!$G$31)))*(V8-Forudsætninger!$H$31)</f>
        <v>25.752502127481556</v>
      </c>
      <c r="AD8" s="19">
        <f t="shared" si="7"/>
        <v>884.16939316142123</v>
      </c>
      <c r="AE8" s="19">
        <f t="shared" si="8"/>
        <v>25.752502127481556</v>
      </c>
      <c r="AF8">
        <f>IF(G8&lt;=Forudsætninger!$C$97,Forudsætninger!$C$98,(IF(G8&lt;=Forudsætninger!$D$97,Forudsætninger!$D$98,IF(G8&lt;=Forudsætninger!$E$97,Forudsætninger!$E$98,IF(G8&lt;=Forudsætninger!$F$97,Forudsætninger!$F$98,IF(G8&lt;=Forudsætninger!$G$97,Forudsætninger!$G$98,IF(G8&lt;=Forudsætninger!$H$97,Forudsætninger!$H$98,IF(G8&lt;=Forudsætninger!$I$97,Forudsætninger!$I$98,Forudsætninger!$I$98))))))))</f>
        <v>1.8</v>
      </c>
      <c r="AG8" s="1">
        <f t="shared" si="14"/>
        <v>2.2000000000000002</v>
      </c>
      <c r="AH8" s="1">
        <f t="shared" si="20"/>
        <v>13.2</v>
      </c>
      <c r="AI8" s="1">
        <f t="shared" si="9"/>
        <v>2.1999999999999997</v>
      </c>
      <c r="AJ8" s="20">
        <f>+(W8*Forudsætninger!$C$12)</f>
        <v>0</v>
      </c>
      <c r="AK8" s="20">
        <f>Forudsætninger!$C$17</f>
        <v>250</v>
      </c>
      <c r="AL8" s="20">
        <f>IF(A8&lt;92,Forudsætninger!$C$20,Forudsætninger!$C$21)</f>
        <v>4.0072859744990899</v>
      </c>
      <c r="AM8" s="20">
        <f t="shared" si="15"/>
        <v>24.043715846994541</v>
      </c>
      <c r="AN8" s="20">
        <f>IFERROR(AD8+AJ8-AA8-Z8-AK8-AM8-Forudsætninger!$C$75,-99999999)</f>
        <v>-1107.0873647812291</v>
      </c>
      <c r="AO8" s="19">
        <f>IFERROR(AN8/(A8+Forudsætninger!$C$74),-99999999)</f>
        <v>-184.51456079687151</v>
      </c>
      <c r="AP8" s="19">
        <f>IFERROR(((365/(A8+Forudsætninger!$C$74))*AN8)/(AI8+Forudsætninger!$C$73),-9999999)</f>
        <v>-29154.898134570616</v>
      </c>
      <c r="AQ8" s="18">
        <f t="shared" si="10"/>
        <v>6</v>
      </c>
      <c r="AR8" s="18">
        <f t="shared" si="16"/>
        <v>1808.8625653932556</v>
      </c>
      <c r="AS8" s="52">
        <f t="shared" si="1"/>
        <v>1.5</v>
      </c>
      <c r="AT8" s="50">
        <f t="shared" si="21"/>
        <v>-25.715397000122948</v>
      </c>
      <c r="AU8" s="50">
        <f t="shared" si="22"/>
        <v>31.759832759349734</v>
      </c>
      <c r="AV8" s="2">
        <f t="shared" si="23"/>
        <v>5018.3285528842498</v>
      </c>
      <c r="AW8" s="61">
        <f t="shared" si="17"/>
        <v>-180.50727482237244</v>
      </c>
      <c r="BA8" s="16"/>
      <c r="BB8" s="2"/>
    </row>
    <row r="9" spans="1:59" x14ac:dyDescent="0.25">
      <c r="A9">
        <v>7</v>
      </c>
      <c r="B9" s="1">
        <f>ROUND((A9+Forudsætninger!$C$60)/30.4,1)</f>
        <v>1.5</v>
      </c>
      <c r="C9" s="1">
        <f>VLOOKUP((A9+Forudsætninger!$C$60),'Model tilvækst, slagteform, fe'!A:B,2,FALSE)</f>
        <v>71.122230891415143</v>
      </c>
      <c r="D9" s="3">
        <f t="shared" si="24"/>
        <v>896.29501377048371</v>
      </c>
      <c r="E9" s="1">
        <f>(1+Forudsætninger!$C$78)*C9</f>
        <v>66.143674729016084</v>
      </c>
      <c r="F9" s="2">
        <f t="shared" si="25"/>
        <v>8.2627120702142776</v>
      </c>
      <c r="G9" s="1">
        <f t="shared" si="2"/>
        <v>74.406386799230361</v>
      </c>
      <c r="H9" s="3">
        <f t="shared" si="3"/>
        <v>807.94593384167968</v>
      </c>
      <c r="I9" s="3">
        <f t="shared" si="4"/>
        <v>772.34097131862302</v>
      </c>
      <c r="J9" s="1">
        <f>VLOOKUP((A9+Forudsætninger!$C$60),'Model tilvækst, slagteform, fe'!G:K,2,FALSE)*(1+Forudsætninger!$C$79)</f>
        <v>46.66615277757311</v>
      </c>
      <c r="K9" s="17">
        <f t="shared" si="0"/>
        <v>34.722598140000834</v>
      </c>
      <c r="L9" s="17">
        <f t="shared" si="18"/>
        <v>389.25884797578192</v>
      </c>
      <c r="M9" s="3">
        <f>((K9-(('Model tilvækst, slagteform, fe'!$H$9/100)*'Model tilvækst, slagteform, fe'!$B$9))*1000/(A9+Forudsætninger!$C$60))</f>
        <v>310.34117633895517</v>
      </c>
      <c r="N9" s="17">
        <f t="shared" si="11"/>
        <v>13.416768866881235</v>
      </c>
      <c r="O9" s="19">
        <f>IF( A9&lt;Forudsætninger!$C$14,(G9/100)*Forudsætninger!$C$13,(Forudsætninger!$C$15/1000)*Forudsætninger!$C$13)</f>
        <v>0.48364151419499735</v>
      </c>
      <c r="P9" s="17" cm="1">
        <f t="array" ref="P9">INDEX('Model tilvækst, slagteform, fe'!$N$9:$N$375,MATCH(MIN(ABS('Model tilvækst, slagteform, fe'!$M$9:$M$375-'Vækstfunktion, hol'!G9)),ABS('Model tilvækst, slagteform, fe'!$M$9:$M$375-'Vækstfunktion, hol'!G9),0))*(1+Forudsætninger!$C$80)</f>
        <v>1.9975309898212887</v>
      </c>
      <c r="Q9" s="17">
        <f t="shared" si="12"/>
        <v>5.1316264234167566</v>
      </c>
      <c r="R9" s="17">
        <f t="shared" si="13"/>
        <v>5.1545795995162189</v>
      </c>
      <c r="S9" s="17">
        <f t="shared" si="5"/>
        <v>2.4816516770111989</v>
      </c>
      <c r="T9" s="19">
        <f>(P9)*IF(N9&lt;Forudsætninger!$B$228,IF(N9&lt;Forudsætninger!$B$227,Forudsætninger!$B$225,Forudsætninger!$C$9),Forudsætninger!$C$11)+O9</f>
        <v>32.324626950235199</v>
      </c>
      <c r="U9" s="2">
        <f>Forudsætninger!$C$68+((K9-(Forudsætninger!$C$84)))*0.01</f>
        <v>2.0442788403886487</v>
      </c>
      <c r="V9" s="2">
        <f>U9+Forudsætninger!$C$69</f>
        <v>1.0442788403886487</v>
      </c>
      <c r="W9">
        <f t="shared" si="6"/>
        <v>0</v>
      </c>
      <c r="X9">
        <f>IF(A9+Forudsætninger!$C$60&gt;248,IF(A9+Forudsætninger!$C$60&lt;365,IF(K9&gt;180,IF(K9&lt;260,1,0),0),0),0)</f>
        <v>0</v>
      </c>
      <c r="Y9" s="22">
        <f>IF(X9=0,0,IF('Vækstfunktion, hol'!A9&lt;Forudsætninger!$C$66,Forudsætninger!$C$67+(('Vækstfunktion, hol'!A9-Forudsætninger!$C$66)/7)*Forudsætninger!$C$64,Forudsætninger!$C$67))</f>
        <v>0</v>
      </c>
      <c r="Z9" s="19">
        <f t="shared" si="19"/>
        <v>217.14347649649642</v>
      </c>
      <c r="AA9" s="19">
        <f>Forudsætninger!$C$62+Forudsætninger!$C$16</f>
        <v>1350</v>
      </c>
      <c r="AB9" s="19">
        <f>IF(K9&gt;Forudsætninger!$C$26,IF(K9&gt;Forudsætninger!$C$27,IF(K9&gt;Forudsætninger!$C$28,Forudsætninger!$E$28,Forudsætninger!$E$27+Forudsætninger!$F$28*(K9-Forudsætninger!$C$27)),Forudsætninger!$E$26+Forudsætninger!$F$27*(K9-Forudsætninger!$C$26)),Forudsætninger!$E$26)+IF(K9&gt;Forudsætninger!$C$28,Forudsætninger!$G$28,IF(K9&gt;Forudsætninger!$C$27,Forudsætninger!$G$27+Forudsætninger!$H$28*(K9-Forudsætninger!$C$27),IF(K9&gt;Forudsætninger!$C$26,Forudsætninger!$G$26+Forudsætninger!$H$27*(K9-Forudsætninger!$C$26),Forudsætninger!$G$26)))*(U9-Forudsætninger!$H$26)</f>
        <v>32.88320913029149</v>
      </c>
      <c r="AC9" s="19">
        <f>IF(K9&gt;Forudsætninger!$C$31,IF(K9&gt;Forudsætninger!$C$32,IF(K9&gt;Forudsætninger!$C$33,Forudsætninger!$E$33,Forudsætninger!$E$32+Forudsætninger!$F$33*(K9-Forudsætninger!$C$32)),Forudsætninger!$E$31+Forudsætninger!$F$32*(K9-Forudsætninger!$C$31)),Forudsætninger!$E$31)+IF(K9&gt;Forudsætninger!$C$33,Forudsætninger!$G$33,IF(K9&gt;Forudsætninger!$C$32,Forudsætninger!$G$32+Forudsætninger!$H$33*(K9-Forudsætninger!$C$32),IF(K9&gt;Forudsætninger!$C$31,Forudsætninger!$G$31+Forudsætninger!$H$32*(K9-Forudsætninger!$C$31),Forudsætninger!$G$31)))*(V9-Forudsætninger!$H$31)</f>
        <v>25.757562492505244</v>
      </c>
      <c r="AD9" s="19">
        <f t="shared" si="7"/>
        <v>894.36949149321777</v>
      </c>
      <c r="AE9" s="19">
        <f t="shared" si="8"/>
        <v>25.757562492505244</v>
      </c>
      <c r="AF9">
        <f>IF(G9&lt;=Forudsætninger!$C$97,Forudsætninger!$C$98,(IF(G9&lt;=Forudsætninger!$D$97,Forudsætninger!$D$98,IF(G9&lt;=Forudsætninger!$E$97,Forudsætninger!$E$98,IF(G9&lt;=Forudsætninger!$F$97,Forudsætninger!$F$98,IF(G9&lt;=Forudsætninger!$G$97,Forudsætninger!$G$98,IF(G9&lt;=Forudsætninger!$H$97,Forudsætninger!$H$98,IF(G9&lt;=Forudsætninger!$I$97,Forudsætninger!$I$98,Forudsætninger!$I$98))))))))</f>
        <v>1.8</v>
      </c>
      <c r="AG9" s="1">
        <f t="shared" si="14"/>
        <v>2.2000000000000002</v>
      </c>
      <c r="AH9" s="1">
        <f t="shared" si="20"/>
        <v>15.399999999999999</v>
      </c>
      <c r="AI9" s="1">
        <f t="shared" si="9"/>
        <v>2.1999999999999997</v>
      </c>
      <c r="AJ9" s="20">
        <f>+(W9*Forudsætninger!$C$12)</f>
        <v>0</v>
      </c>
      <c r="AK9" s="20">
        <f>Forudsætninger!$C$17</f>
        <v>250</v>
      </c>
      <c r="AL9" s="20">
        <f>IF(A9&lt;92,Forudsætninger!$C$20,Forudsætninger!$C$21)</f>
        <v>4.0072859744990899</v>
      </c>
      <c r="AM9" s="20">
        <f t="shared" si="15"/>
        <v>28.051001821493632</v>
      </c>
      <c r="AN9" s="20">
        <f>IFERROR(AD9+AJ9-AA9-Z9-AK9-AM9-Forudsætninger!$C$75,-99999999)</f>
        <v>-1133.2191793741667</v>
      </c>
      <c r="AO9" s="19">
        <f>IFERROR(AN9/(A9+Forudsætninger!$C$74),-99999999)</f>
        <v>-161.88845419630954</v>
      </c>
      <c r="AP9" s="19">
        <f>IFERROR(((365/(A9+Forudsætninger!$C$74))*AN9)/(AI9+Forudsætninger!$C$73),-9999999)</f>
        <v>-25579.777394654979</v>
      </c>
      <c r="AQ9" s="18">
        <f t="shared" si="10"/>
        <v>7</v>
      </c>
      <c r="AR9" s="18">
        <f t="shared" si="16"/>
        <v>1845.1944783179902</v>
      </c>
      <c r="AS9" s="52">
        <f t="shared" si="1"/>
        <v>1.5</v>
      </c>
      <c r="AT9" s="50">
        <f t="shared" si="21"/>
        <v>-26.131814592937644</v>
      </c>
      <c r="AU9" s="50">
        <f t="shared" si="22"/>
        <v>22.626106600561968</v>
      </c>
      <c r="AV9" s="2">
        <f t="shared" si="23"/>
        <v>3575.1207399156374</v>
      </c>
      <c r="AW9" s="61">
        <f t="shared" si="17"/>
        <v>-157.88116822181044</v>
      </c>
      <c r="BA9" s="16"/>
      <c r="BB9" s="2"/>
    </row>
    <row r="10" spans="1:59" x14ac:dyDescent="0.25">
      <c r="A10">
        <v>8</v>
      </c>
      <c r="B10" s="1">
        <f>ROUND((A10+Forudsætninger!$C$60)/30.4,1)</f>
        <v>1.5</v>
      </c>
      <c r="C10" s="1">
        <f>VLOOKUP((A10+Forudsætninger!$C$60),'Model tilvækst, slagteform, fe'!A:B,2,FALSE)</f>
        <v>72.031328648184385</v>
      </c>
      <c r="D10" s="3">
        <f t="shared" si="24"/>
        <v>909.09775676924198</v>
      </c>
      <c r="E10" s="1">
        <f>(1+Forudsætninger!$C$78)*C10</f>
        <v>66.989135642811476</v>
      </c>
      <c r="F10" s="2">
        <f t="shared" si="25"/>
        <v>8.2367378485922984</v>
      </c>
      <c r="G10" s="1">
        <f t="shared" si="2"/>
        <v>75.225873491403775</v>
      </c>
      <c r="H10" s="3">
        <f t="shared" si="3"/>
        <v>819.48669217341319</v>
      </c>
      <c r="I10" s="3">
        <f t="shared" si="4"/>
        <v>778.23418642547176</v>
      </c>
      <c r="J10" s="1">
        <f>VLOOKUP((A10+Forudsætninger!$C$60),'Model tilvækst, slagteform, fe'!G:K,2,FALSE)*(1+Forudsætninger!$C$79)</f>
        <v>46.682785028933857</v>
      </c>
      <c r="K10" s="17">
        <f t="shared" si="0"/>
        <v>35.117532808129766</v>
      </c>
      <c r="L10" s="17">
        <f t="shared" si="18"/>
        <v>394.93466812893274</v>
      </c>
      <c r="M10" s="3">
        <f>((K10-(('Model tilvækst, slagteform, fe'!$H$9/100)*'Model tilvækst, slagteform, fe'!$B$9))*1000/(A10+Forudsætninger!$C$60))</f>
        <v>312.14103786640152</v>
      </c>
      <c r="N10" s="17">
        <f t="shared" si="11"/>
        <v>15.414299856702524</v>
      </c>
      <c r="O10" s="19">
        <f>IF( A10&lt;Forudsætninger!$C$14,(G10/100)*Forudsætninger!$C$13,(Forudsætninger!$C$15/1000)*Forudsætninger!$C$13)</f>
        <v>0.48896817769412454</v>
      </c>
      <c r="P10" s="17" cm="1">
        <f t="array" ref="P10">INDEX('Model tilvækst, slagteform, fe'!$N$9:$N$375,MATCH(MIN(ABS('Model tilvækst, slagteform, fe'!$M$9:$M$375-'Vækstfunktion, hol'!G10)),ABS('Model tilvækst, slagteform, fe'!$M$9:$M$375-'Vækstfunktion, hol'!G10),0))*(1+Forudsætninger!$C$80)</f>
        <v>1.9975309898212887</v>
      </c>
      <c r="Q10" s="17">
        <f t="shared" si="12"/>
        <v>5.0578770389667662</v>
      </c>
      <c r="R10" s="17">
        <f t="shared" si="13"/>
        <v>5.141839935272559</v>
      </c>
      <c r="S10" s="17">
        <f t="shared" si="5"/>
        <v>2.4758453376840133</v>
      </c>
      <c r="T10" s="19">
        <f>(P10)*IF(N10&lt;Forudsætninger!$B$228,IF(N10&lt;Forudsætninger!$B$227,Forudsætninger!$B$225,Forudsætninger!$C$9),Forudsætninger!$C$11)+O10</f>
        <v>32.329953613734325</v>
      </c>
      <c r="U10" s="2">
        <f>Forudsætninger!$C$68+((K10-(Forudsætninger!$C$84)))*0.01</f>
        <v>2.0482281870699381</v>
      </c>
      <c r="V10" s="2">
        <f>U10+Forudsætninger!$C$69</f>
        <v>1.0482281870699381</v>
      </c>
      <c r="W10">
        <f t="shared" si="6"/>
        <v>0</v>
      </c>
      <c r="X10">
        <f>IF(A10+Forudsætninger!$C$60&gt;248,IF(A10+Forudsætninger!$C$60&lt;365,IF(K10&gt;180,IF(K10&lt;260,1,0),0),0),0)</f>
        <v>0</v>
      </c>
      <c r="Y10" s="22">
        <f>IF(X10=0,0,IF('Vækstfunktion, hol'!A10&lt;Forudsætninger!$C$66,Forudsætninger!$C$67+(('Vækstfunktion, hol'!A10-Forudsætninger!$C$66)/7)*Forudsætninger!$C$64,Forudsætninger!$C$67))</f>
        <v>0</v>
      </c>
      <c r="Z10" s="19">
        <f t="shared" si="19"/>
        <v>249.47343011023074</v>
      </c>
      <c r="AA10" s="19">
        <f>Forudsætninger!$C$62+Forudsætninger!$C$16</f>
        <v>1350</v>
      </c>
      <c r="AB10" s="19">
        <f>IF(K10&gt;Forudsætninger!$C$26,IF(K10&gt;Forudsætninger!$C$27,IF(K10&gt;Forudsætninger!$C$28,Forudsætninger!$E$28,Forudsætninger!$E$27+Forudsætninger!$F$28*(K10-Forudsætninger!$C$27)),Forudsætninger!$E$26+Forudsætninger!$F$27*(K10-Forudsætninger!$C$26)),Forudsætninger!$E$26)+IF(K10&gt;Forudsætninger!$C$28,Forudsætninger!$G$28,IF(K10&gt;Forudsætninger!$C$27,Forudsætninger!$G$27+Forudsætninger!$H$28*(K10-Forudsætninger!$C$27),IF(K10&gt;Forudsætninger!$C$26,Forudsætninger!$G$26+Forudsætninger!$H$27*(K10-Forudsætninger!$C$26),Forudsætninger!$G$26)))*(U10-Forudsætninger!$H$26)</f>
        <v>32.886171140302451</v>
      </c>
      <c r="AC10" s="19">
        <f>IF(K10&gt;Forudsætninger!$C$31,IF(K10&gt;Forudsætninger!$C$32,IF(K10&gt;Forudsætninger!$C$33,Forudsætninger!$E$33,Forudsætninger!$E$32+Forudsætninger!$F$33*(K10-Forudsætninger!$C$32)),Forudsætninger!$E$31+Forudsætninger!$F$32*(K10-Forudsætninger!$C$31)),Forudsætninger!$E$31)+IF(K10&gt;Forudsætninger!$C$33,Forudsætninger!$G$33,IF(K10&gt;Forudsætninger!$C$32,Forudsætninger!$G$32+Forudsætninger!$H$33*(K10-Forudsætninger!$C$32),IF(K10&gt;Forudsætninger!$C$31,Forudsætninger!$G$31+Forudsætninger!$H$32*(K10-Forudsætninger!$C$31),Forudsætninger!$G$31)))*(V10-Forudsætninger!$H$31)</f>
        <v>25.762696643190917</v>
      </c>
      <c r="AD10" s="19">
        <f t="shared" si="7"/>
        <v>904.72234459315166</v>
      </c>
      <c r="AE10" s="19">
        <f t="shared" si="8"/>
        <v>25.762696643190917</v>
      </c>
      <c r="AF10">
        <f>IF(G10&lt;=Forudsætninger!$C$97,Forudsætninger!$C$98,(IF(G10&lt;=Forudsætninger!$D$97,Forudsætninger!$D$98,IF(G10&lt;=Forudsætninger!$E$97,Forudsætninger!$E$98,IF(G10&lt;=Forudsætninger!$F$97,Forudsætninger!$F$98,IF(G10&lt;=Forudsætninger!$G$97,Forudsætninger!$G$98,IF(G10&lt;=Forudsætninger!$H$97,Forudsætninger!$H$98,IF(G10&lt;=Forudsætninger!$I$97,Forudsætninger!$I$98,Forudsætninger!$I$98))))))))</f>
        <v>1.8</v>
      </c>
      <c r="AG10" s="1">
        <f t="shared" si="14"/>
        <v>2.2000000000000002</v>
      </c>
      <c r="AH10" s="1">
        <f t="shared" si="20"/>
        <v>17.599999999999998</v>
      </c>
      <c r="AI10" s="1">
        <f t="shared" si="9"/>
        <v>2.1999999999999997</v>
      </c>
      <c r="AJ10" s="20">
        <f>+(W10*Forudsætninger!$C$12)</f>
        <v>0</v>
      </c>
      <c r="AK10" s="20">
        <f>Forudsætninger!$C$17</f>
        <v>250</v>
      </c>
      <c r="AL10" s="20">
        <f>IF(A10&lt;92,Forudsætninger!$C$20,Forudsætninger!$C$21)</f>
        <v>4.0072859744990899</v>
      </c>
      <c r="AM10" s="20">
        <f t="shared" si="15"/>
        <v>32.058287795992719</v>
      </c>
      <c r="AN10" s="20">
        <f>IFERROR(AD10+AJ10-AA10-Z10-AK10-AM10-Forudsætninger!$C$75,-99999999)</f>
        <v>-1159.2035658624663</v>
      </c>
      <c r="AO10" s="19">
        <f>IFERROR(AN10/(A10+Forudsætninger!$C$74),-99999999)</f>
        <v>-144.90044573280829</v>
      </c>
      <c r="AP10" s="19">
        <f>IFERROR(((365/(A10+Forudsætninger!$C$74))*AN10)/(AI10+Forudsætninger!$C$73),-9999999)</f>
        <v>-22895.524975097418</v>
      </c>
      <c r="AQ10" s="18">
        <f t="shared" si="10"/>
        <v>8</v>
      </c>
      <c r="AR10" s="18">
        <f t="shared" si="16"/>
        <v>1881.5317179062235</v>
      </c>
      <c r="AS10" s="52">
        <f t="shared" si="1"/>
        <v>1.5</v>
      </c>
      <c r="AT10" s="50">
        <f t="shared" si="21"/>
        <v>-25.984386488299606</v>
      </c>
      <c r="AU10" s="50">
        <f t="shared" si="22"/>
        <v>16.988008463501245</v>
      </c>
      <c r="AV10" s="2">
        <f t="shared" si="23"/>
        <v>2684.2524195575606</v>
      </c>
      <c r="AW10" s="61">
        <f t="shared" si="17"/>
        <v>-140.8931597583092</v>
      </c>
      <c r="BA10" s="16"/>
      <c r="BB10" s="2"/>
    </row>
    <row r="11" spans="1:59" x14ac:dyDescent="0.25">
      <c r="A11">
        <v>9</v>
      </c>
      <c r="B11" s="1">
        <f>ROUND((A11+Forudsætninger!$C$60)/30.4,1)</f>
        <v>1.6</v>
      </c>
      <c r="C11" s="1">
        <f>VLOOKUP((A11+Forudsætninger!$C$60),'Model tilvækst, slagteform, fe'!A:B,2,FALSE)</f>
        <v>72.953094082153768</v>
      </c>
      <c r="D11" s="3">
        <f t="shared" si="24"/>
        <v>921.76543396938371</v>
      </c>
      <c r="E11" s="1">
        <f>(1+Forudsætninger!$C$78)*C11</f>
        <v>67.846377496402994</v>
      </c>
      <c r="F11" s="2">
        <f t="shared" si="25"/>
        <v>8.2104016933360295</v>
      </c>
      <c r="G11" s="1">
        <f t="shared" si="2"/>
        <v>76.056779189739018</v>
      </c>
      <c r="H11" s="3">
        <f t="shared" si="3"/>
        <v>830.90569833524341</v>
      </c>
      <c r="I11" s="3">
        <f t="shared" si="4"/>
        <v>784.08657663766871</v>
      </c>
      <c r="J11" s="1">
        <f>VLOOKUP((A11+Forudsætninger!$C$60),'Model tilvækst, slagteform, fe'!G:K,2,FALSE)*(1+Forudsætninger!$C$79)</f>
        <v>46.699446614425796</v>
      </c>
      <c r="K11" s="17">
        <f t="shared" si="0"/>
        <v>35.518094994363878</v>
      </c>
      <c r="L11" s="17">
        <f t="shared" si="18"/>
        <v>400.56218623411155</v>
      </c>
      <c r="M11" s="3">
        <f>((K11-(('Model tilvækst, slagteform, fe'!$H$9/100)*'Model tilvækst, slagteform, fe'!$B$9))*1000/(A11+Forudsætninger!$C$60))</f>
        <v>313.98314512406216</v>
      </c>
      <c r="N11" s="17">
        <f t="shared" si="11"/>
        <v>17.447352809177037</v>
      </c>
      <c r="O11" s="19">
        <f>IF( A11&lt;Forudsætninger!$C$14,(G11/100)*Forudsætninger!$C$13,(Forudsætninger!$C$15/1000)*Forudsætninger!$C$13)</f>
        <v>0.49436906473330366</v>
      </c>
      <c r="P11" s="17" cm="1">
        <f t="array" ref="P11">INDEX('Model tilvækst, slagteform, fe'!$N$9:$N$375,MATCH(MIN(ABS('Model tilvækst, slagteform, fe'!$M$9:$M$375-'Vækstfunktion, hol'!G11)),ABS('Model tilvækst, slagteform, fe'!$M$9:$M$375-'Vækstfunktion, hol'!G11),0))*(1+Forudsætninger!$C$80)</f>
        <v>2.0330529524745122</v>
      </c>
      <c r="Q11" s="17">
        <f t="shared" si="12"/>
        <v>5.0754989420950469</v>
      </c>
      <c r="R11" s="17">
        <f t="shared" si="13"/>
        <v>5.1340204175909392</v>
      </c>
      <c r="S11" s="17">
        <f t="shared" si="5"/>
        <v>2.4724243652892723</v>
      </c>
      <c r="T11" s="19">
        <f>(P11)*IF(N11&lt;Forudsætninger!$B$228,IF(N11&lt;Forudsætninger!$B$227,Forudsætninger!$B$225,Forudsætninger!$C$9),Forudsætninger!$C$11)+O11</f>
        <v>32.901580657596256</v>
      </c>
      <c r="U11" s="2">
        <f>Forudsætninger!$C$68+((K11-(Forudsætninger!$C$84)))*0.01</f>
        <v>2.0522338089322791</v>
      </c>
      <c r="V11" s="2">
        <f>U11+Forudsætninger!$C$69</f>
        <v>1.0522338089322791</v>
      </c>
      <c r="W11">
        <f t="shared" si="6"/>
        <v>0</v>
      </c>
      <c r="X11">
        <f>IF(A11+Forudsætninger!$C$60&gt;248,IF(A11+Forudsætninger!$C$60&lt;365,IF(K11&gt;180,IF(K11&lt;260,1,0),0),0),0)</f>
        <v>0</v>
      </c>
      <c r="Y11" s="22">
        <f>IF(X11=0,0,IF('Vækstfunktion, hol'!A11&lt;Forudsætninger!$C$66,Forudsætninger!$C$67+(('Vækstfunktion, hol'!A11-Forudsætninger!$C$66)/7)*Forudsætninger!$C$64,Forudsætninger!$C$67))</f>
        <v>0</v>
      </c>
      <c r="Z11" s="19">
        <f t="shared" si="19"/>
        <v>282.37501076782701</v>
      </c>
      <c r="AA11" s="19">
        <f>Forudsætninger!$C$62+Forudsætninger!$C$16</f>
        <v>1350</v>
      </c>
      <c r="AB11" s="19">
        <f>IF(K11&gt;Forudsætninger!$C$26,IF(K11&gt;Forudsætninger!$C$27,IF(K11&gt;Forudsætninger!$C$28,Forudsætninger!$E$28,Forudsætninger!$E$27+Forudsætninger!$F$28*(K11-Forudsætninger!$C$27)),Forudsætninger!$E$26+Forudsætninger!$F$27*(K11-Forudsætninger!$C$26)),Forudsætninger!$E$26)+IF(K11&gt;Forudsætninger!$C$28,Forudsætninger!$G$28,IF(K11&gt;Forudsætninger!$C$27,Forudsætninger!$G$27+Forudsætninger!$H$28*(K11-Forudsætninger!$C$27),IF(K11&gt;Forudsætninger!$C$26,Forudsætninger!$G$26+Forudsætninger!$H$27*(K11-Forudsætninger!$C$26),Forudsætninger!$G$26)))*(U11-Forudsætninger!$H$26)</f>
        <v>32.889175356699212</v>
      </c>
      <c r="AC11" s="19">
        <f>IF(K11&gt;Forudsætninger!$C$31,IF(K11&gt;Forudsætninger!$C$32,IF(K11&gt;Forudsætninger!$C$33,Forudsætninger!$E$33,Forudsætninger!$E$32+Forudsætninger!$F$33*(K11-Forudsætninger!$C$32)),Forudsætninger!$E$31+Forudsætninger!$F$32*(K11-Forudsætninger!$C$31)),Forudsætninger!$E$31)+IF(K11&gt;Forudsætninger!$C$33,Forudsætninger!$G$33,IF(K11&gt;Forudsætninger!$C$32,Forudsætninger!$G$32+Forudsætninger!$H$33*(K11-Forudsætninger!$C$32),IF(K11&gt;Forudsætninger!$C$31,Forudsætninger!$G$31+Forudsætninger!$H$32*(K11-Forudsætninger!$C$31),Forudsætninger!$G$31)))*(V11-Forudsætninger!$H$31)</f>
        <v>25.767903951611963</v>
      </c>
      <c r="AD11" s="19">
        <f t="shared" si="7"/>
        <v>915.22686035899801</v>
      </c>
      <c r="AE11" s="19">
        <f t="shared" si="8"/>
        <v>25.767903951611963</v>
      </c>
      <c r="AF11">
        <f>IF(G11&lt;=Forudsætninger!$C$97,Forudsætninger!$C$98,(IF(G11&lt;=Forudsætninger!$D$97,Forudsætninger!$D$98,IF(G11&lt;=Forudsætninger!$E$97,Forudsætninger!$E$98,IF(G11&lt;=Forudsætninger!$F$97,Forudsætninger!$F$98,IF(G11&lt;=Forudsætninger!$G$97,Forudsætninger!$G$98,IF(G11&lt;=Forudsætninger!$H$97,Forudsætninger!$H$98,IF(G11&lt;=Forudsætninger!$I$97,Forudsætninger!$I$98,Forudsætninger!$I$98))))))))</f>
        <v>1.8</v>
      </c>
      <c r="AG11" s="1">
        <f t="shared" si="14"/>
        <v>2.2000000000000002</v>
      </c>
      <c r="AH11" s="1">
        <f t="shared" si="20"/>
        <v>19.799999999999997</v>
      </c>
      <c r="AI11" s="1">
        <f t="shared" si="9"/>
        <v>2.1999999999999997</v>
      </c>
      <c r="AJ11" s="20">
        <f>+(W11*Forudsætninger!$C$12)</f>
        <v>0</v>
      </c>
      <c r="AK11" s="20">
        <f>Forudsætninger!$C$17</f>
        <v>250</v>
      </c>
      <c r="AL11" s="20">
        <f>IF(A11&lt;92,Forudsætninger!$C$20,Forudsætninger!$C$21)</f>
        <v>4.0072859744990899</v>
      </c>
      <c r="AM11" s="20">
        <f t="shared" si="15"/>
        <v>36.06557377049181</v>
      </c>
      <c r="AN11" s="20">
        <f>IFERROR(AD11+AJ11-AA11-Z11-AK11-AM11-Forudsætninger!$C$75,-99999999)</f>
        <v>-1185.6079167287153</v>
      </c>
      <c r="AO11" s="19">
        <f>IFERROR(AN11/(A11+Forudsætninger!$C$74),-99999999)</f>
        <v>-131.73421296985725</v>
      </c>
      <c r="AP11" s="19">
        <f>IFERROR(((365/(A11+Forudsætninger!$C$74))*AN11)/(AI11+Forudsætninger!$C$73),-9999999)</f>
        <v>-20815.146205193898</v>
      </c>
      <c r="AQ11" s="18">
        <f t="shared" si="10"/>
        <v>9</v>
      </c>
      <c r="AR11" s="18">
        <f t="shared" si="16"/>
        <v>1918.4405845383187</v>
      </c>
      <c r="AS11" s="52">
        <f t="shared" si="1"/>
        <v>1.6</v>
      </c>
      <c r="AT11" s="50">
        <f t="shared" si="21"/>
        <v>-26.404350866248933</v>
      </c>
      <c r="AU11" s="50">
        <f t="shared" si="22"/>
        <v>13.16623276295104</v>
      </c>
      <c r="AV11" s="2">
        <f t="shared" si="23"/>
        <v>2080.3787699035202</v>
      </c>
      <c r="AW11" s="61">
        <f t="shared" si="17"/>
        <v>-127.72692699535817</v>
      </c>
      <c r="BA11" s="16"/>
      <c r="BB11" s="2"/>
    </row>
    <row r="12" spans="1:59" x14ac:dyDescent="0.25">
      <c r="A12">
        <v>10</v>
      </c>
      <c r="B12" s="1">
        <f>ROUND((A12+Forudsætninger!$C$60)/30.4,1)</f>
        <v>1.6</v>
      </c>
      <c r="C12" s="1">
        <f>VLOOKUP((A12+Forudsætninger!$C$60),'Model tilvækst, slagteform, fe'!A:B,2,FALSE)</f>
        <v>73.887392661872042</v>
      </c>
      <c r="D12" s="3">
        <f t="shared" si="24"/>
        <v>934.29857971827346</v>
      </c>
      <c r="E12" s="1">
        <f>(1+Forudsætninger!$C$78)*C12</f>
        <v>68.715275175540995</v>
      </c>
      <c r="F12" s="2">
        <f t="shared" si="25"/>
        <v>8.183707448201222</v>
      </c>
      <c r="G12" s="1">
        <f t="shared" si="2"/>
        <v>76.898982623742214</v>
      </c>
      <c r="H12" s="3">
        <f t="shared" si="3"/>
        <v>842.20343400319564</v>
      </c>
      <c r="I12" s="3">
        <f t="shared" si="4"/>
        <v>789.89826237422142</v>
      </c>
      <c r="J12" s="1">
        <f>VLOOKUP((A12+Forudsætninger!$C$60),'Model tilvækst, slagteform, fe'!G:K,2,FALSE)*(1+Forudsætninger!$C$79)</f>
        <v>46.716140354638469</v>
      </c>
      <c r="K12" s="17">
        <f t="shared" si="0"/>
        <v>35.924236653796463</v>
      </c>
      <c r="L12" s="17">
        <f t="shared" si="18"/>
        <v>406.14165943258485</v>
      </c>
      <c r="M12" s="3">
        <f>((K12-(('Model tilvækst, slagteform, fe'!$H$9/100)*'Model tilvækst, slagteform, fe'!$B$9))*1000/(A12+Forudsætninger!$C$60))</f>
        <v>315.86393113035854</v>
      </c>
      <c r="N12" s="17">
        <f t="shared" si="11"/>
        <v>19.516006994908736</v>
      </c>
      <c r="O12" s="19">
        <f>IF( A12&lt;Forudsætninger!$C$14,(G12/100)*Forudsætninger!$C$13,(Forudsætninger!$C$15/1000)*Forudsætninger!$C$13)</f>
        <v>0.49984338705432446</v>
      </c>
      <c r="P12" s="17" cm="1">
        <f t="array" ref="P12">INDEX('Model tilvækst, slagteform, fe'!$N$9:$N$375,MATCH(MIN(ABS('Model tilvækst, slagteform, fe'!$M$9:$M$375-'Vækstfunktion, hol'!G12)),ABS('Model tilvækst, slagteform, fe'!$M$9:$M$375-'Vækstfunktion, hol'!G12),0))*(1+Forudsætninger!$C$80)</f>
        <v>2.0686541857316989</v>
      </c>
      <c r="Q12" s="17">
        <f t="shared" si="12"/>
        <v>5.0934301805478128</v>
      </c>
      <c r="R12" s="17">
        <f t="shared" si="13"/>
        <v>5.1296873141731876</v>
      </c>
      <c r="S12" s="17">
        <f t="shared" si="5"/>
        <v>2.4706988133191832</v>
      </c>
      <c r="T12" s="19">
        <f>(P12)*IF(N12&lt;Forudsætninger!$B$228,IF(N12&lt;Forudsætninger!$B$227,Forudsætninger!$B$225,Forudsætninger!$C$9),Forudsætninger!$C$11)+O12</f>
        <v>33.474544723717727</v>
      </c>
      <c r="U12" s="2">
        <f>Forudsætninger!$C$68+((K12-(Forudsætninger!$C$84)))*0.01</f>
        <v>2.0562952255266049</v>
      </c>
      <c r="V12" s="2">
        <f>U12+Forudsætninger!$C$69</f>
        <v>1.0562952255266049</v>
      </c>
      <c r="W12">
        <f t="shared" si="6"/>
        <v>0</v>
      </c>
      <c r="X12">
        <f>IF(A12+Forudsætninger!$C$60&gt;248,IF(A12+Forudsætninger!$C$60&lt;365,IF(K12&gt;180,IF(K12&lt;260,1,0),0),0),0)</f>
        <v>0</v>
      </c>
      <c r="Y12" s="22">
        <f>IF(X12=0,0,IF('Vækstfunktion, hol'!A12&lt;Forudsætninger!$C$66,Forudsætninger!$C$67+(('Vækstfunktion, hol'!A12-Forudsætninger!$C$66)/7)*Forudsætninger!$C$64,Forudsætninger!$C$67))</f>
        <v>0</v>
      </c>
      <c r="Z12" s="19">
        <f t="shared" si="19"/>
        <v>315.84955549154472</v>
      </c>
      <c r="AA12" s="19">
        <f>Forudsætninger!$C$62+Forudsætninger!$C$16</f>
        <v>1350</v>
      </c>
      <c r="AB12" s="19">
        <f>IF(K12&gt;Forudsætninger!$C$26,IF(K12&gt;Forudsætninger!$C$27,IF(K12&gt;Forudsætninger!$C$28,Forudsætninger!$E$28,Forudsætninger!$E$27+Forudsætninger!$F$28*(K12-Forudsætninger!$C$27)),Forudsætninger!$E$26+Forudsætninger!$F$27*(K12-Forudsætninger!$C$26)),Forudsætninger!$E$26)+IF(K12&gt;Forudsætninger!$C$28,Forudsætninger!$G$28,IF(K12&gt;Forudsætninger!$C$27,Forudsætninger!$G$27+Forudsætninger!$H$28*(K12-Forudsætninger!$C$27),IF(K12&gt;Forudsætninger!$C$26,Forudsætninger!$G$26+Forudsætninger!$H$27*(K12-Forudsætninger!$C$26),Forudsætninger!$G$26)))*(U12-Forudsætninger!$H$26)</f>
        <v>32.892221419144953</v>
      </c>
      <c r="AC12" s="19">
        <f>IF(K12&gt;Forudsætninger!$C$31,IF(K12&gt;Forudsætninger!$C$32,IF(K12&gt;Forudsætninger!$C$33,Forudsætninger!$E$33,Forudsætninger!$E$32+Forudsætninger!$F$33*(K12-Forudsætninger!$C$32)),Forudsætninger!$E$31+Forudsætninger!$F$32*(K12-Forudsætninger!$C$31)),Forudsætninger!$E$31)+IF(K12&gt;Forudsætninger!$C$33,Forudsætninger!$G$33,IF(K12&gt;Forudsætninger!$C$32,Forudsætninger!$G$32+Forudsætninger!$H$33*(K12-Forudsætninger!$C$32),IF(K12&gt;Forudsætninger!$C$31,Forudsætninger!$G$31+Forudsætninger!$H$32*(K12-Forudsætninger!$C$31),Forudsætninger!$G$31)))*(V12-Forudsætninger!$H$31)</f>
        <v>25.773183793184586</v>
      </c>
      <c r="AD12" s="19">
        <f t="shared" si="7"/>
        <v>925.88195390815463</v>
      </c>
      <c r="AE12" s="19">
        <f t="shared" si="8"/>
        <v>25.773183793184586</v>
      </c>
      <c r="AF12">
        <f>IF(G12&lt;=Forudsætninger!$C$97,Forudsætninger!$C$98,(IF(G12&lt;=Forudsætninger!$D$97,Forudsætninger!$D$98,IF(G12&lt;=Forudsætninger!$E$97,Forudsætninger!$E$98,IF(G12&lt;=Forudsætninger!$F$97,Forudsætninger!$F$98,IF(G12&lt;=Forudsætninger!$G$97,Forudsætninger!$G$98,IF(G12&lt;=Forudsætninger!$H$97,Forudsætninger!$H$98,IF(G12&lt;=Forudsætninger!$I$97,Forudsætninger!$I$98,Forudsætninger!$I$98))))))))</f>
        <v>1.8</v>
      </c>
      <c r="AG12" s="1">
        <f t="shared" si="14"/>
        <v>2.2000000000000002</v>
      </c>
      <c r="AH12" s="1">
        <f t="shared" si="20"/>
        <v>21.999999999999996</v>
      </c>
      <c r="AI12" s="1">
        <f t="shared" si="9"/>
        <v>2.1999999999999997</v>
      </c>
      <c r="AJ12" s="20">
        <f>+(W12*Forudsætninger!$C$12)</f>
        <v>0</v>
      </c>
      <c r="AK12" s="20">
        <f>Forudsætninger!$C$17</f>
        <v>250</v>
      </c>
      <c r="AL12" s="20">
        <f>IF(A12&lt;92,Forudsætninger!$C$20,Forudsætninger!$C$21)</f>
        <v>4.0072859744990899</v>
      </c>
      <c r="AM12" s="20">
        <f t="shared" si="15"/>
        <v>40.0728597449909</v>
      </c>
      <c r="AN12" s="20">
        <f>IFERROR(AD12+AJ12-AA12-Z12-AK12-AM12-Forudsætninger!$C$75,-99999999)</f>
        <v>-1212.4346538777756</v>
      </c>
      <c r="AO12" s="19">
        <f>IFERROR(AN12/(A12+Forudsætninger!$C$74),-99999999)</f>
        <v>-121.24346538777756</v>
      </c>
      <c r="AP12" s="19">
        <f>IFERROR(((365/(A12+Forudsætninger!$C$74))*AN12)/(AI12+Forudsætninger!$C$73),-9999999)</f>
        <v>-19157.517258241911</v>
      </c>
      <c r="AQ12" s="18">
        <f t="shared" si="10"/>
        <v>10</v>
      </c>
      <c r="AR12" s="18">
        <f t="shared" si="16"/>
        <v>1955.9224152365357</v>
      </c>
      <c r="AS12" s="52">
        <f t="shared" si="1"/>
        <v>1.6</v>
      </c>
      <c r="AT12" s="50">
        <f t="shared" si="21"/>
        <v>-26.826737149060364</v>
      </c>
      <c r="AU12" s="50">
        <f t="shared" si="22"/>
        <v>10.490747582079692</v>
      </c>
      <c r="AV12" s="2">
        <f t="shared" si="23"/>
        <v>1657.628946951987</v>
      </c>
      <c r="AW12" s="61">
        <f t="shared" si="17"/>
        <v>-117.23617941327848</v>
      </c>
      <c r="BA12" s="16"/>
      <c r="BB12" s="2"/>
    </row>
    <row r="13" spans="1:59" x14ac:dyDescent="0.25">
      <c r="A13">
        <v>11</v>
      </c>
      <c r="B13" s="1">
        <f>ROUND((A13+Forudsætninger!$C$60)/30.4,1)</f>
        <v>1.6</v>
      </c>
      <c r="C13" s="1">
        <f>VLOOKUP((A13+Forudsætninger!$C$60),'Model tilvækst, slagteform, fe'!A:B,2,FALSE)</f>
        <v>74.83409039023546</v>
      </c>
      <c r="D13" s="3">
        <f t="shared" si="24"/>
        <v>946.69772836341792</v>
      </c>
      <c r="E13" s="1">
        <f>(1+Forudsætninger!$C$78)*C13</f>
        <v>69.595704062918969</v>
      </c>
      <c r="F13" s="2">
        <f t="shared" si="25"/>
        <v>8.156658941676552</v>
      </c>
      <c r="G13" s="1">
        <f t="shared" si="2"/>
        <v>77.752363004595523</v>
      </c>
      <c r="H13" s="3">
        <f t="shared" si="3"/>
        <v>853.38038085330936</v>
      </c>
      <c r="I13" s="3">
        <f t="shared" si="4"/>
        <v>795.66936405413844</v>
      </c>
      <c r="J13" s="1">
        <f>VLOOKUP((A13+Forudsætninger!$C$60),'Model tilvækst, slagteform, fe'!G:K,2,FALSE)*(1+Forudsætninger!$C$79)</f>
        <v>46.732869070161421</v>
      </c>
      <c r="K13" s="17">
        <f t="shared" si="0"/>
        <v>36.335910001894248</v>
      </c>
      <c r="L13" s="17">
        <f t="shared" si="18"/>
        <v>411.67334809778566</v>
      </c>
      <c r="M13" s="3">
        <f>((K13-(('Model tilvækst, slagteform, fe'!$H$9/100)*'Model tilvækst, slagteform, fe'!$B$9))*1000/(A13+Forudsætninger!$C$60))</f>
        <v>317.78011946970707</v>
      </c>
      <c r="N13" s="17">
        <f t="shared" si="11"/>
        <v>21.620345287710855</v>
      </c>
      <c r="O13" s="19">
        <f>IF( A13&lt;Forudsætninger!$C$14,(G13/100)*Forudsætninger!$C$13,(Forudsætninger!$C$15/1000)*Forudsætninger!$C$13)</f>
        <v>0.50539035952987099</v>
      </c>
      <c r="P13" s="17" cm="1">
        <f t="array" ref="P13">INDEX('Model tilvækst, slagteform, fe'!$N$9:$N$375,MATCH(MIN(ABS('Model tilvækst, slagteform, fe'!$M$9:$M$375-'Vækstfunktion, hol'!G13)),ABS('Model tilvækst, slagteform, fe'!$M$9:$M$375-'Vækstfunktion, hol'!G13),0))*(1+Forudsætninger!$C$80)</f>
        <v>2.1043382928021179</v>
      </c>
      <c r="Q13" s="17">
        <f t="shared" si="12"/>
        <v>5.1116699745699101</v>
      </c>
      <c r="R13" s="17">
        <f t="shared" si="13"/>
        <v>5.1279280837929804</v>
      </c>
      <c r="S13" s="17">
        <f t="shared" si="5"/>
        <v>2.4702294998914986</v>
      </c>
      <c r="T13" s="19">
        <f>(P13)*IF(N13&lt;Forudsætninger!$B$228,IF(N13&lt;Forudsætninger!$B$227,Forudsætninger!$B$225,Forudsætninger!$C$9),Forudsætninger!$C$11)+O13</f>
        <v>34.048902462743115</v>
      </c>
      <c r="U13" s="2">
        <f>Forudsætninger!$C$68+((K13-(Forudsætninger!$C$84)))*0.01</f>
        <v>2.0604119590075829</v>
      </c>
      <c r="V13" s="2">
        <f>U13+Forudsætninger!$C$69</f>
        <v>1.0604119590075829</v>
      </c>
      <c r="W13">
        <f t="shared" si="6"/>
        <v>0</v>
      </c>
      <c r="X13">
        <f>IF(A13+Forudsætninger!$C$60&gt;248,IF(A13+Forudsætninger!$C$60&lt;365,IF(K13&gt;180,IF(K13&lt;260,1,0),0),0),0)</f>
        <v>0</v>
      </c>
      <c r="Y13" s="22">
        <f>IF(X13=0,0,IF('Vækstfunktion, hol'!A13&lt;Forudsætninger!$C$66,Forudsætninger!$C$67+(('Vækstfunktion, hol'!A13-Forudsætninger!$C$66)/7)*Forudsætninger!$C$64,Forudsætninger!$C$67))</f>
        <v>0</v>
      </c>
      <c r="Z13" s="19">
        <f t="shared" si="19"/>
        <v>349.89845795428784</v>
      </c>
      <c r="AA13" s="19">
        <f>Forudsætninger!$C$62+Forudsætninger!$C$16</f>
        <v>1350</v>
      </c>
      <c r="AB13" s="19">
        <f>IF(K13&gt;Forudsætninger!$C$26,IF(K13&gt;Forudsætninger!$C$27,IF(K13&gt;Forudsætninger!$C$28,Forudsætninger!$E$28,Forudsætninger!$E$27+Forudsætninger!$F$28*(K13-Forudsætninger!$C$27)),Forudsætninger!$E$26+Forudsætninger!$F$27*(K13-Forudsætninger!$C$26)),Forudsætninger!$E$26)+IF(K13&gt;Forudsætninger!$C$28,Forudsætninger!$G$28,IF(K13&gt;Forudsætninger!$C$27,Forudsætninger!$G$27+Forudsætninger!$H$28*(K13-Forudsætninger!$C$27),IF(K13&gt;Forudsætninger!$C$26,Forudsætninger!$G$26+Forudsætninger!$H$27*(K13-Forudsætninger!$C$26),Forudsætninger!$G$26)))*(U13-Forudsætninger!$H$26)</f>
        <v>32.895308969255687</v>
      </c>
      <c r="AC13" s="19">
        <f>IF(K13&gt;Forudsætninger!$C$31,IF(K13&gt;Forudsætninger!$C$32,IF(K13&gt;Forudsætninger!$C$33,Forudsætninger!$E$33,Forudsætninger!$E$32+Forudsætninger!$F$33*(K13-Forudsætninger!$C$32)),Forudsætninger!$E$31+Forudsætninger!$F$32*(K13-Forudsætninger!$C$31)),Forudsætninger!$E$31)+IF(K13&gt;Forudsætninger!$C$33,Forudsætninger!$G$33,IF(K13&gt;Forudsætninger!$C$32,Forudsætninger!$G$32+Forudsætninger!$H$33*(K13-Forudsætninger!$C$32),IF(K13&gt;Forudsætninger!$C$31,Forudsætninger!$G$31+Forudsætninger!$H$32*(K13-Forudsætninger!$C$31),Forudsætninger!$G$31)))*(V13-Forudsætninger!$H$31)</f>
        <v>25.778535546709858</v>
      </c>
      <c r="AD13" s="19">
        <f t="shared" si="7"/>
        <v>936.68654760588117</v>
      </c>
      <c r="AE13" s="19">
        <f t="shared" si="8"/>
        <v>25.778535546709858</v>
      </c>
      <c r="AF13">
        <f>IF(G13&lt;=Forudsætninger!$C$97,Forudsætninger!$C$98,(IF(G13&lt;=Forudsætninger!$D$97,Forudsætninger!$D$98,IF(G13&lt;=Forudsætninger!$E$97,Forudsætninger!$E$98,IF(G13&lt;=Forudsætninger!$F$97,Forudsætninger!$F$98,IF(G13&lt;=Forudsætninger!$G$97,Forudsætninger!$G$98,IF(G13&lt;=Forudsætninger!$H$97,Forudsætninger!$H$98,IF(G13&lt;=Forudsætninger!$I$97,Forudsætninger!$I$98,Forudsætninger!$I$98))))))))</f>
        <v>1.8</v>
      </c>
      <c r="AG13" s="1">
        <f t="shared" si="14"/>
        <v>2.2000000000000002</v>
      </c>
      <c r="AH13" s="1">
        <f t="shared" si="20"/>
        <v>24.199999999999996</v>
      </c>
      <c r="AI13" s="1">
        <f t="shared" si="9"/>
        <v>2.1999999999999997</v>
      </c>
      <c r="AJ13" s="20">
        <f>+(W13*Forudsætninger!$C$12)</f>
        <v>0</v>
      </c>
      <c r="AK13" s="20">
        <f>Forudsætninger!$C$17</f>
        <v>250</v>
      </c>
      <c r="AL13" s="20">
        <f>IF(A13&lt;92,Forudsætninger!$C$20,Forudsætninger!$C$21)</f>
        <v>4.0072859744990899</v>
      </c>
      <c r="AM13" s="20">
        <f t="shared" si="15"/>
        <v>44.080145719489991</v>
      </c>
      <c r="AN13" s="20">
        <f>IFERROR(AD13+AJ13-AA13-Z13-AK13-AM13-Forudsætninger!$C$75,-99999999)</f>
        <v>-1239.6862486172913</v>
      </c>
      <c r="AO13" s="19">
        <f>IFERROR(AN13/(A13+Forudsætninger!$C$74),-99999999)</f>
        <v>-112.69874987429921</v>
      </c>
      <c r="AP13" s="19">
        <f>IFERROR(((365/(A13+Forudsætninger!$C$74))*AN13)/(AI13+Forudsætninger!$C$73),-9999999)</f>
        <v>-17807.378226891436</v>
      </c>
      <c r="AQ13" s="18">
        <f t="shared" si="10"/>
        <v>11</v>
      </c>
      <c r="AR13" s="18">
        <f t="shared" si="16"/>
        <v>1993.9786036737778</v>
      </c>
      <c r="AS13" s="52">
        <f t="shared" si="1"/>
        <v>1.6</v>
      </c>
      <c r="AT13" s="50">
        <f t="shared" si="21"/>
        <v>-27.251594739515667</v>
      </c>
      <c r="AU13" s="50">
        <f t="shared" si="22"/>
        <v>8.5447155134783515</v>
      </c>
      <c r="AV13" s="2">
        <f t="shared" si="23"/>
        <v>1350.1390313504744</v>
      </c>
      <c r="AW13" s="61">
        <f t="shared" si="17"/>
        <v>-108.69146389980011</v>
      </c>
      <c r="BA13" s="16"/>
      <c r="BB13" s="2"/>
    </row>
    <row r="14" spans="1:59" x14ac:dyDescent="0.25">
      <c r="A14">
        <v>12</v>
      </c>
      <c r="B14" s="1">
        <f>ROUND((A14+Forudsætninger!$C$60)/30.4,1)</f>
        <v>1.7</v>
      </c>
      <c r="C14" s="1">
        <f>VLOOKUP((A14+Forudsætninger!$C$60),'Model tilvækst, slagteform, fe'!A:B,2,FALSE)</f>
        <v>75.793053804487585</v>
      </c>
      <c r="D14" s="3">
        <f t="shared" si="24"/>
        <v>958.96341425212484</v>
      </c>
      <c r="E14" s="1">
        <f>(1+Forudsætninger!$C$78)*C14</f>
        <v>70.487540038173449</v>
      </c>
      <c r="F14" s="2">
        <f t="shared" si="25"/>
        <v>8.1292599869836337</v>
      </c>
      <c r="G14" s="1">
        <f t="shared" si="2"/>
        <v>78.61680002515709</v>
      </c>
      <c r="H14" s="3">
        <f t="shared" si="3"/>
        <v>864.43702056156724</v>
      </c>
      <c r="I14" s="3">
        <f t="shared" si="4"/>
        <v>801.40000209642415</v>
      </c>
      <c r="J14" s="1">
        <f>VLOOKUP((A14+Forudsætninger!$C$60),'Model tilvækst, slagteform, fe'!G:K,2,FALSE)*(1+Forudsætninger!$C$79)</f>
        <v>46.749635581584187</v>
      </c>
      <c r="K14" s="17">
        <f t="shared" si="0"/>
        <v>36.753067517663723</v>
      </c>
      <c r="L14" s="17">
        <f t="shared" si="18"/>
        <v>417.15751576947468</v>
      </c>
      <c r="M14" s="3">
        <f>((K14-(('Model tilvækst, slagteform, fe'!$H$9/100)*'Model tilvækst, slagteform, fe'!$B$9))*1000/(A14+Forudsætninger!$C$60))</f>
        <v>319.72869586774175</v>
      </c>
      <c r="N14" s="17">
        <f t="shared" si="11"/>
        <v>23.724683580512973</v>
      </c>
      <c r="O14" s="19">
        <f>IF( A14&lt;Forudsætninger!$C$14,(G14/100)*Forudsætninger!$C$13,(Forudsætninger!$C$15/1000)*Forudsætninger!$C$13)</f>
        <v>0.51100920016352103</v>
      </c>
      <c r="P14" s="17" cm="1">
        <f t="array" ref="P14">INDEX('Model tilvækst, slagteform, fe'!$N$9:$N$375,MATCH(MIN(ABS('Model tilvækst, slagteform, fe'!$M$9:$M$375-'Vækstfunktion, hol'!G14)),ABS('Model tilvækst, slagteform, fe'!$M$9:$M$375-'Vækstfunktion, hol'!G14),0))*(1+Forudsætninger!$C$80)</f>
        <v>2.1043382928021179</v>
      </c>
      <c r="Q14" s="17">
        <f t="shared" si="12"/>
        <v>5.0444693269412308</v>
      </c>
      <c r="R14" s="17">
        <f t="shared" si="13"/>
        <v>5.1204139896749448</v>
      </c>
      <c r="S14" s="17">
        <f t="shared" si="5"/>
        <v>2.4670039429384341</v>
      </c>
      <c r="T14" s="19">
        <f>(P14)*IF(N14&lt;Forudsætninger!$B$228,IF(N14&lt;Forudsætninger!$B$227,Forudsætninger!$B$225,Forudsætninger!$C$9),Forudsætninger!$C$11)+O14</f>
        <v>34.054521303376767</v>
      </c>
      <c r="U14" s="2">
        <f>Forudsætninger!$C$68+((K14-(Forudsætninger!$C$84)))*0.01</f>
        <v>2.0645835341652772</v>
      </c>
      <c r="V14" s="2">
        <f>U14+Forudsætninger!$C$69</f>
        <v>1.0645835341652772</v>
      </c>
      <c r="W14">
        <f t="shared" si="6"/>
        <v>0</v>
      </c>
      <c r="X14">
        <f>IF(A14+Forudsætninger!$C$60&gt;248,IF(A14+Forudsætninger!$C$60&lt;365,IF(K14&gt;180,IF(K14&lt;260,1,0),0),0),0)</f>
        <v>0</v>
      </c>
      <c r="Y14" s="22">
        <f>IF(X14=0,0,IF('Vækstfunktion, hol'!A14&lt;Forudsætninger!$C$66,Forudsætninger!$C$67+(('Vækstfunktion, hol'!A14-Forudsætninger!$C$66)/7)*Forudsætninger!$C$64,Forudsætninger!$C$67))</f>
        <v>0</v>
      </c>
      <c r="Z14" s="19">
        <f t="shared" si="19"/>
        <v>383.95297925766459</v>
      </c>
      <c r="AA14" s="19">
        <f>Forudsætninger!$C$62+Forudsætninger!$C$16</f>
        <v>1350</v>
      </c>
      <c r="AB14" s="19">
        <f>IF(K14&gt;Forudsætninger!$C$26,IF(K14&gt;Forudsætninger!$C$27,IF(K14&gt;Forudsætninger!$C$28,Forudsætninger!$E$28,Forudsætninger!$E$27+Forudsætninger!$F$28*(K14-Forudsætninger!$C$27)),Forudsætninger!$E$26+Forudsætninger!$F$27*(K14-Forudsætninger!$C$26)),Forudsætninger!$E$26)+IF(K14&gt;Forudsætninger!$C$28,Forudsætninger!$G$28,IF(K14&gt;Forudsætninger!$C$27,Forudsætninger!$G$27+Forudsætninger!$H$28*(K14-Forudsætninger!$C$27),IF(K14&gt;Forudsætninger!$C$26,Forudsætninger!$G$26+Forudsætninger!$H$27*(K14-Forudsætninger!$C$26),Forudsætninger!$G$26)))*(U14-Forudsætninger!$H$26)</f>
        <v>32.898437650623961</v>
      </c>
      <c r="AC14" s="19">
        <f>IF(K14&gt;Forudsætninger!$C$31,IF(K14&gt;Forudsætninger!$C$32,IF(K14&gt;Forudsætninger!$C$33,Forudsætninger!$E$33,Forudsætninger!$E$32+Forudsætninger!$F$33*(K14-Forudsætninger!$C$32)),Forudsætninger!$E$31+Forudsætninger!$F$32*(K14-Forudsætninger!$C$31)),Forudsætninger!$E$31)+IF(K14&gt;Forudsætninger!$C$33,Forudsætninger!$G$33,IF(K14&gt;Forudsætninger!$C$32,Forudsætninger!$G$32+Forudsætninger!$H$33*(K14-Forudsætninger!$C$32),IF(K14&gt;Forudsætninger!$C$31,Forudsætninger!$G$31+Forudsætninger!$H$32*(K14-Forudsætninger!$C$31),Forudsætninger!$G$31)))*(V14-Forudsætninger!$H$31)</f>
        <v>25.783958594414859</v>
      </c>
      <c r="AD14" s="19">
        <f t="shared" si="7"/>
        <v>947.63957109317516</v>
      </c>
      <c r="AE14" s="19">
        <f t="shared" si="8"/>
        <v>25.783958594414859</v>
      </c>
      <c r="AF14">
        <f>IF(G14&lt;=Forudsætninger!$C$97,Forudsætninger!$C$98,(IF(G14&lt;=Forudsætninger!$D$97,Forudsætninger!$D$98,IF(G14&lt;=Forudsætninger!$E$97,Forudsætninger!$E$98,IF(G14&lt;=Forudsætninger!$F$97,Forudsætninger!$F$98,IF(G14&lt;=Forudsætninger!$G$97,Forudsætninger!$G$98,IF(G14&lt;=Forudsætninger!$H$97,Forudsætninger!$H$98,IF(G14&lt;=Forudsætninger!$I$97,Forudsætninger!$I$98,Forudsætninger!$I$98))))))))</f>
        <v>1.8</v>
      </c>
      <c r="AG14" s="1">
        <f t="shared" si="14"/>
        <v>2.2000000000000002</v>
      </c>
      <c r="AH14" s="1">
        <f t="shared" si="20"/>
        <v>26.399999999999995</v>
      </c>
      <c r="AI14" s="1">
        <f t="shared" si="9"/>
        <v>2.1999999999999997</v>
      </c>
      <c r="AJ14" s="20">
        <f>+(W14*Forudsætninger!$C$12)</f>
        <v>0</v>
      </c>
      <c r="AK14" s="20">
        <f>Forudsætninger!$C$17</f>
        <v>250</v>
      </c>
      <c r="AL14" s="20">
        <f>IF(A14&lt;92,Forudsætninger!$C$20,Forudsætninger!$C$21)</f>
        <v>4.0072859744990899</v>
      </c>
      <c r="AM14" s="20">
        <f t="shared" si="15"/>
        <v>48.087431693989082</v>
      </c>
      <c r="AN14" s="20">
        <f>IFERROR(AD14+AJ14-AA14-Z14-AK14-AM14-Forudsætninger!$C$75,-99999999)</f>
        <v>-1266.7950324078731</v>
      </c>
      <c r="AO14" s="19">
        <f>IFERROR(AN14/(A14+Forudsætninger!$C$74),-99999999)</f>
        <v>-105.56625270065609</v>
      </c>
      <c r="AP14" s="19">
        <f>IFERROR(((365/(A14+Forudsætninger!$C$74))*AN14)/(AI14+Forudsætninger!$C$73),-9999999)</f>
        <v>-16680.381920233543</v>
      </c>
      <c r="AQ14" s="18">
        <f t="shared" si="10"/>
        <v>12</v>
      </c>
      <c r="AR14" s="18">
        <f t="shared" si="16"/>
        <v>2032.0404109516537</v>
      </c>
      <c r="AS14" s="52">
        <f t="shared" si="1"/>
        <v>1.7</v>
      </c>
      <c r="AT14" s="50">
        <f t="shared" si="21"/>
        <v>-27.108783790581811</v>
      </c>
      <c r="AU14" s="50">
        <f t="shared" si="22"/>
        <v>7.1324971736431166</v>
      </c>
      <c r="AV14" s="2">
        <f t="shared" si="23"/>
        <v>1126.996306657893</v>
      </c>
      <c r="AW14" s="61">
        <f t="shared" si="17"/>
        <v>-101.558966726157</v>
      </c>
      <c r="BA14" s="16"/>
      <c r="BB14" s="2"/>
    </row>
    <row r="15" spans="1:59" x14ac:dyDescent="0.25">
      <c r="A15">
        <v>13</v>
      </c>
      <c r="B15" s="1">
        <f>ROUND((A15+Forudsætninger!$C$60)/30.4,1)</f>
        <v>1.7</v>
      </c>
      <c r="C15" s="1">
        <f>VLOOKUP((A15+Forudsætninger!$C$60),'Model tilvækst, slagteform, fe'!A:B,2,FALSE)</f>
        <v>76.764149976219542</v>
      </c>
      <c r="D15" s="3">
        <f t="shared" si="24"/>
        <v>971.09617173195772</v>
      </c>
      <c r="E15" s="1">
        <f>(1+Forudsætninger!$C$78)*C15</f>
        <v>71.390659477884171</v>
      </c>
      <c r="F15" s="2">
        <f t="shared" si="25"/>
        <v>8.1015143820770064</v>
      </c>
      <c r="G15" s="1">
        <f t="shared" si="2"/>
        <v>79.492173859961184</v>
      </c>
      <c r="H15" s="3">
        <f t="shared" si="3"/>
        <v>875.37383480409403</v>
      </c>
      <c r="I15" s="3">
        <f t="shared" si="4"/>
        <v>807.09029692009108</v>
      </c>
      <c r="J15" s="1">
        <f>VLOOKUP((A15+Forudsætninger!$C$60),'Model tilvækst, slagteform, fe'!G:K,2,FALSE)*(1+Forudsætninger!$C$79)</f>
        <v>46.766442709496303</v>
      </c>
      <c r="K15" s="17">
        <f t="shared" si="0"/>
        <v>37.175661946751944</v>
      </c>
      <c r="L15" s="17">
        <f t="shared" si="18"/>
        <v>422.59442908822109</v>
      </c>
      <c r="M15" s="3">
        <f>((K15-(('Model tilvækst, slagteform, fe'!$H$9/100)*'Model tilvækst, slagteform, fe'!$B$9))*1000/(A15+Forudsætninger!$C$60))</f>
        <v>321.70688304505865</v>
      </c>
      <c r="N15" s="17">
        <f t="shared" si="11"/>
        <v>25.864792457408015</v>
      </c>
      <c r="O15" s="19">
        <f>IF( A15&lt;Forudsætninger!$C$14,(G15/100)*Forudsætninger!$C$13,(Forudsætninger!$C$15/1000)*Forudsætninger!$C$13)</f>
        <v>0.51669913008974766</v>
      </c>
      <c r="P15" s="17" cm="1">
        <f t="array" ref="P15">INDEX('Model tilvækst, slagteform, fe'!$N$9:$N$375,MATCH(MIN(ABS('Model tilvækst, slagteform, fe'!$M$9:$M$375-'Vækstfunktion, hol'!G15)),ABS('Model tilvækst, slagteform, fe'!$M$9:$M$375-'Vækstfunktion, hol'!G15),0))*(1+Forudsætninger!$C$80)</f>
        <v>2.1401088768950434</v>
      </c>
      <c r="Q15" s="17">
        <f t="shared" si="12"/>
        <v>5.0642145981727387</v>
      </c>
      <c r="R15" s="17">
        <f t="shared" si="13"/>
        <v>5.1157166402899685</v>
      </c>
      <c r="S15" s="17">
        <f t="shared" si="5"/>
        <v>2.4651509594317473</v>
      </c>
      <c r="T15" s="19">
        <f>(P15)*IF(N15&lt;Forudsætninger!$B$228,IF(N15&lt;Forudsætninger!$B$227,Forudsætninger!$B$225,Forudsætninger!$C$9),Forudsætninger!$C$11)+O15</f>
        <v>34.630400458373984</v>
      </c>
      <c r="U15" s="2">
        <f>Forudsætninger!$C$68+((K15-(Forudsætninger!$C$84)))*0.01</f>
        <v>2.0688094784561599</v>
      </c>
      <c r="V15" s="2">
        <f>U15+Forudsætninger!$C$69</f>
        <v>1.0688094784561599</v>
      </c>
      <c r="W15">
        <f t="shared" si="6"/>
        <v>0</v>
      </c>
      <c r="X15">
        <f>IF(A15+Forudsætninger!$C$60&gt;248,IF(A15+Forudsætninger!$C$60&lt;365,IF(K15&gt;180,IF(K15&lt;260,1,0),0),0),0)</f>
        <v>0</v>
      </c>
      <c r="Y15" s="22">
        <f>IF(X15=0,0,IF('Vækstfunktion, hol'!A15&lt;Forudsætninger!$C$66,Forudsætninger!$C$67+(('Vækstfunktion, hol'!A15-Forudsætninger!$C$66)/7)*Forudsætninger!$C$64,Forudsætninger!$C$67))</f>
        <v>0</v>
      </c>
      <c r="Z15" s="19">
        <f t="shared" si="19"/>
        <v>418.58337971603856</v>
      </c>
      <c r="AA15" s="19">
        <f>Forudsætninger!$C$62+Forudsætninger!$C$16</f>
        <v>1350</v>
      </c>
      <c r="AB15" s="19">
        <f>IF(K15&gt;Forudsætninger!$C$26,IF(K15&gt;Forudsætninger!$C$27,IF(K15&gt;Forudsætninger!$C$28,Forudsætninger!$E$28,Forudsætninger!$E$27+Forudsætninger!$F$28*(K15-Forudsætninger!$C$27)),Forudsætninger!$E$26+Forudsætninger!$F$27*(K15-Forudsætninger!$C$26)),Forudsætninger!$E$26)+IF(K15&gt;Forudsætninger!$C$28,Forudsætninger!$G$28,IF(K15&gt;Forudsætninger!$C$27,Forudsætninger!$G$27+Forudsætninger!$H$28*(K15-Forudsætninger!$C$27),IF(K15&gt;Forudsætninger!$C$26,Forudsætninger!$G$26+Forudsætninger!$H$27*(K15-Forudsætninger!$C$26),Forudsætninger!$G$26)))*(U15-Forudsætninger!$H$26)</f>
        <v>32.901607108842121</v>
      </c>
      <c r="AC15" s="19">
        <f>IF(K15&gt;Forudsætninger!$C$31,IF(K15&gt;Forudsætninger!$C$32,IF(K15&gt;Forudsætninger!$C$33,Forudsætninger!$E$33,Forudsætninger!$E$32+Forudsætninger!$F$33*(K15-Forudsætninger!$C$32)),Forudsætninger!$E$31+Forudsætninger!$F$32*(K15-Forudsætninger!$C$31)),Forudsætninger!$E$31)+IF(K15&gt;Forudsætninger!$C$33,Forudsætninger!$G$33,IF(K15&gt;Forudsætninger!$C$32,Forudsætninger!$G$32+Forudsætninger!$H$33*(K15-Forudsætninger!$C$32),IF(K15&gt;Forudsætninger!$C$31,Forudsætninger!$G$31+Forudsætninger!$H$32*(K15-Forudsætninger!$C$31),Forudsætninger!$G$31)))*(V15-Forudsætninger!$H$31)</f>
        <v>25.789452321993007</v>
      </c>
      <c r="AD15" s="19">
        <f t="shared" si="7"/>
        <v>958.73996131428896</v>
      </c>
      <c r="AE15" s="19">
        <f t="shared" si="8"/>
        <v>25.789452321993007</v>
      </c>
      <c r="AF15">
        <f>IF(G15&lt;=Forudsætninger!$C$97,Forudsætninger!$C$98,(IF(G15&lt;=Forudsætninger!$D$97,Forudsætninger!$D$98,IF(G15&lt;=Forudsætninger!$E$97,Forudsætninger!$E$98,IF(G15&lt;=Forudsætninger!$F$97,Forudsætninger!$F$98,IF(G15&lt;=Forudsætninger!$G$97,Forudsætninger!$G$98,IF(G15&lt;=Forudsætninger!$H$97,Forudsætninger!$H$98,IF(G15&lt;=Forudsætninger!$I$97,Forudsætninger!$I$98,Forudsætninger!$I$98))))))))</f>
        <v>1.8</v>
      </c>
      <c r="AG15" s="1">
        <f t="shared" si="14"/>
        <v>2.2000000000000002</v>
      </c>
      <c r="AH15" s="1">
        <f t="shared" si="20"/>
        <v>28.599999999999994</v>
      </c>
      <c r="AI15" s="1">
        <f t="shared" si="9"/>
        <v>2.1999999999999997</v>
      </c>
      <c r="AJ15" s="20">
        <f>+(W15*Forudsætninger!$C$12)</f>
        <v>0</v>
      </c>
      <c r="AK15" s="20">
        <f>Forudsætninger!$C$17</f>
        <v>250</v>
      </c>
      <c r="AL15" s="20">
        <f>IF(A15&lt;92,Forudsætninger!$C$20,Forudsætninger!$C$21)</f>
        <v>4.0072859744990899</v>
      </c>
      <c r="AM15" s="20">
        <f t="shared" si="15"/>
        <v>52.094717668488173</v>
      </c>
      <c r="AN15" s="20">
        <f>IFERROR(AD15+AJ15-AA15-Z15-AK15-AM15-Forudsætninger!$C$75,-99999999)</f>
        <v>-1294.3323286196323</v>
      </c>
      <c r="AO15" s="19">
        <f>IFERROR(AN15/(A15+Forudsætninger!$C$74),-99999999)</f>
        <v>-99.564025278433263</v>
      </c>
      <c r="AP15" s="19">
        <f>IFERROR(((365/(A15+Forudsætninger!$C$74))*AN15)/(AI15+Forudsætninger!$C$73),-9999999)</f>
        <v>-15731.978020185343</v>
      </c>
      <c r="AQ15" s="18">
        <f t="shared" si="10"/>
        <v>13</v>
      </c>
      <c r="AR15" s="18">
        <f t="shared" si="16"/>
        <v>2070.6780973845266</v>
      </c>
      <c r="AS15" s="52">
        <f t="shared" si="1"/>
        <v>1.7</v>
      </c>
      <c r="AT15" s="50">
        <f t="shared" si="21"/>
        <v>-27.537296211759212</v>
      </c>
      <c r="AU15" s="50">
        <f t="shared" si="22"/>
        <v>6.0022274222228305</v>
      </c>
      <c r="AV15" s="2">
        <f t="shared" si="23"/>
        <v>948.40390004820074</v>
      </c>
      <c r="AW15" s="61">
        <f t="shared" si="17"/>
        <v>-95.556739303934165</v>
      </c>
      <c r="BA15" s="16"/>
      <c r="BB15" s="2"/>
    </row>
    <row r="16" spans="1:59" x14ac:dyDescent="0.25">
      <c r="A16">
        <v>14</v>
      </c>
      <c r="B16" s="1">
        <f>ROUND((A16+Forudsætninger!$C$60)/30.4,1)</f>
        <v>1.7</v>
      </c>
      <c r="C16" s="1">
        <f>VLOOKUP((A16+Forudsætninger!$C$60),'Model tilvækst, slagteform, fe'!A:B,2,FALSE)</f>
        <v>77.747246511369738</v>
      </c>
      <c r="D16" s="3">
        <f t="shared" si="24"/>
        <v>983.0965351501959</v>
      </c>
      <c r="E16" s="1">
        <f>(1+Forudsætninger!$C$78)*C16</f>
        <v>72.304939255573856</v>
      </c>
      <c r="F16" s="2">
        <f t="shared" si="25"/>
        <v>8.0734259096441434</v>
      </c>
      <c r="G16" s="1">
        <f t="shared" si="2"/>
        <v>80.378365165218</v>
      </c>
      <c r="H16" s="3">
        <f t="shared" si="3"/>
        <v>886.19130525681555</v>
      </c>
      <c r="I16" s="3">
        <f t="shared" si="4"/>
        <v>812.7403689441428</v>
      </c>
      <c r="J16" s="1">
        <f>VLOOKUP((A16+Forudsætninger!$C$60),'Model tilvækst, slagteform, fe'!G:K,2,FALSE)*(1+Forudsætninger!$C$79)</f>
        <v>46.783293274487299</v>
      </c>
      <c r="K16" s="17">
        <f t="shared" si="0"/>
        <v>37.603646304482275</v>
      </c>
      <c r="L16" s="17">
        <f t="shared" si="18"/>
        <v>427.98435773033106</v>
      </c>
      <c r="M16" s="3">
        <f>((K16-(('Model tilvækst, slagteform, fe'!$H$9/100)*'Model tilvækst, slagteform, fe'!$B$9))*1000/(A16+Forudsætninger!$C$60))</f>
        <v>323.71211841647886</v>
      </c>
      <c r="N16" s="17">
        <f t="shared" si="11"/>
        <v>28.040761998627758</v>
      </c>
      <c r="O16" s="19">
        <f>IF( A16&lt;Forudsætninger!$C$14,(G16/100)*Forudsætninger!$C$13,(Forudsætninger!$C$15/1000)*Forudsætninger!$C$13)</f>
        <v>0.52245937357391703</v>
      </c>
      <c r="P16" s="17" cm="1">
        <f t="array" ref="P16">INDEX('Model tilvækst, slagteform, fe'!$N$9:$N$375,MATCH(MIN(ABS('Model tilvækst, slagteform, fe'!$M$9:$M$375-'Vækstfunktion, hol'!G16)),ABS('Model tilvækst, slagteform, fe'!$M$9:$M$375-'Vækstfunktion, hol'!G16),0))*(1+Forudsætninger!$C$80)</f>
        <v>2.175969541219744</v>
      </c>
      <c r="Q16" s="17">
        <f t="shared" si="12"/>
        <v>5.0842267992205503</v>
      </c>
      <c r="R16" s="17">
        <f t="shared" si="13"/>
        <v>5.1132590677197678</v>
      </c>
      <c r="S16" s="17">
        <f t="shared" si="5"/>
        <v>2.4643928711608125</v>
      </c>
      <c r="T16" s="19">
        <f>(P16)*IF(N16&lt;Forudsætninger!$B$228,IF(N16&lt;Forudsætninger!$B$227,Forudsætninger!$B$225,Forudsætninger!$C$9),Forudsætninger!$C$11)+O16</f>
        <v>35.207785821221968</v>
      </c>
      <c r="U16" s="2">
        <f>Forudsætninger!$C$68+((K16-(Forudsætninger!$C$84)))*0.01</f>
        <v>2.073089322033463</v>
      </c>
      <c r="V16" s="2">
        <f>U16+Forudsætninger!$C$69</f>
        <v>1.073089322033463</v>
      </c>
      <c r="W16">
        <f t="shared" si="6"/>
        <v>0</v>
      </c>
      <c r="X16">
        <f>IF(A16+Forudsætninger!$C$60&gt;248,IF(A16+Forudsætninger!$C$60&lt;365,IF(K16&gt;180,IF(K16&lt;260,1,0),0),0),0)</f>
        <v>0</v>
      </c>
      <c r="Y16" s="22">
        <f>IF(X16=0,0,IF('Vækstfunktion, hol'!A16&lt;Forudsætninger!$C$66,Forudsætninger!$C$67+(('Vækstfunktion, hol'!A16-Forudsætninger!$C$66)/7)*Forudsætninger!$C$64,Forudsætninger!$C$67))</f>
        <v>0</v>
      </c>
      <c r="Z16" s="19">
        <f t="shared" si="19"/>
        <v>453.79116553726055</v>
      </c>
      <c r="AA16" s="19">
        <f>Forudsætninger!$C$62+Forudsætninger!$C$16</f>
        <v>1350</v>
      </c>
      <c r="AB16" s="19">
        <f>IF(K16&gt;Forudsætninger!$C$26,IF(K16&gt;Forudsætninger!$C$27,IF(K16&gt;Forudsætninger!$C$28,Forudsætninger!$E$28,Forudsætninger!$E$27+Forudsætninger!$F$28*(K16-Forudsætninger!$C$27)),Forudsætninger!$E$26+Forudsætninger!$F$27*(K16-Forudsætninger!$C$26)),Forudsætninger!$E$26)+IF(K16&gt;Forudsætninger!$C$28,Forudsætninger!$G$28,IF(K16&gt;Forudsætninger!$C$27,Forudsætninger!$G$27+Forudsætninger!$H$28*(K16-Forudsætninger!$C$27),IF(K16&gt;Forudsætninger!$C$26,Forudsætninger!$G$26+Forudsætninger!$H$27*(K16-Forudsætninger!$C$26),Forudsætninger!$G$26)))*(U16-Forudsætninger!$H$26)</f>
        <v>32.904816991525095</v>
      </c>
      <c r="AC16" s="19">
        <f>IF(K16&gt;Forudsætninger!$C$31,IF(K16&gt;Forudsætninger!$C$32,IF(K16&gt;Forudsætninger!$C$33,Forudsætninger!$E$33,Forudsætninger!$E$32+Forudsætninger!$F$33*(K16-Forudsætninger!$C$32)),Forudsætninger!$E$31+Forudsætninger!$F$32*(K16-Forudsætninger!$C$31)),Forudsætninger!$E$31)+IF(K16&gt;Forudsætninger!$C$33,Forudsætninger!$G$33,IF(K16&gt;Forudsætninger!$C$32,Forudsætninger!$G$32+Forudsætninger!$H$33*(K16-Forudsætninger!$C$32),IF(K16&gt;Forudsætninger!$C$31,Forudsætninger!$G$31+Forudsætninger!$H$32*(K16-Forudsætninger!$C$31),Forudsætninger!$G$31)))*(V16-Forudsætninger!$H$31)</f>
        <v>25.795016118643503</v>
      </c>
      <c r="AD16" s="19">
        <f t="shared" si="7"/>
        <v>969.98666254388945</v>
      </c>
      <c r="AE16" s="19">
        <f t="shared" si="8"/>
        <v>25.795016118643503</v>
      </c>
      <c r="AF16">
        <f>IF(G16&lt;=Forudsætninger!$C$97,Forudsætninger!$C$98,(IF(G16&lt;=Forudsætninger!$D$97,Forudsætninger!$D$98,IF(G16&lt;=Forudsætninger!$E$97,Forudsætninger!$E$98,IF(G16&lt;=Forudsætninger!$F$97,Forudsætninger!$F$98,IF(G16&lt;=Forudsætninger!$G$97,Forudsætninger!$G$98,IF(G16&lt;=Forudsætninger!$H$97,Forudsætninger!$H$98,IF(G16&lt;=Forudsætninger!$I$97,Forudsætninger!$I$98,Forudsætninger!$I$98))))))))</f>
        <v>1.8</v>
      </c>
      <c r="AG16" s="1">
        <f t="shared" si="14"/>
        <v>2.2000000000000002</v>
      </c>
      <c r="AH16" s="1">
        <f t="shared" si="20"/>
        <v>30.799999999999994</v>
      </c>
      <c r="AI16" s="1">
        <f t="shared" si="9"/>
        <v>2.1999999999999997</v>
      </c>
      <c r="AJ16" s="20">
        <f>+(W16*Forudsætninger!$C$12)</f>
        <v>0</v>
      </c>
      <c r="AK16" s="20">
        <f>Forudsætninger!$C$17</f>
        <v>250</v>
      </c>
      <c r="AL16" s="20">
        <f>IF(A16&lt;92,Forudsætninger!$C$20,Forudsætninger!$C$21)</f>
        <v>4.0072859744990899</v>
      </c>
      <c r="AM16" s="20">
        <f t="shared" si="15"/>
        <v>56.102003642987263</v>
      </c>
      <c r="AN16" s="20">
        <f>IFERROR(AD16+AJ16-AA16-Z16-AK16-AM16-Forudsætninger!$C$75,-99999999)</f>
        <v>-1322.3006991857528</v>
      </c>
      <c r="AO16" s="19">
        <f>IFERROR(AN16/(A16+Forudsætninger!$C$74),-99999999)</f>
        <v>-94.450049941839481</v>
      </c>
      <c r="AP16" s="19">
        <f>IFERROR(((365/(A16+Forudsætninger!$C$74))*AN16)/(AI16+Forudsætninger!$C$73),-9999999)</f>
        <v>-14923.925640160787</v>
      </c>
      <c r="AQ16" s="18">
        <f t="shared" si="10"/>
        <v>14</v>
      </c>
      <c r="AR16" s="18">
        <f t="shared" si="16"/>
        <v>2109.8931691802477</v>
      </c>
      <c r="AS16" s="52">
        <f t="shared" si="1"/>
        <v>1.7</v>
      </c>
      <c r="AT16" s="50">
        <f t="shared" si="21"/>
        <v>-27.968370566120484</v>
      </c>
      <c r="AU16" s="50">
        <f t="shared" si="22"/>
        <v>5.1139753365937821</v>
      </c>
      <c r="AV16" s="2">
        <f t="shared" si="23"/>
        <v>808.05238002455553</v>
      </c>
      <c r="AW16" s="61">
        <f t="shared" si="17"/>
        <v>-90.442763967340397</v>
      </c>
      <c r="BA16" s="16"/>
      <c r="BB16" s="2"/>
    </row>
    <row r="17" spans="1:54" x14ac:dyDescent="0.25">
      <c r="A17">
        <v>15</v>
      </c>
      <c r="B17" s="1">
        <f>ROUND((A17+Forudsætninger!$C$60)/30.4,1)</f>
        <v>1.8</v>
      </c>
      <c r="C17" s="1">
        <f>VLOOKUP((A17+Forudsætninger!$C$60),'Model tilvækst, slagteform, fe'!A:B,2,FALSE)</f>
        <v>78.742211550224113</v>
      </c>
      <c r="D17" s="3">
        <f>(C17-C16)*1000</f>
        <v>994.96503885437448</v>
      </c>
      <c r="E17" s="1">
        <f>(1+Forudsætninger!$C$78)*C17</f>
        <v>73.230256741708416</v>
      </c>
      <c r="F17" s="2">
        <f t="shared" si="25"/>
        <v>8.0449983371054472</v>
      </c>
      <c r="G17" s="1">
        <f t="shared" si="2"/>
        <v>81.275255078813871</v>
      </c>
      <c r="H17" s="3">
        <f t="shared" si="3"/>
        <v>896.88991359587078</v>
      </c>
      <c r="I17" s="3">
        <f t="shared" si="4"/>
        <v>818.35033858759141</v>
      </c>
      <c r="J17" s="1">
        <f>VLOOKUP((A17+Forudsætninger!$C$60),'Model tilvækst, slagteform, fe'!G:K,2,FALSE)*(1+Forudsætninger!$C$79)</f>
        <v>46.800190097146739</v>
      </c>
      <c r="K17" s="17">
        <f t="shared" si="0"/>
        <v>38.036973878825798</v>
      </c>
      <c r="L17" s="17">
        <f t="shared" si="18"/>
        <v>433.32757434352231</v>
      </c>
      <c r="M17" s="3">
        <f>((K17-(('Model tilvækst, slagteform, fe'!$H$9/100)*'Model tilvækst, slagteform, fe'!$B$9))*1000/(A17+Forudsætninger!$C$60))</f>
        <v>325.74203426697966</v>
      </c>
      <c r="N17" s="17">
        <f t="shared" si="11"/>
        <v>30.25268588761325</v>
      </c>
      <c r="O17" s="19">
        <f>IF( A17&lt;Forudsætninger!$C$14,(G17/100)*Forudsætninger!$C$13,(Forudsætninger!$C$15/1000)*Forudsætninger!$C$13)</f>
        <v>0.52828915801229015</v>
      </c>
      <c r="P17" s="17" cm="1">
        <f t="array" ref="P17">INDEX('Model tilvækst, slagteform, fe'!$N$9:$N$375,MATCH(MIN(ABS('Model tilvækst, slagteform, fe'!$M$9:$M$375-'Vækstfunktion, hol'!G17)),ABS('Model tilvækst, slagteform, fe'!$M$9:$M$375-'Vækstfunktion, hol'!G17),0))*(1+Forudsætninger!$C$80)</f>
        <v>2.211923888985492</v>
      </c>
      <c r="Q17" s="17">
        <f t="shared" si="12"/>
        <v>5.1045075825984236</v>
      </c>
      <c r="R17" s="17">
        <f t="shared" si="13"/>
        <v>5.1126181865565696</v>
      </c>
      <c r="S17" s="17">
        <f t="shared" si="5"/>
        <v>2.4645260480026208</v>
      </c>
      <c r="T17" s="19">
        <f>(P17)*IF(N17&lt;Forudsætninger!$B$228,IF(N17&lt;Forudsætninger!$B$227,Forudsætninger!$B$225,Forudsætninger!$C$9),Forudsætninger!$C$11)+O17</f>
        <v>35.786734055088722</v>
      </c>
      <c r="U17" s="2">
        <f>Forudsætninger!$C$68+((K17-(Forudsætninger!$C$84)))*0.01</f>
        <v>2.0774225977768981</v>
      </c>
      <c r="V17" s="2">
        <f>U17+Forudsætninger!$C$69</f>
        <v>1.0774225977768981</v>
      </c>
      <c r="W17">
        <f t="shared" si="6"/>
        <v>0</v>
      </c>
      <c r="X17">
        <f>IF(A17+Forudsætninger!$C$60&gt;248,IF(A17+Forudsætninger!$C$60&lt;365,IF(K17&gt;180,IF(K17&lt;260,1,0),0),0),0)</f>
        <v>0</v>
      </c>
      <c r="Y17" s="22">
        <f>IF(X17=0,0,IF('Vækstfunktion, hol'!A17&lt;Forudsætninger!$C$66,Forudsætninger!$C$67+(('Vækstfunktion, hol'!A17-Forudsætninger!$C$66)/7)*Forudsætninger!$C$64,Forudsætninger!$C$67))</f>
        <v>0</v>
      </c>
      <c r="Z17" s="19">
        <f t="shared" si="19"/>
        <v>489.5778995923493</v>
      </c>
      <c r="AA17" s="19">
        <f>Forudsætninger!$C$62+Forudsætninger!$C$16</f>
        <v>1350</v>
      </c>
      <c r="AB17" s="19">
        <f>IF(K17&gt;Forudsætninger!$C$26,IF(K17&gt;Forudsætninger!$C$27,IF(K17&gt;Forudsætninger!$C$28,Forudsætninger!$E$28,Forudsætninger!$E$27+Forudsætninger!$F$28*(K17-Forudsætninger!$C$27)),Forudsætninger!$E$26+Forudsætninger!$F$27*(K17-Forudsætninger!$C$26)),Forudsætninger!$E$26)+IF(K17&gt;Forudsætninger!$C$28,Forudsætninger!$G$28,IF(K17&gt;Forudsætninger!$C$27,Forudsætninger!$G$27+Forudsætninger!$H$28*(K17-Forudsætninger!$C$27),IF(K17&gt;Forudsætninger!$C$26,Forudsætninger!$G$26+Forudsætninger!$H$27*(K17-Forudsætninger!$C$26),Forudsætninger!$G$26)))*(U17-Forudsætninger!$H$26)</f>
        <v>32.908066948332674</v>
      </c>
      <c r="AC17" s="19">
        <f>IF(K17&gt;Forudsætninger!$C$31,IF(K17&gt;Forudsætninger!$C$32,IF(K17&gt;Forudsætninger!$C$33,Forudsætninger!$E$33,Forudsætninger!$E$32+Forudsætninger!$F$33*(K17-Forudsætninger!$C$32)),Forudsætninger!$E$31+Forudsætninger!$F$32*(K17-Forudsætninger!$C$31)),Forudsætninger!$E$31)+IF(K17&gt;Forudsætninger!$C$33,Forudsætninger!$G$33,IF(K17&gt;Forudsætninger!$C$32,Forudsætninger!$G$32+Forudsætninger!$H$33*(K17-Forudsætninger!$C$32),IF(K17&gt;Forudsætninger!$C$31,Forudsætninger!$G$31+Forudsætninger!$H$32*(K17-Forudsætninger!$C$31),Forudsætninger!$G$31)))*(V17-Forudsætninger!$H$31)</f>
        <v>25.800649377109966</v>
      </c>
      <c r="AD17" s="19">
        <f t="shared" si="7"/>
        <v>981.37862641387483</v>
      </c>
      <c r="AE17" s="19">
        <f t="shared" si="8"/>
        <v>25.800649377109966</v>
      </c>
      <c r="AF17">
        <f>IF(G17&lt;=Forudsætninger!$C$97,Forudsætninger!$C$98,(IF(G17&lt;=Forudsætninger!$D$97,Forudsætninger!$D$98,IF(G17&lt;=Forudsætninger!$E$97,Forudsætninger!$E$98,IF(G17&lt;=Forudsætninger!$F$97,Forudsætninger!$F$98,IF(G17&lt;=Forudsætninger!$G$97,Forudsætninger!$G$98,IF(G17&lt;=Forudsætninger!$H$97,Forudsætninger!$H$98,IF(G17&lt;=Forudsætninger!$I$97,Forudsætninger!$I$98,Forudsætninger!$I$98))))))))</f>
        <v>1.8</v>
      </c>
      <c r="AG17" s="1">
        <f t="shared" si="14"/>
        <v>2.2000000000000002</v>
      </c>
      <c r="AH17" s="1">
        <f t="shared" si="20"/>
        <v>32.999999999999993</v>
      </c>
      <c r="AI17" s="1">
        <f t="shared" si="9"/>
        <v>2.1999999999999997</v>
      </c>
      <c r="AJ17" s="20">
        <f>+(W17*Forudsætninger!$C$12)</f>
        <v>0</v>
      </c>
      <c r="AK17" s="20">
        <f>Forudsætninger!$C$17</f>
        <v>250</v>
      </c>
      <c r="AL17" s="20">
        <f>IF(A17&lt;92,Forudsætninger!$C$20,Forudsætninger!$C$21)</f>
        <v>4.0072859744990899</v>
      </c>
      <c r="AM17" s="20">
        <f t="shared" si="15"/>
        <v>60.109289617486354</v>
      </c>
      <c r="AN17" s="20">
        <f>IFERROR(AD17+AJ17-AA17-Z17-AK17-AM17-Forudsætninger!$C$75,-99999999)</f>
        <v>-1350.7027553453554</v>
      </c>
      <c r="AO17" s="19">
        <f>IFERROR(AN17/(A17+Forudsætninger!$C$74),-99999999)</f>
        <v>-90.046850356357027</v>
      </c>
      <c r="AP17" s="19">
        <f>IFERROR(((365/(A17+Forudsætninger!$C$74))*AN17)/(AI17+Forudsætninger!$C$73),-9999999)</f>
        <v>-14228.181982714423</v>
      </c>
      <c r="AQ17" s="18">
        <f t="shared" si="10"/>
        <v>15</v>
      </c>
      <c r="AR17" s="18">
        <f t="shared" si="16"/>
        <v>2149.6871892098357</v>
      </c>
      <c r="AS17" s="52">
        <f t="shared" si="1"/>
        <v>1.8</v>
      </c>
      <c r="AT17" s="50">
        <f t="shared" si="21"/>
        <v>-28.40205615960258</v>
      </c>
      <c r="AU17" s="50">
        <f t="shared" si="22"/>
        <v>4.4031995854824544</v>
      </c>
      <c r="AV17" s="2">
        <f t="shared" si="23"/>
        <v>695.74365744636452</v>
      </c>
      <c r="AW17" s="61">
        <f t="shared" si="17"/>
        <v>-86.039564381857929</v>
      </c>
      <c r="BA17" s="16"/>
      <c r="BB17" s="2"/>
    </row>
    <row r="18" spans="1:54" x14ac:dyDescent="0.25">
      <c r="A18">
        <v>16</v>
      </c>
      <c r="B18" s="1">
        <f>ROUND((A18+Forudsætninger!$C$60)/30.4,1)</f>
        <v>1.8</v>
      </c>
      <c r="C18" s="1">
        <f>VLOOKUP((A18+Forudsætninger!$C$60),'Model tilvækst, slagteform, fe'!A:B,2,FALSE)</f>
        <v>79.748913767415914</v>
      </c>
      <c r="D18" s="3">
        <f t="shared" si="24"/>
        <v>1006.7022171918012</v>
      </c>
      <c r="E18" s="1">
        <f>(1+Forudsætninger!$C$78)*C18</f>
        <v>74.166489803696791</v>
      </c>
      <c r="F18" s="2">
        <f t="shared" si="25"/>
        <v>8.0162354166142524</v>
      </c>
      <c r="G18" s="1">
        <f t="shared" si="2"/>
        <v>82.182725220311042</v>
      </c>
      <c r="H18" s="3">
        <f t="shared" si="3"/>
        <v>907.47014149717131</v>
      </c>
      <c r="I18" s="3">
        <f t="shared" si="4"/>
        <v>823.92032626944012</v>
      </c>
      <c r="J18" s="1">
        <f>VLOOKUP((A18+Forudsætninger!$C$60),'Model tilvækst, slagteform, fe'!G:K,2,FALSE)*(1+Forudsætninger!$C$79)</f>
        <v>46.817135998064145</v>
      </c>
      <c r="K18" s="17">
        <f t="shared" si="0"/>
        <v>38.475598233308382</v>
      </c>
      <c r="L18" s="17">
        <f t="shared" si="18"/>
        <v>438.62435448258452</v>
      </c>
      <c r="M18" s="3">
        <f>((K18-(('Model tilvækst, slagteform, fe'!$H$9/100)*'Model tilvækst, slagteform, fe'!$B$9))*1000/(A18+Forudsætninger!$C$60))</f>
        <v>327.79444008908155</v>
      </c>
      <c r="N18" s="17">
        <f t="shared" si="11"/>
        <v>32.500661411014804</v>
      </c>
      <c r="O18" s="19">
        <f>IF( A18&lt;Forudsætninger!$C$14,(G18/100)*Forudsætninger!$C$13,(Forudsætninger!$C$15/1000)*Forudsætninger!$C$13)</f>
        <v>0.5341877139320218</v>
      </c>
      <c r="P18" s="17" cm="1">
        <f t="array" ref="P18">INDEX('Model tilvækst, slagteform, fe'!$N$9:$N$375,MATCH(MIN(ABS('Model tilvækst, slagteform, fe'!$M$9:$M$375-'Vækstfunktion, hol'!G18)),ABS('Model tilvækst, slagteform, fe'!$M$9:$M$375-'Vækstfunktion, hol'!G18),0))*(1+Forudsætninger!$C$80)</f>
        <v>2.247975523401557</v>
      </c>
      <c r="Q18" s="17">
        <f t="shared" si="12"/>
        <v>5.1250586075033198</v>
      </c>
      <c r="R18" s="17">
        <f t="shared" si="13"/>
        <v>5.1134767094900626</v>
      </c>
      <c r="S18" s="17">
        <f t="shared" si="5"/>
        <v>2.4653977738184216</v>
      </c>
      <c r="T18" s="19">
        <f>(P18)*IF(N18&lt;Forudsætninger!$B$228,IF(N18&lt;Forudsætninger!$B$227,Forudsætninger!$B$225,Forudsætninger!$C$9),Forudsætninger!$C$11)+O18</f>
        <v>36.367301826273078</v>
      </c>
      <c r="U18" s="2">
        <f>Forudsætninger!$C$68+((K18-(Forudsætninger!$C$84)))*0.01</f>
        <v>2.0818088413217239</v>
      </c>
      <c r="V18" s="2">
        <f>U18+Forudsætninger!$C$69</f>
        <v>1.0818088413217239</v>
      </c>
      <c r="W18">
        <f t="shared" si="6"/>
        <v>0</v>
      </c>
      <c r="X18">
        <f>IF(A18+Forudsætninger!$C$60&gt;248,IF(A18+Forudsætninger!$C$60&lt;365,IF(K18&gt;180,IF(K18&lt;260,1,0),0),0),0)</f>
        <v>0</v>
      </c>
      <c r="Y18" s="22">
        <f>IF(X18=0,0,IF('Vækstfunktion, hol'!A18&lt;Forudsætninger!$C$66,Forudsætninger!$C$67+(('Vækstfunktion, hol'!A18-Forudsætninger!$C$66)/7)*Forudsætninger!$C$64,Forudsætninger!$C$67))</f>
        <v>0</v>
      </c>
      <c r="Z18" s="19">
        <f t="shared" si="19"/>
        <v>525.94520141862233</v>
      </c>
      <c r="AA18" s="19">
        <f>Forudsætninger!$C$62+Forudsætninger!$C$16</f>
        <v>1350</v>
      </c>
      <c r="AB18" s="19">
        <f>IF(K18&gt;Forudsætninger!$C$26,IF(K18&gt;Forudsætninger!$C$27,IF(K18&gt;Forudsætninger!$C$28,Forudsætninger!$E$28,Forudsætninger!$E$27+Forudsætninger!$F$28*(K18-Forudsætninger!$C$27)),Forudsætninger!$E$26+Forudsætninger!$F$27*(K18-Forudsætninger!$C$26)),Forudsætninger!$E$26)+IF(K18&gt;Forudsætninger!$C$28,Forudsætninger!$G$28,IF(K18&gt;Forudsætninger!$C$27,Forudsætninger!$G$27+Forudsætninger!$H$28*(K18-Forudsætninger!$C$27),IF(K18&gt;Forudsætninger!$C$26,Forudsætninger!$G$26+Forudsætninger!$H$27*(K18-Forudsætninger!$C$26),Forudsætninger!$G$26)))*(U18-Forudsætninger!$H$26)</f>
        <v>32.911356630991293</v>
      </c>
      <c r="AC18" s="19">
        <f>IF(K18&gt;Forudsætninger!$C$31,IF(K18&gt;Forudsætninger!$C$32,IF(K18&gt;Forudsætninger!$C$33,Forudsætninger!$E$33,Forudsætninger!$E$32+Forudsætninger!$F$33*(K18-Forudsætninger!$C$32)),Forudsætninger!$E$31+Forudsætninger!$F$32*(K18-Forudsætninger!$C$31)),Forudsætninger!$E$31)+IF(K18&gt;Forudsætninger!$C$33,Forudsætninger!$G$33,IF(K18&gt;Forudsætninger!$C$32,Forudsætninger!$G$32+Forudsætninger!$H$33*(K18-Forudsætninger!$C$32),IF(K18&gt;Forudsætninger!$C$31,Forudsætninger!$G$31+Forudsætninger!$H$32*(K18-Forudsætninger!$C$31),Forudsætninger!$G$31)))*(V18-Forudsætninger!$H$31)</f>
        <v>25.806351493718239</v>
      </c>
      <c r="AD18" s="19">
        <f t="shared" si="7"/>
        <v>992.91481193984066</v>
      </c>
      <c r="AE18" s="19">
        <f t="shared" si="8"/>
        <v>25.806351493718239</v>
      </c>
      <c r="AF18">
        <f>IF(G18&lt;=Forudsætninger!$C$97,Forudsætninger!$C$98,(IF(G18&lt;=Forudsætninger!$D$97,Forudsætninger!$D$98,IF(G18&lt;=Forudsætninger!$E$97,Forudsætninger!$E$98,IF(G18&lt;=Forudsætninger!$F$97,Forudsætninger!$F$98,IF(G18&lt;=Forudsætninger!$G$97,Forudsætninger!$G$98,IF(G18&lt;=Forudsætninger!$H$97,Forudsætninger!$H$98,IF(G18&lt;=Forudsætninger!$I$97,Forudsætninger!$I$98,Forudsætninger!$I$98))))))))</f>
        <v>1.8</v>
      </c>
      <c r="AG18" s="1">
        <f t="shared" si="14"/>
        <v>2.2000000000000002</v>
      </c>
      <c r="AH18" s="1">
        <f t="shared" si="20"/>
        <v>35.199999999999996</v>
      </c>
      <c r="AI18" s="1">
        <f t="shared" si="9"/>
        <v>2.1999999999999997</v>
      </c>
      <c r="AJ18" s="20">
        <f>+(W18*Forudsætninger!$C$12)</f>
        <v>0</v>
      </c>
      <c r="AK18" s="20">
        <f>Forudsætninger!$C$17</f>
        <v>250</v>
      </c>
      <c r="AL18" s="20">
        <f>IF(A18&lt;92,Forudsætninger!$C$20,Forudsætninger!$C$21)</f>
        <v>4.0072859744990899</v>
      </c>
      <c r="AM18" s="20">
        <f t="shared" si="15"/>
        <v>64.116575591985438</v>
      </c>
      <c r="AN18" s="20">
        <f>IFERROR(AD18+AJ18-AA18-Z18-AK18-AM18-Forudsætninger!$C$75,-99999999)</f>
        <v>-1379.5411576201616</v>
      </c>
      <c r="AO18" s="19">
        <f>IFERROR(AN18/(A18+Forudsætninger!$C$74),-99999999)</f>
        <v>-86.221322351260099</v>
      </c>
      <c r="AP18" s="19">
        <f>IFERROR(((365/(A18+Forudsætninger!$C$74))*AN18)/(AI18+Forudsætninger!$C$73),-9999999)</f>
        <v>-13623.71543645452</v>
      </c>
      <c r="AQ18" s="18">
        <f t="shared" si="10"/>
        <v>16</v>
      </c>
      <c r="AR18" s="18">
        <f t="shared" si="16"/>
        <v>2190.0617770106078</v>
      </c>
      <c r="AS18" s="52">
        <f t="shared" si="1"/>
        <v>1.8</v>
      </c>
      <c r="AT18" s="50">
        <f t="shared" si="21"/>
        <v>-28.838402274806185</v>
      </c>
      <c r="AU18" s="50">
        <f t="shared" si="22"/>
        <v>3.8255280050969276</v>
      </c>
      <c r="AV18" s="2">
        <f t="shared" si="23"/>
        <v>604.46654625990232</v>
      </c>
      <c r="AW18" s="61">
        <f t="shared" si="17"/>
        <v>-82.214036376761015</v>
      </c>
      <c r="BA18" s="16"/>
      <c r="BB18" s="2"/>
    </row>
    <row r="19" spans="1:54" x14ac:dyDescent="0.25">
      <c r="A19">
        <v>17</v>
      </c>
      <c r="B19" s="1">
        <f>ROUND((A19+Forudsætninger!$C$60)/30.4,1)</f>
        <v>1.8</v>
      </c>
      <c r="C19" s="1">
        <f>VLOOKUP((A19+Forudsætninger!$C$60),'Model tilvækst, slagteform, fe'!A:B,2,FALSE)</f>
        <v>80.767222371925925</v>
      </c>
      <c r="D19" s="3">
        <f t="shared" si="24"/>
        <v>1018.3086045100112</v>
      </c>
      <c r="E19" s="1">
        <f>(1+Forudsætninger!$C$78)*C19</f>
        <v>75.113516805891109</v>
      </c>
      <c r="F19" s="2">
        <f t="shared" si="25"/>
        <v>7.9871408850568235</v>
      </c>
      <c r="G19" s="1">
        <f>E19+F19</f>
        <v>83.100657690947926</v>
      </c>
      <c r="H19" s="3">
        <f t="shared" si="3"/>
        <v>917.93247063688455</v>
      </c>
      <c r="I19" s="3">
        <f t="shared" si="4"/>
        <v>829.45045240870149</v>
      </c>
      <c r="J19" s="1">
        <f>VLOOKUP((A19+Forudsætninger!$C$60),'Model tilvækst, slagteform, fe'!G:K,2,FALSE)*(1+Forudsætninger!$C$79)</f>
        <v>46.834133797829054</v>
      </c>
      <c r="K19" s="17">
        <f t="shared" si="0"/>
        <v>38.919473209854473</v>
      </c>
      <c r="L19" s="17">
        <f t="shared" si="18"/>
        <v>443.8749765460912</v>
      </c>
      <c r="M19" s="3">
        <f>((K19-(('Model tilvækst, slagteform, fe'!$H$9/100)*'Model tilvækst, slagteform, fe'!$B$9))*1000/(A19+Forudsætninger!$C$60))</f>
        <v>329.86730681152818</v>
      </c>
      <c r="N19" s="17">
        <f t="shared" si="11"/>
        <v>34.748636934416361</v>
      </c>
      <c r="O19" s="19">
        <f>IF( A19&lt;Forudsætninger!$C$14,(G19/100)*Forudsætninger!$C$13,(Forudsætninger!$C$15/1000)*Forudsætninger!$C$13)</f>
        <v>0.54015427499116153</v>
      </c>
      <c r="P19" s="17" cm="1">
        <f t="array" ref="P19">INDEX('Model tilvækst, slagteform, fe'!$N$9:$N$375,MATCH(MIN(ABS('Model tilvækst, slagteform, fe'!$M$9:$M$375-'Vækstfunktion, hol'!G19)),ABS('Model tilvækst, slagteform, fe'!$M$9:$M$375-'Vækstfunktion, hol'!G19),0))*(1+Forudsætninger!$C$80)</f>
        <v>2.247975523401557</v>
      </c>
      <c r="Q19" s="17">
        <f t="shared" si="12"/>
        <v>5.064434000973991</v>
      </c>
      <c r="R19" s="17">
        <f t="shared" si="13"/>
        <v>5.1102752970149208</v>
      </c>
      <c r="S19" s="17">
        <f t="shared" si="5"/>
        <v>2.4643273878440177</v>
      </c>
      <c r="T19" s="19">
        <f>(P19)*IF(N19&lt;Forudsætninger!$B$228,IF(N19&lt;Forudsætninger!$B$227,Forudsætninger!$B$225,Forudsætninger!$C$9),Forudsætninger!$C$11)+O19</f>
        <v>36.373268387332217</v>
      </c>
      <c r="U19" s="2">
        <f>Forudsætninger!$C$68+((K19-(Forudsætninger!$C$84)))*0.01</f>
        <v>2.0862475910871852</v>
      </c>
      <c r="V19" s="2">
        <f>U19+Forudsætninger!$C$69</f>
        <v>1.0862475910871852</v>
      </c>
      <c r="W19">
        <f t="shared" si="6"/>
        <v>0</v>
      </c>
      <c r="X19">
        <f>IF(A19+Forudsætninger!$C$60&gt;248,IF(A19+Forudsætninger!$C$60&lt;365,IF(K19&gt;180,IF(K19&lt;260,1,0),0),0),0)</f>
        <v>0</v>
      </c>
      <c r="Y19" s="22">
        <f>IF(X19=0,0,IF('Vækstfunktion, hol'!A19&lt;Forudsætninger!$C$66,Forudsætninger!$C$67+(('Vækstfunktion, hol'!A19-Forudsætninger!$C$66)/7)*Forudsætninger!$C$64,Forudsætninger!$C$67))</f>
        <v>0</v>
      </c>
      <c r="Z19" s="19">
        <f t="shared" si="19"/>
        <v>562.31846980595458</v>
      </c>
      <c r="AA19" s="19">
        <f>Forudsætninger!$C$62+Forudsætninger!$C$16</f>
        <v>1350</v>
      </c>
      <c r="AB19" s="19">
        <f>IF(K19&gt;Forudsætninger!$C$26,IF(K19&gt;Forudsætninger!$C$27,IF(K19&gt;Forudsætninger!$C$28,Forudsætninger!$E$28,Forudsætninger!$E$27+Forudsætninger!$F$28*(K19-Forudsætninger!$C$27)),Forudsætninger!$E$26+Forudsætninger!$F$27*(K19-Forudsætninger!$C$26)),Forudsætninger!$E$26)+IF(K19&gt;Forudsætninger!$C$28,Forudsætninger!$G$28,IF(K19&gt;Forudsætninger!$C$27,Forudsætninger!$G$27+Forudsætninger!$H$28*(K19-Forudsætninger!$C$27),IF(K19&gt;Forudsætninger!$C$26,Forudsætninger!$G$26+Forudsætninger!$H$27*(K19-Forudsætninger!$C$26),Forudsætninger!$G$26)))*(U19-Forudsætninger!$H$26)</f>
        <v>32.914685693315391</v>
      </c>
      <c r="AC19" s="19">
        <f>IF(K19&gt;Forudsætninger!$C$31,IF(K19&gt;Forudsætninger!$C$32,IF(K19&gt;Forudsætninger!$C$33,Forudsætninger!$E$33,Forudsætninger!$E$32+Forudsætninger!$F$33*(K19-Forudsætninger!$C$32)),Forudsætninger!$E$31+Forudsætninger!$F$32*(K19-Forudsætninger!$C$31)),Forudsætninger!$E$31)+IF(K19&gt;Forudsætninger!$C$33,Forudsætninger!$G$33,IF(K19&gt;Forudsætninger!$C$32,Forudsætninger!$G$32+Forudsætninger!$H$33*(K19-Forudsætninger!$C$32),IF(K19&gt;Forudsætninger!$C$31,Forudsætninger!$G$31+Forudsætninger!$H$32*(K19-Forudsætninger!$C$31),Forudsætninger!$G$31)))*(V19-Forudsætninger!$H$31)</f>
        <v>25.812121868413339</v>
      </c>
      <c r="AD19" s="19">
        <f t="shared" si="7"/>
        <v>1004.5941855472117</v>
      </c>
      <c r="AE19" s="19">
        <f t="shared" si="8"/>
        <v>25.812121868413339</v>
      </c>
      <c r="AF19">
        <f>IF(G19&lt;=Forudsætninger!$C$97,Forudsætninger!$C$98,(IF(G19&lt;=Forudsætninger!$D$97,Forudsætninger!$D$98,IF(G19&lt;=Forudsætninger!$E$97,Forudsætninger!$E$98,IF(G19&lt;=Forudsætninger!$F$97,Forudsætninger!$F$98,IF(G19&lt;=Forudsætninger!$G$97,Forudsætninger!$G$98,IF(G19&lt;=Forudsætninger!$H$97,Forudsætninger!$H$98,IF(G19&lt;=Forudsætninger!$I$97,Forudsætninger!$I$98,Forudsætninger!$I$98))))))))</f>
        <v>1.8</v>
      </c>
      <c r="AG19" s="1">
        <f t="shared" si="14"/>
        <v>2.2000000000000002</v>
      </c>
      <c r="AH19" s="1">
        <f t="shared" si="20"/>
        <v>37.4</v>
      </c>
      <c r="AI19" s="1">
        <f t="shared" si="9"/>
        <v>2.1999999999999997</v>
      </c>
      <c r="AJ19" s="20">
        <f>+(W19*Forudsætninger!$C$12)</f>
        <v>0</v>
      </c>
      <c r="AK19" s="20">
        <f>Forudsætninger!$C$17</f>
        <v>250</v>
      </c>
      <c r="AL19" s="20">
        <f>IF(A19&lt;92,Forudsætninger!$C$20,Forudsætninger!$C$21)</f>
        <v>4.0072859744990899</v>
      </c>
      <c r="AM19" s="20">
        <f t="shared" si="15"/>
        <v>68.123861566484521</v>
      </c>
      <c r="AN19" s="20">
        <f>IFERROR(AD19+AJ19-AA19-Z19-AK19-AM19-Forudsætninger!$C$75,-99999999)</f>
        <v>-1408.242338374622</v>
      </c>
      <c r="AO19" s="19">
        <f>IFERROR(AN19/(A19+Forudsætninger!$C$74),-99999999)</f>
        <v>-82.837784610271882</v>
      </c>
      <c r="AP19" s="19">
        <f>IFERROR(((365/(A19+Forudsætninger!$C$74))*AN19)/(AI19+Forudsætninger!$C$73),-9999999)</f>
        <v>-13089.087178679325</v>
      </c>
      <c r="AQ19" s="18">
        <f t="shared" si="10"/>
        <v>17</v>
      </c>
      <c r="AR19" s="18">
        <f t="shared" si="16"/>
        <v>2230.4423313724392</v>
      </c>
      <c r="AS19" s="52">
        <f t="shared" si="1"/>
        <v>1.8</v>
      </c>
      <c r="AT19" s="50">
        <f t="shared" si="21"/>
        <v>-28.701180754460438</v>
      </c>
      <c r="AU19" s="50">
        <f t="shared" si="22"/>
        <v>3.383537740988217</v>
      </c>
      <c r="AV19" s="2">
        <f t="shared" si="23"/>
        <v>534.62825777519538</v>
      </c>
      <c r="AW19" s="61">
        <f t="shared" si="17"/>
        <v>-78.830498635772798</v>
      </c>
      <c r="BA19" s="16"/>
      <c r="BB19" s="2"/>
    </row>
    <row r="20" spans="1:54" x14ac:dyDescent="0.25">
      <c r="A20">
        <v>18</v>
      </c>
      <c r="B20" s="1">
        <f>ROUND((A20+Forudsætninger!$C$60)/30.4,1)</f>
        <v>1.9</v>
      </c>
      <c r="C20" s="1">
        <f>VLOOKUP((A20+Forudsætninger!$C$60),'Model tilvækst, slagteform, fe'!A:B,2,FALSE)</f>
        <v>81.79700710708228</v>
      </c>
      <c r="D20" s="3">
        <f t="shared" si="24"/>
        <v>1029.7847351563546</v>
      </c>
      <c r="E20" s="1">
        <f>(1+Forudsætninger!$C$78)*C20</f>
        <v>76.071216609586514</v>
      </c>
      <c r="F20" s="2">
        <f t="shared" si="25"/>
        <v>7.9577184640523564</v>
      </c>
      <c r="G20" s="1">
        <f t="shared" si="2"/>
        <v>84.028935073638877</v>
      </c>
      <c r="H20" s="3">
        <f t="shared" si="3"/>
        <v>928.2773826909505</v>
      </c>
      <c r="I20" s="3">
        <f t="shared" si="4"/>
        <v>834.94083742438204</v>
      </c>
      <c r="J20" s="1">
        <f>VLOOKUP((A20+Forudsætninger!$C$60),'Model tilvækst, slagteform, fe'!G:K,2,FALSE)*(1+Forudsætninger!$C$79)</f>
        <v>46.851186317031008</v>
      </c>
      <c r="K20" s="17">
        <f t="shared" si="0"/>
        <v>39.368552931567564</v>
      </c>
      <c r="L20" s="17">
        <f t="shared" si="18"/>
        <v>449.07972171309041</v>
      </c>
      <c r="M20" s="3">
        <f>((K20-(('Model tilvækst, slagteform, fe'!$H$9/100)*'Model tilvækst, slagteform, fe'!$B$9))*1000/(A20+Forudsætninger!$C$60))</f>
        <v>331.95875268699416</v>
      </c>
      <c r="N20" s="17">
        <f t="shared" si="11"/>
        <v>37.032764982093575</v>
      </c>
      <c r="O20" s="19">
        <f>IF( A20&lt;Forudsætninger!$C$14,(G20/100)*Forudsætninger!$C$13,(Forudsætninger!$C$15/1000)*Forudsætninger!$C$13)</f>
        <v>0.54618807797865276</v>
      </c>
      <c r="P20" s="17" cm="1">
        <f t="array" ref="P20">INDEX('Model tilvækst, slagteform, fe'!$N$9:$N$375,MATCH(MIN(ABS('Model tilvækst, slagteform, fe'!$M$9:$M$375-'Vækstfunktion, hol'!G20)),ABS('Model tilvækst, slagteform, fe'!$M$9:$M$375-'Vækstfunktion, hol'!G20),0))*(1+Forudsætninger!$C$80)</f>
        <v>2.284128047677211</v>
      </c>
      <c r="Q20" s="17">
        <f t="shared" si="12"/>
        <v>5.0862417901303116</v>
      </c>
      <c r="R20" s="17">
        <f t="shared" si="13"/>
        <v>5.1087863741653123</v>
      </c>
      <c r="S20" s="17">
        <f t="shared" si="5"/>
        <v>2.4640977421647099</v>
      </c>
      <c r="T20" s="19">
        <f>(P20)*IF(N20&lt;Forudsætninger!$B$228,IF(N20&lt;Forudsætninger!$B$227,Forudsætninger!$B$225,Forudsætninger!$C$9),Forudsætninger!$C$11)+O20</f>
        <v>36.955579607192313</v>
      </c>
      <c r="U20" s="2">
        <f>Forudsætninger!$C$68+((K20-(Forudsætninger!$C$84)))*0.01</f>
        <v>2.0907383883043158</v>
      </c>
      <c r="V20" s="2">
        <f>U20+Forudsætninger!$C$69</f>
        <v>1.0907383883043158</v>
      </c>
      <c r="W20">
        <f t="shared" si="6"/>
        <v>0</v>
      </c>
      <c r="X20">
        <f>IF(A20+Forudsætninger!$C$60&gt;248,IF(A20+Forudsætninger!$C$60&lt;365,IF(K20&gt;180,IF(K20&lt;260,1,0),0),0),0)</f>
        <v>0</v>
      </c>
      <c r="Y20" s="22">
        <f>IF(X20=0,0,IF('Vækstfunktion, hol'!A20&lt;Forudsætninger!$C$66,Forudsætninger!$C$67+(('Vækstfunktion, hol'!A20-Forudsætninger!$C$66)/7)*Forudsætninger!$C$64,Forudsætninger!$C$67))</f>
        <v>0</v>
      </c>
      <c r="Z20" s="19">
        <f t="shared" si="19"/>
        <v>599.27404941314694</v>
      </c>
      <c r="AA20" s="19">
        <f>Forudsætninger!$C$62+Forudsætninger!$C$16</f>
        <v>1350</v>
      </c>
      <c r="AB20" s="19">
        <f>IF(K20&gt;Forudsætninger!$C$26,IF(K20&gt;Forudsætninger!$C$27,IF(K20&gt;Forudsætninger!$C$28,Forudsætninger!$E$28,Forudsætninger!$E$27+Forudsætninger!$F$28*(K20-Forudsætninger!$C$27)),Forudsætninger!$E$26+Forudsætninger!$F$27*(K20-Forudsætninger!$C$26)),Forudsætninger!$E$26)+IF(K20&gt;Forudsætninger!$C$28,Forudsætninger!$G$28,IF(K20&gt;Forudsætninger!$C$27,Forudsætninger!$G$27+Forudsætninger!$H$28*(K20-Forudsætninger!$C$27),IF(K20&gt;Forudsætninger!$C$26,Forudsætninger!$G$26+Forudsætninger!$H$27*(K20-Forudsætninger!$C$26),Forudsætninger!$G$26)))*(U20-Forudsætninger!$H$26)</f>
        <v>32.918053791228239</v>
      </c>
      <c r="AC20" s="19">
        <f>IF(K20&gt;Forudsætninger!$C$31,IF(K20&gt;Forudsætninger!$C$32,IF(K20&gt;Forudsætninger!$C$33,Forudsætninger!$E$33,Forudsætninger!$E$32+Forudsætninger!$F$33*(K20-Forudsætninger!$C$32)),Forudsætninger!$E$31+Forudsætninger!$F$32*(K20-Forudsætninger!$C$31)),Forudsætninger!$E$31)+IF(K20&gt;Forudsætninger!$C$33,Forudsætninger!$G$33,IF(K20&gt;Forudsætninger!$C$32,Forudsætninger!$G$32+Forudsætninger!$H$33*(K20-Forudsætninger!$C$32),IF(K20&gt;Forudsætninger!$C$31,Forudsætninger!$G$31+Forudsætninger!$H$32*(K20-Forudsætninger!$C$31),Forudsætninger!$G$31)))*(V20-Forudsætninger!$H$31)</f>
        <v>25.817959904795611</v>
      </c>
      <c r="AD20" s="19">
        <f t="shared" si="7"/>
        <v>1016.4157210970351</v>
      </c>
      <c r="AE20" s="19">
        <f t="shared" si="8"/>
        <v>25.817959904795611</v>
      </c>
      <c r="AF20">
        <f>IF(G20&lt;=Forudsætninger!$C$97,Forudsætninger!$C$98,(IF(G20&lt;=Forudsætninger!$D$97,Forudsætninger!$D$98,IF(G20&lt;=Forudsætninger!$E$97,Forudsætninger!$E$98,IF(G20&lt;=Forudsætninger!$F$97,Forudsætninger!$F$98,IF(G20&lt;=Forudsætninger!$G$97,Forudsætninger!$G$98,IF(G20&lt;=Forudsætninger!$H$97,Forudsætninger!$H$98,IF(G20&lt;=Forudsætninger!$I$97,Forudsætninger!$I$98,Forudsætninger!$I$98))))))))</f>
        <v>1.8</v>
      </c>
      <c r="AG20" s="1">
        <f t="shared" si="14"/>
        <v>2.2000000000000002</v>
      </c>
      <c r="AH20" s="1">
        <f t="shared" si="20"/>
        <v>39.6</v>
      </c>
      <c r="AI20" s="1">
        <f t="shared" si="9"/>
        <v>2.2000000000000002</v>
      </c>
      <c r="AJ20" s="20">
        <f>+(W20*Forudsætninger!$C$12)</f>
        <v>0</v>
      </c>
      <c r="AK20" s="20">
        <f>Forudsætninger!$C$17</f>
        <v>250</v>
      </c>
      <c r="AL20" s="20">
        <f>IF(A20&lt;92,Forudsætninger!$C$20,Forudsætninger!$C$21)</f>
        <v>4.0072859744990899</v>
      </c>
      <c r="AM20" s="20">
        <f t="shared" si="15"/>
        <v>72.131147540983605</v>
      </c>
      <c r="AN20" s="20">
        <f>IFERROR(AD20+AJ20-AA20-Z20-AK20-AM20-Forudsætninger!$C$75,-99999999)</f>
        <v>-1437.3836684064902</v>
      </c>
      <c r="AO20" s="19">
        <f>IFERROR(AN20/(A20+Forudsætninger!$C$74),-99999999)</f>
        <v>-79.854648244805006</v>
      </c>
      <c r="AP20" s="19">
        <f>IFERROR(((365/(A20+Forudsætninger!$C$74))*AN20)/(AI20+Forudsætninger!$C$73),-9999999)</f>
        <v>-12617.725804915077</v>
      </c>
      <c r="AQ20" s="18">
        <f t="shared" si="10"/>
        <v>18</v>
      </c>
      <c r="AR20" s="18">
        <f t="shared" si="16"/>
        <v>2271.4051969541301</v>
      </c>
      <c r="AS20" s="52">
        <f t="shared" si="1"/>
        <v>1.9</v>
      </c>
      <c r="AT20" s="50">
        <f t="shared" si="21"/>
        <v>-29.141330031868165</v>
      </c>
      <c r="AU20" s="50">
        <f t="shared" si="22"/>
        <v>2.9831363654668763</v>
      </c>
      <c r="AV20" s="2">
        <f t="shared" si="23"/>
        <v>471.36137376424813</v>
      </c>
      <c r="AW20" s="61">
        <f t="shared" si="17"/>
        <v>-75.847362270305922</v>
      </c>
      <c r="BA20" s="16"/>
      <c r="BB20" s="2"/>
    </row>
    <row r="21" spans="1:54" x14ac:dyDescent="0.25">
      <c r="A21">
        <v>19</v>
      </c>
      <c r="B21" s="1">
        <f>ROUND((A21+Forudsætninger!$C$60)/30.4,1)</f>
        <v>1.9</v>
      </c>
      <c r="C21" s="1">
        <f>VLOOKUP((A21+Forudsætninger!$C$60),'Model tilvækst, slagteform, fe'!A:B,2,FALSE)</f>
        <v>82.838138250560576</v>
      </c>
      <c r="D21" s="3">
        <f t="shared" si="24"/>
        <v>1041.1311434782961</v>
      </c>
      <c r="E21" s="1">
        <f>(1+Forudsætninger!$C$78)*C21</f>
        <v>77.039468573021324</v>
      </c>
      <c r="F21" s="2">
        <f t="shared" si="25"/>
        <v>7.9279718599529767</v>
      </c>
      <c r="G21" s="1">
        <f t="shared" si="2"/>
        <v>84.9674404329743</v>
      </c>
      <c r="H21" s="3">
        <f t="shared" si="3"/>
        <v>938.5053593354229</v>
      </c>
      <c r="I21" s="3">
        <f t="shared" si="4"/>
        <v>840.39160173548942</v>
      </c>
      <c r="J21" s="1">
        <f>VLOOKUP((A21+Forudsætninger!$C$60),'Model tilvækst, slagteform, fe'!G:K,2,FALSE)*(1+Forudsætninger!$C$79)</f>
        <v>46.868296376259543</v>
      </c>
      <c r="K21" s="17">
        <f t="shared" si="0"/>
        <v>39.822791805448183</v>
      </c>
      <c r="L21" s="17">
        <f t="shared" si="18"/>
        <v>454.23887388061956</v>
      </c>
      <c r="M21" s="3">
        <f>((K21-(('Model tilvækst, slagteform, fe'!$H$9/100)*'Model tilvækst, slagteform, fe'!$B$9))*1000/(A21+Forudsætninger!$C$60))</f>
        <v>334.06703063860846</v>
      </c>
      <c r="N21" s="17">
        <f t="shared" si="11"/>
        <v>39.3531500471153</v>
      </c>
      <c r="O21" s="19">
        <f>IF( A21&lt;Forudsætninger!$C$14,(G21/100)*Forudsætninger!$C$13,(Forudsætninger!$C$15/1000)*Forudsætninger!$C$13)</f>
        <v>0.55228836281433291</v>
      </c>
      <c r="P21" s="17" cm="1">
        <f t="array" ref="P21">INDEX('Model tilvækst, slagteform, fe'!$N$9:$N$375,MATCH(MIN(ABS('Model tilvækst, slagteform, fe'!$M$9:$M$375-'Vækstfunktion, hol'!G21)),ABS('Model tilvækst, slagteform, fe'!$M$9:$M$375-'Vækstfunktion, hol'!G21),0))*(1+Forudsætninger!$C$80)</f>
        <v>2.3203850650217266</v>
      </c>
      <c r="Q21" s="17">
        <f t="shared" si="12"/>
        <v>5.1082925712596685</v>
      </c>
      <c r="R21" s="17">
        <f t="shared" si="13"/>
        <v>5.1087572553497491</v>
      </c>
      <c r="S21" s="17">
        <f t="shared" si="5"/>
        <v>2.4645872462969871</v>
      </c>
      <c r="T21" s="19">
        <f>(P21)*IF(N21&lt;Forudsætninger!$B$228,IF(N21&lt;Forudsætninger!$B$227,Forudsætninger!$B$225,Forudsætninger!$C$9),Forudsætninger!$C$11)+O21</f>
        <v>6.3764548760188662</v>
      </c>
      <c r="U21" s="2">
        <f>Forudsætninger!$C$68+((K21-(Forudsætninger!$C$84)))*0.01</f>
        <v>2.0952807770431221</v>
      </c>
      <c r="V21" s="2">
        <f>U21+Forudsætninger!$C$69</f>
        <v>1.0952807770431221</v>
      </c>
      <c r="W21">
        <f t="shared" si="6"/>
        <v>0</v>
      </c>
      <c r="X21">
        <f>IF(A21+Forudsætninger!$C$60&gt;248,IF(A21+Forudsætninger!$C$60&lt;365,IF(K21&gt;180,IF(K21&lt;260,1,0),0),0),0)</f>
        <v>0</v>
      </c>
      <c r="Y21" s="22">
        <f>IF(X21=0,0,IF('Vækstfunktion, hol'!A21&lt;Forudsætninger!$C$66,Forudsætninger!$C$67+(('Vækstfunktion, hol'!A21-Forudsætninger!$C$66)/7)*Forudsætninger!$C$64,Forudsætninger!$C$67))</f>
        <v>0</v>
      </c>
      <c r="Z21" s="19">
        <f t="shared" si="19"/>
        <v>605.65050428916584</v>
      </c>
      <c r="AA21" s="19">
        <f>Forudsætninger!$C$62+Forudsætninger!$C$16</f>
        <v>1350</v>
      </c>
      <c r="AB21" s="19">
        <f>IF(K21&gt;Forudsætninger!$C$26,IF(K21&gt;Forudsætninger!$C$27,IF(K21&gt;Forudsætninger!$C$28,Forudsætninger!$E$28,Forudsætninger!$E$27+Forudsætninger!$F$28*(K21-Forudsætninger!$C$27)),Forudsætninger!$E$26+Forudsætninger!$F$27*(K21-Forudsætninger!$C$26)),Forudsætninger!$E$26)+IF(K21&gt;Forudsætninger!$C$28,Forudsætninger!$G$28,IF(K21&gt;Forudsætninger!$C$27,Forudsætninger!$G$27+Forudsætninger!$H$28*(K21-Forudsætninger!$C$27),IF(K21&gt;Forudsætninger!$C$26,Forudsætninger!$G$26+Forudsætninger!$H$27*(K21-Forudsætninger!$C$26),Forudsætninger!$G$26)))*(U21-Forudsætninger!$H$26)</f>
        <v>32.921460582782345</v>
      </c>
      <c r="AC21" s="19">
        <f>IF(K21&gt;Forudsætninger!$C$31,IF(K21&gt;Forudsætninger!$C$32,IF(K21&gt;Forudsætninger!$C$33,Forudsætninger!$E$33,Forudsætninger!$E$32+Forudsætninger!$F$33*(K21-Forudsætninger!$C$32)),Forudsætninger!$E$31+Forudsætninger!$F$32*(K21-Forudsætninger!$C$31)),Forudsætninger!$E$31)+IF(K21&gt;Forudsætninger!$C$33,Forudsætninger!$G$33,IF(K21&gt;Forudsætninger!$C$32,Forudsætninger!$G$32+Forudsætninger!$H$33*(K21-Forudsætninger!$C$32),IF(K21&gt;Forudsætninger!$C$31,Forudsætninger!$G$31+Forudsætninger!$H$32*(K21-Forudsætninger!$C$31),Forudsætninger!$G$31)))*(V21-Forudsætninger!$H$31)</f>
        <v>25.823865010156059</v>
      </c>
      <c r="AD21" s="19">
        <f t="shared" si="7"/>
        <v>1028.3783999114428</v>
      </c>
      <c r="AE21" s="19">
        <f t="shared" si="8"/>
        <v>25.823865010156059</v>
      </c>
      <c r="AF21">
        <f>IF(G21&lt;=Forudsætninger!$C$97,Forudsætninger!$C$98,(IF(G21&lt;=Forudsætninger!$D$97,Forudsætninger!$D$98,IF(G21&lt;=Forudsætninger!$E$97,Forudsætninger!$E$98,IF(G21&lt;=Forudsætninger!$F$97,Forudsætninger!$F$98,IF(G21&lt;=Forudsætninger!$G$97,Forudsætninger!$G$98,IF(G21&lt;=Forudsætninger!$H$97,Forudsætninger!$H$98,IF(G21&lt;=Forudsætninger!$I$97,Forudsætninger!$I$98,Forudsætninger!$I$98))))))))</f>
        <v>1.8</v>
      </c>
      <c r="AG21" s="1">
        <f t="shared" si="14"/>
        <v>2.2000000000000002</v>
      </c>
      <c r="AH21" s="1">
        <f t="shared" si="20"/>
        <v>41.800000000000004</v>
      </c>
      <c r="AI21" s="1">
        <f t="shared" si="9"/>
        <v>2.2000000000000002</v>
      </c>
      <c r="AJ21" s="20">
        <f>+(W21*Forudsætninger!$C$12)</f>
        <v>0</v>
      </c>
      <c r="AK21" s="20">
        <f>Forudsætninger!$C$17</f>
        <v>250</v>
      </c>
      <c r="AL21" s="20">
        <f>IF(A21&lt;92,Forudsætninger!$C$20,Forudsætninger!$C$21)</f>
        <v>4.0072859744990899</v>
      </c>
      <c r="AM21" s="20">
        <f t="shared" si="15"/>
        <v>76.138433515482689</v>
      </c>
      <c r="AN21" s="20">
        <f>IFERROR(AD21+AJ21-AA21-Z21-AK21-AM21-Forudsætninger!$C$75,-99999999)</f>
        <v>-1435.8047304426004</v>
      </c>
      <c r="AO21" s="19">
        <f>IFERROR(AN21/(A21+Forudsætninger!$C$74),-99999999)</f>
        <v>-75.568670023294757</v>
      </c>
      <c r="AP21" s="19">
        <f>IFERROR(((365/(A21+Forudsætninger!$C$74))*AN21)/(AI21+Forudsætninger!$C$73),-9999999)</f>
        <v>-11940.504137879907</v>
      </c>
      <c r="AQ21" s="18">
        <f t="shared" si="10"/>
        <v>19</v>
      </c>
      <c r="AR21" s="18">
        <f t="shared" si="16"/>
        <v>2281.7889378046484</v>
      </c>
      <c r="AS21" s="52">
        <f t="shared" si="1"/>
        <v>1.9</v>
      </c>
      <c r="AT21" s="50">
        <f t="shared" si="21"/>
        <v>1.5789379638897572</v>
      </c>
      <c r="AU21" s="50">
        <f t="shared" si="22"/>
        <v>4.2859782215102484</v>
      </c>
      <c r="AV21" s="2">
        <f t="shared" si="23"/>
        <v>677.22166703516996</v>
      </c>
      <c r="AW21" s="61">
        <f t="shared" si="17"/>
        <v>-71.561384048795674</v>
      </c>
      <c r="BA21" s="16"/>
      <c r="BB21" s="2"/>
    </row>
    <row r="22" spans="1:54" x14ac:dyDescent="0.25">
      <c r="A22">
        <v>20</v>
      </c>
      <c r="B22" s="1">
        <f>ROUND((A22+Forudsætninger!$C$60)/30.4,1)</f>
        <v>1.9</v>
      </c>
      <c r="C22" s="1">
        <f>VLOOKUP((A22+Forudsætninger!$C$60),'Model tilvækst, slagteform, fe'!A:B,2,FALSE)</f>
        <v>83.890486614383747</v>
      </c>
      <c r="D22" s="3">
        <f t="shared" si="24"/>
        <v>1052.348363823171</v>
      </c>
      <c r="E22" s="1">
        <f>(1+Forudsætninger!$C$78)*C22</f>
        <v>78.018152551376886</v>
      </c>
      <c r="F22" s="2">
        <f t="shared" si="25"/>
        <v>7.8979047638437434</v>
      </c>
      <c r="G22" s="1">
        <f t="shared" si="2"/>
        <v>85.916057315220627</v>
      </c>
      <c r="H22" s="3">
        <f t="shared" si="3"/>
        <v>948.61688224632701</v>
      </c>
      <c r="I22" s="3">
        <f t="shared" si="4"/>
        <v>845.8028657610314</v>
      </c>
      <c r="J22" s="1">
        <f>VLOOKUP((A22+Forudsætninger!$C$60),'Model tilvækst, slagteform, fe'!G:K,2,FALSE)*(1+Forudsætninger!$C$79)</f>
        <v>46.885466796104183</v>
      </c>
      <c r="K22" s="17">
        <f t="shared" si="0"/>
        <v>40.282144525049603</v>
      </c>
      <c r="L22" s="17">
        <f t="shared" si="18"/>
        <v>459.35271960141932</v>
      </c>
      <c r="M22" s="3">
        <f>((K22-(('Model tilvækst, slagteform, fe'!$H$9/100)*'Model tilvækst, slagteform, fe'!$B$9))*1000/(A22+Forudsætninger!$C$60))</f>
        <v>336.19051689221538</v>
      </c>
      <c r="N22" s="17">
        <f t="shared" si="11"/>
        <v>41.709900225759668</v>
      </c>
      <c r="O22" s="19">
        <f>IF( A22&lt;Forudsætninger!$C$14,(G22/100)*Forudsætninger!$C$13,(Forudsætninger!$C$15/1000)*Forudsætninger!$C$13)</f>
        <v>0.55845437254893415</v>
      </c>
      <c r="P22" s="17" cm="1">
        <f t="array" ref="P22">INDEX('Model tilvækst, slagteform, fe'!$N$9:$N$375,MATCH(MIN(ABS('Model tilvækst, slagteform, fe'!$M$9:$M$375-'Vækstfunktion, hol'!G22)),ABS('Model tilvækst, slagteform, fe'!$M$9:$M$375-'Vækstfunktion, hol'!G22),0))*(1+Forudsætninger!$C$80)</f>
        <v>2.3567501786443721</v>
      </c>
      <c r="Q22" s="17">
        <f t="shared" si="12"/>
        <v>5.1305893664662001</v>
      </c>
      <c r="R22" s="17">
        <f t="shared" si="13"/>
        <v>5.1099858894785992</v>
      </c>
      <c r="S22" s="17">
        <f t="shared" si="5"/>
        <v>2.4656986819399216</v>
      </c>
      <c r="T22" s="19">
        <f>(P22)*IF(N22&lt;Forudsætninger!$B$228,IF(N22&lt;Forudsætninger!$B$227,Forudsætninger!$B$225,Forudsætninger!$C$9),Forudsætninger!$C$11)+O22</f>
        <v>6.4738973209463078</v>
      </c>
      <c r="U22" s="2">
        <f>Forudsætninger!$C$68+((K22-(Forudsætninger!$C$84)))*0.01</f>
        <v>2.0998743042391363</v>
      </c>
      <c r="V22" s="2">
        <f>U22+Forudsætninger!$C$69</f>
        <v>1.0998743042391363</v>
      </c>
      <c r="W22">
        <f t="shared" si="6"/>
        <v>0</v>
      </c>
      <c r="X22">
        <f>IF(A22+Forudsætninger!$C$60&gt;248,IF(A22+Forudsætninger!$C$60&lt;365,IF(K22&gt;180,IF(K22&lt;260,1,0),0),0),0)</f>
        <v>0</v>
      </c>
      <c r="Y22" s="22">
        <f>IF(X22=0,0,IF('Vækstfunktion, hol'!A22&lt;Forudsætninger!$C$66,Forudsætninger!$C$67+(('Vækstfunktion, hol'!A22-Forudsætninger!$C$66)/7)*Forudsætninger!$C$64,Forudsætninger!$C$67))</f>
        <v>0</v>
      </c>
      <c r="Z22" s="19">
        <f t="shared" si="19"/>
        <v>612.12440161011216</v>
      </c>
      <c r="AA22" s="19">
        <f>Forudsætninger!$C$62+Forudsætninger!$C$16</f>
        <v>1350</v>
      </c>
      <c r="AB22" s="19">
        <f>IF(K22&gt;Forudsætninger!$C$26,IF(K22&gt;Forudsætninger!$C$27,IF(K22&gt;Forudsætninger!$C$28,Forudsætninger!$E$28,Forudsætninger!$E$27+Forudsætninger!$F$28*(K22-Forudsætninger!$C$27)),Forudsætninger!$E$26+Forudsætninger!$F$27*(K22-Forudsætninger!$C$26)),Forudsætninger!$E$26)+IF(K22&gt;Forudsætninger!$C$28,Forudsætninger!$G$28,IF(K22&gt;Forudsætninger!$C$27,Forudsætninger!$G$27+Forudsætninger!$H$28*(K22-Forudsætninger!$C$27),IF(K22&gt;Forudsætninger!$C$26,Forudsætninger!$G$26+Forudsætninger!$H$27*(K22-Forudsætninger!$C$26),Forudsætninger!$G$26)))*(U22-Forudsætninger!$H$26)</f>
        <v>32.924905728179354</v>
      </c>
      <c r="AC22" s="19">
        <f>IF(K22&gt;Forudsætninger!$C$31,IF(K22&gt;Forudsætninger!$C$32,IF(K22&gt;Forudsætninger!$C$33,Forudsætninger!$E$33,Forudsætninger!$E$32+Forudsætninger!$F$33*(K22-Forudsætninger!$C$32)),Forudsætninger!$E$31+Forudsætninger!$F$32*(K22-Forudsætninger!$C$31)),Forudsætninger!$E$31)+IF(K22&gt;Forudsætninger!$C$33,Forudsætninger!$G$33,IF(K22&gt;Forudsætninger!$C$32,Forudsætninger!$G$32+Forudsætninger!$H$33*(K22-Forudsætninger!$C$32),IF(K22&gt;Forudsætninger!$C$31,Forudsætninger!$G$31+Forudsætninger!$H$32*(K22-Forudsætninger!$C$31),Forudsætninger!$G$31)))*(V22-Forudsætninger!$H$31)</f>
        <v>25.829836595510876</v>
      </c>
      <c r="AD22" s="19">
        <f t="shared" si="7"/>
        <v>1040.4812107987843</v>
      </c>
      <c r="AE22" s="19">
        <f t="shared" si="8"/>
        <v>25.829836595510876</v>
      </c>
      <c r="AF22">
        <f>IF(G22&lt;=Forudsætninger!$C$97,Forudsætninger!$C$98,(IF(G22&lt;=Forudsætninger!$D$97,Forudsætninger!$D$98,IF(G22&lt;=Forudsætninger!$E$97,Forudsætninger!$E$98,IF(G22&lt;=Forudsætninger!$F$97,Forudsætninger!$F$98,IF(G22&lt;=Forudsætninger!$G$97,Forudsætninger!$G$98,IF(G22&lt;=Forudsætninger!$H$97,Forudsætninger!$H$98,IF(G22&lt;=Forudsætninger!$I$97,Forudsætninger!$I$98,Forudsætninger!$I$98))))))))</f>
        <v>1.8</v>
      </c>
      <c r="AG22" s="1">
        <f t="shared" si="14"/>
        <v>2.2000000000000002</v>
      </c>
      <c r="AH22" s="1">
        <f t="shared" si="20"/>
        <v>44.000000000000007</v>
      </c>
      <c r="AI22" s="1">
        <f t="shared" si="9"/>
        <v>2.2000000000000002</v>
      </c>
      <c r="AJ22" s="20">
        <f>+(W22*Forudsætninger!$C$12)</f>
        <v>0</v>
      </c>
      <c r="AK22" s="20">
        <f>Forudsætninger!$C$17</f>
        <v>250</v>
      </c>
      <c r="AL22" s="20">
        <f>IF(A22&lt;92,Forudsætninger!$C$20,Forudsætninger!$C$21)</f>
        <v>4.0072859744990899</v>
      </c>
      <c r="AM22" s="20">
        <f t="shared" si="15"/>
        <v>80.145719489981772</v>
      </c>
      <c r="AN22" s="20">
        <f>IFERROR(AD22+AJ22-AA22-Z22-AK22-AM22-Forudsætninger!$C$75,-99999999)</f>
        <v>-1434.183102850704</v>
      </c>
      <c r="AO22" s="19">
        <f>IFERROR(AN22/(A22+Forudsætninger!$C$74),-99999999)</f>
        <v>-71.709155142535195</v>
      </c>
      <c r="AP22" s="19">
        <f>IFERROR(((365/(A22+Forudsætninger!$C$74))*AN22)/(AI22+Forudsætninger!$C$73),-9999999)</f>
        <v>-11330.667371006644</v>
      </c>
      <c r="AQ22" s="18">
        <f t="shared" si="10"/>
        <v>20</v>
      </c>
      <c r="AR22" s="18">
        <f t="shared" si="16"/>
        <v>2292.270121100094</v>
      </c>
      <c r="AS22" s="52">
        <f t="shared" si="1"/>
        <v>1.9</v>
      </c>
      <c r="AT22" s="50">
        <f t="shared" si="21"/>
        <v>1.6216275918964129</v>
      </c>
      <c r="AU22" s="50">
        <f t="shared" si="22"/>
        <v>3.8595148807595621</v>
      </c>
      <c r="AV22" s="2">
        <f t="shared" si="23"/>
        <v>609.8367668732626</v>
      </c>
      <c r="AW22" s="61">
        <f t="shared" si="17"/>
        <v>-67.701869168036112</v>
      </c>
      <c r="BA22" s="16"/>
      <c r="BB22" s="2"/>
    </row>
    <row r="23" spans="1:54" x14ac:dyDescent="0.25">
      <c r="A23">
        <v>21</v>
      </c>
      <c r="B23" s="1">
        <f>ROUND((A23+Forudsætninger!$C$60)/30.4,1)</f>
        <v>2</v>
      </c>
      <c r="C23" s="1">
        <f>VLOOKUP((A23+Forudsætninger!$C$60),'Model tilvækst, slagteform, fe'!A:B,2,FALSE)</f>
        <v>84.953923544922233</v>
      </c>
      <c r="D23" s="3">
        <f t="shared" si="24"/>
        <v>1063.4369305384866</v>
      </c>
      <c r="E23" s="1">
        <f>(1+Forudsætninger!$C$78)*C23</f>
        <v>79.007148896777665</v>
      </c>
      <c r="F23" s="2">
        <f t="shared" si="25"/>
        <v>7.8675208515426434</v>
      </c>
      <c r="G23" s="1">
        <f t="shared" si="2"/>
        <v>86.874669748320315</v>
      </c>
      <c r="H23" s="3">
        <f t="shared" si="3"/>
        <v>958.61243309968813</v>
      </c>
      <c r="I23" s="3">
        <f t="shared" si="4"/>
        <v>851.17474992001496</v>
      </c>
      <c r="J23" s="1">
        <f>VLOOKUP((A23+Forudsætninger!$C$60),'Model tilvækst, slagteform, fe'!G:K,2,FALSE)*(1+Forudsætninger!$C$79)</f>
        <v>46.902700397154497</v>
      </c>
      <c r="K23" s="17">
        <f t="shared" si="0"/>
        <v>40.746566073072088</v>
      </c>
      <c r="L23" s="17">
        <f t="shared" si="18"/>
        <v>464.42154802248581</v>
      </c>
      <c r="M23" s="3">
        <f>((K23-(('Model tilvækst, slagteform, fe'!$H$9/100)*'Model tilvækst, slagteform, fe'!$B$9))*1000/(A23+Forudsætninger!$C$60))</f>
        <v>338.32770074438656</v>
      </c>
      <c r="N23" s="17">
        <f t="shared" si="11"/>
        <v>44.103127217514086</v>
      </c>
      <c r="O23" s="19">
        <f>IF( A23&lt;Forudsætninger!$C$14,(G23/100)*Forudsætninger!$C$13,(Forudsætninger!$C$15/1000)*Forudsætninger!$C$13)</f>
        <v>0.56468535336408199</v>
      </c>
      <c r="P23" s="17" cm="1">
        <f t="array" ref="P23">INDEX('Model tilvækst, slagteform, fe'!$N$9:$N$375,MATCH(MIN(ABS('Model tilvækst, slagteform, fe'!$M$9:$M$375-'Vækstfunktion, hol'!G23)),ABS('Model tilvækst, slagteform, fe'!$M$9:$M$375-'Vækstfunktion, hol'!G23),0))*(1+Forudsætninger!$C$80)</f>
        <v>2.3932269917544202</v>
      </c>
      <c r="Q23" s="17">
        <f t="shared" si="12"/>
        <v>5.1531351246401425</v>
      </c>
      <c r="R23" s="17">
        <f t="shared" si="13"/>
        <v>5.1123088036195234</v>
      </c>
      <c r="S23" s="17">
        <f t="shared" si="5"/>
        <v>2.4673534022444503</v>
      </c>
      <c r="T23" s="19">
        <f>(P23)*IF(N23&lt;Forudsætninger!$B$228,IF(N23&lt;Forudsætninger!$B$227,Forudsætninger!$B$225,Forudsætninger!$C$9),Forudsætninger!$C$11)+O23</f>
        <v>6.5716851026676757</v>
      </c>
      <c r="U23" s="2">
        <f>Forudsætninger!$C$68+((K23-(Forudsætninger!$C$84)))*0.01</f>
        <v>2.1045185197193614</v>
      </c>
      <c r="V23" s="2">
        <f>U23+Forudsætninger!$C$69</f>
        <v>1.1045185197193614</v>
      </c>
      <c r="W23">
        <f t="shared" si="6"/>
        <v>0</v>
      </c>
      <c r="X23">
        <f>IF(A23+Forudsætninger!$C$60&gt;248,IF(A23+Forudsætninger!$C$60&lt;365,IF(K23&gt;180,IF(K23&lt;260,1,0),0),0),0)</f>
        <v>0</v>
      </c>
      <c r="Y23" s="22">
        <f>IF(X23=0,0,IF('Vækstfunktion, hol'!A23&lt;Forudsætninger!$C$66,Forudsætninger!$C$67+(('Vækstfunktion, hol'!A23-Forudsætninger!$C$66)/7)*Forudsætninger!$C$64,Forudsætninger!$C$67))</f>
        <v>0</v>
      </c>
      <c r="Z23" s="19">
        <f t="shared" si="19"/>
        <v>618.69608671277979</v>
      </c>
      <c r="AA23" s="19">
        <f>Forudsætninger!$C$62+Forudsætninger!$C$16</f>
        <v>1350</v>
      </c>
      <c r="AB23" s="19">
        <f>IF(K23&gt;Forudsætninger!$C$26,IF(K23&gt;Forudsætninger!$C$27,IF(K23&gt;Forudsætninger!$C$28,Forudsætninger!$E$28,Forudsætninger!$E$27+Forudsætninger!$F$28*(K23-Forudsætninger!$C$27)),Forudsætninger!$E$26+Forudsætninger!$F$27*(K23-Forudsætninger!$C$26)),Forudsætninger!$E$26)+IF(K23&gt;Forudsætninger!$C$28,Forudsætninger!$G$28,IF(K23&gt;Forudsætninger!$C$27,Forudsætninger!$G$27+Forudsætninger!$H$28*(K23-Forudsætninger!$C$27),IF(K23&gt;Forudsætninger!$C$26,Forudsætninger!$G$26+Forudsætninger!$H$27*(K23-Forudsætninger!$C$26),Forudsætninger!$G$26)))*(U23-Forudsætninger!$H$26)</f>
        <v>32.928388889789524</v>
      </c>
      <c r="AC23" s="19">
        <f>IF(K23&gt;Forudsætninger!$C$31,IF(K23&gt;Forudsætninger!$C$32,IF(K23&gt;Forudsætninger!$C$33,Forudsætninger!$E$33,Forudsætninger!$E$32+Forudsætninger!$F$33*(K23-Forudsætninger!$C$32)),Forudsætninger!$E$31+Forudsætninger!$F$32*(K23-Forudsætninger!$C$31)),Forudsætninger!$E$31)+IF(K23&gt;Forudsætninger!$C$33,Forudsætninger!$G$33,IF(K23&gt;Forudsætninger!$C$32,Forudsætninger!$G$32+Forudsætninger!$H$33*(K23-Forudsætninger!$C$32),IF(K23&gt;Forudsætninger!$C$31,Forudsætninger!$G$31+Forudsætninger!$H$32*(K23-Forudsætninger!$C$31),Forudsætninger!$G$31)))*(V23-Forudsætninger!$H$31)</f>
        <v>25.835874075635168</v>
      </c>
      <c r="AD23" s="19">
        <f t="shared" si="7"/>
        <v>1052.7231500784387</v>
      </c>
      <c r="AE23" s="19">
        <f t="shared" si="8"/>
        <v>25.835874075635171</v>
      </c>
      <c r="AF23">
        <f>IF(G23&lt;=Forudsætninger!$C$97,Forudsætninger!$C$98,(IF(G23&lt;=Forudsætninger!$D$97,Forudsætninger!$D$98,IF(G23&lt;=Forudsætninger!$E$97,Forudsætninger!$E$98,IF(G23&lt;=Forudsætninger!$F$97,Forudsætninger!$F$98,IF(G23&lt;=Forudsætninger!$G$97,Forudsætninger!$G$98,IF(G23&lt;=Forudsætninger!$H$97,Forudsætninger!$H$98,IF(G23&lt;=Forudsætninger!$I$97,Forudsætninger!$I$98,Forudsætninger!$I$98))))))))</f>
        <v>1.8</v>
      </c>
      <c r="AG23" s="1">
        <f t="shared" si="14"/>
        <v>2.2000000000000002</v>
      </c>
      <c r="AH23" s="1">
        <f t="shared" si="20"/>
        <v>46.20000000000001</v>
      </c>
      <c r="AI23" s="1">
        <f t="shared" si="9"/>
        <v>2.2000000000000006</v>
      </c>
      <c r="AJ23" s="20">
        <f>+(W23*Forudsætninger!$C$12)</f>
        <v>0</v>
      </c>
      <c r="AK23" s="20">
        <f>Forudsætninger!$C$17</f>
        <v>250</v>
      </c>
      <c r="AL23" s="20">
        <f>IF(A23&lt;92,Forudsætninger!$C$20,Forudsætninger!$C$21)</f>
        <v>4.0072859744990899</v>
      </c>
      <c r="AM23" s="20">
        <f t="shared" si="15"/>
        <v>84.153005464480856</v>
      </c>
      <c r="AN23" s="20">
        <f>IFERROR(AD23+AJ23-AA23-Z23-AK23-AM23-Forudsætninger!$C$75,-99999999)</f>
        <v>-1432.5201346482165</v>
      </c>
      <c r="AO23" s="19">
        <f>IFERROR(AN23/(A23+Forudsætninger!$C$74),-99999999)</f>
        <v>-68.215244507057932</v>
      </c>
      <c r="AP23" s="19">
        <f>IFERROR(((365/(A23+Forudsætninger!$C$74))*AN23)/(AI23+Forudsætninger!$C$73),-9999999)</f>
        <v>-10778.599240292699</v>
      </c>
      <c r="AQ23" s="18">
        <f t="shared" si="10"/>
        <v>21</v>
      </c>
      <c r="AR23" s="18">
        <f t="shared" si="16"/>
        <v>2302.8490921772609</v>
      </c>
      <c r="AS23" s="52">
        <f t="shared" si="1"/>
        <v>2</v>
      </c>
      <c r="AT23" s="50">
        <f t="shared" si="21"/>
        <v>1.662968202487491</v>
      </c>
      <c r="AU23" s="50">
        <f t="shared" si="22"/>
        <v>3.4939106354772633</v>
      </c>
      <c r="AV23" s="2">
        <f t="shared" si="23"/>
        <v>552.06813071394572</v>
      </c>
      <c r="AW23" s="61">
        <f t="shared" si="17"/>
        <v>-64.207958532558834</v>
      </c>
      <c r="BA23" s="16"/>
      <c r="BB23" s="2"/>
    </row>
    <row r="24" spans="1:54" x14ac:dyDescent="0.25">
      <c r="A24">
        <v>22</v>
      </c>
      <c r="B24" s="1">
        <f>ROUND((A24+Forudsætninger!$C$60)/30.4,1)</f>
        <v>2</v>
      </c>
      <c r="C24" s="1">
        <f>VLOOKUP((A24+Forudsætninger!$C$60),'Model tilvækst, slagteform, fe'!A:B,2,FALSE)</f>
        <v>86.028320922893855</v>
      </c>
      <c r="D24" s="3">
        <f t="shared" si="24"/>
        <v>1074.3973779716214</v>
      </c>
      <c r="E24" s="1">
        <f>(1+Forudsætninger!$C$78)*C24</f>
        <v>80.006338458291282</v>
      </c>
      <c r="F24" s="2">
        <f t="shared" si="25"/>
        <v>7.8368237836005967</v>
      </c>
      <c r="G24" s="1">
        <f t="shared" si="2"/>
        <v>87.843162241891875</v>
      </c>
      <c r="H24" s="3">
        <f t="shared" si="3"/>
        <v>968.49249357155998</v>
      </c>
      <c r="I24" s="3">
        <f t="shared" si="4"/>
        <v>856.50737463144878</v>
      </c>
      <c r="J24" s="1">
        <f>VLOOKUP((A24+Forudsætninger!$C$60),'Model tilvækst, slagteform, fe'!G:K,2,FALSE)*(1+Forudsætninger!$C$79)</f>
        <v>46.92</v>
      </c>
      <c r="K24" s="17">
        <f t="shared" si="0"/>
        <v>41.216011723895669</v>
      </c>
      <c r="L24" s="17">
        <f t="shared" si="18"/>
        <v>469.44565082358025</v>
      </c>
      <c r="M24" s="3">
        <f>((K24-(('Model tilvækst, slagteform, fe'!$H$9/100)*'Model tilvækst, slagteform, fe'!$B$9))*1000/(A24+Forudsætninger!$C$60))</f>
        <v>340.47717533584876</v>
      </c>
      <c r="N24" s="17">
        <f t="shared" si="11"/>
        <v>46.496354209268503</v>
      </c>
      <c r="O24" s="19">
        <f>IF( A24&lt;Forudsætninger!$C$14,(G24/100)*Forudsætninger!$C$13,(Forudsætninger!$C$15/1000)*Forudsætninger!$C$13)</f>
        <v>0.57098055457229713</v>
      </c>
      <c r="P24" s="17" cm="1">
        <f t="array" ref="P24">INDEX('Model tilvækst, slagteform, fe'!$N$9:$N$375,MATCH(MIN(ABS('Model tilvækst, slagteform, fe'!$M$9:$M$375-'Vækstfunktion, hol'!G24)),ABS('Model tilvækst, slagteform, fe'!$M$9:$M$375-'Vækstfunktion, hol'!G24),0))*(1+Forudsætninger!$C$80)</f>
        <v>2.3932269917544202</v>
      </c>
      <c r="Q24" s="17">
        <f t="shared" si="12"/>
        <v>5.0979852248195723</v>
      </c>
      <c r="R24" s="17">
        <f t="shared" si="13"/>
        <v>5.1115695861226165</v>
      </c>
      <c r="S24" s="17">
        <f t="shared" si="5"/>
        <v>2.4675451822995194</v>
      </c>
      <c r="T24" s="19">
        <f>(P24)*IF(N24&lt;Forudsætninger!$B$228,IF(N24&lt;Forudsætninger!$B$227,Forudsætninger!$B$225,Forudsætninger!$C$9),Forudsætninger!$C$11)+O24</f>
        <v>6.5779803038758908</v>
      </c>
      <c r="U24" s="2">
        <f>Forudsætninger!$C$68+((K24-(Forudsætninger!$C$84)))*0.01</f>
        <v>2.1092129762275968</v>
      </c>
      <c r="V24" s="2">
        <f>U24+Forudsætninger!$C$69</f>
        <v>1.1092129762275968</v>
      </c>
      <c r="W24">
        <f t="shared" si="6"/>
        <v>0</v>
      </c>
      <c r="X24">
        <f>IF(A24+Forudsætninger!$C$60&gt;248,IF(A24+Forudsætninger!$C$60&lt;365,IF(K24&gt;180,IF(K24&lt;260,1,0),0),0),0)</f>
        <v>0</v>
      </c>
      <c r="Y24" s="22">
        <f>IF(X24=0,0,IF('Vækstfunktion, hol'!A24&lt;Forudsætninger!$C$66,Forudsætninger!$C$67+(('Vækstfunktion, hol'!A24-Forudsætninger!$C$66)/7)*Forudsætninger!$C$64,Forudsætninger!$C$67))</f>
        <v>0</v>
      </c>
      <c r="Z24" s="19">
        <f t="shared" si="19"/>
        <v>625.27406701665564</v>
      </c>
      <c r="AA24" s="19">
        <f>Forudsætninger!$C$62+Forudsætninger!$C$16</f>
        <v>1350</v>
      </c>
      <c r="AB24" s="19">
        <f>IF(K24&gt;Forudsætninger!$C$26,IF(K24&gt;Forudsætninger!$C$27,IF(K24&gt;Forudsætninger!$C$28,Forudsætninger!$E$28,Forudsætninger!$E$27+Forudsætninger!$F$28*(K24-Forudsætninger!$C$27)),Forudsætninger!$E$26+Forudsætninger!$F$27*(K24-Forudsætninger!$C$26)),Forudsætninger!$E$26)+IF(K24&gt;Forudsætninger!$C$28,Forudsætninger!$G$28,IF(K24&gt;Forudsætninger!$C$27,Forudsætninger!$G$27+Forudsætninger!$H$28*(K24-Forudsætninger!$C$27),IF(K24&gt;Forudsætninger!$C$26,Forudsætninger!$G$26+Forudsætninger!$H$27*(K24-Forudsætninger!$C$26),Forudsætninger!$G$26)))*(U24-Forudsætninger!$H$26)</f>
        <v>32.931909732170702</v>
      </c>
      <c r="AC24" s="19">
        <f>IF(K24&gt;Forudsætninger!$C$31,IF(K24&gt;Forudsætninger!$C$32,IF(K24&gt;Forudsætninger!$C$33,Forudsætninger!$E$33,Forudsætninger!$E$32+Forudsætninger!$F$33*(K24-Forudsætninger!$C$32)),Forudsætninger!$E$31+Forudsætninger!$F$32*(K24-Forudsætninger!$C$31)),Forudsætninger!$E$31)+IF(K24&gt;Forudsætninger!$C$33,Forudsætninger!$G$33,IF(K24&gt;Forudsætninger!$C$32,Forudsætninger!$G$32+Forudsætninger!$H$33*(K24-Forudsætninger!$C$32),IF(K24&gt;Forudsætninger!$C$31,Forudsætninger!$G$31+Forudsætninger!$H$32*(K24-Forudsætninger!$C$31),Forudsætninger!$G$31)))*(V24-Forudsætninger!$H$31)</f>
        <v>25.841976869095877</v>
      </c>
      <c r="AD24" s="19">
        <f t="shared" si="7"/>
        <v>1065.1032216052963</v>
      </c>
      <c r="AE24" s="19">
        <f t="shared" si="8"/>
        <v>25.841976869095877</v>
      </c>
      <c r="AF24">
        <f>IF(G24&lt;=Forudsætninger!$C$97,Forudsætninger!$C$98,(IF(G24&lt;=Forudsætninger!$D$97,Forudsætninger!$D$98,IF(G24&lt;=Forudsætninger!$E$97,Forudsætninger!$E$98,IF(G24&lt;=Forudsætninger!$F$97,Forudsætninger!$F$98,IF(G24&lt;=Forudsætninger!$G$97,Forudsætninger!$G$98,IF(G24&lt;=Forudsætninger!$H$97,Forudsætninger!$H$98,IF(G24&lt;=Forudsætninger!$I$97,Forudsætninger!$I$98,Forudsætninger!$I$98))))))))</f>
        <v>1.8</v>
      </c>
      <c r="AG24" s="1">
        <f t="shared" si="14"/>
        <v>2.2000000000000002</v>
      </c>
      <c r="AH24" s="1">
        <f t="shared" si="20"/>
        <v>48.400000000000013</v>
      </c>
      <c r="AI24" s="1">
        <f t="shared" si="9"/>
        <v>2.2000000000000006</v>
      </c>
      <c r="AJ24" s="20">
        <f>+(W24*Forudsætninger!$C$12)</f>
        <v>0</v>
      </c>
      <c r="AK24" s="20">
        <f>Forudsætninger!$C$17</f>
        <v>250</v>
      </c>
      <c r="AL24" s="20">
        <f>IF(A24&lt;92,Forudsætninger!$C$20,Forudsætninger!$C$21)</f>
        <v>4.0072859744990899</v>
      </c>
      <c r="AM24" s="20">
        <f t="shared" si="15"/>
        <v>88.160291438979939</v>
      </c>
      <c r="AN24" s="20">
        <f>IFERROR(AD24+AJ24-AA24-Z24-AK24-AM24-Forudsætninger!$C$75,-99999999)</f>
        <v>-1430.7253293997339</v>
      </c>
      <c r="AO24" s="19">
        <f>IFERROR(AN24/(A24+Forudsætninger!$C$74),-99999999)</f>
        <v>-65.032969518169722</v>
      </c>
      <c r="AP24" s="19">
        <f>IFERROR(((365/(A24+Forudsætninger!$C$74))*AN24)/(AI24+Forudsætninger!$C$73),-9999999)</f>
        <v>-10275.772239883958</v>
      </c>
      <c r="AQ24" s="18">
        <f t="shared" si="10"/>
        <v>22</v>
      </c>
      <c r="AR24" s="18">
        <f t="shared" si="16"/>
        <v>2313.4343584556359</v>
      </c>
      <c r="AS24" s="52">
        <f t="shared" si="1"/>
        <v>2</v>
      </c>
      <c r="AT24" s="50">
        <f t="shared" si="21"/>
        <v>1.7948052484825894</v>
      </c>
      <c r="AU24" s="50">
        <f t="shared" si="22"/>
        <v>3.18227498888821</v>
      </c>
      <c r="AV24" s="2">
        <f t="shared" si="23"/>
        <v>502.82700040874079</v>
      </c>
      <c r="AW24" s="61">
        <f t="shared" si="17"/>
        <v>-61.025683543670631</v>
      </c>
      <c r="BA24" s="16"/>
      <c r="BB24" s="2"/>
    </row>
    <row r="25" spans="1:54" x14ac:dyDescent="0.25">
      <c r="A25">
        <v>23</v>
      </c>
      <c r="B25" s="1">
        <f>ROUND((A25+Forudsætninger!$C$60)/30.4,1)</f>
        <v>2</v>
      </c>
      <c r="C25" s="1">
        <f>VLOOKUP((A25+Forudsætninger!$C$60),'Model tilvækst, slagteform, fe'!A:B,2,FALSE)</f>
        <v>87.113551163363894</v>
      </c>
      <c r="D25" s="3">
        <f t="shared" si="24"/>
        <v>1085.2302404700395</v>
      </c>
      <c r="E25" s="1">
        <f>(1+Forudsætninger!$C$78)*C25</f>
        <v>81.01560258192842</v>
      </c>
      <c r="F25" s="2">
        <f t="shared" si="25"/>
        <v>7.8058172053014525</v>
      </c>
      <c r="G25" s="1">
        <f t="shared" si="2"/>
        <v>88.821419787229871</v>
      </c>
      <c r="H25" s="3">
        <f t="shared" si="3"/>
        <v>978.25754533799625</v>
      </c>
      <c r="I25" s="3">
        <f t="shared" si="4"/>
        <v>861.80086031434223</v>
      </c>
      <c r="J25" s="1">
        <f>VLOOKUP((A25+Forudsætninger!$C$60),'Model tilvækst, slagteform, fe'!G:K,2,FALSE)*(1+Forudsætninger!$C$79)</f>
        <v>46.937367675856514</v>
      </c>
      <c r="K25" s="17">
        <f t="shared" si="0"/>
        <v>41.690436380448055</v>
      </c>
      <c r="L25" s="17">
        <f t="shared" si="18"/>
        <v>474.42465655238664</v>
      </c>
      <c r="M25" s="3">
        <f>((K25-(('Model tilvækst, slagteform, fe'!$H$9/100)*'Model tilvækst, slagteform, fe'!$B$9))*1000/(A25+Forudsætninger!$C$60))</f>
        <v>342.6376185812768</v>
      </c>
      <c r="N25" s="17">
        <f t="shared" si="11"/>
        <v>48.926173316829647</v>
      </c>
      <c r="O25" s="19">
        <f>IF( A25&lt;Forudsætninger!$C$14,(G25/100)*Forudsætninger!$C$13,(Forudsætninger!$C$15/1000)*Forudsætninger!$C$13)</f>
        <v>0.57733922861699416</v>
      </c>
      <c r="P25" s="17" cm="1">
        <f t="array" ref="P25">INDEX('Model tilvækst, slagteform, fe'!$N$9:$N$375,MATCH(MIN(ABS('Model tilvækst, slagteform, fe'!$M$9:$M$375-'Vækstfunktion, hol'!G25)),ABS('Model tilvækst, slagteform, fe'!$M$9:$M$375-'Vækstfunktion, hol'!G25),0))*(1+Forudsætninger!$C$80)</f>
        <v>2.4298191075611406</v>
      </c>
      <c r="Q25" s="17">
        <f t="shared" si="12"/>
        <v>5.1216121970103305</v>
      </c>
      <c r="R25" s="17">
        <f t="shared" si="13"/>
        <v>5.1120674025337705</v>
      </c>
      <c r="S25" s="17">
        <f t="shared" si="5"/>
        <v>2.4683485765409587</v>
      </c>
      <c r="T25" s="19">
        <f>(P25)*IF(N25&lt;Forudsætninger!$B$228,IF(N25&lt;Forudsætninger!$B$227,Forudsætninger!$B$225,Forudsætninger!$C$9),Forudsætninger!$C$11)+O25</f>
        <v>6.6761851885954568</v>
      </c>
      <c r="U25" s="2">
        <f>Forudsætninger!$C$68+((K25-(Forudsætninger!$C$84)))*0.01</f>
        <v>2.1139572227931209</v>
      </c>
      <c r="V25" s="2">
        <f>U25+Forudsætninger!$C$69</f>
        <v>1.1139572227931209</v>
      </c>
      <c r="W25">
        <f t="shared" si="6"/>
        <v>0</v>
      </c>
      <c r="X25">
        <f>IF(A25+Forudsætninger!$C$60&gt;248,IF(A25+Forudsætninger!$C$60&lt;365,IF(K25&gt;180,IF(K25&lt;260,1,0),0),0),0)</f>
        <v>0</v>
      </c>
      <c r="Y25" s="22">
        <f>IF(X25=0,0,IF('Vækstfunktion, hol'!A25&lt;Forudsætninger!$C$66,Forudsætninger!$C$67+(('Vækstfunktion, hol'!A25-Forudsætninger!$C$66)/7)*Forudsætninger!$C$64,Forudsætninger!$C$67))</f>
        <v>0</v>
      </c>
      <c r="Z25" s="19">
        <f>Z24+T25</f>
        <v>631.9502522052511</v>
      </c>
      <c r="AA25" s="19">
        <f>Forudsætninger!$C$62+Forudsætninger!$C$16</f>
        <v>1350</v>
      </c>
      <c r="AB25" s="19">
        <f>IF(K25&gt;Forudsætninger!$C$26,IF(K25&gt;Forudsætninger!$C$27,IF(K25&gt;Forudsætninger!$C$28,Forudsætninger!$E$28,Forudsætninger!$E$27+Forudsætninger!$F$28*(K25-Forudsætninger!$C$27)),Forudsætninger!$E$26+Forudsætninger!$F$27*(K25-Forudsætninger!$C$26)),Forudsætninger!$E$26)+IF(K25&gt;Forudsætninger!$C$28,Forudsætninger!$G$28,IF(K25&gt;Forudsætninger!$C$27,Forudsætninger!$G$27+Forudsætninger!$H$28*(K25-Forudsætninger!$C$27),IF(K25&gt;Forudsætninger!$C$26,Forudsætninger!$G$26+Forudsætninger!$H$27*(K25-Forudsætninger!$C$26),Forudsætninger!$G$26)))*(U25-Forudsætninger!$H$26)</f>
        <v>32.93546791709484</v>
      </c>
      <c r="AC25" s="19">
        <f>IF(K25&gt;Forudsætninger!$C$31,IF(K25&gt;Forudsætninger!$C$32,IF(K25&gt;Forudsætninger!$C$33,Forudsætninger!$E$33,Forudsætninger!$E$32+Forudsætninger!$F$33*(K25-Forudsætninger!$C$32)),Forudsætninger!$E$31+Forudsætninger!$F$32*(K25-Forudsætninger!$C$31)),Forudsætninger!$E$31)+IF(K25&gt;Forudsætninger!$C$33,Forudsætninger!$G$33,IF(K25&gt;Forudsætninger!$C$32,Forudsætninger!$G$32+Forudsætninger!$H$33*(K25-Forudsætninger!$C$32),IF(K25&gt;Forudsætninger!$C$31,Forudsætninger!$G$31+Forudsætninger!$H$32*(K25-Forudsætninger!$C$31),Forudsætninger!$G$31)))*(V25-Forudsætninger!$H$31)</f>
        <v>25.848144389631056</v>
      </c>
      <c r="AD25" s="19">
        <f t="shared" si="7"/>
        <v>1077.6204192285488</v>
      </c>
      <c r="AE25" s="19">
        <f t="shared" si="8"/>
        <v>25.848144389631056</v>
      </c>
      <c r="AF25">
        <f>IF(G25&lt;=Forudsætninger!$C$97,Forudsætninger!$C$98,(IF(G25&lt;=Forudsætninger!$D$97,Forudsætninger!$D$98,IF(G25&lt;=Forudsætninger!$E$97,Forudsætninger!$E$98,IF(G25&lt;=Forudsætninger!$F$97,Forudsætninger!$F$98,IF(G25&lt;=Forudsætninger!$G$97,Forudsætninger!$G$98,IF(G25&lt;=Forudsætninger!$H$97,Forudsætninger!$H$98,IF(G25&lt;=Forudsætninger!$I$97,Forudsætninger!$I$98,Forudsætninger!$I$98))))))))</f>
        <v>1.8</v>
      </c>
      <c r="AG25" s="1">
        <f t="shared" si="14"/>
        <v>2.2000000000000002</v>
      </c>
      <c r="AH25" s="1">
        <f t="shared" si="20"/>
        <v>50.600000000000016</v>
      </c>
      <c r="AI25" s="1">
        <f t="shared" si="9"/>
        <v>2.2000000000000006</v>
      </c>
      <c r="AJ25" s="20">
        <f>+(W25*Forudsætninger!$C$12)</f>
        <v>0</v>
      </c>
      <c r="AK25" s="20">
        <f>Forudsætninger!$C$17</f>
        <v>250</v>
      </c>
      <c r="AL25" s="20">
        <f>IF(A25&lt;92,Forudsætninger!$C$20,Forudsætninger!$C$21)</f>
        <v>4.0072859744990899</v>
      </c>
      <c r="AM25" s="20">
        <f t="shared" si="15"/>
        <v>92.167577413479023</v>
      </c>
      <c r="AN25" s="20">
        <f>IFERROR(AD25+AJ25-AA25-Z25-AK25-AM25-Forudsætninger!$C$75,-99999999)</f>
        <v>-1428.8916029395757</v>
      </c>
      <c r="AO25" s="19">
        <f>IFERROR(AN25/(A25+Forudsætninger!$C$74),-99999999)</f>
        <v>-62.125721866938072</v>
      </c>
      <c r="AP25" s="19">
        <f>IFERROR(((365/(A25+Forudsætninger!$C$74))*AN25)/(AI25+Forudsætninger!$C$73),-9999999)</f>
        <v>-9816.4019400140223</v>
      </c>
      <c r="AQ25" s="18">
        <f t="shared" si="10"/>
        <v>23</v>
      </c>
      <c r="AR25" s="18">
        <f t="shared" si="16"/>
        <v>2324.1178296187304</v>
      </c>
      <c r="AS25" s="52">
        <f t="shared" si="1"/>
        <v>2</v>
      </c>
      <c r="AT25" s="50">
        <f t="shared" si="21"/>
        <v>1.8337264601582319</v>
      </c>
      <c r="AU25" s="50">
        <f t="shared" si="22"/>
        <v>2.9072476512316499</v>
      </c>
      <c r="AV25" s="2">
        <f t="shared" si="23"/>
        <v>459.37029986993548</v>
      </c>
      <c r="AW25" s="61">
        <f t="shared" si="17"/>
        <v>-58.118435892438988</v>
      </c>
      <c r="BA25" s="16"/>
      <c r="BB25" s="2"/>
    </row>
    <row r="26" spans="1:54" x14ac:dyDescent="0.25">
      <c r="A26">
        <v>24</v>
      </c>
      <c r="B26" s="1">
        <f>ROUND((A26+Forudsætninger!$C$60)/30.4,1)</f>
        <v>2.1</v>
      </c>
      <c r="C26" s="1">
        <f>VLOOKUP((A26+Forudsætninger!$C$60),'Model tilvækst, slagteform, fe'!A:B,2,FALSE)</f>
        <v>88.209487215744986</v>
      </c>
      <c r="D26" s="3">
        <f t="shared" si="24"/>
        <v>1095.9360523810915</v>
      </c>
      <c r="E26" s="1">
        <f>(1+Forudsætninger!$C$78)*C26</f>
        <v>82.034823110642833</v>
      </c>
      <c r="F26" s="2">
        <f t="shared" si="25"/>
        <v>7.774504746661993</v>
      </c>
      <c r="G26" s="1">
        <f t="shared" si="2"/>
        <v>89.809327857304822</v>
      </c>
      <c r="H26" s="3">
        <f t="shared" si="3"/>
        <v>987.90807007495118</v>
      </c>
      <c r="I26" s="3">
        <f t="shared" si="4"/>
        <v>867.05532738770091</v>
      </c>
      <c r="J26" s="1">
        <f>VLOOKUP((A26+Forudsætninger!$C$60),'Model tilvækst, slagteform, fe'!G:K,2,FALSE)*(1+Forudsætninger!$C$79)</f>
        <v>46.954802498444892</v>
      </c>
      <c r="K26" s="17">
        <f t="shared" si="0"/>
        <v>42.169792520578326</v>
      </c>
      <c r="L26" s="17">
        <f t="shared" si="18"/>
        <v>479.35614013027106</v>
      </c>
      <c r="M26" s="3">
        <f>((K26-(('Model tilvækst, slagteform, fe'!$H$9/100)*'Model tilvækst, slagteform, fe'!$B$9))*1000/(A26+Forudsætninger!$C$60))</f>
        <v>344.80775384395923</v>
      </c>
      <c r="N26" s="17">
        <f t="shared" si="11"/>
        <v>51.392703446103454</v>
      </c>
      <c r="O26" s="19">
        <f>IF( A26&lt;Forudsætninger!$C$14,(G26/100)*Forudsætninger!$C$13,(Forudsætninger!$C$15/1000)*Forudsætninger!$C$13)</f>
        <v>0.58376063107248133</v>
      </c>
      <c r="P26" s="17" cm="1">
        <f t="array" ref="P26">INDEX('Model tilvækst, slagteform, fe'!$N$9:$N$375,MATCH(MIN(ABS('Model tilvækst, slagteform, fe'!$M$9:$M$375-'Vækstfunktion, hol'!G26)),ABS('Model tilvækst, slagteform, fe'!$M$9:$M$375-'Vækstfunktion, hol'!G26),0))*(1+Forudsætninger!$C$80)</f>
        <v>2.4665301292738055</v>
      </c>
      <c r="Q26" s="17">
        <f t="shared" si="12"/>
        <v>5.1455064883564336</v>
      </c>
      <c r="R26" s="17">
        <f t="shared" si="13"/>
        <v>5.1136623385839197</v>
      </c>
      <c r="S26" s="17">
        <f t="shared" si="5"/>
        <v>2.4696955037912369</v>
      </c>
      <c r="T26" s="19">
        <f>(P26)*IF(N26&lt;Forudsætninger!$B$228,IF(N26&lt;Forudsætninger!$B$227,Forudsætninger!$B$225,Forudsætninger!$C$9),Forudsætninger!$C$11)+O26</f>
        <v>6.7747512555497327</v>
      </c>
      <c r="U26" s="2">
        <f>Forudsætninger!$C$68+((K26-(Forudsætninger!$C$84)))*0.01</f>
        <v>2.1187507841944235</v>
      </c>
      <c r="V26" s="2">
        <f>U26+Forudsætninger!$C$69</f>
        <v>1.1187507841944235</v>
      </c>
      <c r="W26">
        <f t="shared" si="6"/>
        <v>0</v>
      </c>
      <c r="X26">
        <f>IF(A26+Forudsætninger!$C$60&gt;248,IF(A26+Forudsætninger!$C$60&lt;365,IF(K26&gt;180,IF(K26&lt;260,1,0),0),0),0)</f>
        <v>0</v>
      </c>
      <c r="Y26" s="22">
        <f>IF(X26=0,0,IF('Vækstfunktion, hol'!A26&lt;Forudsætninger!$C$66,Forudsætninger!$C$67+(('Vækstfunktion, hol'!A26-Forudsætninger!$C$66)/7)*Forudsætninger!$C$64,Forudsætninger!$C$67))</f>
        <v>0</v>
      </c>
      <c r="Z26" s="19">
        <f t="shared" si="19"/>
        <v>638.72500346080085</v>
      </c>
      <c r="AA26" s="19">
        <f>Forudsætninger!$C$62+Forudsætninger!$C$16</f>
        <v>1350</v>
      </c>
      <c r="AB26" s="19">
        <f>IF(K26&gt;Forudsætninger!$C$26,IF(K26&gt;Forudsætninger!$C$27,IF(K26&gt;Forudsætninger!$C$28,Forudsætninger!$E$28,Forudsætninger!$E$27+Forudsætninger!$F$28*(K26-Forudsætninger!$C$27)),Forudsætninger!$E$26+Forudsætninger!$F$27*(K26-Forudsætninger!$C$26)),Forudsætninger!$E$26)+IF(K26&gt;Forudsætninger!$C$28,Forudsætninger!$G$28,IF(K26&gt;Forudsætninger!$C$27,Forudsætninger!$G$27+Forudsætninger!$H$28*(K26-Forudsætninger!$C$27),IF(K26&gt;Forudsætninger!$C$26,Forudsætninger!$G$26+Forudsætninger!$H$27*(K26-Forudsætninger!$C$26),Forudsætninger!$G$26)))*(U26-Forudsætninger!$H$26)</f>
        <v>32.939063088145822</v>
      </c>
      <c r="AC26" s="19">
        <f>IF(K26&gt;Forudsætninger!$C$31,IF(K26&gt;Forudsætninger!$C$32,IF(K26&gt;Forudsætninger!$C$33,Forudsætninger!$E$33,Forudsætninger!$E$32+Forudsætninger!$F$33*(K26-Forudsætninger!$C$32)),Forudsætninger!$E$31+Forudsætninger!$F$32*(K26-Forudsætninger!$C$31)),Forudsætninger!$E$31)+IF(K26&gt;Forudsætninger!$C$33,Forudsætninger!$G$33,IF(K26&gt;Forudsætninger!$C$32,Forudsætninger!$G$32+Forudsætninger!$H$33*(K26-Forudsætninger!$C$32),IF(K26&gt;Forudsætninger!$C$31,Forudsætninger!$G$31+Forudsætninger!$H$32*(K26-Forudsætninger!$C$31),Forudsætninger!$G$31)))*(V26-Forudsætninger!$H$31)</f>
        <v>25.854376019452751</v>
      </c>
      <c r="AD26" s="19">
        <f t="shared" si="7"/>
        <v>1090.2736724893382</v>
      </c>
      <c r="AE26" s="19">
        <f t="shared" si="8"/>
        <v>25.854376019452751</v>
      </c>
      <c r="AF26">
        <f>IF(G26&lt;=Forudsætninger!$C$97,Forudsætninger!$C$98,(IF(G26&lt;=Forudsætninger!$D$97,Forudsætninger!$D$98,IF(G26&lt;=Forudsætninger!$E$97,Forudsætninger!$E$98,IF(G26&lt;=Forudsætninger!$F$97,Forudsætninger!$F$98,IF(G26&lt;=Forudsætninger!$G$97,Forudsætninger!$G$98,IF(G26&lt;=Forudsætninger!$H$97,Forudsætninger!$H$98,IF(G26&lt;=Forudsætninger!$I$97,Forudsætninger!$I$98,Forudsætninger!$I$98))))))))</f>
        <v>1.8</v>
      </c>
      <c r="AG26" s="1">
        <f t="shared" si="14"/>
        <v>2.2000000000000002</v>
      </c>
      <c r="AH26" s="1">
        <f t="shared" si="20"/>
        <v>52.800000000000018</v>
      </c>
      <c r="AI26" s="1">
        <f t="shared" si="9"/>
        <v>2.2000000000000006</v>
      </c>
      <c r="AJ26" s="20">
        <f>+(W26*Forudsætninger!$C$12)</f>
        <v>0</v>
      </c>
      <c r="AK26" s="20">
        <f>Forudsætninger!$C$17</f>
        <v>250</v>
      </c>
      <c r="AL26" s="20">
        <f>IF(A26&lt;92,Forudsætninger!$C$20,Forudsætninger!$C$21)</f>
        <v>4.0072859744990899</v>
      </c>
      <c r="AM26" s="20">
        <f t="shared" si="15"/>
        <v>96.174863387978107</v>
      </c>
      <c r="AN26" s="20">
        <f>IFERROR(AD26+AJ26-AA26-Z26-AK26-AM26-Forudsætninger!$C$75,-99999999)</f>
        <v>-1427.0203869088352</v>
      </c>
      <c r="AO26" s="19">
        <f>IFERROR(AN26/(A26+Forudsætninger!$C$74),-99999999)</f>
        <v>-59.459182787868137</v>
      </c>
      <c r="AP26" s="19">
        <f>IFERROR(((365/(A26+Forudsætninger!$C$74))*AN26)/(AI26+Forudsætninger!$C$73),-9999999)</f>
        <v>-9395.0656786025393</v>
      </c>
      <c r="AQ26" s="18">
        <f t="shared" si="10"/>
        <v>24</v>
      </c>
      <c r="AR26" s="18">
        <f t="shared" si="16"/>
        <v>2334.8998668487789</v>
      </c>
      <c r="AS26" s="52">
        <f t="shared" si="1"/>
        <v>2.1</v>
      </c>
      <c r="AT26" s="50">
        <f t="shared" si="21"/>
        <v>1.8712160307404702</v>
      </c>
      <c r="AU26" s="50">
        <f t="shared" si="22"/>
        <v>2.6665390790699348</v>
      </c>
      <c r="AV26" s="2">
        <f t="shared" si="23"/>
        <v>421.33626141148306</v>
      </c>
      <c r="AW26" s="61">
        <f t="shared" si="17"/>
        <v>-55.451896813369046</v>
      </c>
      <c r="BA26" s="16"/>
      <c r="BB26" s="2"/>
    </row>
    <row r="27" spans="1:54" x14ac:dyDescent="0.25">
      <c r="A27">
        <v>25</v>
      </c>
      <c r="B27" s="1">
        <f>ROUND((A27+Forudsætninger!$C$60)/30.4,1)</f>
        <v>2.1</v>
      </c>
      <c r="C27" s="1">
        <f>VLOOKUP((A27+Forudsætninger!$C$60),'Model tilvækst, slagteform, fe'!A:B,2,FALSE)</f>
        <v>89.316002563797269</v>
      </c>
      <c r="D27" s="3">
        <f t="shared" si="24"/>
        <v>1106.5153480522838</v>
      </c>
      <c r="E27" s="1">
        <f>(1+Forudsætninger!$C$78)*C27</f>
        <v>83.06388238433145</v>
      </c>
      <c r="F27" s="2">
        <f t="shared" si="25"/>
        <v>7.7428900224319275</v>
      </c>
      <c r="G27" s="1">
        <f t="shared" si="2"/>
        <v>90.806772406763372</v>
      </c>
      <c r="H27" s="3">
        <f t="shared" si="3"/>
        <v>997.44454945854955</v>
      </c>
      <c r="I27" s="3">
        <f t="shared" si="4"/>
        <v>872.27089627053488</v>
      </c>
      <c r="J27" s="1">
        <f>VLOOKUP((A27+Forudsætninger!$C$60),'Model tilvækst, slagteform, fe'!G:K,2,FALSE)*(1+Forudsætninger!$C$79)</f>
        <v>46.972302792112274</v>
      </c>
      <c r="K27" s="17">
        <f t="shared" si="0"/>
        <v>42.654032090649153</v>
      </c>
      <c r="L27" s="17">
        <f t="shared" si="18"/>
        <v>484.23957007082663</v>
      </c>
      <c r="M27" s="3">
        <f>((K27-(('Model tilvækst, slagteform, fe'!$H$9/100)*'Model tilvækst, slagteform, fe'!$B$9))*1000/(A27+Forudsætninger!$C$60))</f>
        <v>346.98637597250405</v>
      </c>
      <c r="N27" s="17">
        <f t="shared" si="11"/>
        <v>53.896067106205138</v>
      </c>
      <c r="O27" s="19">
        <f>IF( A27&lt;Forudsætninger!$C$14,(G27/100)*Forudsætninger!$C$13,(Forudsætninger!$C$15/1000)*Forudsætninger!$C$13)</f>
        <v>0.59024402064396198</v>
      </c>
      <c r="P27" s="17" cm="1">
        <f t="array" ref="P27">INDEX('Model tilvækst, slagteform, fe'!$N$9:$N$375,MATCH(MIN(ABS('Model tilvækst, slagteform, fe'!$M$9:$M$375-'Vækstfunktion, hol'!G27)),ABS('Model tilvækst, slagteform, fe'!$M$9:$M$375-'Vækstfunktion, hol'!G27),0))*(1+Forudsætninger!$C$80)</f>
        <v>2.503363660101686</v>
      </c>
      <c r="Q27" s="17">
        <f t="shared" si="12"/>
        <v>5.1696800815669297</v>
      </c>
      <c r="R27" s="17">
        <f t="shared" si="13"/>
        <v>5.1162373519690769</v>
      </c>
      <c r="S27" s="17">
        <f t="shared" si="5"/>
        <v>2.4715288489684641</v>
      </c>
      <c r="T27" s="19">
        <f>(P27)*IF(N27&lt;Forudsætninger!$B$228,IF(N27&lt;Forudsætninger!$B$227,Forudsætninger!$B$225,Forudsætninger!$C$9),Forudsætninger!$C$11)+O27</f>
        <v>6.8736868074991939</v>
      </c>
      <c r="U27" s="2">
        <f>Forudsætninger!$C$68+((K27-(Forudsætninger!$C$84)))*0.01</f>
        <v>2.1235931798951322</v>
      </c>
      <c r="V27" s="2">
        <f>U27+Forudsætninger!$C$69</f>
        <v>1.1235931798951322</v>
      </c>
      <c r="W27">
        <f t="shared" si="6"/>
        <v>0</v>
      </c>
      <c r="X27">
        <f>IF(A27+Forudsætninger!$C$60&gt;248,IF(A27+Forudsætninger!$C$60&lt;365,IF(K27&gt;180,IF(K27&lt;260,1,0),0),0),0)</f>
        <v>0</v>
      </c>
      <c r="Y27" s="22">
        <f>IF(X27=0,0,IF('Vækstfunktion, hol'!A27&lt;Forudsætninger!$C$66,Forudsætninger!$C$67+(('Vækstfunktion, hol'!A27-Forudsætninger!$C$66)/7)*Forudsætninger!$C$64,Forudsætninger!$C$67))</f>
        <v>0</v>
      </c>
      <c r="Z27" s="19">
        <f t="shared" si="19"/>
        <v>645.59869026830006</v>
      </c>
      <c r="AA27" s="19">
        <f>Forudsætninger!$C$62+Forudsætninger!$C$16</f>
        <v>1350</v>
      </c>
      <c r="AB27" s="19">
        <f>IF(K27&gt;Forudsætninger!$C$26,IF(K27&gt;Forudsætninger!$C$27,IF(K27&gt;Forudsætninger!$C$28,Forudsætninger!$E$28,Forudsætninger!$E$27+Forudsætninger!$F$28*(K27-Forudsætninger!$C$27)),Forudsætninger!$E$26+Forudsætninger!$F$27*(K27-Forudsætninger!$C$26)),Forudsætninger!$E$26)+IF(K27&gt;Forudsætninger!$C$28,Forudsætninger!$G$28,IF(K27&gt;Forudsætninger!$C$27,Forudsætninger!$G$27+Forudsætninger!$H$28*(K27-Forudsætninger!$C$27),IF(K27&gt;Forudsætninger!$C$26,Forudsætninger!$G$26+Forudsætninger!$H$27*(K27-Forudsætninger!$C$26),Forudsætninger!$G$26)))*(U27-Forudsætninger!$H$26)</f>
        <v>32.942694884921352</v>
      </c>
      <c r="AC27" s="19">
        <f>IF(K27&gt;Forudsætninger!$C$31,IF(K27&gt;Forudsætninger!$C$32,IF(K27&gt;Forudsætninger!$C$33,Forudsætninger!$E$33,Forudsætninger!$E$32+Forudsætninger!$F$33*(K27-Forudsætninger!$C$32)),Forudsætninger!$E$31+Forudsætninger!$F$32*(K27-Forudsætninger!$C$31)),Forudsætninger!$E$31)+IF(K27&gt;Forudsætninger!$C$33,Forudsætninger!$G$33,IF(K27&gt;Forudsætninger!$C$32,Forudsætninger!$G$32+Forudsætninger!$H$33*(K27-Forudsætninger!$C$32),IF(K27&gt;Forudsætninger!$C$31,Forudsætninger!$G$31+Forudsætninger!$H$32*(K27-Forudsætninger!$C$31),Forudsætninger!$G$31)))*(V27-Forudsætninger!$H$31)</f>
        <v>25.860671133863672</v>
      </c>
      <c r="AD27" s="19">
        <f t="shared" si="7"/>
        <v>1103.0618964295452</v>
      </c>
      <c r="AE27" s="19">
        <f t="shared" si="8"/>
        <v>25.860671133863669</v>
      </c>
      <c r="AF27">
        <f>IF(G27&lt;=Forudsætninger!$C$97,Forudsætninger!$C$98,(IF(G27&lt;=Forudsætninger!$D$97,Forudsætninger!$D$98,IF(G27&lt;=Forudsætninger!$E$97,Forudsætninger!$E$98,IF(G27&lt;=Forudsætninger!$F$97,Forudsætninger!$F$98,IF(G27&lt;=Forudsætninger!$G$97,Forudsætninger!$G$98,IF(G27&lt;=Forudsætninger!$H$97,Forudsætninger!$H$98,IF(G27&lt;=Forudsætninger!$I$97,Forudsætninger!$I$98,Forudsætninger!$I$98))))))))</f>
        <v>1.8</v>
      </c>
      <c r="AG27" s="1">
        <f t="shared" si="14"/>
        <v>2.2000000000000002</v>
      </c>
      <c r="AH27" s="1">
        <f t="shared" si="20"/>
        <v>55.000000000000021</v>
      </c>
      <c r="AI27" s="1">
        <f t="shared" si="9"/>
        <v>2.2000000000000011</v>
      </c>
      <c r="AJ27" s="20">
        <f>+(W27*Forudsætninger!$C$12)</f>
        <v>0</v>
      </c>
      <c r="AK27" s="20">
        <f>Forudsætninger!$C$17</f>
        <v>250</v>
      </c>
      <c r="AL27" s="20">
        <f>IF(A27&lt;92,Forudsætninger!$C$20,Forudsætninger!$C$21)</f>
        <v>4.0072859744990899</v>
      </c>
      <c r="AM27" s="20">
        <f t="shared" si="15"/>
        <v>100.18214936247719</v>
      </c>
      <c r="AN27" s="20">
        <f>IFERROR(AD27+AJ27-AA27-Z27-AK27-AM27-Forudsætninger!$C$75,-99999999)</f>
        <v>-1425.1131357506267</v>
      </c>
      <c r="AO27" s="19">
        <f>IFERROR(AN27/(A27+Forudsætninger!$C$74),-99999999)</f>
        <v>-57.004525430025069</v>
      </c>
      <c r="AP27" s="19">
        <f>IFERROR(((365/(A27+Forudsætninger!$C$74))*AN27)/(AI27+Forudsætninger!$C$73),-9999999)</f>
        <v>-9007.2085636186766</v>
      </c>
      <c r="AQ27" s="18">
        <f t="shared" si="10"/>
        <v>25</v>
      </c>
      <c r="AR27" s="18">
        <f t="shared" si="16"/>
        <v>2345.7808396307769</v>
      </c>
      <c r="AS27" s="52">
        <f t="shared" si="1"/>
        <v>2.1</v>
      </c>
      <c r="AT27" s="50">
        <f t="shared" si="21"/>
        <v>1.9072511582085099</v>
      </c>
      <c r="AU27" s="50">
        <f t="shared" si="22"/>
        <v>2.4546573578430682</v>
      </c>
      <c r="AV27" s="2">
        <f t="shared" si="23"/>
        <v>387.85711498386263</v>
      </c>
      <c r="AW27" s="61">
        <f t="shared" si="17"/>
        <v>-52.997239455525978</v>
      </c>
      <c r="BA27" s="16"/>
      <c r="BB27" s="2"/>
    </row>
    <row r="28" spans="1:54" x14ac:dyDescent="0.25">
      <c r="A28">
        <v>26</v>
      </c>
      <c r="B28" s="1">
        <f>ROUND((A28+Forudsætninger!$C$60)/30.4,1)</f>
        <v>2.1</v>
      </c>
      <c r="C28" s="1">
        <f>VLOOKUP((A28+Forudsætninger!$C$60),'Model tilvækst, slagteform, fe'!A:B,2,FALSE)</f>
        <v>90.432971225628208</v>
      </c>
      <c r="D28" s="3">
        <f t="shared" si="24"/>
        <v>1116.9686618309383</v>
      </c>
      <c r="E28" s="1">
        <f>(1+Forudsætninger!$C$78)*C28</f>
        <v>84.102663239834229</v>
      </c>
      <c r="F28" s="2">
        <f t="shared" si="25"/>
        <v>7.7109766320939004</v>
      </c>
      <c r="G28" s="1">
        <f t="shared" si="2"/>
        <v>91.813639871928132</v>
      </c>
      <c r="H28" s="3">
        <f t="shared" si="3"/>
        <v>1006.8674651647598</v>
      </c>
      <c r="I28" s="3">
        <f t="shared" si="4"/>
        <v>877.44768738185121</v>
      </c>
      <c r="J28" s="1">
        <f>VLOOKUP((A28+Forudsætninger!$C$60),'Model tilvækst, slagteform, fe'!G:K,2,FALSE)*(1+Forudsætninger!$C$79)</f>
        <v>46.989866881205813</v>
      </c>
      <c r="K28" s="17">
        <f t="shared" si="0"/>
        <v>43.143107154608728</v>
      </c>
      <c r="L28" s="17">
        <f t="shared" si="18"/>
        <v>489.07506395957512</v>
      </c>
      <c r="M28" s="3">
        <f>((K28-(('Model tilvækst, slagteform, fe'!$H$9/100)*'Model tilvækst, slagteform, fe'!$B$9))*1000/(A28+Forudsætninger!$C$60))</f>
        <v>349.17235578768975</v>
      </c>
      <c r="N28" s="17">
        <f t="shared" si="11"/>
        <v>56.436390071269521</v>
      </c>
      <c r="O28" s="19">
        <f>IF( A28&lt;Forudsætninger!$C$14,(G28/100)*Forudsætninger!$C$13,(Forudsætninger!$C$15/1000)*Forudsætninger!$C$13)</f>
        <v>0.59678865916753288</v>
      </c>
      <c r="P28" s="17" cm="1">
        <f t="array" ref="P28">INDEX('Model tilvækst, slagteform, fe'!$N$9:$N$375,MATCH(MIN(ABS('Model tilvækst, slagteform, fe'!$M$9:$M$375-'Vækstfunktion, hol'!G28)),ABS('Model tilvækst, slagteform, fe'!$M$9:$M$375-'Vækstfunktion, hol'!G28),0))*(1+Forudsætninger!$C$80)</f>
        <v>2.540322965064381</v>
      </c>
      <c r="Q28" s="17">
        <f t="shared" si="12"/>
        <v>5.1941371627042372</v>
      </c>
      <c r="R28" s="17">
        <f t="shared" si="13"/>
        <v>5.1196935344241377</v>
      </c>
      <c r="S28" s="17">
        <f t="shared" si="5"/>
        <v>2.4738003399761612</v>
      </c>
      <c r="T28" s="19">
        <f>(P28)*IF(N28&lt;Forudsætninger!$B$228,IF(N28&lt;Forudsætninger!$B$227,Forudsætninger!$B$225,Forudsætninger!$C$9),Forudsætninger!$C$11)+O28</f>
        <v>6.9729993014791294</v>
      </c>
      <c r="U28" s="2">
        <f>Forudsætninger!$C$68+((K28-(Forudsætninger!$C$84)))*0.01</f>
        <v>2.1284839305347276</v>
      </c>
      <c r="V28" s="2">
        <f>U28+Forudsætninger!$C$69</f>
        <v>1.1284839305347276</v>
      </c>
      <c r="W28">
        <f t="shared" si="6"/>
        <v>0</v>
      </c>
      <c r="X28">
        <f>IF(A28+Forudsætninger!$C$60&gt;248,IF(A28+Forudsætninger!$C$60&lt;365,IF(K28&gt;180,IF(K28&lt;260,1,0),0),0),0)</f>
        <v>0</v>
      </c>
      <c r="Y28" s="22">
        <f>IF(X28=0,0,IF('Vækstfunktion, hol'!A28&lt;Forudsætninger!$C$66,Forudsætninger!$C$67+(('Vækstfunktion, hol'!A28-Forudsætninger!$C$66)/7)*Forudsætninger!$C$64,Forudsætninger!$C$67))</f>
        <v>0</v>
      </c>
      <c r="Z28" s="19">
        <f t="shared" si="19"/>
        <v>652.57168956977921</v>
      </c>
      <c r="AA28" s="19">
        <f>Forudsætninger!$C$62+Forudsætninger!$C$16</f>
        <v>1350</v>
      </c>
      <c r="AB28" s="19">
        <f>IF(K28&gt;Forudsætninger!$C$26,IF(K28&gt;Forudsætninger!$C$27,IF(K28&gt;Forudsætninger!$C$28,Forudsætninger!$E$28,Forudsætninger!$E$27+Forudsætninger!$F$28*(K28-Forudsætninger!$C$27)),Forudsætninger!$E$26+Forudsætninger!$F$27*(K28-Forudsætninger!$C$26)),Forudsætninger!$E$26)+IF(K28&gt;Forudsætninger!$C$28,Forudsætninger!$G$28,IF(K28&gt;Forudsætninger!$C$27,Forudsætninger!$G$27+Forudsætninger!$H$28*(K28-Forudsætninger!$C$27),IF(K28&gt;Forudsætninger!$C$26,Forudsætninger!$G$26+Forudsætninger!$H$27*(K28-Forudsætninger!$C$26),Forudsætninger!$G$26)))*(U28-Forudsætninger!$H$26)</f>
        <v>32.946362947901051</v>
      </c>
      <c r="AC28" s="19">
        <f>IF(K28&gt;Forudsætninger!$C$31,IF(K28&gt;Forudsætninger!$C$32,IF(K28&gt;Forudsætninger!$C$33,Forudsætninger!$E$33,Forudsætninger!$E$32+Forudsætninger!$F$33*(K28-Forudsætninger!$C$32)),Forudsætninger!$E$31+Forudsætninger!$F$32*(K28-Forudsætninger!$C$31)),Forudsætninger!$E$31)+IF(K28&gt;Forudsætninger!$C$33,Forudsætninger!$G$33,IF(K28&gt;Forudsætninger!$C$32,Forudsætninger!$G$32+Forudsætninger!$H$33*(K28-Forudsætninger!$C$32),IF(K28&gt;Forudsætninger!$C$31,Forudsætninger!$G$31+Forudsætninger!$H$32*(K28-Forudsætninger!$C$31),Forudsætninger!$G$31)))*(V28-Forudsætninger!$H$31)</f>
        <v>25.867029109695146</v>
      </c>
      <c r="AD28" s="19">
        <f t="shared" si="7"/>
        <v>1115.984008650961</v>
      </c>
      <c r="AE28" s="19">
        <f t="shared" si="8"/>
        <v>25.867029109695146</v>
      </c>
      <c r="AF28">
        <f>IF(G28&lt;=Forudsætninger!$C$97,Forudsætninger!$C$98,(IF(G28&lt;=Forudsætninger!$D$97,Forudsætninger!$D$98,IF(G28&lt;=Forudsætninger!$E$97,Forudsætninger!$E$98,IF(G28&lt;=Forudsætninger!$F$97,Forudsætninger!$F$98,IF(G28&lt;=Forudsætninger!$G$97,Forudsætninger!$G$98,IF(G28&lt;=Forudsætninger!$H$97,Forudsætninger!$H$98,IF(G28&lt;=Forudsætninger!$I$97,Forudsætninger!$I$98,Forudsætninger!$I$98))))))))</f>
        <v>1.8</v>
      </c>
      <c r="AG28" s="1">
        <f t="shared" si="14"/>
        <v>2.2000000000000002</v>
      </c>
      <c r="AH28" s="1">
        <f t="shared" si="20"/>
        <v>57.200000000000024</v>
      </c>
      <c r="AI28" s="1">
        <f t="shared" si="9"/>
        <v>2.2000000000000011</v>
      </c>
      <c r="AJ28" s="20">
        <f>+(W28*Forudsætninger!$C$12)</f>
        <v>0</v>
      </c>
      <c r="AK28" s="20">
        <f>Forudsætninger!$C$17</f>
        <v>250</v>
      </c>
      <c r="AL28" s="20">
        <f>IF(A28&lt;92,Forudsætninger!$C$20,Forudsætninger!$C$21)</f>
        <v>4.0072859744990899</v>
      </c>
      <c r="AM28" s="20">
        <f t="shared" si="15"/>
        <v>104.18943533697627</v>
      </c>
      <c r="AN28" s="20">
        <f>IFERROR(AD28+AJ28-AA28-Z28-AK28-AM28-Forudsætninger!$C$75,-99999999)</f>
        <v>-1423.171308805189</v>
      </c>
      <c r="AO28" s="19">
        <f>IFERROR(AN28/(A28+Forudsætninger!$C$74),-99999999)</f>
        <v>-54.737358030968807</v>
      </c>
      <c r="AP28" s="19">
        <f>IFERROR(((365/(A28+Forudsætninger!$C$74))*AN28)/(AI28+Forudsætninger!$C$73),-9999999)</f>
        <v>-8648.9764854128171</v>
      </c>
      <c r="AQ28" s="18">
        <f t="shared" si="10"/>
        <v>26</v>
      </c>
      <c r="AR28" s="18">
        <f t="shared" si="16"/>
        <v>2356.7611249067554</v>
      </c>
      <c r="AS28" s="52">
        <f t="shared" si="1"/>
        <v>2.1</v>
      </c>
      <c r="AT28" s="50">
        <f t="shared" si="21"/>
        <v>1.9418269454376968</v>
      </c>
      <c r="AU28" s="50">
        <f t="shared" si="22"/>
        <v>2.2671673990562624</v>
      </c>
      <c r="AV28" s="2">
        <f t="shared" si="23"/>
        <v>358.23207820585958</v>
      </c>
      <c r="AW28" s="61">
        <f t="shared" si="17"/>
        <v>-50.730072056469723</v>
      </c>
      <c r="BA28" s="16"/>
      <c r="BB28" s="2"/>
    </row>
    <row r="29" spans="1:54" x14ac:dyDescent="0.25">
      <c r="A29">
        <v>27</v>
      </c>
      <c r="B29" s="1">
        <f>ROUND((A29+Forudsætninger!$C$60)/30.4,1)</f>
        <v>2.2000000000000002</v>
      </c>
      <c r="C29" s="1">
        <f>VLOOKUP((A29+Forudsætninger!$C$60),'Model tilvækst, slagteform, fe'!A:B,2,FALSE)</f>
        <v>91.560267753692756</v>
      </c>
      <c r="D29" s="3">
        <f t="shared" si="24"/>
        <v>1127.2965280645481</v>
      </c>
      <c r="E29" s="1">
        <f>(1+Forudsætninger!$C$78)*C29</f>
        <v>85.151049010934258</v>
      </c>
      <c r="F29" s="2">
        <f t="shared" si="25"/>
        <v>7.6787681598634849</v>
      </c>
      <c r="G29" s="1">
        <f t="shared" si="2"/>
        <v>92.829817170797739</v>
      </c>
      <c r="H29" s="3">
        <f t="shared" si="3"/>
        <v>1016.1772988696072</v>
      </c>
      <c r="I29" s="3">
        <f t="shared" si="4"/>
        <v>882.585821140657</v>
      </c>
      <c r="J29" s="1">
        <f>VLOOKUP((A29+Forudsætninger!$C$60),'Model tilvækst, slagteform, fe'!G:K,2,FALSE)*(1+Forudsætninger!$C$79)</f>
        <v>47.007493090072622</v>
      </c>
      <c r="K29" s="17">
        <f t="shared" si="0"/>
        <v>43.636969892089795</v>
      </c>
      <c r="L29" s="17">
        <f t="shared" si="18"/>
        <v>493.86273748106646</v>
      </c>
      <c r="M29" s="3">
        <f>((K29-(('Model tilvækst, slagteform, fe'!$H$9/100)*'Model tilvækst, slagteform, fe'!$B$9))*1000/(A29+Forudsætninger!$C$60))</f>
        <v>351.36463429819543</v>
      </c>
      <c r="N29" s="17">
        <f t="shared" si="11"/>
        <v>59.013796647796902</v>
      </c>
      <c r="O29" s="19">
        <f>IF( A29&lt;Forudsætninger!$C$14,(G29/100)*Forudsætninger!$C$13,(Forudsætninger!$C$15/1000)*Forudsætninger!$C$13)</f>
        <v>0.60339381161018535</v>
      </c>
      <c r="P29" s="17" cm="1">
        <f t="array" ref="P29">INDEX('Model tilvækst, slagteform, fe'!$N$9:$N$375,MATCH(MIN(ABS('Model tilvækst, slagteform, fe'!$M$9:$M$375-'Vækstfunktion, hol'!G29)),ABS('Model tilvækst, slagteform, fe'!$M$9:$M$375-'Vækstfunktion, hol'!G29),0))*(1+Forudsætninger!$C$80)</f>
        <v>2.5774065765273813</v>
      </c>
      <c r="Q29" s="17">
        <f t="shared" si="12"/>
        <v>5.2188723321653576</v>
      </c>
      <c r="R29" s="17">
        <f t="shared" si="13"/>
        <v>5.1239463457555976</v>
      </c>
      <c r="S29" s="17">
        <f t="shared" si="5"/>
        <v>2.4764687124882934</v>
      </c>
      <c r="T29" s="19">
        <f>(P29)*IF(N29&lt;Forudsætninger!$B$228,IF(N29&lt;Forudsætninger!$B$227,Forudsætninger!$B$225,Forudsætninger!$C$9),Forudsætninger!$C$11)+O29</f>
        <v>7.072684318693911</v>
      </c>
      <c r="U29" s="2">
        <f>Forudsætninger!$C$68+((K29-(Forudsætninger!$C$84)))*0.01</f>
        <v>2.1334225579095385</v>
      </c>
      <c r="V29" s="2">
        <f>U29+Forudsætninger!$C$69</f>
        <v>1.1334225579095385</v>
      </c>
      <c r="W29">
        <f t="shared" si="6"/>
        <v>0</v>
      </c>
      <c r="X29">
        <f>IF(A29+Forudsætninger!$C$60&gt;248,IF(A29+Forudsætninger!$C$60&lt;365,IF(K29&gt;180,IF(K29&lt;260,1,0),0),0),0)</f>
        <v>0</v>
      </c>
      <c r="Y29" s="22">
        <f>IF(X29=0,0,IF('Vækstfunktion, hol'!A29&lt;Forudsætninger!$C$66,Forudsætninger!$C$67+(('Vækstfunktion, hol'!A29-Forudsætninger!$C$66)/7)*Forudsætninger!$C$64,Forudsætninger!$C$67))</f>
        <v>0</v>
      </c>
      <c r="Z29" s="19">
        <f t="shared" si="19"/>
        <v>659.64437388847307</v>
      </c>
      <c r="AA29" s="19">
        <f>Forudsætninger!$C$62+Forudsætninger!$C$16</f>
        <v>1350</v>
      </c>
      <c r="AB29" s="19">
        <f>IF(K29&gt;Forudsætninger!$C$26,IF(K29&gt;Forudsætninger!$C$27,IF(K29&gt;Forudsætninger!$C$28,Forudsætninger!$E$28,Forudsætninger!$E$27+Forudsætninger!$F$28*(K29-Forudsætninger!$C$27)),Forudsætninger!$E$26+Forudsætninger!$F$27*(K29-Forudsætninger!$C$26)),Forudsætninger!$E$26)+IF(K29&gt;Forudsætninger!$C$28,Forudsætninger!$G$28,IF(K29&gt;Forudsætninger!$C$27,Forudsætninger!$G$27+Forudsætninger!$H$28*(K29-Forudsætninger!$C$27),IF(K29&gt;Forudsætninger!$C$26,Forudsætninger!$G$26+Forudsætninger!$H$27*(K29-Forudsætninger!$C$26),Forudsætninger!$G$26)))*(U29-Forudsætninger!$H$26)</f>
        <v>32.950066918432157</v>
      </c>
      <c r="AC29" s="19">
        <f>IF(K29&gt;Forudsætninger!$C$31,IF(K29&gt;Forudsætninger!$C$32,IF(K29&gt;Forudsætninger!$C$33,Forudsætninger!$E$33,Forudsætninger!$E$32+Forudsætninger!$F$33*(K29-Forudsætninger!$C$32)),Forudsætninger!$E$31+Forudsætninger!$F$32*(K29-Forudsætninger!$C$31)),Forudsætninger!$E$31)+IF(K29&gt;Forudsætninger!$C$33,Forudsætninger!$G$33,IF(K29&gt;Forudsætninger!$C$32,Forudsætninger!$G$32+Forudsætninger!$H$33*(K29-Forudsætninger!$C$32),IF(K29&gt;Forudsætninger!$C$31,Forudsætninger!$G$31+Forudsætninger!$H$32*(K29-Forudsætninger!$C$31),Forudsætninger!$G$31)))*(V29-Forudsætninger!$H$31)</f>
        <v>25.873449325282401</v>
      </c>
      <c r="AD29" s="19">
        <f t="shared" si="7"/>
        <v>1129.0389292118591</v>
      </c>
      <c r="AE29" s="19">
        <f t="shared" si="8"/>
        <v>25.873449325282401</v>
      </c>
      <c r="AF29">
        <f>IF(G29&lt;=Forudsætninger!$C$97,Forudsætninger!$C$98,(IF(G29&lt;=Forudsætninger!$D$97,Forudsætninger!$D$98,IF(G29&lt;=Forudsætninger!$E$97,Forudsætninger!$E$98,IF(G29&lt;=Forudsætninger!$F$97,Forudsætninger!$F$98,IF(G29&lt;=Forudsætninger!$G$97,Forudsætninger!$G$98,IF(G29&lt;=Forudsætninger!$H$97,Forudsætninger!$H$98,IF(G29&lt;=Forudsætninger!$I$97,Forudsætninger!$I$98,Forudsætninger!$I$98))))))))</f>
        <v>1.8</v>
      </c>
      <c r="AG29" s="1">
        <f t="shared" si="14"/>
        <v>2.2000000000000002</v>
      </c>
      <c r="AH29" s="1">
        <f t="shared" si="20"/>
        <v>59.400000000000027</v>
      </c>
      <c r="AI29" s="1">
        <f t="shared" si="9"/>
        <v>2.2000000000000011</v>
      </c>
      <c r="AJ29" s="20">
        <f>+(W29*Forudsætninger!$C$12)</f>
        <v>0</v>
      </c>
      <c r="AK29" s="20">
        <f>Forudsætninger!$C$17</f>
        <v>250</v>
      </c>
      <c r="AL29" s="20">
        <f>IF(A29&lt;92,Forudsætninger!$C$20,Forudsætninger!$C$21)</f>
        <v>4.0072859744990899</v>
      </c>
      <c r="AM29" s="20">
        <f t="shared" si="15"/>
        <v>108.19672131147536</v>
      </c>
      <c r="AN29" s="20">
        <f>IFERROR(AD29+AJ29-AA29-Z29-AK29-AM29-Forudsætninger!$C$75,-99999999)</f>
        <v>-1421.1963585374838</v>
      </c>
      <c r="AO29" s="19">
        <f>IFERROR(AN29/(A29+Forudsætninger!$C$74),-99999999)</f>
        <v>-52.636902168054952</v>
      </c>
      <c r="AP29" s="19">
        <f>IFERROR(((365/(A29+Forudsætninger!$C$74))*AN29)/(AI29+Forudsætninger!$C$73),-9999999)</f>
        <v>-8317.0862733073809</v>
      </c>
      <c r="AQ29" s="18">
        <f t="shared" si="10"/>
        <v>27</v>
      </c>
      <c r="AR29" s="18">
        <f t="shared" si="16"/>
        <v>2367.8410951999485</v>
      </c>
      <c r="AS29" s="52">
        <f t="shared" si="1"/>
        <v>2.2000000000000002</v>
      </c>
      <c r="AT29" s="50">
        <f t="shared" si="21"/>
        <v>1.9749502677052533</v>
      </c>
      <c r="AU29" s="50">
        <f t="shared" si="22"/>
        <v>2.1004558629138543</v>
      </c>
      <c r="AV29" s="2">
        <f t="shared" si="23"/>
        <v>331.89021210543615</v>
      </c>
      <c r="AW29" s="61">
        <f t="shared" si="17"/>
        <v>-48.629616193555869</v>
      </c>
      <c r="BA29" s="16"/>
      <c r="BB29" s="2"/>
    </row>
    <row r="30" spans="1:54" x14ac:dyDescent="0.25">
      <c r="A30">
        <v>28</v>
      </c>
      <c r="B30" s="1">
        <f>ROUND((A30+Forudsætninger!$C$60)/30.4,1)</f>
        <v>2.2000000000000002</v>
      </c>
      <c r="C30" s="1">
        <f>VLOOKUP((A30+Forudsætninger!$C$60),'Model tilvækst, slagteform, fe'!A:B,2,FALSE)</f>
        <v>92.697767234793275</v>
      </c>
      <c r="D30" s="3">
        <f t="shared" si="24"/>
        <v>1137.4994811005195</v>
      </c>
      <c r="E30" s="1">
        <f>(1+Forudsætninger!$C$78)*C30</f>
        <v>86.208923528357744</v>
      </c>
      <c r="F30" s="2">
        <f t="shared" si="25"/>
        <v>7.6462681746891841</v>
      </c>
      <c r="G30" s="1">
        <f t="shared" si="2"/>
        <v>93.855191703046927</v>
      </c>
      <c r="H30" s="3">
        <f t="shared" si="3"/>
        <v>1025.3745322491882</v>
      </c>
      <c r="I30" s="3">
        <f t="shared" si="4"/>
        <v>887.68541796596162</v>
      </c>
      <c r="J30" s="1">
        <f>VLOOKUP((A30+Forudsætninger!$C$60),'Model tilvækst, slagteform, fe'!G:K,2,FALSE)*(1+Forudsætninger!$C$79)</f>
        <v>47.025179743059844</v>
      </c>
      <c r="K30" s="17">
        <f t="shared" si="0"/>
        <v>44.135572596551206</v>
      </c>
      <c r="L30" s="17">
        <f t="shared" si="18"/>
        <v>498.60270446141186</v>
      </c>
      <c r="M30" s="3">
        <f>((K30-(('Model tilvækst, slagteform, fe'!$H$9/100)*'Model tilvækst, slagteform, fe'!$B$9))*1000/(A30+Forudsætninger!$C$60))</f>
        <v>353.56221743495985</v>
      </c>
      <c r="N30" s="17">
        <f t="shared" si="11"/>
        <v>61.628406192082323</v>
      </c>
      <c r="O30" s="19">
        <f>IF( A30&lt;Forudsætninger!$C$14,(G30/100)*Forudsætninger!$C$13,(Forudsætninger!$C$15/1000)*Forudsætninger!$C$13)</f>
        <v>0.61005874606980504</v>
      </c>
      <c r="P30" s="17" cm="1">
        <f t="array" ref="P30">INDEX('Model tilvækst, slagteform, fe'!$N$9:$N$375,MATCH(MIN(ABS('Model tilvækst, slagteform, fe'!$M$9:$M$375-'Vækstfunktion, hol'!G30)),ABS('Model tilvækst, slagteform, fe'!$M$9:$M$375-'Vækstfunktion, hol'!G30),0))*(1+Forudsætninger!$C$80)</f>
        <v>2.6146095442854218</v>
      </c>
      <c r="Q30" s="17">
        <f t="shared" si="12"/>
        <v>5.2438735708618145</v>
      </c>
      <c r="R30" s="17">
        <f t="shared" si="13"/>
        <v>5.1289227727630715</v>
      </c>
      <c r="S30" s="17">
        <f t="shared" si="5"/>
        <v>2.4794983248722025</v>
      </c>
      <c r="T30" s="19">
        <f>(P30)*IF(N30&lt;Forudsætninger!$B$228,IF(N30&lt;Forudsætninger!$B$227,Forudsætninger!$B$225,Forudsætninger!$C$9),Forudsætninger!$C$11)+O30</f>
        <v>7.1727287022262125</v>
      </c>
      <c r="U30" s="2">
        <f>Forudsætninger!$C$68+((K30-(Forudsætninger!$C$84)))*0.01</f>
        <v>2.1384085849541523</v>
      </c>
      <c r="V30" s="2">
        <f>U30+Forudsætninger!$C$69</f>
        <v>1.1384085849541523</v>
      </c>
      <c r="W30">
        <f t="shared" si="6"/>
        <v>0</v>
      </c>
      <c r="X30">
        <f>IF(A30+Forudsætninger!$C$60&gt;248,IF(A30+Forudsætninger!$C$60&lt;365,IF(K30&gt;180,IF(K30&lt;260,1,0),0),0),0)</f>
        <v>0</v>
      </c>
      <c r="Y30" s="22">
        <f>IF(X30=0,0,IF('Vækstfunktion, hol'!A30&lt;Forudsætninger!$C$66,Forudsætninger!$C$67+(('Vækstfunktion, hol'!A30-Forudsætninger!$C$66)/7)*Forudsætninger!$C$64,Forudsætninger!$C$67))</f>
        <v>0</v>
      </c>
      <c r="Z30" s="19">
        <f t="shared" si="19"/>
        <v>666.81710259069928</v>
      </c>
      <c r="AA30" s="19">
        <f>Forudsætninger!$C$62+Forudsætninger!$C$16</f>
        <v>1350</v>
      </c>
      <c r="AB30" s="19">
        <f>IF(K30&gt;Forudsætninger!$C$26,IF(K30&gt;Forudsætninger!$C$27,IF(K30&gt;Forudsætninger!$C$28,Forudsætninger!$E$28,Forudsætninger!$E$27+Forudsætninger!$F$28*(K30-Forudsætninger!$C$27)),Forudsætninger!$E$26+Forudsætninger!$F$27*(K30-Forudsætninger!$C$26)),Forudsætninger!$E$26)+IF(K30&gt;Forudsætninger!$C$28,Forudsætninger!$G$28,IF(K30&gt;Forudsætninger!$C$27,Forudsætninger!$G$27+Forudsætninger!$H$28*(K30-Forudsætninger!$C$27),IF(K30&gt;Forudsætninger!$C$26,Forudsætninger!$G$26+Forudsætninger!$H$27*(K30-Forudsætninger!$C$26),Forudsætninger!$G$26)))*(U30-Forudsætninger!$H$26)</f>
        <v>32.953806438715617</v>
      </c>
      <c r="AC30" s="19">
        <f>IF(K30&gt;Forudsætninger!$C$31,IF(K30&gt;Forudsætninger!$C$32,IF(K30&gt;Forudsætninger!$C$33,Forudsætninger!$E$33,Forudsætninger!$E$32+Forudsætninger!$F$33*(K30-Forudsætninger!$C$32)),Forudsætninger!$E$31+Forudsætninger!$F$32*(K30-Forudsætninger!$C$31)),Forudsætninger!$E$31)+IF(K30&gt;Forudsætninger!$C$33,Forudsætninger!$G$33,IF(K30&gt;Forudsætninger!$C$32,Forudsætninger!$G$32+Forudsætninger!$H$33*(K30-Forudsætninger!$C$32),IF(K30&gt;Forudsætninger!$C$31,Forudsætninger!$G$31+Forudsætninger!$H$32*(K30-Forudsætninger!$C$31),Forudsætninger!$G$31)))*(V30-Forudsætninger!$H$31)</f>
        <v>25.879931160440396</v>
      </c>
      <c r="AD30" s="19">
        <f t="shared" si="7"/>
        <v>1142.2255805253649</v>
      </c>
      <c r="AE30" s="19">
        <f t="shared" si="8"/>
        <v>25.879931160440396</v>
      </c>
      <c r="AF30">
        <f>IF(G30&lt;=Forudsætninger!$C$97,Forudsætninger!$C$98,(IF(G30&lt;=Forudsætninger!$D$97,Forudsætninger!$D$98,IF(G30&lt;=Forudsætninger!$E$97,Forudsætninger!$E$98,IF(G30&lt;=Forudsætninger!$F$97,Forudsætninger!$F$98,IF(G30&lt;=Forudsætninger!$G$97,Forudsætninger!$G$98,IF(G30&lt;=Forudsætninger!$H$97,Forudsætninger!$H$98,IF(G30&lt;=Forudsætninger!$I$97,Forudsætninger!$I$98,Forudsætninger!$I$98))))))))</f>
        <v>1.8</v>
      </c>
      <c r="AG30" s="1">
        <f t="shared" si="14"/>
        <v>2.2000000000000002</v>
      </c>
      <c r="AH30" s="1">
        <f t="shared" si="20"/>
        <v>61.60000000000003</v>
      </c>
      <c r="AI30" s="1">
        <f t="shared" si="9"/>
        <v>2.2000000000000011</v>
      </c>
      <c r="AJ30" s="20">
        <f>+(W30*Forudsætninger!$C$12)</f>
        <v>0</v>
      </c>
      <c r="AK30" s="20">
        <f>Forudsætninger!$C$17</f>
        <v>250</v>
      </c>
      <c r="AL30" s="20">
        <f>IF(A30&lt;92,Forudsætninger!$C$20,Forudsætninger!$C$21)</f>
        <v>4.0072859744990899</v>
      </c>
      <c r="AM30" s="20">
        <f t="shared" si="15"/>
        <v>112.20400728597444</v>
      </c>
      <c r="AN30" s="20">
        <f>IFERROR(AD30+AJ30-AA30-Z30-AK30-AM30-Forudsætninger!$C$75,-99999999)</f>
        <v>-1419.1897219007035</v>
      </c>
      <c r="AO30" s="19">
        <f>IFERROR(AN30/(A30+Forudsætninger!$C$74),-99999999)</f>
        <v>-50.685347210739408</v>
      </c>
      <c r="AP30" s="19">
        <f>IFERROR(((365/(A30+Forudsætninger!$C$74))*AN30)/(AI30+Forudsætninger!$C$73),-9999999)</f>
        <v>-8008.7236934718094</v>
      </c>
      <c r="AQ30" s="18">
        <f t="shared" si="10"/>
        <v>28</v>
      </c>
      <c r="AR30" s="18">
        <f t="shared" si="16"/>
        <v>2379.021109876674</v>
      </c>
      <c r="AS30" s="52">
        <f t="shared" si="1"/>
        <v>2.2000000000000002</v>
      </c>
      <c r="AT30" s="50">
        <f t="shared" si="21"/>
        <v>2.0066366367802857</v>
      </c>
      <c r="AU30" s="50">
        <f t="shared" si="22"/>
        <v>1.951554957315544</v>
      </c>
      <c r="AV30" s="2">
        <f t="shared" si="23"/>
        <v>308.36257983557152</v>
      </c>
      <c r="AW30" s="61">
        <f t="shared" si="17"/>
        <v>-46.678061236240318</v>
      </c>
      <c r="BA30" s="16"/>
      <c r="BB30" s="2"/>
    </row>
    <row r="31" spans="1:54" x14ac:dyDescent="0.25">
      <c r="A31">
        <v>29</v>
      </c>
      <c r="B31" s="1">
        <f>ROUND((A31+Forudsætninger!$C$60)/30.4,1)</f>
        <v>2.2000000000000002</v>
      </c>
      <c r="C31" s="1">
        <f>VLOOKUP((A31+Forudsætninger!$C$60),'Model tilvækst, slagteform, fe'!A:B,2,FALSE)</f>
        <v>93.84534529007955</v>
      </c>
      <c r="D31" s="3">
        <f t="shared" si="24"/>
        <v>1147.5780552862743</v>
      </c>
      <c r="E31" s="1">
        <f>(1+Forudsætninger!$C$78)*C31</f>
        <v>87.276171119773977</v>
      </c>
      <c r="F31" s="2">
        <f t="shared" si="25"/>
        <v>7.6134802302524331</v>
      </c>
      <c r="G31" s="1">
        <f t="shared" si="2"/>
        <v>94.889651350026412</v>
      </c>
      <c r="H31" s="3">
        <f t="shared" si="3"/>
        <v>1034.4596469794851</v>
      </c>
      <c r="I31" s="3">
        <f t="shared" si="4"/>
        <v>892.74659827677283</v>
      </c>
      <c r="J31" s="1">
        <f>VLOOKUP((A31+Forudsætninger!$C$60),'Model tilvækst, slagteform, fe'!G:K,2,FALSE)*(1+Forudsætninger!$C$79)</f>
        <v>47.042925164514628</v>
      </c>
      <c r="K31" s="17">
        <f t="shared" si="0"/>
        <v>44.638867673461768</v>
      </c>
      <c r="L31" s="17">
        <f t="shared" si="18"/>
        <v>503.29507691056108</v>
      </c>
      <c r="M31" s="3">
        <f>((K31-(('Model tilvækst, slagteform, fe'!$H$9/100)*'Model tilvækst, slagteform, fe'!$B$9))*1000/(A31+Forudsætninger!$C$60))</f>
        <v>355.76417125077757</v>
      </c>
      <c r="N31" s="17">
        <f t="shared" si="11"/>
        <v>64.280333029438182</v>
      </c>
      <c r="O31" s="19">
        <f>IF( A31&lt;Forudsætninger!$C$14,(G31/100)*Forudsætninger!$C$13,(Forudsætninger!$C$15/1000)*Forudsætninger!$C$13)</f>
        <v>0.61678273377517168</v>
      </c>
      <c r="P31" s="17" cm="1">
        <f t="array" ref="P31">INDEX('Model tilvækst, slagteform, fe'!$N$9:$N$375,MATCH(MIN(ABS('Model tilvækst, slagteform, fe'!$M$9:$M$375-'Vækstfunktion, hol'!G31)),ABS('Model tilvækst, slagteform, fe'!$M$9:$M$375-'Vækstfunktion, hol'!G31),0))*(1+Forudsætninger!$C$80)</f>
        <v>2.6519268373558629</v>
      </c>
      <c r="Q31" s="17">
        <f>P31/(L31/1000)</f>
        <v>5.2691293021074559</v>
      </c>
      <c r="R31" s="17">
        <f t="shared" si="13"/>
        <v>5.1345593567417884</v>
      </c>
      <c r="S31" s="17">
        <f t="shared" si="5"/>
        <v>2.482858195360464</v>
      </c>
      <c r="T31" s="19">
        <f>(P31)*IF(N31&lt;Forudsætninger!$B$228,IF(N31&lt;Forudsætninger!$B$227,Forudsætninger!$B$225,Forudsætninger!$C$9),Forudsætninger!$C$11)+O31</f>
        <v>7.2731190955383873</v>
      </c>
      <c r="U31" s="2">
        <f>Forudsætninger!$C$68+((K31-(Forudsætninger!$C$84)))*0.01</f>
        <v>2.1434415357232579</v>
      </c>
      <c r="V31" s="2">
        <f>U31+Forudsætninger!$C$69</f>
        <v>1.1434415357232579</v>
      </c>
      <c r="W31">
        <f t="shared" si="6"/>
        <v>0</v>
      </c>
      <c r="X31">
        <f>IF(A31+Forudsætninger!$C$60&gt;248,IF(A31+Forudsætninger!$C$60&lt;365,IF(K31&gt;180,IF(K31&lt;260,1,0),0),0),0)</f>
        <v>0</v>
      </c>
      <c r="Y31" s="22">
        <f>IF(X31=0,0,IF('Vækstfunktion, hol'!A31&lt;Forudsætninger!$C$66,Forudsætninger!$C$67+(('Vækstfunktion, hol'!A31-Forudsætninger!$C$66)/7)*Forudsætninger!$C$64,Forudsætninger!$C$67))</f>
        <v>0</v>
      </c>
      <c r="Z31" s="19">
        <f t="shared" si="19"/>
        <v>674.09022168623767</v>
      </c>
      <c r="AA31" s="19">
        <f>Forudsætninger!$C$62+Forudsætninger!$C$16</f>
        <v>1350</v>
      </c>
      <c r="AB31" s="19">
        <f>IF(K31&gt;Forudsætninger!$C$26,IF(K31&gt;Forudsætninger!$C$27,IF(K31&gt;Forudsætninger!$C$28,Forudsætninger!$E$28,Forudsætninger!$E$27+Forudsætninger!$F$28*(K31-Forudsætninger!$C$27)),Forudsætninger!$E$26+Forudsætninger!$F$27*(K31-Forudsætninger!$C$26)),Forudsætninger!$E$26)+IF(K31&gt;Forudsætninger!$C$28,Forudsætninger!$G$28,IF(K31&gt;Forudsætninger!$C$27,Forudsætninger!$G$27+Forudsætninger!$H$28*(K31-Forudsætninger!$C$27),IF(K31&gt;Forudsætninger!$C$26,Forudsætninger!$G$26+Forudsætninger!$H$27*(K31-Forudsætninger!$C$26),Forudsætninger!$G$26)))*(U31-Forudsætninger!$H$26)</f>
        <v>32.957581151792446</v>
      </c>
      <c r="AC31" s="19">
        <f>IF(K31&gt;Forudsætninger!$C$31,IF(K31&gt;Forudsætninger!$C$32,IF(K31&gt;Forudsætninger!$C$33,Forudsætninger!$E$33,Forudsætninger!$E$32+Forudsætninger!$F$33*(K31-Forudsætninger!$C$32)),Forudsætninger!$E$31+Forudsætninger!$F$32*(K31-Forudsætninger!$C$31)),Forudsætninger!$E$31)+IF(K31&gt;Forudsætninger!$C$33,Forudsætninger!$G$33,IF(K31&gt;Forudsætninger!$C$32,Forudsætninger!$G$32+Forudsætninger!$H$33*(K31-Forudsætninger!$C$32),IF(K31&gt;Forudsætninger!$C$31,Forudsætninger!$G$31+Forudsætninger!$H$32*(K31-Forudsætninger!$C$31),Forudsætninger!$G$31)))*(V31-Forudsætninger!$H$31)</f>
        <v>25.886473996440234</v>
      </c>
      <c r="AD31" s="19">
        <f t="shared" si="7"/>
        <v>1155.5428872596046</v>
      </c>
      <c r="AE31" s="19">
        <f t="shared" si="8"/>
        <v>25.886473996440234</v>
      </c>
      <c r="AF31">
        <f>IF(G31&lt;=Forudsætninger!$C$97,Forudsætninger!$C$98,(IF(G31&lt;=Forudsætninger!$D$97,Forudsætninger!$D$98,IF(G31&lt;=Forudsætninger!$E$97,Forudsætninger!$E$98,IF(G31&lt;=Forudsætninger!$F$97,Forudsætninger!$F$98,IF(G31&lt;=Forudsætninger!$G$97,Forudsætninger!$G$98,IF(G31&lt;=Forudsætninger!$H$97,Forudsætninger!$H$98,IF(G31&lt;=Forudsætninger!$I$97,Forudsætninger!$I$98,Forudsætninger!$I$98))))))))</f>
        <v>1.8</v>
      </c>
      <c r="AG31" s="1">
        <f t="shared" si="14"/>
        <v>2.2000000000000002</v>
      </c>
      <c r="AH31" s="1">
        <f t="shared" si="20"/>
        <v>63.800000000000033</v>
      </c>
      <c r="AI31" s="1">
        <f t="shared" si="9"/>
        <v>2.2000000000000011</v>
      </c>
      <c r="AJ31" s="20">
        <f>+(W31*Forudsætninger!$C$12)</f>
        <v>0</v>
      </c>
      <c r="AK31" s="20">
        <f>Forudsætninger!$C$17</f>
        <v>250</v>
      </c>
      <c r="AL31" s="20">
        <f>IF(A31&lt;92,Forudsætninger!$C$20,Forudsætninger!$C$21)</f>
        <v>4.0072859744990899</v>
      </c>
      <c r="AM31" s="20">
        <f t="shared" si="15"/>
        <v>116.21129326047352</v>
      </c>
      <c r="AN31" s="20">
        <f>IFERROR(AD31+AJ31-AA31-Z31-AK31-AM31-Forudsætninger!$C$75,-99999999)</f>
        <v>-1417.1528202365009</v>
      </c>
      <c r="AO31" s="19">
        <f>IFERROR(AN31/(A31+Forudsætninger!$C$74),-99999999)</f>
        <v>-48.867338628844863</v>
      </c>
      <c r="AP31" s="19">
        <f>IFERROR(((365/(A31+Forudsætninger!$C$74))*AN31)/(AI31+Forudsætninger!$C$73),-9999999)</f>
        <v>-7721.4625971984269</v>
      </c>
      <c r="AQ31" s="18">
        <f t="shared" si="10"/>
        <v>29</v>
      </c>
      <c r="AR31" s="18">
        <f t="shared" si="16"/>
        <v>2390.3015149467114</v>
      </c>
      <c r="AS31" s="52">
        <f t="shared" si="1"/>
        <v>2.2000000000000002</v>
      </c>
      <c r="AT31" s="50">
        <f t="shared" si="21"/>
        <v>2.0369016642025599</v>
      </c>
      <c r="AU31" s="50">
        <f t="shared" si="22"/>
        <v>1.8180085818945457</v>
      </c>
      <c r="AV31" s="2">
        <f t="shared" si="23"/>
        <v>287.26109627338246</v>
      </c>
      <c r="AW31" s="61">
        <f t="shared" si="17"/>
        <v>-44.860052654345779</v>
      </c>
      <c r="BA31" s="16"/>
      <c r="BB31" s="2"/>
    </row>
    <row r="32" spans="1:54" x14ac:dyDescent="0.25">
      <c r="A32">
        <v>30</v>
      </c>
      <c r="B32" s="1">
        <f>ROUND((A32+Forudsætninger!$C$60)/30.4,1)</f>
        <v>2.2999999999999998</v>
      </c>
      <c r="C32" s="1">
        <f>VLOOKUP((A32+Forudsætninger!$C$60),'Model tilvækst, slagteform, fe'!A:B,2,FALSE)</f>
        <v>95.002878075048741</v>
      </c>
      <c r="D32" s="3">
        <f t="shared" si="24"/>
        <v>1157.5327849691917</v>
      </c>
      <c r="E32" s="1">
        <f>(1+Forudsætninger!$C$78)*C32</f>
        <v>88.352676609795324</v>
      </c>
      <c r="F32" s="2">
        <f t="shared" si="25"/>
        <v>7.580407864967599</v>
      </c>
      <c r="G32" s="1">
        <f t="shared" si="2"/>
        <v>95.933084474762921</v>
      </c>
      <c r="H32" s="3">
        <f t="shared" si="3"/>
        <v>1043.4331247365094</v>
      </c>
      <c r="I32" s="3">
        <f t="shared" si="4"/>
        <v>897.76948249209738</v>
      </c>
      <c r="J32" s="1">
        <f>VLOOKUP((A32+Forudsætninger!$C$60),'Model tilvækst, slagteform, fe'!G:K,2,FALSE)*(1+Forudsætninger!$C$79)</f>
        <v>47.060727678784083</v>
      </c>
      <c r="K32" s="17">
        <f t="shared" si="0"/>
        <v>45.14680763852607</v>
      </c>
      <c r="L32" s="17">
        <f t="shared" si="18"/>
        <v>507.93996506430261</v>
      </c>
      <c r="M32" s="3">
        <f>((K32-(('Model tilvækst, slagteform, fe'!$H$9/100)*'Model tilvækst, slagteform, fe'!$B$9))*1000/(A32+Forudsætninger!$C$60))</f>
        <v>357.96961753793011</v>
      </c>
      <c r="N32" s="17">
        <f t="shared" si="11"/>
        <v>66.932259866794041</v>
      </c>
      <c r="O32" s="19">
        <f>IF( A32&lt;Forudsætninger!$C$14,(G32/100)*Forudsætninger!$C$13,(Forudsætninger!$C$15/1000)*Forudsætninger!$C$13)</f>
        <v>0.623565049085959</v>
      </c>
      <c r="P32" s="17" cm="1">
        <f t="array" ref="P32">INDEX('Model tilvækst, slagteform, fe'!$N$9:$N$375,MATCH(MIN(ABS('Model tilvækst, slagteform, fe'!$M$9:$M$375-'Vækstfunktion, hol'!G32)),ABS('Model tilvækst, slagteform, fe'!$M$9:$M$375-'Vækstfunktion, hol'!G32),0))*(1+Forudsætninger!$C$80)</f>
        <v>2.6519268373558629</v>
      </c>
      <c r="Q32" s="17">
        <f t="shared" si="12"/>
        <v>5.2209454261393713</v>
      </c>
      <c r="R32" s="17">
        <f t="shared" si="13"/>
        <v>5.1379276398991109</v>
      </c>
      <c r="S32" s="17">
        <f t="shared" si="5"/>
        <v>2.4851316205357579</v>
      </c>
      <c r="T32" s="19">
        <f>(P32)*IF(N32&lt;Forudsætninger!$B$228,IF(N32&lt;Forudsætninger!$B$227,Forudsætninger!$B$225,Forudsætninger!$C$9),Forudsætninger!$C$11)+O32</f>
        <v>7.279901410849174</v>
      </c>
      <c r="U32" s="2">
        <f>Forudsætninger!$C$68+((K32-(Forudsætninger!$C$84)))*0.01</f>
        <v>2.148520935373901</v>
      </c>
      <c r="V32" s="2">
        <f>U32+Forudsætninger!$C$69</f>
        <v>1.148520935373901</v>
      </c>
      <c r="W32">
        <f t="shared" si="6"/>
        <v>0</v>
      </c>
      <c r="X32">
        <f>IF(A32+Forudsætninger!$C$60&gt;248,IF(A32+Forudsætninger!$C$60&lt;365,IF(K32&gt;180,IF(K32&lt;260,1,0),0),0),0)</f>
        <v>0</v>
      </c>
      <c r="Y32" s="22">
        <f>IF(X32=0,0,IF('Vækstfunktion, hol'!A32&lt;Forudsætninger!$C$66,Forudsætninger!$C$67+(('Vækstfunktion, hol'!A32-Forudsætninger!$C$66)/7)*Forudsætninger!$C$64,Forudsætninger!$C$67))</f>
        <v>0</v>
      </c>
      <c r="Z32" s="19">
        <f t="shared" si="19"/>
        <v>681.37012309708689</v>
      </c>
      <c r="AA32" s="19">
        <f>Forudsætninger!$C$62+Forudsætninger!$C$16</f>
        <v>1350</v>
      </c>
      <c r="AB32" s="19">
        <f>IF(K32&gt;Forudsætninger!$C$26,IF(K32&gt;Forudsætninger!$C$27,IF(K32&gt;Forudsætninger!$C$28,Forudsætninger!$E$28,Forudsætninger!$E$27+Forudsætninger!$F$28*(K32-Forudsætninger!$C$27)),Forudsætninger!$E$26+Forudsætninger!$F$27*(K32-Forudsætninger!$C$26)),Forudsætninger!$E$26)+IF(K32&gt;Forudsætninger!$C$28,Forudsætninger!$G$28,IF(K32&gt;Forudsætninger!$C$27,Forudsætninger!$G$27+Forudsætninger!$H$28*(K32-Forudsætninger!$C$27),IF(K32&gt;Forudsætninger!$C$26,Forudsætninger!$G$26+Forudsætninger!$H$27*(K32-Forudsætninger!$C$26),Forudsætninger!$G$26)))*(U32-Forudsætninger!$H$26)</f>
        <v>32.961390701530426</v>
      </c>
      <c r="AC32" s="19">
        <f>IF(K32&gt;Forudsætninger!$C$31,IF(K32&gt;Forudsætninger!$C$32,IF(K32&gt;Forudsætninger!$C$33,Forudsætninger!$E$33,Forudsætninger!$E$32+Forudsætninger!$F$33*(K32-Forudsætninger!$C$32)),Forudsætninger!$E$31+Forudsætninger!$F$32*(K32-Forudsætninger!$C$31)),Forudsætninger!$E$31)+IF(K32&gt;Forudsætninger!$C$33,Forudsætninger!$G$33,IF(K32&gt;Forudsætninger!$C$32,Forudsætninger!$G$32+Forudsætninger!$H$33*(K32-Forudsætninger!$C$32),IF(K32&gt;Forudsætninger!$C$31,Forudsætninger!$G$31+Forudsætninger!$H$32*(K32-Forudsætninger!$C$31),Forudsætninger!$G$31)))*(V32-Forudsætninger!$H$31)</f>
        <v>25.893077215986072</v>
      </c>
      <c r="AD32" s="19">
        <f t="shared" si="7"/>
        <v>1168.9897762396254</v>
      </c>
      <c r="AE32" s="19">
        <f t="shared" si="8"/>
        <v>25.893077215986072</v>
      </c>
      <c r="AF32">
        <f>IF(G32&lt;=Forudsætninger!$C$97,Forudsætninger!$C$98,(IF(G32&lt;=Forudsætninger!$D$97,Forudsætninger!$D$98,IF(G32&lt;=Forudsætninger!$E$97,Forudsætninger!$E$98,IF(G32&lt;=Forudsætninger!$F$97,Forudsætninger!$F$98,IF(G32&lt;=Forudsætninger!$G$97,Forudsætninger!$G$98,IF(G32&lt;=Forudsætninger!$H$97,Forudsætninger!$H$98,IF(G32&lt;=Forudsætninger!$I$97,Forudsætninger!$I$98,Forudsætninger!$I$98))))))))</f>
        <v>1.8</v>
      </c>
      <c r="AG32" s="1">
        <f t="shared" si="14"/>
        <v>2.2000000000000002</v>
      </c>
      <c r="AH32" s="1">
        <f t="shared" si="20"/>
        <v>66.000000000000028</v>
      </c>
      <c r="AI32" s="1">
        <f t="shared" si="9"/>
        <v>2.2000000000000011</v>
      </c>
      <c r="AJ32" s="20">
        <f>+(W32*Forudsætninger!$C$12)</f>
        <v>0</v>
      </c>
      <c r="AK32" s="20">
        <f>Forudsætninger!$C$17</f>
        <v>250</v>
      </c>
      <c r="AL32" s="20">
        <f>IF(A32&lt;92,Forudsætninger!$C$20,Forudsætninger!$C$21)</f>
        <v>4.0072859744990899</v>
      </c>
      <c r="AM32" s="20">
        <f t="shared" si="15"/>
        <v>120.21857923497261</v>
      </c>
      <c r="AN32" s="20">
        <f>IFERROR(AD32+AJ32-AA32-Z32-AK32-AM32-Forudsætninger!$C$75,-99999999)</f>
        <v>-1414.9931186418287</v>
      </c>
      <c r="AO32" s="19">
        <f>IFERROR(AN32/(A32+Forudsætninger!$C$74),-99999999)</f>
        <v>-47.166437288060955</v>
      </c>
      <c r="AP32" s="19">
        <f>IFERROR(((365/(A32+Forudsætninger!$C$74))*AN32)/(AI32+Forudsætninger!$C$73),-9999999)</f>
        <v>-7452.705458936035</v>
      </c>
      <c r="AQ32" s="18">
        <f t="shared" si="10"/>
        <v>30</v>
      </c>
      <c r="AR32" s="18">
        <f t="shared" si="16"/>
        <v>2401.5887023320597</v>
      </c>
      <c r="AS32" s="52">
        <f t="shared" si="1"/>
        <v>2.2999999999999998</v>
      </c>
      <c r="AT32" s="50">
        <f t="shared" si="21"/>
        <v>2.1597015946722422</v>
      </c>
      <c r="AU32" s="50">
        <f t="shared" si="22"/>
        <v>1.7009013407839078</v>
      </c>
      <c r="AV32" s="2">
        <f t="shared" si="23"/>
        <v>268.75713826239189</v>
      </c>
      <c r="AW32" s="61">
        <f t="shared" si="17"/>
        <v>-43.159151313561871</v>
      </c>
      <c r="BA32" s="16"/>
      <c r="BB32" s="2"/>
    </row>
    <row r="33" spans="1:54" x14ac:dyDescent="0.25">
      <c r="A33">
        <v>31</v>
      </c>
      <c r="B33" s="1">
        <f>ROUND((A33+Forudsætninger!$C$60)/30.4,1)</f>
        <v>2.2999999999999998</v>
      </c>
      <c r="C33" s="1">
        <f>VLOOKUP((A33+Forudsætninger!$C$60),'Model tilvækst, slagteform, fe'!A:B,2,FALSE)</f>
        <v>96.170242279545477</v>
      </c>
      <c r="D33" s="3">
        <f t="shared" si="24"/>
        <v>1167.3642044967351</v>
      </c>
      <c r="E33" s="1">
        <f>(1+Forudsætninger!$C$78)*C33</f>
        <v>89.438325319977281</v>
      </c>
      <c r="F33" s="2">
        <f t="shared" si="25"/>
        <v>7.5470546019819782</v>
      </c>
      <c r="G33" s="1">
        <f t="shared" si="2"/>
        <v>96.985379921959264</v>
      </c>
      <c r="H33" s="3">
        <f t="shared" si="3"/>
        <v>1052.295447196343</v>
      </c>
      <c r="I33" s="3">
        <f t="shared" si="4"/>
        <v>902.75419103094407</v>
      </c>
      <c r="J33" s="1">
        <f>VLOOKUP((A33+Forudsætninger!$C$60),'Model tilvækst, slagteform, fe'!G:K,2,FALSE)*(1+Forudsætninger!$C$79)</f>
        <v>47.078585610215377</v>
      </c>
      <c r="K33" s="17">
        <f t="shared" si="0"/>
        <v>45.659345115952227</v>
      </c>
      <c r="L33" s="17">
        <f t="shared" si="18"/>
        <v>512.53747742615724</v>
      </c>
      <c r="M33" s="3">
        <f>((K33-(('Model tilvækst, slagteform, fe'!$H$9/100)*'Model tilvækst, slagteform, fe'!$B$9))*1000/(A33+Forudsætninger!$C$60))</f>
        <v>360.17772982204758</v>
      </c>
      <c r="N33" s="17">
        <f t="shared" si="11"/>
        <v>69.621613291550105</v>
      </c>
      <c r="O33" s="19">
        <f>IF( A33&lt;Forudsætninger!$C$14,(G33/100)*Forudsætninger!$C$13,(Forudsætninger!$C$15/1000)*Forudsætninger!$C$13)</f>
        <v>0.63040496949273528</v>
      </c>
      <c r="P33" s="17" cm="1">
        <f t="array" ref="P33">INDEX('Model tilvækst, slagteform, fe'!$N$9:$N$375,MATCH(MIN(ABS('Model tilvækst, slagteform, fe'!$M$9:$M$375-'Vækstfunktion, hol'!G33)),ABS('Model tilvækst, slagteform, fe'!$M$9:$M$375-'Vækstfunktion, hol'!G33),0))*(1+Forudsætninger!$C$80)</f>
        <v>2.6893534247560664</v>
      </c>
      <c r="Q33" s="17">
        <f t="shared" si="12"/>
        <v>5.24713517197097</v>
      </c>
      <c r="R33" s="17">
        <f t="shared" si="13"/>
        <v>5.1420616488858268</v>
      </c>
      <c r="S33" s="17">
        <f t="shared" si="5"/>
        <v>2.4877851751771352</v>
      </c>
      <c r="T33" s="19">
        <f>(P33)*IF(N33&lt;Forudsætninger!$B$228,IF(N33&lt;Forudsætninger!$B$227,Forudsætninger!$B$225,Forudsætninger!$C$9),Forudsætninger!$C$11)+O33</f>
        <v>7.3806820656304613</v>
      </c>
      <c r="U33" s="2">
        <f>Forudsætninger!$C$68+((K33-(Forudsætninger!$C$84)))*0.01</f>
        <v>2.1536463101481624</v>
      </c>
      <c r="V33" s="2">
        <f>U33+Forudsætninger!$C$69</f>
        <v>1.1536463101481624</v>
      </c>
      <c r="W33">
        <f t="shared" si="6"/>
        <v>0</v>
      </c>
      <c r="X33">
        <f>IF(A33+Forudsætninger!$C$60&gt;248,IF(A33+Forudsætninger!$C$60&lt;365,IF(K33&gt;180,IF(K33&lt;260,1,0),0),0),0)</f>
        <v>0</v>
      </c>
      <c r="Y33" s="22">
        <f>IF(X33=0,0,IF('Vækstfunktion, hol'!A33&lt;Forudsætninger!$C$66,Forudsætninger!$C$67+(('Vækstfunktion, hol'!A33-Forudsætninger!$C$66)/7)*Forudsætninger!$C$64,Forudsætninger!$C$67))</f>
        <v>0</v>
      </c>
      <c r="Z33" s="19">
        <f t="shared" si="19"/>
        <v>688.75080516271737</v>
      </c>
      <c r="AA33" s="19">
        <f>Forudsætninger!$C$62+Forudsætninger!$C$16</f>
        <v>1350</v>
      </c>
      <c r="AB33" s="19">
        <f>IF(K33&gt;Forudsætninger!$C$26,IF(K33&gt;Forudsætninger!$C$27,IF(K33&gt;Forudsætninger!$C$28,Forudsætninger!$E$28,Forudsætninger!$E$27+Forudsætninger!$F$28*(K33-Forudsætninger!$C$27)),Forudsætninger!$E$26+Forudsætninger!$F$27*(K33-Forudsætninger!$C$26)),Forudsætninger!$E$26)+IF(K33&gt;Forudsætninger!$C$28,Forudsætninger!$G$28,IF(K33&gt;Forudsætninger!$C$27,Forudsætninger!$G$27+Forudsætninger!$H$28*(K33-Forudsætninger!$C$27),IF(K33&gt;Forudsætninger!$C$26,Forudsætninger!$G$26+Forudsætninger!$H$27*(K33-Forudsætninger!$C$26),Forudsætninger!$G$26)))*(U33-Forudsætninger!$H$26)</f>
        <v>32.965234732611123</v>
      </c>
      <c r="AC33" s="19">
        <f>IF(K33&gt;Forudsætninger!$C$31,IF(K33&gt;Forudsætninger!$C$32,IF(K33&gt;Forudsætninger!$C$33,Forudsætninger!$E$33,Forudsætninger!$E$32+Forudsætninger!$F$33*(K33-Forudsætninger!$C$32)),Forudsætninger!$E$31+Forudsætninger!$F$32*(K33-Forudsætninger!$C$31)),Forudsætninger!$E$31)+IF(K33&gt;Forudsætninger!$C$33,Forudsætninger!$G$33,IF(K33&gt;Forudsætninger!$C$32,Forudsætninger!$G$32+Forudsætninger!$H$33*(K33-Forudsætninger!$C$32),IF(K33&gt;Forudsætninger!$C$31,Forudsætninger!$G$31+Forudsætninger!$H$32*(K33-Forudsætninger!$C$31),Forudsætninger!$G$31)))*(V33-Forudsætninger!$H$31)</f>
        <v>25.899740203192611</v>
      </c>
      <c r="AD33" s="19">
        <f t="shared" si="7"/>
        <v>1182.5651763510741</v>
      </c>
      <c r="AE33" s="19">
        <f t="shared" si="8"/>
        <v>25.899740203192611</v>
      </c>
      <c r="AF33">
        <f>IF(G33&lt;=Forudsætninger!$C$97,Forudsætninger!$C$98,(IF(G33&lt;=Forudsætninger!$D$97,Forudsætninger!$D$98,IF(G33&lt;=Forudsætninger!$E$97,Forudsætninger!$E$98,IF(G33&lt;=Forudsætninger!$F$97,Forudsætninger!$F$98,IF(G33&lt;=Forudsætninger!$G$97,Forudsætninger!$G$98,IF(G33&lt;=Forudsætninger!$H$97,Forudsætninger!$H$98,IF(G33&lt;=Forudsætninger!$I$97,Forudsætninger!$I$98,Forudsætninger!$I$98))))))))</f>
        <v>1.8</v>
      </c>
      <c r="AG33" s="1">
        <f t="shared" si="14"/>
        <v>2.2000000000000002</v>
      </c>
      <c r="AH33" s="1">
        <f t="shared" si="20"/>
        <v>68.200000000000031</v>
      </c>
      <c r="AI33" s="1">
        <f t="shared" si="9"/>
        <v>2.2000000000000011</v>
      </c>
      <c r="AJ33" s="20">
        <f>+(W33*Forudsætninger!$C$12)</f>
        <v>0</v>
      </c>
      <c r="AK33" s="20">
        <f>Forudsætninger!$C$17</f>
        <v>250</v>
      </c>
      <c r="AL33" s="20">
        <f>IF(A33&lt;92,Forudsætninger!$C$20,Forudsætninger!$C$21)</f>
        <v>4.0072859744990899</v>
      </c>
      <c r="AM33" s="20">
        <f t="shared" si="15"/>
        <v>124.22586520947169</v>
      </c>
      <c r="AN33" s="20">
        <f>IFERROR(AD33+AJ33-AA33-Z33-AK33-AM33-Forudsætninger!$C$75,-99999999)</f>
        <v>-1412.8056865705096</v>
      </c>
      <c r="AO33" s="19">
        <f>IFERROR(AN33/(A33+Forudsætninger!$C$74),-99999999)</f>
        <v>-45.574376986145474</v>
      </c>
      <c r="AP33" s="19">
        <f>IFERROR(((365/(A33+Forudsætninger!$C$74))*AN33)/(AI33+Forudsætninger!$C$73),-9999999)</f>
        <v>-7201.1461471615103</v>
      </c>
      <c r="AQ33" s="18">
        <f t="shared" si="10"/>
        <v>31</v>
      </c>
      <c r="AR33" s="18">
        <f t="shared" si="16"/>
        <v>2412.9766703721889</v>
      </c>
      <c r="AS33" s="52">
        <f t="shared" si="1"/>
        <v>2.2999999999999998</v>
      </c>
      <c r="AT33" s="50">
        <f t="shared" si="21"/>
        <v>2.1874320713191082</v>
      </c>
      <c r="AU33" s="50">
        <f t="shared" si="22"/>
        <v>1.5920603019154811</v>
      </c>
      <c r="AV33" s="2">
        <f t="shared" si="23"/>
        <v>251.55931177452476</v>
      </c>
      <c r="AW33" s="61">
        <f t="shared" si="17"/>
        <v>-41.567091011646383</v>
      </c>
      <c r="BA33" s="16"/>
      <c r="BB33" s="2"/>
    </row>
    <row r="34" spans="1:54" x14ac:dyDescent="0.25">
      <c r="A34">
        <v>32</v>
      </c>
      <c r="B34" s="1">
        <f>ROUND((A34+Forudsætninger!$C$60)/30.4,1)</f>
        <v>2.2999999999999998</v>
      </c>
      <c r="C34" s="1">
        <f>VLOOKUP((A34+Forudsætninger!$C$60),'Model tilvækst, slagteform, fe'!A:B,2,FALSE)</f>
        <v>97.347315127761803</v>
      </c>
      <c r="D34" s="3">
        <f t="shared" si="24"/>
        <v>1177.0728482163263</v>
      </c>
      <c r="E34" s="1">
        <f>(1+Forudsætninger!$C$78)*C34</f>
        <v>90.533003068818473</v>
      </c>
      <c r="F34" s="2">
        <f t="shared" si="25"/>
        <v>7.513423949175797</v>
      </c>
      <c r="G34" s="1">
        <f t="shared" si="2"/>
        <v>98.046427017994276</v>
      </c>
      <c r="H34" s="3">
        <f t="shared" si="3"/>
        <v>1061.0470960350112</v>
      </c>
      <c r="I34" s="3">
        <f t="shared" si="4"/>
        <v>907.70084431232112</v>
      </c>
      <c r="J34" s="1">
        <f>VLOOKUP((A34+Forudsætninger!$C$60),'Model tilvækst, slagteform, fe'!G:K,2,FALSE)*(1+Forudsætninger!$C$79)</f>
        <v>47.096497283155628</v>
      </c>
      <c r="K34" s="17">
        <f t="shared" si="0"/>
        <v>46.176432836760846</v>
      </c>
      <c r="L34" s="17">
        <f t="shared" si="18"/>
        <v>517.0877208086182</v>
      </c>
      <c r="M34" s="3">
        <f>((K34-(('Model tilvækst, slagteform, fe'!$H$9/100)*'Model tilvækst, slagteform, fe'!$B$9))*1000/(A34+Forudsætninger!$C$60))</f>
        <v>362.3877296950979</v>
      </c>
      <c r="N34" s="17">
        <f t="shared" si="11"/>
        <v>72.348497567053499</v>
      </c>
      <c r="O34" s="19">
        <f>IF( A34&lt;Forudsætninger!$C$14,(G34/100)*Forudsætninger!$C$13,(Forudsætninger!$C$15/1000)*Forudsætninger!$C$13)</f>
        <v>0.63730177561696277</v>
      </c>
      <c r="P34" s="17" cm="1">
        <f t="array" ref="P34">INDEX('Model tilvækst, slagteform, fe'!$N$9:$N$375,MATCH(MIN(ABS('Model tilvækst, slagteform, fe'!$M$9:$M$375-'Vækstfunktion, hol'!G34)),ABS('Model tilvækst, slagteform, fe'!$M$9:$M$375-'Vækstfunktion, hol'!G34),0))*(1+Forudsætninger!$C$80)</f>
        <v>2.7268842755033926</v>
      </c>
      <c r="Q34" s="17">
        <f t="shared" si="12"/>
        <v>5.2735428937262521</v>
      </c>
      <c r="R34" s="17">
        <f t="shared" si="13"/>
        <v>5.1468982926537787</v>
      </c>
      <c r="S34" s="17">
        <f t="shared" si="5"/>
        <v>2.4907881965046363</v>
      </c>
      <c r="T34" s="19">
        <f>(P34)*IF(N34&lt;Forudsætninger!$B$228,IF(N34&lt;Forudsætninger!$B$227,Forudsætninger!$B$225,Forudsætninger!$C$9),Forudsætninger!$C$11)+O34</f>
        <v>7.4817813071304773</v>
      </c>
      <c r="U34" s="2">
        <f>Forudsætninger!$C$68+((K34-(Forudsætninger!$C$84)))*0.01</f>
        <v>2.1588171873562487</v>
      </c>
      <c r="V34" s="2">
        <f>U34+Forudsætninger!$C$69</f>
        <v>1.1588171873562487</v>
      </c>
      <c r="W34">
        <f t="shared" si="6"/>
        <v>0</v>
      </c>
      <c r="X34">
        <f>IF(A34+Forudsætninger!$C$60&gt;248,IF(A34+Forudsætninger!$C$60&lt;365,IF(K34&gt;180,IF(K34&lt;260,1,0),0),0),0)</f>
        <v>0</v>
      </c>
      <c r="Y34" s="22">
        <f>IF(X34=0,0,IF('Vækstfunktion, hol'!A34&lt;Forudsætninger!$C$66,Forudsætninger!$C$67+(('Vækstfunktion, hol'!A34-Forudsætninger!$C$66)/7)*Forudsætninger!$C$64,Forudsætninger!$C$67))</f>
        <v>0</v>
      </c>
      <c r="Z34" s="19">
        <f t="shared" si="19"/>
        <v>696.23258646984789</v>
      </c>
      <c r="AA34" s="19">
        <f>Forudsætninger!$C$62+Forudsætninger!$C$16</f>
        <v>1350</v>
      </c>
      <c r="AB34" s="19">
        <f>IF(K34&gt;Forudsætninger!$C$26,IF(K34&gt;Forudsætninger!$C$27,IF(K34&gt;Forudsætninger!$C$28,Forudsætninger!$E$28,Forudsætninger!$E$27+Forudsætninger!$F$28*(K34-Forudsætninger!$C$27)),Forudsætninger!$E$26+Forudsætninger!$F$27*(K34-Forudsætninger!$C$26)),Forudsætninger!$E$26)+IF(K34&gt;Forudsætninger!$C$28,Forudsætninger!$G$28,IF(K34&gt;Forudsætninger!$C$27,Forudsætninger!$G$27+Forudsætninger!$H$28*(K34-Forudsætninger!$C$27),IF(K34&gt;Forudsætninger!$C$26,Forudsætninger!$G$26+Forudsætninger!$H$27*(K34-Forudsætninger!$C$26),Forudsætninger!$G$26)))*(U34-Forudsætninger!$H$26)</f>
        <v>32.969112890517188</v>
      </c>
      <c r="AC34" s="19">
        <f>IF(K34&gt;Forudsætninger!$C$31,IF(K34&gt;Forudsætninger!$C$32,IF(K34&gt;Forudsætninger!$C$33,Forudsætninger!$E$33,Forudsætninger!$E$32+Forudsætninger!$F$33*(K34-Forudsætninger!$C$32)),Forudsætninger!$E$31+Forudsætninger!$F$32*(K34-Forudsætninger!$C$31)),Forudsætninger!$E$31)+IF(K34&gt;Forudsætninger!$C$33,Forudsætninger!$G$33,IF(K34&gt;Forudsætninger!$C$32,Forudsætninger!$G$32+Forudsætninger!$H$33*(K34-Forudsætninger!$C$32),IF(K34&gt;Forudsætninger!$C$31,Forudsætninger!$G$31+Forudsætninger!$H$32*(K34-Forudsætninger!$C$31),Forudsætninger!$G$31)))*(V34-Forudsætninger!$H$31)</f>
        <v>25.906462343563124</v>
      </c>
      <c r="AD34" s="19">
        <f t="shared" si="7"/>
        <v>1196.2680184456165</v>
      </c>
      <c r="AE34" s="19">
        <f t="shared" si="8"/>
        <v>25.90646234356312</v>
      </c>
      <c r="AF34">
        <f>IF(G34&lt;=Forudsætninger!$C$97,Forudsætninger!$C$98,(IF(G34&lt;=Forudsætninger!$D$97,Forudsætninger!$D$98,IF(G34&lt;=Forudsætninger!$E$97,Forudsætninger!$E$98,IF(G34&lt;=Forudsætninger!$F$97,Forudsætninger!$F$98,IF(G34&lt;=Forudsætninger!$G$97,Forudsætninger!$G$98,IF(G34&lt;=Forudsætninger!$H$97,Forudsætninger!$H$98,IF(G34&lt;=Forudsætninger!$I$97,Forudsætninger!$I$98,Forudsætninger!$I$98))))))))</f>
        <v>1.8</v>
      </c>
      <c r="AG34" s="1">
        <f t="shared" si="14"/>
        <v>2.2000000000000002</v>
      </c>
      <c r="AH34" s="1">
        <f t="shared" si="20"/>
        <v>70.400000000000034</v>
      </c>
      <c r="AI34" s="1">
        <f t="shared" si="9"/>
        <v>2.2000000000000011</v>
      </c>
      <c r="AJ34" s="20">
        <f>+(W34*Forudsætninger!$C$12)</f>
        <v>0</v>
      </c>
      <c r="AK34" s="20">
        <f>Forudsætninger!$C$17</f>
        <v>250</v>
      </c>
      <c r="AL34" s="20">
        <f>IF(A34&lt;92,Forudsætninger!$C$20,Forudsætninger!$C$21)</f>
        <v>4.0072859744990899</v>
      </c>
      <c r="AM34" s="20">
        <f t="shared" si="15"/>
        <v>128.23315118397079</v>
      </c>
      <c r="AN34" s="20">
        <f>IFERROR(AD34+AJ34-AA34-Z34-AK34-AM34-Forudsætninger!$C$75,-99999999)</f>
        <v>-1410.5919117575968</v>
      </c>
      <c r="AO34" s="19">
        <f>IFERROR(AN34/(A34+Forudsætninger!$C$74),-99999999)</f>
        <v>-44.0809972424249</v>
      </c>
      <c r="AP34" s="19">
        <f>IFERROR(((365/(A34+Forudsætninger!$C$74))*AN34)/(AI34+Forudsætninger!$C$73),-9999999)</f>
        <v>-6965.1792179589092</v>
      </c>
      <c r="AQ34" s="18">
        <f t="shared" si="10"/>
        <v>32</v>
      </c>
      <c r="AR34" s="18">
        <f t="shared" si="16"/>
        <v>2424.4657376538185</v>
      </c>
      <c r="AS34" s="52">
        <f t="shared" si="1"/>
        <v>2.2999999999999998</v>
      </c>
      <c r="AT34" s="50">
        <f t="shared" si="21"/>
        <v>2.2137748129127885</v>
      </c>
      <c r="AU34" s="50">
        <f t="shared" si="22"/>
        <v>1.493379743720574</v>
      </c>
      <c r="AV34" s="2">
        <f t="shared" si="23"/>
        <v>235.96692920260102</v>
      </c>
      <c r="AW34" s="61">
        <f t="shared" si="17"/>
        <v>-40.073711267925816</v>
      </c>
      <c r="BA34" s="16"/>
      <c r="BB34" s="2"/>
    </row>
    <row r="35" spans="1:54" x14ac:dyDescent="0.25">
      <c r="A35">
        <v>33</v>
      </c>
      <c r="B35" s="1">
        <f>ROUND((A35+Forudsætninger!$C$60)/30.4,1)</f>
        <v>2.4</v>
      </c>
      <c r="C35" s="1">
        <f>VLOOKUP((A35+Forudsætninger!$C$60),'Model tilvækst, slagteform, fe'!A:B,2,FALSE)</f>
        <v>98.533974378237176</v>
      </c>
      <c r="D35" s="3">
        <f t="shared" si="24"/>
        <v>1186.6592504753726</v>
      </c>
      <c r="E35" s="1">
        <f>(1+Forudsætninger!$C$78)*C35</f>
        <v>91.636596171760573</v>
      </c>
      <c r="F35" s="2">
        <f t="shared" si="25"/>
        <v>7.4795193991622151</v>
      </c>
      <c r="G35" s="1">
        <f t="shared" si="2"/>
        <v>99.116115570922787</v>
      </c>
      <c r="H35" s="3">
        <f t="shared" si="3"/>
        <v>1069.6885529285112</v>
      </c>
      <c r="I35" s="3">
        <f t="shared" si="4"/>
        <v>912.60956275523597</v>
      </c>
      <c r="J35" s="1">
        <f>VLOOKUP((A35+Forudsætninger!$C$60),'Model tilvækst, slagteform, fe'!G:K,2,FALSE)*(1+Forudsætninger!$C$79)</f>
        <v>47.114461021951975</v>
      </c>
      <c r="K35" s="17">
        <f t="shared" si="0"/>
        <v>46.698023637135286</v>
      </c>
      <c r="L35" s="17">
        <f t="shared" si="18"/>
        <v>521.59080037444028</v>
      </c>
      <c r="M35" s="3">
        <f>((K35-(('Model tilvækst, slagteform, fe'!$H$9/100)*'Model tilvækst, slagteform, fe'!$B$9))*1000/(A35+Forudsætninger!$C$60))</f>
        <v>364.59888345453322</v>
      </c>
      <c r="N35" s="17">
        <f t="shared" si="11"/>
        <v>75.113011925668701</v>
      </c>
      <c r="O35" s="19">
        <f>IF( A35&lt;Forudsætninger!$C$14,(G35/100)*Forudsætninger!$C$13,(Forudsætninger!$C$15/1000)*Forudsætninger!$C$13)</f>
        <v>0.64425475121099818</v>
      </c>
      <c r="P35" s="17" cm="1">
        <f t="array" ref="P35">INDEX('Model tilvækst, slagteform, fe'!$N$9:$N$375,MATCH(MIN(ABS('Model tilvækst, slagteform, fe'!$M$9:$M$375-'Vækstfunktion, hol'!G35)),ABS('Model tilvækst, slagteform, fe'!$M$9:$M$375-'Vækstfunktion, hol'!G35),0))*(1+Forudsætninger!$C$80)</f>
        <v>2.7645143586152021</v>
      </c>
      <c r="Q35" s="17">
        <f t="shared" si="12"/>
        <v>5.3001593521791586</v>
      </c>
      <c r="R35" s="17">
        <f t="shared" si="13"/>
        <v>5.1523817516836479</v>
      </c>
      <c r="S35" s="17">
        <f t="shared" si="5"/>
        <v>2.4941135502279241</v>
      </c>
      <c r="T35" s="19">
        <f>(P35)*IF(N35&lt;Forudsætninger!$B$228,IF(N35&lt;Forudsætninger!$B$227,Forudsætninger!$B$225,Forudsætninger!$C$9),Forudsætninger!$C$11)+O35</f>
        <v>7.583185791335155</v>
      </c>
      <c r="U35" s="2">
        <f>Forudsætninger!$C$68+((K35-(Forudsætninger!$C$84)))*0.01</f>
        <v>2.1640330953599931</v>
      </c>
      <c r="V35" s="2">
        <f>U35+Forudsætninger!$C$69</f>
        <v>1.1640330953599931</v>
      </c>
      <c r="W35">
        <f t="shared" si="6"/>
        <v>0</v>
      </c>
      <c r="X35">
        <f>IF(A35+Forudsætninger!$C$60&gt;248,IF(A35+Forudsætninger!$C$60&lt;365,IF(K35&gt;180,IF(K35&lt;260,1,0),0),0),0)</f>
        <v>0</v>
      </c>
      <c r="Y35" s="22">
        <f>IF(X35=0,0,IF('Vækstfunktion, hol'!A35&lt;Forudsætninger!$C$66,Forudsætninger!$C$67+(('Vækstfunktion, hol'!A35-Forudsætninger!$C$66)/7)*Forudsætninger!$C$64,Forudsætninger!$C$67))</f>
        <v>0</v>
      </c>
      <c r="Z35" s="19">
        <f t="shared" si="19"/>
        <v>703.81577226118304</v>
      </c>
      <c r="AA35" s="19">
        <f>Forudsætninger!$C$62+Forudsætninger!$C$16</f>
        <v>1350</v>
      </c>
      <c r="AB35" s="19">
        <f>IF(K35&gt;Forudsætninger!$C$26,IF(K35&gt;Forudsætninger!$C$27,IF(K35&gt;Forudsætninger!$C$28,Forudsætninger!$E$28,Forudsætninger!$E$27+Forudsætninger!$F$28*(K35-Forudsætninger!$C$27)),Forudsætninger!$E$26+Forudsætninger!$F$27*(K35-Forudsætninger!$C$26)),Forudsætninger!$E$26)+IF(K35&gt;Forudsætninger!$C$28,Forudsætninger!$G$28,IF(K35&gt;Forudsætninger!$C$27,Forudsætninger!$G$27+Forudsætninger!$H$28*(K35-Forudsætninger!$C$27),IF(K35&gt;Forudsætninger!$C$26,Forudsætninger!$G$26+Forudsætninger!$H$27*(K35-Forudsætninger!$C$26),Forudsætninger!$G$26)))*(U35-Forudsætninger!$H$26)</f>
        <v>32.973024821519999</v>
      </c>
      <c r="AC35" s="19">
        <f>IF(K35&gt;Forudsætninger!$C$31,IF(K35&gt;Forudsætninger!$C$32,IF(K35&gt;Forudsætninger!$C$33,Forudsætninger!$E$33,Forudsætninger!$E$32+Forudsætninger!$F$33*(K35-Forudsætninger!$C$32)),Forudsætninger!$E$31+Forudsætninger!$F$32*(K35-Forudsætninger!$C$31)),Forudsætninger!$E$31)+IF(K35&gt;Forudsætninger!$C$33,Forudsætninger!$G$33,IF(K35&gt;Forudsætninger!$C$32,Forudsætninger!$G$32+Forudsætninger!$H$33*(K35-Forudsætninger!$C$32),IF(K35&gt;Forudsætninger!$C$31,Forudsætninger!$G$31+Forudsætninger!$H$32*(K35-Forudsætninger!$C$31),Forudsætninger!$G$31)))*(V35-Forudsætninger!$H$31)</f>
        <v>25.91324302396799</v>
      </c>
      <c r="AD35" s="19">
        <f t="shared" si="7"/>
        <v>1210.0972352480883</v>
      </c>
      <c r="AE35" s="19">
        <f t="shared" si="8"/>
        <v>25.91324302396799</v>
      </c>
      <c r="AF35">
        <f>IF(G35&lt;=Forudsætninger!$C$97,Forudsætninger!$C$98,(IF(G35&lt;=Forudsætninger!$D$97,Forudsætninger!$D$98,IF(G35&lt;=Forudsætninger!$E$97,Forudsætninger!$E$98,IF(G35&lt;=Forudsætninger!$F$97,Forudsætninger!$F$98,IF(G35&lt;=Forudsætninger!$G$97,Forudsætninger!$G$98,IF(G35&lt;=Forudsætninger!$H$97,Forudsætninger!$H$98,IF(G35&lt;=Forudsætninger!$I$97,Forudsætninger!$I$98,Forudsætninger!$I$98))))))))</f>
        <v>1.8</v>
      </c>
      <c r="AG35" s="1">
        <f t="shared" si="14"/>
        <v>2.2000000000000002</v>
      </c>
      <c r="AH35" s="1">
        <f t="shared" si="20"/>
        <v>72.600000000000037</v>
      </c>
      <c r="AI35" s="1">
        <f t="shared" si="9"/>
        <v>2.2000000000000011</v>
      </c>
      <c r="AJ35" s="20">
        <f>+(W35*Forudsætninger!$C$12)</f>
        <v>0</v>
      </c>
      <c r="AK35" s="20">
        <f>Forudsætninger!$C$17</f>
        <v>250</v>
      </c>
      <c r="AL35" s="20">
        <f>IF(A35&lt;92,Forudsætninger!$C$20,Forudsætninger!$C$21)</f>
        <v>4.0072859744990899</v>
      </c>
      <c r="AM35" s="20">
        <f t="shared" si="15"/>
        <v>132.24043715846989</v>
      </c>
      <c r="AN35" s="20">
        <f>IFERROR(AD35+AJ35-AA35-Z35-AK35-AM35-Forudsætninger!$C$75,-99999999)</f>
        <v>-1408.3531667209591</v>
      </c>
      <c r="AO35" s="19">
        <f>IFERROR(AN35/(A35+Forudsætninger!$C$74),-99999999)</f>
        <v>-42.677368688513909</v>
      </c>
      <c r="AP35" s="19">
        <f>IFERROR(((365/(A35+Forudsætninger!$C$74))*AN35)/(AI35+Forudsætninger!$C$73),-9999999)</f>
        <v>-6743.3937538128012</v>
      </c>
      <c r="AQ35" s="18">
        <f t="shared" si="10"/>
        <v>33</v>
      </c>
      <c r="AR35" s="18">
        <f t="shared" si="16"/>
        <v>2436.056209419653</v>
      </c>
      <c r="AS35" s="52">
        <f t="shared" si="1"/>
        <v>2.4</v>
      </c>
      <c r="AT35" s="50">
        <f t="shared" si="21"/>
        <v>2.2387450366377379</v>
      </c>
      <c r="AU35" s="50">
        <f t="shared" si="22"/>
        <v>1.4036285539109912</v>
      </c>
      <c r="AV35" s="2">
        <f t="shared" si="23"/>
        <v>221.7854641461081</v>
      </c>
      <c r="AW35" s="61">
        <f t="shared" si="17"/>
        <v>-38.670082714014825</v>
      </c>
      <c r="BA35" s="16"/>
      <c r="BB35" s="2"/>
    </row>
    <row r="36" spans="1:54" x14ac:dyDescent="0.25">
      <c r="A36">
        <v>34</v>
      </c>
      <c r="B36" s="1">
        <f>ROUND((A36+Forudsætninger!$C$60)/30.4,1)</f>
        <v>2.4</v>
      </c>
      <c r="C36" s="1">
        <f>VLOOKUP((A36+Forudsætninger!$C$60),'Model tilvækst, slagteform, fe'!A:B,2,FALSE)</f>
        <v>99.730098323858456</v>
      </c>
      <c r="D36" s="3">
        <f t="shared" si="24"/>
        <v>1196.1239456212809</v>
      </c>
      <c r="E36" s="1">
        <f>(1+Forudsætninger!$C$78)*C36</f>
        <v>92.748991441188352</v>
      </c>
      <c r="F36" s="2">
        <f t="shared" si="25"/>
        <v>7.4453444292873217</v>
      </c>
      <c r="G36" s="1">
        <f t="shared" si="2"/>
        <v>100.19433587047567</v>
      </c>
      <c r="H36" s="3">
        <f t="shared" si="3"/>
        <v>1078.2202995528819</v>
      </c>
      <c r="I36" s="3">
        <f t="shared" si="4"/>
        <v>917.48046677869615</v>
      </c>
      <c r="J36" s="1">
        <f>VLOOKUP((A36+Forudsætninger!$C$60),'Model tilvækst, slagteform, fe'!G:K,2,FALSE)*(1+Forudsætninger!$C$79)</f>
        <v>47.132475150951549</v>
      </c>
      <c r="K36" s="17">
        <f t="shared" si="0"/>
        <v>47.224070456812875</v>
      </c>
      <c r="L36" s="17">
        <f t="shared" si="18"/>
        <v>526.04681967758893</v>
      </c>
      <c r="M36" s="3">
        <f>((K36-(('Model tilvækst, slagteform, fe'!$H$9/100)*'Model tilvækst, slagteform, fe'!$B$9))*1000/(A36+Forudsætninger!$C$60))</f>
        <v>366.81049901923262</v>
      </c>
      <c r="N36" s="17">
        <f t="shared" si="11"/>
        <v>77.915250568777566</v>
      </c>
      <c r="O36" s="19">
        <f>IF( A36&lt;Forudsætninger!$C$14,(G36/100)*Forudsætninger!$C$13,(Forudsætninger!$C$15/1000)*Forudsætninger!$C$13)</f>
        <v>0.65126318315809184</v>
      </c>
      <c r="P36" s="17" cm="1">
        <f t="array" ref="P36">INDEX('Model tilvækst, slagteform, fe'!$N$9:$N$375,MATCH(MIN(ABS('Model tilvækst, slagteform, fe'!$M$9:$M$375-'Vækstfunktion, hol'!G36)),ABS('Model tilvækst, slagteform, fe'!$M$9:$M$375-'Vækstfunktion, hol'!G36),0))*(1+Forudsætninger!$C$80)</f>
        <v>2.8022386431088577</v>
      </c>
      <c r="Q36" s="17">
        <f t="shared" si="12"/>
        <v>5.3269757335028345</v>
      </c>
      <c r="R36" s="17">
        <f t="shared" si="13"/>
        <v>5.1584624221567497</v>
      </c>
      <c r="S36" s="17">
        <f t="shared" si="5"/>
        <v>2.4977371177990548</v>
      </c>
      <c r="T36" s="19">
        <f>(P36)*IF(N36&lt;Forudsætninger!$B$228,IF(N36&lt;Forudsætninger!$B$227,Forudsætninger!$B$225,Forudsætninger!$C$9),Forudsætninger!$C$11)+O36</f>
        <v>7.6848821773613238</v>
      </c>
      <c r="U36" s="2">
        <f>Forudsætninger!$C$68+((K36-(Forudsætninger!$C$84)))*0.01</f>
        <v>2.1692935635567689</v>
      </c>
      <c r="V36" s="2">
        <f>U36+Forudsætninger!$C$69</f>
        <v>1.1692935635567689</v>
      </c>
      <c r="W36">
        <f t="shared" si="6"/>
        <v>0</v>
      </c>
      <c r="X36">
        <f>IF(A36+Forudsætninger!$C$60&gt;248,IF(A36+Forudsætninger!$C$60&lt;365,IF(K36&gt;180,IF(K36&lt;260,1,0),0),0),0)</f>
        <v>0</v>
      </c>
      <c r="Y36" s="22">
        <f>IF(X36=0,0,IF('Vækstfunktion, hol'!A36&lt;Forudsætninger!$C$66,Forudsætninger!$C$67+(('Vækstfunktion, hol'!A36-Forudsætninger!$C$66)/7)*Forudsætninger!$C$64,Forudsætninger!$C$67))</f>
        <v>0</v>
      </c>
      <c r="Z36" s="19">
        <f t="shared" si="19"/>
        <v>711.50065443854442</v>
      </c>
      <c r="AA36" s="19">
        <f>Forudsætninger!$C$62+Forudsætninger!$C$16</f>
        <v>1350</v>
      </c>
      <c r="AB36" s="19">
        <f>IF(K36&gt;Forudsætninger!$C$26,IF(K36&gt;Forudsætninger!$C$27,IF(K36&gt;Forudsætninger!$C$28,Forudsætninger!$E$28,Forudsætninger!$E$27+Forudsætninger!$F$28*(K36-Forudsætninger!$C$27)),Forudsætninger!$E$26+Forudsætninger!$F$27*(K36-Forudsætninger!$C$26)),Forudsætninger!$E$26)+IF(K36&gt;Forudsætninger!$C$28,Forudsætninger!$G$28,IF(K36&gt;Forudsætninger!$C$27,Forudsætninger!$G$27+Forudsætninger!$H$28*(K36-Forudsætninger!$C$27),IF(K36&gt;Forudsætninger!$C$26,Forudsætninger!$G$26+Forudsætninger!$H$27*(K36-Forudsætninger!$C$26),Forudsætninger!$G$26)))*(U36-Forudsætninger!$H$26)</f>
        <v>32.976970172667578</v>
      </c>
      <c r="AC36" s="19">
        <f>IF(K36&gt;Forudsætninger!$C$31,IF(K36&gt;Forudsætninger!$C$32,IF(K36&gt;Forudsætninger!$C$33,Forudsætninger!$E$33,Forudsætninger!$E$32+Forudsætninger!$F$33*(K36-Forudsætninger!$C$32)),Forudsætninger!$E$31+Forudsætninger!$F$32*(K36-Forudsætninger!$C$31)),Forudsætninger!$E$31)+IF(K36&gt;Forudsætninger!$C$33,Forudsætninger!$G$33,IF(K36&gt;Forudsætninger!$C$32,Forudsætninger!$G$32+Forudsætninger!$H$33*(K36-Forudsætninger!$C$32),IF(K36&gt;Forudsætninger!$C$31,Forudsætninger!$G$31+Forudsætninger!$H$32*(K36-Forudsætninger!$C$31),Forudsætninger!$G$31)))*(V36-Forudsætninger!$H$31)</f>
        <v>25.920081632623798</v>
      </c>
      <c r="AD36" s="19">
        <f t="shared" si="7"/>
        <v>1224.0517612653675</v>
      </c>
      <c r="AE36" s="19">
        <f t="shared" si="8"/>
        <v>25.920081632623798</v>
      </c>
      <c r="AF36">
        <f>IF(G36&lt;=Forudsætninger!$C$97,Forudsætninger!$C$98,(IF(G36&lt;=Forudsætninger!$D$97,Forudsætninger!$D$98,IF(G36&lt;=Forudsætninger!$E$97,Forudsætninger!$E$98,IF(G36&lt;=Forudsætninger!$F$97,Forudsætninger!$F$98,IF(G36&lt;=Forudsætninger!$G$97,Forudsætninger!$G$98,IF(G36&lt;=Forudsætninger!$H$97,Forudsætninger!$H$98,IF(G36&lt;=Forudsætninger!$I$97,Forudsætninger!$I$98,Forudsætninger!$I$98))))))))</f>
        <v>2.2000000000000002</v>
      </c>
      <c r="AG36" s="1">
        <f t="shared" si="14"/>
        <v>2.2000000000000002</v>
      </c>
      <c r="AH36" s="1">
        <f t="shared" si="20"/>
        <v>74.80000000000004</v>
      </c>
      <c r="AI36" s="1">
        <f t="shared" si="9"/>
        <v>2.2000000000000011</v>
      </c>
      <c r="AJ36" s="20">
        <f>+(W36*Forudsætninger!$C$12)</f>
        <v>0</v>
      </c>
      <c r="AK36" s="20">
        <f>Forudsætninger!$C$17</f>
        <v>250</v>
      </c>
      <c r="AL36" s="20">
        <f>IF(A36&lt;92,Forudsætninger!$C$20,Forudsætninger!$C$21)</f>
        <v>4.0072859744990899</v>
      </c>
      <c r="AM36" s="20">
        <f t="shared" si="15"/>
        <v>136.24772313296899</v>
      </c>
      <c r="AN36" s="20">
        <f>IFERROR(AD36+AJ36-AA36-Z36-AK36-AM36-Forudsætninger!$C$75,-99999999)</f>
        <v>-1406.0908088555404</v>
      </c>
      <c r="AO36" s="19">
        <f>IFERROR(AN36/(A36+Forudsætninger!$C$74),-99999999)</f>
        <v>-41.355612025162955</v>
      </c>
      <c r="AP36" s="19">
        <f>IFERROR(((365/(A36+Forudsætninger!$C$74))*AN36)/(AI36+Forudsætninger!$C$73),-9999999)</f>
        <v>-6534.5447572227149</v>
      </c>
      <c r="AQ36" s="18">
        <f t="shared" si="10"/>
        <v>34</v>
      </c>
      <c r="AR36" s="18">
        <f t="shared" si="16"/>
        <v>2447.7483775715132</v>
      </c>
      <c r="AS36" s="52">
        <f t="shared" si="1"/>
        <v>2.4</v>
      </c>
      <c r="AT36" s="50">
        <f t="shared" si="21"/>
        <v>2.2623578654186076</v>
      </c>
      <c r="AU36" s="50">
        <f t="shared" si="22"/>
        <v>1.3217566633509534</v>
      </c>
      <c r="AV36" s="2">
        <f t="shared" si="23"/>
        <v>208.84899659008624</v>
      </c>
      <c r="AW36" s="61">
        <f t="shared" si="17"/>
        <v>-37.348326050663864</v>
      </c>
      <c r="BA36" s="16"/>
      <c r="BB36" s="2"/>
    </row>
    <row r="37" spans="1:54" x14ac:dyDescent="0.25">
      <c r="A37">
        <v>35</v>
      </c>
      <c r="B37" s="1">
        <f>ROUND((A37+Forudsætninger!$C$60)/30.4,1)</f>
        <v>2.4</v>
      </c>
      <c r="C37" s="1">
        <f>VLOOKUP((A37+Forudsætninger!$C$60),'Model tilvækst, slagteform, fe'!A:B,2,FALSE)</f>
        <v>100.93556579185996</v>
      </c>
      <c r="D37" s="3">
        <f t="shared" si="24"/>
        <v>1205.4674680015012</v>
      </c>
      <c r="E37" s="1">
        <f>(1+Forudsætninger!$C$78)*C37</f>
        <v>93.870076186429756</v>
      </c>
      <c r="F37" s="2">
        <f t="shared" si="25"/>
        <v>7.4109025016301358</v>
      </c>
      <c r="G37" s="1">
        <f t="shared" si="2"/>
        <v>101.28097868805989</v>
      </c>
      <c r="H37" s="3">
        <f t="shared" si="3"/>
        <v>1086.6428175842202</v>
      </c>
      <c r="I37" s="3">
        <f t="shared" si="4"/>
        <v>922.31367680171104</v>
      </c>
      <c r="J37" s="1">
        <f>VLOOKUP((A37+Forudsætninger!$C$60),'Model tilvækst, slagteform, fe'!G:K,2,FALSE)*(1+Forudsætninger!$C$79)</f>
        <v>47.150537994501505</v>
      </c>
      <c r="K37" s="17">
        <f t="shared" si="0"/>
        <v>47.754526337516651</v>
      </c>
      <c r="L37" s="17">
        <f t="shared" si="18"/>
        <v>530.45588070377653</v>
      </c>
      <c r="M37" s="3">
        <f>((K37-(('Model tilvækst, slagteform, fe'!$H$9/100)*'Model tilvækst, slagteform, fe'!$B$9))*1000/(A37+Forudsætninger!$C$60))</f>
        <v>369.02192309605073</v>
      </c>
      <c r="N37" s="17">
        <f t="shared" si="11"/>
        <v>80.755302666779286</v>
      </c>
      <c r="O37" s="19">
        <f>IF( A37&lt;Forudsætninger!$C$14,(G37/100)*Forudsætninger!$C$13,(Forudsætninger!$C$15/1000)*Forudsætninger!$C$13)</f>
        <v>0.65832636147238932</v>
      </c>
      <c r="P37" s="17" cm="1">
        <f t="array" ref="P37">INDEX('Model tilvækst, slagteform, fe'!$N$9:$N$375,MATCH(MIN(ABS('Model tilvækst, slagteform, fe'!$M$9:$M$375-'Vækstfunktion, hol'!G37)),ABS('Model tilvækst, slagteform, fe'!$M$9:$M$375-'Vækstfunktion, hol'!G37),0))*(1+Forudsætninger!$C$80)</f>
        <v>2.8400520980017179</v>
      </c>
      <c r="Q37" s="17">
        <f t="shared" si="12"/>
        <v>5.3539836229805005</v>
      </c>
      <c r="R37" s="17">
        <f t="shared" si="13"/>
        <v>5.1650960404239408</v>
      </c>
      <c r="S37" s="17">
        <f t="shared" si="5"/>
        <v>2.5016373712563156</v>
      </c>
      <c r="T37" s="19">
        <f>(P37)*IF(N37&lt;Forudsætninger!$B$228,IF(N37&lt;Forudsætninger!$B$227,Forudsætninger!$B$225,Forudsætninger!$C$9),Forudsætninger!$C$11)+O37</f>
        <v>7.7868571274567007</v>
      </c>
      <c r="U37" s="2">
        <f>Forudsætninger!$C$68+((K37-(Forudsætninger!$C$84)))*0.01</f>
        <v>2.1745981223638067</v>
      </c>
      <c r="V37" s="2">
        <f>U37+Forudsætninger!$C$69</f>
        <v>1.1745981223638067</v>
      </c>
      <c r="W37">
        <f t="shared" si="6"/>
        <v>0</v>
      </c>
      <c r="X37">
        <f>IF(A37+Forudsætninger!$C$60&gt;248,IF(A37+Forudsætninger!$C$60&lt;365,IF(K37&gt;180,IF(K37&lt;260,1,0),0),0),0)</f>
        <v>0</v>
      </c>
      <c r="Y37" s="22">
        <f>IF(X37=0,0,IF('Vækstfunktion, hol'!A37&lt;Forudsætninger!$C$66,Forudsætninger!$C$67+(('Vækstfunktion, hol'!A37-Forudsætninger!$C$66)/7)*Forudsætninger!$C$64,Forudsætninger!$C$67))</f>
        <v>0</v>
      </c>
      <c r="Z37" s="19">
        <f t="shared" si="19"/>
        <v>719.28751156600117</v>
      </c>
      <c r="AA37" s="19">
        <f>Forudsætninger!$C$62+Forudsætninger!$C$16</f>
        <v>1350</v>
      </c>
      <c r="AB37" s="19">
        <f>IF(K37&gt;Forudsætninger!$C$26,IF(K37&gt;Forudsætninger!$C$27,IF(K37&gt;Forudsætninger!$C$28,Forudsætninger!$E$28,Forudsætninger!$E$27+Forudsætninger!$F$28*(K37-Forudsætninger!$C$27)),Forudsætninger!$E$26+Forudsætninger!$F$27*(K37-Forudsætninger!$C$26)),Forudsætninger!$E$26)+IF(K37&gt;Forudsætninger!$C$28,Forudsætninger!$G$28,IF(K37&gt;Forudsætninger!$C$27,Forudsætninger!$G$27+Forudsætninger!$H$28*(K37-Forudsætninger!$C$27),IF(K37&gt;Forudsætninger!$C$26,Forudsætninger!$G$26+Forudsætninger!$H$27*(K37-Forudsætninger!$C$26),Forudsætninger!$G$26)))*(U37-Forudsætninger!$H$26)</f>
        <v>32.980948591772858</v>
      </c>
      <c r="AC37" s="19">
        <f>IF(K37&gt;Forudsætninger!$C$31,IF(K37&gt;Forudsætninger!$C$32,IF(K37&gt;Forudsætninger!$C$33,Forudsætninger!$E$33,Forudsætninger!$E$32+Forudsætninger!$F$33*(K37-Forudsætninger!$C$32)),Forudsætninger!$E$31+Forudsætninger!$F$32*(K37-Forudsætninger!$C$31)),Forudsætninger!$E$31)+IF(K37&gt;Forudsætninger!$C$33,Forudsætninger!$G$33,IF(K37&gt;Forudsætninger!$C$32,Forudsætninger!$G$32+Forudsætninger!$H$33*(K37-Forudsætninger!$C$32),IF(K37&gt;Forudsætninger!$C$31,Forudsætninger!$G$31+Forudsætninger!$H$32*(K37-Forudsætninger!$C$31),Forudsætninger!$G$31)))*(V37-Forudsætninger!$H$31)</f>
        <v>25.926977559072949</v>
      </c>
      <c r="AD37" s="19">
        <f t="shared" si="7"/>
        <v>1238.1305326969523</v>
      </c>
      <c r="AE37" s="19">
        <f t="shared" si="8"/>
        <v>25.926977559072949</v>
      </c>
      <c r="AF37">
        <f>IF(G37&lt;=Forudsætninger!$C$97,Forudsætninger!$C$98,(IF(G37&lt;=Forudsætninger!$D$97,Forudsætninger!$D$98,IF(G37&lt;=Forudsætninger!$E$97,Forudsætninger!$E$98,IF(G37&lt;=Forudsætninger!$F$97,Forudsætninger!$F$98,IF(G37&lt;=Forudsætninger!$G$97,Forudsætninger!$G$98,IF(G37&lt;=Forudsætninger!$H$97,Forudsætninger!$H$98,IF(G37&lt;=Forudsætninger!$I$97,Forudsætninger!$I$98,Forudsætninger!$I$98))))))))</f>
        <v>2.2000000000000002</v>
      </c>
      <c r="AG37" s="1">
        <f t="shared" si="14"/>
        <v>2.2000000000000002</v>
      </c>
      <c r="AH37" s="1">
        <f t="shared" si="20"/>
        <v>77.000000000000043</v>
      </c>
      <c r="AI37" s="1">
        <f t="shared" si="9"/>
        <v>2.2000000000000011</v>
      </c>
      <c r="AJ37" s="20">
        <f>+(W37*Forudsætninger!$C$12)</f>
        <v>0</v>
      </c>
      <c r="AK37" s="20">
        <f>Forudsætninger!$C$17</f>
        <v>250</v>
      </c>
      <c r="AL37" s="20">
        <f>IF(A37&lt;92,Forudsætninger!$C$20,Forudsætninger!$C$21)</f>
        <v>4.0072859744990899</v>
      </c>
      <c r="AM37" s="20">
        <f t="shared" si="15"/>
        <v>140.25500910746808</v>
      </c>
      <c r="AN37" s="20">
        <f>IFERROR(AD37+AJ37-AA37-Z37-AK37-AM37-Forudsætninger!$C$75,-99999999)</f>
        <v>-1403.8061805259117</v>
      </c>
      <c r="AO37" s="19">
        <f>IFERROR(AN37/(A37+Forudsætninger!$C$74),-99999999)</f>
        <v>-40.108748015026052</v>
      </c>
      <c r="AP37" s="19">
        <f>IFERROR(((365/(A37+Forudsætninger!$C$74))*AN37)/(AI37+Forudsætninger!$C$73),-9999999)</f>
        <v>-6337.5294482616891</v>
      </c>
      <c r="AQ37" s="18">
        <f t="shared" si="10"/>
        <v>35</v>
      </c>
      <c r="AR37" s="18">
        <f t="shared" si="16"/>
        <v>2459.5425206734694</v>
      </c>
      <c r="AS37" s="52">
        <f t="shared" si="1"/>
        <v>2.4</v>
      </c>
      <c r="AT37" s="50">
        <f t="shared" si="21"/>
        <v>2.2846283296287311</v>
      </c>
      <c r="AU37" s="50">
        <f t="shared" si="22"/>
        <v>1.2468640101369033</v>
      </c>
      <c r="AV37" s="2">
        <f t="shared" si="23"/>
        <v>197.01530896102577</v>
      </c>
      <c r="AW37" s="61">
        <f t="shared" si="17"/>
        <v>-36.101462040526961</v>
      </c>
      <c r="BA37" s="16"/>
      <c r="BB37" s="2"/>
    </row>
    <row r="38" spans="1:54" x14ac:dyDescent="0.25">
      <c r="A38">
        <v>36</v>
      </c>
      <c r="B38" s="1">
        <f>ROUND((A38+Forudsætninger!$C$60)/30.4,1)</f>
        <v>2.5</v>
      </c>
      <c r="C38" s="1">
        <f>VLOOKUP((A38+Forudsætninger!$C$60),'Model tilvækst, slagteform, fe'!A:B,2,FALSE)</f>
        <v>102.15025614382337</v>
      </c>
      <c r="D38" s="3">
        <f t="shared" si="24"/>
        <v>1214.6903519634122</v>
      </c>
      <c r="E38" s="1">
        <f>(1+Forudsætninger!$C$78)*C38</f>
        <v>94.999738213755734</v>
      </c>
      <c r="F38" s="2">
        <f t="shared" si="25"/>
        <v>7.3761970630026097</v>
      </c>
      <c r="G38" s="1">
        <f t="shared" si="2"/>
        <v>102.37593527675834</v>
      </c>
      <c r="H38" s="3">
        <f t="shared" si="3"/>
        <v>1094.9565886984515</v>
      </c>
      <c r="I38" s="3">
        <f t="shared" si="4"/>
        <v>927.10931324328726</v>
      </c>
      <c r="J38" s="1">
        <f>VLOOKUP((A38+Forudsætninger!$C$60),'Model tilvækst, slagteform, fe'!G:K,2,FALSE)*(1+Forudsætninger!$C$79)</f>
        <v>47.168647876948945</v>
      </c>
      <c r="K38" s="17">
        <f t="shared" si="0"/>
        <v>48.289344421427295</v>
      </c>
      <c r="L38" s="17">
        <f t="shared" si="18"/>
        <v>534.81808391064328</v>
      </c>
      <c r="M38" s="3">
        <f>((K38-(('Model tilvækst, slagteform, fe'!$H$9/100)*'Model tilvækst, slagteform, fe'!$B$9))*1000/(A38+Forudsætninger!$C$60))</f>
        <v>371.23253857357867</v>
      </c>
      <c r="N38" s="17">
        <f t="shared" si="11"/>
        <v>83.633252359090434</v>
      </c>
      <c r="O38" s="19">
        <f>IF( A38&lt;Forudsætninger!$C$14,(G38/100)*Forudsætninger!$C$13,(Forudsætninger!$C$15/1000)*Forudsætninger!$C$13)</f>
        <v>0.66544357929892928</v>
      </c>
      <c r="P38" s="17" cm="1">
        <f t="array" ref="P38">INDEX('Model tilvækst, slagteform, fe'!$N$9:$N$375,MATCH(MIN(ABS('Model tilvækst, slagteform, fe'!$M$9:$M$375-'Vækstfunktion, hol'!G38)),ABS('Model tilvækst, slagteform, fe'!$M$9:$M$375-'Vækstfunktion, hol'!G38),0))*(1+Forudsætninger!$C$80)</f>
        <v>2.8779496923111458</v>
      </c>
      <c r="Q38" s="17">
        <f t="shared" si="12"/>
        <v>5.3811749805976836</v>
      </c>
      <c r="R38" s="17">
        <f t="shared" si="13"/>
        <v>5.1722429527622227</v>
      </c>
      <c r="S38" s="17">
        <f t="shared" si="5"/>
        <v>2.5057950186441449</v>
      </c>
      <c r="T38" s="19">
        <f>(P38)*IF(N38&lt;Forudsætninger!$B$228,IF(N38&lt;Forudsætninger!$B$227,Forudsætninger!$B$225,Forudsætninger!$C$9),Forudsætninger!$C$11)+O38</f>
        <v>7.8890973069999051</v>
      </c>
      <c r="U38" s="2">
        <f>Forudsætninger!$C$68+((K38-(Forudsætninger!$C$84)))*0.01</f>
        <v>2.1799463032029132</v>
      </c>
      <c r="V38" s="2">
        <f>U38+Forudsætninger!$C$69</f>
        <v>1.1799463032029132</v>
      </c>
      <c r="W38">
        <f t="shared" si="6"/>
        <v>0</v>
      </c>
      <c r="X38">
        <f>IF(A38+Forudsætninger!$C$60&gt;248,IF(A38+Forudsætninger!$C$60&lt;365,IF(K38&gt;180,IF(K38&lt;260,1,0),0),0),0)</f>
        <v>0</v>
      </c>
      <c r="Y38" s="22">
        <f>IF(X38=0,0,IF('Vækstfunktion, hol'!A38&lt;Forudsætninger!$C$66,Forudsætninger!$C$67+(('Vækstfunktion, hol'!A38-Forudsætninger!$C$66)/7)*Forudsætninger!$C$64,Forudsætninger!$C$67))</f>
        <v>0</v>
      </c>
      <c r="Z38" s="19">
        <f t="shared" si="19"/>
        <v>727.1766088730011</v>
      </c>
      <c r="AA38" s="19">
        <f>Forudsætninger!$C$62+Forudsætninger!$C$16</f>
        <v>1350</v>
      </c>
      <c r="AB38" s="19">
        <f>IF(K38&gt;Forudsætninger!$C$26,IF(K38&gt;Forudsætninger!$C$27,IF(K38&gt;Forudsætninger!$C$28,Forudsætninger!$E$28,Forudsætninger!$E$27+Forudsætninger!$F$28*(K38-Forudsætninger!$C$27)),Forudsætninger!$E$26+Forudsætninger!$F$27*(K38-Forudsætninger!$C$26)),Forudsætninger!$E$26)+IF(K38&gt;Forudsætninger!$C$28,Forudsætninger!$G$28,IF(K38&gt;Forudsætninger!$C$27,Forudsætninger!$G$27+Forudsætninger!$H$28*(K38-Forudsætninger!$C$27),IF(K38&gt;Forudsætninger!$C$26,Forudsætninger!$G$26+Forudsætninger!$H$27*(K38-Forudsætninger!$C$26),Forudsætninger!$G$26)))*(U38-Forudsætninger!$H$26)</f>
        <v>32.984959727402185</v>
      </c>
      <c r="AC38" s="19">
        <f>IF(K38&gt;Forudsætninger!$C$31,IF(K38&gt;Forudsætninger!$C$32,IF(K38&gt;Forudsætninger!$C$33,Forudsætninger!$E$33,Forudsætninger!$E$32+Forudsætninger!$F$33*(K38-Forudsætninger!$C$32)),Forudsætninger!$E$31+Forudsætninger!$F$32*(K38-Forudsætninger!$C$31)),Forudsætninger!$E$31)+IF(K38&gt;Forudsætninger!$C$33,Forudsætninger!$G$33,IF(K38&gt;Forudsætninger!$C$32,Forudsætninger!$G$32+Forudsætninger!$H$33*(K38-Forudsætninger!$C$32),IF(K38&gt;Forudsætninger!$C$31,Forudsætninger!$G$31+Forudsætninger!$H$32*(K38-Forudsætninger!$C$31),Forudsætninger!$G$31)))*(V38-Forudsætninger!$H$31)</f>
        <v>25.933930194163786</v>
      </c>
      <c r="AD38" s="19">
        <f t="shared" si="7"/>
        <v>1252.3324873472279</v>
      </c>
      <c r="AE38" s="19">
        <f t="shared" si="8"/>
        <v>25.933930194163786</v>
      </c>
      <c r="AF38">
        <f>IF(G38&lt;=Forudsætninger!$C$97,Forudsætninger!$C$98,(IF(G38&lt;=Forudsætninger!$D$97,Forudsætninger!$D$98,IF(G38&lt;=Forudsætninger!$E$97,Forudsætninger!$E$98,IF(G38&lt;=Forudsætninger!$F$97,Forudsætninger!$F$98,IF(G38&lt;=Forudsætninger!$G$97,Forudsætninger!$G$98,IF(G38&lt;=Forudsætninger!$H$97,Forudsætninger!$H$98,IF(G38&lt;=Forudsætninger!$I$97,Forudsætninger!$I$98,Forudsætninger!$I$98))))))))</f>
        <v>2.2000000000000002</v>
      </c>
      <c r="AG38" s="1">
        <f t="shared" si="14"/>
        <v>2.2000000000000002</v>
      </c>
      <c r="AH38" s="1">
        <f t="shared" si="20"/>
        <v>79.200000000000045</v>
      </c>
      <c r="AI38" s="1">
        <f t="shared" si="9"/>
        <v>2.2000000000000011</v>
      </c>
      <c r="AJ38" s="20">
        <f>+(W38*Forudsætninger!$C$12)</f>
        <v>0</v>
      </c>
      <c r="AK38" s="20">
        <f>Forudsætninger!$C$17</f>
        <v>250</v>
      </c>
      <c r="AL38" s="20">
        <f>IF(A38&lt;92,Forudsætninger!$C$20,Forudsætninger!$C$21)</f>
        <v>4.0072859744990899</v>
      </c>
      <c r="AM38" s="20">
        <f t="shared" si="15"/>
        <v>144.26229508196718</v>
      </c>
      <c r="AN38" s="20">
        <f>IFERROR(AD38+AJ38-AA38-Z38-AK38-AM38-Forudsætninger!$C$75,-99999999)</f>
        <v>-1401.5006091571349</v>
      </c>
      <c r="AO38" s="19">
        <f>IFERROR(AN38/(A38+Forudsætninger!$C$74),-99999999)</f>
        <v>-38.930572476587081</v>
      </c>
      <c r="AP38" s="19">
        <f>IFERROR(((365/(A38+Forudsætninger!$C$74))*AN38)/(AI38+Forudsætninger!$C$73),-9999999)</f>
        <v>-6151.3675125343207</v>
      </c>
      <c r="AQ38" s="18">
        <f t="shared" si="10"/>
        <v>36</v>
      </c>
      <c r="AR38" s="18">
        <f t="shared" si="16"/>
        <v>2471.4389039549683</v>
      </c>
      <c r="AS38" s="52">
        <f t="shared" si="1"/>
        <v>2.5</v>
      </c>
      <c r="AT38" s="50">
        <f t="shared" si="21"/>
        <v>2.305571368776782</v>
      </c>
      <c r="AU38" s="50">
        <f t="shared" si="22"/>
        <v>1.1781755384389712</v>
      </c>
      <c r="AV38" s="2">
        <f t="shared" si="23"/>
        <v>186.16193572736847</v>
      </c>
      <c r="AW38" s="61">
        <f t="shared" si="17"/>
        <v>-34.92328650208799</v>
      </c>
      <c r="BA38" s="16"/>
      <c r="BB38" s="2"/>
    </row>
    <row r="39" spans="1:54" x14ac:dyDescent="0.25">
      <c r="A39">
        <v>37</v>
      </c>
      <c r="B39" s="1">
        <f>ROUND((A39+Forudsætninger!$C$60)/30.4,1)</f>
        <v>2.5</v>
      </c>
      <c r="C39" s="1">
        <f>VLOOKUP((A39+Forudsætninger!$C$60),'Model tilvækst, slagteform, fe'!A:B,2,FALSE)</f>
        <v>103.37404927567788</v>
      </c>
      <c r="D39" s="3">
        <f t="shared" si="24"/>
        <v>1223.7931318545066</v>
      </c>
      <c r="E39" s="1">
        <f>(1+Forudsætninger!$C$78)*C39</f>
        <v>96.13786582638042</v>
      </c>
      <c r="F39" s="2">
        <f t="shared" si="25"/>
        <v>7.3412315449496237</v>
      </c>
      <c r="G39" s="1">
        <f t="shared" si="2"/>
        <v>103.47909737133004</v>
      </c>
      <c r="H39" s="3">
        <f t="shared" si="3"/>
        <v>1103.1620945717009</v>
      </c>
      <c r="I39" s="3">
        <f t="shared" si="4"/>
        <v>931.8674965224335</v>
      </c>
      <c r="J39" s="1">
        <f>VLOOKUP((A39+Forudsætninger!$C$60),'Model tilvækst, slagteform, fe'!G:K,2,FALSE)*(1+Forudsætninger!$C$79)</f>
        <v>47.186803122641038</v>
      </c>
      <c r="K39" s="17">
        <f t="shared" si="0"/>
        <v>48.828477949695525</v>
      </c>
      <c r="L39" s="17">
        <f t="shared" si="18"/>
        <v>539.13352826823052</v>
      </c>
      <c r="M39" s="3">
        <f>((K39-(('Model tilvækst, slagteform, fe'!$H$9/100)*'Model tilvækst, slagteform, fe'!$B$9))*1000/(A39+Forudsætninger!$C$60))</f>
        <v>373.44176212219253</v>
      </c>
      <c r="N39" s="17">
        <f t="shared" si="11"/>
        <v>86.549178754144933</v>
      </c>
      <c r="O39" s="19">
        <f>IF( A39&lt;Forudsætninger!$C$14,(G39/100)*Forudsætninger!$C$13,(Forudsætninger!$C$15/1000)*Forudsætninger!$C$13)</f>
        <v>0.67261413291364525</v>
      </c>
      <c r="P39" s="17" cm="1">
        <f t="array" ref="P39">INDEX('Model tilvækst, slagteform, fe'!$N$9:$N$375,MATCH(MIN(ABS('Model tilvækst, slagteform, fe'!$M$9:$M$375-'Vækstfunktion, hol'!G39)),ABS('Model tilvækst, slagteform, fe'!$M$9:$M$375-'Vækstfunktion, hol'!G39),0))*(1+Forudsætninger!$C$80)</f>
        <v>2.9159263950545022</v>
      </c>
      <c r="Q39" s="17">
        <f t="shared" si="12"/>
        <v>5.4085421183521101</v>
      </c>
      <c r="R39" s="17">
        <f t="shared" si="13"/>
        <v>5.1798675029737318</v>
      </c>
      <c r="S39" s="17">
        <f t="shared" si="5"/>
        <v>2.5101927066719574</v>
      </c>
      <c r="T39" s="19">
        <f>(P39)*IF(N39&lt;Forudsætninger!$B$228,IF(N39&lt;Forudsætninger!$B$227,Forudsætninger!$B$225,Forudsætninger!$C$9),Forudsætninger!$C$11)+O39</f>
        <v>7.9915893845004451</v>
      </c>
      <c r="U39" s="2">
        <f>Forudsætninger!$C$68+((K39-(Forudsætninger!$C$84)))*0.01</f>
        <v>2.1853376384855956</v>
      </c>
      <c r="V39" s="2">
        <f>U39+Forudsætninger!$C$69</f>
        <v>1.1853376384855956</v>
      </c>
      <c r="W39">
        <f t="shared" si="6"/>
        <v>0</v>
      </c>
      <c r="X39">
        <f>IF(A39+Forudsætninger!$C$60&gt;248,IF(A39+Forudsætninger!$C$60&lt;365,IF(K39&gt;180,IF(K39&lt;260,1,0),0),0),0)</f>
        <v>0</v>
      </c>
      <c r="Y39" s="22">
        <f>IF(X39=0,0,IF('Vækstfunktion, hol'!A39&lt;Forudsætninger!$C$66,Forudsætninger!$C$67+(('Vækstfunktion, hol'!A39-Forudsætninger!$C$66)/7)*Forudsætninger!$C$64,Forudsætninger!$C$67))</f>
        <v>0</v>
      </c>
      <c r="Z39" s="19">
        <f t="shared" si="19"/>
        <v>735.16819825750156</v>
      </c>
      <c r="AA39" s="19">
        <f>Forudsætninger!$C$62+Forudsætninger!$C$16</f>
        <v>1350</v>
      </c>
      <c r="AB39" s="19">
        <f>IF(K39&gt;Forudsætninger!$C$26,IF(K39&gt;Forudsætninger!$C$27,IF(K39&gt;Forudsætninger!$C$28,Forudsætninger!$E$28,Forudsætninger!$E$27+Forudsætninger!$F$28*(K39-Forudsætninger!$C$27)),Forudsætninger!$E$26+Forudsætninger!$F$27*(K39-Forudsætninger!$C$26)),Forudsætninger!$E$26)+IF(K39&gt;Forudsætninger!$C$28,Forudsætninger!$G$28,IF(K39&gt;Forudsætninger!$C$27,Forudsætninger!$G$27+Forudsætninger!$H$28*(K39-Forudsætninger!$C$27),IF(K39&gt;Forudsætninger!$C$26,Forudsætninger!$G$26+Forudsætninger!$H$27*(K39-Forudsætninger!$C$26),Forudsætninger!$G$26)))*(U39-Forudsætninger!$H$26)</f>
        <v>32.989003228864199</v>
      </c>
      <c r="AC39" s="19">
        <f>IF(K39&gt;Forudsætninger!$C$31,IF(K39&gt;Forudsætninger!$C$32,IF(K39&gt;Forudsætninger!$C$33,Forudsætninger!$E$33,Forudsætninger!$E$32+Forudsætninger!$F$33*(K39-Forudsætninger!$C$32)),Forudsætninger!$E$31+Forudsætninger!$F$32*(K39-Forudsætninger!$C$31)),Forudsætninger!$E$31)+IF(K39&gt;Forudsætninger!$C$33,Forudsætninger!$G$33,IF(K39&gt;Forudsætninger!$C$32,Forudsætninger!$G$32+Forudsætninger!$H$33*(K39-Forudsætninger!$C$32),IF(K39&gt;Forudsætninger!$C$31,Forudsætninger!$G$31+Forudsætninger!$H$32*(K39-Forudsætninger!$C$31),Forudsætninger!$G$31)))*(V39-Forudsætninger!$H$31)</f>
        <v>25.940938930031272</v>
      </c>
      <c r="AD39" s="19">
        <f t="shared" si="7"/>
        <v>1266.6565645394303</v>
      </c>
      <c r="AE39" s="19">
        <f t="shared" si="8"/>
        <v>25.940938930031272</v>
      </c>
      <c r="AF39">
        <f>IF(G39&lt;=Forudsætninger!$C$97,Forudsætninger!$C$98,(IF(G39&lt;=Forudsætninger!$D$97,Forudsætninger!$D$98,IF(G39&lt;=Forudsætninger!$E$97,Forudsætninger!$E$98,IF(G39&lt;=Forudsætninger!$F$97,Forudsætninger!$F$98,IF(G39&lt;=Forudsætninger!$G$97,Forudsætninger!$G$98,IF(G39&lt;=Forudsætninger!$H$97,Forudsætninger!$H$98,IF(G39&lt;=Forudsætninger!$I$97,Forudsætninger!$I$98,Forudsætninger!$I$98))))))))</f>
        <v>2.2000000000000002</v>
      </c>
      <c r="AG39" s="1">
        <f t="shared" si="14"/>
        <v>2.2000000000000002</v>
      </c>
      <c r="AH39" s="1">
        <f t="shared" si="20"/>
        <v>81.400000000000048</v>
      </c>
      <c r="AI39" s="1">
        <f t="shared" si="9"/>
        <v>2.2000000000000015</v>
      </c>
      <c r="AJ39" s="20">
        <f>+(W39*Forudsætninger!$C$12)</f>
        <v>0</v>
      </c>
      <c r="AK39" s="20">
        <f>Forudsætninger!$C$17</f>
        <v>250</v>
      </c>
      <c r="AL39" s="20">
        <f>IF(A39&lt;92,Forudsætninger!$C$20,Forudsætninger!$C$21)</f>
        <v>4.0072859744990899</v>
      </c>
      <c r="AM39" s="20">
        <f t="shared" si="15"/>
        <v>148.26958105646628</v>
      </c>
      <c r="AN39" s="20">
        <f>IFERROR(AD39+AJ39-AA39-Z39-AK39-AM39-Forudsætninger!$C$75,-99999999)</f>
        <v>-1399.1754073239319</v>
      </c>
      <c r="AO39" s="19">
        <f>IFERROR(AN39/(A39+Forudsætninger!$C$74),-99999999)</f>
        <v>-37.815551549295456</v>
      </c>
      <c r="AP39" s="19">
        <f>IFERROR(((365/(A39+Forudsætninger!$C$74))*AN39)/(AI39+Forudsætninger!$C$73),-9999999)</f>
        <v>-5975.1845521614005</v>
      </c>
      <c r="AQ39" s="18">
        <f t="shared" si="10"/>
        <v>37</v>
      </c>
      <c r="AR39" s="18">
        <f t="shared" si="16"/>
        <v>2483.4377793139679</v>
      </c>
      <c r="AS39" s="52">
        <f t="shared" si="1"/>
        <v>2.5</v>
      </c>
      <c r="AT39" s="50">
        <f t="shared" si="21"/>
        <v>2.325201833202982</v>
      </c>
      <c r="AU39" s="50">
        <f t="shared" si="22"/>
        <v>1.1150209272916243</v>
      </c>
      <c r="AV39" s="2">
        <f t="shared" si="23"/>
        <v>176.18296037292021</v>
      </c>
      <c r="AW39" s="61">
        <f t="shared" si="17"/>
        <v>-33.808265574796373</v>
      </c>
      <c r="BA39" s="16"/>
      <c r="BB39" s="2"/>
    </row>
    <row r="40" spans="1:54" x14ac:dyDescent="0.25">
      <c r="A40">
        <v>38</v>
      </c>
      <c r="B40" s="1">
        <f>ROUND((A40+Forudsætninger!$C$60)/30.4,1)</f>
        <v>2.5</v>
      </c>
      <c r="C40" s="1">
        <f>VLOOKUP((A40+Forudsætninger!$C$60),'Model tilvækst, slagteform, fe'!A:B,2,FALSE)</f>
        <v>104.60682561769997</v>
      </c>
      <c r="D40" s="3">
        <f t="shared" si="24"/>
        <v>1232.7763420220917</v>
      </c>
      <c r="E40" s="1">
        <f>(1+Forudsætninger!$C$78)*C40</f>
        <v>97.284347824460966</v>
      </c>
      <c r="F40" s="2">
        <f t="shared" si="25"/>
        <v>7.3060093637489922</v>
      </c>
      <c r="G40" s="1">
        <f t="shared" si="2"/>
        <v>104.59035718820996</v>
      </c>
      <c r="H40" s="3">
        <f t="shared" si="3"/>
        <v>1111.2598168799223</v>
      </c>
      <c r="I40" s="3">
        <f t="shared" si="4"/>
        <v>936.58834705815696</v>
      </c>
      <c r="J40" s="1">
        <f>VLOOKUP((A40+Forudsætninger!$C$60),'Model tilvækst, slagteform, fe'!G:K,2,FALSE)*(1+Forudsætninger!$C$79)</f>
        <v>47.205002055924915</v>
      </c>
      <c r="K40" s="17">
        <f t="shared" si="0"/>
        <v>49.371880260993727</v>
      </c>
      <c r="L40" s="17">
        <f t="shared" si="18"/>
        <v>543.40231129820177</v>
      </c>
      <c r="M40" s="3">
        <f>((K40-(('Model tilvækst, slagteform, fe'!$H$9/100)*'Model tilvækst, slagteform, fe'!$B$9))*1000/(A40+Forudsætninger!$C$60))</f>
        <v>375.64904198162117</v>
      </c>
      <c r="N40" s="17">
        <f t="shared" si="11"/>
        <v>89.503155929394083</v>
      </c>
      <c r="O40" s="19">
        <f>IF( A40&lt;Forudsætninger!$C$14,(G40/100)*Forudsætninger!$C$13,(Forudsætninger!$C$15/1000)*Forudsætninger!$C$13)</f>
        <v>0.67983732172336486</v>
      </c>
      <c r="P40" s="17" cm="1">
        <f t="array" ref="P40">INDEX('Model tilvækst, slagteform, fe'!$N$9:$N$375,MATCH(MIN(ABS('Model tilvækst, slagteform, fe'!$M$9:$M$375-'Vækstfunktion, hol'!G40)),ABS('Model tilvækst, slagteform, fe'!$M$9:$M$375-'Vækstfunktion, hol'!G40),0))*(1+Forudsætninger!$C$80)</f>
        <v>2.9539771752491468</v>
      </c>
      <c r="Q40" s="17">
        <f t="shared" si="12"/>
        <v>5.4360776791545504</v>
      </c>
      <c r="R40" s="17">
        <f t="shared" si="13"/>
        <v>5.1879375161560368</v>
      </c>
      <c r="S40" s="17">
        <f t="shared" si="5"/>
        <v>2.5148147700817076</v>
      </c>
      <c r="T40" s="19">
        <f>(P40)*IF(N40&lt;Forudsætninger!$B$228,IF(N40&lt;Forudsætninger!$B$227,Forudsætninger!$B$225,Forudsætninger!$C$9),Forudsætninger!$C$11)+O40</f>
        <v>8.0943200315987234</v>
      </c>
      <c r="U40" s="2">
        <f>Forudsætninger!$C$68+((K40-(Forudsætninger!$C$84)))*0.01</f>
        <v>2.1907716615985775</v>
      </c>
      <c r="V40" s="2">
        <f>U40+Forudsætninger!$C$69</f>
        <v>1.1907716615985775</v>
      </c>
      <c r="W40">
        <f t="shared" si="6"/>
        <v>0</v>
      </c>
      <c r="X40">
        <f>IF(A40+Forudsætninger!$C$60&gt;248,IF(A40+Forudsætninger!$C$60&lt;365,IF(K40&gt;180,IF(K40&lt;260,1,0),0),0),0)</f>
        <v>0</v>
      </c>
      <c r="Y40" s="22">
        <f>IF(X40=0,0,IF('Vækstfunktion, hol'!A40&lt;Forudsætninger!$C$66,Forudsætninger!$C$67+(('Vækstfunktion, hol'!A40-Forudsætninger!$C$66)/7)*Forudsætninger!$C$64,Forudsætninger!$C$67))</f>
        <v>0</v>
      </c>
      <c r="Z40" s="19">
        <f t="shared" si="19"/>
        <v>743.26251828910029</v>
      </c>
      <c r="AA40" s="19">
        <f>Forudsætninger!$C$62+Forudsætninger!$C$16</f>
        <v>1350</v>
      </c>
      <c r="AB40" s="19">
        <f>IF(K40&gt;Forudsætninger!$C$26,IF(K40&gt;Forudsætninger!$C$27,IF(K40&gt;Forudsætninger!$C$28,Forudsætninger!$E$28,Forudsætninger!$E$27+Forudsætninger!$F$28*(K40-Forudsætninger!$C$27)),Forudsætninger!$E$26+Forudsætninger!$F$27*(K40-Forudsætninger!$C$26)),Forudsætninger!$E$26)+IF(K40&gt;Forudsætninger!$C$28,Forudsætninger!$G$28,IF(K40&gt;Forudsætninger!$C$27,Forudsætninger!$G$27+Forudsætninger!$H$28*(K40-Forudsætninger!$C$27),IF(K40&gt;Forudsætninger!$C$26,Forudsætninger!$G$26+Forudsætninger!$H$27*(K40-Forudsætninger!$C$26),Forudsætninger!$G$26)))*(U40-Forudsætninger!$H$26)</f>
        <v>32.993078746198933</v>
      </c>
      <c r="AC40" s="19">
        <f>IF(K40&gt;Forudsætninger!$C$31,IF(K40&gt;Forudsætninger!$C$32,IF(K40&gt;Forudsætninger!$C$33,Forudsætninger!$E$33,Forudsætninger!$E$32+Forudsætninger!$F$33*(K40-Forudsætninger!$C$32)),Forudsætninger!$E$31+Forudsætninger!$F$32*(K40-Forudsætninger!$C$31)),Forudsætninger!$E$31)+IF(K40&gt;Forudsætninger!$C$33,Forudsætninger!$G$33,IF(K40&gt;Forudsætninger!$C$32,Forudsætninger!$G$32+Forudsætninger!$H$33*(K40-Forudsætninger!$C$32),IF(K40&gt;Forudsætninger!$C$31,Forudsætninger!$G$31+Forudsætninger!$H$32*(K40-Forudsætninger!$C$31),Forudsætninger!$G$31)))*(V40-Forudsætninger!$H$31)</f>
        <v>25.948003160078152</v>
      </c>
      <c r="AD40" s="19">
        <f t="shared" si="7"/>
        <v>1281.1017050312653</v>
      </c>
      <c r="AE40" s="19">
        <f t="shared" si="8"/>
        <v>25.948003160078152</v>
      </c>
      <c r="AF40">
        <f>IF(G40&lt;=Forudsætninger!$C$97,Forudsætninger!$C$98,(IF(G40&lt;=Forudsætninger!$D$97,Forudsætninger!$D$98,IF(G40&lt;=Forudsætninger!$E$97,Forudsætninger!$E$98,IF(G40&lt;=Forudsætninger!$F$97,Forudsætninger!$F$98,IF(G40&lt;=Forudsætninger!$G$97,Forudsætninger!$G$98,IF(G40&lt;=Forudsætninger!$H$97,Forudsætninger!$H$98,IF(G40&lt;=Forudsætninger!$I$97,Forudsætninger!$I$98,Forudsætninger!$I$98))))))))</f>
        <v>2.2000000000000002</v>
      </c>
      <c r="AG40" s="1">
        <f t="shared" si="14"/>
        <v>2.2000000000000002</v>
      </c>
      <c r="AH40" s="1">
        <f t="shared" si="20"/>
        <v>83.600000000000051</v>
      </c>
      <c r="AI40" s="1">
        <f t="shared" si="9"/>
        <v>2.2000000000000015</v>
      </c>
      <c r="AJ40" s="20">
        <f>+(W40*Forudsætninger!$C$12)</f>
        <v>0</v>
      </c>
      <c r="AK40" s="20">
        <f>Forudsætninger!$C$17</f>
        <v>250</v>
      </c>
      <c r="AL40" s="20">
        <f>IF(A40&lt;92,Forudsætninger!$C$20,Forudsætninger!$C$21)</f>
        <v>4.0072859744990899</v>
      </c>
      <c r="AM40" s="20">
        <f t="shared" si="15"/>
        <v>152.27686703096538</v>
      </c>
      <c r="AN40" s="20">
        <f>IFERROR(AD40+AJ40-AA40-Z40-AK40-AM40-Forudsætninger!$C$75,-99999999)</f>
        <v>-1396.8318728381948</v>
      </c>
      <c r="AO40" s="19">
        <f>IFERROR(AN40/(A40+Forudsætninger!$C$74),-99999999)</f>
        <v>-36.758733495741971</v>
      </c>
      <c r="AP40" s="19">
        <f>IFERROR(((365/(A40+Forudsætninger!$C$74))*AN40)/(AI40+Forudsætninger!$C$73),-9999999)</f>
        <v>-5808.1981497600909</v>
      </c>
      <c r="AQ40" s="18">
        <f t="shared" si="10"/>
        <v>38</v>
      </c>
      <c r="AR40" s="18">
        <f t="shared" si="16"/>
        <v>2495.5393853200658</v>
      </c>
      <c r="AS40" s="52">
        <f t="shared" si="1"/>
        <v>2.5</v>
      </c>
      <c r="AT40" s="50">
        <f t="shared" si="21"/>
        <v>2.3435344857371092</v>
      </c>
      <c r="AU40" s="50">
        <f t="shared" si="22"/>
        <v>1.056818053553485</v>
      </c>
      <c r="AV40" s="2">
        <f t="shared" si="23"/>
        <v>166.98640240130953</v>
      </c>
      <c r="AW40" s="61">
        <f t="shared" si="17"/>
        <v>-32.751447521242881</v>
      </c>
      <c r="BA40" s="16"/>
      <c r="BB40" s="2"/>
    </row>
    <row r="41" spans="1:54" x14ac:dyDescent="0.25">
      <c r="A41">
        <v>39</v>
      </c>
      <c r="B41" s="1">
        <f>ROUND((A41+Forudsætninger!$C$60)/30.4,1)</f>
        <v>2.6</v>
      </c>
      <c r="C41" s="1">
        <f>VLOOKUP((A41+Forudsætninger!$C$60),'Model tilvækst, slagteform, fe'!A:B,2,FALSE)</f>
        <v>105.8484661345137</v>
      </c>
      <c r="D41" s="3">
        <f t="shared" si="24"/>
        <v>1241.6405168137317</v>
      </c>
      <c r="E41" s="1">
        <f>(1+Forudsætninger!$C$78)*C41</f>
        <v>98.439073505097738</v>
      </c>
      <c r="F41" s="2">
        <f t="shared" si="25"/>
        <v>7.2705339204114567</v>
      </c>
      <c r="G41" s="1">
        <f t="shared" si="2"/>
        <v>105.70960742550919</v>
      </c>
      <c r="H41" s="3">
        <f t="shared" si="3"/>
        <v>1119.2502372992267</v>
      </c>
      <c r="I41" s="3">
        <f t="shared" si="4"/>
        <v>941.27198526946631</v>
      </c>
      <c r="J41" s="1">
        <f>VLOOKUP((A41+Forudsætninger!$C$60),'Model tilvækst, slagteform, fe'!G:K,2,FALSE)*(1+Forudsætninger!$C$79)</f>
        <v>47.223243001147686</v>
      </c>
      <c r="K41" s="17">
        <f t="shared" si="0"/>
        <v>49.91950479010746</v>
      </c>
      <c r="L41" s="17">
        <f t="shared" si="18"/>
        <v>547.62452911373316</v>
      </c>
      <c r="M41" s="3">
        <f>((K41-(('Model tilvækst, slagteform, fe'!$H$9/100)*'Model tilvækst, slagteform, fe'!$B$9))*1000/(A41+Forudsætninger!$C$60))</f>
        <v>377.85385591921238</v>
      </c>
      <c r="N41" s="17">
        <f t="shared" si="11"/>
        <v>92.495252931306524</v>
      </c>
      <c r="O41" s="19">
        <f>IF( A41&lt;Forudsætninger!$C$14,(G41/100)*Forudsætninger!$C$13,(Forudsætninger!$C$15/1000)*Forudsætninger!$C$13)</f>
        <v>0.68711244826580975</v>
      </c>
      <c r="P41" s="17" cm="1">
        <f t="array" ref="P41">INDEX('Model tilvækst, slagteform, fe'!$N$9:$N$375,MATCH(MIN(ABS('Model tilvækst, slagteform, fe'!$M$9:$M$375-'Vækstfunktion, hol'!G41)),ABS('Model tilvækst, slagteform, fe'!$M$9:$M$375-'Vækstfunktion, hol'!G41),0))*(1+Forudsætninger!$C$80)</f>
        <v>2.9920970019124411</v>
      </c>
      <c r="Q41" s="17">
        <f t="shared" si="12"/>
        <v>5.4637746171721036</v>
      </c>
      <c r="R41" s="17">
        <f t="shared" si="13"/>
        <v>5.1964238614139804</v>
      </c>
      <c r="S41" s="17">
        <f t="shared" si="5"/>
        <v>2.5196470193530964</v>
      </c>
      <c r="T41" s="19">
        <f>(P41)*IF(N41&lt;Forudsætninger!$B$228,IF(N41&lt;Forudsætninger!$B$227,Forudsætninger!$B$225,Forudsætninger!$C$9),Forudsætninger!$C$11)+O41</f>
        <v>8.1972759230660355</v>
      </c>
      <c r="U41" s="2">
        <f>Forudsætninger!$C$68+((K41-(Forudsætninger!$C$84)))*0.01</f>
        <v>2.1962479068897149</v>
      </c>
      <c r="V41" s="2">
        <f>U41+Forudsætninger!$C$69</f>
        <v>1.1962479068897149</v>
      </c>
      <c r="W41">
        <f t="shared" si="6"/>
        <v>0</v>
      </c>
      <c r="X41">
        <f>IF(A41+Forudsætninger!$C$60&gt;248,IF(A41+Forudsætninger!$C$60&lt;365,IF(K41&gt;180,IF(K41&lt;260,1,0),0),0),0)</f>
        <v>0</v>
      </c>
      <c r="Y41" s="22">
        <f>IF(X41=0,0,IF('Vækstfunktion, hol'!A41&lt;Forudsætninger!$C$66,Forudsætninger!$C$67+(('Vækstfunktion, hol'!A41-Forudsætninger!$C$66)/7)*Forudsætninger!$C$64,Forudsætninger!$C$67))</f>
        <v>0</v>
      </c>
      <c r="Z41" s="19">
        <f t="shared" si="19"/>
        <v>751.45979421216634</v>
      </c>
      <c r="AA41" s="19">
        <f>Forudsætninger!$C$62+Forudsætninger!$C$16</f>
        <v>1350</v>
      </c>
      <c r="AB41" s="19">
        <f>IF(K41&gt;Forudsætninger!$C$26,IF(K41&gt;Forudsætninger!$C$27,IF(K41&gt;Forudsætninger!$C$28,Forudsætninger!$E$28,Forudsætninger!$E$27+Forudsætninger!$F$28*(K41-Forudsætninger!$C$27)),Forudsætninger!$E$26+Forudsætninger!$F$27*(K41-Forudsætninger!$C$26)),Forudsætninger!$E$26)+IF(K41&gt;Forudsætninger!$C$28,Forudsætninger!$G$28,IF(K41&gt;Forudsætninger!$C$27,Forudsætninger!$G$27+Forudsætninger!$H$28*(K41-Forudsætninger!$C$27),IF(K41&gt;Forudsætninger!$C$26,Forudsætninger!$G$26+Forudsætninger!$H$27*(K41-Forudsætninger!$C$26),Forudsætninger!$G$26)))*(U41-Forudsætninger!$H$26)</f>
        <v>32.997185930167291</v>
      </c>
      <c r="AC41" s="19">
        <f>IF(K41&gt;Forudsætninger!$C$31,IF(K41&gt;Forudsætninger!$C$32,IF(K41&gt;Forudsætninger!$C$33,Forudsætninger!$E$33,Forudsætninger!$E$32+Forudsætninger!$F$33*(K41-Forudsætninger!$C$32)),Forudsætninger!$E$31+Forudsætninger!$F$32*(K41-Forudsætninger!$C$31)),Forudsætninger!$E$31)+IF(K41&gt;Forudsætninger!$C$33,Forudsætninger!$G$33,IF(K41&gt;Forudsætninger!$C$32,Forudsætninger!$G$32+Forudsætninger!$H$33*(K41-Forudsætninger!$C$32),IF(K41&gt;Forudsætninger!$C$31,Forudsætninger!$G$31+Forudsætninger!$H$32*(K41-Forudsætninger!$C$31),Forudsætninger!$G$31)))*(V41-Forudsætninger!$H$31)</f>
        <v>25.95512227895663</v>
      </c>
      <c r="AD41" s="19">
        <f t="shared" si="7"/>
        <v>1295.6668509322003</v>
      </c>
      <c r="AE41" s="19">
        <f t="shared" si="8"/>
        <v>25.95512227895663</v>
      </c>
      <c r="AF41">
        <f>IF(G41&lt;=Forudsætninger!$C$97,Forudsætninger!$C$98,(IF(G41&lt;=Forudsætninger!$D$97,Forudsætninger!$D$98,IF(G41&lt;=Forudsætninger!$E$97,Forudsætninger!$E$98,IF(G41&lt;=Forudsætninger!$F$97,Forudsætninger!$F$98,IF(G41&lt;=Forudsætninger!$G$97,Forudsætninger!$G$98,IF(G41&lt;=Forudsætninger!$H$97,Forudsætninger!$H$98,IF(G41&lt;=Forudsætninger!$I$97,Forudsætninger!$I$98,Forudsætninger!$I$98))))))))</f>
        <v>2.2000000000000002</v>
      </c>
      <c r="AG41" s="1">
        <f t="shared" si="14"/>
        <v>2.2000000000000002</v>
      </c>
      <c r="AH41" s="1">
        <f t="shared" si="20"/>
        <v>85.800000000000054</v>
      </c>
      <c r="AI41" s="1">
        <f t="shared" si="9"/>
        <v>2.2000000000000015</v>
      </c>
      <c r="AJ41" s="20">
        <f>+(W41*Forudsætninger!$C$12)</f>
        <v>0</v>
      </c>
      <c r="AK41" s="20">
        <f>Forudsætninger!$C$17</f>
        <v>250</v>
      </c>
      <c r="AL41" s="20">
        <f>IF(A41&lt;92,Forudsætninger!$C$20,Forudsætninger!$C$21)</f>
        <v>4.0072859744990899</v>
      </c>
      <c r="AM41" s="20">
        <f t="shared" si="15"/>
        <v>156.28415300546447</v>
      </c>
      <c r="AN41" s="20">
        <f>IFERROR(AD41+AJ41-AA41-Z41-AK41-AM41-Forudsætninger!$C$75,-99999999)</f>
        <v>-1394.4712888348251</v>
      </c>
      <c r="AO41" s="19">
        <f>IFERROR(AN41/(A41+Forudsætninger!$C$74),-99999999)</f>
        <v>-35.755674072687825</v>
      </c>
      <c r="AP41" s="19">
        <f>IFERROR(((365/(A41+Forudsætninger!$C$74))*AN41)/(AI41+Forudsætninger!$C$73),-9999999)</f>
        <v>-5649.7060764203679</v>
      </c>
      <c r="AQ41" s="18">
        <f t="shared" si="10"/>
        <v>39</v>
      </c>
      <c r="AR41" s="18">
        <f t="shared" si="16"/>
        <v>2507.7439472176306</v>
      </c>
      <c r="AS41" s="52">
        <f t="shared" si="1"/>
        <v>2.6</v>
      </c>
      <c r="AT41" s="50">
        <f t="shared" si="21"/>
        <v>2.360584003369695</v>
      </c>
      <c r="AU41" s="50">
        <f t="shared" si="22"/>
        <v>1.0030594230541467</v>
      </c>
      <c r="AV41" s="2">
        <f t="shared" si="23"/>
        <v>158.49207333972299</v>
      </c>
      <c r="AW41" s="61">
        <f t="shared" si="17"/>
        <v>-31.748388098188734</v>
      </c>
      <c r="BA41" s="16"/>
      <c r="BB41" s="2"/>
    </row>
    <row r="42" spans="1:54" x14ac:dyDescent="0.25">
      <c r="A42">
        <v>40</v>
      </c>
      <c r="B42" s="1">
        <f>ROUND((A42+Forudsætninger!$C$60)/30.4,1)</f>
        <v>2.6</v>
      </c>
      <c r="C42" s="1">
        <f>VLOOKUP((A42+Forudsætninger!$C$60),'Model tilvækst, slagteform, fe'!A:B,2,FALSE)</f>
        <v>107.09885232509042</v>
      </c>
      <c r="D42" s="3">
        <f t="shared" si="24"/>
        <v>1250.3861905767194</v>
      </c>
      <c r="E42" s="1">
        <f>(1+Forudsætninger!$C$78)*C42</f>
        <v>99.601932662334079</v>
      </c>
      <c r="F42" s="2">
        <f t="shared" si="25"/>
        <v>7.2348086006806938</v>
      </c>
      <c r="G42" s="1">
        <f t="shared" si="2"/>
        <v>106.83674126301477</v>
      </c>
      <c r="H42" s="3">
        <f t="shared" si="3"/>
        <v>1127.1338375055821</v>
      </c>
      <c r="I42" s="3">
        <f t="shared" si="4"/>
        <v>945.91853157536934</v>
      </c>
      <c r="J42" s="1">
        <f>VLOOKUP((A42+Forudsætninger!$C$60),'Model tilvækst, slagteform, fe'!G:K,2,FALSE)*(1+Forudsætninger!$C$79)</f>
        <v>47.24152428265652</v>
      </c>
      <c r="K42" s="17">
        <f t="shared" si="0"/>
        <v>50.471305066566046</v>
      </c>
      <c r="L42" s="17">
        <f t="shared" si="18"/>
        <v>551.80027645858581</v>
      </c>
      <c r="M42" s="3">
        <f>((K42-(('Model tilvækst, slagteform, fe'!$H$9/100)*'Model tilvækst, slagteform, fe'!$B$9))*1000/(A42+Forudsætninger!$C$60))</f>
        <v>380.05570934376141</v>
      </c>
      <c r="N42" s="17">
        <f t="shared" si="11"/>
        <v>95.525533775368274</v>
      </c>
      <c r="O42" s="19">
        <f>IF( A42&lt;Forudsætninger!$C$14,(G42/100)*Forudsætninger!$C$13,(Forudsætninger!$C$15/1000)*Forudsætninger!$C$13)</f>
        <v>0.69443881820959596</v>
      </c>
      <c r="P42" s="17" cm="1">
        <f t="array" ref="P42">INDEX('Model tilvækst, slagteform, fe'!$N$9:$N$375,MATCH(MIN(ABS('Model tilvækst, slagteform, fe'!$M$9:$M$375-'Vækstfunktion, hol'!G42)),ABS('Model tilvækst, slagteform, fe'!$M$9:$M$375-'Vækstfunktion, hol'!G42),0))*(1+Forudsætninger!$C$80)</f>
        <v>3.0302808440617452</v>
      </c>
      <c r="Q42" s="17">
        <f t="shared" si="12"/>
        <v>5.4916261795116679</v>
      </c>
      <c r="R42" s="17">
        <f t="shared" si="13"/>
        <v>5.2053000797268325</v>
      </c>
      <c r="S42" s="17">
        <f t="shared" si="5"/>
        <v>2.5246765600488965</v>
      </c>
      <c r="T42" s="19">
        <f>(P42)*IF(N42&lt;Forudsætninger!$B$228,IF(N42&lt;Forudsætninger!$B$227,Forudsætninger!$B$225,Forudsætninger!$C$9),Forudsætninger!$C$11)+O42</f>
        <v>8.300443736804576</v>
      </c>
      <c r="U42" s="2">
        <f>Forudsætninger!$C$68+((K42-(Forudsætninger!$C$84)))*0.01</f>
        <v>2.2017659096543003</v>
      </c>
      <c r="V42" s="2">
        <f>U42+Forudsætninger!$C$69</f>
        <v>1.2017659096543003</v>
      </c>
      <c r="W42">
        <f t="shared" si="6"/>
        <v>0</v>
      </c>
      <c r="X42">
        <f>IF(A42+Forudsætninger!$C$60&gt;248,IF(A42+Forudsætninger!$C$60&lt;365,IF(K42&gt;180,IF(K42&lt;260,1,0),0),0),0)</f>
        <v>0</v>
      </c>
      <c r="Y42" s="22">
        <f>IF(X42=0,0,IF('Vækstfunktion, hol'!A42&lt;Forudsætninger!$C$66,Forudsætninger!$C$67+(('Vækstfunktion, hol'!A42-Forudsætninger!$C$66)/7)*Forudsætninger!$C$64,Forudsætninger!$C$67))</f>
        <v>0</v>
      </c>
      <c r="Z42" s="19">
        <f t="shared" si="19"/>
        <v>759.76023794897094</v>
      </c>
      <c r="AA42" s="19">
        <f>Forudsætninger!$C$62+Forudsætninger!$C$16</f>
        <v>1350</v>
      </c>
      <c r="AB42" s="19">
        <f>IF(K42&gt;Forudsætninger!$C$26,IF(K42&gt;Forudsætninger!$C$27,IF(K42&gt;Forudsætninger!$C$28,Forudsætninger!$E$28,Forudsætninger!$E$27+Forudsætninger!$F$28*(K42-Forudsætninger!$C$27)),Forudsætninger!$E$26+Forudsætninger!$F$27*(K42-Forudsætninger!$C$26)),Forudsætninger!$E$26)+IF(K42&gt;Forudsætninger!$C$28,Forudsætninger!$G$28,IF(K42&gt;Forudsætninger!$C$27,Forudsætninger!$G$27+Forudsætninger!$H$28*(K42-Forudsætninger!$C$27),IF(K42&gt;Forudsætninger!$C$26,Forudsætninger!$G$26+Forudsætninger!$H$27*(K42-Forudsætninger!$C$26),Forudsætninger!$G$26)))*(U42-Forudsætninger!$H$26)</f>
        <v>33.001324432240729</v>
      </c>
      <c r="AC42" s="19">
        <f>IF(K42&gt;Forudsætninger!$C$31,IF(K42&gt;Forudsætninger!$C$32,IF(K42&gt;Forudsætninger!$C$33,Forudsætninger!$E$33,Forudsætninger!$E$32+Forudsætninger!$F$33*(K42-Forudsætninger!$C$32)),Forudsætninger!$E$31+Forudsætninger!$F$32*(K42-Forudsætninger!$C$31)),Forudsætninger!$E$31)+IF(K42&gt;Forudsætninger!$C$33,Forudsætninger!$G$33,IF(K42&gt;Forudsætninger!$C$32,Forudsætninger!$G$32+Forudsætninger!$H$33*(K42-Forudsætninger!$C$32),IF(K42&gt;Forudsætninger!$C$31,Forudsætninger!$G$31+Forudsætninger!$H$32*(K42-Forudsætninger!$C$31),Forudsætninger!$G$31)))*(V42-Forudsætninger!$H$31)</f>
        <v>25.96229568255059</v>
      </c>
      <c r="AD42" s="19">
        <f t="shared" si="7"/>
        <v>1310.3509456224012</v>
      </c>
      <c r="AE42" s="19">
        <f t="shared" si="8"/>
        <v>25.962295682550586</v>
      </c>
      <c r="AF42">
        <f>IF(G42&lt;=Forudsætninger!$C$97,Forudsætninger!$C$98,(IF(G42&lt;=Forudsætninger!$D$97,Forudsætninger!$D$98,IF(G42&lt;=Forudsætninger!$E$97,Forudsætninger!$E$98,IF(G42&lt;=Forudsætninger!$F$97,Forudsætninger!$F$98,IF(G42&lt;=Forudsætninger!$G$97,Forudsætninger!$G$98,IF(G42&lt;=Forudsætninger!$H$97,Forudsætninger!$H$98,IF(G42&lt;=Forudsætninger!$I$97,Forudsætninger!$I$98,Forudsætninger!$I$98))))))))</f>
        <v>2.2000000000000002</v>
      </c>
      <c r="AG42" s="1">
        <f t="shared" si="14"/>
        <v>2.2000000000000002</v>
      </c>
      <c r="AH42" s="1">
        <f t="shared" si="20"/>
        <v>88.000000000000057</v>
      </c>
      <c r="AI42" s="1">
        <f t="shared" si="9"/>
        <v>2.2000000000000015</v>
      </c>
      <c r="AJ42" s="20">
        <f>+(W42*Forudsætninger!$C$12)</f>
        <v>0</v>
      </c>
      <c r="AK42" s="20">
        <f>Forudsætninger!$C$17</f>
        <v>250</v>
      </c>
      <c r="AL42" s="20">
        <f>IF(A42&lt;92,Forudsætninger!$C$20,Forudsætninger!$C$21)</f>
        <v>4.0072859744990899</v>
      </c>
      <c r="AM42" s="20">
        <f t="shared" si="15"/>
        <v>160.29143897996357</v>
      </c>
      <c r="AN42" s="20">
        <f>IFERROR(AD42+AJ42-AA42-Z42-AK42-AM42-Forudsætninger!$C$75,-99999999)</f>
        <v>-1392.0949238559278</v>
      </c>
      <c r="AO42" s="19">
        <f>IFERROR(AN42/(A42+Forudsætninger!$C$74),-99999999)</f>
        <v>-34.802373096398199</v>
      </c>
      <c r="AP42" s="19">
        <f>IFERROR(((365/(A42+Forudsætninger!$C$74))*AN42)/(AI42+Forudsætninger!$C$73),-9999999)</f>
        <v>-5499.0762684784995</v>
      </c>
      <c r="AQ42" s="18">
        <f t="shared" si="10"/>
        <v>40</v>
      </c>
      <c r="AR42" s="18">
        <f t="shared" si="16"/>
        <v>2520.0516769289343</v>
      </c>
      <c r="AS42" s="52">
        <f t="shared" si="1"/>
        <v>2.6</v>
      </c>
      <c r="AT42" s="50">
        <f t="shared" si="21"/>
        <v>2.3763649788972998</v>
      </c>
      <c r="AU42" s="50">
        <f t="shared" si="22"/>
        <v>0.95330097628962562</v>
      </c>
      <c r="AV42" s="2">
        <f t="shared" si="23"/>
        <v>150.62980794186842</v>
      </c>
      <c r="AW42" s="61">
        <f t="shared" si="17"/>
        <v>-30.795087121899108</v>
      </c>
      <c r="BA42" s="16"/>
      <c r="BB42" s="2"/>
    </row>
    <row r="43" spans="1:54" x14ac:dyDescent="0.25">
      <c r="A43">
        <v>41</v>
      </c>
      <c r="B43" s="1">
        <f>ROUND((A43+Forudsætninger!$C$60)/30.4,1)</f>
        <v>2.6</v>
      </c>
      <c r="C43" s="1">
        <f>VLOOKUP((A43+Forudsætninger!$C$60),'Model tilvækst, slagteform, fe'!A:B,2,FALSE)</f>
        <v>108.35786622274895</v>
      </c>
      <c r="D43" s="3">
        <f t="shared" si="24"/>
        <v>1259.0138976585336</v>
      </c>
      <c r="E43" s="1">
        <f>(1+Forudsætninger!$C$78)*C43</f>
        <v>100.77281558715651</v>
      </c>
      <c r="F43" s="2">
        <f t="shared" si="25"/>
        <v>7.1988367750333069</v>
      </c>
      <c r="G43" s="1">
        <f t="shared" si="2"/>
        <v>107.97165236218981</v>
      </c>
      <c r="H43" s="3">
        <f t="shared" si="3"/>
        <v>1134.9110991750422</v>
      </c>
      <c r="I43" s="3">
        <f t="shared" si="4"/>
        <v>950.52810639487359</v>
      </c>
      <c r="J43" s="1">
        <f>VLOOKUP((A43+Forudsætninger!$C$60),'Model tilvækst, slagteform, fe'!G:K,2,FALSE)*(1+Forudsætninger!$C$79)</f>
        <v>47.259844224798535</v>
      </c>
      <c r="K43" s="17">
        <f t="shared" si="0"/>
        <v>51.027234713311913</v>
      </c>
      <c r="L43" s="17">
        <f t="shared" si="18"/>
        <v>555.92964674586653</v>
      </c>
      <c r="M43" s="3">
        <f>((K43-(('Model tilvækst, slagteform, fe'!$H$9/100)*'Model tilvækst, slagteform, fe'!$B$9))*1000/(A43+Forudsætninger!$C$60))</f>
        <v>382.25413356128774</v>
      </c>
      <c r="N43" s="17">
        <f t="shared" si="11"/>
        <v>98.594057446082701</v>
      </c>
      <c r="O43" s="19">
        <f>IF( A43&lt;Forudsætninger!$C$14,(G43/100)*Forudsætninger!$C$13,(Forudsætninger!$C$15/1000)*Forudsætninger!$C$13)</f>
        <v>0.70181574035423389</v>
      </c>
      <c r="P43" s="17" cm="1">
        <f t="array" ref="P43">INDEX('Model tilvækst, slagteform, fe'!$N$9:$N$375,MATCH(MIN(ABS('Model tilvækst, slagteform, fe'!$M$9:$M$375-'Vækstfunktion, hol'!G43)),ABS('Model tilvækst, slagteform, fe'!$M$9:$M$375-'Vækstfunktion, hol'!G43),0))*(1+Forudsætninger!$C$80)</f>
        <v>3.0685236707144221</v>
      </c>
      <c r="Q43" s="17">
        <f t="shared" si="12"/>
        <v>5.5196258891318735</v>
      </c>
      <c r="R43" s="17">
        <f t="shared" si="13"/>
        <v>5.2145420658719575</v>
      </c>
      <c r="S43" s="17">
        <f t="shared" si="5"/>
        <v>2.5298916384089059</v>
      </c>
      <c r="T43" s="19">
        <f>(P43)*IF(N43&lt;Forudsætninger!$B$228,IF(N43&lt;Forudsætninger!$B$227,Forudsætninger!$B$225,Forudsætninger!$C$9),Forudsætninger!$C$11)+O43</f>
        <v>8.4038101538474326</v>
      </c>
      <c r="U43" s="2">
        <f>Forudsætninger!$C$68+((K43-(Forudsætninger!$C$84)))*0.01</f>
        <v>2.2073252061217596</v>
      </c>
      <c r="V43" s="2">
        <f>U43+Forudsætninger!$C$69</f>
        <v>1.2073252061217596</v>
      </c>
      <c r="W43">
        <f t="shared" si="6"/>
        <v>0</v>
      </c>
      <c r="X43">
        <f>IF(A43+Forudsætninger!$C$60&gt;248,IF(A43+Forudsætninger!$C$60&lt;365,IF(K43&gt;180,IF(K43&lt;260,1,0),0),0),0)</f>
        <v>0</v>
      </c>
      <c r="Y43" s="22">
        <f>IF(X43=0,0,IF('Vækstfunktion, hol'!A43&lt;Forudsætninger!$C$66,Forudsætninger!$C$67+(('Vækstfunktion, hol'!A43-Forudsætninger!$C$66)/7)*Forudsætninger!$C$64,Forudsætninger!$C$67))</f>
        <v>0</v>
      </c>
      <c r="Z43" s="19">
        <f t="shared" si="19"/>
        <v>768.16404810281836</v>
      </c>
      <c r="AA43" s="19">
        <f>Forudsætninger!$C$62+Forudsætninger!$C$16</f>
        <v>1350</v>
      </c>
      <c r="AB43" s="19">
        <f>IF(K43&gt;Forudsætninger!$C$26,IF(K43&gt;Forudsætninger!$C$27,IF(K43&gt;Forudsætninger!$C$28,Forudsætninger!$E$28,Forudsætninger!$E$27+Forudsætninger!$F$28*(K43-Forudsætninger!$C$27)),Forudsætninger!$E$26+Forudsætninger!$F$27*(K43-Forudsætninger!$C$26)),Forudsætninger!$E$26)+IF(K43&gt;Forudsætninger!$C$28,Forudsætninger!$G$28,IF(K43&gt;Forudsætninger!$C$27,Forudsætninger!$G$27+Forudsætninger!$H$28*(K43-Forudsætninger!$C$27),IF(K43&gt;Forudsætninger!$C$26,Forudsætninger!$G$26+Forudsætninger!$H$27*(K43-Forudsætninger!$C$26),Forudsætninger!$G$26)))*(U43-Forudsætninger!$H$26)</f>
        <v>33.005493904591319</v>
      </c>
      <c r="AC43" s="19">
        <f>IF(K43&gt;Forudsætninger!$C$31,IF(K43&gt;Forudsætninger!$C$32,IF(K43&gt;Forudsætninger!$C$33,Forudsætninger!$E$33,Forudsætninger!$E$32+Forudsætninger!$F$33*(K43-Forudsætninger!$C$32)),Forudsætninger!$E$31+Forudsætninger!$F$32*(K43-Forudsætninger!$C$31)),Forudsætninger!$E$31)+IF(K43&gt;Forudsætninger!$C$33,Forudsætninger!$G$33,IF(K43&gt;Forudsætninger!$C$32,Forudsætninger!$G$32+Forudsætninger!$H$33*(K43-Forudsætninger!$C$32),IF(K43&gt;Forudsætninger!$C$31,Forudsætninger!$G$31+Forudsætninger!$H$32*(K43-Forudsætninger!$C$31),Forudsætninger!$G$31)))*(V43-Forudsætninger!$H$31)</f>
        <v>25.969522767958289</v>
      </c>
      <c r="AD43" s="19">
        <f t="shared" si="7"/>
        <v>1325.1529336733051</v>
      </c>
      <c r="AE43" s="19">
        <f t="shared" si="8"/>
        <v>25.969522767958285</v>
      </c>
      <c r="AF43">
        <f>IF(G43&lt;=Forudsætninger!$C$97,Forudsætninger!$C$98,(IF(G43&lt;=Forudsætninger!$D$97,Forudsætninger!$D$98,IF(G43&lt;=Forudsætninger!$E$97,Forudsætninger!$E$98,IF(G43&lt;=Forudsætninger!$F$97,Forudsætninger!$F$98,IF(G43&lt;=Forudsætninger!$G$97,Forudsætninger!$G$98,IF(G43&lt;=Forudsætninger!$H$97,Forudsætninger!$H$98,IF(G43&lt;=Forudsætninger!$I$97,Forudsætninger!$I$98,Forudsætninger!$I$98))))))))</f>
        <v>2.2000000000000002</v>
      </c>
      <c r="AG43" s="1">
        <f t="shared" si="14"/>
        <v>2.2000000000000002</v>
      </c>
      <c r="AH43" s="1">
        <f t="shared" si="20"/>
        <v>90.20000000000006</v>
      </c>
      <c r="AI43" s="1">
        <f t="shared" si="9"/>
        <v>2.2000000000000015</v>
      </c>
      <c r="AJ43" s="20">
        <f>+(W43*Forudsætninger!$C$12)</f>
        <v>0</v>
      </c>
      <c r="AK43" s="20">
        <f>Forudsætninger!$C$17</f>
        <v>250</v>
      </c>
      <c r="AL43" s="20">
        <f>IF(A43&lt;92,Forudsætninger!$C$20,Forudsætninger!$C$21)</f>
        <v>4.0072859744990899</v>
      </c>
      <c r="AM43" s="20">
        <f t="shared" si="15"/>
        <v>164.29872495446267</v>
      </c>
      <c r="AN43" s="20">
        <f>IFERROR(AD43+AJ43-AA43-Z43-AK43-AM43-Forudsætninger!$C$75,-99999999)</f>
        <v>-1389.7040319333705</v>
      </c>
      <c r="AO43" s="19">
        <f>IFERROR(AN43/(A43+Forudsætninger!$C$74),-99999999)</f>
        <v>-33.895220291057818</v>
      </c>
      <c r="AP43" s="19">
        <f>IFERROR(((365/(A43+Forudsætninger!$C$74))*AN43)/(AI43+Forudsætninger!$C$73),-9999999)</f>
        <v>-5355.7382710978773</v>
      </c>
      <c r="AQ43" s="18">
        <f t="shared" si="10"/>
        <v>41</v>
      </c>
      <c r="AR43" s="18">
        <f t="shared" si="16"/>
        <v>2532.4627730572811</v>
      </c>
      <c r="AS43" s="52">
        <f t="shared" si="1"/>
        <v>2.6</v>
      </c>
      <c r="AT43" s="50">
        <f t="shared" si="21"/>
        <v>2.39089192255733</v>
      </c>
      <c r="AU43" s="50">
        <f t="shared" si="22"/>
        <v>0.90715280534038101</v>
      </c>
      <c r="AV43" s="2">
        <f t="shared" si="23"/>
        <v>143.33799738062226</v>
      </c>
      <c r="AW43" s="61">
        <f t="shared" si="17"/>
        <v>-29.887934316558731</v>
      </c>
      <c r="BA43" s="16"/>
      <c r="BB43" s="2"/>
    </row>
    <row r="44" spans="1:54" x14ac:dyDescent="0.25">
      <c r="A44">
        <v>42</v>
      </c>
      <c r="B44" s="1">
        <f>ROUND((A44+Forudsætninger!$C$60)/30.4,1)</f>
        <v>2.7</v>
      </c>
      <c r="C44" s="1">
        <f>VLOOKUP((A44+Forudsætninger!$C$60),'Model tilvækst, slagteform, fe'!A:B,2,FALSE)</f>
        <v>109.62539039515553</v>
      </c>
      <c r="D44" s="3">
        <f t="shared" si="24"/>
        <v>1267.5241724065813</v>
      </c>
      <c r="E44" s="1">
        <f>(1+Forudsætninger!$C$78)*C44</f>
        <v>101.95161306749463</v>
      </c>
      <c r="F44" s="2">
        <f t="shared" si="25"/>
        <v>7.162621798678833</v>
      </c>
      <c r="G44" s="1">
        <f t="shared" si="2"/>
        <v>109.11423486617346</v>
      </c>
      <c r="H44" s="3">
        <f t="shared" si="3"/>
        <v>1142.5825039836468</v>
      </c>
      <c r="I44" s="3">
        <f t="shared" si="4"/>
        <v>955.10083014698728</v>
      </c>
      <c r="J44" s="1">
        <f>VLOOKUP((A44+Forudsætninger!$C$60),'Model tilvækst, slagteform, fe'!G:K,2,FALSE)*(1+Forudsætninger!$C$79)</f>
        <v>47.278201151920875</v>
      </c>
      <c r="K44" s="17">
        <f t="shared" si="0"/>
        <v>51.58724744540887</v>
      </c>
      <c r="L44" s="17">
        <f t="shared" si="18"/>
        <v>560.01273209695773</v>
      </c>
      <c r="M44" s="3">
        <f>((K44-(('Model tilvækst, slagteform, fe'!$H$9/100)*'Model tilvækst, slagteform, fe'!$B$9))*1000/(A44+Forudsætninger!$C$60))</f>
        <v>384.44868416049349</v>
      </c>
      <c r="N44" s="17">
        <f t="shared" si="11"/>
        <v>101.70087789697052</v>
      </c>
      <c r="O44" s="19">
        <f>IF( A44&lt;Forudsætninger!$C$14,(G44/100)*Forudsætninger!$C$13,(Forudsætninger!$C$15/1000)*Forudsætninger!$C$13)</f>
        <v>0.70924252663012755</v>
      </c>
      <c r="P44" s="17" cm="1">
        <f t="array" ref="P44">INDEX('Model tilvækst, slagteform, fe'!$N$9:$N$375,MATCH(MIN(ABS('Model tilvækst, slagteform, fe'!$M$9:$M$375-'Vækstfunktion, hol'!G44)),ABS('Model tilvækst, slagteform, fe'!$M$9:$M$375-'Vækstfunktion, hol'!G44),0))*(1+Forudsætninger!$C$80)</f>
        <v>3.106820450887831</v>
      </c>
      <c r="Q44" s="17">
        <f t="shared" si="12"/>
        <v>5.5477675288817032</v>
      </c>
      <c r="R44" s="17">
        <f t="shared" si="13"/>
        <v>5.224127795418088</v>
      </c>
      <c r="S44" s="17">
        <f t="shared" si="5"/>
        <v>2.5352815088274392</v>
      </c>
      <c r="T44" s="19">
        <f>(P44)*IF(N44&lt;Forudsætninger!$B$228,IF(N44&lt;Forudsætninger!$B$227,Forudsætninger!$B$225,Forudsætninger!$C$9),Forudsætninger!$C$11)+O44</f>
        <v>8.5073618583585819</v>
      </c>
      <c r="U44" s="2">
        <f>Forudsætninger!$C$68+((K44-(Forudsætninger!$C$84)))*0.01</f>
        <v>2.2129253334427288</v>
      </c>
      <c r="V44" s="2">
        <f>U44+Forudsætninger!$C$69</f>
        <v>1.2129253334427288</v>
      </c>
      <c r="W44">
        <f t="shared" si="6"/>
        <v>0</v>
      </c>
      <c r="X44">
        <f>IF(A44+Forudsætninger!$C$60&gt;248,IF(A44+Forudsætninger!$C$60&lt;365,IF(K44&gt;180,IF(K44&lt;260,1,0),0),0),0)</f>
        <v>0</v>
      </c>
      <c r="Y44" s="22">
        <f>IF(X44=0,0,IF('Vækstfunktion, hol'!A44&lt;Forudsætninger!$C$66,Forudsætninger!$C$67+(('Vækstfunktion, hol'!A44-Forudsætninger!$C$66)/7)*Forudsætninger!$C$64,Forudsætninger!$C$67))</f>
        <v>0</v>
      </c>
      <c r="Z44" s="19">
        <f t="shared" si="19"/>
        <v>776.67140996117689</v>
      </c>
      <c r="AA44" s="19">
        <f>Forudsætninger!$C$62+Forudsætninger!$C$16</f>
        <v>1350</v>
      </c>
      <c r="AB44" s="19">
        <f>IF(K44&gt;Forudsætninger!$C$26,IF(K44&gt;Forudsætninger!$C$27,IF(K44&gt;Forudsætninger!$C$28,Forudsætninger!$E$28,Forudsætninger!$E$27+Forudsætninger!$F$28*(K44-Forudsætninger!$C$27)),Forudsætninger!$E$26+Forudsætninger!$F$27*(K44-Forudsætninger!$C$26)),Forudsætninger!$E$26)+IF(K44&gt;Forudsætninger!$C$28,Forudsætninger!$G$28,IF(K44&gt;Forudsætninger!$C$27,Forudsætninger!$G$27+Forudsætninger!$H$28*(K44-Forudsætninger!$C$27),IF(K44&gt;Forudsætninger!$C$26,Forudsætninger!$G$26+Forudsætninger!$H$27*(K44-Forudsætninger!$C$26),Forudsætninger!$G$26)))*(U44-Forudsætninger!$H$26)</f>
        <v>33.00969400008205</v>
      </c>
      <c r="AC44" s="19">
        <f>IF(K44&gt;Forudsætninger!$C$31,IF(K44&gt;Forudsætninger!$C$32,IF(K44&gt;Forudsætninger!$C$33,Forudsætninger!$E$33,Forudsætninger!$E$32+Forudsætninger!$F$33*(K44-Forudsætninger!$C$32)),Forudsætninger!$E$31+Forudsætninger!$F$32*(K44-Forudsætninger!$C$31)),Forudsætninger!$E$31)+IF(K44&gt;Forudsætninger!$C$33,Forudsætninger!$G$33,IF(K44&gt;Forudsætninger!$C$32,Forudsætninger!$G$32+Forudsætninger!$H$33*(K44-Forudsætninger!$C$32),IF(K44&gt;Forudsætninger!$C$31,Forudsætninger!$G$31+Forudsætninger!$H$32*(K44-Forudsætninger!$C$31),Forudsætninger!$G$31)))*(V44-Forudsætninger!$H$31)</f>
        <v>25.976802933475547</v>
      </c>
      <c r="AD44" s="19">
        <f t="shared" si="7"/>
        <v>1340.0717607698261</v>
      </c>
      <c r="AE44" s="19">
        <f t="shared" si="8"/>
        <v>25.976802933475547</v>
      </c>
      <c r="AF44">
        <f>IF(G44&lt;=Forudsætninger!$C$97,Forudsætninger!$C$98,(IF(G44&lt;=Forudsætninger!$D$97,Forudsætninger!$D$98,IF(G44&lt;=Forudsætninger!$E$97,Forudsætninger!$E$98,IF(G44&lt;=Forudsætninger!$F$97,Forudsætninger!$F$98,IF(G44&lt;=Forudsætninger!$G$97,Forudsætninger!$G$98,IF(G44&lt;=Forudsætninger!$H$97,Forudsætninger!$H$98,IF(G44&lt;=Forudsætninger!$I$97,Forudsætninger!$I$98,Forudsætninger!$I$98))))))))</f>
        <v>2.2000000000000002</v>
      </c>
      <c r="AG44" s="1">
        <f t="shared" si="14"/>
        <v>2.2000000000000002</v>
      </c>
      <c r="AH44" s="1">
        <f t="shared" si="20"/>
        <v>92.400000000000063</v>
      </c>
      <c r="AI44" s="1">
        <f t="shared" si="9"/>
        <v>2.2000000000000015</v>
      </c>
      <c r="AJ44" s="20">
        <f>+(W44*Forudsætninger!$C$12)</f>
        <v>0</v>
      </c>
      <c r="AK44" s="20">
        <f>Forudsætninger!$C$17</f>
        <v>250</v>
      </c>
      <c r="AL44" s="20">
        <f>IF(A44&lt;92,Forudsætninger!$C$20,Forudsætninger!$C$21)</f>
        <v>4.0072859744990899</v>
      </c>
      <c r="AM44" s="20">
        <f t="shared" si="15"/>
        <v>168.30601092896177</v>
      </c>
      <c r="AN44" s="20">
        <f>IFERROR(AD44+AJ44-AA44-Z44-AK44-AM44-Forudsætninger!$C$75,-99999999)</f>
        <v>-1387.299852669707</v>
      </c>
      <c r="AO44" s="19">
        <f>IFERROR(AN44/(A44+Forudsætninger!$C$74),-99999999)</f>
        <v>-33.030948873088263</v>
      </c>
      <c r="AP44" s="19">
        <f>IFERROR(((365/(A44+Forudsætninger!$C$74))*AN44)/(AI44+Forudsætninger!$C$73),-9999999)</f>
        <v>-5219.1759041892674</v>
      </c>
      <c r="AQ44" s="18">
        <f t="shared" si="10"/>
        <v>42</v>
      </c>
      <c r="AR44" s="18">
        <f t="shared" si="16"/>
        <v>2544.9774208901385</v>
      </c>
      <c r="AS44" s="52">
        <f t="shared" si="1"/>
        <v>2.7</v>
      </c>
      <c r="AT44" s="50">
        <f t="shared" si="21"/>
        <v>2.4041792636635364</v>
      </c>
      <c r="AU44" s="50">
        <f t="shared" si="22"/>
        <v>0.86427141796955453</v>
      </c>
      <c r="AV44" s="2">
        <f t="shared" si="23"/>
        <v>136.56236690860987</v>
      </c>
      <c r="AW44" s="61">
        <f t="shared" si="17"/>
        <v>-29.023662898589173</v>
      </c>
      <c r="BA44" s="16"/>
      <c r="BB44" s="2"/>
    </row>
    <row r="45" spans="1:54" x14ac:dyDescent="0.25">
      <c r="A45">
        <v>43</v>
      </c>
      <c r="B45" s="1">
        <f>ROUND((A45+Forudsætninger!$C$60)/30.4,1)</f>
        <v>2.7</v>
      </c>
      <c r="C45" s="1">
        <f>VLOOKUP((A45+Forudsætninger!$C$60),'Model tilvækst, slagteform, fe'!A:B,2,FALSE)</f>
        <v>110.90130794432383</v>
      </c>
      <c r="D45" s="3">
        <f t="shared" si="24"/>
        <v>1275.9175491682981</v>
      </c>
      <c r="E45" s="1">
        <f>(1+Forudsætninger!$C$78)*C45</f>
        <v>103.13821638822115</v>
      </c>
      <c r="F45" s="2">
        <f t="shared" si="25"/>
        <v>7.1261670115597386</v>
      </c>
      <c r="G45" s="1">
        <f t="shared" si="2"/>
        <v>110.2643833997809</v>
      </c>
      <c r="H45" s="3">
        <f t="shared" si="3"/>
        <v>1150.1485336074352</v>
      </c>
      <c r="I45" s="3">
        <f t="shared" si="4"/>
        <v>959.63682325071852</v>
      </c>
      <c r="J45" s="1">
        <f>VLOOKUP((A45+Forudsætninger!$C$60),'Model tilvækst, slagteform, fe'!G:K,2,FALSE)*(1+Forudsætninger!$C$79)</f>
        <v>47.29659338837066</v>
      </c>
      <c r="K45" s="17">
        <f t="shared" si="0"/>
        <v>52.151297068788452</v>
      </c>
      <c r="L45" s="17">
        <f t="shared" si="18"/>
        <v>564.04962337958159</v>
      </c>
      <c r="M45" s="3">
        <f>((K45-(('Model tilvækst, slagteform, fe'!$H$9/100)*'Model tilvækst, slagteform, fe'!$B$9))*1000/(A45+Forudsætninger!$C$60))</f>
        <v>386.63893951682388</v>
      </c>
      <c r="N45" s="17">
        <f t="shared" si="11"/>
        <v>104.84604405056986</v>
      </c>
      <c r="O45" s="19">
        <f>IF( A45&lt;Forudsætninger!$C$14,(G45/100)*Forudsætninger!$C$13,(Forudsætninger!$C$15/1000)*Forudsætninger!$C$13)</f>
        <v>0.71671849209857597</v>
      </c>
      <c r="P45" s="17" cm="1">
        <f t="array" ref="P45">INDEX('Model tilvækst, slagteform, fe'!$N$9:$N$375,MATCH(MIN(ABS('Model tilvækst, slagteform, fe'!$M$9:$M$375-'Vækstfunktion, hol'!G45)),ABS('Model tilvækst, slagteform, fe'!$M$9:$M$375-'Vækstfunktion, hol'!G45),0))*(1+Forudsætninger!$C$80)</f>
        <v>3.1451661535993347</v>
      </c>
      <c r="Q45" s="17">
        <f t="shared" si="12"/>
        <v>5.576045126587684</v>
      </c>
      <c r="R45" s="17">
        <f t="shared" si="13"/>
        <v>5.2340370894718315</v>
      </c>
      <c r="S45" s="17">
        <f t="shared" si="5"/>
        <v>2.5408363196607602</v>
      </c>
      <c r="T45" s="19">
        <f>(P45)*IF(N45&lt;Forudsætninger!$B$228,IF(N45&lt;Forudsætninger!$B$227,Forudsætninger!$B$225,Forudsætninger!$C$9),Forudsætninger!$C$11)+O45</f>
        <v>8.6110855376329045</v>
      </c>
      <c r="U45" s="2">
        <f>Forudsætninger!$C$68+((K45-(Forudsætninger!$C$84)))*0.01</f>
        <v>2.2185658296765247</v>
      </c>
      <c r="V45" s="2">
        <f>U45+Forudsætninger!$C$69</f>
        <v>1.2185658296765247</v>
      </c>
      <c r="W45">
        <f t="shared" si="6"/>
        <v>0</v>
      </c>
      <c r="X45">
        <f>IF(A45+Forudsætninger!$C$60&gt;248,IF(A45+Forudsætninger!$C$60&lt;365,IF(K45&gt;180,IF(K45&lt;260,1,0),0),0),0)</f>
        <v>0</v>
      </c>
      <c r="Y45" s="22">
        <f>IF(X45=0,0,IF('Vækstfunktion, hol'!A45&lt;Forudsætninger!$C$66,Forudsætninger!$C$67+(('Vækstfunktion, hol'!A45-Forudsætninger!$C$66)/7)*Forudsætninger!$C$64,Forudsætninger!$C$67))</f>
        <v>0</v>
      </c>
      <c r="Z45" s="19">
        <f t="shared" si="19"/>
        <v>785.28249549880979</v>
      </c>
      <c r="AA45" s="19">
        <f>Forudsætninger!$C$62+Forudsætninger!$C$16</f>
        <v>1350</v>
      </c>
      <c r="AB45" s="19">
        <f>IF(K45&gt;Forudsætninger!$C$26,IF(K45&gt;Forudsætninger!$C$27,IF(K45&gt;Forudsætninger!$C$28,Forudsætninger!$E$28,Forudsætninger!$E$27+Forudsætninger!$F$28*(K45-Forudsætninger!$C$27)),Forudsætninger!$E$26+Forudsætninger!$F$27*(K45-Forudsætninger!$C$26)),Forudsætninger!$E$26)+IF(K45&gt;Forudsætninger!$C$28,Forudsætninger!$G$28,IF(K45&gt;Forudsætninger!$C$27,Forudsætninger!$G$27+Forudsætninger!$H$28*(K45-Forudsætninger!$C$27),IF(K45&gt;Forudsætninger!$C$26,Forudsætninger!$G$26+Forudsætninger!$H$27*(K45-Forudsætninger!$C$26),Forudsætninger!$G$26)))*(U45-Forudsætninger!$H$26)</f>
        <v>33.013924372257392</v>
      </c>
      <c r="AC45" s="19">
        <f>IF(K45&gt;Forudsætninger!$C$31,IF(K45&gt;Forudsætninger!$C$32,IF(K45&gt;Forudsætninger!$C$33,Forudsætninger!$E$33,Forudsætninger!$E$32+Forudsætninger!$F$33*(K45-Forudsætninger!$C$32)),Forudsætninger!$E$31+Forudsætninger!$F$32*(K45-Forudsætninger!$C$31)),Forudsætninger!$E$31)+IF(K45&gt;Forudsætninger!$C$33,Forudsætninger!$G$33,IF(K45&gt;Forudsætninger!$C$32,Forudsætninger!$G$32+Forudsætninger!$H$33*(K45-Forudsætninger!$C$32),IF(K45&gt;Forudsætninger!$C$31,Forudsætninger!$G$31+Forudsætninger!$H$32*(K45-Forudsætninger!$C$31),Forudsætninger!$G$31)))*(V45-Forudsætninger!$H$31)</f>
        <v>25.984135578579483</v>
      </c>
      <c r="AD45" s="19">
        <f t="shared" si="7"/>
        <v>1355.1063736341739</v>
      </c>
      <c r="AE45" s="19">
        <f t="shared" si="8"/>
        <v>25.984135578579483</v>
      </c>
      <c r="AF45">
        <f>IF(G45&lt;=Forudsætninger!$C$97,Forudsætninger!$C$98,(IF(G45&lt;=Forudsætninger!$D$97,Forudsætninger!$D$98,IF(G45&lt;=Forudsætninger!$E$97,Forudsætninger!$E$98,IF(G45&lt;=Forudsætninger!$F$97,Forudsætninger!$F$98,IF(G45&lt;=Forudsætninger!$G$97,Forudsætninger!$G$98,IF(G45&lt;=Forudsætninger!$H$97,Forudsætninger!$H$98,IF(G45&lt;=Forudsætninger!$I$97,Forudsætninger!$I$98,Forudsætninger!$I$98))))))))</f>
        <v>2.2000000000000002</v>
      </c>
      <c r="AG45" s="1">
        <f t="shared" si="14"/>
        <v>2.2000000000000002</v>
      </c>
      <c r="AH45" s="1">
        <f t="shared" si="20"/>
        <v>94.600000000000065</v>
      </c>
      <c r="AI45" s="1">
        <f t="shared" si="9"/>
        <v>2.2000000000000015</v>
      </c>
      <c r="AJ45" s="20">
        <f>+(W45*Forudsætninger!$C$12)</f>
        <v>0</v>
      </c>
      <c r="AK45" s="20">
        <f>Forudsætninger!$C$17</f>
        <v>250</v>
      </c>
      <c r="AL45" s="20">
        <f>IF(A45&lt;92,Forudsætninger!$C$20,Forudsætninger!$C$21)</f>
        <v>4.0072859744990899</v>
      </c>
      <c r="AM45" s="20">
        <f t="shared" si="15"/>
        <v>172.31329690346087</v>
      </c>
      <c r="AN45" s="20">
        <f>IFERROR(AD45+AJ45-AA45-Z45-AK45-AM45-Forudsætninger!$C$75,-99999999)</f>
        <v>-1384.8836113174914</v>
      </c>
      <c r="AO45" s="19">
        <f>IFERROR(AN45/(A45+Forudsætninger!$C$74),-99999999)</f>
        <v>-32.206595612034683</v>
      </c>
      <c r="AP45" s="19">
        <f>IFERROR(((365/(A45+Forudsætninger!$C$74))*AN45)/(AI45+Forudsætninger!$C$73),-9999999)</f>
        <v>-5088.9209516851315</v>
      </c>
      <c r="AQ45" s="18">
        <f t="shared" si="10"/>
        <v>43</v>
      </c>
      <c r="AR45" s="18">
        <f t="shared" si="16"/>
        <v>2557.5957924022709</v>
      </c>
      <c r="AS45" s="52">
        <f t="shared" si="1"/>
        <v>2.7</v>
      </c>
      <c r="AT45" s="50">
        <f t="shared" si="21"/>
        <v>2.416241352215593</v>
      </c>
      <c r="AU45" s="50">
        <f t="shared" si="22"/>
        <v>0.82435326105358087</v>
      </c>
      <c r="AV45" s="2">
        <f t="shared" si="23"/>
        <v>130.25495250413587</v>
      </c>
      <c r="AW45" s="61">
        <f t="shared" si="17"/>
        <v>-28.199309637535592</v>
      </c>
      <c r="BA45" s="16"/>
      <c r="BB45" s="2"/>
    </row>
    <row r="46" spans="1:54" x14ac:dyDescent="0.25">
      <c r="A46">
        <v>44</v>
      </c>
      <c r="B46" s="1">
        <f>ROUND((A46+Forudsætninger!$C$60)/30.4,1)</f>
        <v>2.7</v>
      </c>
      <c r="C46" s="1">
        <f>VLOOKUP((A46+Forudsætninger!$C$60),'Model tilvækst, slagteform, fe'!A:B,2,FALSE)</f>
        <v>112.18550250661495</v>
      </c>
      <c r="D46" s="3">
        <f t="shared" si="24"/>
        <v>1284.1945622911198</v>
      </c>
      <c r="E46" s="1">
        <f>(1+Forudsætninger!$C$78)*C46</f>
        <v>104.33251733115191</v>
      </c>
      <c r="F46" s="2">
        <f t="shared" si="25"/>
        <v>7.0894757383514211</v>
      </c>
      <c r="G46" s="1">
        <f t="shared" si="2"/>
        <v>111.42199306950333</v>
      </c>
      <c r="H46" s="3">
        <f t="shared" si="3"/>
        <v>1157.609669722433</v>
      </c>
      <c r="I46" s="3">
        <f t="shared" si="4"/>
        <v>964.13620612507577</v>
      </c>
      <c r="J46" s="1">
        <f>VLOOKUP((A46+Forudsætninger!$C$60),'Model tilvækst, slagteform, fe'!G:K,2,FALSE)*(1+Forudsætninger!$C$79)</f>
        <v>47.315019258495042</v>
      </c>
      <c r="K46" s="17">
        <f t="shared" si="0"/>
        <v>52.719337479034508</v>
      </c>
      <c r="L46" s="17">
        <f t="shared" si="18"/>
        <v>568.04041024605567</v>
      </c>
      <c r="M46" s="3">
        <f>((K46-(('Model tilvækst, slagteform, fe'!$H$9/100)*'Model tilvækst, slagteform, fe'!$B$9))*1000/(A46+Forudsætninger!$C$60))</f>
        <v>388.82449940512788</v>
      </c>
      <c r="N46" s="17">
        <f t="shared" si="11"/>
        <v>108.02959979843615</v>
      </c>
      <c r="O46" s="19">
        <f>IF( A46&lt;Forudsætninger!$C$14,(G46/100)*Forudsætninger!$C$13,(Forudsætninger!$C$15/1000)*Forudsætninger!$C$13)</f>
        <v>0.72424295495177171</v>
      </c>
      <c r="P46" s="17" cm="1">
        <f t="array" ref="P46">INDEX('Model tilvækst, slagteform, fe'!$N$9:$N$375,MATCH(MIN(ABS('Model tilvækst, slagteform, fe'!$M$9:$M$375-'Vækstfunktion, hol'!G46)),ABS('Model tilvækst, slagteform, fe'!$M$9:$M$375-'Vækstfunktion, hol'!G46),0))*(1+Forudsætninger!$C$80)</f>
        <v>3.1835557478662917</v>
      </c>
      <c r="Q46" s="17">
        <f t="shared" si="12"/>
        <v>5.6044529410984758</v>
      </c>
      <c r="R46" s="17">
        <f t="shared" si="13"/>
        <v>5.2442514111894551</v>
      </c>
      <c r="S46" s="17">
        <f t="shared" si="5"/>
        <v>2.5465470144564555</v>
      </c>
      <c r="T46" s="19">
        <f>(P46)*IF(N46&lt;Forudsætninger!$B$228,IF(N46&lt;Forudsætninger!$B$227,Forudsætninger!$B$225,Forudsætninger!$C$9),Forudsætninger!$C$11)+O46</f>
        <v>8.7149678820961629</v>
      </c>
      <c r="U46" s="2">
        <f>Forudsætninger!$C$68+((K46-(Forudsætninger!$C$84)))*0.01</f>
        <v>2.2242462337789854</v>
      </c>
      <c r="V46" s="2">
        <f>U46+Forudsætninger!$C$69</f>
        <v>1.2242462337789854</v>
      </c>
      <c r="W46">
        <f t="shared" si="6"/>
        <v>0</v>
      </c>
      <c r="X46">
        <f>IF(A46+Forudsætninger!$C$60&gt;248,IF(A46+Forudsætninger!$C$60&lt;365,IF(K46&gt;180,IF(K46&lt;260,1,0),0),0),0)</f>
        <v>0</v>
      </c>
      <c r="Y46" s="22">
        <f>IF(X46=0,0,IF('Vækstfunktion, hol'!A46&lt;Forudsætninger!$C$66,Forudsætninger!$C$67+(('Vækstfunktion, hol'!A46-Forudsætninger!$C$66)/7)*Forudsætninger!$C$64,Forudsætninger!$C$67))</f>
        <v>0</v>
      </c>
      <c r="Z46" s="19">
        <f t="shared" si="19"/>
        <v>793.99746338090597</v>
      </c>
      <c r="AA46" s="19">
        <f>Forudsætninger!$C$62+Forudsætninger!$C$16</f>
        <v>1350</v>
      </c>
      <c r="AB46" s="19">
        <f>IF(K46&gt;Forudsætninger!$C$26,IF(K46&gt;Forudsætninger!$C$27,IF(K46&gt;Forudsætninger!$C$28,Forudsætninger!$E$28,Forudsætninger!$E$27+Forudsætninger!$F$28*(K46-Forudsætninger!$C$27)),Forudsætninger!$E$26+Forudsætninger!$F$27*(K46-Forudsætninger!$C$26)),Forudsætninger!$E$26)+IF(K46&gt;Forudsætninger!$C$28,Forudsætninger!$G$28,IF(K46&gt;Forudsætninger!$C$27,Forudsætninger!$G$27+Forudsætninger!$H$28*(K46-Forudsætninger!$C$27),IF(K46&gt;Forudsætninger!$C$26,Forudsætninger!$G$26+Forudsætninger!$H$27*(K46-Forudsætninger!$C$26),Forudsætninger!$G$26)))*(U46-Forudsætninger!$H$26)</f>
        <v>33.01818467533424</v>
      </c>
      <c r="AC46" s="19">
        <f>IF(K46&gt;Forudsætninger!$C$31,IF(K46&gt;Forudsætninger!$C$32,IF(K46&gt;Forudsætninger!$C$33,Forudsætninger!$E$33,Forudsætninger!$E$32+Forudsætninger!$F$33*(K46-Forudsætninger!$C$32)),Forudsætninger!$E$31+Forudsætninger!$F$32*(K46-Forudsætninger!$C$31)),Forudsætninger!$E$31)+IF(K46&gt;Forudsætninger!$C$33,Forudsætninger!$G$33,IF(K46&gt;Forudsætninger!$C$32,Forudsætninger!$G$32+Forudsætninger!$H$33*(K46-Forudsætninger!$C$32),IF(K46&gt;Forudsætninger!$C$31,Forudsætninger!$G$31+Forudsætninger!$H$32*(K46-Forudsætninger!$C$31),Forudsætninger!$G$31)))*(V46-Forudsætninger!$H$31)</f>
        <v>25.991520103912681</v>
      </c>
      <c r="AD46" s="19">
        <f t="shared" si="7"/>
        <v>1370.2557199512826</v>
      </c>
      <c r="AE46" s="19">
        <f t="shared" si="8"/>
        <v>25.991520103912681</v>
      </c>
      <c r="AF46">
        <f>IF(G46&lt;=Forudsætninger!$C$97,Forudsætninger!$C$98,(IF(G46&lt;=Forudsætninger!$D$97,Forudsætninger!$D$98,IF(G46&lt;=Forudsætninger!$E$97,Forudsætninger!$E$98,IF(G46&lt;=Forudsætninger!$F$97,Forudsætninger!$F$98,IF(G46&lt;=Forudsætninger!$G$97,Forudsætninger!$G$98,IF(G46&lt;=Forudsætninger!$H$97,Forudsætninger!$H$98,IF(G46&lt;=Forudsætninger!$I$97,Forudsætninger!$I$98,Forudsætninger!$I$98))))))))</f>
        <v>2.2000000000000002</v>
      </c>
      <c r="AG46" s="1">
        <f t="shared" si="14"/>
        <v>2.2000000000000002</v>
      </c>
      <c r="AH46" s="1">
        <f t="shared" si="20"/>
        <v>96.800000000000068</v>
      </c>
      <c r="AI46" s="1">
        <f t="shared" si="9"/>
        <v>2.2000000000000015</v>
      </c>
      <c r="AJ46" s="20">
        <f>+(W46*Forudsætninger!$C$12)</f>
        <v>0</v>
      </c>
      <c r="AK46" s="20">
        <f>Forudsætninger!$C$17</f>
        <v>250</v>
      </c>
      <c r="AL46" s="20">
        <f>IF(A46&lt;92,Forudsætninger!$C$20,Forudsætninger!$C$21)</f>
        <v>4.0072859744990899</v>
      </c>
      <c r="AM46" s="20">
        <f t="shared" si="15"/>
        <v>176.32058287795996</v>
      </c>
      <c r="AN46" s="20">
        <f>IFERROR(AD46+AJ46-AA46-Z46-AK46-AM46-Forudsætninger!$C$75,-99999999)</f>
        <v>-1382.4565188569779</v>
      </c>
      <c r="AO46" s="19">
        <f>IFERROR(AN46/(A46+Forudsætninger!$C$74),-99999999)</f>
        <v>-31.419466337658591</v>
      </c>
      <c r="AP46" s="19">
        <f>IFERROR(((365/(A46+Forudsætninger!$C$74))*AN46)/(AI46+Forudsætninger!$C$73),-9999999)</f>
        <v>-4964.5477113616353</v>
      </c>
      <c r="AQ46" s="18">
        <f t="shared" si="10"/>
        <v>44</v>
      </c>
      <c r="AR46" s="18">
        <f t="shared" si="16"/>
        <v>2570.3180462588662</v>
      </c>
      <c r="AS46" s="52">
        <f t="shared" si="1"/>
        <v>2.7</v>
      </c>
      <c r="AT46" s="50">
        <f t="shared" si="21"/>
        <v>2.4270924605134496</v>
      </c>
      <c r="AU46" s="50">
        <f t="shared" si="22"/>
        <v>0.78712927437609181</v>
      </c>
      <c r="AV46" s="2">
        <f t="shared" si="23"/>
        <v>124.37324032349625</v>
      </c>
      <c r="AW46" s="61">
        <f t="shared" si="17"/>
        <v>-27.412180363159504</v>
      </c>
      <c r="BA46" s="16"/>
      <c r="BB46" s="2"/>
    </row>
    <row r="47" spans="1:54" x14ac:dyDescent="0.25">
      <c r="A47">
        <v>45</v>
      </c>
      <c r="B47" s="1">
        <f>ROUND((A47+Forudsætninger!$C$60)/30.4,1)</f>
        <v>2.8</v>
      </c>
      <c r="C47" s="1">
        <f>VLOOKUP((A47+Forudsætninger!$C$60),'Model tilvækst, slagteform, fe'!A:B,2,FALSE)</f>
        <v>113.47785825273736</v>
      </c>
      <c r="D47" s="3">
        <f t="shared" si="24"/>
        <v>1292.3557461224107</v>
      </c>
      <c r="E47" s="1">
        <f>(1+Forudsætninger!$C$78)*C47</f>
        <v>105.53440817504574</v>
      </c>
      <c r="F47" s="2">
        <f t="shared" si="25"/>
        <v>7.052551288462209</v>
      </c>
      <c r="G47" s="1">
        <f t="shared" si="2"/>
        <v>112.58695946350795</v>
      </c>
      <c r="H47" s="3">
        <f t="shared" si="3"/>
        <v>1164.9663940046225</v>
      </c>
      <c r="I47" s="3">
        <f t="shared" si="4"/>
        <v>968.59909918906567</v>
      </c>
      <c r="J47" s="1">
        <f>VLOOKUP((A47+Forudsætninger!$C$60),'Model tilvækst, slagteform, fe'!G:K,2,FALSE)*(1+Forudsætninger!$C$79)</f>
        <v>47.333477086641174</v>
      </c>
      <c r="K47" s="17">
        <f t="shared" si="0"/>
        <v>53.291322660205523</v>
      </c>
      <c r="L47" s="17">
        <f t="shared" si="18"/>
        <v>571.98518117101571</v>
      </c>
      <c r="M47" s="3">
        <f>((K47-(('Model tilvækst, slagteform, fe'!$H$9/100)*'Model tilvækst, slagteform, fe'!$B$9))*1000/(A47+Forudsætninger!$C$60))</f>
        <v>391.00498371186467</v>
      </c>
      <c r="N47" s="17">
        <f t="shared" si="11"/>
        <v>111.25158400114222</v>
      </c>
      <c r="O47" s="19">
        <f>IF( A47&lt;Forudsætninger!$C$14,(G47/100)*Forudsætninger!$C$13,(Forudsætninger!$C$15/1000)*Forudsætninger!$C$13)</f>
        <v>0.73181523651280178</v>
      </c>
      <c r="P47" s="17" cm="1">
        <f t="array" ref="P47">INDEX('Model tilvækst, slagteform, fe'!$N$9:$N$375,MATCH(MIN(ABS('Model tilvækst, slagteform, fe'!$M$9:$M$375-'Vækstfunktion, hol'!G47)),ABS('Model tilvækst, slagteform, fe'!$M$9:$M$375-'Vækstfunktion, hol'!G47),0))*(1+Forudsætninger!$C$80)</f>
        <v>3.2219842027060648</v>
      </c>
      <c r="Q47" s="17">
        <f t="shared" si="12"/>
        <v>5.6329854492204685</v>
      </c>
      <c r="R47" s="17">
        <f t="shared" si="13"/>
        <v>5.2547536891294264</v>
      </c>
      <c r="S47" s="17">
        <f t="shared" si="5"/>
        <v>2.5524052462132558</v>
      </c>
      <c r="T47" s="19">
        <f>(P47)*IF(N47&lt;Forudsætninger!$B$228,IF(N47&lt;Forudsætninger!$B$227,Forudsætninger!$B$225,Forudsætninger!$C$9),Forudsætninger!$C$11)+O47</f>
        <v>8.8189955853050233</v>
      </c>
      <c r="U47" s="2">
        <f>Forudsætninger!$C$68+((K47-(Forudsætninger!$C$84)))*0.01</f>
        <v>2.2299660855906955</v>
      </c>
      <c r="V47" s="2">
        <f>U47+Forudsætninger!$C$69</f>
        <v>1.2299660855906955</v>
      </c>
      <c r="W47">
        <f t="shared" si="6"/>
        <v>0</v>
      </c>
      <c r="X47">
        <f>IF(A47+Forudsætninger!$C$60&gt;248,IF(A47+Forudsætninger!$C$60&lt;365,IF(K47&gt;180,IF(K47&lt;260,1,0),0),0),0)</f>
        <v>0</v>
      </c>
      <c r="Y47" s="22">
        <f>IF(X47=0,0,IF('Vækstfunktion, hol'!A47&lt;Forudsætninger!$C$66,Forudsætninger!$C$67+(('Vækstfunktion, hol'!A47-Forudsætninger!$C$66)/7)*Forudsætninger!$C$64,Forudsætninger!$C$67))</f>
        <v>0</v>
      </c>
      <c r="Z47" s="19">
        <f t="shared" si="19"/>
        <v>802.81645896621103</v>
      </c>
      <c r="AA47" s="19">
        <f>Forudsætninger!$C$62+Forudsætninger!$C$16</f>
        <v>1350</v>
      </c>
      <c r="AB47" s="19">
        <f>IF(K47&gt;Forudsætninger!$C$26,IF(K47&gt;Forudsætninger!$C$27,IF(K47&gt;Forudsætninger!$C$28,Forudsætninger!$E$28,Forudsætninger!$E$27+Forudsætninger!$F$28*(K47-Forudsætninger!$C$27)),Forudsætninger!$E$26+Forudsætninger!$F$27*(K47-Forudsætninger!$C$26)),Forudsætninger!$E$26)+IF(K47&gt;Forudsætninger!$C$28,Forudsætninger!$G$28,IF(K47&gt;Forudsætninger!$C$27,Forudsætninger!$G$27+Forudsætninger!$H$28*(K47-Forudsætninger!$C$27),IF(K47&gt;Forudsætninger!$C$26,Forudsætninger!$G$26+Forudsætninger!$H$27*(K47-Forudsætninger!$C$26),Forudsætninger!$G$26)))*(U47-Forudsætninger!$H$26)</f>
        <v>33.022474564193026</v>
      </c>
      <c r="AC47" s="19">
        <f>IF(K47&gt;Forudsætninger!$C$31,IF(K47&gt;Forudsætninger!$C$32,IF(K47&gt;Forudsætninger!$C$33,Forudsætninger!$E$33,Forudsætninger!$E$32+Forudsætninger!$F$33*(K47-Forudsætninger!$C$32)),Forudsætninger!$E$31+Forudsætninger!$F$32*(K47-Forudsætninger!$C$31)),Forudsætninger!$E$31)+IF(K47&gt;Forudsætninger!$C$33,Forudsætninger!$G$33,IF(K47&gt;Forudsætninger!$C$32,Forudsætninger!$G$32+Forudsætninger!$H$33*(K47-Forudsætninger!$C$32),IF(K47&gt;Forudsætninger!$C$31,Forudsætninger!$G$31+Forudsætninger!$H$32*(K47-Forudsætninger!$C$31),Forudsætninger!$G$31)))*(V47-Forudsætninger!$H$31)</f>
        <v>25.998955911267903</v>
      </c>
      <c r="AD47" s="19">
        <f t="shared" si="7"/>
        <v>1385.5187482958356</v>
      </c>
      <c r="AE47" s="19">
        <f t="shared" si="8"/>
        <v>25.998955911267906</v>
      </c>
      <c r="AF47">
        <f>IF(G47&lt;=Forudsætninger!$C$97,Forudsætninger!$C$98,(IF(G47&lt;=Forudsætninger!$D$97,Forudsætninger!$D$98,IF(G47&lt;=Forudsætninger!$E$97,Forudsætninger!$E$98,IF(G47&lt;=Forudsætninger!$F$97,Forudsætninger!$F$98,IF(G47&lt;=Forudsætninger!$G$97,Forudsætninger!$G$98,IF(G47&lt;=Forudsætninger!$H$97,Forudsætninger!$H$98,IF(G47&lt;=Forudsætninger!$I$97,Forudsætninger!$I$98,Forudsætninger!$I$98))))))))</f>
        <v>2.2000000000000002</v>
      </c>
      <c r="AG47" s="1">
        <f t="shared" si="14"/>
        <v>2.2000000000000002</v>
      </c>
      <c r="AH47" s="1">
        <f t="shared" si="20"/>
        <v>99.000000000000071</v>
      </c>
      <c r="AI47" s="1">
        <f t="shared" si="9"/>
        <v>2.2000000000000015</v>
      </c>
      <c r="AJ47" s="20">
        <f>+(W47*Forudsætninger!$C$12)</f>
        <v>0</v>
      </c>
      <c r="AK47" s="20">
        <f>Forudsætninger!$C$17</f>
        <v>250</v>
      </c>
      <c r="AL47" s="20">
        <f>IF(A47&lt;92,Forudsætninger!$C$20,Forudsætninger!$C$21)</f>
        <v>4.0072859744990899</v>
      </c>
      <c r="AM47" s="20">
        <f t="shared" si="15"/>
        <v>180.32786885245906</v>
      </c>
      <c r="AN47" s="20">
        <f>IFERROR(AD47+AJ47-AA47-Z47-AK47-AM47-Forudsætninger!$C$75,-99999999)</f>
        <v>-1380.019772072229</v>
      </c>
      <c r="AO47" s="19">
        <f>IFERROR(AN47/(A47+Forudsætninger!$C$74),-99999999)</f>
        <v>-30.667106046049533</v>
      </c>
      <c r="AP47" s="19">
        <f>IFERROR(((365/(A47+Forudsætninger!$C$74))*AN47)/(AI47+Forudsætninger!$C$73),-9999999)</f>
        <v>-4845.6682713454866</v>
      </c>
      <c r="AQ47" s="18">
        <f t="shared" si="10"/>
        <v>45</v>
      </c>
      <c r="AR47" s="18">
        <f t="shared" si="16"/>
        <v>2583.1443278186703</v>
      </c>
      <c r="AS47" s="52">
        <f t="shared" si="1"/>
        <v>2.8</v>
      </c>
      <c r="AT47" s="50">
        <f t="shared" si="21"/>
        <v>2.4367467847489479</v>
      </c>
      <c r="AU47" s="50">
        <f t="shared" si="22"/>
        <v>0.75236029160905815</v>
      </c>
      <c r="AV47" s="2">
        <f t="shared" si="23"/>
        <v>118.87944001614869</v>
      </c>
      <c r="AW47" s="61">
        <f t="shared" si="17"/>
        <v>-26.659820071550445</v>
      </c>
      <c r="BA47" s="16"/>
      <c r="BB47" s="2"/>
    </row>
    <row r="48" spans="1:54" x14ac:dyDescent="0.25">
      <c r="A48">
        <v>46</v>
      </c>
      <c r="B48" s="1">
        <f>ROUND((A48+Forudsætninger!$C$60)/30.4,1)</f>
        <v>2.8</v>
      </c>
      <c r="C48" s="1">
        <f>VLOOKUP((A48+Forudsætninger!$C$60),'Model tilvækst, slagteform, fe'!A:B,2,FALSE)</f>
        <v>114.77825988774698</v>
      </c>
      <c r="D48" s="3">
        <f t="shared" si="24"/>
        <v>1300.4016350096208</v>
      </c>
      <c r="E48" s="1">
        <f>(1+Forudsætninger!$C$78)*C48</f>
        <v>106.74378169560468</v>
      </c>
      <c r="F48" s="2">
        <f t="shared" si="25"/>
        <v>7.0153969560333627</v>
      </c>
      <c r="G48" s="1">
        <f t="shared" si="2"/>
        <v>113.75917865163804</v>
      </c>
      <c r="H48" s="3">
        <f t="shared" si="3"/>
        <v>1172.219188130086</v>
      </c>
      <c r="I48" s="3">
        <f t="shared" si="4"/>
        <v>973.02562286169643</v>
      </c>
      <c r="J48" s="1">
        <f>VLOOKUP((A48+Forudsætninger!$C$60),'Model tilvækst, slagteform, fe'!G:K,2,FALSE)*(1+Forudsætninger!$C$79)</f>
        <v>47.35196519715614</v>
      </c>
      <c r="K48" s="17">
        <f t="shared" si="0"/>
        <v>53.867206683694327</v>
      </c>
      <c r="L48" s="17">
        <f t="shared" si="18"/>
        <v>575.88402348880413</v>
      </c>
      <c r="M48" s="3">
        <f>((K48-(('Model tilvækst, slagteform, fe'!$H$9/100)*'Model tilvækst, slagteform, fe'!$B$9))*1000/(A48+Forudsætninger!$C$60))</f>
        <v>393.18003123865219</v>
      </c>
      <c r="N48" s="17">
        <f t="shared" si="11"/>
        <v>114.51203048827823</v>
      </c>
      <c r="O48" s="19">
        <f>IF( A48&lt;Forudsætninger!$C$14,(G48/100)*Forudsætninger!$C$13,(Forudsætninger!$C$15/1000)*Forudsætninger!$C$13)</f>
        <v>0.73943466123564738</v>
      </c>
      <c r="P48" s="17" cm="1">
        <f t="array" ref="P48">INDEX('Model tilvækst, slagteform, fe'!$N$9:$N$375,MATCH(MIN(ABS('Model tilvækst, slagteform, fe'!$M$9:$M$375-'Vækstfunktion, hol'!G48)),ABS('Model tilvækst, slagteform, fe'!$M$9:$M$375-'Vækstfunktion, hol'!G48),0))*(1+Forudsætninger!$C$80)</f>
        <v>3.2604464871360137</v>
      </c>
      <c r="Q48" s="17">
        <f t="shared" si="12"/>
        <v>5.661637333475011</v>
      </c>
      <c r="R48" s="17">
        <f t="shared" si="13"/>
        <v>5.2655281633764046</v>
      </c>
      <c r="S48" s="17">
        <f t="shared" si="5"/>
        <v>2.5584033026952668</v>
      </c>
      <c r="T48" s="19">
        <f>(P48)*IF(N48&lt;Forudsætninger!$B$228,IF(N48&lt;Forudsætninger!$B$227,Forudsætninger!$B$225,Forudsætninger!$C$9),Forudsætninger!$C$11)+O48</f>
        <v>8.923155343947041</v>
      </c>
      <c r="U48" s="2">
        <f>Forudsætninger!$C$68+((K48-(Forudsætninger!$C$84)))*0.01</f>
        <v>2.2357249258255836</v>
      </c>
      <c r="V48" s="2">
        <f>U48+Forudsætninger!$C$69</f>
        <v>1.2357249258255836</v>
      </c>
      <c r="W48">
        <f t="shared" si="6"/>
        <v>0</v>
      </c>
      <c r="X48">
        <f>IF(A48+Forudsætninger!$C$60&gt;248,IF(A48+Forudsætninger!$C$60&lt;365,IF(K48&gt;180,IF(K48&lt;260,1,0),0),0),0)</f>
        <v>0</v>
      </c>
      <c r="Y48" s="22">
        <f>IF(X48=0,0,IF('Vækstfunktion, hol'!A48&lt;Forudsætninger!$C$66,Forudsætninger!$C$67+(('Vækstfunktion, hol'!A48-Forudsætninger!$C$66)/7)*Forudsætninger!$C$64,Forudsætninger!$C$67))</f>
        <v>0</v>
      </c>
      <c r="Z48" s="19">
        <f t="shared" si="19"/>
        <v>811.73961431015812</v>
      </c>
      <c r="AA48" s="19">
        <f>Forudsætninger!$C$62+Forudsætninger!$C$16</f>
        <v>1350</v>
      </c>
      <c r="AB48" s="19">
        <f>IF(K48&gt;Forudsætninger!$C$26,IF(K48&gt;Forudsætninger!$C$27,IF(K48&gt;Forudsætninger!$C$28,Forudsætninger!$E$28,Forudsætninger!$E$27+Forudsætninger!$F$28*(K48-Forudsætninger!$C$27)),Forudsætninger!$E$26+Forudsætninger!$F$27*(K48-Forudsætninger!$C$26)),Forudsætninger!$E$26)+IF(K48&gt;Forudsætninger!$C$28,Forudsætninger!$G$28,IF(K48&gt;Forudsætninger!$C$27,Forudsætninger!$G$27+Forudsætninger!$H$28*(K48-Forudsætninger!$C$27),IF(K48&gt;Forudsætninger!$C$26,Forudsætninger!$G$26+Forudsætninger!$H$27*(K48-Forudsætninger!$C$26),Forudsætninger!$G$26)))*(U48-Forudsætninger!$H$26)</f>
        <v>33.026793694369189</v>
      </c>
      <c r="AC48" s="19">
        <f>IF(K48&gt;Forudsætninger!$C$31,IF(K48&gt;Forudsætninger!$C$32,IF(K48&gt;Forudsætninger!$C$33,Forudsætninger!$E$33,Forudsætninger!$E$32+Forudsætninger!$F$33*(K48-Forudsætninger!$C$32)),Forudsætninger!$E$31+Forudsætninger!$F$32*(K48-Forudsætninger!$C$31)),Forudsætninger!$E$31)+IF(K48&gt;Forudsætninger!$C$33,Forudsætninger!$G$33,IF(K48&gt;Forudsætninger!$C$32,Forudsætninger!$G$32+Forudsætninger!$H$33*(K48-Forudsætninger!$C$32),IF(K48&gt;Forudsætninger!$C$31,Forudsætninger!$G$31+Forudsætninger!$H$32*(K48-Forudsætninger!$C$31),Forudsætninger!$G$31)))*(V48-Forudsætninger!$H$31)</f>
        <v>26.006442403573256</v>
      </c>
      <c r="AD48" s="19">
        <f t="shared" si="7"/>
        <v>1400.8944080608728</v>
      </c>
      <c r="AE48" s="19">
        <f t="shared" si="8"/>
        <v>26.006442403573256</v>
      </c>
      <c r="AF48">
        <f>IF(G48&lt;=Forudsætninger!$C$97,Forudsætninger!$C$98,(IF(G48&lt;=Forudsætninger!$D$97,Forudsætninger!$D$98,IF(G48&lt;=Forudsætninger!$E$97,Forudsætninger!$E$98,IF(G48&lt;=Forudsætninger!$F$97,Forudsætninger!$F$98,IF(G48&lt;=Forudsætninger!$G$97,Forudsætninger!$G$98,IF(G48&lt;=Forudsætninger!$H$97,Forudsætninger!$H$98,IF(G48&lt;=Forudsætninger!$I$97,Forudsætninger!$I$98,Forudsætninger!$I$98))))))))</f>
        <v>2.2000000000000002</v>
      </c>
      <c r="AG48" s="1">
        <f t="shared" si="14"/>
        <v>2.2000000000000002</v>
      </c>
      <c r="AH48" s="1">
        <f t="shared" si="20"/>
        <v>101.20000000000007</v>
      </c>
      <c r="AI48" s="1">
        <f t="shared" si="9"/>
        <v>2.2000000000000015</v>
      </c>
      <c r="AJ48" s="20">
        <f>+(W48*Forudsætninger!$C$12)</f>
        <v>0</v>
      </c>
      <c r="AK48" s="20">
        <f>Forudsætninger!$C$17</f>
        <v>250</v>
      </c>
      <c r="AL48" s="20">
        <f>IF(A48&lt;92,Forudsætninger!$C$20,Forudsætninger!$C$21)</f>
        <v>4.0072859744990899</v>
      </c>
      <c r="AM48" s="20">
        <f t="shared" si="15"/>
        <v>184.33515482695816</v>
      </c>
      <c r="AN48" s="20">
        <f>IFERROR(AD48+AJ48-AA48-Z48-AK48-AM48-Forudsætninger!$C$75,-99999999)</f>
        <v>-1377.5745536256381</v>
      </c>
      <c r="AO48" s="19">
        <f>IFERROR(AN48/(A48+Forudsætninger!$C$74),-99999999)</f>
        <v>-29.947272904905176</v>
      </c>
      <c r="AP48" s="19">
        <f>IFERROR(((365/(A48+Forudsætninger!$C$74))*AN48)/(AI48+Forudsætninger!$C$73),-9999999)</f>
        <v>-4731.9284027231097</v>
      </c>
      <c r="AQ48" s="18">
        <f t="shared" si="10"/>
        <v>46</v>
      </c>
      <c r="AR48" s="18">
        <f t="shared" si="16"/>
        <v>2596.0747691371162</v>
      </c>
      <c r="AS48" s="52">
        <f t="shared" si="1"/>
        <v>2.8</v>
      </c>
      <c r="AT48" s="50">
        <f t="shared" si="21"/>
        <v>2.4452184465908431</v>
      </c>
      <c r="AU48" s="50">
        <f t="shared" si="22"/>
        <v>0.71983314114435615</v>
      </c>
      <c r="AV48" s="2">
        <f t="shared" si="23"/>
        <v>113.73986862237689</v>
      </c>
      <c r="AW48" s="61">
        <f t="shared" si="17"/>
        <v>-25.939986930406086</v>
      </c>
      <c r="BA48" s="16"/>
      <c r="BB48" s="2"/>
    </row>
    <row r="49" spans="1:54" x14ac:dyDescent="0.25">
      <c r="A49">
        <v>47</v>
      </c>
      <c r="B49" s="1">
        <f>ROUND((A49+Forudsætninger!$C$60)/30.4,1)</f>
        <v>2.8</v>
      </c>
      <c r="C49" s="1">
        <f>VLOOKUP((A49+Forudsætninger!$C$60),'Model tilvækst, slagteform, fe'!A:B,2,FALSE)</f>
        <v>116.08659265104716</v>
      </c>
      <c r="D49" s="3">
        <f t="shared" si="24"/>
        <v>1308.3327633001716</v>
      </c>
      <c r="E49" s="1">
        <f>(1+Forudsætninger!$C$78)*C49</f>
        <v>107.96053116547385</v>
      </c>
      <c r="F49" s="2">
        <f t="shared" si="25"/>
        <v>6.9780160199390719</v>
      </c>
      <c r="G49" s="1">
        <f t="shared" si="2"/>
        <v>114.93854718541293</v>
      </c>
      <c r="H49" s="3">
        <f t="shared" si="3"/>
        <v>1179.3685337748911</v>
      </c>
      <c r="I49" s="3">
        <f t="shared" si="4"/>
        <v>977.4158975619772</v>
      </c>
      <c r="J49" s="1">
        <f>VLOOKUP((A49+Forudsætninger!$C$60),'Model tilvækst, slagteform, fe'!G:K,2,FALSE)*(1+Forudsætninger!$C$79)</f>
        <v>47.370481914387135</v>
      </c>
      <c r="K49" s="17">
        <f t="shared" si="0"/>
        <v>54.446943707125357</v>
      </c>
      <c r="L49" s="17">
        <f t="shared" si="18"/>
        <v>579.73702343102923</v>
      </c>
      <c r="M49" s="3">
        <f>((K49-(('Model tilvækst, slagteform, fe'!$H$9/100)*'Model tilvækst, slagteform, fe'!$B$9))*1000/(A49+Forudsætninger!$C$60))</f>
        <v>395.34929858972635</v>
      </c>
      <c r="N49" s="17">
        <f t="shared" si="11"/>
        <v>117.81096805845173</v>
      </c>
      <c r="O49" s="19">
        <f>IF( A49&lt;Forudsætninger!$C$14,(G49/100)*Forudsætninger!$C$13,(Forudsætninger!$C$15/1000)*Forudsætninger!$C$13)</f>
        <v>0.74710055670518405</v>
      </c>
      <c r="P49" s="17" cm="1">
        <f t="array" ref="P49">INDEX('Model tilvækst, slagteform, fe'!$N$9:$N$375,MATCH(MIN(ABS('Model tilvækst, slagteform, fe'!$M$9:$M$375-'Vækstfunktion, hol'!G49)),ABS('Model tilvækst, slagteform, fe'!$M$9:$M$375-'Vækstfunktion, hol'!G49),0))*(1+Forudsætninger!$C$80)</f>
        <v>3.2989375701735004</v>
      </c>
      <c r="Q49" s="17">
        <f t="shared" si="12"/>
        <v>5.6904034706107955</v>
      </c>
      <c r="R49" s="17">
        <f t="shared" si="13"/>
        <v>5.2765602510588749</v>
      </c>
      <c r="S49" s="17">
        <f t="shared" si="5"/>
        <v>2.5645340411605524</v>
      </c>
      <c r="T49" s="19">
        <f>(P49)*IF(N49&lt;Forudsætninger!$B$228,IF(N49&lt;Forudsætninger!$B$227,Forudsætninger!$B$225,Forudsætninger!$C$9),Forudsætninger!$C$11)+O49</f>
        <v>9.0274338578406699</v>
      </c>
      <c r="U49" s="2">
        <f>Forudsætninger!$C$68+((K49-(Forudsætninger!$C$84)))*0.01</f>
        <v>2.2415222960598937</v>
      </c>
      <c r="V49" s="2">
        <f>U49+Forudsætninger!$C$69</f>
        <v>1.2415222960598937</v>
      </c>
      <c r="W49">
        <f t="shared" si="6"/>
        <v>0</v>
      </c>
      <c r="X49">
        <f>IF(A49+Forudsætninger!$C$60&gt;248,IF(A49+Forudsætninger!$C$60&lt;365,IF(K49&gt;180,IF(K49&lt;260,1,0),0),0),0)</f>
        <v>0</v>
      </c>
      <c r="Y49" s="22">
        <f>IF(X49=0,0,IF('Vækstfunktion, hol'!A49&lt;Forudsætninger!$C$66,Forudsætninger!$C$67+(('Vækstfunktion, hol'!A49-Forudsætninger!$C$66)/7)*Forudsætninger!$C$64,Forudsætninger!$C$67))</f>
        <v>0</v>
      </c>
      <c r="Z49" s="19">
        <f t="shared" si="19"/>
        <v>820.76704816799884</v>
      </c>
      <c r="AA49" s="19">
        <f>Forudsætninger!$C$62+Forudsætninger!$C$16</f>
        <v>1350</v>
      </c>
      <c r="AB49" s="19">
        <f>IF(K49&gt;Forudsætninger!$C$26,IF(K49&gt;Forudsætninger!$C$27,IF(K49&gt;Forudsætninger!$C$28,Forudsætninger!$E$28,Forudsætninger!$E$27+Forudsætninger!$F$28*(K49-Forudsætninger!$C$27)),Forudsætninger!$E$26+Forudsætninger!$F$27*(K49-Forudsætninger!$C$26)),Forudsætninger!$E$26)+IF(K49&gt;Forudsætninger!$C$28,Forudsætninger!$G$28,IF(K49&gt;Forudsætninger!$C$27,Forudsætninger!$G$27+Forudsætninger!$H$28*(K49-Forudsætninger!$C$27),IF(K49&gt;Forudsætninger!$C$26,Forudsætninger!$G$26+Forudsætninger!$H$27*(K49-Forudsætninger!$C$26),Forudsætninger!$G$26)))*(U49-Forudsætninger!$H$26)</f>
        <v>33.031141722044921</v>
      </c>
      <c r="AC49" s="19">
        <f>IF(K49&gt;Forudsætninger!$C$31,IF(K49&gt;Forudsætninger!$C$32,IF(K49&gt;Forudsætninger!$C$33,Forudsætninger!$E$33,Forudsætninger!$E$32+Forudsætninger!$F$33*(K49-Forudsætninger!$C$32)),Forudsætninger!$E$31+Forudsætninger!$F$32*(K49-Forudsætninger!$C$31)),Forudsætninger!$E$31)+IF(K49&gt;Forudsætninger!$C$33,Forudsætninger!$G$33,IF(K49&gt;Forudsætninger!$C$32,Forudsætninger!$G$32+Forudsætninger!$H$33*(K49-Forudsætninger!$C$32),IF(K49&gt;Forudsætninger!$C$31,Forudsætninger!$G$31+Forudsætninger!$H$32*(K49-Forudsætninger!$C$31),Forudsætninger!$G$31)))*(V49-Forudsætninger!$H$31)</f>
        <v>26.013978984877863</v>
      </c>
      <c r="AD49" s="19">
        <f t="shared" si="7"/>
        <v>1416.381649387987</v>
      </c>
      <c r="AE49" s="19">
        <f t="shared" si="8"/>
        <v>26.013978984877863</v>
      </c>
      <c r="AF49">
        <f>IF(G49&lt;=Forudsætninger!$C$97,Forudsætninger!$C$98,(IF(G49&lt;=Forudsætninger!$D$97,Forudsætninger!$D$98,IF(G49&lt;=Forudsætninger!$E$97,Forudsætninger!$E$98,IF(G49&lt;=Forudsætninger!$F$97,Forudsætninger!$F$98,IF(G49&lt;=Forudsætninger!$G$97,Forudsætninger!$G$98,IF(G49&lt;=Forudsætninger!$H$97,Forudsætninger!$H$98,IF(G49&lt;=Forudsætninger!$I$97,Forudsætninger!$I$98,Forudsætninger!$I$98))))))))</f>
        <v>2.2000000000000002</v>
      </c>
      <c r="AG49" s="1">
        <f t="shared" si="14"/>
        <v>2.2000000000000002</v>
      </c>
      <c r="AH49" s="1">
        <f t="shared" si="20"/>
        <v>103.40000000000008</v>
      </c>
      <c r="AI49" s="1">
        <f t="shared" si="9"/>
        <v>2.2000000000000015</v>
      </c>
      <c r="AJ49" s="20">
        <f>+(W49*Forudsætninger!$C$12)</f>
        <v>0</v>
      </c>
      <c r="AK49" s="20">
        <f>Forudsætninger!$C$17</f>
        <v>250</v>
      </c>
      <c r="AL49" s="20">
        <f>IF(A49&lt;92,Forudsætninger!$C$20,Forudsætninger!$C$21)</f>
        <v>4.0072859744990899</v>
      </c>
      <c r="AM49" s="20">
        <f t="shared" si="15"/>
        <v>188.34244080145726</v>
      </c>
      <c r="AN49" s="20">
        <f>IFERROR(AD49+AJ49-AA49-Z49-AK49-AM49-Forudsætninger!$C$75,-99999999)</f>
        <v>-1375.1220321308638</v>
      </c>
      <c r="AO49" s="19">
        <f>IFERROR(AN49/(A49+Forudsætninger!$C$74),-99999999)</f>
        <v>-29.257915577252422</v>
      </c>
      <c r="AP49" s="19">
        <f>IFERROR(((365/(A49+Forudsætninger!$C$74))*AN49)/(AI49+Forudsætninger!$C$73),-9999999)</f>
        <v>-4623.0039764922631</v>
      </c>
      <c r="AQ49" s="18">
        <f t="shared" si="10"/>
        <v>47</v>
      </c>
      <c r="AR49" s="18">
        <f t="shared" si="16"/>
        <v>2609.1094889694559</v>
      </c>
      <c r="AS49" s="52">
        <f t="shared" si="1"/>
        <v>2.8</v>
      </c>
      <c r="AT49" s="50">
        <f t="shared" si="21"/>
        <v>2.4525214947743734</v>
      </c>
      <c r="AU49" s="50">
        <f t="shared" si="22"/>
        <v>0.68935732765275404</v>
      </c>
      <c r="AV49" s="2">
        <f t="shared" si="23"/>
        <v>108.92442623084662</v>
      </c>
      <c r="AW49" s="61">
        <f t="shared" si="17"/>
        <v>-25.250629602753328</v>
      </c>
      <c r="BA49" s="16"/>
      <c r="BB49" s="2"/>
    </row>
    <row r="50" spans="1:54" x14ac:dyDescent="0.25">
      <c r="A50">
        <v>48</v>
      </c>
      <c r="B50" s="1">
        <f>ROUND((A50+Forudsætninger!$C$60)/30.4,1)</f>
        <v>2.9</v>
      </c>
      <c r="C50" s="1">
        <f>VLOOKUP((A50+Forudsætninger!$C$60),'Model tilvækst, slagteform, fe'!A:B,2,FALSE)</f>
        <v>117.40274231638865</v>
      </c>
      <c r="D50" s="3">
        <f t="shared" si="24"/>
        <v>1316.1496653414986</v>
      </c>
      <c r="E50" s="1">
        <f>(1+Forudsætninger!$C$78)*C50</f>
        <v>109.18455035424144</v>
      </c>
      <c r="F50" s="2">
        <f t="shared" si="25"/>
        <v>6.9404117437864574</v>
      </c>
      <c r="G50" s="1">
        <f t="shared" si="2"/>
        <v>116.12496209802789</v>
      </c>
      <c r="H50" s="3">
        <f t="shared" si="3"/>
        <v>1186.4149126149641</v>
      </c>
      <c r="I50" s="3">
        <f t="shared" si="4"/>
        <v>981.77004370891439</v>
      </c>
      <c r="J50" s="1">
        <f>VLOOKUP((A50+Forudsætninger!$C$60),'Model tilvækst, slagteform, fe'!G:K,2,FALSE)*(1+Forudsætninger!$C$79)</f>
        <v>47.389025562681248</v>
      </c>
      <c r="K50" s="17">
        <f t="shared" si="0"/>
        <v>55.030487973288345</v>
      </c>
      <c r="L50" s="17">
        <f t="shared" si="18"/>
        <v>583.54426616298838</v>
      </c>
      <c r="M50" s="3">
        <f>((K50-(('Model tilvækst, slagteform, fe'!$H$9/100)*'Model tilvækst, slagteform, fe'!$B$9))*1000/(A50+Forudsætninger!$C$60))</f>
        <v>397.51245913654543</v>
      </c>
      <c r="N50" s="17">
        <f t="shared" si="11"/>
        <v>121.14842047928762</v>
      </c>
      <c r="O50" s="19">
        <f>IF( A50&lt;Forudsætninger!$C$14,(G50/100)*Forudsætninger!$C$13,(Forudsætninger!$C$15/1000)*Forudsætninger!$C$13)</f>
        <v>0.7548122536371813</v>
      </c>
      <c r="P50" s="17" cm="1">
        <f t="array" ref="P50">INDEX('Model tilvækst, slagteform, fe'!$N$9:$N$375,MATCH(MIN(ABS('Model tilvækst, slagteform, fe'!$M$9:$M$375-'Vækstfunktion, hol'!G50)),ABS('Model tilvækst, slagteform, fe'!$M$9:$M$375-'Vækstfunktion, hol'!G50),0))*(1+Forudsætninger!$C$80)</f>
        <v>3.3374524208358864</v>
      </c>
      <c r="Q50" s="17">
        <f t="shared" si="12"/>
        <v>5.7192789208277652</v>
      </c>
      <c r="R50" s="17">
        <f t="shared" si="13"/>
        <v>5.2878364284449919</v>
      </c>
      <c r="S50" s="17">
        <f t="shared" si="5"/>
        <v>2.5707908311369763</v>
      </c>
      <c r="T50" s="19">
        <f>(P50)*IF(N50&lt;Forudsætninger!$B$228,IF(N50&lt;Forudsætninger!$B$227,Forudsætninger!$B$225,Forudsætninger!$C$9),Forudsætninger!$C$11)+O50</f>
        <v>9.1318178299352564</v>
      </c>
      <c r="U50" s="2">
        <f>Forudsætninger!$C$68+((K50-(Forudsætninger!$C$84)))*0.01</f>
        <v>2.2473577387215236</v>
      </c>
      <c r="V50" s="2">
        <f>U50+Forudsætninger!$C$69</f>
        <v>1.2473577387215236</v>
      </c>
      <c r="W50">
        <f t="shared" si="6"/>
        <v>0</v>
      </c>
      <c r="X50">
        <f>IF(A50+Forudsætninger!$C$60&gt;248,IF(A50+Forudsætninger!$C$60&lt;365,IF(K50&gt;180,IF(K50&lt;260,1,0),0),0),0)</f>
        <v>0</v>
      </c>
      <c r="Y50" s="22">
        <f>IF(X50=0,0,IF('Vækstfunktion, hol'!A50&lt;Forudsætninger!$C$66,Forudsætninger!$C$67+(('Vækstfunktion, hol'!A50-Forudsætninger!$C$66)/7)*Forudsætninger!$C$64,Forudsætninger!$C$67))</f>
        <v>0</v>
      </c>
      <c r="Z50" s="19">
        <f t="shared" si="19"/>
        <v>829.89886599793408</v>
      </c>
      <c r="AA50" s="19">
        <f>Forudsætninger!$C$62+Forudsætninger!$C$16</f>
        <v>1350</v>
      </c>
      <c r="AB50" s="19">
        <f>IF(K50&gt;Forudsætninger!$C$26,IF(K50&gt;Forudsætninger!$C$27,IF(K50&gt;Forudsætninger!$C$28,Forudsætninger!$E$28,Forudsætninger!$E$27+Forudsætninger!$F$28*(K50-Forudsætninger!$C$27)),Forudsætninger!$E$26+Forudsætninger!$F$27*(K50-Forudsætninger!$C$26)),Forudsætninger!$E$26)+IF(K50&gt;Forudsætninger!$C$28,Forudsætninger!$G$28,IF(K50&gt;Forudsætninger!$C$27,Forudsætninger!$G$27+Forudsætninger!$H$28*(K50-Forudsætninger!$C$27),IF(K50&gt;Forudsætninger!$C$26,Forudsætninger!$G$26+Forudsætninger!$H$27*(K50-Forudsætninger!$C$26),Forudsætninger!$G$26)))*(U50-Forudsætninger!$H$26)</f>
        <v>33.035518304041148</v>
      </c>
      <c r="AC50" s="19">
        <f>IF(K50&gt;Forudsætninger!$C$31,IF(K50&gt;Forudsætninger!$C$32,IF(K50&gt;Forudsætninger!$C$33,Forudsætninger!$E$33,Forudsætninger!$E$32+Forudsætninger!$F$33*(K50-Forudsætninger!$C$32)),Forudsætninger!$E$31+Forudsætninger!$F$32*(K50-Forudsætninger!$C$31)),Forudsætninger!$E$31)+IF(K50&gt;Forudsætninger!$C$33,Forudsætninger!$G$33,IF(K50&gt;Forudsætninger!$C$32,Forudsætninger!$G$32+Forudsætninger!$H$33*(K50-Forudsætninger!$C$32),IF(K50&gt;Forudsætninger!$C$31,Forudsætninger!$G$31+Forudsætninger!$H$32*(K50-Forudsætninger!$C$31),Forudsætninger!$G$31)))*(V50-Forudsætninger!$H$31)</f>
        <v>26.021565060337981</v>
      </c>
      <c r="AD50" s="19">
        <f t="shared" si="7"/>
        <v>1431.9794230990694</v>
      </c>
      <c r="AE50" s="19">
        <f t="shared" si="8"/>
        <v>26.021565060337981</v>
      </c>
      <c r="AF50">
        <f>IF(G50&lt;=Forudsætninger!$C$97,Forudsætninger!$C$98,(IF(G50&lt;=Forudsætninger!$D$97,Forudsætninger!$D$98,IF(G50&lt;=Forudsætninger!$E$97,Forudsætninger!$E$98,IF(G50&lt;=Forudsætninger!$F$97,Forudsætninger!$F$98,IF(G50&lt;=Forudsætninger!$G$97,Forudsætninger!$G$98,IF(G50&lt;=Forudsætninger!$H$97,Forudsætninger!$H$98,IF(G50&lt;=Forudsætninger!$I$97,Forudsætninger!$I$98,Forudsætninger!$I$98))))))))</f>
        <v>2.2000000000000002</v>
      </c>
      <c r="AG50" s="1">
        <f t="shared" si="14"/>
        <v>2.2000000000000002</v>
      </c>
      <c r="AH50" s="1">
        <f t="shared" si="20"/>
        <v>105.60000000000008</v>
      </c>
      <c r="AI50" s="1">
        <f t="shared" si="9"/>
        <v>2.2000000000000015</v>
      </c>
      <c r="AJ50" s="20">
        <f>+(W50*Forudsætninger!$C$12)</f>
        <v>0</v>
      </c>
      <c r="AK50" s="20">
        <f>Forudsætninger!$C$17</f>
        <v>250</v>
      </c>
      <c r="AL50" s="20">
        <f>IF(A50&lt;92,Forudsætninger!$C$20,Forudsætninger!$C$21)</f>
        <v>4.0072859744990899</v>
      </c>
      <c r="AM50" s="20">
        <f t="shared" si="15"/>
        <v>192.34972677595636</v>
      </c>
      <c r="AN50" s="20">
        <f>IFERROR(AD50+AJ50-AA50-Z50-AK50-AM50-Forudsætninger!$C$75,-99999999)</f>
        <v>-1372.6633622242157</v>
      </c>
      <c r="AO50" s="19">
        <f>IFERROR(AN50/(A50+Forudsætninger!$C$74),-99999999)</f>
        <v>-28.597153379671159</v>
      </c>
      <c r="AP50" s="19">
        <f>IFERROR(((365/(A50+Forudsætninger!$C$74))*AN50)/(AI50+Forudsætninger!$C$73),-9999999)</f>
        <v>-4518.5978283895965</v>
      </c>
      <c r="AQ50" s="18">
        <f t="shared" si="10"/>
        <v>48</v>
      </c>
      <c r="AR50" s="18">
        <f t="shared" si="16"/>
        <v>2622.2485927738903</v>
      </c>
      <c r="AS50" s="52">
        <f t="shared" si="1"/>
        <v>2.9</v>
      </c>
      <c r="AT50" s="50">
        <f t="shared" si="21"/>
        <v>2.4586699066480833</v>
      </c>
      <c r="AU50" s="50">
        <f t="shared" si="22"/>
        <v>0.66076219758126342</v>
      </c>
      <c r="AV50" s="2">
        <f t="shared" si="23"/>
        <v>104.40614810266652</v>
      </c>
      <c r="AW50" s="61">
        <f t="shared" si="17"/>
        <v>-24.589867405172072</v>
      </c>
      <c r="BA50" s="16"/>
      <c r="BB50" s="2"/>
    </row>
    <row r="51" spans="1:54" x14ac:dyDescent="0.25">
      <c r="A51">
        <v>49</v>
      </c>
      <c r="B51" s="1">
        <f>ROUND((A51+Forudsætninger!$C$60)/30.4,1)</f>
        <v>2.9</v>
      </c>
      <c r="C51" s="1">
        <f>VLOOKUP((A51+Forudsætninger!$C$60),'Model tilvækst, slagteform, fe'!A:B,2,FALSE)</f>
        <v>118.72659519186966</v>
      </c>
      <c r="D51" s="3">
        <f t="shared" si="24"/>
        <v>1323.8528754810091</v>
      </c>
      <c r="E51" s="1">
        <f>(1+Forudsætninger!$C$78)*C51</f>
        <v>110.41573352843878</v>
      </c>
      <c r="F51" s="2">
        <f t="shared" si="25"/>
        <v>6.9025873759155711</v>
      </c>
      <c r="G51" s="1">
        <f t="shared" si="2"/>
        <v>117.31832090435435</v>
      </c>
      <c r="H51" s="3">
        <f t="shared" si="3"/>
        <v>1193.3588063264579</v>
      </c>
      <c r="I51" s="3">
        <f t="shared" si="4"/>
        <v>986.08818172151746</v>
      </c>
      <c r="J51" s="1">
        <f>VLOOKUP((A51+Forudsætninger!$C$60),'Model tilvækst, slagteform, fe'!G:K,2,FALSE)*(1+Forudsætninger!$C$79)</f>
        <v>47.407594466385646</v>
      </c>
      <c r="K51" s="17">
        <f t="shared" si="0"/>
        <v>55.617793809109244</v>
      </c>
      <c r="L51" s="17">
        <f t="shared" si="18"/>
        <v>587.30583582089935</v>
      </c>
      <c r="M51" s="3">
        <f>((K51-(('Model tilvækst, slagteform, fe'!$H$9/100)*'Model tilvækst, slagteform, fe'!$B$9))*1000/(A51+Forudsætninger!$C$60))</f>
        <v>399.66920205341307</v>
      </c>
      <c r="N51" s="17">
        <f t="shared" si="11"/>
        <v>124.52440648742815</v>
      </c>
      <c r="O51" s="19">
        <f>IF( A51&lt;Forudsætninger!$C$14,(G51/100)*Forudsætninger!$C$13,(Forudsætninger!$C$15/1000)*Forudsætninger!$C$13)</f>
        <v>0.7625690858783033</v>
      </c>
      <c r="P51" s="17" cm="1">
        <f t="array" ref="P51">INDEX('Model tilvækst, slagteform, fe'!$N$9:$N$375,MATCH(MIN(ABS('Model tilvækst, slagteform, fe'!$M$9:$M$375-'Vækstfunktion, hol'!G51)),ABS('Model tilvækst, slagteform, fe'!$M$9:$M$375-'Vækstfunktion, hol'!G51),0))*(1+Forudsætninger!$C$80)</f>
        <v>3.3759860081405311</v>
      </c>
      <c r="Q51" s="17">
        <f t="shared" si="12"/>
        <v>5.748258917641758</v>
      </c>
      <c r="R51" s="17">
        <f t="shared" si="13"/>
        <v>5.2993441272596096</v>
      </c>
      <c r="S51" s="17">
        <f t="shared" si="5"/>
        <v>2.5771675041010429</v>
      </c>
      <c r="T51" s="19">
        <f>(P51)*IF(N51&lt;Forudsætninger!$B$228,IF(N51&lt;Forudsætninger!$B$227,Forudsætninger!$B$225,Forudsætninger!$C$9),Forudsætninger!$C$11)+O51</f>
        <v>9.2362939663110346</v>
      </c>
      <c r="U51" s="2">
        <f>Forudsætninger!$C$68+((K51-(Forudsætninger!$C$84)))*0.01</f>
        <v>2.2532307970797327</v>
      </c>
      <c r="V51" s="2">
        <f>U51+Forudsætninger!$C$69</f>
        <v>1.2532307970797327</v>
      </c>
      <c r="W51">
        <f t="shared" si="6"/>
        <v>0</v>
      </c>
      <c r="X51">
        <f>IF(A51+Forudsætninger!$C$60&gt;248,IF(A51+Forudsætninger!$C$60&lt;365,IF(K51&gt;180,IF(K51&lt;260,1,0),0),0),0)</f>
        <v>0</v>
      </c>
      <c r="Y51" s="22">
        <f>IF(X51=0,0,IF('Vækstfunktion, hol'!A51&lt;Forudsætninger!$C$66,Forudsætninger!$C$67+(('Vækstfunktion, hol'!A51-Forudsætninger!$C$66)/7)*Forudsætninger!$C$64,Forudsætninger!$C$67))</f>
        <v>0</v>
      </c>
      <c r="Z51" s="19">
        <f t="shared" si="19"/>
        <v>839.13515996424508</v>
      </c>
      <c r="AA51" s="19">
        <f>Forudsætninger!$C$62+Forudsætninger!$C$16</f>
        <v>1350</v>
      </c>
      <c r="AB51" s="19">
        <f>IF(K51&gt;Forudsætninger!$C$26,IF(K51&gt;Forudsætninger!$C$27,IF(K51&gt;Forudsætninger!$C$28,Forudsætninger!$E$28,Forudsætninger!$E$27+Forudsætninger!$F$28*(K51-Forudsætninger!$C$27)),Forudsætninger!$E$26+Forudsætninger!$F$27*(K51-Forudsætninger!$C$26)),Forudsætninger!$E$26)+IF(K51&gt;Forudsætninger!$C$28,Forudsætninger!$G$28,IF(K51&gt;Forudsætninger!$C$27,Forudsætninger!$G$27+Forudsætninger!$H$28*(K51-Forudsætninger!$C$27),IF(K51&gt;Forudsætninger!$C$26,Forudsætninger!$G$26+Forudsætninger!$H$27*(K51-Forudsætninger!$C$26),Forudsætninger!$G$26)))*(U51-Forudsætninger!$H$26)</f>
        <v>33.039923097809798</v>
      </c>
      <c r="AC51" s="19">
        <f>IF(K51&gt;Forudsætninger!$C$31,IF(K51&gt;Forudsætninger!$C$32,IF(K51&gt;Forudsætninger!$C$33,Forudsætninger!$E$33,Forudsætninger!$E$32+Forudsætninger!$F$33*(K51-Forudsætninger!$C$32)),Forudsætninger!$E$31+Forudsætninger!$F$32*(K51-Forudsætninger!$C$31)),Forudsætninger!$E$31)+IF(K51&gt;Forudsætninger!$C$33,Forudsætninger!$G$33,IF(K51&gt;Forudsætninger!$C$32,Forudsætninger!$G$32+Forudsætninger!$H$33*(K51-Forudsætninger!$C$32),IF(K51&gt;Forudsætninger!$C$31,Forudsætninger!$G$31+Forudsætninger!$H$32*(K51-Forudsætninger!$C$31),Forudsætninger!$G$31)))*(V51-Forudsætninger!$H$31)</f>
        <v>26.029200036203651</v>
      </c>
      <c r="AD51" s="19">
        <f t="shared" si="7"/>
        <v>1447.6866806296337</v>
      </c>
      <c r="AE51" s="19">
        <f t="shared" si="8"/>
        <v>26.029200036203655</v>
      </c>
      <c r="AF51">
        <f>IF(G51&lt;=Forudsætninger!$C$97,Forudsætninger!$C$98,(IF(G51&lt;=Forudsætninger!$D$97,Forudsætninger!$D$98,IF(G51&lt;=Forudsætninger!$E$97,Forudsætninger!$E$98,IF(G51&lt;=Forudsætninger!$F$97,Forudsætninger!$F$98,IF(G51&lt;=Forudsætninger!$G$97,Forudsætninger!$G$98,IF(G51&lt;=Forudsætninger!$H$97,Forudsætninger!$H$98,IF(G51&lt;=Forudsætninger!$I$97,Forudsætninger!$I$98,Forudsætninger!$I$98))))))))</f>
        <v>2.2000000000000002</v>
      </c>
      <c r="AG51" s="1">
        <f t="shared" si="14"/>
        <v>2.2000000000000002</v>
      </c>
      <c r="AH51" s="1">
        <f t="shared" si="20"/>
        <v>107.80000000000008</v>
      </c>
      <c r="AI51" s="1">
        <f t="shared" si="9"/>
        <v>2.2000000000000015</v>
      </c>
      <c r="AJ51" s="20">
        <f>+(W51*Forudsætninger!$C$12)</f>
        <v>0</v>
      </c>
      <c r="AK51" s="20">
        <f>Forudsætninger!$C$17</f>
        <v>250</v>
      </c>
      <c r="AL51" s="20">
        <f>IF(A51&lt;92,Forudsætninger!$C$20,Forudsætninger!$C$21)</f>
        <v>4.0072859744990899</v>
      </c>
      <c r="AM51" s="20">
        <f t="shared" si="15"/>
        <v>196.35701275045545</v>
      </c>
      <c r="AN51" s="20">
        <f>IFERROR(AD51+AJ51-AA51-Z51-AK51-AM51-Forudsætninger!$C$75,-99999999)</f>
        <v>-1370.1996846344614</v>
      </c>
      <c r="AO51" s="19">
        <f>IFERROR(AN51/(A51+Forudsætninger!$C$74),-99999999)</f>
        <v>-27.96325887009105</v>
      </c>
      <c r="AP51" s="19">
        <f>IFERROR(((365/(A51+Forudsætninger!$C$74))*AN51)/(AI51+Forudsætninger!$C$73),-9999999)</f>
        <v>-4418.4370076117866</v>
      </c>
      <c r="AQ51" s="18">
        <f t="shared" si="10"/>
        <v>49</v>
      </c>
      <c r="AR51" s="18">
        <f t="shared" si="16"/>
        <v>2635.4921727147002</v>
      </c>
      <c r="AS51" s="52">
        <f t="shared" si="1"/>
        <v>2.9</v>
      </c>
      <c r="AT51" s="50">
        <f t="shared" si="21"/>
        <v>2.4636775897542975</v>
      </c>
      <c r="AU51" s="50">
        <f t="shared" si="22"/>
        <v>0.6338945095801094</v>
      </c>
      <c r="AV51" s="2">
        <f t="shared" si="23"/>
        <v>100.16082077780993</v>
      </c>
      <c r="AW51" s="61">
        <f t="shared" si="17"/>
        <v>-23.955972895591959</v>
      </c>
      <c r="BA51" s="16"/>
      <c r="BB51" s="2"/>
    </row>
    <row r="52" spans="1:54" x14ac:dyDescent="0.25">
      <c r="A52">
        <v>50</v>
      </c>
      <c r="B52" s="1">
        <f>ROUND((A52+Forudsætninger!$C$60)/30.4,1)</f>
        <v>2.9</v>
      </c>
      <c r="C52" s="1">
        <f>VLOOKUP((A52+Forudsætninger!$C$60),'Model tilvækst, slagteform, fe'!A:B,2,FALSE)</f>
        <v>120.05803811993576</v>
      </c>
      <c r="D52" s="3">
        <f t="shared" si="24"/>
        <v>1331.4429280660961</v>
      </c>
      <c r="E52" s="1">
        <f>(1+Forudsætninger!$C$78)*C52</f>
        <v>111.65397545154025</v>
      </c>
      <c r="F52" s="2">
        <f t="shared" si="25"/>
        <v>6.8645461493993967</v>
      </c>
      <c r="G52" s="1">
        <f t="shared" si="2"/>
        <v>118.51852160093965</v>
      </c>
      <c r="H52" s="3">
        <f t="shared" si="3"/>
        <v>1200.2006965852984</v>
      </c>
      <c r="I52" s="3">
        <f t="shared" si="4"/>
        <v>990.37043201879294</v>
      </c>
      <c r="J52" s="1">
        <f>VLOOKUP((A52+Forudsætninger!$C$60),'Model tilvækst, slagteform, fe'!G:K,2,FALSE)*(1+Forudsætninger!$C$79)</f>
        <v>47.426186949847455</v>
      </c>
      <c r="K52" s="17">
        <f t="shared" si="0"/>
        <v>56.208815624656978</v>
      </c>
      <c r="L52" s="17">
        <f t="shared" si="18"/>
        <v>591.02181554773381</v>
      </c>
      <c r="M52" s="3">
        <f>((K52-(('Model tilvækst, slagteform, fe'!$H$9/100)*'Model tilvækst, slagteform, fe'!$B$9))*1000/(A52+Forudsætninger!$C$60))</f>
        <v>401.8192314185178</v>
      </c>
      <c r="N52" s="17">
        <f t="shared" si="11"/>
        <v>127.93893978853295</v>
      </c>
      <c r="O52" s="19">
        <f>IF( A52&lt;Forudsætninger!$C$14,(G52/100)*Forudsætninger!$C$13,(Forudsætninger!$C$15/1000)*Forudsætninger!$C$13)</f>
        <v>0.77037039040610777</v>
      </c>
      <c r="P52" s="17" cm="1">
        <f t="array" ref="P52">INDEX('Model tilvækst, slagteform, fe'!$N$9:$N$375,MATCH(MIN(ABS('Model tilvækst, slagteform, fe'!$M$9:$M$375-'Vækstfunktion, hol'!G52)),ABS('Model tilvækst, slagteform, fe'!$M$9:$M$375-'Vækstfunktion, hol'!G52),0))*(1+Forudsætninger!$C$80)</f>
        <v>3.4145333011047971</v>
      </c>
      <c r="Q52" s="17">
        <f t="shared" si="12"/>
        <v>5.7773388583640575</v>
      </c>
      <c r="R52" s="17">
        <f t="shared" si="13"/>
        <v>5.3110716432423608</v>
      </c>
      <c r="S52" s="17">
        <f t="shared" si="5"/>
        <v>2.5836583090983316</v>
      </c>
      <c r="T52" s="19">
        <f>(P52)*IF(N52&lt;Forudsætninger!$B$228,IF(N52&lt;Forudsætninger!$B$227,Forudsætninger!$B$225,Forudsætninger!$C$9),Forudsætninger!$C$11)+O52</f>
        <v>9.3408489761791476</v>
      </c>
      <c r="U52" s="2">
        <f>Forudsætninger!$C$68+((K52-(Forudsætninger!$C$84)))*0.01</f>
        <v>2.25914101523521</v>
      </c>
      <c r="V52" s="2">
        <f>U52+Forudsætninger!$C$69</f>
        <v>1.25914101523521</v>
      </c>
      <c r="W52">
        <f t="shared" si="6"/>
        <v>0</v>
      </c>
      <c r="X52">
        <f>IF(A52+Forudsætninger!$C$60&gt;248,IF(A52+Forudsætninger!$C$60&lt;365,IF(K52&gt;180,IF(K52&lt;260,1,0),0),0),0)</f>
        <v>0</v>
      </c>
      <c r="Y52" s="22">
        <f>IF(X52=0,0,IF('Vækstfunktion, hol'!A52&lt;Forudsætninger!$C$66,Forudsætninger!$C$67+(('Vækstfunktion, hol'!A52-Forudsætninger!$C$66)/7)*Forudsætninger!$C$64,Forudsætninger!$C$67))</f>
        <v>0</v>
      </c>
      <c r="Z52" s="19">
        <f t="shared" si="19"/>
        <v>848.47600894042421</v>
      </c>
      <c r="AA52" s="19">
        <f>Forudsætninger!$C$62+Forudsætninger!$C$16</f>
        <v>1350</v>
      </c>
      <c r="AB52" s="19">
        <f>IF(K52&gt;Forudsætninger!$C$26,IF(K52&gt;Forudsætninger!$C$27,IF(K52&gt;Forudsætninger!$C$28,Forudsætninger!$E$28,Forudsætninger!$E$27+Forudsætninger!$F$28*(K52-Forudsætninger!$C$27)),Forudsætninger!$E$26+Forudsætninger!$F$27*(K52-Forudsætninger!$C$26)),Forudsætninger!$E$26)+IF(K52&gt;Forudsætninger!$C$28,Forudsætninger!$G$28,IF(K52&gt;Forudsætninger!$C$27,Forudsætninger!$G$27+Forudsætninger!$H$28*(K52-Forudsætninger!$C$27),IF(K52&gt;Forudsætninger!$C$26,Forudsætninger!$G$26+Forudsætninger!$H$27*(K52-Forudsætninger!$C$26),Forudsætninger!$G$26)))*(U52-Forudsætninger!$H$26)</f>
        <v>33.044355761426409</v>
      </c>
      <c r="AC52" s="19">
        <f>IF(K52&gt;Forudsætninger!$C$31,IF(K52&gt;Forudsætninger!$C$32,IF(K52&gt;Forudsætninger!$C$33,Forudsætninger!$E$33,Forudsætninger!$E$32+Forudsætninger!$F$33*(K52-Forudsætninger!$C$32)),Forudsætninger!$E$31+Forudsætninger!$F$32*(K52-Forudsætninger!$C$31)),Forudsætninger!$E$31)+IF(K52&gt;Forudsætninger!$C$33,Forudsætninger!$G$33,IF(K52&gt;Forudsætninger!$C$32,Forudsætninger!$G$32+Forudsætninger!$H$33*(K52-Forudsætninger!$C$32),IF(K52&gt;Forudsætninger!$C$31,Forudsætninger!$G$31+Forudsætninger!$H$32*(K52-Forudsætninger!$C$31),Forudsætninger!$G$31)))*(V52-Forudsætninger!$H$31)</f>
        <v>26.036883319805774</v>
      </c>
      <c r="AD52" s="19">
        <f t="shared" si="7"/>
        <v>1463.5023739636695</v>
      </c>
      <c r="AE52" s="19">
        <f t="shared" si="8"/>
        <v>26.036883319805774</v>
      </c>
      <c r="AF52">
        <f>IF(G52&lt;=Forudsætninger!$C$97,Forudsætninger!$C$98,(IF(G52&lt;=Forudsætninger!$D$97,Forudsætninger!$D$98,IF(G52&lt;=Forudsætninger!$E$97,Forudsætninger!$E$98,IF(G52&lt;=Forudsætninger!$F$97,Forudsætninger!$F$98,IF(G52&lt;=Forudsætninger!$G$97,Forudsætninger!$G$98,IF(G52&lt;=Forudsætninger!$H$97,Forudsætninger!$H$98,IF(G52&lt;=Forudsætninger!$I$97,Forudsætninger!$I$98,Forudsætninger!$I$98))))))))</f>
        <v>2.2000000000000002</v>
      </c>
      <c r="AG52" s="1">
        <f t="shared" si="14"/>
        <v>2.2000000000000002</v>
      </c>
      <c r="AH52" s="1">
        <f t="shared" si="20"/>
        <v>110.00000000000009</v>
      </c>
      <c r="AI52" s="1">
        <f t="shared" si="9"/>
        <v>2.2000000000000015</v>
      </c>
      <c r="AJ52" s="20">
        <f>+(W52*Forudsætninger!$C$12)</f>
        <v>0</v>
      </c>
      <c r="AK52" s="20">
        <f>Forudsætninger!$C$17</f>
        <v>250</v>
      </c>
      <c r="AL52" s="20">
        <f>IF(A52&lt;92,Forudsætninger!$C$20,Forudsætninger!$C$21)</f>
        <v>4.0072859744990899</v>
      </c>
      <c r="AM52" s="20">
        <f t="shared" si="15"/>
        <v>200.36429872495455</v>
      </c>
      <c r="AN52" s="20">
        <f>IFERROR(AD52+AJ52-AA52-Z52-AK52-AM52-Forudsætninger!$C$75,-99999999)</f>
        <v>-1367.7321262511039</v>
      </c>
      <c r="AO52" s="19">
        <f>IFERROR(AN52/(A52+Forudsætninger!$C$74),-99999999)</f>
        <v>-27.354642525022076</v>
      </c>
      <c r="AP52" s="19">
        <f>IFERROR(((365/(A52+Forudsætninger!$C$74))*AN52)/(AI52+Forudsætninger!$C$73),-9999999)</f>
        <v>-4322.2703556853039</v>
      </c>
      <c r="AQ52" s="18">
        <f t="shared" si="10"/>
        <v>50</v>
      </c>
      <c r="AR52" s="18">
        <f t="shared" si="16"/>
        <v>2648.840307665379</v>
      </c>
      <c r="AS52" s="52">
        <f t="shared" si="1"/>
        <v>2.9</v>
      </c>
      <c r="AT52" s="50">
        <f t="shared" si="21"/>
        <v>2.4675583833575274</v>
      </c>
      <c r="AU52" s="50">
        <f t="shared" si="22"/>
        <v>0.60861634506897389</v>
      </c>
      <c r="AV52" s="2">
        <f t="shared" si="23"/>
        <v>96.1666519264827</v>
      </c>
      <c r="AW52" s="61">
        <f t="shared" si="17"/>
        <v>-23.347356550522985</v>
      </c>
      <c r="BA52" s="16"/>
      <c r="BB52" s="2"/>
    </row>
    <row r="53" spans="1:54" x14ac:dyDescent="0.25">
      <c r="A53">
        <v>51</v>
      </c>
      <c r="B53" s="1">
        <f>ROUND((A53+Forudsætninger!$C$60)/30.4,1)</f>
        <v>3</v>
      </c>
      <c r="C53" s="1">
        <f>VLOOKUP((A53+Forudsætninger!$C$60),'Model tilvækst, slagteform, fe'!A:B,2,FALSE)</f>
        <v>121.39695847737997</v>
      </c>
      <c r="D53" s="3">
        <f t="shared" si="24"/>
        <v>1338.9203574442092</v>
      </c>
      <c r="E53" s="1">
        <f>(1+Forudsætninger!$C$78)*C53</f>
        <v>112.89917138396336</v>
      </c>
      <c r="F53" s="2">
        <f t="shared" si="25"/>
        <v>6.8262912820438482</v>
      </c>
      <c r="G53" s="1">
        <f t="shared" si="2"/>
        <v>119.72546266600722</v>
      </c>
      <c r="H53" s="3">
        <f t="shared" si="3"/>
        <v>1206.9410650675677</v>
      </c>
      <c r="I53" s="3">
        <f t="shared" si="4"/>
        <v>994.6169150197494</v>
      </c>
      <c r="J53" s="1">
        <f>VLOOKUP((A53+Forudsætninger!$C$60),'Model tilvækst, slagteform, fe'!G:K,2,FALSE)*(1+Forudsætninger!$C$79)</f>
        <v>47.4448013374138</v>
      </c>
      <c r="K53" s="17">
        <f t="shared" si="0"/>
        <v>56.803507912186653</v>
      </c>
      <c r="L53" s="17">
        <f t="shared" si="18"/>
        <v>594.69228752967501</v>
      </c>
      <c r="M53" s="3">
        <f>((K53-(('Model tilvækst, slagteform, fe'!$H$9/100)*'Model tilvækst, slagteform, fe'!$B$9))*1000/(A53+Forudsætninger!$C$60))</f>
        <v>403.96226537530845</v>
      </c>
      <c r="N53" s="17">
        <f t="shared" si="11"/>
        <v>131.39202905727899</v>
      </c>
      <c r="O53" s="19">
        <f>IF( A53&lt;Forudsætninger!$C$14,(G53/100)*Forudsætninger!$C$13,(Forudsætninger!$C$15/1000)*Forudsætninger!$C$13)</f>
        <v>0.77821550732904687</v>
      </c>
      <c r="P53" s="17" cm="1">
        <f t="array" ref="P53">INDEX('Model tilvækst, slagteform, fe'!$N$9:$N$375,MATCH(MIN(ABS('Model tilvækst, slagteform, fe'!$M$9:$M$375-'Vækstfunktion, hol'!G53)),ABS('Model tilvækst, slagteform, fe'!$M$9:$M$375-'Vækstfunktion, hol'!G53),0))*(1+Forudsætninger!$C$80)</f>
        <v>3.4530892687460435</v>
      </c>
      <c r="Q53" s="17">
        <f t="shared" si="12"/>
        <v>5.8065142951323958</v>
      </c>
      <c r="R53" s="17">
        <f t="shared" si="13"/>
        <v>5.3230080552761594</v>
      </c>
      <c r="S53" s="17">
        <f t="shared" si="5"/>
        <v>2.5902578734945489</v>
      </c>
      <c r="T53" s="19">
        <f>(P53)*IF(N53&lt;Forudsætninger!$B$228,IF(N53&lt;Forudsætninger!$B$227,Forudsætninger!$B$225,Forudsætninger!$C$9),Forudsætninger!$C$11)+O53</f>
        <v>9.4454695718816168</v>
      </c>
      <c r="U53" s="2">
        <f>Forudsætninger!$C$68+((K53-(Forudsætninger!$C$84)))*0.01</f>
        <v>2.2650879381105069</v>
      </c>
      <c r="V53" s="2">
        <f>U53+Forudsætninger!$C$69</f>
        <v>1.2650879381105069</v>
      </c>
      <c r="W53">
        <f t="shared" si="6"/>
        <v>0</v>
      </c>
      <c r="X53">
        <f>IF(A53+Forudsætninger!$C$60&gt;248,IF(A53+Forudsætninger!$C$60&lt;365,IF(K53&gt;180,IF(K53&lt;260,1,0),0),0),0)</f>
        <v>0</v>
      </c>
      <c r="Y53" s="22">
        <f>IF(X53=0,0,IF('Vækstfunktion, hol'!A53&lt;Forudsætninger!$C$66,Forudsætninger!$C$67+(('Vækstfunktion, hol'!A53-Forudsætninger!$C$66)/7)*Forudsætninger!$C$64,Forudsætninger!$C$67))</f>
        <v>0</v>
      </c>
      <c r="Z53" s="19">
        <f t="shared" si="19"/>
        <v>857.92147851230584</v>
      </c>
      <c r="AA53" s="19">
        <f>Forudsætninger!$C$62+Forudsætninger!$C$16</f>
        <v>1350</v>
      </c>
      <c r="AB53" s="19">
        <f>IF(K53&gt;Forudsætninger!$C$26,IF(K53&gt;Forudsætninger!$C$27,IF(K53&gt;Forudsætninger!$C$28,Forudsætninger!$E$28,Forudsætninger!$E$27+Forudsætninger!$F$28*(K53-Forudsætninger!$C$27)),Forudsætninger!$E$26+Forudsætninger!$F$27*(K53-Forudsætninger!$C$26)),Forudsætninger!$E$26)+IF(K53&gt;Forudsætninger!$C$28,Forudsætninger!$G$28,IF(K53&gt;Forudsætninger!$C$27,Forudsætninger!$G$27+Forudsætninger!$H$28*(K53-Forudsætninger!$C$27),IF(K53&gt;Forudsætninger!$C$26,Forudsætninger!$G$26+Forudsætninger!$H$27*(K53-Forudsætninger!$C$26),Forudsætninger!$G$26)))*(U53-Forudsætninger!$H$26)</f>
        <v>33.048815953582881</v>
      </c>
      <c r="AC53" s="19">
        <f>IF(K53&gt;Forudsætninger!$C$31,IF(K53&gt;Forudsætninger!$C$32,IF(K53&gt;Forudsætninger!$C$33,Forudsætninger!$E$33,Forudsætninger!$E$32+Forudsætninger!$F$33*(K53-Forudsætninger!$C$32)),Forudsætninger!$E$31+Forudsætninger!$F$32*(K53-Forudsætninger!$C$31)),Forudsætninger!$E$31)+IF(K53&gt;Forudsætninger!$C$33,Forudsætninger!$G$33,IF(K53&gt;Forudsætninger!$C$32,Forudsætninger!$G$32+Forudsætninger!$H$33*(K53-Forudsætninger!$C$32),IF(K53&gt;Forudsætninger!$C$31,Forudsætninger!$G$31+Forudsætninger!$H$32*(K53-Forudsætninger!$C$31),Forudsætninger!$G$31)))*(V53-Forudsætninger!$H$31)</f>
        <v>26.044614319543658</v>
      </c>
      <c r="AD53" s="19">
        <f t="shared" si="7"/>
        <v>1479.4254555700479</v>
      </c>
      <c r="AE53" s="19">
        <f t="shared" si="8"/>
        <v>26.044614319543658</v>
      </c>
      <c r="AF53">
        <f>IF(G53&lt;=Forudsætninger!$C$97,Forudsætninger!$C$98,(IF(G53&lt;=Forudsætninger!$D$97,Forudsætninger!$D$98,IF(G53&lt;=Forudsætninger!$E$97,Forudsætninger!$E$98,IF(G53&lt;=Forudsætninger!$F$97,Forudsætninger!$F$98,IF(G53&lt;=Forudsætninger!$G$97,Forudsætninger!$G$98,IF(G53&lt;=Forudsætninger!$H$97,Forudsætninger!$H$98,IF(G53&lt;=Forudsætninger!$I$97,Forudsætninger!$I$98,Forudsætninger!$I$98))))))))</f>
        <v>2.2000000000000002</v>
      </c>
      <c r="AG53" s="1">
        <f t="shared" si="14"/>
        <v>2.2000000000000002</v>
      </c>
      <c r="AH53" s="1">
        <f t="shared" si="20"/>
        <v>112.20000000000009</v>
      </c>
      <c r="AI53" s="1">
        <f t="shared" si="9"/>
        <v>2.2000000000000015</v>
      </c>
      <c r="AJ53" s="20">
        <f>+(W53*Forudsætninger!$C$12)</f>
        <v>0</v>
      </c>
      <c r="AK53" s="20">
        <f>Forudsætninger!$C$17</f>
        <v>250</v>
      </c>
      <c r="AL53" s="20">
        <f>IF(A53&lt;92,Forudsætninger!$C$20,Forudsætninger!$C$21)</f>
        <v>4.0072859744990899</v>
      </c>
      <c r="AM53" s="20">
        <f t="shared" si="15"/>
        <v>204.37158469945365</v>
      </c>
      <c r="AN53" s="20">
        <f>IFERROR(AD53+AJ53-AA53-Z53-AK53-AM53-Forudsætninger!$C$75,-99999999)</f>
        <v>-1365.2618001911062</v>
      </c>
      <c r="AO53" s="19">
        <f>IFERROR(AN53/(A53+Forudsætninger!$C$74),-99999999)</f>
        <v>-26.769839219433454</v>
      </c>
      <c r="AP53" s="19">
        <f>IFERROR(((365/(A53+Forudsætninger!$C$74))*AN53)/(AI53+Forudsætninger!$C$73),-9999999)</f>
        <v>-4229.8663701702189</v>
      </c>
      <c r="AQ53" s="18">
        <f t="shared" si="10"/>
        <v>51</v>
      </c>
      <c r="AR53" s="18">
        <f t="shared" si="16"/>
        <v>2662.2930632117595</v>
      </c>
      <c r="AS53" s="52">
        <f t="shared" si="1"/>
        <v>3</v>
      </c>
      <c r="AT53" s="50">
        <f t="shared" si="21"/>
        <v>2.4703260599976602</v>
      </c>
      <c r="AU53" s="50">
        <f t="shared" si="22"/>
        <v>0.58480330558862192</v>
      </c>
      <c r="AV53" s="2">
        <f t="shared" si="23"/>
        <v>92.403985515084969</v>
      </c>
      <c r="AW53" s="61">
        <f t="shared" si="17"/>
        <v>-22.762553244934363</v>
      </c>
      <c r="BA53" s="16"/>
      <c r="BB53" s="2"/>
    </row>
    <row r="54" spans="1:54" x14ac:dyDescent="0.25">
      <c r="A54">
        <v>52</v>
      </c>
      <c r="B54" s="1">
        <f>ROUND((A54+Forudsætninger!$C$60)/30.4,1)</f>
        <v>3</v>
      </c>
      <c r="C54" s="1">
        <f>VLOOKUP((A54+Forudsætninger!$C$60),'Model tilvækst, slagteform, fe'!A:B,2,FALSE)</f>
        <v>122.74324417534277</v>
      </c>
      <c r="D54" s="3">
        <f t="shared" si="24"/>
        <v>1346.2856979627986</v>
      </c>
      <c r="E54" s="1">
        <f>(1+Forudsætninger!$C$78)*C54</f>
        <v>114.15121708306877</v>
      </c>
      <c r="F54" s="2">
        <f t="shared" si="25"/>
        <v>6.7878259763877686</v>
      </c>
      <c r="G54" s="1">
        <f t="shared" si="2"/>
        <v>120.93904305945654</v>
      </c>
      <c r="H54" s="3">
        <f t="shared" si="3"/>
        <v>1213.5803934493197</v>
      </c>
      <c r="I54" s="3">
        <f t="shared" si="4"/>
        <v>998.82775114339506</v>
      </c>
      <c r="J54" s="1">
        <f>VLOOKUP((A54+Forudsætninger!$C$60),'Model tilvækst, slagteform, fe'!G:K,2,FALSE)*(1+Forudsætninger!$C$79)</f>
        <v>47.463435953431841</v>
      </c>
      <c r="K54" s="17">
        <f t="shared" si="0"/>
        <v>57.401825245218511</v>
      </c>
      <c r="L54" s="17">
        <f t="shared" si="18"/>
        <v>598.31733303185786</v>
      </c>
      <c r="M54" s="3">
        <f>((K54-(('Model tilvækst, slagteform, fe'!$H$9/100)*'Model tilvækst, slagteform, fe'!$B$9))*1000/(A54+Forudsætninger!$C$60))</f>
        <v>406.0980353495562</v>
      </c>
      <c r="N54" s="17">
        <f t="shared" si="11"/>
        <v>134.88367793736063</v>
      </c>
      <c r="O54" s="19">
        <f>IF( A54&lt;Forudsætninger!$C$14,(G54/100)*Forudsætninger!$C$13,(Forudsætninger!$C$15/1000)*Forudsætninger!$C$13)</f>
        <v>0.78610377988646751</v>
      </c>
      <c r="P54" s="17" cm="1">
        <f t="array" ref="P54">INDEX('Model tilvækst, slagteform, fe'!$N$9:$N$375,MATCH(MIN(ABS('Model tilvækst, slagteform, fe'!$M$9:$M$375-'Vækstfunktion, hol'!G54)),ABS('Model tilvækst, slagteform, fe'!$M$9:$M$375-'Vækstfunktion, hol'!G54),0))*(1+Forudsætninger!$C$80)</f>
        <v>3.491648880081633</v>
      </c>
      <c r="Q54" s="17">
        <f t="shared" si="12"/>
        <v>5.8357809264665201</v>
      </c>
      <c r="R54" s="17">
        <f t="shared" si="13"/>
        <v>5.3351431536722176</v>
      </c>
      <c r="S54" s="17">
        <f t="shared" si="5"/>
        <v>2.5969611681708171</v>
      </c>
      <c r="T54" s="19">
        <f>(P54)*IF(N54&lt;Forudsætninger!$B$228,IF(N54&lt;Forudsætninger!$B$227,Forudsætninger!$B$225,Forudsætninger!$C$9),Forudsætninger!$C$11)+O54</f>
        <v>9.5501424688913659</v>
      </c>
      <c r="U54" s="2">
        <f>Forudsætninger!$C$68+((K54-(Forudsætninger!$C$84)))*0.01</f>
        <v>2.2710711114408255</v>
      </c>
      <c r="V54" s="2">
        <f>U54+Forudsætninger!$C$69</f>
        <v>1.2710711114408255</v>
      </c>
      <c r="W54">
        <f t="shared" si="6"/>
        <v>0</v>
      </c>
      <c r="X54">
        <f>IF(A54+Forudsætninger!$C$60&gt;248,IF(A54+Forudsætninger!$C$60&lt;365,IF(K54&gt;180,IF(K54&lt;260,1,0),0),0),0)</f>
        <v>0</v>
      </c>
      <c r="Y54" s="22">
        <f>IF(X54=0,0,IF('Vækstfunktion, hol'!A54&lt;Forudsætninger!$C$66,Forudsætninger!$C$67+(('Vækstfunktion, hol'!A54-Forudsætninger!$C$66)/7)*Forudsætninger!$C$64,Forudsætninger!$C$67))</f>
        <v>0</v>
      </c>
      <c r="Z54" s="19">
        <f t="shared" si="19"/>
        <v>867.47162098119725</v>
      </c>
      <c r="AA54" s="19">
        <f>Forudsætninger!$C$62+Forudsætninger!$C$16</f>
        <v>1350</v>
      </c>
      <c r="AB54" s="19">
        <f>IF(K54&gt;Forudsætninger!$C$26,IF(K54&gt;Forudsætninger!$C$27,IF(K54&gt;Forudsætninger!$C$28,Forudsætninger!$E$28,Forudsætninger!$E$27+Forudsætninger!$F$28*(K54-Forudsætninger!$C$27)),Forudsætninger!$E$26+Forudsætninger!$F$27*(K54-Forudsætninger!$C$26)),Forudsætninger!$E$26)+IF(K54&gt;Forudsætninger!$C$28,Forudsætninger!$G$28,IF(K54&gt;Forudsætninger!$C$27,Forudsætninger!$G$27+Forudsætninger!$H$28*(K54-Forudsætninger!$C$27),IF(K54&gt;Forudsætninger!$C$26,Forudsætninger!$G$26+Forudsætninger!$H$27*(K54-Forudsætninger!$C$26),Forudsætninger!$G$26)))*(U54-Forudsætninger!$H$26)</f>
        <v>33.053303333580622</v>
      </c>
      <c r="AC54" s="19">
        <f>IF(K54&gt;Forudsætninger!$C$31,IF(K54&gt;Forudsætninger!$C$32,IF(K54&gt;Forudsætninger!$C$33,Forudsætninger!$E$33,Forudsætninger!$E$32+Forudsætninger!$F$33*(K54-Forudsætninger!$C$32)),Forudsætninger!$E$31+Forudsætninger!$F$32*(K54-Forudsætninger!$C$31)),Forudsætninger!$E$31)+IF(K54&gt;Forudsætninger!$C$33,Forudsætninger!$G$33,IF(K54&gt;Forudsætninger!$C$32,Forudsætninger!$G$32+Forudsætninger!$H$33*(K54-Forudsætninger!$C$32),IF(K54&gt;Forudsætninger!$C$31,Forudsætninger!$G$31+Forudsætninger!$H$32*(K54-Forudsætninger!$C$31),Forudsætninger!$G$31)))*(V54-Forudsætninger!$H$31)</f>
        <v>26.052392444873071</v>
      </c>
      <c r="AD54" s="19">
        <f t="shared" si="7"/>
        <v>1495.454878340455</v>
      </c>
      <c r="AE54" s="19">
        <f t="shared" si="8"/>
        <v>26.052392444873071</v>
      </c>
      <c r="AF54">
        <f>IF(G54&lt;=Forudsætninger!$C$97,Forudsætninger!$C$98,(IF(G54&lt;=Forudsætninger!$D$97,Forudsætninger!$D$98,IF(G54&lt;=Forudsætninger!$E$97,Forudsætninger!$E$98,IF(G54&lt;=Forudsætninger!$F$97,Forudsætninger!$F$98,IF(G54&lt;=Forudsætninger!$G$97,Forudsætninger!$G$98,IF(G54&lt;=Forudsætninger!$H$97,Forudsætninger!$H$98,IF(G54&lt;=Forudsætninger!$I$97,Forudsætninger!$I$98,Forudsætninger!$I$98))))))))</f>
        <v>2.2000000000000002</v>
      </c>
      <c r="AG54" s="1">
        <f t="shared" si="14"/>
        <v>2.2000000000000002</v>
      </c>
      <c r="AH54" s="1">
        <f t="shared" si="20"/>
        <v>114.40000000000009</v>
      </c>
      <c r="AI54" s="1">
        <f t="shared" si="9"/>
        <v>2.200000000000002</v>
      </c>
      <c r="AJ54" s="20">
        <f>+(W54*Forudsætninger!$C$12)</f>
        <v>0</v>
      </c>
      <c r="AK54" s="20">
        <f>Forudsætninger!$C$17</f>
        <v>250</v>
      </c>
      <c r="AL54" s="20">
        <f>IF(A54&lt;92,Forudsætninger!$C$20,Forudsætninger!$C$21)</f>
        <v>4.0072859744990899</v>
      </c>
      <c r="AM54" s="20">
        <f t="shared" si="15"/>
        <v>208.37887067395275</v>
      </c>
      <c r="AN54" s="20">
        <f>IFERROR(AD54+AJ54-AA54-Z54-AK54-AM54-Forudsætninger!$C$75,-99999999)</f>
        <v>-1362.7898058640894</v>
      </c>
      <c r="AO54" s="19">
        <f>IFERROR(AN54/(A54+Forudsætninger!$C$74),-99999999)</f>
        <v>-26.207496266617106</v>
      </c>
      <c r="AP54" s="19">
        <f>IFERROR(((365/(A54+Forudsætninger!$C$74))*AN54)/(AI54+Forudsætninger!$C$73),-9999999)</f>
        <v>-4141.0113148550809</v>
      </c>
      <c r="AQ54" s="18">
        <f t="shared" si="10"/>
        <v>52</v>
      </c>
      <c r="AR54" s="18">
        <f t="shared" si="16"/>
        <v>2675.8504916551501</v>
      </c>
      <c r="AS54" s="52">
        <f t="shared" si="1"/>
        <v>3</v>
      </c>
      <c r="AT54" s="50">
        <f t="shared" si="21"/>
        <v>2.4719943270167732</v>
      </c>
      <c r="AU54" s="50">
        <f t="shared" si="22"/>
        <v>0.56234295281634772</v>
      </c>
      <c r="AV54" s="2">
        <f t="shared" si="23"/>
        <v>88.855055315138088</v>
      </c>
      <c r="AW54" s="61">
        <f t="shared" si="17"/>
        <v>-22.200210292118012</v>
      </c>
      <c r="BA54" s="16"/>
      <c r="BB54" s="2"/>
    </row>
    <row r="55" spans="1:54" x14ac:dyDescent="0.25">
      <c r="A55">
        <v>53</v>
      </c>
      <c r="B55" s="1">
        <f>ROUND((A55+Forudsætninger!$C$60)/30.4,1)</f>
        <v>3</v>
      </c>
      <c r="C55" s="1">
        <f>VLOOKUP((A55+Forudsætninger!$C$60),'Model tilvækst, slagteform, fe'!A:B,2,FALSE)</f>
        <v>124.09678365931201</v>
      </c>
      <c r="D55" s="3">
        <f t="shared" si="24"/>
        <v>1353.5394839692431</v>
      </c>
      <c r="E55" s="1">
        <f>(1+Forudsætninger!$C$78)*C55</f>
        <v>115.41000880316017</v>
      </c>
      <c r="F55" s="2">
        <f t="shared" si="25"/>
        <v>6.7491534197029335</v>
      </c>
      <c r="G55" s="1">
        <f t="shared" si="2"/>
        <v>122.1591622228631</v>
      </c>
      <c r="H55" s="3">
        <f t="shared" si="3"/>
        <v>1220.1191634065651</v>
      </c>
      <c r="I55" s="3">
        <f t="shared" si="4"/>
        <v>1003.0030608087378</v>
      </c>
      <c r="J55" s="1">
        <f>VLOOKUP((A55+Forudsætninger!$C$60),'Model tilvækst, slagteform, fe'!G:K,2,FALSE)*(1+Forudsætninger!$C$79)</f>
        <v>47.482089122248688</v>
      </c>
      <c r="K55" s="17">
        <f t="shared" si="0"/>
        <v>58.003722277652209</v>
      </c>
      <c r="L55" s="17">
        <f t="shared" si="18"/>
        <v>601.89703243369763</v>
      </c>
      <c r="M55" s="3">
        <f>((K55-(('Model tilvækst, slagteform, fe'!$H$9/100)*'Model tilvækst, slagteform, fe'!$B$9))*1000/(A55+Forudsætninger!$C$60))</f>
        <v>408.22628531786211</v>
      </c>
      <c r="N55" s="17">
        <f t="shared" si="11"/>
        <v>138.41388504148955</v>
      </c>
      <c r="O55" s="19">
        <f>IF( A55&lt;Forudsætninger!$C$14,(G55/100)*Forudsætninger!$C$13,(Forudsætninger!$C$15/1000)*Forudsætninger!$C$13)</f>
        <v>0.79403455444861015</v>
      </c>
      <c r="P55" s="17" cm="1">
        <f t="array" ref="P55">INDEX('Model tilvækst, slagteform, fe'!$N$9:$N$375,MATCH(MIN(ABS('Model tilvækst, slagteform, fe'!$M$9:$M$375-'Vækstfunktion, hol'!G55)),ABS('Model tilvækst, slagteform, fe'!$M$9:$M$375-'Vækstfunktion, hol'!G55),0))*(1+Forudsætninger!$C$80)</f>
        <v>3.5302071041289254</v>
      </c>
      <c r="Q55" s="17">
        <f t="shared" si="12"/>
        <v>5.8651345893083429</v>
      </c>
      <c r="R55" s="17">
        <f t="shared" si="13"/>
        <v>5.3474673764104983</v>
      </c>
      <c r="S55" s="17">
        <f t="shared" si="5"/>
        <v>2.6037634765801378</v>
      </c>
      <c r="T55" s="19">
        <f>(P55)*IF(N55&lt;Forudsætninger!$B$228,IF(N55&lt;Forudsætninger!$B$227,Forudsætninger!$B$225,Forudsætninger!$C$9),Forudsætninger!$C$11)+O55</f>
        <v>9.0547191781102949</v>
      </c>
      <c r="U55" s="2">
        <f>Forudsætninger!$C$68+((K55-(Forudsætninger!$C$84)))*0.01</f>
        <v>2.277090081765162</v>
      </c>
      <c r="V55" s="2">
        <f>U55+Forudsætninger!$C$69</f>
        <v>1.277090081765162</v>
      </c>
      <c r="W55">
        <f t="shared" si="6"/>
        <v>0</v>
      </c>
      <c r="X55">
        <f>IF(A55+Forudsætninger!$C$60&gt;248,IF(A55+Forudsætninger!$C$60&lt;365,IF(K55&gt;180,IF(K55&lt;260,1,0),0),0),0)</f>
        <v>0</v>
      </c>
      <c r="Y55" s="22">
        <f>IF(X55=0,0,IF('Vækstfunktion, hol'!A55&lt;Forudsætninger!$C$66,Forudsætninger!$C$67+(('Vækstfunktion, hol'!A55-Forudsætninger!$C$66)/7)*Forudsætninger!$C$64,Forudsætninger!$C$67))</f>
        <v>0</v>
      </c>
      <c r="Z55" s="19">
        <f t="shared" si="19"/>
        <v>876.52634015930755</v>
      </c>
      <c r="AA55" s="19">
        <f>Forudsætninger!$C$62+Forudsætninger!$C$16</f>
        <v>1350</v>
      </c>
      <c r="AB55" s="19">
        <f>IF(K55&gt;Forudsætninger!$C$26,IF(K55&gt;Forudsætninger!$C$27,IF(K55&gt;Forudsætninger!$C$28,Forudsætninger!$E$28,Forudsætninger!$E$27+Forudsætninger!$F$28*(K55-Forudsætninger!$C$27)),Forudsætninger!$E$26+Forudsætninger!$F$27*(K55-Forudsætninger!$C$26)),Forudsætninger!$E$26)+IF(K55&gt;Forudsætninger!$C$28,Forudsætninger!$G$28,IF(K55&gt;Forudsætninger!$C$27,Forudsætninger!$G$27+Forudsætninger!$H$28*(K55-Forudsætninger!$C$27),IF(K55&gt;Forudsætninger!$C$26,Forudsætninger!$G$26+Forudsætninger!$H$27*(K55-Forudsætninger!$C$26),Forudsætninger!$G$26)))*(U55-Forudsætninger!$H$26)</f>
        <v>33.057817561323873</v>
      </c>
      <c r="AC55" s="19">
        <f>IF(K55&gt;Forudsætninger!$C$31,IF(K55&gt;Forudsætninger!$C$32,IF(K55&gt;Forudsætninger!$C$33,Forudsætninger!$E$33,Forudsætninger!$E$32+Forudsætninger!$F$33*(K55-Forudsætninger!$C$32)),Forudsætninger!$E$31+Forudsætninger!$F$32*(K55-Forudsætninger!$C$31)),Forudsætninger!$E$31)+IF(K55&gt;Forudsætninger!$C$33,Forudsætninger!$G$33,IF(K55&gt;Forudsætninger!$C$32,Forudsætninger!$G$32+Forudsætninger!$H$33*(K55-Forudsætninger!$C$32),IF(K55&gt;Forudsætninger!$C$31,Forudsætninger!$G$31+Forudsætninger!$H$32*(K55-Forudsætninger!$C$31),Forudsætninger!$G$31)))*(V55-Forudsætninger!$H$31)</f>
        <v>26.060217106294711</v>
      </c>
      <c r="AD55" s="19">
        <f t="shared" si="7"/>
        <v>1511.5895955288397</v>
      </c>
      <c r="AE55" s="19">
        <f t="shared" si="8"/>
        <v>26.060217106294711</v>
      </c>
      <c r="AF55">
        <f>IF(G55&lt;=Forudsætninger!$C$97,Forudsætninger!$C$98,(IF(G55&lt;=Forudsætninger!$D$97,Forudsætninger!$D$98,IF(G55&lt;=Forudsætninger!$E$97,Forudsætninger!$E$98,IF(G55&lt;=Forudsætninger!$F$97,Forudsætninger!$F$98,IF(G55&lt;=Forudsætninger!$G$97,Forudsætninger!$G$98,IF(G55&lt;=Forudsætninger!$H$97,Forudsætninger!$H$98,IF(G55&lt;=Forudsætninger!$I$97,Forudsætninger!$I$98,Forudsætninger!$I$98))))))))</f>
        <v>2.2000000000000002</v>
      </c>
      <c r="AG55" s="1">
        <f t="shared" si="14"/>
        <v>2.2000000000000002</v>
      </c>
      <c r="AH55" s="1">
        <f t="shared" si="20"/>
        <v>116.60000000000009</v>
      </c>
      <c r="AI55" s="1">
        <f t="shared" si="9"/>
        <v>2.200000000000002</v>
      </c>
      <c r="AJ55" s="20">
        <f>+(W55*Forudsætninger!$C$12)</f>
        <v>0</v>
      </c>
      <c r="AK55" s="20">
        <f>Forudsætninger!$C$17</f>
        <v>250</v>
      </c>
      <c r="AL55" s="20">
        <f>IF(A55&lt;92,Forudsætninger!$C$20,Forudsætninger!$C$21)</f>
        <v>4.0072859744990899</v>
      </c>
      <c r="AM55" s="20">
        <f t="shared" si="15"/>
        <v>212.38615664845184</v>
      </c>
      <c r="AN55" s="20">
        <f>IFERROR(AD55+AJ55-AA55-Z55-AK55-AM55-Forudsætninger!$C$75,-99999999)</f>
        <v>-1359.7170938283143</v>
      </c>
      <c r="AO55" s="19">
        <f>IFERROR(AN55/(A55+Forudsætninger!$C$74),-99999999)</f>
        <v>-25.655039506194608</v>
      </c>
      <c r="AP55" s="19">
        <f>IFERROR(((365/(A55+Forudsætninger!$C$74))*AN55)/(AI55+Forudsætninger!$C$73),-9999999)</f>
        <v>-4053.7183635329111</v>
      </c>
      <c r="AQ55" s="18">
        <f t="shared" si="10"/>
        <v>53</v>
      </c>
      <c r="AR55" s="18">
        <f t="shared" si="16"/>
        <v>2688.9124968077595</v>
      </c>
      <c r="AS55" s="52">
        <f t="shared" si="1"/>
        <v>3</v>
      </c>
      <c r="AT55" s="50">
        <f t="shared" si="21"/>
        <v>3.0727120357751119</v>
      </c>
      <c r="AU55" s="50">
        <f t="shared" si="22"/>
        <v>0.55245676042249769</v>
      </c>
      <c r="AV55" s="2">
        <f t="shared" si="23"/>
        <v>87.292951322169756</v>
      </c>
      <c r="AW55" s="61">
        <f t="shared" si="17"/>
        <v>-21.647753531695521</v>
      </c>
      <c r="BA55" s="16"/>
      <c r="BB55" s="2"/>
    </row>
    <row r="56" spans="1:54" x14ac:dyDescent="0.25">
      <c r="A56">
        <v>54</v>
      </c>
      <c r="B56" s="1">
        <f>ROUND((A56+Forudsætninger!$C$60)/30.4,1)</f>
        <v>3.1</v>
      </c>
      <c r="C56" s="1">
        <f>VLOOKUP((A56+Forudsætninger!$C$60),'Model tilvækst, slagteform, fe'!A:B,2,FALSE)</f>
        <v>125.45746590912294</v>
      </c>
      <c r="D56" s="3">
        <f t="shared" si="24"/>
        <v>1360.6822498109352</v>
      </c>
      <c r="E56" s="1">
        <f>(1+Forudsætninger!$C$78)*C56</f>
        <v>116.67544329548433</v>
      </c>
      <c r="F56" s="2">
        <f t="shared" si="25"/>
        <v>6.7102767839940496</v>
      </c>
      <c r="G56" s="1">
        <f t="shared" si="2"/>
        <v>123.38572007947838</v>
      </c>
      <c r="H56" s="3">
        <f t="shared" si="3"/>
        <v>1226.5578566152726</v>
      </c>
      <c r="I56" s="3">
        <f t="shared" si="4"/>
        <v>1007.1429644347847</v>
      </c>
      <c r="J56" s="1">
        <f>VLOOKUP((A56+Forudsætninger!$C$60),'Model tilvækst, slagteform, fe'!G:K,2,FALSE)*(1+Forudsætninger!$C$79)</f>
        <v>47.500759168211495</v>
      </c>
      <c r="K56" s="17">
        <f t="shared" si="0"/>
        <v>58.60915374291659</v>
      </c>
      <c r="L56" s="17">
        <f t="shared" si="18"/>
        <v>605.43146526438113</v>
      </c>
      <c r="M56" s="3">
        <f>((K56-(('Model tilvækst, slagteform, fe'!$H$9/100)*'Model tilvækst, slagteform, fe'!$B$9))*1000/(A56+Forudsætninger!$C$60))</f>
        <v>410.34677112373862</v>
      </c>
      <c r="N56" s="17">
        <f t="shared" si="11"/>
        <v>141.98264395139483</v>
      </c>
      <c r="O56" s="19">
        <f>IF( A56&lt;Forudsætninger!$C$14,(G56/100)*Forudsætninger!$C$13,(Forudsætninger!$C$15/1000)*Forudsætninger!$C$13)</f>
        <v>0.80200718051660946</v>
      </c>
      <c r="P56" s="17" cm="1">
        <f t="array" ref="P56">INDEX('Model tilvækst, slagteform, fe'!$N$9:$N$375,MATCH(MIN(ABS('Model tilvækst, slagteform, fe'!$M$9:$M$375-'Vækstfunktion, hol'!G56)),ABS('Model tilvækst, slagteform, fe'!$M$9:$M$375-'Vækstfunktion, hol'!G56),0))*(1+Forudsætninger!$C$80)</f>
        <v>3.5687589099052808</v>
      </c>
      <c r="Q56" s="17">
        <f t="shared" si="12"/>
        <v>5.8945712515071662</v>
      </c>
      <c r="R56" s="17">
        <f t="shared" si="13"/>
        <v>5.3599717523118544</v>
      </c>
      <c r="S56" s="17">
        <f t="shared" si="5"/>
        <v>2.6106603671681423</v>
      </c>
      <c r="T56" s="19">
        <f>(P56)*IF(N56&lt;Forudsætninger!$B$228,IF(N56&lt;Forudsætninger!$B$227,Forudsætninger!$B$225,Forudsætninger!$C$9),Forudsætninger!$C$11)+O56</f>
        <v>9.1529030296949667</v>
      </c>
      <c r="U56" s="2">
        <f>Forudsætninger!$C$68+((K56-(Forudsætninger!$C$84)))*0.01</f>
        <v>2.2831443964178062</v>
      </c>
      <c r="V56" s="2">
        <f>U56+Forudsætninger!$C$69</f>
        <v>1.2831443964178062</v>
      </c>
      <c r="W56">
        <f t="shared" si="6"/>
        <v>0</v>
      </c>
      <c r="X56">
        <f>IF(A56+Forudsætninger!$C$60&gt;248,IF(A56+Forudsætninger!$C$60&lt;365,IF(K56&gt;180,IF(K56&lt;260,1,0),0),0),0)</f>
        <v>0</v>
      </c>
      <c r="Y56" s="22">
        <f>IF(X56=0,0,IF('Vækstfunktion, hol'!A56&lt;Forudsætninger!$C$66,Forudsætninger!$C$67+(('Vækstfunktion, hol'!A56-Forudsætninger!$C$66)/7)*Forudsætninger!$C$64,Forudsætninger!$C$67))</f>
        <v>0</v>
      </c>
      <c r="Z56" s="19">
        <f t="shared" si="19"/>
        <v>885.67924318900248</v>
      </c>
      <c r="AA56" s="19">
        <f>Forudsætninger!$C$62+Forudsætninger!$C$16</f>
        <v>1350</v>
      </c>
      <c r="AB56" s="19">
        <f>IF(K56&gt;Forudsætninger!$C$26,IF(K56&gt;Forudsætninger!$C$27,IF(K56&gt;Forudsætninger!$C$28,Forudsætninger!$E$28,Forudsætninger!$E$27+Forudsætninger!$F$28*(K56-Forudsætninger!$C$27)),Forudsætninger!$E$26+Forudsætninger!$F$27*(K56-Forudsætninger!$C$26)),Forudsætninger!$E$26)+IF(K56&gt;Forudsætninger!$C$28,Forudsætninger!$G$28,IF(K56&gt;Forudsætninger!$C$27,Forudsætninger!$G$27+Forudsætninger!$H$28*(K56-Forudsætninger!$C$27),IF(K56&gt;Forudsætninger!$C$26,Forudsætninger!$G$26+Forudsætninger!$H$27*(K56-Forudsætninger!$C$26),Forudsætninger!$G$26)))*(U56-Forudsætninger!$H$26)</f>
        <v>33.062358297313359</v>
      </c>
      <c r="AC56" s="19">
        <f>IF(K56&gt;Forudsætninger!$C$31,IF(K56&gt;Forudsætninger!$C$32,IF(K56&gt;Forudsætninger!$C$33,Forudsætninger!$E$33,Forudsætninger!$E$32+Forudsætninger!$F$33*(K56-Forudsætninger!$C$32)),Forudsætninger!$E$31+Forudsætninger!$F$32*(K56-Forudsætninger!$C$31)),Forudsætninger!$E$31)+IF(K56&gt;Forudsætninger!$C$33,Forudsætninger!$G$33,IF(K56&gt;Forudsætninger!$C$32,Forudsætninger!$G$32+Forudsætninger!$H$33*(K56-Forudsætninger!$C$32),IF(K56&gt;Forudsætninger!$C$31,Forudsætninger!$G$31+Forudsætninger!$H$32*(K56-Forudsætninger!$C$31),Forudsætninger!$G$31)))*(V56-Forudsætninger!$H$31)</f>
        <v>26.068087715343147</v>
      </c>
      <c r="AD56" s="19">
        <f t="shared" si="7"/>
        <v>1527.8285606923819</v>
      </c>
      <c r="AE56" s="19">
        <f t="shared" si="8"/>
        <v>26.06808771534315</v>
      </c>
      <c r="AF56">
        <f>IF(G56&lt;=Forudsætninger!$C$97,Forudsætninger!$C$98,(IF(G56&lt;=Forudsætninger!$D$97,Forudsætninger!$D$98,IF(G56&lt;=Forudsætninger!$E$97,Forudsætninger!$E$98,IF(G56&lt;=Forudsætninger!$F$97,Forudsætninger!$F$98,IF(G56&lt;=Forudsætninger!$G$97,Forudsætninger!$G$98,IF(G56&lt;=Forudsætninger!$H$97,Forudsætninger!$H$98,IF(G56&lt;=Forudsætninger!$I$97,Forudsætninger!$I$98,Forudsætninger!$I$98))))))))</f>
        <v>2.2000000000000002</v>
      </c>
      <c r="AG56" s="1">
        <f t="shared" si="14"/>
        <v>2.2000000000000002</v>
      </c>
      <c r="AH56" s="1">
        <f t="shared" si="20"/>
        <v>118.8000000000001</v>
      </c>
      <c r="AI56" s="1">
        <f t="shared" si="9"/>
        <v>2.200000000000002</v>
      </c>
      <c r="AJ56" s="20">
        <f>+(W56*Forudsætninger!$C$12)</f>
        <v>0</v>
      </c>
      <c r="AK56" s="20">
        <f>Forudsætninger!$C$17</f>
        <v>250</v>
      </c>
      <c r="AL56" s="20">
        <f>IF(A56&lt;92,Forudsætninger!$C$20,Forudsætninger!$C$21)</f>
        <v>4.0072859744990899</v>
      </c>
      <c r="AM56" s="20">
        <f t="shared" si="15"/>
        <v>216.39344262295094</v>
      </c>
      <c r="AN56" s="20">
        <f>IFERROR(AD56+AJ56-AA56-Z56-AK56-AM56-Forudsætninger!$C$75,-99999999)</f>
        <v>-1356.638317668966</v>
      </c>
      <c r="AO56" s="19">
        <f>IFERROR(AN56/(A56+Forudsætninger!$C$74),-99999999)</f>
        <v>-25.122931808684555</v>
      </c>
      <c r="AP56" s="19">
        <f>IFERROR(((365/(A56+Forudsætninger!$C$74))*AN56)/(AI56+Forudsætninger!$C$73),-9999999)</f>
        <v>-3969.6407403332705</v>
      </c>
      <c r="AQ56" s="18">
        <f t="shared" si="10"/>
        <v>54</v>
      </c>
      <c r="AR56" s="18">
        <f t="shared" si="16"/>
        <v>2702.0726858119533</v>
      </c>
      <c r="AS56" s="52">
        <f t="shared" si="1"/>
        <v>3.1</v>
      </c>
      <c r="AT56" s="50">
        <f t="shared" si="21"/>
        <v>3.0787761593483083</v>
      </c>
      <c r="AU56" s="50">
        <f t="shared" si="22"/>
        <v>0.53210769751005316</v>
      </c>
      <c r="AV56" s="2">
        <f t="shared" si="23"/>
        <v>84.077623199640584</v>
      </c>
      <c r="AW56" s="61">
        <f t="shared" si="17"/>
        <v>-21.115645834185464</v>
      </c>
      <c r="BA56" s="16"/>
      <c r="BB56" s="2"/>
    </row>
    <row r="57" spans="1:54" x14ac:dyDescent="0.25">
      <c r="A57">
        <v>55</v>
      </c>
      <c r="B57" s="1">
        <f>ROUND((A57+Forudsætninger!$C$60)/30.4,1)</f>
        <v>3.1</v>
      </c>
      <c r="C57" s="1">
        <f>VLOOKUP((A57+Forudsætninger!$C$60),'Model tilvækst, slagteform, fe'!A:B,2,FALSE)</f>
        <v>126.8251804389583</v>
      </c>
      <c r="D57" s="3">
        <f t="shared" si="24"/>
        <v>1367.7145298353537</v>
      </c>
      <c r="E57" s="1">
        <f>(1+Forudsætninger!$C$78)*C57</f>
        <v>117.94741780823121</v>
      </c>
      <c r="F57" s="2">
        <f t="shared" si="25"/>
        <v>6.6711992259987536</v>
      </c>
      <c r="G57" s="1">
        <f t="shared" si="2"/>
        <v>124.61861703422996</v>
      </c>
      <c r="H57" s="3">
        <f>(G57-G56)*1000</f>
        <v>1232.8969547515812</v>
      </c>
      <c r="I57" s="3">
        <f t="shared" si="4"/>
        <v>1011.2475824405448</v>
      </c>
      <c r="J57" s="1">
        <f>VLOOKUP((A57+Forudsætninger!$C$60),'Model tilvækst, slagteform, fe'!G:K,2,FALSE)*(1+Forudsætninger!$C$79)</f>
        <v>47.519444415667394</v>
      </c>
      <c r="K57" s="17">
        <f t="shared" si="0"/>
        <v>59.218074453154323</v>
      </c>
      <c r="L57" s="17">
        <f t="shared" si="18"/>
        <v>608.92071023773292</v>
      </c>
      <c r="M57" s="3">
        <f>((K57-(('Model tilvækst, slagteform, fe'!$H$9/100)*'Model tilvækst, slagteform, fe'!$B$9))*1000/(A57+Forudsætninger!$C$60))</f>
        <v>412.4592598377173</v>
      </c>
      <c r="N57" s="17">
        <f t="shared" si="11"/>
        <v>145.58994321782291</v>
      </c>
      <c r="O57" s="19">
        <f>IF( A57&lt;Forudsætninger!$C$14,(G57/100)*Forudsætninger!$C$13,(Forudsætninger!$C$15/1000)*Forudsætninger!$C$13)</f>
        <v>0.81002101072249477</v>
      </c>
      <c r="P57" s="17" cm="1">
        <f t="array" ref="P57">INDEX('Model tilvækst, slagteform, fe'!$N$9:$N$375,MATCH(MIN(ABS('Model tilvækst, slagteform, fe'!$M$9:$M$375-'Vækstfunktion, hol'!G57)),ABS('Model tilvækst, slagteform, fe'!$M$9:$M$375-'Vækstfunktion, hol'!G57),0))*(1+Forudsætninger!$C$80)</f>
        <v>3.607299266428063</v>
      </c>
      <c r="Q57" s="17">
        <f t="shared" si="12"/>
        <v>5.9240870047263012</v>
      </c>
      <c r="R57" s="17">
        <f t="shared" si="13"/>
        <v>5.3726478502667128</v>
      </c>
      <c r="S57" s="17">
        <f t="shared" si="5"/>
        <v>2.6176476687333117</v>
      </c>
      <c r="T57" s="19">
        <f>(P57)*IF(N57&lt;Forudsætninger!$B$228,IF(N57&lt;Forudsætninger!$B$227,Forudsætninger!$B$225,Forudsætninger!$C$9),Forudsætninger!$C$11)+O57</f>
        <v>9.2511012941641617</v>
      </c>
      <c r="U57" s="2">
        <f>Forudsætninger!$C$68+((K57-(Forudsætninger!$C$84)))*0.01</f>
        <v>2.2892336035201835</v>
      </c>
      <c r="V57" s="2">
        <f>U57+Forudsætninger!$C$69</f>
        <v>1.2892336035201835</v>
      </c>
      <c r="W57">
        <f t="shared" si="6"/>
        <v>0</v>
      </c>
      <c r="X57">
        <f>IF(A57+Forudsætninger!$C$60&gt;248,IF(A57+Forudsætninger!$C$60&lt;365,IF(K57&gt;180,IF(K57&lt;260,1,0),0),0),0)</f>
        <v>0</v>
      </c>
      <c r="Y57" s="22">
        <f>IF(X57=0,0,IF('Vækstfunktion, hol'!A57&lt;Forudsætninger!$C$66,Forudsætninger!$C$67+(('Vækstfunktion, hol'!A57-Forudsætninger!$C$66)/7)*Forudsætninger!$C$64,Forudsætninger!$C$67))</f>
        <v>0</v>
      </c>
      <c r="Z57" s="19">
        <f t="shared" si="19"/>
        <v>894.93034448316666</v>
      </c>
      <c r="AA57" s="19">
        <f>Forudsætninger!$C$62+Forudsætninger!$C$16</f>
        <v>1350</v>
      </c>
      <c r="AB57" s="19">
        <f>IF(K57&gt;Forudsætninger!$C$26,IF(K57&gt;Forudsætninger!$C$27,IF(K57&gt;Forudsætninger!$C$28,Forudsætninger!$E$28,Forudsætninger!$E$27+Forudsætninger!$F$28*(K57-Forudsætninger!$C$27)),Forudsætninger!$E$26+Forudsætninger!$F$27*(K57-Forudsætninger!$C$26)),Forudsætninger!$E$26)+IF(K57&gt;Forudsætninger!$C$28,Forudsætninger!$G$28,IF(K57&gt;Forudsætninger!$C$27,Forudsætninger!$G$27+Forudsætninger!$H$28*(K57-Forudsætninger!$C$27),IF(K57&gt;Forudsætninger!$C$26,Forudsætninger!$G$26+Forudsætninger!$H$27*(K57-Forudsætninger!$C$26),Forudsætninger!$G$26)))*(U57-Forudsætninger!$H$26)</f>
        <v>33.066925202640142</v>
      </c>
      <c r="AC57" s="19">
        <f>IF(K57&gt;Forudsætninger!$C$31,IF(K57&gt;Forudsætninger!$C$32,IF(K57&gt;Forudsætninger!$C$33,Forudsætninger!$E$33,Forudsætninger!$E$32+Forudsætninger!$F$33*(K57-Forudsætninger!$C$32)),Forudsætninger!$E$31+Forudsætninger!$F$32*(K57-Forudsætninger!$C$31)),Forudsætninger!$E$31)+IF(K57&gt;Forudsætninger!$C$33,Forudsætninger!$G$33,IF(K57&gt;Forudsætninger!$C$32,Forudsætninger!$G$32+Forudsætninger!$H$33*(K57-Forudsætninger!$C$32),IF(K57&gt;Forudsætninger!$C$31,Forudsætninger!$G$31+Forudsætninger!$H$32*(K57-Forudsætninger!$C$31),Forudsætninger!$G$31)))*(V57-Forudsætninger!$H$31)</f>
        <v>26.076003684576239</v>
      </c>
      <c r="AD57" s="19">
        <f t="shared" si="7"/>
        <v>1544.1707276339621</v>
      </c>
      <c r="AE57" s="19">
        <f t="shared" si="8"/>
        <v>26.076003684576239</v>
      </c>
      <c r="AF57">
        <f>IF(G57&lt;=Forudsætninger!$C$97,Forudsætninger!$C$98,(IF(G57&lt;=Forudsætninger!$D$97,Forudsætninger!$D$98,IF(G57&lt;=Forudsætninger!$E$97,Forudsætninger!$E$98,IF(G57&lt;=Forudsætninger!$F$97,Forudsætninger!$F$98,IF(G57&lt;=Forudsætninger!$G$97,Forudsætninger!$G$98,IF(G57&lt;=Forudsætninger!$H$97,Forudsætninger!$H$98,IF(G57&lt;=Forudsætninger!$I$97,Forudsætninger!$I$98,Forudsætninger!$I$98))))))))</f>
        <v>2.2000000000000002</v>
      </c>
      <c r="AG57" s="1">
        <f t="shared" si="14"/>
        <v>2.2000000000000002</v>
      </c>
      <c r="AH57" s="1">
        <f t="shared" si="20"/>
        <v>121.0000000000001</v>
      </c>
      <c r="AI57" s="1">
        <f t="shared" si="9"/>
        <v>2.200000000000002</v>
      </c>
      <c r="AJ57" s="20">
        <f>+(W57*Forudsætninger!$C$12)</f>
        <v>0</v>
      </c>
      <c r="AK57" s="20">
        <f>Forudsætninger!$C$17</f>
        <v>250</v>
      </c>
      <c r="AL57" s="20">
        <f>IF(A57&lt;92,Forudsætninger!$C$20,Forudsætninger!$C$21)</f>
        <v>4.0072859744990899</v>
      </c>
      <c r="AM57" s="20">
        <f t="shared" si="15"/>
        <v>220.40072859745004</v>
      </c>
      <c r="AN57" s="20">
        <f>IFERROR(AD57+AJ57-AA57-Z57-AK57-AM57-Forudsætninger!$C$75,-99999999)</f>
        <v>-1353.5545379960492</v>
      </c>
      <c r="AO57" s="19">
        <f>IFERROR(AN57/(A57+Forudsætninger!$C$74),-99999999)</f>
        <v>-24.610082509019076</v>
      </c>
      <c r="AP57" s="19">
        <f>IFERROR(((365/(A57+Forudsætninger!$C$74))*AN57)/(AI57+Forudsætninger!$C$73),-9999999)</f>
        <v>-3888.6061107324485</v>
      </c>
      <c r="AQ57" s="18">
        <f t="shared" si="10"/>
        <v>55</v>
      </c>
      <c r="AR57" s="18">
        <f t="shared" si="16"/>
        <v>2715.3310730806165</v>
      </c>
      <c r="AS57" s="52">
        <f t="shared" si="1"/>
        <v>3.1</v>
      </c>
      <c r="AT57" s="50">
        <f t="shared" si="21"/>
        <v>3.0837796729167621</v>
      </c>
      <c r="AU57" s="50">
        <f t="shared" si="22"/>
        <v>0.51284929966547921</v>
      </c>
      <c r="AV57" s="2">
        <f t="shared" si="23"/>
        <v>81.034629600821972</v>
      </c>
      <c r="AW57" s="61">
        <f t="shared" si="17"/>
        <v>-20.602796534519985</v>
      </c>
      <c r="BA57" s="16"/>
      <c r="BB57" s="2"/>
    </row>
    <row r="58" spans="1:54" x14ac:dyDescent="0.25">
      <c r="A58">
        <v>56</v>
      </c>
      <c r="B58" s="1">
        <f>ROUND((A58+Forudsætninger!$C$60)/30.4,1)</f>
        <v>3.1</v>
      </c>
      <c r="C58" s="1">
        <f>VLOOKUP((A58+Forudsætninger!$C$60),'Model tilvækst, slagteform, fe'!A:B,2,FALSE)</f>
        <v>128.1998172973482</v>
      </c>
      <c r="D58" s="3">
        <f t="shared" si="24"/>
        <v>1374.6368583899057</v>
      </c>
      <c r="E58" s="1">
        <f>(1+Forudsætninger!$C$78)*C58</f>
        <v>119.22583008653382</v>
      </c>
      <c r="F58" s="2">
        <f t="shared" si="25"/>
        <v>6.6319238871876136</v>
      </c>
      <c r="G58" s="1">
        <f t="shared" si="2"/>
        <v>125.85775397372143</v>
      </c>
      <c r="H58" s="3">
        <f t="shared" si="3"/>
        <v>1239.1369394914732</v>
      </c>
      <c r="I58" s="3">
        <f t="shared" si="4"/>
        <v>1015.3170352450255</v>
      </c>
      <c r="J58" s="1">
        <f>VLOOKUP((A58+Forudsætninger!$C$60),'Model tilvækst, slagteform, fe'!G:K,2,FALSE)*(1+Forudsætninger!$C$79)</f>
        <v>47.538143188963517</v>
      </c>
      <c r="K58" s="17">
        <f t="shared" si="0"/>
        <v>59.830439298441114</v>
      </c>
      <c r="L58" s="17">
        <f t="shared" si="18"/>
        <v>612.36484528679114</v>
      </c>
      <c r="M58" s="3">
        <f>((K58-(('Model tilvækst, slagteform, fe'!$H$9/100)*'Model tilvækst, slagteform, fe'!$B$9))*1000/(A58+Forudsætninger!$C$60))</f>
        <v>414.56352915823385</v>
      </c>
      <c r="N58" s="17">
        <f t="shared" si="11"/>
        <v>149.23576636053753</v>
      </c>
      <c r="O58" s="19">
        <f>IF( A58&lt;Forudsætninger!$C$14,(G58/100)*Forudsætninger!$C$13,(Forudsætninger!$C$15/1000)*Forudsætninger!$C$13)</f>
        <v>0.81807540082918928</v>
      </c>
      <c r="P58" s="17" cm="1">
        <f t="array" ref="P58">INDEX('Model tilvækst, slagteform, fe'!$N$9:$N$375,MATCH(MIN(ABS('Model tilvækst, slagteform, fe'!$M$9:$M$375-'Vækstfunktion, hol'!G58)),ABS('Model tilvækst, slagteform, fe'!$M$9:$M$375-'Vækstfunktion, hol'!G58),0))*(1+Forudsætninger!$C$80)</f>
        <v>3.6458231427146308</v>
      </c>
      <c r="Q58" s="17">
        <f t="shared" si="12"/>
        <v>5.9536780577388777</v>
      </c>
      <c r="R58" s="17">
        <f t="shared" si="13"/>
        <v>5.3854877337697475</v>
      </c>
      <c r="S58" s="17">
        <f t="shared" si="5"/>
        <v>2.6247214483623722</v>
      </c>
      <c r="T58" s="19">
        <f>(P58)*IF(N58&lt;Forudsætninger!$B$228,IF(N58&lt;Forudsætninger!$B$227,Forudsætninger!$B$225,Forudsætninger!$C$9),Forudsætninger!$C$11)+O58</f>
        <v>9.3493015547814249</v>
      </c>
      <c r="U58" s="2">
        <f>Forudsætninger!$C$68+((K58-(Forudsætninger!$C$84)))*0.01</f>
        <v>2.2953572519730514</v>
      </c>
      <c r="V58" s="2">
        <f>U58+Forudsætninger!$C$69</f>
        <v>1.2953572519730514</v>
      </c>
      <c r="W58">
        <f t="shared" si="6"/>
        <v>0</v>
      </c>
      <c r="X58">
        <f>IF(A58+Forudsætninger!$C$60&gt;248,IF(A58+Forudsætninger!$C$60&lt;365,IF(K58&gt;180,IF(K58&lt;260,1,0),0),0),0)</f>
        <v>0</v>
      </c>
      <c r="Y58" s="22">
        <f>IF(X58=0,0,IF('Vækstfunktion, hol'!A58&lt;Forudsætninger!$C$66,Forudsætninger!$C$67+(('Vækstfunktion, hol'!A58-Forudsætninger!$C$66)/7)*Forudsætninger!$C$64,Forudsætninger!$C$67))</f>
        <v>0</v>
      </c>
      <c r="Z58" s="19">
        <f t="shared" si="19"/>
        <v>904.27964603794805</v>
      </c>
      <c r="AA58" s="19">
        <f>Forudsætninger!$C$62+Forudsætninger!$C$16</f>
        <v>1350</v>
      </c>
      <c r="AB58" s="19">
        <f>IF(K58&gt;Forudsætninger!$C$26,IF(K58&gt;Forudsætninger!$C$27,IF(K58&gt;Forudsætninger!$C$28,Forudsætninger!$E$28,Forudsætninger!$E$27+Forudsætninger!$F$28*(K58-Forudsætninger!$C$27)),Forudsætninger!$E$26+Forudsætninger!$F$27*(K58-Forudsætninger!$C$26)),Forudsætninger!$E$26)+IF(K58&gt;Forudsætninger!$C$28,Forudsætninger!$G$28,IF(K58&gt;Forudsætninger!$C$27,Forudsætninger!$G$27+Forudsætninger!$H$28*(K58-Forudsætninger!$C$27),IF(K58&gt;Forudsætninger!$C$26,Forudsætninger!$G$26+Forudsætninger!$H$27*(K58-Forudsætninger!$C$26),Forudsætninger!$G$26)))*(U58-Forudsætninger!$H$26)</f>
        <v>33.071517938979788</v>
      </c>
      <c r="AC58" s="19">
        <f>IF(K58&gt;Forudsætninger!$C$31,IF(K58&gt;Forudsætninger!$C$32,IF(K58&gt;Forudsætninger!$C$33,Forudsætninger!$E$33,Forudsætninger!$E$32+Forudsætninger!$F$33*(K58-Forudsætninger!$C$32)),Forudsætninger!$E$31+Forudsætninger!$F$32*(K58-Forudsætninger!$C$31)),Forudsætninger!$E$31)+IF(K58&gt;Forudsætninger!$C$33,Forudsætninger!$G$33,IF(K58&gt;Forudsætninger!$C$32,Forudsætninger!$G$32+Forudsætninger!$H$33*(K58-Forudsætninger!$C$32),IF(K58&gt;Forudsætninger!$C$31,Forudsætninger!$G$31+Forudsætninger!$H$32*(K58-Forudsætninger!$C$31),Forudsætninger!$G$31)))*(V58-Forudsætninger!$H$31)</f>
        <v>26.083964427564965</v>
      </c>
      <c r="AD58" s="19">
        <f t="shared" si="7"/>
        <v>1560.6150503461229</v>
      </c>
      <c r="AE58" s="19">
        <f t="shared" si="8"/>
        <v>26.083964427564965</v>
      </c>
      <c r="AF58">
        <f>IF(G58&lt;=Forudsætninger!$C$97,Forudsætninger!$C$98,(IF(G58&lt;=Forudsætninger!$D$97,Forudsætninger!$D$98,IF(G58&lt;=Forudsætninger!$E$97,Forudsætninger!$E$98,IF(G58&lt;=Forudsætninger!$F$97,Forudsætninger!$F$98,IF(G58&lt;=Forudsætninger!$G$97,Forudsætninger!$G$98,IF(G58&lt;=Forudsætninger!$H$97,Forudsætninger!$H$98,IF(G58&lt;=Forudsætninger!$I$97,Forudsætninger!$I$98,Forudsætninger!$I$98))))))))</f>
        <v>2.2000000000000002</v>
      </c>
      <c r="AG58" s="1">
        <f t="shared" si="14"/>
        <v>2.2000000000000002</v>
      </c>
      <c r="AH58" s="1">
        <f t="shared" si="20"/>
        <v>123.2000000000001</v>
      </c>
      <c r="AI58" s="1">
        <f t="shared" si="9"/>
        <v>2.200000000000002</v>
      </c>
      <c r="AJ58" s="20">
        <f>+(W58*Forudsætninger!$C$12)</f>
        <v>0</v>
      </c>
      <c r="AK58" s="20">
        <f>Forudsætninger!$C$17</f>
        <v>250</v>
      </c>
      <c r="AL58" s="20">
        <f>IF(A58&lt;92,Forudsætninger!$C$20,Forudsætninger!$C$21)</f>
        <v>4.0072859744990899</v>
      </c>
      <c r="AM58" s="20">
        <f t="shared" si="15"/>
        <v>224.40801457194914</v>
      </c>
      <c r="AN58" s="20">
        <f>IFERROR(AD58+AJ58-AA58-Z58-AK58-AM58-Forudsætninger!$C$75,-99999999)</f>
        <v>-1350.4668028131689</v>
      </c>
      <c r="AO58" s="19">
        <f>IFERROR(AN58/(A58+Forudsætninger!$C$74),-99999999)</f>
        <v>-24.11547862166373</v>
      </c>
      <c r="AP58" s="19">
        <f>IFERROR(((365/(A58+Forudsætninger!$C$74))*AN58)/(AI58+Forudsætninger!$C$73),-9999999)</f>
        <v>-3810.4544142455647</v>
      </c>
      <c r="AQ58" s="18">
        <f t="shared" si="10"/>
        <v>56</v>
      </c>
      <c r="AR58" s="18">
        <f t="shared" si="16"/>
        <v>2728.6876606098972</v>
      </c>
      <c r="AS58" s="52">
        <f t="shared" si="1"/>
        <v>3.1</v>
      </c>
      <c r="AT58" s="50">
        <f t="shared" si="21"/>
        <v>3.0877351828803512</v>
      </c>
      <c r="AU58" s="50">
        <f t="shared" si="22"/>
        <v>0.49460388735534622</v>
      </c>
      <c r="AV58" s="2">
        <f t="shared" si="23"/>
        <v>78.151696486883793</v>
      </c>
      <c r="AW58" s="61">
        <f t="shared" si="17"/>
        <v>-20.108192647164636</v>
      </c>
      <c r="BA58" s="16"/>
      <c r="BB58" s="2"/>
    </row>
    <row r="59" spans="1:54" x14ac:dyDescent="0.25">
      <c r="A59">
        <v>57</v>
      </c>
      <c r="B59" s="1">
        <f>ROUND((A59+Forudsætninger!$C$60)/30.4,1)</f>
        <v>3.2</v>
      </c>
      <c r="C59" s="1">
        <f>VLOOKUP((A59+Forudsætninger!$C$60),'Model tilvækst, slagteform, fe'!A:B,2,FALSE)</f>
        <v>129.58126706717019</v>
      </c>
      <c r="D59" s="3">
        <f t="shared" si="24"/>
        <v>1381.4497698219839</v>
      </c>
      <c r="E59" s="1">
        <f>(1+Forudsætninger!$C$78)*C59</f>
        <v>120.51057837246827</v>
      </c>
      <c r="F59" s="2">
        <f t="shared" si="25"/>
        <v>6.5924538937641284</v>
      </c>
      <c r="G59" s="1">
        <f t="shared" si="2"/>
        <v>127.1030322662324</v>
      </c>
      <c r="H59" s="3">
        <f t="shared" si="3"/>
        <v>1245.2782925109746</v>
      </c>
      <c r="I59" s="3">
        <f t="shared" si="4"/>
        <v>1019.3514432672351</v>
      </c>
      <c r="J59" s="1">
        <f>VLOOKUP((A59+Forudsætninger!$C$60),'Model tilvækst, slagteform, fe'!G:K,2,FALSE)*(1+Forudsætninger!$C$79)</f>
        <v>47.556853812447002</v>
      </c>
      <c r="K59" s="17">
        <f t="shared" si="0"/>
        <v>60.446203246039488</v>
      </c>
      <c r="L59" s="17">
        <f t="shared" si="18"/>
        <v>615.76394759837422</v>
      </c>
      <c r="M59" s="3">
        <f>((K59-(('Model tilvækst, slagteform, fe'!$H$9/100)*'Model tilvækst, slagteform, fe'!$B$9))*1000/(A59+Forudsætninger!$C$60))</f>
        <v>416.65936685031869</v>
      </c>
      <c r="N59" s="17">
        <f t="shared" si="11"/>
        <v>152.92009186831987</v>
      </c>
      <c r="O59" s="19">
        <f>IF( A59&lt;Forudsætninger!$C$14,(G59/100)*Forudsætninger!$C$13,(Forudsætninger!$C$15/1000)*Forudsætninger!$C$13)</f>
        <v>0.82616970973051063</v>
      </c>
      <c r="P59" s="17" cm="1">
        <f t="array" ref="P59">INDEX('Model tilvækst, slagteform, fe'!$N$9:$N$375,MATCH(MIN(ABS('Model tilvækst, slagteform, fe'!$M$9:$M$375-'Vækstfunktion, hol'!G59)),ABS('Model tilvækst, slagteform, fe'!$M$9:$M$375-'Vækstfunktion, hol'!G59),0))*(1+Forudsætninger!$C$80)</f>
        <v>3.6843255077823458</v>
      </c>
      <c r="Q59" s="17">
        <f t="shared" si="12"/>
        <v>5.9833407300834862</v>
      </c>
      <c r="R59" s="17">
        <f t="shared" si="13"/>
        <v>5.3984839201148729</v>
      </c>
      <c r="S59" s="17">
        <f t="shared" si="5"/>
        <v>2.6318779916275052</v>
      </c>
      <c r="T59" s="19">
        <f>(P59)*IF(N59&lt;Forudsætninger!$B$228,IF(N59&lt;Forudsætninger!$B$227,Forudsætninger!$B$225,Forudsætninger!$C$9),Forudsætninger!$C$11)+O59</f>
        <v>9.4474913979411994</v>
      </c>
      <c r="U59" s="2">
        <f>Forudsætninger!$C$68+((K59-(Forudsætninger!$C$84)))*0.01</f>
        <v>2.3015148914490351</v>
      </c>
      <c r="V59" s="2">
        <f>U59+Forudsætninger!$C$69</f>
        <v>1.3015148914490351</v>
      </c>
      <c r="W59">
        <f t="shared" si="6"/>
        <v>0</v>
      </c>
      <c r="X59">
        <f>IF(A59+Forudsætninger!$C$60&gt;248,IF(A59+Forudsætninger!$C$60&lt;365,IF(K59&gt;180,IF(K59&lt;260,1,0),0),0),0)</f>
        <v>0</v>
      </c>
      <c r="Y59" s="22">
        <f>IF(X59=0,0,IF('Vækstfunktion, hol'!A59&lt;Forudsætninger!$C$66,Forudsætninger!$C$67+(('Vækstfunktion, hol'!A59-Forudsætninger!$C$66)/7)*Forudsætninger!$C$64,Forudsætninger!$C$67))</f>
        <v>0</v>
      </c>
      <c r="Z59" s="19">
        <f t="shared" si="19"/>
        <v>913.72713743588929</v>
      </c>
      <c r="AA59" s="19">
        <f>Forudsætninger!$C$62+Forudsætninger!$C$16</f>
        <v>1350</v>
      </c>
      <c r="AB59" s="19">
        <f>IF(K59&gt;Forudsætninger!$C$26,IF(K59&gt;Forudsætninger!$C$27,IF(K59&gt;Forudsætninger!$C$28,Forudsætninger!$E$28,Forudsætninger!$E$27+Forudsætninger!$F$28*(K59-Forudsætninger!$C$27)),Forudsætninger!$E$26+Forudsætninger!$F$27*(K59-Forudsætninger!$C$26)),Forudsætninger!$E$26)+IF(K59&gt;Forudsætninger!$C$28,Forudsætninger!$G$28,IF(K59&gt;Forudsætninger!$C$27,Forudsætninger!$G$27+Forudsætninger!$H$28*(K59-Forudsætninger!$C$27),IF(K59&gt;Forudsætninger!$C$26,Forudsætninger!$G$26+Forudsætninger!$H$27*(K59-Forudsætninger!$C$26),Forudsætninger!$G$26)))*(U59-Forudsætninger!$H$26)</f>
        <v>33.076136168586778</v>
      </c>
      <c r="AC59" s="19">
        <f>IF(K59&gt;Forudsætninger!$C$31,IF(K59&gt;Forudsætninger!$C$32,IF(K59&gt;Forudsætninger!$C$33,Forudsætninger!$E$33,Forudsætninger!$E$32+Forudsætninger!$F$33*(K59-Forudsætninger!$C$32)),Forudsætninger!$E$31+Forudsætninger!$F$32*(K59-Forudsætninger!$C$31)),Forudsætninger!$E$31)+IF(K59&gt;Forudsætninger!$C$33,Forudsætninger!$G$33,IF(K59&gt;Forudsætninger!$C$32,Forudsætninger!$G$32+Forudsætninger!$H$33*(K59-Forudsætninger!$C$32),IF(K59&gt;Forudsætninger!$C$31,Forudsætninger!$G$31+Forudsætninger!$H$32*(K59-Forudsætninger!$C$31),Forudsætninger!$G$31)))*(V59-Forudsætninger!$H$31)</f>
        <v>26.091969358883745</v>
      </c>
      <c r="AD59" s="19">
        <f t="shared" si="7"/>
        <v>1577.1604829565215</v>
      </c>
      <c r="AE59" s="19">
        <f t="shared" si="8"/>
        <v>26.091969358883745</v>
      </c>
      <c r="AF59">
        <f>IF(G59&lt;=Forudsætninger!$C$97,Forudsætninger!$C$98,(IF(G59&lt;=Forudsætninger!$D$97,Forudsætninger!$D$98,IF(G59&lt;=Forudsætninger!$E$97,Forudsætninger!$E$98,IF(G59&lt;=Forudsætninger!$F$97,Forudsætninger!$F$98,IF(G59&lt;=Forudsætninger!$G$97,Forudsætninger!$G$98,IF(G59&lt;=Forudsætninger!$H$97,Forudsætninger!$H$98,IF(G59&lt;=Forudsætninger!$I$97,Forudsætninger!$I$98,Forudsætninger!$I$98))))))))</f>
        <v>2.2000000000000002</v>
      </c>
      <c r="AG59" s="1">
        <f t="shared" si="14"/>
        <v>2.2000000000000002</v>
      </c>
      <c r="AH59" s="1">
        <f t="shared" si="20"/>
        <v>125.40000000000011</v>
      </c>
      <c r="AI59" s="1">
        <f t="shared" si="9"/>
        <v>2.200000000000002</v>
      </c>
      <c r="AJ59" s="20">
        <f>+(W59*Forudsætninger!$C$12)</f>
        <v>0</v>
      </c>
      <c r="AK59" s="20">
        <f>Forudsætninger!$C$17</f>
        <v>250</v>
      </c>
      <c r="AL59" s="20">
        <f>IF(A59&lt;92,Forudsætninger!$C$20,Forudsætninger!$C$21)</f>
        <v>4.0072859744990899</v>
      </c>
      <c r="AM59" s="20">
        <f t="shared" si="15"/>
        <v>228.41530054644824</v>
      </c>
      <c r="AN59" s="20">
        <f>IFERROR(AD59+AJ59-AA59-Z59-AK59-AM59-Forudsætninger!$C$75,-99999999)</f>
        <v>-1347.3761475752106</v>
      </c>
      <c r="AO59" s="19">
        <f>IFERROR(AN59/(A59+Forudsætninger!$C$74),-99999999)</f>
        <v>-23.638178027635274</v>
      </c>
      <c r="AP59" s="19">
        <f>IFERROR(((365/(A59+Forudsætninger!$C$74))*AN59)/(AI59+Forudsætninger!$C$73),-9999999)</f>
        <v>-3735.0367879163932</v>
      </c>
      <c r="AQ59" s="18">
        <f t="shared" si="10"/>
        <v>57</v>
      </c>
      <c r="AR59" s="18">
        <f t="shared" si="16"/>
        <v>2742.1424379823375</v>
      </c>
      <c r="AS59" s="52">
        <f t="shared" si="1"/>
        <v>3.2</v>
      </c>
      <c r="AT59" s="50">
        <f t="shared" si="21"/>
        <v>3.0906552379583445</v>
      </c>
      <c r="AU59" s="50">
        <f t="shared" si="22"/>
        <v>0.47730059402845626</v>
      </c>
      <c r="AV59" s="2">
        <f t="shared" si="23"/>
        <v>75.417626329171526</v>
      </c>
      <c r="AW59" s="61">
        <f t="shared" si="17"/>
        <v>-19.630892053136183</v>
      </c>
      <c r="BA59" s="16"/>
      <c r="BB59" s="2"/>
    </row>
    <row r="60" spans="1:54" x14ac:dyDescent="0.25">
      <c r="A60">
        <v>58</v>
      </c>
      <c r="B60" s="1">
        <f>ROUND((A60+Forudsætninger!$C$60)/30.4,1)</f>
        <v>3.2</v>
      </c>
      <c r="C60" s="1">
        <f>VLOOKUP((A60+Forudsætninger!$C$60),'Model tilvækst, slagteform, fe'!A:B,2,FALSE)</f>
        <v>130.96942086564923</v>
      </c>
      <c r="D60" s="3">
        <f t="shared" si="24"/>
        <v>1388.1537984790384</v>
      </c>
      <c r="E60" s="1">
        <f>(1+Forudsætninger!$C$78)*C60</f>
        <v>121.80156140505377</v>
      </c>
      <c r="F60" s="2">
        <f t="shared" si="25"/>
        <v>6.5527923566647273</v>
      </c>
      <c r="G60" s="1">
        <f t="shared" si="2"/>
        <v>128.3543537617185</v>
      </c>
      <c r="H60" s="3">
        <f t="shared" si="3"/>
        <v>1251.3214954860955</v>
      </c>
      <c r="I60" s="3">
        <f t="shared" si="4"/>
        <v>1023.350926926181</v>
      </c>
      <c r="J60" s="1">
        <f>VLOOKUP((A60+Forudsætninger!$C$60),'Model tilvækst, slagteform, fe'!G:K,2,FALSE)*(1+Forudsætninger!$C$79)</f>
        <v>47.575574610464997</v>
      </c>
      <c r="K60" s="17">
        <f t="shared" si="0"/>
        <v>61.06532133968657</v>
      </c>
      <c r="L60" s="17">
        <f t="shared" si="18"/>
        <v>619.11809364708142</v>
      </c>
      <c r="M60" s="3">
        <f>((K60-(('Model tilvækst, slagteform, fe'!$H$9/100)*'Model tilvækst, slagteform, fe'!$B$9))*1000/(A60+Forudsætninger!$C$60))</f>
        <v>418.74657021935752</v>
      </c>
      <c r="N60" s="17">
        <f t="shared" si="11"/>
        <v>156.68133744865054</v>
      </c>
      <c r="O60" s="19">
        <f>IF( A60&lt;Forudsætninger!$C$14,(G60/100)*Forudsætninger!$C$13,(Forudsætninger!$C$15/1000)*Forudsætninger!$C$13)</f>
        <v>0.83430329945117032</v>
      </c>
      <c r="P60" s="17" cm="1">
        <f t="array" ref="P60">INDEX('Model tilvækst, slagteform, fe'!$N$9:$N$375,MATCH(MIN(ABS('Model tilvækst, slagteform, fe'!$M$9:$M$375-'Vækstfunktion, hol'!G60)),ABS('Model tilvækst, slagteform, fe'!$M$9:$M$375-'Vækstfunktion, hol'!G60),0))*(1+Forudsætninger!$C$80)</f>
        <v>3.7612455803306624</v>
      </c>
      <c r="Q60" s="17">
        <f t="shared" si="12"/>
        <v>6.0751666264089224</v>
      </c>
      <c r="R60" s="17">
        <f t="shared" si="13"/>
        <v>5.4129574986162243</v>
      </c>
      <c r="S60" s="17">
        <f t="shared" si="5"/>
        <v>2.6397614920997516</v>
      </c>
      <c r="T60" s="19">
        <f>(P60)*IF(N60&lt;Forudsætninger!$B$228,IF(N60&lt;Forudsætninger!$B$227,Forudsætninger!$B$225,Forudsætninger!$C$9),Forudsætninger!$C$11)+O60</f>
        <v>9.6356179574249197</v>
      </c>
      <c r="U60" s="2">
        <f>Forudsætninger!$C$68+((K60-(Forudsætninger!$C$84)))*0.01</f>
        <v>2.3077060723855061</v>
      </c>
      <c r="V60" s="2">
        <f>U60+Forudsætninger!$C$69</f>
        <v>1.3077060723855061</v>
      </c>
      <c r="W60">
        <f t="shared" si="6"/>
        <v>0</v>
      </c>
      <c r="X60">
        <f>IF(A60+Forudsætninger!$C$60&gt;248,IF(A60+Forudsætninger!$C$60&lt;365,IF(K60&gt;180,IF(K60&lt;260,1,0),0),0),0)</f>
        <v>0</v>
      </c>
      <c r="Y60" s="22">
        <f>IF(X60=0,0,IF('Vækstfunktion, hol'!A60&lt;Forudsætninger!$C$66,Forudsætninger!$C$67+(('Vækstfunktion, hol'!A60-Forudsætninger!$C$66)/7)*Forudsætninger!$C$64,Forudsætninger!$C$67))</f>
        <v>0</v>
      </c>
      <c r="Z60" s="19">
        <f t="shared" si="19"/>
        <v>923.36275539331416</v>
      </c>
      <c r="AA60" s="19">
        <f>Forudsætninger!$C$62+Forudsætninger!$C$16</f>
        <v>1350</v>
      </c>
      <c r="AB60" s="19">
        <f>IF(K60&gt;Forudsætninger!$C$26,IF(K60&gt;Forudsætninger!$C$27,IF(K60&gt;Forudsætninger!$C$28,Forudsætninger!$E$28,Forudsætninger!$E$27+Forudsætninger!$F$28*(K60-Forudsætninger!$C$27)),Forudsætninger!$E$26+Forudsætninger!$F$27*(K60-Forudsætninger!$C$26)),Forudsætninger!$E$26)+IF(K60&gt;Forudsætninger!$C$28,Forudsætninger!$G$28,IF(K60&gt;Forudsætninger!$C$27,Forudsætninger!$G$27+Forudsætninger!$H$28*(K60-Forudsætninger!$C$27),IF(K60&gt;Forudsætninger!$C$26,Forudsætninger!$G$26+Forudsætninger!$H$27*(K60-Forudsætninger!$C$26),Forudsætninger!$G$26)))*(U60-Forudsætninger!$H$26)</f>
        <v>33.08077955428913</v>
      </c>
      <c r="AC60" s="19">
        <f>IF(K60&gt;Forudsætninger!$C$31,IF(K60&gt;Forudsætninger!$C$32,IF(K60&gt;Forudsætninger!$C$33,Forudsætninger!$E$33,Forudsætninger!$E$32+Forudsætninger!$F$33*(K60-Forudsætninger!$C$32)),Forudsætninger!$E$31+Forudsætninger!$F$32*(K60-Forudsætninger!$C$31)),Forudsætninger!$E$31)+IF(K60&gt;Forudsætninger!$C$33,Forudsætninger!$G$33,IF(K60&gt;Forudsætninger!$C$32,Forudsætninger!$G$32+Forudsætninger!$H$33*(K60-Forudsætninger!$C$32),IF(K60&gt;Forudsætninger!$C$31,Forudsætninger!$G$31+Forudsætninger!$H$32*(K60-Forudsætninger!$C$31),Forudsætninger!$G$31)))*(V60-Forudsætninger!$H$31)</f>
        <v>26.100017894101157</v>
      </c>
      <c r="AD60" s="19">
        <f t="shared" si="7"/>
        <v>1593.8059796748566</v>
      </c>
      <c r="AE60" s="19">
        <f t="shared" si="8"/>
        <v>26.100017894101157</v>
      </c>
      <c r="AF60">
        <f>IF(G60&lt;=Forudsætninger!$C$97,Forudsætninger!$C$98,(IF(G60&lt;=Forudsætninger!$D$97,Forudsætninger!$D$98,IF(G60&lt;=Forudsætninger!$E$97,Forudsætninger!$E$98,IF(G60&lt;=Forudsætninger!$F$97,Forudsætninger!$F$98,IF(G60&lt;=Forudsætninger!$G$97,Forudsætninger!$G$98,IF(G60&lt;=Forudsætninger!$H$97,Forudsætninger!$H$98,IF(G60&lt;=Forudsætninger!$I$97,Forudsætninger!$I$98,Forudsætninger!$I$98))))))))</f>
        <v>2.2000000000000002</v>
      </c>
      <c r="AG60" s="1">
        <f t="shared" si="14"/>
        <v>2.2000000000000002</v>
      </c>
      <c r="AH60" s="1">
        <f t="shared" si="20"/>
        <v>127.60000000000011</v>
      </c>
      <c r="AI60" s="1">
        <f t="shared" si="9"/>
        <v>2.200000000000002</v>
      </c>
      <c r="AJ60" s="20">
        <f>+(W60*Forudsætninger!$C$12)</f>
        <v>0</v>
      </c>
      <c r="AK60" s="20">
        <f>Forudsætninger!$C$17</f>
        <v>250</v>
      </c>
      <c r="AL60" s="20">
        <f>IF(A60&lt;92,Forudsætninger!$C$20,Forudsætninger!$C$21)</f>
        <v>4.0072859744990899</v>
      </c>
      <c r="AM60" s="20">
        <f t="shared" si="15"/>
        <v>232.42258652094733</v>
      </c>
      <c r="AN60" s="20">
        <f>IFERROR(AD60+AJ60-AA60-Z60-AK60-AM60-Forudsætninger!$C$75,-99999999)</f>
        <v>-1344.3735547887995</v>
      </c>
      <c r="AO60" s="19">
        <f>IFERROR(AN60/(A60+Forudsætninger!$C$74),-99999999)</f>
        <v>-23.178854392910338</v>
      </c>
      <c r="AP60" s="19">
        <f>IFERROR(((365/(A60+Forudsætninger!$C$74))*AN60)/(AI60+Forudsætninger!$C$73),-9999999)</f>
        <v>-3662.4596768018469</v>
      </c>
      <c r="AQ60" s="18">
        <f t="shared" si="10"/>
        <v>58</v>
      </c>
      <c r="AR60" s="18">
        <f t="shared" si="16"/>
        <v>2755.7853419142616</v>
      </c>
      <c r="AS60" s="52">
        <f t="shared" si="1"/>
        <v>3.2</v>
      </c>
      <c r="AT60" s="50">
        <f t="shared" si="21"/>
        <v>3.0025927864110145</v>
      </c>
      <c r="AU60" s="50">
        <f t="shared" si="22"/>
        <v>0.4593236347249352</v>
      </c>
      <c r="AV60" s="2">
        <f t="shared" si="23"/>
        <v>72.577111114546369</v>
      </c>
      <c r="AW60" s="61">
        <f t="shared" si="17"/>
        <v>-19.171568418411244</v>
      </c>
      <c r="BA60" s="16"/>
      <c r="BB60" s="2"/>
    </row>
    <row r="61" spans="1:54" x14ac:dyDescent="0.25">
      <c r="A61">
        <v>59</v>
      </c>
      <c r="B61" s="1">
        <f>ROUND((A61+Forudsætninger!$C$60)/30.4,1)</f>
        <v>3.2</v>
      </c>
      <c r="C61" s="1">
        <f>VLOOKUP((A61+Forudsætninger!$C$60),'Model tilvækst, slagteform, fe'!A:B,2,FALSE)</f>
        <v>132.36417034435772</v>
      </c>
      <c r="D61" s="3">
        <f t="shared" si="24"/>
        <v>1394.7494787084906</v>
      </c>
      <c r="E61" s="1">
        <f>(1+Forudsætninger!$C$78)*C61</f>
        <v>123.09867842025267</v>
      </c>
      <c r="F61" s="2">
        <f t="shared" si="25"/>
        <v>6.5129423715587702</v>
      </c>
      <c r="G61" s="1">
        <f t="shared" si="2"/>
        <v>129.61162079181145</v>
      </c>
      <c r="H61" s="3">
        <f t="shared" si="3"/>
        <v>1257.2670300929474</v>
      </c>
      <c r="I61" s="3">
        <f t="shared" si="4"/>
        <v>1027.3156066408719</v>
      </c>
      <c r="J61" s="1">
        <f>VLOOKUP((A61+Forudsætninger!$C$60),'Model tilvækst, slagteform, fe'!G:K,2,FALSE)*(1+Forudsætninger!$C$79)</f>
        <v>47.594303907364619</v>
      </c>
      <c r="K61" s="17">
        <f t="shared" si="0"/>
        <v>61.687748698915733</v>
      </c>
      <c r="L61" s="17">
        <f t="shared" si="18"/>
        <v>622.42735922916381</v>
      </c>
      <c r="M61" s="3">
        <f>((K61-(('Model tilvækst, slagteform, fe'!$H$9/100)*'Model tilvækst, slagteform, fe'!$B$9))*1000/(A61+Forudsætninger!$C$60))</f>
        <v>420.82494561741674</v>
      </c>
      <c r="N61" s="17">
        <f t="shared" si="11"/>
        <v>160.48099067449652</v>
      </c>
      <c r="O61" s="19">
        <f>IF( A61&lt;Forudsætninger!$C$14,(G61/100)*Forudsætninger!$C$13,(Forudsætninger!$C$15/1000)*Forudsætninger!$C$13)</f>
        <v>0.84247553514677453</v>
      </c>
      <c r="P61" s="17" cm="1">
        <f t="array" ref="P61">INDEX('Model tilvækst, slagteform, fe'!$N$9:$N$375,MATCH(MIN(ABS('Model tilvækst, slagteform, fe'!$M$9:$M$375-'Vækstfunktion, hol'!G61)),ABS('Model tilvækst, slagteform, fe'!$M$9:$M$375-'Vækstfunktion, hol'!G61),0))*(1+Forudsætninger!$C$80)</f>
        <v>3.7996532258459847</v>
      </c>
      <c r="Q61" s="17">
        <f t="shared" si="12"/>
        <v>6.1045729586045354</v>
      </c>
      <c r="R61" s="17">
        <f t="shared" si="13"/>
        <v>5.4275164776555203</v>
      </c>
      <c r="S61" s="17">
        <f t="shared" si="5"/>
        <v>2.6476934386182478</v>
      </c>
      <c r="T61" s="19">
        <f>(P61)*IF(N61&lt;Forudsætninger!$B$228,IF(N61&lt;Forudsætninger!$B$227,Forudsætninger!$B$225,Forudsætninger!$C$9),Forudsætninger!$C$11)+O61</f>
        <v>9.7336640836263797</v>
      </c>
      <c r="U61" s="2">
        <f>Forudsætninger!$C$68+((K61-(Forudsætninger!$C$84)))*0.01</f>
        <v>2.3139303459777976</v>
      </c>
      <c r="V61" s="2">
        <f>U61+Forudsætninger!$C$69</f>
        <v>1.3139303459777976</v>
      </c>
      <c r="W61">
        <f t="shared" si="6"/>
        <v>0</v>
      </c>
      <c r="X61">
        <f>IF(A61+Forudsætninger!$C$60&gt;248,IF(A61+Forudsætninger!$C$60&lt;365,IF(K61&gt;180,IF(K61&lt;260,1,0),0),0),0)</f>
        <v>0</v>
      </c>
      <c r="Y61" s="22">
        <f>IF(X61=0,0,IF('Vækstfunktion, hol'!A61&lt;Forudsætninger!$C$66,Forudsætninger!$C$67+(('Vækstfunktion, hol'!A61-Forudsætninger!$C$66)/7)*Forudsætninger!$C$64,Forudsætninger!$C$67))</f>
        <v>0</v>
      </c>
      <c r="Z61" s="19">
        <f t="shared" si="19"/>
        <v>933.09641947694058</v>
      </c>
      <c r="AA61" s="19">
        <f>Forudsætninger!$C$62+Forudsætninger!$C$16</f>
        <v>1350</v>
      </c>
      <c r="AB61" s="19">
        <f>IF(K61&gt;Forudsætninger!$C$26,IF(K61&gt;Forudsætninger!$C$27,IF(K61&gt;Forudsætninger!$C$28,Forudsætninger!$E$28,Forudsætninger!$E$27+Forudsætninger!$F$28*(K61-Forudsætninger!$C$27)),Forudsætninger!$E$26+Forudsætninger!$F$27*(K61-Forudsætninger!$C$26)),Forudsætninger!$E$26)+IF(K61&gt;Forudsætninger!$C$28,Forudsætninger!$G$28,IF(K61&gt;Forudsætninger!$C$27,Forudsætninger!$G$27+Forudsætninger!$H$28*(K61-Forudsætninger!$C$27),IF(K61&gt;Forudsætninger!$C$26,Forudsætninger!$G$26+Forudsætninger!$H$27*(K61-Forudsætninger!$C$26),Forudsætninger!$G$26)))*(U61-Forudsætninger!$H$26)</f>
        <v>33.085447759483351</v>
      </c>
      <c r="AC61" s="19">
        <f>IF(K61&gt;Forudsætninger!$C$31,IF(K61&gt;Forudsætninger!$C$32,IF(K61&gt;Forudsætninger!$C$33,Forudsætninger!$E$33,Forudsætninger!$E$32+Forudsætninger!$F$33*(K61-Forudsætninger!$C$32)),Forudsætninger!$E$31+Forudsætninger!$F$32*(K61-Forudsætninger!$C$31)),Forudsætninger!$E$31)+IF(K61&gt;Forudsætninger!$C$33,Forudsætninger!$G$33,IF(K61&gt;Forudsætninger!$C$32,Forudsætninger!$G$32+Forudsætninger!$H$33*(K61-Forudsætninger!$C$32),IF(K61&gt;Forudsætninger!$C$31,Forudsætninger!$G$31+Forudsætninger!$H$32*(K61-Forudsætninger!$C$31),Forudsætninger!$G$31)))*(V61-Forudsætninger!$H$31)</f>
        <v>26.108109449771135</v>
      </c>
      <c r="AD61" s="19">
        <f t="shared" si="7"/>
        <v>1610.5504947412689</v>
      </c>
      <c r="AE61" s="19">
        <f t="shared" si="8"/>
        <v>26.108109449771135</v>
      </c>
      <c r="AF61">
        <f>IF(G61&lt;=Forudsætninger!$C$97,Forudsætninger!$C$98,(IF(G61&lt;=Forudsætninger!$D$97,Forudsætninger!$D$98,IF(G61&lt;=Forudsætninger!$E$97,Forudsætninger!$E$98,IF(G61&lt;=Forudsætninger!$F$97,Forudsætninger!$F$98,IF(G61&lt;=Forudsætninger!$G$97,Forudsætninger!$G$98,IF(G61&lt;=Forudsætninger!$H$97,Forudsætninger!$H$98,IF(G61&lt;=Forudsætninger!$I$97,Forudsætninger!$I$98,Forudsætninger!$I$98))))))))</f>
        <v>2.2000000000000002</v>
      </c>
      <c r="AG61" s="1">
        <f t="shared" si="14"/>
        <v>2.2000000000000002</v>
      </c>
      <c r="AH61" s="1">
        <f t="shared" si="20"/>
        <v>129.8000000000001</v>
      </c>
      <c r="AI61" s="1">
        <f t="shared" si="9"/>
        <v>2.2000000000000015</v>
      </c>
      <c r="AJ61" s="20">
        <f>+(W61*Forudsætninger!$C$12)</f>
        <v>0</v>
      </c>
      <c r="AK61" s="20">
        <f>Forudsætninger!$C$17</f>
        <v>250</v>
      </c>
      <c r="AL61" s="20">
        <f>IF(A61&lt;92,Forudsætninger!$C$20,Forudsætninger!$C$21)</f>
        <v>4.0072859744990899</v>
      </c>
      <c r="AM61" s="20">
        <f t="shared" si="15"/>
        <v>236.42987249544643</v>
      </c>
      <c r="AN61" s="20">
        <f>IFERROR(AD61+AJ61-AA61-Z61-AK61-AM61-Forudsætninger!$C$75,-99999999)</f>
        <v>-1341.3699897805127</v>
      </c>
      <c r="AO61" s="19">
        <f>IFERROR(AN61/(A61+Forudsætninger!$C$74),-99999999)</f>
        <v>-22.735084572551063</v>
      </c>
      <c r="AP61" s="19">
        <f>IFERROR(((365/(A61+Forudsætninger!$C$74))*AN61)/(AI61+Forudsætninger!$C$73),-9999999)</f>
        <v>-3592.3402030221359</v>
      </c>
      <c r="AQ61" s="18">
        <f t="shared" si="10"/>
        <v>59</v>
      </c>
      <c r="AR61" s="18">
        <f t="shared" si="16"/>
        <v>2769.5262919723868</v>
      </c>
      <c r="AS61" s="52">
        <f t="shared" si="1"/>
        <v>3.2</v>
      </c>
      <c r="AT61" s="50">
        <f t="shared" si="21"/>
        <v>3.0035650082868415</v>
      </c>
      <c r="AU61" s="50">
        <f t="shared" si="22"/>
        <v>0.44376982035927526</v>
      </c>
      <c r="AV61" s="2">
        <f t="shared" si="23"/>
        <v>70.119473779710916</v>
      </c>
      <c r="AW61" s="61">
        <f t="shared" si="17"/>
        <v>-18.727798598051969</v>
      </c>
      <c r="BA61" s="16"/>
      <c r="BB61" s="2"/>
    </row>
    <row r="62" spans="1:54" x14ac:dyDescent="0.25">
      <c r="A62">
        <v>60</v>
      </c>
      <c r="B62" s="1">
        <f>ROUND((A62+Forudsætninger!$C$60)/30.4,1)</f>
        <v>3.3</v>
      </c>
      <c r="C62" s="1">
        <f>VLOOKUP((A62+Forudsætninger!$C$60),'Model tilvækst, slagteform, fe'!A:B,2,FALSE)</f>
        <v>133.76540768921541</v>
      </c>
      <c r="D62" s="3">
        <f t="shared" si="24"/>
        <v>1401.2373448576909</v>
      </c>
      <c r="E62" s="1">
        <f>(1+Forudsætninger!$C$78)*C62</f>
        <v>124.40182915097031</v>
      </c>
      <c r="F62" s="2">
        <f t="shared" si="25"/>
        <v>6.4729070188485505</v>
      </c>
      <c r="G62" s="1">
        <f t="shared" si="2"/>
        <v>130.87473616981887</v>
      </c>
      <c r="H62" s="3">
        <f t="shared" si="3"/>
        <v>1263.1153780074271</v>
      </c>
      <c r="I62" s="3">
        <f t="shared" si="4"/>
        <v>1031.2456028303145</v>
      </c>
      <c r="J62" s="1">
        <f>VLOOKUP((A62+Forudsætninger!$C$60),'Model tilvækst, slagteform, fe'!G:K,2,FALSE)*(1+Forudsætninger!$C$79)</f>
        <v>47.613040027493014</v>
      </c>
      <c r="K62" s="17">
        <f t="shared" si="0"/>
        <v>62.313440518411738</v>
      </c>
      <c r="L62" s="17">
        <f t="shared" si="18"/>
        <v>625.69181949600511</v>
      </c>
      <c r="M62" s="3">
        <f>((K62-(('Model tilvækst, slagteform, fe'!$H$9/100)*'Model tilvækst, slagteform, fe'!$B$9))*1000/(A62+Forudsætninger!$C$60))</f>
        <v>422.89430797982669</v>
      </c>
      <c r="N62" s="17">
        <f t="shared" si="11"/>
        <v>164.31900991070842</v>
      </c>
      <c r="O62" s="19">
        <f>IF( A62&lt;Forudsætninger!$C$14,(G62/100)*Forudsætninger!$C$13,(Forudsætninger!$C$15/1000)*Forudsætninger!$C$13)</f>
        <v>0.85068578510382276</v>
      </c>
      <c r="P62" s="17" cm="1">
        <f t="array" ref="P62">INDEX('Model tilvækst, slagteform, fe'!$N$9:$N$375,MATCH(MIN(ABS('Model tilvækst, slagteform, fe'!$M$9:$M$375-'Vækstfunktion, hol'!G62)),ABS('Model tilvækst, slagteform, fe'!$M$9:$M$375-'Vækstfunktion, hol'!G62),0))*(1+Forudsætninger!$C$80)</f>
        <v>3.8380192362118977</v>
      </c>
      <c r="Q62" s="17">
        <f t="shared" si="12"/>
        <v>6.1340409393612063</v>
      </c>
      <c r="R62" s="17">
        <f t="shared" si="13"/>
        <v>5.4421574855754651</v>
      </c>
      <c r="S62" s="17">
        <f t="shared" si="5"/>
        <v>2.6556720898126365</v>
      </c>
      <c r="T62" s="19">
        <f>(P62)*IF(N62&lt;Forudsætninger!$B$228,IF(N62&lt;Forudsætninger!$B$227,Forudsætninger!$B$225,Forudsætninger!$C$9),Forudsætninger!$C$11)+O62</f>
        <v>9.8316507978396626</v>
      </c>
      <c r="U62" s="2">
        <f>Forudsætninger!$C$68+((K62-(Forudsætninger!$C$84)))*0.01</f>
        <v>2.3201872641727577</v>
      </c>
      <c r="V62" s="2">
        <f>U62+Forudsætninger!$C$69</f>
        <v>1.3201872641727577</v>
      </c>
      <c r="W62">
        <f t="shared" si="6"/>
        <v>0</v>
      </c>
      <c r="X62">
        <f>IF(A62+Forudsætninger!$C$60&gt;248,IF(A62+Forudsætninger!$C$60&lt;365,IF(K62&gt;180,IF(K62&lt;260,1,0),0),0),0)</f>
        <v>0</v>
      </c>
      <c r="Y62" s="22">
        <f>IF(X62=0,0,IF('Vækstfunktion, hol'!A62&lt;Forudsætninger!$C$66,Forudsætninger!$C$67+(('Vækstfunktion, hol'!A62-Forudsætninger!$C$66)/7)*Forudsætninger!$C$64,Forudsætninger!$C$67))</f>
        <v>0</v>
      </c>
      <c r="Z62" s="19">
        <f t="shared" si="19"/>
        <v>942.92807027478023</v>
      </c>
      <c r="AA62" s="19">
        <f>Forudsætninger!$C$62+Forudsætninger!$C$16</f>
        <v>1350</v>
      </c>
      <c r="AB62" s="19">
        <f>IF(K62&gt;Forudsætninger!$C$26,IF(K62&gt;Forudsætninger!$C$27,IF(K62&gt;Forudsætninger!$C$28,Forudsætninger!$E$28,Forudsætninger!$E$27+Forudsætninger!$F$28*(K62-Forudsætninger!$C$27)),Forudsætninger!$E$26+Forudsætninger!$F$27*(K62-Forudsætninger!$C$26)),Forudsætninger!$E$26)+IF(K62&gt;Forudsætninger!$C$28,Forudsætninger!$G$28,IF(K62&gt;Forudsætninger!$C$27,Forudsætninger!$G$27+Forudsætninger!$H$28*(K62-Forudsætninger!$C$27),IF(K62&gt;Forudsætninger!$C$26,Forudsætninger!$G$26+Forudsætninger!$H$27*(K62-Forudsætninger!$C$26),Forudsætninger!$G$26)))*(U62-Forudsætninger!$H$26)</f>
        <v>33.090140448129567</v>
      </c>
      <c r="AC62" s="19">
        <f>IF(K62&gt;Forudsætninger!$C$31,IF(K62&gt;Forudsætninger!$C$32,IF(K62&gt;Forudsætninger!$C$33,Forudsætninger!$E$33,Forudsætninger!$E$32+Forudsætninger!$F$33*(K62-Forudsætninger!$C$32)),Forudsætninger!$E$31+Forudsætninger!$F$32*(K62-Forudsætninger!$C$31)),Forudsætninger!$E$31)+IF(K62&gt;Forudsætninger!$C$33,Forudsætninger!$G$33,IF(K62&gt;Forudsætninger!$C$32,Forudsætninger!$G$32+Forudsætninger!$H$33*(K62-Forudsætninger!$C$32),IF(K62&gt;Forudsætninger!$C$31,Forudsætninger!$G$31+Forudsætninger!$H$32*(K62-Forudsætninger!$C$31),Forudsætninger!$G$31)))*(V62-Forudsætninger!$H$31)</f>
        <v>26.116243443424583</v>
      </c>
      <c r="AD62" s="19">
        <f t="shared" si="7"/>
        <v>1627.3929823761982</v>
      </c>
      <c r="AE62" s="19">
        <f t="shared" si="8"/>
        <v>26.116243443424583</v>
      </c>
      <c r="AF62">
        <f>IF(G62&lt;=Forudsætninger!$C$97,Forudsætninger!$C$98,(IF(G62&lt;=Forudsætninger!$D$97,Forudsætninger!$D$98,IF(G62&lt;=Forudsætninger!$E$97,Forudsætninger!$E$98,IF(G62&lt;=Forudsætninger!$F$97,Forudsætninger!$F$98,IF(G62&lt;=Forudsætninger!$G$97,Forudsætninger!$G$98,IF(G62&lt;=Forudsætninger!$H$97,Forudsætninger!$H$98,IF(G62&lt;=Forudsætninger!$I$97,Forudsætninger!$I$98,Forudsætninger!$I$98))))))))</f>
        <v>2.2000000000000002</v>
      </c>
      <c r="AG62" s="1">
        <f t="shared" si="14"/>
        <v>2.2000000000000002</v>
      </c>
      <c r="AH62" s="1">
        <f t="shared" si="20"/>
        <v>132.00000000000009</v>
      </c>
      <c r="AI62" s="1">
        <f t="shared" si="9"/>
        <v>2.2000000000000015</v>
      </c>
      <c r="AJ62" s="20">
        <f>+(W62*Forudsætninger!$C$12)</f>
        <v>0</v>
      </c>
      <c r="AK62" s="20">
        <f>Forudsætninger!$C$17</f>
        <v>250</v>
      </c>
      <c r="AL62" s="20">
        <f>IF(A62&lt;92,Forudsætninger!$C$20,Forudsætninger!$C$21)</f>
        <v>4.0072859744990899</v>
      </c>
      <c r="AM62" s="20">
        <f t="shared" si="15"/>
        <v>240.43715846994553</v>
      </c>
      <c r="AN62" s="20">
        <f>IFERROR(AD62+AJ62-AA62-Z62-AK62-AM62-Forudsætninger!$C$75,-99999999)</f>
        <v>-1338.3664389179221</v>
      </c>
      <c r="AO62" s="19">
        <f>IFERROR(AN62/(A62+Forudsætninger!$C$74),-99999999)</f>
        <v>-22.3061073152987</v>
      </c>
      <c r="AP62" s="19">
        <f>IFERROR(((365/(A62+Forudsætninger!$C$74))*AN62)/(AI62+Forudsætninger!$C$73),-9999999)</f>
        <v>-3524.5580822874549</v>
      </c>
      <c r="AQ62" s="18">
        <f t="shared" si="10"/>
        <v>60</v>
      </c>
      <c r="AR62" s="18">
        <f t="shared" si="16"/>
        <v>2783.3652287447258</v>
      </c>
      <c r="AS62" s="52">
        <f t="shared" si="1"/>
        <v>3.3</v>
      </c>
      <c r="AT62" s="50">
        <f t="shared" si="21"/>
        <v>3.0035508625906004</v>
      </c>
      <c r="AU62" s="50">
        <f t="shared" si="22"/>
        <v>0.42897725725236313</v>
      </c>
      <c r="AV62" s="2">
        <f t="shared" si="23"/>
        <v>67.78212073468103</v>
      </c>
      <c r="AW62" s="61">
        <f t="shared" si="17"/>
        <v>-18.298821340799609</v>
      </c>
      <c r="BA62" s="16"/>
      <c r="BB62" s="2"/>
    </row>
    <row r="63" spans="1:54" x14ac:dyDescent="0.25">
      <c r="A63">
        <v>61</v>
      </c>
      <c r="B63" s="1">
        <f>ROUND((A63+Forudsætninger!$C$60)/30.4,1)</f>
        <v>3.3</v>
      </c>
      <c r="C63" s="1">
        <f>VLOOKUP((A63+Forudsætninger!$C$60),'Model tilvækst, slagteform, fe'!A:B,2,FALSE)</f>
        <v>135.17302562048962</v>
      </c>
      <c r="D63" s="3">
        <f t="shared" si="24"/>
        <v>1407.617931274217</v>
      </c>
      <c r="E63" s="1">
        <f>(1+Forudsætninger!$C$78)*C63</f>
        <v>125.71091382705534</v>
      </c>
      <c r="F63" s="2">
        <f t="shared" si="25"/>
        <v>6.4326893636692875</v>
      </c>
      <c r="G63" s="1">
        <f t="shared" si="2"/>
        <v>132.14360319072463</v>
      </c>
      <c r="H63" s="3">
        <f t="shared" si="3"/>
        <v>1268.8670209057591</v>
      </c>
      <c r="I63" s="3">
        <f t="shared" si="4"/>
        <v>1035.1410359135186</v>
      </c>
      <c r="J63" s="1">
        <f>VLOOKUP((A63+Forudsætninger!$C$60),'Model tilvækst, slagteform, fe'!G:K,2,FALSE)*(1+Forudsætninger!$C$79)</f>
        <v>47.631781295197314</v>
      </c>
      <c r="K63" s="17">
        <f t="shared" si="0"/>
        <v>62.942352067399334</v>
      </c>
      <c r="L63" s="17">
        <f t="shared" si="18"/>
        <v>628.91154898759532</v>
      </c>
      <c r="M63" s="3">
        <f>((K63-(('Model tilvækst, slagteform, fe'!$H$9/100)*'Model tilvækst, slagteform, fe'!$B$9))*1000/(A63+Forudsætninger!$C$60))</f>
        <v>424.9544803899044</v>
      </c>
      <c r="N63" s="17">
        <f t="shared" si="11"/>
        <v>168.19534849115419</v>
      </c>
      <c r="O63" s="19">
        <f>IF( A63&lt;Forudsætninger!$C$14,(G63/100)*Forudsætninger!$C$13,(Forudsætninger!$C$15/1000)*Forudsætninger!$C$13)</f>
        <v>0.85893342073971013</v>
      </c>
      <c r="P63" s="17" cm="1">
        <f t="array" ref="P63">INDEX('Model tilvækst, slagteform, fe'!$N$9:$N$375,MATCH(MIN(ABS('Model tilvækst, slagteform, fe'!$M$9:$M$375-'Vækstfunktion, hol'!G63)),ABS('Model tilvækst, slagteform, fe'!$M$9:$M$375-'Vækstfunktion, hol'!G63),0))*(1+Forudsætninger!$C$80)</f>
        <v>3.8763385804457626</v>
      </c>
      <c r="Q63" s="17">
        <f t="shared" si="12"/>
        <v>6.1635671767926459</v>
      </c>
      <c r="R63" s="17">
        <f t="shared" si="13"/>
        <v>5.45687728011616</v>
      </c>
      <c r="S63" s="17">
        <f t="shared" si="5"/>
        <v>2.6636957663489964</v>
      </c>
      <c r="T63" s="19">
        <f>(P63)*IF(N63&lt;Forudsætninger!$B$228,IF(N63&lt;Forudsætninger!$B$227,Forudsætninger!$B$225,Forudsætninger!$C$9),Forudsætninger!$C$11)+O63</f>
        <v>9.9295656989827936</v>
      </c>
      <c r="U63" s="2">
        <f>Forudsætninger!$C$68+((K63-(Forudsætninger!$C$84)))*0.01</f>
        <v>2.3264763796626333</v>
      </c>
      <c r="V63" s="2">
        <f>U63+Forudsætninger!$C$69</f>
        <v>1.3264763796626333</v>
      </c>
      <c r="W63">
        <f t="shared" si="6"/>
        <v>0</v>
      </c>
      <c r="X63">
        <f>IF(A63+Forudsætninger!$C$60&gt;248,IF(A63+Forudsætninger!$C$60&lt;365,IF(K63&gt;180,IF(K63&lt;260,1,0),0),0),0)</f>
        <v>0</v>
      </c>
      <c r="Y63" s="22">
        <f>IF(X63=0,0,IF('Vækstfunktion, hol'!A63&lt;Forudsætninger!$C$66,Forudsætninger!$C$67+(('Vækstfunktion, hol'!A63-Forudsætninger!$C$66)/7)*Forudsætninger!$C$64,Forudsætninger!$C$67))</f>
        <v>0</v>
      </c>
      <c r="Z63" s="19">
        <f>Z62+T63</f>
        <v>952.85763597376297</v>
      </c>
      <c r="AA63" s="19">
        <f>Forudsætninger!$C$62+Forudsætninger!$C$16</f>
        <v>1350</v>
      </c>
      <c r="AB63" s="19">
        <f>IF(K63&gt;Forudsætninger!$C$26,IF(K63&gt;Forudsætninger!$C$27,IF(K63&gt;Forudsætninger!$C$28,Forudsætninger!$E$28,Forudsætninger!$E$27+Forudsætninger!$F$28*(K63-Forudsætninger!$C$27)),Forudsætninger!$E$26+Forudsætninger!$F$27*(K63-Forudsætninger!$C$26)),Forudsætninger!$E$26)+IF(K63&gt;Forudsætninger!$C$28,Forudsætninger!$G$28,IF(K63&gt;Forudsætninger!$C$27,Forudsætninger!$G$27+Forudsætninger!$H$28*(K63-Forudsætninger!$C$27),IF(K63&gt;Forudsætninger!$C$26,Forudsætninger!$G$26+Forudsætninger!$H$27*(K63-Forudsætninger!$C$26),Forudsætninger!$G$26)))*(U63-Forudsætninger!$H$26)</f>
        <v>33.094857284746979</v>
      </c>
      <c r="AC63" s="19">
        <f>IF(K63&gt;Forudsætninger!$C$31,IF(K63&gt;Forudsætninger!$C$32,IF(K63&gt;Forudsætninger!$C$33,Forudsætninger!$E$33,Forudsætninger!$E$32+Forudsætninger!$F$33*(K63-Forudsætninger!$C$32)),Forudsætninger!$E$31+Forudsætninger!$F$32*(K63-Forudsætninger!$C$31)),Forudsætninger!$E$31)+IF(K63&gt;Forudsætninger!$C$33,Forudsætninger!$G$33,IF(K63&gt;Forudsætninger!$C$32,Forudsætninger!$G$32+Forudsætninger!$H$33*(K63-Forudsætninger!$C$32),IF(K63&gt;Forudsætninger!$C$31,Forudsætninger!$G$31+Forudsætninger!$H$32*(K63-Forudsætninger!$C$31),Forudsætninger!$G$31)))*(V63-Forudsætninger!$H$31)</f>
        <v>26.124419293561424</v>
      </c>
      <c r="AD63" s="19">
        <f t="shared" si="7"/>
        <v>1644.3323967317028</v>
      </c>
      <c r="AE63" s="19">
        <f t="shared" si="8"/>
        <v>26.124419293561424</v>
      </c>
      <c r="AF63">
        <f>IF(G63&lt;=Forudsætninger!$C$97,Forudsætninger!$C$98,(IF(G63&lt;=Forudsætninger!$D$97,Forudsætninger!$D$98,IF(G63&lt;=Forudsætninger!$E$97,Forudsætninger!$E$98,IF(G63&lt;=Forudsætninger!$F$97,Forudsætninger!$F$98,IF(G63&lt;=Forudsætninger!$G$97,Forudsætninger!$G$98,IF(G63&lt;=Forudsætninger!$H$97,Forudsætninger!$H$98,IF(G63&lt;=Forudsætninger!$I$97,Forudsætninger!$I$98,Forudsætninger!$I$98))))))))</f>
        <v>2.2000000000000002</v>
      </c>
      <c r="AG63" s="1">
        <f t="shared" si="14"/>
        <v>2.2000000000000002</v>
      </c>
      <c r="AH63" s="1">
        <f t="shared" si="20"/>
        <v>134.20000000000007</v>
      </c>
      <c r="AI63" s="1">
        <f t="shared" si="9"/>
        <v>2.2000000000000011</v>
      </c>
      <c r="AJ63" s="20">
        <f>+(W63*Forudsætninger!$C$12)</f>
        <v>0</v>
      </c>
      <c r="AK63" s="20">
        <f>Forudsætninger!$C$17</f>
        <v>250</v>
      </c>
      <c r="AL63" s="20">
        <f>IF(A63&lt;92,Forudsætninger!$C$20,Forudsætninger!$C$21)</f>
        <v>4.0072859744990899</v>
      </c>
      <c r="AM63" s="20">
        <f t="shared" si="15"/>
        <v>244.44444444444463</v>
      </c>
      <c r="AN63" s="20">
        <f>IFERROR(AD63+AJ63-AA63-Z63-AK63-AM63-Forudsætninger!$C$75,-99999999)</f>
        <v>-1335.3638762358994</v>
      </c>
      <c r="AO63" s="19">
        <f>IFERROR(AN63/(A63+Forudsætninger!$C$74),-99999999)</f>
        <v>-21.891211085834417</v>
      </c>
      <c r="AP63" s="19">
        <f>IFERROR(((365/(A63+Forudsætninger!$C$74))*AN63)/(AI63+Forudsætninger!$C$73),-9999999)</f>
        <v>-3459.0008858569518</v>
      </c>
      <c r="AQ63" s="18">
        <f t="shared" si="10"/>
        <v>61</v>
      </c>
      <c r="AR63" s="18">
        <f t="shared" si="16"/>
        <v>2797.3020804182079</v>
      </c>
      <c r="AS63" s="52">
        <f t="shared" si="1"/>
        <v>3.3</v>
      </c>
      <c r="AT63" s="50">
        <f t="shared" si="21"/>
        <v>3.0025626820226989</v>
      </c>
      <c r="AU63" s="50">
        <f t="shared" si="22"/>
        <v>0.41489622946428284</v>
      </c>
      <c r="AV63" s="2">
        <f t="shared" si="23"/>
        <v>65.557196430503154</v>
      </c>
      <c r="AW63" s="61">
        <f t="shared" si="17"/>
        <v>-17.883925111335326</v>
      </c>
      <c r="BA63" s="16"/>
      <c r="BB63" s="2"/>
    </row>
    <row r="64" spans="1:54" x14ac:dyDescent="0.25">
      <c r="A64">
        <v>62</v>
      </c>
      <c r="B64" s="1">
        <f>ROUND((A64+Forudsætninger!$C$60)/30.4,1)</f>
        <v>3.3</v>
      </c>
      <c r="C64" s="1">
        <f>VLOOKUP((A64+Forudsætninger!$C$60),'Model tilvækst, slagteform, fe'!A:B,2,FALSE)</f>
        <v>136.58691739279493</v>
      </c>
      <c r="D64" s="3">
        <f t="shared" si="24"/>
        <v>1413.8917723053055</v>
      </c>
      <c r="E64" s="1">
        <f>(1+Forudsætninger!$C$78)*C64</f>
        <v>127.02583317529928</v>
      </c>
      <c r="F64" s="2">
        <f t="shared" si="25"/>
        <v>6.3922924558891356</v>
      </c>
      <c r="G64" s="1">
        <f t="shared" si="2"/>
        <v>133.41812563118842</v>
      </c>
      <c r="H64" s="3">
        <f t="shared" si="3"/>
        <v>1274.5224404637838</v>
      </c>
      <c r="I64" s="3">
        <f t="shared" si="4"/>
        <v>1039.0020263094905</v>
      </c>
      <c r="J64" s="1">
        <f>VLOOKUP((A64+Forudsætninger!$C$60),'Model tilvækst, slagteform, fe'!G:K,2,FALSE)*(1+Forudsætninger!$C$79)</f>
        <v>47.650526034824651</v>
      </c>
      <c r="K64" s="17">
        <f t="shared" si="0"/>
        <v>63.5744386890645</v>
      </c>
      <c r="L64" s="17">
        <f t="shared" si="18"/>
        <v>632.0866216651666</v>
      </c>
      <c r="M64" s="3">
        <f>((K64-(('Model tilvækst, slagteform, fe'!$H$9/100)*'Model tilvækst, slagteform, fe'!$B$9))*1000/(A64+Forudsætninger!$C$60))</f>
        <v>427.00529366985745</v>
      </c>
      <c r="N64" s="17">
        <f t="shared" si="11"/>
        <v>172.10995471871914</v>
      </c>
      <c r="O64" s="19">
        <f>IF( A64&lt;Forudsætninger!$C$14,(G64/100)*Forudsætninger!$C$13,(Forudsætninger!$C$15/1000)*Forudsætninger!$C$13)</f>
        <v>0.86721781660272479</v>
      </c>
      <c r="P64" s="17" cm="1">
        <f t="array" ref="P64">INDEX('Model tilvækst, slagteform, fe'!$N$9:$N$375,MATCH(MIN(ABS('Model tilvækst, slagteform, fe'!$M$9:$M$375-'Vækstfunktion, hol'!G64)),ABS('Model tilvækst, slagteform, fe'!$M$9:$M$375-'Vækstfunktion, hol'!G64),0))*(1+Forudsætninger!$C$80)</f>
        <v>3.9146062275649416</v>
      </c>
      <c r="Q64" s="17">
        <f t="shared" si="12"/>
        <v>6.1931483650964134</v>
      </c>
      <c r="R64" s="17">
        <f t="shared" si="13"/>
        <v>5.4716727399588221</v>
      </c>
      <c r="S64" s="17">
        <f t="shared" si="5"/>
        <v>2.6717628467505592</v>
      </c>
      <c r="T64" s="19">
        <f>(P64)*IF(N64&lt;Forudsætninger!$B$228,IF(N64&lt;Forudsætninger!$B$227,Forudsætninger!$B$225,Forudsætninger!$C$9),Forudsætninger!$C$11)+O64</f>
        <v>10.027396389104688</v>
      </c>
      <c r="U64" s="2">
        <f>Forudsætninger!$C$68+((K64-(Forudsætninger!$C$84)))*0.01</f>
        <v>2.3327972458792852</v>
      </c>
      <c r="V64" s="2">
        <f>U64+Forudsætninger!$C$69</f>
        <v>1.3327972458792852</v>
      </c>
      <c r="W64">
        <f t="shared" si="6"/>
        <v>0</v>
      </c>
      <c r="X64">
        <f>IF(A64+Forudsætninger!$C$60&gt;248,IF(A64+Forudsætninger!$C$60&lt;365,IF(K64&gt;180,IF(K64&lt;260,1,0),0),0),0)</f>
        <v>0</v>
      </c>
      <c r="Y64" s="22">
        <f>IF(X64=0,0,IF('Vækstfunktion, hol'!A64&lt;Forudsætninger!$C$66,Forudsætninger!$C$67+(('Vækstfunktion, hol'!A64-Forudsætninger!$C$66)/7)*Forudsætninger!$C$64,Forudsætninger!$C$67))</f>
        <v>0</v>
      </c>
      <c r="Z64" s="19">
        <f t="shared" si="19"/>
        <v>962.88503236286761</v>
      </c>
      <c r="AA64" s="19">
        <f>Forudsætninger!$C$62+Forudsætninger!$C$16</f>
        <v>1350</v>
      </c>
      <c r="AB64" s="19">
        <f>IF(K64&gt;Forudsætninger!$C$26,IF(K64&gt;Forudsætninger!$C$27,IF(K64&gt;Forudsætninger!$C$28,Forudsætninger!$E$28,Forudsætninger!$E$27+Forudsætninger!$F$28*(K64-Forudsætninger!$C$27)),Forudsætninger!$E$26+Forudsætninger!$F$27*(K64-Forudsætninger!$C$26)),Forudsætninger!$E$26)+IF(K64&gt;Forudsætninger!$C$28,Forudsætninger!$G$28,IF(K64&gt;Forudsætninger!$C$27,Forudsætninger!$G$27+Forudsætninger!$H$28*(K64-Forudsætninger!$C$27),IF(K64&gt;Forudsætninger!$C$26,Forudsætninger!$G$26+Forudsætninger!$H$27*(K64-Forudsætninger!$C$26),Forudsætninger!$G$26)))*(U64-Forudsætninger!$H$26)</f>
        <v>33.099597934409466</v>
      </c>
      <c r="AC64" s="19">
        <f>IF(K64&gt;Forudsætninger!$C$31,IF(K64&gt;Forudsætninger!$C$32,IF(K64&gt;Forudsætninger!$C$33,Forudsætninger!$E$33,Forudsætninger!$E$32+Forudsætninger!$F$33*(K64-Forudsætninger!$C$32)),Forudsætninger!$E$31+Forudsætninger!$F$32*(K64-Forudsætninger!$C$31)),Forudsætninger!$E$31)+IF(K64&gt;Forudsætninger!$C$33,Forudsætninger!$G$33,IF(K64&gt;Forudsætninger!$C$32,Forudsætninger!$G$32+Forudsætninger!$H$33*(K64-Forudsætninger!$C$32),IF(K64&gt;Forudsætninger!$C$31,Forudsætninger!$G$31+Forudsætninger!$H$32*(K64-Forudsætninger!$C$31),Forudsætninger!$G$31)))*(V64-Forudsætninger!$H$31)</f>
        <v>26.13263641964307</v>
      </c>
      <c r="AD64" s="19">
        <f t="shared" si="7"/>
        <v>1661.3676918442125</v>
      </c>
      <c r="AE64" s="19">
        <f t="shared" si="8"/>
        <v>26.13263641964307</v>
      </c>
      <c r="AF64">
        <f>IF(G64&lt;=Forudsætninger!$C$97,Forudsætninger!$C$98,(IF(G64&lt;=Forudsætninger!$D$97,Forudsætninger!$D$98,IF(G64&lt;=Forudsætninger!$E$97,Forudsætninger!$E$98,IF(G64&lt;=Forudsætninger!$F$97,Forudsætninger!$F$98,IF(G64&lt;=Forudsætninger!$G$97,Forudsætninger!$G$98,IF(G64&lt;=Forudsætninger!$H$97,Forudsætninger!$H$98,IF(G64&lt;=Forudsætninger!$I$97,Forudsætninger!$I$98,Forudsætninger!$I$98))))))))</f>
        <v>2.2000000000000002</v>
      </c>
      <c r="AG64" s="1">
        <f t="shared" si="14"/>
        <v>2.2000000000000002</v>
      </c>
      <c r="AH64" s="1">
        <f t="shared" si="20"/>
        <v>136.40000000000006</v>
      </c>
      <c r="AI64" s="1">
        <f t="shared" si="9"/>
        <v>2.2000000000000011</v>
      </c>
      <c r="AJ64" s="20">
        <f>+(W64*Forudsætninger!$C$12)</f>
        <v>0</v>
      </c>
      <c r="AK64" s="20">
        <f>Forudsætninger!$C$17</f>
        <v>250</v>
      </c>
      <c r="AL64" s="20">
        <f>IF(A64&lt;92,Forudsætninger!$C$20,Forudsætninger!$C$21)</f>
        <v>4.0072859744990899</v>
      </c>
      <c r="AM64" s="20">
        <f t="shared" si="15"/>
        <v>248.45173041894373</v>
      </c>
      <c r="AN64" s="20">
        <f>IFERROR(AD64+AJ64-AA64-Z64-AK64-AM64-Forudsætninger!$C$75,-99999999)</f>
        <v>-1332.3632634869934</v>
      </c>
      <c r="AO64" s="19">
        <f>IFERROR(AN64/(A64+Forudsætninger!$C$74),-99999999)</f>
        <v>-21.489730056241829</v>
      </c>
      <c r="AP64" s="19">
        <f>IFERROR(((365/(A64+Forudsætninger!$C$74))*AN64)/(AI64+Forudsætninger!$C$73),-9999999)</f>
        <v>-3395.5634071550926</v>
      </c>
      <c r="AQ64" s="18">
        <f t="shared" si="10"/>
        <v>62</v>
      </c>
      <c r="AR64" s="18">
        <f t="shared" si="16"/>
        <v>2811.3367627818116</v>
      </c>
      <c r="AS64" s="52">
        <f t="shared" si="1"/>
        <v>3.3</v>
      </c>
      <c r="AT64" s="50">
        <f t="shared" si="21"/>
        <v>3.0006127489059509</v>
      </c>
      <c r="AU64" s="50">
        <f t="shared" si="22"/>
        <v>0.40148102959258836</v>
      </c>
      <c r="AV64" s="2">
        <f t="shared" si="23"/>
        <v>63.437478701859163</v>
      </c>
      <c r="AW64" s="61">
        <f t="shared" si="17"/>
        <v>-17.482444081742738</v>
      </c>
      <c r="BA64" s="16"/>
      <c r="BB64" s="2"/>
    </row>
    <row r="65" spans="1:54" x14ac:dyDescent="0.25">
      <c r="A65">
        <v>63</v>
      </c>
      <c r="B65" s="1">
        <f>ROUND((A65+Forudsætninger!$C$60)/30.4,1)</f>
        <v>3.4</v>
      </c>
      <c r="C65" s="1">
        <f>VLOOKUP((A65+Forudsætninger!$C$60),'Model tilvækst, slagteform, fe'!A:B,2,FALSE)</f>
        <v>138.00697679509341</v>
      </c>
      <c r="D65" s="3">
        <f t="shared" si="24"/>
        <v>1420.0594022984774</v>
      </c>
      <c r="E65" s="1">
        <f>(1+Forudsætninger!$C$78)*C65</f>
        <v>128.34648841943687</v>
      </c>
      <c r="F65" s="2">
        <f t="shared" si="25"/>
        <v>6.3517193301091792</v>
      </c>
      <c r="G65" s="1">
        <f t="shared" si="2"/>
        <v>134.69820774954604</v>
      </c>
      <c r="H65" s="3">
        <f t="shared" si="3"/>
        <v>1280.0821183576261</v>
      </c>
      <c r="I65" s="3">
        <f t="shared" si="4"/>
        <v>1042.8286944372387</v>
      </c>
      <c r="J65" s="1">
        <f>VLOOKUP((A65+Forudsætninger!$C$60),'Model tilvækst, slagteform, fe'!G:K,2,FALSE)*(1+Forudsætninger!$C$79)</f>
        <v>47.669272570722192</v>
      </c>
      <c r="K65" s="17">
        <f t="shared" si="0"/>
        <v>64.209655800008747</v>
      </c>
      <c r="L65" s="17">
        <f t="shared" si="18"/>
        <v>635.21711094424654</v>
      </c>
      <c r="M65" s="3">
        <f>((K65-(('Model tilvækst, slagteform, fe'!$H$9/100)*'Model tilvækst, slagteform, fe'!$B$9))*1000/(A65+Forudsætninger!$C$60))</f>
        <v>429.046585996077</v>
      </c>
      <c r="N65" s="17">
        <f t="shared" si="11"/>
        <v>176.06277186530593</v>
      </c>
      <c r="O65" s="19">
        <f>IF( A65&lt;Forudsætninger!$C$14,(G65/100)*Forudsætninger!$C$13,(Forudsætninger!$C$15/1000)*Forudsætninger!$C$13)</f>
        <v>0.8755383503720493</v>
      </c>
      <c r="P65" s="17" cm="1">
        <f t="array" ref="P65">INDEX('Model tilvækst, slagteform, fe'!$N$9:$N$375,MATCH(MIN(ABS('Model tilvækst, slagteform, fe'!$M$9:$M$375-'Vækstfunktion, hol'!G65)),ABS('Model tilvækst, slagteform, fe'!$M$9:$M$375-'Vækstfunktion, hol'!G65),0))*(1+Forudsætninger!$C$80)</f>
        <v>3.9528171465867943</v>
      </c>
      <c r="Q65" s="17">
        <f t="shared" si="12"/>
        <v>6.2227812797910227</v>
      </c>
      <c r="R65" s="17">
        <f t="shared" si="13"/>
        <v>5.4865408569837912</v>
      </c>
      <c r="S65" s="17">
        <f t="shared" si="5"/>
        <v>2.6798717635721574</v>
      </c>
      <c r="T65" s="19">
        <f>(P65)*IF(N65&lt;Forudsætninger!$B$228,IF(N65&lt;Forudsætninger!$B$227,Forudsætninger!$B$225,Forudsætninger!$C$9),Forudsætninger!$C$11)+O65</f>
        <v>10.125130473385148</v>
      </c>
      <c r="U65" s="2">
        <f>Forudsætninger!$C$68+((K65-(Forudsætninger!$C$84)))*0.01</f>
        <v>2.3391494169887279</v>
      </c>
      <c r="V65" s="2">
        <f>U65+Forudsætninger!$C$69</f>
        <v>1.3391494169887279</v>
      </c>
      <c r="W65">
        <f t="shared" si="6"/>
        <v>0</v>
      </c>
      <c r="X65">
        <f>IF(A65+Forudsætninger!$C$60&gt;248,IF(A65+Forudsætninger!$C$60&lt;365,IF(K65&gt;180,IF(K65&lt;260,1,0),0),0),0)</f>
        <v>0</v>
      </c>
      <c r="Y65" s="22">
        <f>IF(X65=0,0,IF('Vækstfunktion, hol'!A65&lt;Forudsætninger!$C$66,Forudsætninger!$C$67+(('Vækstfunktion, hol'!A65-Forudsætninger!$C$66)/7)*Forudsætninger!$C$64,Forudsætninger!$C$67))</f>
        <v>0</v>
      </c>
      <c r="Z65" s="19">
        <f t="shared" si="19"/>
        <v>973.01016283625279</v>
      </c>
      <c r="AA65" s="19">
        <f>Forudsætninger!$C$62+Forudsætninger!$C$16</f>
        <v>1350</v>
      </c>
      <c r="AB65" s="19">
        <f>IF(K65&gt;Forudsætninger!$C$26,IF(K65&gt;Forudsætninger!$C$27,IF(K65&gt;Forudsætninger!$C$28,Forudsætninger!$E$28,Forudsætninger!$E$27+Forudsætninger!$F$28*(K65-Forudsætninger!$C$27)),Forudsætninger!$E$26+Forudsætninger!$F$27*(K65-Forudsætninger!$C$26)),Forudsætninger!$E$26)+IF(K65&gt;Forudsætninger!$C$28,Forudsætninger!$G$28,IF(K65&gt;Forudsætninger!$C$27,Forudsætninger!$G$27+Forudsætninger!$H$28*(K65-Forudsætninger!$C$27),IF(K65&gt;Forudsætninger!$C$26,Forudsætninger!$G$26+Forudsætninger!$H$27*(K65-Forudsætninger!$C$26),Forudsætninger!$G$26)))*(U65-Forudsætninger!$H$26)</f>
        <v>33.104362062741551</v>
      </c>
      <c r="AC65" s="19">
        <f>IF(K65&gt;Forudsætninger!$C$31,IF(K65&gt;Forudsætninger!$C$32,IF(K65&gt;Forudsætninger!$C$33,Forudsætninger!$E$33,Forudsætninger!$E$32+Forudsætninger!$F$33*(K65-Forudsætninger!$C$32)),Forudsætninger!$E$31+Forudsætninger!$F$32*(K65-Forudsætninger!$C$31)),Forudsætninger!$E$31)+IF(K65&gt;Forudsætninger!$C$33,Forudsætninger!$G$33,IF(K65&gt;Forudsætninger!$C$32,Forudsætninger!$G$32+Forudsætninger!$H$33*(K65-Forudsætninger!$C$32),IF(K65&gt;Forudsætninger!$C$31,Forudsætninger!$G$31+Forudsætninger!$H$32*(K65-Forudsætninger!$C$31),Forudsætninger!$G$31)))*(V65-Forudsætninger!$H$31)</f>
        <v>26.140894242085345</v>
      </c>
      <c r="AD65" s="19">
        <f t="shared" si="7"/>
        <v>1678.4978215887306</v>
      </c>
      <c r="AE65" s="19">
        <f t="shared" si="8"/>
        <v>26.140894242085345</v>
      </c>
      <c r="AF65">
        <f>IF(G65&lt;=Forudsætninger!$C$97,Forudsætninger!$C$98,(IF(G65&lt;=Forudsætninger!$D$97,Forudsætninger!$D$98,IF(G65&lt;=Forudsætninger!$E$97,Forudsætninger!$E$98,IF(G65&lt;=Forudsætninger!$F$97,Forudsætninger!$F$98,IF(G65&lt;=Forudsætninger!$G$97,Forudsætninger!$G$98,IF(G65&lt;=Forudsætninger!$H$97,Forudsætninger!$H$98,IF(G65&lt;=Forudsætninger!$I$97,Forudsætninger!$I$98,Forudsætninger!$I$98))))))))</f>
        <v>2.2000000000000002</v>
      </c>
      <c r="AG65" s="1">
        <f t="shared" si="14"/>
        <v>2.2000000000000002</v>
      </c>
      <c r="AH65" s="1">
        <f t="shared" si="20"/>
        <v>138.60000000000005</v>
      </c>
      <c r="AI65" s="1">
        <f t="shared" si="9"/>
        <v>2.2000000000000006</v>
      </c>
      <c r="AJ65" s="20">
        <f>+(W65*Forudsætninger!$C$12)</f>
        <v>0</v>
      </c>
      <c r="AK65" s="20">
        <f>Forudsætninger!$C$17</f>
        <v>250</v>
      </c>
      <c r="AL65" s="20">
        <f>IF(A65&lt;92,Forudsætninger!$C$20,Forudsætninger!$C$21)</f>
        <v>4.0072859744990899</v>
      </c>
      <c r="AM65" s="20">
        <f t="shared" si="15"/>
        <v>252.45901639344282</v>
      </c>
      <c r="AN65" s="20">
        <f>IFERROR(AD65+AJ65-AA65-Z65-AK65-AM65-Forudsætninger!$C$75,-99999999)</f>
        <v>-1329.3655501903595</v>
      </c>
      <c r="AO65" s="19">
        <f>IFERROR(AN65/(A65+Forudsætninger!$C$74),-99999999)</f>
        <v>-21.101040479212056</v>
      </c>
      <c r="AP65" s="19">
        <f>IFERROR(((365/(A65+Forudsætninger!$C$74))*AN65)/(AI65+Forudsætninger!$C$73),-9999999)</f>
        <v>-3334.1470887066657</v>
      </c>
      <c r="AQ65" s="18">
        <f t="shared" si="10"/>
        <v>63</v>
      </c>
      <c r="AR65" s="18">
        <f t="shared" si="16"/>
        <v>2825.4691792296953</v>
      </c>
      <c r="AS65" s="52">
        <f t="shared" si="1"/>
        <v>3.4</v>
      </c>
      <c r="AT65" s="50">
        <f t="shared" si="21"/>
        <v>2.9977132966339468</v>
      </c>
      <c r="AU65" s="50">
        <f t="shared" si="22"/>
        <v>0.38868957702977269</v>
      </c>
      <c r="AV65" s="2">
        <f t="shared" si="23"/>
        <v>61.416318448426864</v>
      </c>
      <c r="AW65" s="61">
        <f t="shared" si="17"/>
        <v>-17.093754504712962</v>
      </c>
      <c r="BA65" s="16"/>
      <c r="BB65" s="2"/>
    </row>
    <row r="66" spans="1:54" x14ac:dyDescent="0.25">
      <c r="A66">
        <v>64</v>
      </c>
      <c r="B66" s="1">
        <f>ROUND((A66+Forudsætninger!$C$60)/30.4,1)</f>
        <v>3.4</v>
      </c>
      <c r="C66" s="1">
        <f>VLOOKUP((A66+Forudsætninger!$C$60),'Model tilvækst, slagteform, fe'!A:B,2,FALSE)</f>
        <v>139.43309815069458</v>
      </c>
      <c r="D66" s="3">
        <f t="shared" si="24"/>
        <v>1426.1213556011683</v>
      </c>
      <c r="E66" s="1">
        <f>(1+Forudsætninger!$C$78)*C66</f>
        <v>129.67278128014595</v>
      </c>
      <c r="F66" s="2">
        <f t="shared" si="25"/>
        <v>6.3109730056634312</v>
      </c>
      <c r="G66" s="1">
        <f t="shared" si="2"/>
        <v>135.9837542858094</v>
      </c>
      <c r="H66" s="3">
        <f t="shared" si="3"/>
        <v>1285.5465362633538</v>
      </c>
      <c r="I66" s="3">
        <f t="shared" si="4"/>
        <v>1046.6211607157718</v>
      </c>
      <c r="J66" s="1">
        <f>VLOOKUP((A66+Forudsætninger!$C$60),'Model tilvækst, slagteform, fe'!G:K,2,FALSE)*(1+Forudsætninger!$C$79)</f>
        <v>47.688019227237021</v>
      </c>
      <c r="K66" s="17">
        <f t="shared" ref="K66:K129" si="26">G66*(J66/100)</f>
        <v>64.847958889735537</v>
      </c>
      <c r="L66" s="17">
        <f t="shared" si="18"/>
        <v>638.30308972679006</v>
      </c>
      <c r="M66" s="3">
        <f>((K66-(('Model tilvækst, slagteform, fe'!$H$9/100)*'Model tilvækst, slagteform, fe'!$B$9))*1000/(A66+Forudsætninger!$C$60))</f>
        <v>431.07820253715187</v>
      </c>
      <c r="N66" s="17">
        <f t="shared" si="11"/>
        <v>180.05373817183462</v>
      </c>
      <c r="O66" s="19">
        <f>IF( A66&lt;Forudsætninger!$C$14,(G66/100)*Forudsætninger!$C$13,(Forudsætninger!$C$15/1000)*Forudsætninger!$C$13)</f>
        <v>0.88389440285776111</v>
      </c>
      <c r="P66" s="17" cm="1">
        <f t="array" ref="P66">INDEX('Model tilvækst, slagteform, fe'!$N$9:$N$375,MATCH(MIN(ABS('Model tilvækst, slagteform, fe'!$M$9:$M$375-'Vækstfunktion, hol'!G66)),ABS('Model tilvækst, slagteform, fe'!$M$9:$M$375-'Vækstfunktion, hol'!G66),0))*(1+Forudsætninger!$C$80)</f>
        <v>3.9909663065286822</v>
      </c>
      <c r="Q66" s="17">
        <f t="shared" si="12"/>
        <v>6.2524627731896416</v>
      </c>
      <c r="R66" s="17">
        <f t="shared" si="13"/>
        <v>5.5014787291685838</v>
      </c>
      <c r="S66" s="17">
        <f t="shared" si="5"/>
        <v>2.6880209998916</v>
      </c>
      <c r="T66" s="19">
        <f>(P66)*IF(N66&lt;Forudsætninger!$B$228,IF(N66&lt;Forudsætninger!$B$227,Forudsætninger!$B$225,Forudsætninger!$C$9),Forudsætninger!$C$11)+O66</f>
        <v>10.222755560134877</v>
      </c>
      <c r="U66" s="2">
        <f>Forudsætninger!$C$68+((K66-(Forudsætninger!$C$84)))*0.01</f>
        <v>2.3455324478859954</v>
      </c>
      <c r="V66" s="2">
        <f>U66+Forudsætninger!$C$69</f>
        <v>1.3455324478859954</v>
      </c>
      <c r="W66">
        <f t="shared" si="6"/>
        <v>0</v>
      </c>
      <c r="X66">
        <f>IF(A66+Forudsætninger!$C$60&gt;248,IF(A66+Forudsætninger!$C$60&lt;365,IF(K66&gt;180,IF(K66&lt;260,1,0),0),0),0)</f>
        <v>0</v>
      </c>
      <c r="Y66" s="22">
        <f>IF(X66=0,0,IF('Vækstfunktion, hol'!A66&lt;Forudsætninger!$C$66,Forudsætninger!$C$67+(('Vækstfunktion, hol'!A66-Forudsætninger!$C$66)/7)*Forudsætninger!$C$64,Forudsætninger!$C$67))</f>
        <v>0</v>
      </c>
      <c r="Z66" s="19">
        <f t="shared" si="19"/>
        <v>983.23291839638762</v>
      </c>
      <c r="AA66" s="19">
        <f>Forudsætninger!$C$62+Forudsætninger!$C$16</f>
        <v>1350</v>
      </c>
      <c r="AB66" s="19">
        <f>IF(K66&gt;Forudsætninger!$C$26,IF(K66&gt;Forudsætninger!$C$27,IF(K66&gt;Forudsætninger!$C$28,Forudsætninger!$E$28,Forudsætninger!$E$27+Forudsætninger!$F$28*(K66-Forudsætninger!$C$27)),Forudsætninger!$E$26+Forudsætninger!$F$27*(K66-Forudsætninger!$C$26)),Forudsætninger!$E$26)+IF(K66&gt;Forudsætninger!$C$28,Forudsætninger!$G$28,IF(K66&gt;Forudsætninger!$C$27,Forudsætninger!$G$27+Forudsætninger!$H$28*(K66-Forudsætninger!$C$27),IF(K66&gt;Forudsætninger!$C$26,Forudsætninger!$G$26+Forudsætninger!$H$27*(K66-Forudsætninger!$C$26),Forudsætninger!$G$26)))*(U66-Forudsætninger!$H$26)</f>
        <v>33.109149335914495</v>
      </c>
      <c r="AC66" s="19">
        <f>IF(K66&gt;Forudsætninger!$C$31,IF(K66&gt;Forudsætninger!$C$32,IF(K66&gt;Forudsætninger!$C$33,Forudsætninger!$E$33,Forudsætninger!$E$32+Forudsætninger!$F$33*(K66-Forudsætninger!$C$32)),Forudsætninger!$E$31+Forudsætninger!$F$32*(K66-Forudsætninger!$C$31)),Forudsætninger!$E$31)+IF(K66&gt;Forudsætninger!$C$33,Forudsætninger!$G$33,IF(K66&gt;Forudsætninger!$C$32,Forudsætninger!$G$32+Forudsætninger!$H$33*(K66-Forudsætninger!$C$32),IF(K66&gt;Forudsætninger!$C$31,Forudsætninger!$G$31+Forudsætninger!$H$32*(K66-Forudsætninger!$C$31),Forudsætninger!$G$31)))*(V66-Forudsætninger!$H$31)</f>
        <v>26.149192182251795</v>
      </c>
      <c r="AD66" s="19">
        <f t="shared" si="7"/>
        <v>1695.7217396344583</v>
      </c>
      <c r="AE66" s="19">
        <f t="shared" si="8"/>
        <v>26.149192182251795</v>
      </c>
      <c r="AF66">
        <f>IF(G66&lt;=Forudsætninger!$C$97,Forudsætninger!$C$98,(IF(G66&lt;=Forudsætninger!$D$97,Forudsætninger!$D$98,IF(G66&lt;=Forudsætninger!$E$97,Forudsætninger!$E$98,IF(G66&lt;=Forudsætninger!$F$97,Forudsætninger!$F$98,IF(G66&lt;=Forudsætninger!$G$97,Forudsætninger!$G$98,IF(G66&lt;=Forudsætninger!$H$97,Forudsætninger!$H$98,IF(G66&lt;=Forudsætninger!$I$97,Forudsætninger!$I$98,Forudsætninger!$I$98))))))))</f>
        <v>2.2000000000000002</v>
      </c>
      <c r="AG66" s="1">
        <f t="shared" si="14"/>
        <v>2.2000000000000002</v>
      </c>
      <c r="AH66" s="1">
        <f t="shared" si="20"/>
        <v>140.80000000000004</v>
      </c>
      <c r="AI66" s="1">
        <f t="shared" si="9"/>
        <v>2.2000000000000006</v>
      </c>
      <c r="AJ66" s="20">
        <f>+(W66*Forudsætninger!$C$12)</f>
        <v>0</v>
      </c>
      <c r="AK66" s="20">
        <f>Forudsætninger!$C$17</f>
        <v>250</v>
      </c>
      <c r="AL66" s="20">
        <f>IF(A66&lt;92,Forudsætninger!$C$20,Forudsætninger!$C$21)</f>
        <v>4.0072859744990899</v>
      </c>
      <c r="AM66" s="20">
        <f t="shared" si="15"/>
        <v>256.46630236794192</v>
      </c>
      <c r="AN66" s="20">
        <f>IFERROR(AD66+AJ66-AA66-Z66-AK66-AM66-Forudsætninger!$C$75,-99999999)</f>
        <v>-1326.3716736792658</v>
      </c>
      <c r="AO66" s="19">
        <f>IFERROR(AN66/(A66+Forudsætninger!$C$74),-99999999)</f>
        <v>-20.724557401238528</v>
      </c>
      <c r="AP66" s="19">
        <f>IFERROR(((365/(A66+Forudsætninger!$C$74))*AN66)/(AI66+Forudsætninger!$C$73),-9999999)</f>
        <v>-3274.6595027930998</v>
      </c>
      <c r="AQ66" s="18">
        <f t="shared" si="10"/>
        <v>64</v>
      </c>
      <c r="AR66" s="18">
        <f t="shared" si="16"/>
        <v>2839.6992207643293</v>
      </c>
      <c r="AS66" s="52">
        <f t="shared" ref="AS66:AS129" si="27">B66</f>
        <v>3.4</v>
      </c>
      <c r="AT66" s="50">
        <f t="shared" si="21"/>
        <v>2.9938765110937311</v>
      </c>
      <c r="AU66" s="50">
        <f t="shared" si="22"/>
        <v>0.37648307797352842</v>
      </c>
      <c r="AV66" s="2">
        <f t="shared" si="23"/>
        <v>59.487585913565908</v>
      </c>
      <c r="AW66" s="61">
        <f t="shared" si="17"/>
        <v>-16.717271426739437</v>
      </c>
      <c r="BA66" s="16"/>
      <c r="BB66" s="2"/>
    </row>
    <row r="67" spans="1:54" x14ac:dyDescent="0.25">
      <c r="A67">
        <v>65</v>
      </c>
      <c r="B67" s="1">
        <f>ROUND((A67+Forudsætninger!$C$60)/30.4,1)</f>
        <v>3.4</v>
      </c>
      <c r="C67" s="1">
        <f>VLOOKUP((A67+Forudsætninger!$C$60),'Model tilvækst, slagteform, fe'!A:B,2,FALSE)</f>
        <v>140.86517631725528</v>
      </c>
      <c r="D67" s="3">
        <f t="shared" si="24"/>
        <v>1432.0781665607001</v>
      </c>
      <c r="E67" s="1">
        <f>(1+Forudsætninger!$C$78)*C67</f>
        <v>131.00461397504739</v>
      </c>
      <c r="F67" s="2">
        <f t="shared" si="25"/>
        <v>6.2700564866188397</v>
      </c>
      <c r="G67" s="1">
        <f t="shared" ref="G67:G130" si="28">E67+F67</f>
        <v>137.27467046166623</v>
      </c>
      <c r="H67" s="3">
        <f t="shared" ref="H67:H130" si="29">(G67-G66)*1000</f>
        <v>1290.9161758568359</v>
      </c>
      <c r="I67" s="3">
        <f t="shared" ref="I67:I130" si="30">(G67-$G$2)*1000/A67</f>
        <v>1050.3795455640959</v>
      </c>
      <c r="J67" s="1">
        <f>VLOOKUP((A67+Forudsætninger!$C$60),'Model tilvækst, slagteform, fe'!G:K,2,FALSE)*(1+Forudsætninger!$C$79)</f>
        <v>47.706764328716311</v>
      </c>
      <c r="K67" s="17">
        <f t="shared" si="26"/>
        <v>65.489303520169059</v>
      </c>
      <c r="L67" s="17">
        <f t="shared" si="18"/>
        <v>641.34463043352241</v>
      </c>
      <c r="M67" s="3">
        <f>((K67-(('Model tilvækst, slagteform, fe'!$H$9/100)*'Model tilvækst, slagteform, fe'!$B$9))*1000/(A67+Forudsætninger!$C$60))</f>
        <v>433.09999511307853</v>
      </c>
      <c r="N67" s="17">
        <f t="shared" si="11"/>
        <v>184.08278684824259</v>
      </c>
      <c r="O67" s="19">
        <f>IF( A67&lt;Forudsætninger!$C$14,(G67/100)*Forudsætninger!$C$13,(Forudsætninger!$C$15/1000)*Forudsætninger!$C$13)</f>
        <v>0.89228535800083053</v>
      </c>
      <c r="P67" s="17" cm="1">
        <f t="array" ref="P67">INDEX('Model tilvækst, slagteform, fe'!$N$9:$N$375,MATCH(MIN(ABS('Model tilvækst, slagteform, fe'!$M$9:$M$375-'Vækstfunktion, hol'!G67)),ABS('Model tilvækst, slagteform, fe'!$M$9:$M$375-'Vækstfunktion, hol'!G67),0))*(1+Forudsætninger!$C$80)</f>
        <v>4.0290486764079656</v>
      </c>
      <c r="Q67" s="17">
        <f t="shared" si="12"/>
        <v>6.2821897700842921</v>
      </c>
      <c r="R67" s="17">
        <f t="shared" si="13"/>
        <v>5.5164835540604393</v>
      </c>
      <c r="S67" s="17">
        <f t="shared" ref="S67:S130" si="31">N67/(G67-$G$2)</f>
        <v>2.6962090860855703</v>
      </c>
      <c r="T67" s="19">
        <f>(P67)*IF(N67&lt;Forudsætninger!$B$228,IF(N67&lt;Forudsætninger!$B$227,Forudsætninger!$B$225,Forudsætninger!$C$9),Forudsætninger!$C$11)+O67</f>
        <v>10.320259260795469</v>
      </c>
      <c r="U67" s="2">
        <f>Forudsætninger!$C$68+((K67-(Forudsætninger!$C$84)))*0.01</f>
        <v>2.3519458941903304</v>
      </c>
      <c r="V67" s="2">
        <f>U67+Forudsætninger!$C$69</f>
        <v>1.3519458941903304</v>
      </c>
      <c r="W67">
        <f t="shared" ref="W67:W130" si="32">IF(K67&gt;130,1,0)</f>
        <v>0</v>
      </c>
      <c r="X67">
        <f>IF(A67+Forudsætninger!$C$60&gt;248,IF(A67+Forudsætninger!$C$60&lt;365,IF(K67&gt;180,IF(K67&lt;260,1,0),0),0),0)</f>
        <v>0</v>
      </c>
      <c r="Y67" s="22">
        <f>IF(X67=0,0,IF('Vækstfunktion, hol'!A67&lt;Forudsætninger!$C$66,Forudsætninger!$C$67+(('Vækstfunktion, hol'!A67-Forudsætninger!$C$66)/7)*Forudsætninger!$C$64,Forudsætninger!$C$67))</f>
        <v>0</v>
      </c>
      <c r="Z67" s="19">
        <f t="shared" si="19"/>
        <v>993.55317765718314</v>
      </c>
      <c r="AA67" s="19">
        <f>Forudsætninger!$C$62+Forudsætninger!$C$16</f>
        <v>1350</v>
      </c>
      <c r="AB67" s="19">
        <f>IF(K67&gt;Forudsætninger!$C$26,IF(K67&gt;Forudsætninger!$C$27,IF(K67&gt;Forudsætninger!$C$28,Forudsætninger!$E$28,Forudsætninger!$E$27+Forudsætninger!$F$28*(K67-Forudsætninger!$C$27)),Forudsætninger!$E$26+Forudsætninger!$F$27*(K67-Forudsætninger!$C$26)),Forudsætninger!$E$26)+IF(K67&gt;Forudsætninger!$C$28,Forudsætninger!$G$28,IF(K67&gt;Forudsætninger!$C$27,Forudsætninger!$G$27+Forudsætninger!$H$28*(K67-Forudsætninger!$C$27),IF(K67&gt;Forudsætninger!$C$26,Forudsætninger!$G$26+Forudsætninger!$H$27*(K67-Forudsætninger!$C$26),Forudsætninger!$G$26)))*(U67-Forudsætninger!$H$26)</f>
        <v>33.11395942064275</v>
      </c>
      <c r="AC67" s="19">
        <f>IF(K67&gt;Forudsætninger!$C$31,IF(K67&gt;Forudsætninger!$C$32,IF(K67&gt;Forudsætninger!$C$33,Forudsætninger!$E$33,Forudsætninger!$E$32+Forudsætninger!$F$33*(K67-Forudsætninger!$C$32)),Forudsætninger!$E$31+Forudsætninger!$F$32*(K67-Forudsætninger!$C$31)),Forudsætninger!$E$31)+IF(K67&gt;Forudsætninger!$C$33,Forudsætninger!$G$33,IF(K67&gt;Forudsætninger!$C$32,Forudsætninger!$G$32+Forudsætninger!$H$33*(K67-Forudsætninger!$C$32),IF(K67&gt;Forudsætninger!$C$31,Forudsætninger!$G$31+Forudsætninger!$H$32*(K67-Forudsætninger!$C$31),Forudsætninger!$G$31)))*(V67-Forudsætninger!$H$31)</f>
        <v>26.15752966244743</v>
      </c>
      <c r="AD67" s="19">
        <f t="shared" ref="AD67:AD130" si="33">(K67*(Y67*AB67+((1-Y67)*AC67)))</f>
        <v>1713.038399401845</v>
      </c>
      <c r="AE67" s="19">
        <f t="shared" ref="AE67:AE130" si="34">AD67/K67</f>
        <v>26.15752966244743</v>
      </c>
      <c r="AF67">
        <f>IF(G67&lt;=Forudsætninger!$C$97,Forudsætninger!$C$98,(IF(G67&lt;=Forudsætninger!$D$97,Forudsætninger!$D$98,IF(G67&lt;=Forudsætninger!$E$97,Forudsætninger!$E$98,IF(G67&lt;=Forudsætninger!$F$97,Forudsætninger!$F$98,IF(G67&lt;=Forudsætninger!$G$97,Forudsætninger!$G$98,IF(G67&lt;=Forudsætninger!$H$97,Forudsætninger!$H$98,IF(G67&lt;=Forudsætninger!$I$97,Forudsætninger!$I$98,Forudsætninger!$I$98))))))))</f>
        <v>2.2000000000000002</v>
      </c>
      <c r="AG67" s="1">
        <f t="shared" si="14"/>
        <v>2.2000000000000002</v>
      </c>
      <c r="AH67" s="1">
        <f t="shared" si="20"/>
        <v>143.00000000000003</v>
      </c>
      <c r="AI67" s="1">
        <f t="shared" ref="AI67:AI130" si="35">AH67/A67</f>
        <v>2.2000000000000006</v>
      </c>
      <c r="AJ67" s="20">
        <f>+(W67*Forudsætninger!$C$12)</f>
        <v>0</v>
      </c>
      <c r="AK67" s="20">
        <f>Forudsætninger!$C$17</f>
        <v>250</v>
      </c>
      <c r="AL67" s="20">
        <f>IF(A67&lt;92,Forudsætninger!$C$20,Forudsætninger!$C$21)</f>
        <v>4.0072859744990899</v>
      </c>
      <c r="AM67" s="20">
        <f t="shared" si="15"/>
        <v>260.47358834244102</v>
      </c>
      <c r="AN67" s="20">
        <f>IFERROR(AD67+AJ67-AA67-Z67-AK67-AM67-Forudsætninger!$C$75,-99999999)</f>
        <v>-1323.3825591471737</v>
      </c>
      <c r="AO67" s="19">
        <f>IFERROR(AN67/(A67+Forudsætninger!$C$74),-99999999)</f>
        <v>-20.359731679187288</v>
      </c>
      <c r="AP67" s="19">
        <f>IFERROR(((365/(A67+Forudsætninger!$C$74))*AN67)/(AI67+Forudsætninger!$C$73),-9999999)</f>
        <v>-3217.0138800447435</v>
      </c>
      <c r="AQ67" s="18">
        <f t="shared" ref="AQ67:AQ130" si="36">A67</f>
        <v>65</v>
      </c>
      <c r="AR67" s="18">
        <f t="shared" si="16"/>
        <v>2854.0267659996243</v>
      </c>
      <c r="AS67" s="52">
        <f t="shared" si="27"/>
        <v>3.4</v>
      </c>
      <c r="AT67" s="50">
        <f t="shared" si="21"/>
        <v>2.9891145320921169</v>
      </c>
      <c r="AU67" s="50">
        <f t="shared" si="22"/>
        <v>0.36482572205123986</v>
      </c>
      <c r="AV67" s="2">
        <f t="shared" si="23"/>
        <v>57.645622748356345</v>
      </c>
      <c r="AW67" s="61">
        <f t="shared" si="17"/>
        <v>-16.352445704688193</v>
      </c>
      <c r="BA67" s="16"/>
      <c r="BB67" s="2"/>
    </row>
    <row r="68" spans="1:54" x14ac:dyDescent="0.25">
      <c r="A68">
        <v>66</v>
      </c>
      <c r="B68" s="1">
        <f>ROUND((A68+Forudsætninger!$C$60)/30.4,1)</f>
        <v>3.5</v>
      </c>
      <c r="C68" s="1">
        <f>VLOOKUP((A68+Forudsætninger!$C$60),'Model tilvækst, slagteform, fe'!A:B,2,FALSE)</f>
        <v>142.3031066867799</v>
      </c>
      <c r="D68" s="3">
        <f t="shared" ref="D68:D131" si="37">(C68-C67)*1000</f>
        <v>1437.9303695246222</v>
      </c>
      <c r="E68" s="1">
        <f>(1+Forudsætninger!$C$78)*C68</f>
        <v>132.34188921870529</v>
      </c>
      <c r="F68" s="2">
        <f t="shared" ref="F68:F131" si="38">MAX(F67-((D68/1000)/35),0)</f>
        <v>6.228972761775279</v>
      </c>
      <c r="G68" s="1">
        <f t="shared" si="28"/>
        <v>138.57086198048057</v>
      </c>
      <c r="H68" s="3">
        <f t="shared" si="29"/>
        <v>1296.1915188143394</v>
      </c>
      <c r="I68" s="3">
        <f t="shared" si="30"/>
        <v>1054.1039694012209</v>
      </c>
      <c r="J68" s="1">
        <f>VLOOKUP((A68+Forudsætninger!$C$60),'Model tilvækst, slagteform, fe'!G:K,2,FALSE)*(1+Forudsætninger!$C$79)</f>
        <v>47.725506199507194</v>
      </c>
      <c r="K68" s="17">
        <f t="shared" si="26"/>
        <v>66.13364532520481</v>
      </c>
      <c r="L68" s="17">
        <f t="shared" ref="L68:L131" si="39">(K68-K67)*1000</f>
        <v>644.34180503575078</v>
      </c>
      <c r="M68" s="3">
        <f>((K68-(('Model tilvækst, slagteform, fe'!$H$9/100)*'Model tilvækst, slagteform, fe'!$B$9))*1000/(A68+Forudsætninger!$C$60))</f>
        <v>435.11182187424686</v>
      </c>
      <c r="N68" s="17">
        <f t="shared" ref="N68:N131" si="40">N67+P68</f>
        <v>188.14984607348458</v>
      </c>
      <c r="O68" s="19">
        <f>IF( A68&lt;Forudsætninger!$C$14,(G68/100)*Forudsætninger!$C$13,(Forudsætninger!$C$15/1000)*Forudsætninger!$C$13)</f>
        <v>0.90071060287312366</v>
      </c>
      <c r="P68" s="17" cm="1">
        <f t="array" ref="P68">INDEX('Model tilvækst, slagteform, fe'!$N$9:$N$375,MATCH(MIN(ABS('Model tilvækst, slagteform, fe'!$M$9:$M$375-'Vækstfunktion, hol'!G68)),ABS('Model tilvækst, slagteform, fe'!$M$9:$M$375-'Vækstfunktion, hol'!G68),0))*(1+Forudsætninger!$C$80)</f>
        <v>4.067059225242005</v>
      </c>
      <c r="Q68" s="17">
        <f t="shared" ref="Q68:Q131" si="41">P68/(L68/1000)</f>
        <v>6.3119592636339146</v>
      </c>
      <c r="R68" s="17">
        <f t="shared" ref="R68:R131" si="42">N68/(K68-$K$2)</f>
        <v>5.5315526227657745</v>
      </c>
      <c r="S68" s="17">
        <f t="shared" si="31"/>
        <v>2.7044345968614505</v>
      </c>
      <c r="T68" s="19">
        <f>(P68)*IF(N68&lt;Forudsætninger!$B$228,IF(N68&lt;Forudsætninger!$B$227,Forudsætninger!$B$225,Forudsætninger!$C$9),Forudsætninger!$C$11)+O68</f>
        <v>10.417629189939415</v>
      </c>
      <c r="U68" s="2">
        <f>Forudsætninger!$C$68+((K68-(Forudsætninger!$C$84)))*0.01</f>
        <v>2.3583893122406883</v>
      </c>
      <c r="V68" s="2">
        <f>U68+Forudsætninger!$C$69</f>
        <v>1.3583893122406883</v>
      </c>
      <c r="W68">
        <f t="shared" si="32"/>
        <v>0</v>
      </c>
      <c r="X68">
        <f>IF(A68+Forudsætninger!$C$60&gt;248,IF(A68+Forudsætninger!$C$60&lt;365,IF(K68&gt;180,IF(K68&lt;260,1,0),0),0),0)</f>
        <v>0</v>
      </c>
      <c r="Y68" s="22">
        <f>IF(X68=0,0,IF('Vækstfunktion, hol'!A68&lt;Forudsætninger!$C$66,Forudsætninger!$C$67+(('Vækstfunktion, hol'!A68-Forudsætninger!$C$66)/7)*Forudsætninger!$C$64,Forudsætninger!$C$67))</f>
        <v>0</v>
      </c>
      <c r="Z68" s="19">
        <f t="shared" ref="Z68:Z131" si="43">Z67+T68</f>
        <v>1003.9708068471225</v>
      </c>
      <c r="AA68" s="19">
        <f>Forudsætninger!$C$62+Forudsætninger!$C$16</f>
        <v>1350</v>
      </c>
      <c r="AB68" s="19">
        <f>IF(K68&gt;Forudsætninger!$C$26,IF(K68&gt;Forudsætninger!$C$27,IF(K68&gt;Forudsætninger!$C$28,Forudsætninger!$E$28,Forudsætninger!$E$27+Forudsætninger!$F$28*(K68-Forudsætninger!$C$27)),Forudsætninger!$E$26+Forudsætninger!$F$27*(K68-Forudsætninger!$C$26)),Forudsætninger!$E$26)+IF(K68&gt;Forudsætninger!$C$28,Forudsætninger!$G$28,IF(K68&gt;Forudsætninger!$C$27,Forudsætninger!$G$27+Forudsætninger!$H$28*(K68-Forudsætninger!$C$27),IF(K68&gt;Forudsætninger!$C$26,Forudsætninger!$G$26+Forudsætninger!$H$27*(K68-Forudsætninger!$C$26),Forudsætninger!$G$26)))*(U68-Forudsætninger!$H$26)</f>
        <v>33.118791984180518</v>
      </c>
      <c r="AC68" s="19">
        <f>IF(K68&gt;Forudsætninger!$C$31,IF(K68&gt;Forudsætninger!$C$32,IF(K68&gt;Forudsætninger!$C$33,Forudsætninger!$E$33,Forudsætninger!$E$32+Forudsætninger!$F$33*(K68-Forudsætninger!$C$32)),Forudsætninger!$E$31+Forudsætninger!$F$32*(K68-Forudsætninger!$C$31)),Forudsætninger!$E$31)+IF(K68&gt;Forudsætninger!$C$33,Forudsætninger!$G$33,IF(K68&gt;Forudsætninger!$C$32,Forudsætninger!$G$32+Forudsætninger!$H$33*(K68-Forudsætninger!$C$32),IF(K68&gt;Forudsætninger!$C$31,Forudsætninger!$G$31+Forudsætninger!$H$32*(K68-Forudsætninger!$C$31),Forudsætninger!$G$31)))*(V68-Forudsætninger!$H$31)</f>
        <v>26.165906105912896</v>
      </c>
      <c r="AD68" s="19">
        <f t="shared" si="33"/>
        <v>1730.4467540210544</v>
      </c>
      <c r="AE68" s="19">
        <f t="shared" si="34"/>
        <v>26.165906105912896</v>
      </c>
      <c r="AF68">
        <f>IF(G68&lt;=Forudsætninger!$C$97,Forudsætninger!$C$98,(IF(G68&lt;=Forudsætninger!$D$97,Forudsætninger!$D$98,IF(G68&lt;=Forudsætninger!$E$97,Forudsætninger!$E$98,IF(G68&lt;=Forudsætninger!$F$97,Forudsætninger!$F$98,IF(G68&lt;=Forudsætninger!$G$97,Forudsætninger!$G$98,IF(G68&lt;=Forudsætninger!$H$97,Forudsætninger!$H$98,IF(G68&lt;=Forudsætninger!$I$97,Forudsætninger!$I$98,Forudsætninger!$I$98))))))))</f>
        <v>2.2000000000000002</v>
      </c>
      <c r="AG68" s="1">
        <f t="shared" ref="AG68:AG131" si="44">IF(AF68&lt;=3.2,IF(AF68&lt;=2.2,2.2,3.2),4.4)</f>
        <v>2.2000000000000002</v>
      </c>
      <c r="AH68" s="1">
        <f>AH67+AG68</f>
        <v>145.20000000000002</v>
      </c>
      <c r="AI68" s="1">
        <f t="shared" si="35"/>
        <v>2.2000000000000002</v>
      </c>
      <c r="AJ68" s="20">
        <f>+(W68*Forudsætninger!$C$12)</f>
        <v>0</v>
      </c>
      <c r="AK68" s="20">
        <f>Forudsætninger!$C$17</f>
        <v>250</v>
      </c>
      <c r="AL68" s="20">
        <f>IF(A68&lt;92,Forudsætninger!$C$20,Forudsætninger!$C$21)</f>
        <v>4.0072859744990899</v>
      </c>
      <c r="AM68" s="20">
        <f t="shared" ref="AM68:AM131" si="45">AL68+AM67</f>
        <v>264.48087431694012</v>
      </c>
      <c r="AN68" s="20">
        <f>IFERROR(AD68+AJ68-AA68-Z68-AK68-AM68-Forudsætninger!$C$75,-99999999)</f>
        <v>-1320.3991196924028</v>
      </c>
      <c r="AO68" s="19">
        <f>IFERROR(AN68/(A68+Forudsætninger!$C$74),-99999999)</f>
        <v>-20.006047268066709</v>
      </c>
      <c r="AP68" s="19">
        <f>IFERROR(((365/(A68+Forudsætninger!$C$74))*AN68)/(AI68+Forudsætninger!$C$73),-9999999)</f>
        <v>-3161.1286808849995</v>
      </c>
      <c r="AQ68" s="18">
        <f t="shared" si="36"/>
        <v>66</v>
      </c>
      <c r="AR68" s="18">
        <f t="shared" ref="AR68:AR131" si="46">AA68+Z68+AK68+AM68</f>
        <v>2868.4516811640628</v>
      </c>
      <c r="AS68" s="52">
        <f t="shared" si="27"/>
        <v>3.5</v>
      </c>
      <c r="AT68" s="50">
        <f t="shared" si="21"/>
        <v>2.9834394547708598</v>
      </c>
      <c r="AU68" s="50">
        <f t="shared" si="22"/>
        <v>0.3536844111205788</v>
      </c>
      <c r="AV68" s="2">
        <f t="shared" si="23"/>
        <v>55.885199159743934</v>
      </c>
      <c r="AW68" s="61">
        <f t="shared" ref="AW68:AW131" si="47">((AN68+AM68)/A68)</f>
        <v>-15.998761293567616</v>
      </c>
      <c r="BA68" s="16"/>
      <c r="BB68" s="2"/>
    </row>
    <row r="69" spans="1:54" x14ac:dyDescent="0.25">
      <c r="A69">
        <v>67</v>
      </c>
      <c r="B69" s="1">
        <f>ROUND((A69+Forudsætninger!$C$60)/30.4,1)</f>
        <v>3.5</v>
      </c>
      <c r="C69" s="1">
        <f>VLOOKUP((A69+Forudsætninger!$C$60),'Model tilvækst, slagteform, fe'!A:B,2,FALSE)</f>
        <v>143.74678518562021</v>
      </c>
      <c r="D69" s="3">
        <f t="shared" si="37"/>
        <v>1443.6784988403133</v>
      </c>
      <c r="E69" s="1">
        <f>(1+Forudsætninger!$C$78)*C69</f>
        <v>133.68451022262678</v>
      </c>
      <c r="F69" s="2">
        <f t="shared" si="38"/>
        <v>6.1877248046655557</v>
      </c>
      <c r="G69" s="1">
        <f t="shared" si="28"/>
        <v>139.87223502729233</v>
      </c>
      <c r="H69" s="3">
        <f t="shared" si="29"/>
        <v>1301.3730468117615</v>
      </c>
      <c r="I69" s="3">
        <f t="shared" si="30"/>
        <v>1057.7945526461542</v>
      </c>
      <c r="J69" s="1">
        <f>VLOOKUP((A69+Forudsætninger!$C$60),'Model tilvækst, slagteform, fe'!G:K,2,FALSE)*(1+Forudsætninger!$C$79)</f>
        <v>47.744243163956789</v>
      </c>
      <c r="K69" s="17">
        <f t="shared" si="26"/>
        <v>66.780940010291602</v>
      </c>
      <c r="L69" s="17">
        <f t="shared" si="39"/>
        <v>647.29468508679133</v>
      </c>
      <c r="M69" s="3">
        <f>((K69-(('Model tilvækst, slagteform, fe'!$H$9/100)*'Model tilvækst, slagteform, fe'!$B$9))*1000/(A69+Forudsætninger!$C$60))</f>
        <v>437.11354699889347</v>
      </c>
      <c r="N69" s="17">
        <f t="shared" si="40"/>
        <v>192.29269080932838</v>
      </c>
      <c r="O69" s="19">
        <f>IF( A69&lt;Forudsætninger!$C$14,(G69/100)*Forudsætninger!$C$13,(Forudsætninger!$C$15/1000)*Forudsætninger!$C$13)</f>
        <v>0.90916952767740022</v>
      </c>
      <c r="P69" s="17" cm="1">
        <f t="array" ref="P69">INDEX('Model tilvækst, slagteform, fe'!$N$9:$N$375,MATCH(MIN(ABS('Model tilvækst, slagteform, fe'!$M$9:$M$375-'Vækstfunktion, hol'!G69)),ABS('Model tilvækst, slagteform, fe'!$M$9:$M$375-'Vækstfunktion, hol'!G69),0))*(1+Forudsætninger!$C$80)</f>
        <v>4.1428447358437994</v>
      </c>
      <c r="Q69" s="17">
        <f t="shared" si="41"/>
        <v>6.4002452535019865</v>
      </c>
      <c r="R69" s="17">
        <f t="shared" si="42"/>
        <v>5.5477753650665314</v>
      </c>
      <c r="S69" s="17">
        <f t="shared" si="31"/>
        <v>2.7132302337477858</v>
      </c>
      <c r="T69" s="19">
        <f>(P69)*IF(N69&lt;Forudsætninger!$B$228,IF(N69&lt;Forudsætninger!$B$227,Forudsætninger!$B$225,Forudsætninger!$C$9),Forudsætninger!$C$11)+O69</f>
        <v>10.603426209551891</v>
      </c>
      <c r="U69" s="2">
        <f>Forudsætninger!$C$68+((K69-(Forudsætninger!$C$84)))*0.01</f>
        <v>2.3648622590915562</v>
      </c>
      <c r="V69" s="2">
        <f>U69+Forudsætninger!$C$69</f>
        <v>1.3648622590915562</v>
      </c>
      <c r="W69">
        <f t="shared" si="32"/>
        <v>0</v>
      </c>
      <c r="X69">
        <f>IF(A69+Forudsætninger!$C$60&gt;248,IF(A69+Forudsætninger!$C$60&lt;365,IF(K69&gt;180,IF(K69&lt;260,1,0),0),0),0)</f>
        <v>0</v>
      </c>
      <c r="Y69" s="22">
        <f>IF(X69=0,0,IF('Vækstfunktion, hol'!A69&lt;Forudsætninger!$C$66,Forudsætninger!$C$67+(('Vækstfunktion, hol'!A69-Forudsætninger!$C$66)/7)*Forudsætninger!$C$64,Forudsætninger!$C$67))</f>
        <v>0</v>
      </c>
      <c r="Z69" s="19">
        <f t="shared" si="43"/>
        <v>1014.5742330566744</v>
      </c>
      <c r="AA69" s="19">
        <f>Forudsætninger!$C$62+Forudsætninger!$C$16</f>
        <v>1350</v>
      </c>
      <c r="AB69" s="19">
        <f>IF(K69&gt;Forudsætninger!$C$26,IF(K69&gt;Forudsætninger!$C$27,IF(K69&gt;Forudsætninger!$C$28,Forudsætninger!$E$28,Forudsætninger!$E$27+Forudsætninger!$F$28*(K69-Forudsætninger!$C$27)),Forudsætninger!$E$26+Forudsætninger!$F$27*(K69-Forudsætninger!$C$26)),Forudsætninger!$E$26)+IF(K69&gt;Forudsætninger!$C$28,Forudsætninger!$G$28,IF(K69&gt;Forudsætninger!$C$27,Forudsætninger!$G$27+Forudsætninger!$H$28*(K69-Forudsætninger!$C$27),IF(K69&gt;Forudsætninger!$C$26,Forudsætninger!$G$26+Forudsætninger!$H$27*(K69-Forudsætninger!$C$26),Forudsætninger!$G$26)))*(U69-Forudsætninger!$H$26)</f>
        <v>33.123646694318666</v>
      </c>
      <c r="AC69" s="19">
        <f>IF(K69&gt;Forudsætninger!$C$31,IF(K69&gt;Forudsætninger!$C$32,IF(K69&gt;Forudsætninger!$C$33,Forudsætninger!$E$33,Forudsætninger!$E$32+Forudsætninger!$F$33*(K69-Forudsætninger!$C$32)),Forudsætninger!$E$31+Forudsætninger!$F$32*(K69-Forudsætninger!$C$31)),Forudsætninger!$E$31)+IF(K69&gt;Forudsætninger!$C$33,Forudsætninger!$G$33,IF(K69&gt;Forudsætninger!$C$32,Forudsætninger!$G$32+Forudsætninger!$H$33*(K69-Forudsætninger!$C$32),IF(K69&gt;Forudsætninger!$C$31,Forudsætninger!$G$31+Forudsætninger!$H$32*(K69-Forudsætninger!$C$31),Forudsætninger!$G$31)))*(V69-Forudsætninger!$H$31)</f>
        <v>26.174320936819022</v>
      </c>
      <c r="AD69" s="19">
        <f t="shared" si="33"/>
        <v>1747.9457562918305</v>
      </c>
      <c r="AE69" s="19">
        <f t="shared" si="34"/>
        <v>26.174320936819022</v>
      </c>
      <c r="AF69">
        <f>IF(G69&lt;=Forudsætninger!$C$97,Forudsætninger!$C$98,(IF(G69&lt;=Forudsætninger!$D$97,Forudsætninger!$D$98,IF(G69&lt;=Forudsætninger!$E$97,Forudsætninger!$E$98,IF(G69&lt;=Forudsætninger!$F$97,Forudsætninger!$F$98,IF(G69&lt;=Forudsætninger!$G$97,Forudsætninger!$G$98,IF(G69&lt;=Forudsætninger!$H$97,Forudsætninger!$H$98,IF(G69&lt;=Forudsætninger!$I$97,Forudsætninger!$I$98,Forudsætninger!$I$98))))))))</f>
        <v>2.2000000000000002</v>
      </c>
      <c r="AG69" s="1">
        <f t="shared" si="44"/>
        <v>2.2000000000000002</v>
      </c>
      <c r="AH69" s="1">
        <f t="shared" ref="AH69:AH132" si="48">AH68+AG69</f>
        <v>147.4</v>
      </c>
      <c r="AI69" s="1">
        <f t="shared" si="35"/>
        <v>2.2000000000000002</v>
      </c>
      <c r="AJ69" s="20">
        <f>+(W69*Forudsætninger!$C$12)</f>
        <v>0</v>
      </c>
      <c r="AK69" s="20">
        <f>Forudsætninger!$C$17</f>
        <v>250</v>
      </c>
      <c r="AL69" s="20">
        <f>IF(A69&lt;92,Forudsætninger!$C$20,Forudsætninger!$C$21)</f>
        <v>4.0072859744990899</v>
      </c>
      <c r="AM69" s="20">
        <f t="shared" si="45"/>
        <v>268.48816029143921</v>
      </c>
      <c r="AN69" s="20">
        <f>IFERROR(AD69+AJ69-AA69-Z69-AK69-AM69-Forudsætninger!$C$75,-99999999)</f>
        <v>-1317.5108296056776</v>
      </c>
      <c r="AO69" s="19">
        <f>IFERROR(AN69/(A69+Forudsætninger!$C$74),-99999999)</f>
        <v>-19.664340740383249</v>
      </c>
      <c r="AP69" s="19">
        <f>IFERROR(((365/(A69+Forudsætninger!$C$74))*AN69)/(AI69+Forudsætninger!$C$73),-9999999)</f>
        <v>-3107.1360910129374</v>
      </c>
      <c r="AQ69" s="18">
        <f t="shared" si="36"/>
        <v>67</v>
      </c>
      <c r="AR69" s="18">
        <f t="shared" si="46"/>
        <v>2883.0623933481138</v>
      </c>
      <c r="AS69" s="52">
        <f t="shared" si="27"/>
        <v>3.5</v>
      </c>
      <c r="AT69" s="50">
        <f t="shared" ref="AT69:AT132" si="49">AN69-AN68</f>
        <v>2.8882900867251919</v>
      </c>
      <c r="AU69" s="50">
        <f t="shared" ref="AU69:AU132" si="50">AO69-AO68</f>
        <v>0.34170652768345988</v>
      </c>
      <c r="AV69" s="2">
        <f t="shared" ref="AV69:AV132" si="51">AP69-AP68</f>
        <v>53.992589872062126</v>
      </c>
      <c r="AW69" s="61">
        <f t="shared" si="47"/>
        <v>-15.657054765884155</v>
      </c>
      <c r="BA69" s="16"/>
      <c r="BB69" s="2"/>
    </row>
    <row r="70" spans="1:54" x14ac:dyDescent="0.25">
      <c r="A70">
        <v>68</v>
      </c>
      <c r="B70" s="1">
        <f>ROUND((A70+Forudsætninger!$C$60)/30.4,1)</f>
        <v>3.5</v>
      </c>
      <c r="C70" s="1">
        <f>VLOOKUP((A70+Forudsætninger!$C$60),'Model tilvækst, slagteform, fe'!A:B,2,FALSE)</f>
        <v>145.19610827447534</v>
      </c>
      <c r="D70" s="3">
        <f t="shared" si="37"/>
        <v>1449.3230888551238</v>
      </c>
      <c r="E70" s="1">
        <f>(1+Forudsætninger!$C$78)*C70</f>
        <v>135.03238069526205</v>
      </c>
      <c r="F70" s="2">
        <f t="shared" si="38"/>
        <v>6.1463155735554089</v>
      </c>
      <c r="G70" s="1">
        <f t="shared" si="28"/>
        <v>141.17869626881745</v>
      </c>
      <c r="H70" s="3">
        <f t="shared" si="29"/>
        <v>1306.4612415251133</v>
      </c>
      <c r="I70" s="3">
        <f t="shared" si="30"/>
        <v>1061.4514157179037</v>
      </c>
      <c r="J70" s="1">
        <f>VLOOKUP((A70+Forudsætninger!$C$60),'Model tilvækst, slagteform, fe'!G:K,2,FALSE)*(1+Forudsætninger!$C$79)</f>
        <v>47.762973546412255</v>
      </c>
      <c r="K70" s="17">
        <f t="shared" si="26"/>
        <v>67.431143352044984</v>
      </c>
      <c r="L70" s="17">
        <f t="shared" si="39"/>
        <v>650.20334175338235</v>
      </c>
      <c r="M70" s="3">
        <f>((K70-(('Model tilvækst, slagteform, fe'!$H$9/100)*'Model tilvækst, slagteform, fe'!$B$9))*1000/(A70+Forudsætninger!$C$60))</f>
        <v>439.10504040781393</v>
      </c>
      <c r="N70" s="17">
        <f t="shared" si="40"/>
        <v>196.47330044497465</v>
      </c>
      <c r="O70" s="19">
        <f>IF( A70&lt;Forudsætninger!$C$14,(G70/100)*Forudsætninger!$C$13,(Forudsætninger!$C$15/1000)*Forudsætninger!$C$13)</f>
        <v>0.91766152574731341</v>
      </c>
      <c r="P70" s="17" cm="1">
        <f t="array" ref="P70">INDEX('Model tilvækst, slagteform, fe'!$N$9:$N$375,MATCH(MIN(ABS('Model tilvækst, slagteform, fe'!$M$9:$M$375-'Vækstfunktion, hol'!G70)),ABS('Model tilvækst, slagteform, fe'!$M$9:$M$375-'Vækstfunktion, hol'!G70),0))*(1+Forudsætninger!$C$80)</f>
        <v>4.1806096356462765</v>
      </c>
      <c r="Q70" s="17">
        <f t="shared" si="41"/>
        <v>6.4296957077651458</v>
      </c>
      <c r="R70" s="17">
        <f t="shared" si="42"/>
        <v>5.5640145142333468</v>
      </c>
      <c r="S70" s="17">
        <f t="shared" si="31"/>
        <v>2.7220400284488764</v>
      </c>
      <c r="T70" s="19">
        <f>(P70)*IF(N70&lt;Forudsætninger!$B$228,IF(N70&lt;Forudsætninger!$B$227,Forudsætninger!$B$225,Forudsætninger!$C$9),Forudsætninger!$C$11)+O70</f>
        <v>10.7002880731596</v>
      </c>
      <c r="U70" s="2">
        <f>Forudsætninger!$C$68+((K70-(Forudsætninger!$C$84)))*0.01</f>
        <v>2.3713642925090901</v>
      </c>
      <c r="V70" s="2">
        <f>U70+Forudsætninger!$C$69</f>
        <v>1.3713642925090901</v>
      </c>
      <c r="W70">
        <f t="shared" si="32"/>
        <v>0</v>
      </c>
      <c r="X70">
        <f>IF(A70+Forudsætninger!$C$60&gt;248,IF(A70+Forudsætninger!$C$60&lt;365,IF(K70&gt;180,IF(K70&lt;260,1,0),0),0),0)</f>
        <v>0</v>
      </c>
      <c r="Y70" s="22">
        <f>IF(X70=0,0,IF('Vækstfunktion, hol'!A70&lt;Forudsætninger!$C$66,Forudsætninger!$C$67+(('Vækstfunktion, hol'!A70-Forudsætninger!$C$66)/7)*Forudsætninger!$C$64,Forudsætninger!$C$67))</f>
        <v>0</v>
      </c>
      <c r="Z70" s="19">
        <f t="shared" si="43"/>
        <v>1025.2745211298341</v>
      </c>
      <c r="AA70" s="19">
        <f>Forudsætninger!$C$62+Forudsætninger!$C$16</f>
        <v>1350</v>
      </c>
      <c r="AB70" s="19">
        <f>IF(K70&gt;Forudsætninger!$C$26,IF(K70&gt;Forudsætninger!$C$27,IF(K70&gt;Forudsætninger!$C$28,Forudsætninger!$E$28,Forudsætninger!$E$27+Forudsætninger!$F$28*(K70-Forudsætninger!$C$27)),Forudsætninger!$E$26+Forudsætninger!$F$27*(K70-Forudsætninger!$C$26)),Forudsætninger!$E$26)+IF(K70&gt;Forudsætninger!$C$28,Forudsætninger!$G$28,IF(K70&gt;Forudsætninger!$C$27,Forudsætninger!$G$27+Forudsætninger!$H$28*(K70-Forudsætninger!$C$27),IF(K70&gt;Forudsætninger!$C$26,Forudsætninger!$G$26+Forudsætninger!$H$27*(K70-Forudsætninger!$C$26),Forudsætninger!$G$26)))*(U70-Forudsætninger!$H$26)</f>
        <v>33.128523219381819</v>
      </c>
      <c r="AC70" s="19">
        <f>IF(K70&gt;Forudsætninger!$C$31,IF(K70&gt;Forudsætninger!$C$32,IF(K70&gt;Forudsætninger!$C$33,Forudsætninger!$E$33,Forudsætninger!$E$32+Forudsætninger!$F$33*(K70-Forudsætninger!$C$32)),Forudsætninger!$E$31+Forudsætninger!$F$32*(K70-Forudsætninger!$C$31)),Forudsætninger!$E$31)+IF(K70&gt;Forudsætninger!$C$33,Forudsætninger!$G$33,IF(K70&gt;Forudsætninger!$C$32,Forudsætninger!$G$32+Forudsætninger!$H$33*(K70-Forudsætninger!$C$32),IF(K70&gt;Forudsætninger!$C$31,Forudsætninger!$G$31+Forudsætninger!$H$32*(K70-Forudsætninger!$C$31),Forudsætninger!$G$31)))*(V70-Forudsætninger!$H$31)</f>
        <v>26.182773580261816</v>
      </c>
      <c r="AD70" s="19">
        <f t="shared" si="33"/>
        <v>1765.5343586447707</v>
      </c>
      <c r="AE70" s="19">
        <f t="shared" si="34"/>
        <v>26.182773580261816</v>
      </c>
      <c r="AF70">
        <f>IF(G70&lt;=Forudsætninger!$C$97,Forudsætninger!$C$98,(IF(G70&lt;=Forudsætninger!$D$97,Forudsætninger!$D$98,IF(G70&lt;=Forudsætninger!$E$97,Forudsætninger!$E$98,IF(G70&lt;=Forudsætninger!$F$97,Forudsætninger!$F$98,IF(G70&lt;=Forudsætninger!$G$97,Forudsætninger!$G$98,IF(G70&lt;=Forudsætninger!$H$97,Forudsætninger!$H$98,IF(G70&lt;=Forudsætninger!$I$97,Forudsætninger!$I$98,Forudsætninger!$I$98))))))))</f>
        <v>2.2000000000000002</v>
      </c>
      <c r="AG70" s="1">
        <f t="shared" si="44"/>
        <v>2.2000000000000002</v>
      </c>
      <c r="AH70" s="1">
        <f t="shared" si="48"/>
        <v>149.6</v>
      </c>
      <c r="AI70" s="1">
        <f t="shared" si="35"/>
        <v>2.1999999999999997</v>
      </c>
      <c r="AJ70" s="20">
        <f>+(W70*Forudsætninger!$C$12)</f>
        <v>0</v>
      </c>
      <c r="AK70" s="20">
        <f>Forudsætninger!$C$17</f>
        <v>250</v>
      </c>
      <c r="AL70" s="20">
        <f>IF(A70&lt;92,Forudsætninger!$C$20,Forudsætninger!$C$21)</f>
        <v>4.0072859744990899</v>
      </c>
      <c r="AM70" s="20">
        <f t="shared" si="45"/>
        <v>272.49544626593831</v>
      </c>
      <c r="AN70" s="20">
        <f>IFERROR(AD70+AJ70-AA70-Z70-AK70-AM70-Forudsætninger!$C$75,-99999999)</f>
        <v>-1314.6298013003961</v>
      </c>
      <c r="AO70" s="19">
        <f>IFERROR(AN70/(A70+Forudsætninger!$C$74),-99999999)</f>
        <v>-19.332791195594062</v>
      </c>
      <c r="AP70" s="19">
        <f>IFERROR(((365/(A70+Forudsætninger!$C$74))*AN70)/(AI70+Forudsætninger!$C$73),-9999999)</f>
        <v>-3054.7483923774166</v>
      </c>
      <c r="AQ70" s="18">
        <f t="shared" si="36"/>
        <v>68</v>
      </c>
      <c r="AR70" s="18">
        <f t="shared" si="46"/>
        <v>2897.7699673957727</v>
      </c>
      <c r="AS70" s="52">
        <f t="shared" si="27"/>
        <v>3.5</v>
      </c>
      <c r="AT70" s="50">
        <f t="shared" si="49"/>
        <v>2.8810283052814611</v>
      </c>
      <c r="AU70" s="50">
        <f t="shared" si="50"/>
        <v>0.33154954478918697</v>
      </c>
      <c r="AV70" s="2">
        <f t="shared" si="51"/>
        <v>52.387698635520792</v>
      </c>
      <c r="AW70" s="61">
        <f t="shared" si="47"/>
        <v>-15.325505221094966</v>
      </c>
      <c r="BA70" s="16"/>
      <c r="BB70" s="2"/>
    </row>
    <row r="71" spans="1:54" x14ac:dyDescent="0.25">
      <c r="A71">
        <v>69</v>
      </c>
      <c r="B71" s="1">
        <f>ROUND((A71+Forudsætninger!$C$60)/30.4,1)</f>
        <v>3.6</v>
      </c>
      <c r="C71" s="1">
        <f>VLOOKUP((A71+Forudsætninger!$C$60),'Model tilvækst, slagteform, fe'!A:B,2,FALSE)</f>
        <v>146.65097294839182</v>
      </c>
      <c r="D71" s="3">
        <f t="shared" si="37"/>
        <v>1454.8646739164894</v>
      </c>
      <c r="E71" s="1">
        <f>(1+Forudsætninger!$C$78)*C71</f>
        <v>136.38540484200439</v>
      </c>
      <c r="F71" s="2">
        <f t="shared" si="38"/>
        <v>6.1047480114435091</v>
      </c>
      <c r="G71" s="1">
        <f t="shared" si="28"/>
        <v>142.49015285344791</v>
      </c>
      <c r="H71" s="3">
        <f t="shared" si="29"/>
        <v>1311.4565846304629</v>
      </c>
      <c r="I71" s="3">
        <f t="shared" si="30"/>
        <v>1065.0746790354769</v>
      </c>
      <c r="J71" s="1">
        <f>VLOOKUP((A71+Forudsætninger!$C$60),'Model tilvækst, slagteform, fe'!G:K,2,FALSE)*(1+Forudsætninger!$C$79)</f>
        <v>47.781695671220717</v>
      </c>
      <c r="K71" s="17">
        <f t="shared" si="26"/>
        <v>68.084211197891705</v>
      </c>
      <c r="L71" s="17">
        <f t="shared" si="39"/>
        <v>653.06784584672073</v>
      </c>
      <c r="M71" s="3">
        <f>((K71-(('Model tilvækst, slagteform, fe'!$H$9/100)*'Model tilvækst, slagteform, fe'!$B$9))*1000/(A71+Forudsætninger!$C$60))</f>
        <v>441.08617749521119</v>
      </c>
      <c r="N71" s="17">
        <f t="shared" si="40"/>
        <v>200.69158303544762</v>
      </c>
      <c r="O71" s="19">
        <f>IF( A71&lt;Forudsætninger!$C$14,(G71/100)*Forudsætninger!$C$13,(Forudsætninger!$C$15/1000)*Forudsætninger!$C$13)</f>
        <v>0.92618599354741138</v>
      </c>
      <c r="P71" s="17" cm="1">
        <f t="array" ref="P71">INDEX('Model tilvækst, slagteform, fe'!$N$9:$N$375,MATCH(MIN(ABS('Model tilvækst, slagteform, fe'!$M$9:$M$375-'Vækstfunktion, hol'!G71)),ABS('Model tilvækst, slagteform, fe'!$M$9:$M$375-'Vækstfunktion, hol'!G71),0))*(1+Forudsætninger!$C$80)</f>
        <v>4.2182825904729535</v>
      </c>
      <c r="Q71" s="17">
        <f t="shared" si="41"/>
        <v>6.4591797273433853</v>
      </c>
      <c r="R71" s="17">
        <f t="shared" si="42"/>
        <v>5.580269534531797</v>
      </c>
      <c r="S71" s="17">
        <f t="shared" si="31"/>
        <v>2.7308635952310696</v>
      </c>
      <c r="T71" s="19">
        <f>(P71)*IF(N71&lt;Forudsætninger!$B$228,IF(N71&lt;Forudsætninger!$B$227,Forudsætninger!$B$225,Forudsætninger!$C$9),Forudsætninger!$C$11)+O71</f>
        <v>10.796967255254122</v>
      </c>
      <c r="U71" s="2">
        <f>Forudsætninger!$C$68+((K71-(Forudsætninger!$C$84)))*0.01</f>
        <v>2.3778949709675574</v>
      </c>
      <c r="V71" s="2">
        <f>U71+Forudsætninger!$C$69</f>
        <v>1.3778949709675574</v>
      </c>
      <c r="W71">
        <f t="shared" si="32"/>
        <v>0</v>
      </c>
      <c r="X71">
        <f>IF(A71+Forudsætninger!$C$60&gt;248,IF(A71+Forudsætninger!$C$60&lt;365,IF(K71&gt;180,IF(K71&lt;260,1,0),0),0),0)</f>
        <v>0</v>
      </c>
      <c r="Y71" s="22">
        <f>IF(X71=0,0,IF('Vækstfunktion, hol'!A71&lt;Forudsætninger!$C$66,Forudsætninger!$C$67+(('Vækstfunktion, hol'!A71-Forudsætninger!$C$66)/7)*Forudsætninger!$C$64,Forudsætninger!$C$67))</f>
        <v>0</v>
      </c>
      <c r="Z71" s="19">
        <f t="shared" si="43"/>
        <v>1036.0714883850883</v>
      </c>
      <c r="AA71" s="19">
        <f>Forudsætninger!$C$62+Forudsætninger!$C$16</f>
        <v>1350</v>
      </c>
      <c r="AB71" s="19">
        <f>IF(K71&gt;Forudsætninger!$C$26,IF(K71&gt;Forudsætninger!$C$27,IF(K71&gt;Forudsætninger!$C$28,Forudsætninger!$E$28,Forudsætninger!$E$27+Forudsætninger!$F$28*(K71-Forudsætninger!$C$27)),Forudsætninger!$E$26+Forudsætninger!$F$27*(K71-Forudsætninger!$C$26)),Forudsætninger!$E$26)+IF(K71&gt;Forudsætninger!$C$28,Forudsætninger!$G$28,IF(K71&gt;Forudsætninger!$C$27,Forudsætninger!$G$27+Forudsætninger!$H$28*(K71-Forudsætninger!$C$27),IF(K71&gt;Forudsætninger!$C$26,Forudsætninger!$G$26+Forudsætninger!$H$27*(K71-Forudsætninger!$C$26),Forudsætninger!$G$26)))*(U71-Forudsætninger!$H$26)</f>
        <v>33.133421228225671</v>
      </c>
      <c r="AC71" s="19">
        <f>IF(K71&gt;Forudsætninger!$C$31,IF(K71&gt;Forudsætninger!$C$32,IF(K71&gt;Forudsætninger!$C$33,Forudsætninger!$E$33,Forudsætninger!$E$32+Forudsætninger!$F$33*(K71-Forudsætninger!$C$32)),Forudsætninger!$E$31+Forudsætninger!$F$32*(K71-Forudsætninger!$C$31)),Forudsætninger!$E$31)+IF(K71&gt;Forudsætninger!$C$33,Forudsætninger!$G$33,IF(K71&gt;Forudsætninger!$C$32,Forudsætninger!$G$32+Forudsætninger!$H$33*(K71-Forudsætninger!$C$32),IF(K71&gt;Forudsætninger!$C$31,Forudsætninger!$G$31+Forudsætninger!$H$32*(K71-Forudsætninger!$C$31),Forudsætninger!$G$31)))*(V71-Forudsætninger!$H$31)</f>
        <v>26.191263462257822</v>
      </c>
      <c r="AD71" s="19">
        <f t="shared" si="33"/>
        <v>1783.2115131039859</v>
      </c>
      <c r="AE71" s="19">
        <f t="shared" si="34"/>
        <v>26.191263462257822</v>
      </c>
      <c r="AF71">
        <f>IF(G71&lt;=Forudsætninger!$C$97,Forudsætninger!$C$98,(IF(G71&lt;=Forudsætninger!$D$97,Forudsætninger!$D$98,IF(G71&lt;=Forudsætninger!$E$97,Forudsætninger!$E$98,IF(G71&lt;=Forudsætninger!$F$97,Forudsætninger!$F$98,IF(G71&lt;=Forudsætninger!$G$97,Forudsætninger!$G$98,IF(G71&lt;=Forudsætninger!$H$97,Forudsætninger!$H$98,IF(G71&lt;=Forudsætninger!$I$97,Forudsætninger!$I$98,Forudsætninger!$I$98))))))))</f>
        <v>2.2000000000000002</v>
      </c>
      <c r="AG71" s="1">
        <f t="shared" si="44"/>
        <v>2.2000000000000002</v>
      </c>
      <c r="AH71" s="1">
        <f t="shared" si="48"/>
        <v>151.79999999999998</v>
      </c>
      <c r="AI71" s="1">
        <f t="shared" si="35"/>
        <v>2.1999999999999997</v>
      </c>
      <c r="AJ71" s="20">
        <f>+(W71*Forudsætninger!$C$12)</f>
        <v>0</v>
      </c>
      <c r="AK71" s="20">
        <f>Forudsætninger!$C$17</f>
        <v>250</v>
      </c>
      <c r="AL71" s="20">
        <f>IF(A71&lt;92,Forudsætninger!$C$20,Forudsætninger!$C$21)</f>
        <v>4.0072859744990899</v>
      </c>
      <c r="AM71" s="20">
        <f t="shared" si="45"/>
        <v>276.50273224043741</v>
      </c>
      <c r="AN71" s="20">
        <f>IFERROR(AD71+AJ71-AA71-Z71-AK71-AM71-Forudsætninger!$C$75,-99999999)</f>
        <v>-1311.7569000709343</v>
      </c>
      <c r="AO71" s="19">
        <f>IFERROR(AN71/(A71+Forudsætninger!$C$74),-99999999)</f>
        <v>-19.010969566245425</v>
      </c>
      <c r="AP71" s="19">
        <f>IFERROR(((365/(A71+Forudsætninger!$C$74))*AN71)/(AI71+Forudsætninger!$C$73),-9999999)</f>
        <v>-3003.8977886058792</v>
      </c>
      <c r="AQ71" s="18">
        <f t="shared" si="36"/>
        <v>69</v>
      </c>
      <c r="AR71" s="18">
        <f t="shared" si="46"/>
        <v>2912.5742206255259</v>
      </c>
      <c r="AS71" s="52">
        <f t="shared" si="27"/>
        <v>3.6</v>
      </c>
      <c r="AT71" s="50">
        <f t="shared" si="49"/>
        <v>2.8729012294618315</v>
      </c>
      <c r="AU71" s="50">
        <f t="shared" si="50"/>
        <v>0.32182162934863712</v>
      </c>
      <c r="AV71" s="2">
        <f t="shared" si="51"/>
        <v>50.850603771537408</v>
      </c>
      <c r="AW71" s="61">
        <f t="shared" si="47"/>
        <v>-15.003683591746332</v>
      </c>
      <c r="BA71" s="16"/>
      <c r="BB71" s="2"/>
    </row>
    <row r="72" spans="1:54" x14ac:dyDescent="0.25">
      <c r="A72">
        <v>70</v>
      </c>
      <c r="B72" s="1">
        <f>ROUND((A72+Forudsætninger!$C$60)/30.4,1)</f>
        <v>3.6</v>
      </c>
      <c r="C72" s="1">
        <f>VLOOKUP((A72+Forudsætninger!$C$60),'Model tilvækst, slagteform, fe'!A:B,2,FALSE)</f>
        <v>148.11127673676378</v>
      </c>
      <c r="D72" s="3">
        <f t="shared" si="37"/>
        <v>1460.3037883719594</v>
      </c>
      <c r="E72" s="1">
        <f>(1+Forudsætninger!$C$78)*C72</f>
        <v>137.7434873651903</v>
      </c>
      <c r="F72" s="2">
        <f t="shared" si="38"/>
        <v>6.063025046061453</v>
      </c>
      <c r="G72" s="1">
        <f t="shared" si="28"/>
        <v>143.80651241125176</v>
      </c>
      <c r="H72" s="3">
        <f t="shared" si="29"/>
        <v>1316.3595578038496</v>
      </c>
      <c r="I72" s="3">
        <f t="shared" si="30"/>
        <v>1068.6644630178823</v>
      </c>
      <c r="J72" s="1">
        <f>VLOOKUP((A72+Forudsætninger!$C$60),'Model tilvækst, slagteform, fe'!G:K,2,FALSE)*(1+Forudsætninger!$C$79)</f>
        <v>47.800407862729308</v>
      </c>
      <c r="K72" s="17">
        <f t="shared" si="26"/>
        <v>68.740099465744791</v>
      </c>
      <c r="L72" s="17">
        <f t="shared" si="39"/>
        <v>655.8882678530864</v>
      </c>
      <c r="M72" s="3">
        <f>((K72-(('Model tilvækst, slagteform, fe'!$H$9/100)*'Model tilvækst, slagteform, fe'!$B$9))*1000/(A72+Forudsætninger!$C$60))</f>
        <v>443.05683887464124</v>
      </c>
      <c r="N72" s="17">
        <f t="shared" si="40"/>
        <v>204.94744160478882</v>
      </c>
      <c r="O72" s="19">
        <f>IF( A72&lt;Forudsætninger!$C$14,(G72/100)*Forudsætninger!$C$13,(Forudsætninger!$C$15/1000)*Forudsætninger!$C$13)</f>
        <v>0.93474233067313639</v>
      </c>
      <c r="P72" s="17" cm="1">
        <f t="array" ref="P72">INDEX('Model tilvækst, slagteform, fe'!$N$9:$N$375,MATCH(MIN(ABS('Model tilvækst, slagteform, fe'!$M$9:$M$375-'Vækstfunktion, hol'!G72)),ABS('Model tilvækst, slagteform, fe'!$M$9:$M$375-'Vækstfunktion, hol'!G72),0))*(1+Forudsætninger!$C$80)</f>
        <v>4.2558585693411928</v>
      </c>
      <c r="Q72" s="17">
        <f t="shared" si="41"/>
        <v>6.4886944589996389</v>
      </c>
      <c r="R72" s="17">
        <f t="shared" si="42"/>
        <v>5.5965398511107267</v>
      </c>
      <c r="S72" s="17">
        <f t="shared" si="31"/>
        <v>2.7397005287197747</v>
      </c>
      <c r="T72" s="19">
        <f>(P72)*IF(N72&lt;Forudsætninger!$B$228,IF(N72&lt;Forudsætninger!$B$227,Forudsætninger!$B$225,Forudsætninger!$C$9),Forudsætninger!$C$11)+O72</f>
        <v>10.893451382931527</v>
      </c>
      <c r="U72" s="2">
        <f>Forudsætninger!$C$68+((K72-(Forudsætninger!$C$84)))*0.01</f>
        <v>2.3844538536460886</v>
      </c>
      <c r="V72" s="2">
        <f>U72+Forudsætninger!$C$69</f>
        <v>1.3844538536460886</v>
      </c>
      <c r="W72">
        <f t="shared" si="32"/>
        <v>0</v>
      </c>
      <c r="X72">
        <f>IF(A72+Forudsætninger!$C$60&gt;248,IF(A72+Forudsætninger!$C$60&lt;365,IF(K72&gt;180,IF(K72&lt;260,1,0),0),0),0)</f>
        <v>0</v>
      </c>
      <c r="Y72" s="22">
        <f>IF(X72=0,0,IF('Vækstfunktion, hol'!A72&lt;Forudsætninger!$C$66,Forudsætninger!$C$67+(('Vækstfunktion, hol'!A72-Forudsætninger!$C$66)/7)*Forudsætninger!$C$64,Forudsætninger!$C$67))</f>
        <v>0</v>
      </c>
      <c r="Z72" s="19">
        <f t="shared" si="43"/>
        <v>1046.9649397680198</v>
      </c>
      <c r="AA72" s="19">
        <f>Forudsætninger!$C$62+Forudsætninger!$C$16</f>
        <v>1350</v>
      </c>
      <c r="AB72" s="19">
        <f>IF(K72&gt;Forudsætninger!$C$26,IF(K72&gt;Forudsætninger!$C$27,IF(K72&gt;Forudsætninger!$C$28,Forudsætninger!$E$28,Forudsætninger!$E$27+Forudsætninger!$F$28*(K72-Forudsætninger!$C$27)),Forudsætninger!$E$26+Forudsætninger!$F$27*(K72-Forudsætninger!$C$26)),Forudsætninger!$E$26)+IF(K72&gt;Forudsætninger!$C$28,Forudsætninger!$G$28,IF(K72&gt;Forudsætninger!$C$27,Forudsætninger!$G$27+Forudsætninger!$H$28*(K72-Forudsætninger!$C$27),IF(K72&gt;Forudsætninger!$C$26,Forudsætninger!$G$26+Forudsætninger!$H$27*(K72-Forudsætninger!$C$26),Forudsætninger!$G$26)))*(U72-Forudsætninger!$H$26)</f>
        <v>33.138340390234568</v>
      </c>
      <c r="AC72" s="19">
        <f>IF(K72&gt;Forudsætninger!$C$31,IF(K72&gt;Forudsætninger!$C$32,IF(K72&gt;Forudsætninger!$C$33,Forudsætninger!$E$33,Forudsætninger!$E$32+Forudsætninger!$F$33*(K72-Forudsætninger!$C$32)),Forudsætninger!$E$31+Forudsætninger!$F$32*(K72-Forudsætninger!$C$31)),Forudsætninger!$E$31)+IF(K72&gt;Forudsætninger!$C$33,Forudsætninger!$G$33,IF(K72&gt;Forudsætninger!$C$32,Forudsætninger!$G$32+Forudsætninger!$H$33*(K72-Forudsætninger!$C$32),IF(K72&gt;Forudsætninger!$C$31,Forudsætninger!$G$31+Forudsætninger!$H$32*(K72-Forudsætninger!$C$31),Forudsætninger!$G$31)))*(V72-Forudsætninger!$H$31)</f>
        <v>26.199790009739914</v>
      </c>
      <c r="AD72" s="19">
        <f t="shared" si="33"/>
        <v>1800.9761712511483</v>
      </c>
      <c r="AE72" s="19">
        <f t="shared" si="34"/>
        <v>26.199790009739914</v>
      </c>
      <c r="AF72">
        <f>IF(G72&lt;=Forudsætninger!$C$97,Forudsætninger!$C$98,(IF(G72&lt;=Forudsætninger!$D$97,Forudsætninger!$D$98,IF(G72&lt;=Forudsætninger!$E$97,Forudsætninger!$E$98,IF(G72&lt;=Forudsætninger!$F$97,Forudsætninger!$F$98,IF(G72&lt;=Forudsætninger!$G$97,Forudsætninger!$G$98,IF(G72&lt;=Forudsætninger!$H$97,Forudsætninger!$H$98,IF(G72&lt;=Forudsætninger!$I$97,Forudsætninger!$I$98,Forudsætninger!$I$98))))))))</f>
        <v>2.2000000000000002</v>
      </c>
      <c r="AG72" s="1">
        <f t="shared" si="44"/>
        <v>2.2000000000000002</v>
      </c>
      <c r="AH72" s="1">
        <f t="shared" si="48"/>
        <v>153.99999999999997</v>
      </c>
      <c r="AI72" s="1">
        <f t="shared" si="35"/>
        <v>2.1999999999999997</v>
      </c>
      <c r="AJ72" s="20">
        <f>+(W72*Forudsætninger!$C$12)</f>
        <v>0</v>
      </c>
      <c r="AK72" s="20">
        <f>Forudsætninger!$C$17</f>
        <v>250</v>
      </c>
      <c r="AL72" s="20">
        <f>IF(A72&lt;92,Forudsætninger!$C$20,Forudsætninger!$C$21)</f>
        <v>4.0072859744990899</v>
      </c>
      <c r="AM72" s="20">
        <f t="shared" si="45"/>
        <v>280.51001821493651</v>
      </c>
      <c r="AN72" s="20">
        <f>IFERROR(AD72+AJ72-AA72-Z72-AK72-AM72-Forudsætninger!$C$75,-99999999)</f>
        <v>-1308.8929792812025</v>
      </c>
      <c r="AO72" s="19">
        <f>IFERROR(AN72/(A72+Forudsætninger!$C$74),-99999999)</f>
        <v>-18.698471132588608</v>
      </c>
      <c r="AP72" s="19">
        <f>IFERROR(((365/(A72+Forudsætninger!$C$74))*AN72)/(AI72+Forudsætninger!$C$73),-9999999)</f>
        <v>-2954.520330473958</v>
      </c>
      <c r="AQ72" s="18">
        <f t="shared" si="36"/>
        <v>70</v>
      </c>
      <c r="AR72" s="18">
        <f t="shared" si="46"/>
        <v>2927.4749579829559</v>
      </c>
      <c r="AS72" s="52">
        <f t="shared" si="27"/>
        <v>3.6</v>
      </c>
      <c r="AT72" s="50">
        <f t="shared" si="49"/>
        <v>2.8639207897317647</v>
      </c>
      <c r="AU72" s="50">
        <f t="shared" si="50"/>
        <v>0.31249843365681684</v>
      </c>
      <c r="AV72" s="2">
        <f t="shared" si="51"/>
        <v>49.37745813192123</v>
      </c>
      <c r="AW72" s="61">
        <f t="shared" si="47"/>
        <v>-14.691185158089516</v>
      </c>
      <c r="BA72" s="16"/>
      <c r="BB72" s="2"/>
    </row>
    <row r="73" spans="1:54" x14ac:dyDescent="0.25">
      <c r="A73">
        <v>71</v>
      </c>
      <c r="B73" s="1">
        <f>ROUND((A73+Forudsætninger!$C$60)/30.4,1)</f>
        <v>3.6</v>
      </c>
      <c r="C73" s="1">
        <f>VLOOKUP((A73+Forudsætninger!$C$60),'Model tilvækst, slagteform, fe'!A:B,2,FALSE)</f>
        <v>149.57691770333258</v>
      </c>
      <c r="D73" s="3">
        <f t="shared" si="37"/>
        <v>1465.6409665687988</v>
      </c>
      <c r="E73" s="1">
        <f>(1+Forudsætninger!$C$78)*C73</f>
        <v>139.1065334640993</v>
      </c>
      <c r="F73" s="2">
        <f t="shared" si="38"/>
        <v>6.0211495898737732</v>
      </c>
      <c r="G73" s="1">
        <f t="shared" si="28"/>
        <v>145.12768305397307</v>
      </c>
      <c r="H73" s="3">
        <f t="shared" si="29"/>
        <v>1321.170642721313</v>
      </c>
      <c r="I73" s="3">
        <f t="shared" si="30"/>
        <v>1072.2208880841279</v>
      </c>
      <c r="J73" s="1">
        <f>VLOOKUP((A73+Forudsætninger!$C$60),'Model tilvækst, slagteform, fe'!G:K,2,FALSE)*(1+Forudsætninger!$C$79)</f>
        <v>47.819108445285174</v>
      </c>
      <c r="K73" s="17">
        <f t="shared" si="26"/>
        <v>69.398764143709144</v>
      </c>
      <c r="L73" s="17">
        <f t="shared" si="39"/>
        <v>658.66467796435302</v>
      </c>
      <c r="M73" s="3">
        <f>((K73-(('Model tilvækst, slagteform, fe'!$H$9/100)*'Model tilvækst, slagteform, fe'!$B$9))*1000/(A73+Forudsætninger!$C$60))</f>
        <v>445.01691013909323</v>
      </c>
      <c r="N73" s="17">
        <f t="shared" si="40"/>
        <v>209.24077414605716</v>
      </c>
      <c r="O73" s="19">
        <f>IF( A73&lt;Forudsætninger!$C$14,(G73/100)*Forudsætninger!$C$13,(Forudsætninger!$C$15/1000)*Forudsætninger!$C$13)</f>
        <v>0.94332993985082503</v>
      </c>
      <c r="P73" s="17" cm="1">
        <f t="array" ref="P73">INDEX('Model tilvækst, slagteform, fe'!$N$9:$N$375,MATCH(MIN(ABS('Model tilvækst, slagteform, fe'!$M$9:$M$375-'Vækstfunktion, hol'!G73)),ABS('Model tilvækst, slagteform, fe'!$M$9:$M$375-'Vækstfunktion, hol'!G73),0))*(1+Forudsætninger!$C$80)</f>
        <v>4.2933325412683541</v>
      </c>
      <c r="Q73" s="17">
        <f t="shared" si="41"/>
        <v>6.5182371013687632</v>
      </c>
      <c r="R73" s="17">
        <f t="shared" si="42"/>
        <v>5.6128248539415662</v>
      </c>
      <c r="S73" s="17">
        <f t="shared" si="31"/>
        <v>2.7485504057401755</v>
      </c>
      <c r="T73" s="19">
        <f>(P73)*IF(N73&lt;Forudsætninger!$B$228,IF(N73&lt;Forudsætninger!$B$227,Forudsætninger!$B$225,Forudsætninger!$C$9),Forudsætninger!$C$11)+O73</f>
        <v>10.989728086418772</v>
      </c>
      <c r="U73" s="2">
        <f>Forudsætninger!$C$68+((K73-(Forudsætninger!$C$84)))*0.01</f>
        <v>2.3910405004257318</v>
      </c>
      <c r="V73" s="2">
        <f>U73+Forudsætninger!$C$69</f>
        <v>1.3910405004257318</v>
      </c>
      <c r="W73">
        <f t="shared" si="32"/>
        <v>0</v>
      </c>
      <c r="X73">
        <f>IF(A73+Forudsætninger!$C$60&gt;248,IF(A73+Forudsætninger!$C$60&lt;365,IF(K73&gt;180,IF(K73&lt;260,1,0),0),0),0)</f>
        <v>0</v>
      </c>
      <c r="Y73" s="22">
        <f>IF(X73=0,0,IF('Vækstfunktion, hol'!A73&lt;Forudsætninger!$C$66,Forudsætninger!$C$67+(('Vækstfunktion, hol'!A73-Forudsætninger!$C$66)/7)*Forudsætninger!$C$64,Forudsætninger!$C$67))</f>
        <v>0</v>
      </c>
      <c r="Z73" s="19">
        <f t="shared" si="43"/>
        <v>1057.9546678544386</v>
      </c>
      <c r="AA73" s="19">
        <f>Forudsætninger!$C$62+Forudsætninger!$C$16</f>
        <v>1350</v>
      </c>
      <c r="AB73" s="19">
        <f>IF(K73&gt;Forudsætninger!$C$26,IF(K73&gt;Forudsætninger!$C$27,IF(K73&gt;Forudsætninger!$C$28,Forudsætninger!$E$28,Forudsætninger!$E$27+Forudsætninger!$F$28*(K73-Forudsætninger!$C$27)),Forudsætninger!$E$26+Forudsætninger!$F$27*(K73-Forudsætninger!$C$26)),Forudsætninger!$E$26)+IF(K73&gt;Forudsætninger!$C$28,Forudsætninger!$G$28,IF(K73&gt;Forudsætninger!$C$27,Forudsætninger!$G$27+Forudsætninger!$H$28*(K73-Forudsætninger!$C$27),IF(K73&gt;Forudsætninger!$C$26,Forudsætninger!$G$26+Forudsætninger!$H$27*(K73-Forudsætninger!$C$26),Forudsætninger!$G$26)))*(U73-Forudsætninger!$H$26)</f>
        <v>33.1432803753193</v>
      </c>
      <c r="AC73" s="19">
        <f>IF(K73&gt;Forudsætninger!$C$31,IF(K73&gt;Forudsætninger!$C$32,IF(K73&gt;Forudsætninger!$C$33,Forudsætninger!$E$33,Forudsætninger!$E$32+Forudsætninger!$F$33*(K73-Forudsætninger!$C$32)),Forudsætninger!$E$31+Forudsætninger!$F$32*(K73-Forudsætninger!$C$31)),Forudsætninger!$E$31)+IF(K73&gt;Forudsætninger!$C$33,Forudsætninger!$G$33,IF(K73&gt;Forudsætninger!$C$32,Forudsætninger!$G$32+Forudsætninger!$H$33*(K73-Forudsætninger!$C$32),IF(K73&gt;Forudsætninger!$C$31,Forudsætninger!$G$31+Forudsætninger!$H$32*(K73-Forudsætninger!$C$31),Forudsætninger!$G$31)))*(V73-Forudsætninger!$H$31)</f>
        <v>26.208352650553451</v>
      </c>
      <c r="AD73" s="19">
        <f t="shared" si="33"/>
        <v>1818.8272841909134</v>
      </c>
      <c r="AE73" s="19">
        <f t="shared" si="34"/>
        <v>26.208352650553451</v>
      </c>
      <c r="AF73">
        <f>IF(G73&lt;=Forudsætninger!$C$97,Forudsætninger!$C$98,(IF(G73&lt;=Forudsætninger!$D$97,Forudsætninger!$D$98,IF(G73&lt;=Forudsætninger!$E$97,Forudsætninger!$E$98,IF(G73&lt;=Forudsætninger!$F$97,Forudsætninger!$F$98,IF(G73&lt;=Forudsætninger!$G$97,Forudsætninger!$G$98,IF(G73&lt;=Forudsætninger!$H$97,Forudsætninger!$H$98,IF(G73&lt;=Forudsætninger!$I$97,Forudsætninger!$I$98,Forudsætninger!$I$98))))))))</f>
        <v>2.2000000000000002</v>
      </c>
      <c r="AG73" s="1">
        <f t="shared" si="44"/>
        <v>2.2000000000000002</v>
      </c>
      <c r="AH73" s="1">
        <f t="shared" si="48"/>
        <v>156.19999999999996</v>
      </c>
      <c r="AI73" s="1">
        <f t="shared" si="35"/>
        <v>2.1999999999999993</v>
      </c>
      <c r="AJ73" s="20">
        <f>+(W73*Forudsætninger!$C$12)</f>
        <v>0</v>
      </c>
      <c r="AK73" s="20">
        <f>Forudsætninger!$C$17</f>
        <v>250</v>
      </c>
      <c r="AL73" s="20">
        <f>IF(A73&lt;92,Forudsætninger!$C$20,Forudsætninger!$C$21)</f>
        <v>4.0072859744990899</v>
      </c>
      <c r="AM73" s="20">
        <f t="shared" si="45"/>
        <v>284.51730418943561</v>
      </c>
      <c r="AN73" s="20">
        <f>IFERROR(AD73+AJ73-AA73-Z73-AK73-AM73-Forudsætninger!$C$75,-99999999)</f>
        <v>-1306.0388804023555</v>
      </c>
      <c r="AO73" s="19">
        <f>IFERROR(AN73/(A73+Forudsætninger!$C$74),-99999999)</f>
        <v>-18.394913808483881</v>
      </c>
      <c r="AP73" s="19">
        <f>IFERROR(((365/(A73+Forudsætninger!$C$74))*AN73)/(AI73+Forudsætninger!$C$73),-9999999)</f>
        <v>-2906.5556450634713</v>
      </c>
      <c r="AQ73" s="18">
        <f t="shared" si="36"/>
        <v>71</v>
      </c>
      <c r="AR73" s="18">
        <f t="shared" si="46"/>
        <v>2942.4719720438738</v>
      </c>
      <c r="AS73" s="52">
        <f t="shared" si="27"/>
        <v>3.6</v>
      </c>
      <c r="AT73" s="50">
        <f t="shared" si="49"/>
        <v>2.8540988788470258</v>
      </c>
      <c r="AU73" s="50">
        <f t="shared" si="50"/>
        <v>0.30355732410472669</v>
      </c>
      <c r="AV73" s="2">
        <f t="shared" si="51"/>
        <v>47.964685410486709</v>
      </c>
      <c r="AW73" s="61">
        <f t="shared" si="47"/>
        <v>-14.387627833984787</v>
      </c>
      <c r="BA73" s="16"/>
      <c r="BB73" s="2"/>
    </row>
    <row r="74" spans="1:54" x14ac:dyDescent="0.25">
      <c r="A74">
        <v>72</v>
      </c>
      <c r="B74" s="1">
        <f>ROUND((A74+Forudsætninger!$C$60)/30.4,1)</f>
        <v>3.7</v>
      </c>
      <c r="C74" s="1">
        <f>VLOOKUP((A74+Forudsætninger!$C$60),'Model tilvækst, slagteform, fe'!A:B,2,FALSE)</f>
        <v>151.04779444618705</v>
      </c>
      <c r="D74" s="3">
        <f t="shared" si="37"/>
        <v>1470.8767428544718</v>
      </c>
      <c r="E74" s="1">
        <f>(1+Forudsætninger!$C$78)*C74</f>
        <v>140.47444883495396</v>
      </c>
      <c r="F74" s="2">
        <f t="shared" si="38"/>
        <v>5.9791245400779314</v>
      </c>
      <c r="G74" s="1">
        <f t="shared" si="28"/>
        <v>146.45357337503188</v>
      </c>
      <c r="H74" s="3">
        <f t="shared" si="29"/>
        <v>1325.8903210588073</v>
      </c>
      <c r="I74" s="3">
        <f t="shared" si="30"/>
        <v>1075.7440746532204</v>
      </c>
      <c r="J74" s="1">
        <f>VLOOKUP((A74+Forudsætninger!$C$60),'Model tilvækst, slagteform, fe'!G:K,2,FALSE)*(1+Forudsætninger!$C$79)</f>
        <v>47.837795743235425</v>
      </c>
      <c r="K74" s="17">
        <f t="shared" si="26"/>
        <v>70.060161289817174</v>
      </c>
      <c r="L74" s="17">
        <f t="shared" si="39"/>
        <v>661.39714610802969</v>
      </c>
      <c r="M74" s="3">
        <f>((K74-(('Model tilvækst, slagteform, fe'!$H$9/100)*'Model tilvækst, slagteform, fe'!$B$9))*1000/(A74+Forudsætninger!$C$60))</f>
        <v>446.96628163430887</v>
      </c>
      <c r="N74" s="17">
        <f t="shared" si="40"/>
        <v>213.57147362132895</v>
      </c>
      <c r="O74" s="19">
        <f>IF( A74&lt;Forudsætninger!$C$14,(G74/100)*Forudsætninger!$C$13,(Forudsætninger!$C$15/1000)*Forudsætninger!$C$13)</f>
        <v>0.95194822693770731</v>
      </c>
      <c r="P74" s="17" cm="1">
        <f t="array" ref="P74">INDEX('Model tilvækst, slagteform, fe'!$N$9:$N$375,MATCH(MIN(ABS('Model tilvækst, slagteform, fe'!$M$9:$M$375-'Vækstfunktion, hol'!G74)),ABS('Model tilvækst, slagteform, fe'!$M$9:$M$375-'Vækstfunktion, hol'!G74),0))*(1+Forudsætninger!$C$80)</f>
        <v>4.3306994752717989</v>
      </c>
      <c r="Q74" s="17">
        <f t="shared" si="41"/>
        <v>6.5478049017230591</v>
      </c>
      <c r="R74" s="17">
        <f t="shared" si="42"/>
        <v>5.629123901371317</v>
      </c>
      <c r="S74" s="17">
        <f t="shared" si="31"/>
        <v>2.7574127869764156</v>
      </c>
      <c r="T74" s="19">
        <f>(P74)*IF(N74&lt;Forudsætninger!$B$228,IF(N74&lt;Forudsætninger!$B$227,Forudsætninger!$B$225,Forudsætninger!$C$9),Forudsætninger!$C$11)+O74</f>
        <v>11.085784999073717</v>
      </c>
      <c r="U74" s="2">
        <f>Forudsætninger!$C$68+((K74-(Forudsætninger!$C$84)))*0.01</f>
        <v>2.3976544718868116</v>
      </c>
      <c r="V74" s="2">
        <f>U74+Forudsætninger!$C$69</f>
        <v>1.3976544718868116</v>
      </c>
      <c r="W74">
        <f t="shared" si="32"/>
        <v>0</v>
      </c>
      <c r="X74">
        <f>IF(A74+Forudsætninger!$C$60&gt;248,IF(A74+Forudsætninger!$C$60&lt;365,IF(K74&gt;180,IF(K74&lt;260,1,0),0),0),0)</f>
        <v>0</v>
      </c>
      <c r="Y74" s="22">
        <f>IF(X74=0,0,IF('Vækstfunktion, hol'!A74&lt;Forudsætninger!$C$66,Forudsætninger!$C$67+(('Vækstfunktion, hol'!A74-Forudsætninger!$C$66)/7)*Forudsætninger!$C$64,Forudsætninger!$C$67))</f>
        <v>0</v>
      </c>
      <c r="Z74" s="19">
        <f t="shared" si="43"/>
        <v>1069.0404528535123</v>
      </c>
      <c r="AA74" s="19">
        <f>Forudsætninger!$C$62+Forudsætninger!$C$16</f>
        <v>1350</v>
      </c>
      <c r="AB74" s="19">
        <f>IF(K74&gt;Forudsætninger!$C$26,IF(K74&gt;Forudsætninger!$C$27,IF(K74&gt;Forudsætninger!$C$28,Forudsætninger!$E$28,Forudsætninger!$E$27+Forudsætninger!$F$28*(K74-Forudsætninger!$C$27)),Forudsætninger!$E$26+Forudsætninger!$F$27*(K74-Forudsætninger!$C$26)),Forudsætninger!$E$26)+IF(K74&gt;Forudsætninger!$C$28,Forudsætninger!$G$28,IF(K74&gt;Forudsætninger!$C$27,Forudsætninger!$G$27+Forudsætninger!$H$28*(K74-Forudsætninger!$C$27),IF(K74&gt;Forudsætninger!$C$26,Forudsætninger!$G$26+Forudsætninger!$H$27*(K74-Forudsætninger!$C$26),Forudsætninger!$G$26)))*(U74-Forudsætninger!$H$26)</f>
        <v>33.148240853915112</v>
      </c>
      <c r="AC74" s="19">
        <f>IF(K74&gt;Forudsætninger!$C$31,IF(K74&gt;Forudsætninger!$C$32,IF(K74&gt;Forudsætninger!$C$33,Forudsætninger!$E$33,Forudsætninger!$E$32+Forudsætninger!$F$33*(K74-Forudsætninger!$C$32)),Forudsætninger!$E$31+Forudsætninger!$F$32*(K74-Forudsætninger!$C$31)),Forudsætninger!$E$31)+IF(K74&gt;Forudsætninger!$C$33,Forudsætninger!$G$33,IF(K74&gt;Forudsætninger!$C$32,Forudsætninger!$G$32+Forudsætninger!$H$33*(K74-Forudsætninger!$C$32),IF(K74&gt;Forudsætninger!$C$31,Forudsætninger!$G$31+Forudsætninger!$H$32*(K74-Forudsætninger!$C$31),Forudsætninger!$G$31)))*(V74-Forudsætninger!$H$31)</f>
        <v>26.216950813452854</v>
      </c>
      <c r="AD74" s="19">
        <f t="shared" si="33"/>
        <v>1836.7638025177105</v>
      </c>
      <c r="AE74" s="19">
        <f t="shared" si="34"/>
        <v>26.216950813452854</v>
      </c>
      <c r="AF74">
        <f>IF(G74&lt;=Forudsætninger!$C$97,Forudsætninger!$C$98,(IF(G74&lt;=Forudsætninger!$D$97,Forudsætninger!$D$98,IF(G74&lt;=Forudsætninger!$E$97,Forudsætninger!$E$98,IF(G74&lt;=Forudsætninger!$F$97,Forudsætninger!$F$98,IF(G74&lt;=Forudsætninger!$G$97,Forudsætninger!$G$98,IF(G74&lt;=Forudsætninger!$H$97,Forudsætninger!$H$98,IF(G74&lt;=Forudsætninger!$I$97,Forudsætninger!$I$98,Forudsætninger!$I$98))))))))</f>
        <v>2.2000000000000002</v>
      </c>
      <c r="AG74" s="1">
        <f t="shared" si="44"/>
        <v>2.2000000000000002</v>
      </c>
      <c r="AH74" s="1">
        <f t="shared" si="48"/>
        <v>158.39999999999995</v>
      </c>
      <c r="AI74" s="1">
        <f t="shared" si="35"/>
        <v>2.1999999999999993</v>
      </c>
      <c r="AJ74" s="20">
        <f>+(W74*Forudsætninger!$C$12)</f>
        <v>0</v>
      </c>
      <c r="AK74" s="20">
        <f>Forudsætninger!$C$17</f>
        <v>250</v>
      </c>
      <c r="AL74" s="20">
        <f>IF(A74&lt;92,Forudsætninger!$C$20,Forudsætninger!$C$21)</f>
        <v>4.0072859744990899</v>
      </c>
      <c r="AM74" s="20">
        <f t="shared" si="45"/>
        <v>288.5245901639347</v>
      </c>
      <c r="AN74" s="20">
        <f>IFERROR(AD74+AJ74-AA74-Z74-AK74-AM74-Forudsætninger!$C$75,-99999999)</f>
        <v>-1303.1954330491312</v>
      </c>
      <c r="AO74" s="19">
        <f>IFERROR(AN74/(A74+Forudsætninger!$C$74),-99999999)</f>
        <v>-18.099936570126822</v>
      </c>
      <c r="AP74" s="19">
        <f>IFERROR(((365/(A74+Forudsætninger!$C$74))*AN74)/(AI74+Forudsætninger!$C$73),-9999999)</f>
        <v>-2859.9466874875725</v>
      </c>
      <c r="AQ74" s="18">
        <f t="shared" si="36"/>
        <v>72</v>
      </c>
      <c r="AR74" s="18">
        <f t="shared" si="46"/>
        <v>2957.5650430174469</v>
      </c>
      <c r="AS74" s="52">
        <f t="shared" si="27"/>
        <v>3.7</v>
      </c>
      <c r="AT74" s="50">
        <f t="shared" si="49"/>
        <v>2.8434473532242919</v>
      </c>
      <c r="AU74" s="50">
        <f t="shared" si="50"/>
        <v>0.29497723835705969</v>
      </c>
      <c r="AV74" s="2">
        <f t="shared" si="51"/>
        <v>46.608957575898785</v>
      </c>
      <c r="AW74" s="61">
        <f t="shared" si="47"/>
        <v>-14.092650595627729</v>
      </c>
      <c r="BA74" s="16"/>
      <c r="BB74" s="2"/>
    </row>
    <row r="75" spans="1:54" x14ac:dyDescent="0.25">
      <c r="A75">
        <v>73</v>
      </c>
      <c r="B75" s="1">
        <f>ROUND((A75+Forudsætninger!$C$60)/30.4,1)</f>
        <v>3.7</v>
      </c>
      <c r="C75" s="1">
        <f>VLOOKUP((A75+Forudsætninger!$C$60),'Model tilvækst, slagteform, fe'!A:B,2,FALSE)</f>
        <v>152.5238060977635</v>
      </c>
      <c r="D75" s="3">
        <f t="shared" si="37"/>
        <v>1476.0116515764423</v>
      </c>
      <c r="E75" s="1">
        <f>(1+Forudsætninger!$C$78)*C75</f>
        <v>141.84713967092003</v>
      </c>
      <c r="F75" s="2">
        <f t="shared" si="38"/>
        <v>5.9369527786043186</v>
      </c>
      <c r="G75" s="1">
        <f t="shared" si="28"/>
        <v>147.78409244952434</v>
      </c>
      <c r="H75" s="3">
        <f t="shared" si="29"/>
        <v>1330.5190744924573</v>
      </c>
      <c r="I75" s="3">
        <f t="shared" si="30"/>
        <v>1079.2341431441689</v>
      </c>
      <c r="J75" s="1">
        <f>VLOOKUP((A75+Forudsætninger!$C$60),'Model tilvækst, slagteform, fe'!G:K,2,FALSE)*(1+Forudsætninger!$C$79)</f>
        <v>47.856468080927243</v>
      </c>
      <c r="K75" s="17">
        <f t="shared" si="26"/>
        <v>70.724247031794619</v>
      </c>
      <c r="L75" s="17">
        <f t="shared" si="39"/>
        <v>664.08574197744485</v>
      </c>
      <c r="M75" s="3">
        <f>((K75-(('Model tilvækst, slagteform, fe'!$H$9/100)*'Model tilvækst, slagteform, fe'!$B$9))*1000/(A75+Forudsætninger!$C$60))</f>
        <v>448.90484824451539</v>
      </c>
      <c r="N75" s="17">
        <f t="shared" si="40"/>
        <v>217.93942796169785</v>
      </c>
      <c r="O75" s="19">
        <f>IF( A75&lt;Forudsætninger!$C$14,(G75/100)*Forudsætninger!$C$13,(Forudsætninger!$C$15/1000)*Forudsætninger!$C$13)</f>
        <v>0.96059660092190813</v>
      </c>
      <c r="P75" s="17" cm="1">
        <f t="array" ref="P75">INDEX('Model tilvækst, slagteform, fe'!$N$9:$N$375,MATCH(MIN(ABS('Model tilvækst, slagteform, fe'!$M$9:$M$375-'Vækstfunktion, hol'!G75)),ABS('Model tilvækst, slagteform, fe'!$M$9:$M$375-'Vækstfunktion, hol'!G75),0))*(1+Forudsætninger!$C$80)</f>
        <v>4.3679543403688887</v>
      </c>
      <c r="Q75" s="17">
        <f t="shared" si="41"/>
        <v>6.5773951528645274</v>
      </c>
      <c r="R75" s="17">
        <f t="shared" si="42"/>
        <v>5.6454363233283225</v>
      </c>
      <c r="S75" s="17">
        <f t="shared" si="31"/>
        <v>2.7662872184677134</v>
      </c>
      <c r="T75" s="19">
        <f>(P75)*IF(N75&lt;Forudsætninger!$B$228,IF(N75&lt;Forudsætninger!$B$227,Forudsætninger!$B$225,Forudsætninger!$C$9),Forudsætninger!$C$11)+O75</f>
        <v>11.181609757385107</v>
      </c>
      <c r="U75" s="2">
        <f>Forudsætninger!$C$68+((K75-(Forudsætninger!$C$84)))*0.01</f>
        <v>2.4042953293065867</v>
      </c>
      <c r="V75" s="2">
        <f>U75+Forudsætninger!$C$69</f>
        <v>1.4042953293065867</v>
      </c>
      <c r="W75">
        <f t="shared" si="32"/>
        <v>0</v>
      </c>
      <c r="X75">
        <f>IF(A75+Forudsætninger!$C$60&gt;248,IF(A75+Forudsætninger!$C$60&lt;365,IF(K75&gt;180,IF(K75&lt;260,1,0),0),0),0)</f>
        <v>0</v>
      </c>
      <c r="Y75" s="22">
        <f>IF(X75=0,0,IF('Vækstfunktion, hol'!A75&lt;Forudsætninger!$C$66,Forudsætninger!$C$67+(('Vækstfunktion, hol'!A75-Forudsætninger!$C$66)/7)*Forudsætninger!$C$64,Forudsætninger!$C$67))</f>
        <v>0</v>
      </c>
      <c r="Z75" s="19">
        <f t="shared" si="43"/>
        <v>1080.2220626108974</v>
      </c>
      <c r="AA75" s="19">
        <f>Forudsætninger!$C$62+Forudsætninger!$C$16</f>
        <v>1350</v>
      </c>
      <c r="AB75" s="19">
        <f>IF(K75&gt;Forudsætninger!$C$26,IF(K75&gt;Forudsætninger!$C$27,IF(K75&gt;Forudsætninger!$C$28,Forudsætninger!$E$28,Forudsætninger!$E$27+Forudsætninger!$F$28*(K75-Forudsætninger!$C$27)),Forudsætninger!$E$26+Forudsætninger!$F$27*(K75-Forudsætninger!$C$26)),Forudsætninger!$E$26)+IF(K75&gt;Forudsætninger!$C$28,Forudsætninger!$G$28,IF(K75&gt;Forudsætninger!$C$27,Forudsætninger!$G$27+Forudsætninger!$H$28*(K75-Forudsætninger!$C$27),IF(K75&gt;Forudsætninger!$C$26,Forudsætninger!$G$26+Forudsætninger!$H$27*(K75-Forudsætninger!$C$26),Forudsætninger!$G$26)))*(U75-Forudsætninger!$H$26)</f>
        <v>33.153221496979938</v>
      </c>
      <c r="AC75" s="19">
        <f>IF(K75&gt;Forudsætninger!$C$31,IF(K75&gt;Forudsætninger!$C$32,IF(K75&gt;Forudsætninger!$C$33,Forudsætninger!$E$33,Forudsætninger!$E$32+Forudsætninger!$F$33*(K75-Forudsætninger!$C$32)),Forudsætninger!$E$31+Forudsætninger!$F$32*(K75-Forudsætninger!$C$31)),Forudsætninger!$E$31)+IF(K75&gt;Forudsætninger!$C$33,Forudsætninger!$G$33,IF(K75&gt;Forudsætninger!$C$32,Forudsætninger!$G$32+Forudsætninger!$H$33*(K75-Forudsætninger!$C$32),IF(K75&gt;Forudsætninger!$C$31,Forudsætninger!$G$31+Forudsætninger!$H$32*(K75-Forudsætninger!$C$31),Forudsætninger!$G$31)))*(V75-Forudsætninger!$H$31)</f>
        <v>26.225583928098562</v>
      </c>
      <c r="AD75" s="19">
        <f t="shared" si="33"/>
        <v>1854.7846762839054</v>
      </c>
      <c r="AE75" s="19">
        <f t="shared" si="34"/>
        <v>26.225583928098562</v>
      </c>
      <c r="AF75">
        <f>IF(G75&lt;=Forudsætninger!$C$97,Forudsætninger!$C$98,(IF(G75&lt;=Forudsætninger!$D$97,Forudsætninger!$D$98,IF(G75&lt;=Forudsætninger!$E$97,Forudsætninger!$E$98,IF(G75&lt;=Forudsætninger!$F$97,Forudsætninger!$F$98,IF(G75&lt;=Forudsætninger!$G$97,Forudsætninger!$G$98,IF(G75&lt;=Forudsætninger!$H$97,Forudsætninger!$H$98,IF(G75&lt;=Forudsætninger!$I$97,Forudsætninger!$I$98,Forudsætninger!$I$98))))))))</f>
        <v>2.2000000000000002</v>
      </c>
      <c r="AG75" s="1">
        <f t="shared" si="44"/>
        <v>2.2000000000000002</v>
      </c>
      <c r="AH75" s="1">
        <f t="shared" si="48"/>
        <v>160.59999999999994</v>
      </c>
      <c r="AI75" s="1">
        <f t="shared" si="35"/>
        <v>2.1999999999999993</v>
      </c>
      <c r="AJ75" s="20">
        <f>+(W75*Forudsætninger!$C$12)</f>
        <v>0</v>
      </c>
      <c r="AK75" s="20">
        <f>Forudsætninger!$C$17</f>
        <v>250</v>
      </c>
      <c r="AL75" s="20">
        <f>IF(A75&lt;92,Forudsætninger!$C$20,Forudsætninger!$C$21)</f>
        <v>4.0072859744990899</v>
      </c>
      <c r="AM75" s="20">
        <f t="shared" si="45"/>
        <v>292.5318761384338</v>
      </c>
      <c r="AN75" s="20">
        <f>IFERROR(AD75+AJ75-AA75-Z75-AK75-AM75-Forudsætninger!$C$75,-99999999)</f>
        <v>-1300.3634550148204</v>
      </c>
      <c r="AO75" s="19">
        <f>IFERROR(AN75/(A75+Forudsætninger!$C$74),-99999999)</f>
        <v>-17.813198013901648</v>
      </c>
      <c r="AP75" s="19">
        <f>IFERROR(((365/(A75+Forudsætninger!$C$74))*AN75)/(AI75+Forudsætninger!$C$73),-9999999)</f>
        <v>-2814.6395130190926</v>
      </c>
      <c r="AQ75" s="18">
        <f t="shared" si="36"/>
        <v>73</v>
      </c>
      <c r="AR75" s="18">
        <f t="shared" si="46"/>
        <v>2972.7539387493312</v>
      </c>
      <c r="AS75" s="52">
        <f t="shared" si="27"/>
        <v>3.7</v>
      </c>
      <c r="AT75" s="50">
        <f t="shared" si="49"/>
        <v>2.8319780343108505</v>
      </c>
      <c r="AU75" s="50">
        <f t="shared" si="50"/>
        <v>0.28673855622517408</v>
      </c>
      <c r="AV75" s="2">
        <f t="shared" si="51"/>
        <v>45.307174468479843</v>
      </c>
      <c r="AW75" s="61">
        <f t="shared" si="47"/>
        <v>-13.805912039402557</v>
      </c>
      <c r="BA75" s="16"/>
      <c r="BB75" s="2"/>
    </row>
    <row r="76" spans="1:54" x14ac:dyDescent="0.25">
      <c r="A76">
        <v>74</v>
      </c>
      <c r="B76" s="1">
        <f>ROUND((A76+Forudsætninger!$C$60)/30.4,1)</f>
        <v>3.7</v>
      </c>
      <c r="C76" s="1">
        <f>VLOOKUP((A76+Forudsætninger!$C$60),'Model tilvækst, slagteform, fe'!A:B,2,FALSE)</f>
        <v>154.00485232484559</v>
      </c>
      <c r="D76" s="3">
        <f t="shared" si="37"/>
        <v>1481.0462270820892</v>
      </c>
      <c r="E76" s="1">
        <f>(1+Forudsætninger!$C$78)*C76</f>
        <v>143.22451266210638</v>
      </c>
      <c r="F76" s="2">
        <f t="shared" si="38"/>
        <v>5.8946371721162585</v>
      </c>
      <c r="G76" s="1">
        <f t="shared" si="28"/>
        <v>149.11914983422264</v>
      </c>
      <c r="H76" s="3">
        <f t="shared" si="29"/>
        <v>1335.0573846983025</v>
      </c>
      <c r="I76" s="3">
        <f t="shared" si="30"/>
        <v>1082.6912139759816</v>
      </c>
      <c r="J76" s="1">
        <f>VLOOKUP((A76+Forudsætninger!$C$60),'Model tilvækst, slagteform, fe'!G:K,2,FALSE)*(1+Forudsætninger!$C$79)</f>
        <v>47.875123782707725</v>
      </c>
      <c r="K76" s="17">
        <f t="shared" si="26"/>
        <v>71.390977566855483</v>
      </c>
      <c r="L76" s="17">
        <f t="shared" si="39"/>
        <v>666.73053506086433</v>
      </c>
      <c r="M76" s="3">
        <f>((K76-(('Model tilvækst, slagteform, fe'!$H$9/100)*'Model tilvækst, slagteform, fe'!$B$9))*1000/(A76+Forudsætninger!$C$60))</f>
        <v>450.8325091897928</v>
      </c>
      <c r="N76" s="17">
        <f t="shared" si="40"/>
        <v>222.38153570161128</v>
      </c>
      <c r="O76" s="19">
        <f>IF( A76&lt;Forudsætninger!$C$14,(G76/100)*Forudsætninger!$C$13,(Forudsætninger!$C$15/1000)*Forudsætninger!$C$13)</f>
        <v>0.96927447392244714</v>
      </c>
      <c r="P76" s="17" cm="1">
        <f t="array" ref="P76">INDEX('Model tilvækst, slagteform, fe'!$N$9:$N$375,MATCH(MIN(ABS('Model tilvækst, slagteform, fe'!$M$9:$M$375-'Vækstfunktion, hol'!G76)),ABS('Model tilvækst, slagteform, fe'!$M$9:$M$375-'Vækstfunktion, hol'!G76),0))*(1+Forudsætninger!$C$80)</f>
        <v>4.442107739913447</v>
      </c>
      <c r="Q76" s="17">
        <f t="shared" si="41"/>
        <v>6.6625233228712659</v>
      </c>
      <c r="R76" s="17">
        <f t="shared" si="42"/>
        <v>5.6627039870930673</v>
      </c>
      <c r="S76" s="17">
        <f t="shared" si="31"/>
        <v>2.7756352402858591</v>
      </c>
      <c r="T76" s="19">
        <f>(P76)*IF(N76&lt;Forudsætninger!$B$228,IF(N76&lt;Forudsætninger!$B$227,Forudsætninger!$B$225,Forudsætninger!$C$9),Forudsætninger!$C$11)+O76</f>
        <v>11.363806585319912</v>
      </c>
      <c r="U76" s="2">
        <f>Forudsætninger!$C$68+((K76-(Forudsætninger!$C$84)))*0.01</f>
        <v>2.4109626346571948</v>
      </c>
      <c r="V76" s="2">
        <f>U76+Forudsætninger!$C$69</f>
        <v>1.4109626346571948</v>
      </c>
      <c r="W76">
        <f t="shared" si="32"/>
        <v>0</v>
      </c>
      <c r="X76">
        <f>IF(A76+Forudsætninger!$C$60&gt;248,IF(A76+Forudsætninger!$C$60&lt;365,IF(K76&gt;180,IF(K76&lt;260,1,0),0),0),0)</f>
        <v>0</v>
      </c>
      <c r="Y76" s="22">
        <f>IF(X76=0,0,IF('Vækstfunktion, hol'!A76&lt;Forudsætninger!$C$66,Forudsætninger!$C$67+(('Vækstfunktion, hol'!A76-Forudsætninger!$C$66)/7)*Forudsætninger!$C$64,Forudsætninger!$C$67))</f>
        <v>0</v>
      </c>
      <c r="Z76" s="19">
        <f t="shared" si="43"/>
        <v>1091.5858691962173</v>
      </c>
      <c r="AA76" s="19">
        <f>Forudsætninger!$C$62+Forudsætninger!$C$16</f>
        <v>1350</v>
      </c>
      <c r="AB76" s="19">
        <f>IF(K76&gt;Forudsætninger!$C$26,IF(K76&gt;Forudsætninger!$C$27,IF(K76&gt;Forudsætninger!$C$28,Forudsætninger!$E$28,Forudsætninger!$E$27+Forudsætninger!$F$28*(K76-Forudsætninger!$C$27)),Forudsætninger!$E$26+Forudsætninger!$F$27*(K76-Forudsætninger!$C$26)),Forudsætninger!$E$26)+IF(K76&gt;Forudsætninger!$C$28,Forudsætninger!$G$28,IF(K76&gt;Forudsætninger!$C$27,Forudsætninger!$G$27+Forudsætninger!$H$28*(K76-Forudsætninger!$C$27),IF(K76&gt;Forudsætninger!$C$26,Forudsætninger!$G$26+Forudsætninger!$H$27*(K76-Forudsætninger!$C$26),Forudsætninger!$G$26)))*(U76-Forudsætninger!$H$26)</f>
        <v>33.158221975992895</v>
      </c>
      <c r="AC76" s="19">
        <f>IF(K76&gt;Forudsætninger!$C$31,IF(K76&gt;Forudsætninger!$C$32,IF(K76&gt;Forudsætninger!$C$33,Forudsætninger!$E$33,Forudsætninger!$E$32+Forudsætninger!$F$33*(K76-Forudsætninger!$C$32)),Forudsætninger!$E$31+Forudsætninger!$F$32*(K76-Forudsætninger!$C$31)),Forudsætninger!$E$31)+IF(K76&gt;Forudsætninger!$C$33,Forudsætninger!$G$33,IF(K76&gt;Forudsætninger!$C$32,Forudsætninger!$G$32+Forudsætninger!$H$33*(K76-Forudsætninger!$C$32),IF(K76&gt;Forudsætninger!$C$31,Forudsætninger!$G$31+Forudsætninger!$H$32*(K76-Forudsætninger!$C$31),Forudsætninger!$G$31)))*(V76-Forudsætninger!$H$31)</f>
        <v>26.234251425054353</v>
      </c>
      <c r="AD76" s="19">
        <f t="shared" si="33"/>
        <v>1872.8888549693017</v>
      </c>
      <c r="AE76" s="19">
        <f t="shared" si="34"/>
        <v>26.234251425054353</v>
      </c>
      <c r="AF76">
        <f>IF(G76&lt;=Forudsætninger!$C$97,Forudsætninger!$C$98,(IF(G76&lt;=Forudsætninger!$D$97,Forudsætninger!$D$98,IF(G76&lt;=Forudsætninger!$E$97,Forudsætninger!$E$98,IF(G76&lt;=Forudsætninger!$F$97,Forudsætninger!$F$98,IF(G76&lt;=Forudsætninger!$G$97,Forudsætninger!$G$98,IF(G76&lt;=Forudsætninger!$H$97,Forudsætninger!$H$98,IF(G76&lt;=Forudsætninger!$I$97,Forudsætninger!$I$98,Forudsætninger!$I$98))))))))</f>
        <v>2.2000000000000002</v>
      </c>
      <c r="AG76" s="1">
        <f t="shared" si="44"/>
        <v>2.2000000000000002</v>
      </c>
      <c r="AH76" s="1">
        <f t="shared" si="48"/>
        <v>162.79999999999993</v>
      </c>
      <c r="AI76" s="1">
        <f t="shared" si="35"/>
        <v>2.1999999999999988</v>
      </c>
      <c r="AJ76" s="20">
        <f>+(W76*Forudsætninger!$C$12)</f>
        <v>0</v>
      </c>
      <c r="AK76" s="20">
        <f>Forudsætninger!$C$17</f>
        <v>250</v>
      </c>
      <c r="AL76" s="20">
        <f>IF(A76&lt;92,Forudsætninger!$C$20,Forudsætninger!$C$21)</f>
        <v>4.0072859744990899</v>
      </c>
      <c r="AM76" s="20">
        <f t="shared" si="45"/>
        <v>296.5391621129329</v>
      </c>
      <c r="AN76" s="20">
        <f>IFERROR(AD76+AJ76-AA76-Z76-AK76-AM76-Forudsætninger!$C$75,-99999999)</f>
        <v>-1297.6303688892431</v>
      </c>
      <c r="AO76" s="19">
        <f>IFERROR(AN76/(A76+Forudsætninger!$C$74),-99999999)</f>
        <v>-17.535545525530313</v>
      </c>
      <c r="AP76" s="19">
        <f>IFERROR(((365/(A76+Forudsætninger!$C$74))*AN76)/(AI76+Forudsætninger!$C$73),-9999999)</f>
        <v>-2770.7680159387737</v>
      </c>
      <c r="AQ76" s="18">
        <f t="shared" si="36"/>
        <v>74</v>
      </c>
      <c r="AR76" s="18">
        <f t="shared" si="46"/>
        <v>2988.1250313091505</v>
      </c>
      <c r="AS76" s="52">
        <f t="shared" si="27"/>
        <v>3.7</v>
      </c>
      <c r="AT76" s="50">
        <f t="shared" si="49"/>
        <v>2.7330861255773016</v>
      </c>
      <c r="AU76" s="50">
        <f t="shared" si="50"/>
        <v>0.27765248837133427</v>
      </c>
      <c r="AV76" s="2">
        <f t="shared" si="51"/>
        <v>43.871497080318932</v>
      </c>
      <c r="AW76" s="61">
        <f t="shared" si="47"/>
        <v>-13.528259551031219</v>
      </c>
      <c r="BA76" s="16"/>
      <c r="BB76" s="2"/>
    </row>
    <row r="77" spans="1:54" x14ac:dyDescent="0.25">
      <c r="A77">
        <v>75</v>
      </c>
      <c r="B77" s="1">
        <f>ROUND((A77+Forudsætninger!$C$60)/30.4,1)</f>
        <v>3.8</v>
      </c>
      <c r="C77" s="1">
        <f>VLOOKUP((A77+Forudsætninger!$C$60),'Model tilvækst, slagteform, fe'!A:B,2,FALSE)</f>
        <v>155.49083332856449</v>
      </c>
      <c r="D77" s="3">
        <f t="shared" si="37"/>
        <v>1485.981003718905</v>
      </c>
      <c r="E77" s="1">
        <f>(1+Forudsætninger!$C$78)*C77</f>
        <v>144.60647499556498</v>
      </c>
      <c r="F77" s="2">
        <f t="shared" si="38"/>
        <v>5.8521805720100044</v>
      </c>
      <c r="G77" s="1">
        <f t="shared" si="28"/>
        <v>150.45865556757499</v>
      </c>
      <c r="H77" s="3">
        <f t="shared" si="29"/>
        <v>1339.5057333523539</v>
      </c>
      <c r="I77" s="3">
        <f t="shared" si="30"/>
        <v>1086.1154075676666</v>
      </c>
      <c r="J77" s="1">
        <f>VLOOKUP((A77+Forudsætninger!$C$60),'Model tilvækst, slagteform, fe'!G:K,2,FALSE)*(1+Forudsætninger!$C$79)</f>
        <v>47.893761172924023</v>
      </c>
      <c r="K77" s="17">
        <f t="shared" si="26"/>
        <v>72.060309161526718</v>
      </c>
      <c r="L77" s="17">
        <f t="shared" si="39"/>
        <v>669.3315946712346</v>
      </c>
      <c r="M77" s="3">
        <f>((K77-(('Model tilvækst, slagteform, fe'!$H$9/100)*'Model tilvækst, slagteform, fe'!$B$9))*1000/(A77+Forudsætninger!$C$60))</f>
        <v>452.74916783436686</v>
      </c>
      <c r="N77" s="17">
        <f t="shared" si="40"/>
        <v>226.86053191400691</v>
      </c>
      <c r="O77" s="19">
        <f>IF( A77&lt;Forudsætninger!$C$14,(G77/100)*Forudsætninger!$C$13,(Forudsætninger!$C$15/1000)*Forudsætninger!$C$13)</f>
        <v>0.97798126118923745</v>
      </c>
      <c r="P77" s="17" cm="1">
        <f t="array" ref="P77">INDEX('Model tilvækst, slagteform, fe'!$N$9:$N$375,MATCH(MIN(ABS('Model tilvækst, slagteform, fe'!$M$9:$M$375-'Vækstfunktion, hol'!G77)),ABS('Model tilvækst, slagteform, fe'!$M$9:$M$375-'Vækstfunktion, hol'!G77),0))*(1+Forudsætninger!$C$80)</f>
        <v>4.4789962123956357</v>
      </c>
      <c r="Q77" s="17">
        <f t="shared" si="41"/>
        <v>6.6917447914522095</v>
      </c>
      <c r="R77" s="17">
        <f t="shared" si="42"/>
        <v>5.6799488362305919</v>
      </c>
      <c r="S77" s="17">
        <f t="shared" si="31"/>
        <v>2.7849776102161674</v>
      </c>
      <c r="T77" s="19">
        <f>(P77)*IF(N77&lt;Forudsætninger!$B$228,IF(N77&lt;Forudsætninger!$B$227,Forudsætninger!$B$225,Forudsætninger!$C$9),Forudsætninger!$C$11)+O77</f>
        <v>11.458832398195025</v>
      </c>
      <c r="U77" s="2">
        <f>Forudsætninger!$C$68+((K77-(Forudsætninger!$C$84)))*0.01</f>
        <v>2.4176559506039075</v>
      </c>
      <c r="V77" s="2">
        <f>U77+Forudsætninger!$C$69</f>
        <v>1.4176559506039075</v>
      </c>
      <c r="W77">
        <f t="shared" si="32"/>
        <v>0</v>
      </c>
      <c r="X77">
        <f>IF(A77+Forudsætninger!$C$60&gt;248,IF(A77+Forudsætninger!$C$60&lt;365,IF(K77&gt;180,IF(K77&lt;260,1,0),0),0),0)</f>
        <v>0</v>
      </c>
      <c r="Y77" s="22">
        <f>IF(X77=0,0,IF('Vækstfunktion, hol'!A77&lt;Forudsætninger!$C$66,Forudsætninger!$C$67+(('Vækstfunktion, hol'!A77-Forudsætninger!$C$66)/7)*Forudsætninger!$C$64,Forudsætninger!$C$67))</f>
        <v>0</v>
      </c>
      <c r="Z77" s="19">
        <f t="shared" si="43"/>
        <v>1103.0447015944123</v>
      </c>
      <c r="AA77" s="19">
        <f>Forudsætninger!$C$62+Forudsætninger!$C$16</f>
        <v>1350</v>
      </c>
      <c r="AB77" s="19">
        <f>IF(K77&gt;Forudsætninger!$C$26,IF(K77&gt;Forudsætninger!$C$27,IF(K77&gt;Forudsætninger!$C$28,Forudsætninger!$E$28,Forudsætninger!$E$27+Forudsætninger!$F$28*(K77-Forudsætninger!$C$27)),Forudsætninger!$E$26+Forudsætninger!$F$27*(K77-Forudsætninger!$C$26)),Forudsætninger!$E$26)+IF(K77&gt;Forudsætninger!$C$28,Forudsætninger!$G$28,IF(K77&gt;Forudsætninger!$C$27,Forudsætninger!$G$27+Forudsætninger!$H$28*(K77-Forudsætninger!$C$27),IF(K77&gt;Forudsætninger!$C$26,Forudsætninger!$G$26+Forudsætninger!$H$27*(K77-Forudsætninger!$C$26),Forudsætninger!$G$26)))*(U77-Forudsætninger!$H$26)</f>
        <v>33.163241962952931</v>
      </c>
      <c r="AC77" s="19">
        <f>IF(K77&gt;Forudsætninger!$C$31,IF(K77&gt;Forudsætninger!$C$32,IF(K77&gt;Forudsætninger!$C$33,Forudsætninger!$E$33,Forudsætninger!$E$32+Forudsætninger!$F$33*(K77-Forudsætninger!$C$32)),Forudsætninger!$E$31+Forudsætninger!$F$32*(K77-Forudsætninger!$C$31)),Forudsætninger!$E$31)+IF(K77&gt;Forudsætninger!$C$33,Forudsætninger!$G$33,IF(K77&gt;Forudsætninger!$C$32,Forudsætninger!$G$32+Forudsætninger!$H$33*(K77-Forudsætninger!$C$32),IF(K77&gt;Forudsætninger!$C$31,Forudsætninger!$G$31+Forudsætninger!$H$32*(K77-Forudsætninger!$C$31),Forudsætninger!$G$31)))*(V77-Forudsætninger!$H$31)</f>
        <v>26.242952735785078</v>
      </c>
      <c r="AD77" s="19">
        <f t="shared" si="33"/>
        <v>1891.075287452006</v>
      </c>
      <c r="AE77" s="19">
        <f t="shared" si="34"/>
        <v>26.242952735785078</v>
      </c>
      <c r="AF77">
        <f>IF(G77&lt;=Forudsætninger!$C$97,Forudsætninger!$C$98,(IF(G77&lt;=Forudsætninger!$D$97,Forudsætninger!$D$98,IF(G77&lt;=Forudsætninger!$E$97,Forudsætninger!$E$98,IF(G77&lt;=Forudsætninger!$F$97,Forudsætninger!$F$98,IF(G77&lt;=Forudsætninger!$G$97,Forudsætninger!$G$98,IF(G77&lt;=Forudsætninger!$H$97,Forudsætninger!$H$98,IF(G77&lt;=Forudsætninger!$I$97,Forudsætninger!$I$98,Forudsætninger!$I$98))))))))</f>
        <v>2.2000000000000002</v>
      </c>
      <c r="AG77" s="1">
        <f t="shared" si="44"/>
        <v>2.2000000000000002</v>
      </c>
      <c r="AH77" s="1">
        <f t="shared" si="48"/>
        <v>164.99999999999991</v>
      </c>
      <c r="AI77" s="1">
        <f t="shared" si="35"/>
        <v>2.1999999999999988</v>
      </c>
      <c r="AJ77" s="20">
        <f>+(W77*Forudsætninger!$C$12)</f>
        <v>0</v>
      </c>
      <c r="AK77" s="20">
        <f>Forudsætninger!$C$17</f>
        <v>250</v>
      </c>
      <c r="AL77" s="20">
        <f>IF(A77&lt;92,Forudsætninger!$C$20,Forudsætninger!$C$21)</f>
        <v>4.0072859744990899</v>
      </c>
      <c r="AM77" s="20">
        <f t="shared" si="45"/>
        <v>300.546448087432</v>
      </c>
      <c r="AN77" s="20">
        <f>IFERROR(AD77+AJ77-AA77-Z77-AK77-AM77-Forudsætninger!$C$75,-99999999)</f>
        <v>-1294.910054779233</v>
      </c>
      <c r="AO77" s="19">
        <f>IFERROR(AN77/(A77+Forudsætninger!$C$74),-99999999)</f>
        <v>-17.26546739705644</v>
      </c>
      <c r="AP77" s="19">
        <f>IFERROR(((365/(A77+Forudsætninger!$C$74))*AN77)/(AI77+Forudsætninger!$C$73),-9999999)</f>
        <v>-2728.0933333011267</v>
      </c>
      <c r="AQ77" s="18">
        <f t="shared" si="36"/>
        <v>75</v>
      </c>
      <c r="AR77" s="18">
        <f t="shared" si="46"/>
        <v>3003.5911496818444</v>
      </c>
      <c r="AS77" s="52">
        <f t="shared" si="27"/>
        <v>3.8</v>
      </c>
      <c r="AT77" s="50">
        <f t="shared" si="49"/>
        <v>2.720314110010122</v>
      </c>
      <c r="AU77" s="50">
        <f t="shared" si="50"/>
        <v>0.27007812847387314</v>
      </c>
      <c r="AV77" s="2">
        <f t="shared" si="51"/>
        <v>42.674682637647038</v>
      </c>
      <c r="AW77" s="61">
        <f t="shared" si="47"/>
        <v>-13.258181422557346</v>
      </c>
      <c r="BA77" s="16"/>
      <c r="BB77" s="2"/>
    </row>
    <row r="78" spans="1:54" x14ac:dyDescent="0.25">
      <c r="A78">
        <v>76</v>
      </c>
      <c r="B78" s="1">
        <f>ROUND((A78+Forudsætninger!$C$60)/30.4,1)</f>
        <v>3.8</v>
      </c>
      <c r="C78" s="1">
        <f>VLOOKUP((A78+Forudsætninger!$C$60),'Model tilvækst, slagteform, fe'!A:B,2,FALSE)</f>
        <v>156.98164984439867</v>
      </c>
      <c r="D78" s="3">
        <f t="shared" si="37"/>
        <v>1490.8165158341831</v>
      </c>
      <c r="E78" s="1">
        <f>(1+Forudsætninger!$C$78)*C78</f>
        <v>145.99293435529077</v>
      </c>
      <c r="F78" s="2">
        <f t="shared" si="38"/>
        <v>5.8095858144147421</v>
      </c>
      <c r="G78" s="1">
        <f t="shared" si="28"/>
        <v>151.8025201697055</v>
      </c>
      <c r="H78" s="3">
        <f t="shared" si="29"/>
        <v>1343.864602130509</v>
      </c>
      <c r="I78" s="3">
        <f t="shared" si="30"/>
        <v>1089.5068443382304</v>
      </c>
      <c r="J78" s="1">
        <f>VLOOKUP((A78+Forudsætninger!$C$60),'Model tilvækst, slagteform, fe'!G:K,2,FALSE)*(1+Forudsætninger!$C$79)</f>
        <v>47.91237857592327</v>
      </c>
      <c r="K78" s="17">
        <f t="shared" si="26"/>
        <v>72.732198151501578</v>
      </c>
      <c r="L78" s="17">
        <f t="shared" si="39"/>
        <v>671.88898997486035</v>
      </c>
      <c r="M78" s="3">
        <f>((K78-(('Model tilvækst, slagteform, fe'!$H$9/100)*'Model tilvækst, slagteform, fe'!$B$9))*1000/(A78+Forudsætninger!$C$60))</f>
        <v>454.65473150515373</v>
      </c>
      <c r="N78" s="17">
        <f t="shared" si="40"/>
        <v>231.37628440604783</v>
      </c>
      <c r="O78" s="19">
        <f>IF( A78&lt;Forudsætninger!$C$14,(G78/100)*Forudsætninger!$C$13,(Forudsætninger!$C$15/1000)*Forudsætninger!$C$13)</f>
        <v>0.98671638110308579</v>
      </c>
      <c r="P78" s="17" cm="1">
        <f t="array" ref="P78">INDEX('Model tilvækst, slagteform, fe'!$N$9:$N$375,MATCH(MIN(ABS('Model tilvækst, slagteform, fe'!$M$9:$M$375-'Vækstfunktion, hol'!G78)),ABS('Model tilvækst, slagteform, fe'!$M$9:$M$375-'Vækstfunktion, hol'!G78),0))*(1+Forudsætninger!$C$80)</f>
        <v>4.5157524920409147</v>
      </c>
      <c r="Q78" s="17">
        <f t="shared" si="41"/>
        <v>6.7209800419707397</v>
      </c>
      <c r="R78" s="17">
        <f t="shared" si="42"/>
        <v>5.6971715556827665</v>
      </c>
      <c r="S78" s="17">
        <f t="shared" si="31"/>
        <v>2.7943145200392125</v>
      </c>
      <c r="T78" s="19">
        <f>(P78)*IF(N78&lt;Forudsætninger!$B$228,IF(N78&lt;Forudsætninger!$B$227,Forudsætninger!$B$225,Forudsætninger!$C$9),Forudsætninger!$C$11)+O78</f>
        <v>11.553577212478826</v>
      </c>
      <c r="U78" s="2">
        <f>Forudsætninger!$C$68+((K78-(Forudsætninger!$C$84)))*0.01</f>
        <v>2.4243748405036563</v>
      </c>
      <c r="V78" s="2">
        <f>U78+Forudsætninger!$C$69</f>
        <v>1.4243748405036563</v>
      </c>
      <c r="W78">
        <f t="shared" si="32"/>
        <v>0</v>
      </c>
      <c r="X78">
        <f>IF(A78+Forudsætninger!$C$60&gt;248,IF(A78+Forudsætninger!$C$60&lt;365,IF(K78&gt;180,IF(K78&lt;260,1,0),0),0),0)</f>
        <v>0</v>
      </c>
      <c r="Y78" s="22">
        <f>IF(X78=0,0,IF('Vækstfunktion, hol'!A78&lt;Forudsætninger!$C$66,Forudsætninger!$C$67+(('Vækstfunktion, hol'!A78-Forudsætninger!$C$66)/7)*Forudsætninger!$C$64,Forudsætninger!$C$67))</f>
        <v>0</v>
      </c>
      <c r="Z78" s="19">
        <f t="shared" si="43"/>
        <v>1114.5982788068911</v>
      </c>
      <c r="AA78" s="19">
        <f>Forudsætninger!$C$62+Forudsætninger!$C$16</f>
        <v>1350</v>
      </c>
      <c r="AB78" s="19">
        <f>IF(K78&gt;Forudsætninger!$C$26,IF(K78&gt;Forudsætninger!$C$27,IF(K78&gt;Forudsætninger!$C$28,Forudsætninger!$E$28,Forudsætninger!$E$27+Forudsætninger!$F$28*(K78-Forudsætninger!$C$27)),Forudsætninger!$E$26+Forudsætninger!$F$27*(K78-Forudsætninger!$C$26)),Forudsætninger!$E$26)+IF(K78&gt;Forudsætninger!$C$28,Forudsætninger!$G$28,IF(K78&gt;Forudsætninger!$C$27,Forudsætninger!$G$27+Forudsætninger!$H$28*(K78-Forudsætninger!$C$27),IF(K78&gt;Forudsætninger!$C$26,Forudsætninger!$G$26+Forudsætninger!$H$27*(K78-Forudsætninger!$C$26),Forudsætninger!$G$26)))*(U78-Forudsætninger!$H$26)</f>
        <v>33.168281130377743</v>
      </c>
      <c r="AC78" s="19">
        <f>IF(K78&gt;Forudsætninger!$C$31,IF(K78&gt;Forudsætninger!$C$32,IF(K78&gt;Forudsætninger!$C$33,Forudsætninger!$E$33,Forudsætninger!$E$32+Forudsætninger!$F$33*(K78-Forudsætninger!$C$32)),Forudsætninger!$E$31+Forudsætninger!$F$32*(K78-Forudsætninger!$C$31)),Forudsætninger!$E$31)+IF(K78&gt;Forudsætninger!$C$33,Forudsætninger!$G$33,IF(K78&gt;Forudsætninger!$C$32,Forudsætninger!$G$32+Forudsætninger!$H$33*(K78-Forudsætninger!$C$32),IF(K78&gt;Forudsætninger!$C$31,Forudsætninger!$G$31+Forudsætninger!$H$32*(K78-Forudsætninger!$C$31),Forudsætninger!$G$31)))*(V78-Forudsætninger!$H$31)</f>
        <v>26.251687292654754</v>
      </c>
      <c r="AD78" s="19">
        <f t="shared" si="33"/>
        <v>1909.3429219806217</v>
      </c>
      <c r="AE78" s="19">
        <f t="shared" si="34"/>
        <v>26.251687292654754</v>
      </c>
      <c r="AF78">
        <f>IF(G78&lt;=Forudsætninger!$C$97,Forudsætninger!$C$98,(IF(G78&lt;=Forudsætninger!$D$97,Forudsætninger!$D$98,IF(G78&lt;=Forudsætninger!$E$97,Forudsætninger!$E$98,IF(G78&lt;=Forudsætninger!$F$97,Forudsætninger!$F$98,IF(G78&lt;=Forudsætninger!$G$97,Forudsætninger!$G$98,IF(G78&lt;=Forudsætninger!$H$97,Forudsætninger!$H$98,IF(G78&lt;=Forudsætninger!$I$97,Forudsætninger!$I$98,Forudsætninger!$I$98))))))))</f>
        <v>2.2000000000000002</v>
      </c>
      <c r="AG78" s="1">
        <f t="shared" si="44"/>
        <v>2.2000000000000002</v>
      </c>
      <c r="AH78" s="1">
        <f t="shared" si="48"/>
        <v>167.1999999999999</v>
      </c>
      <c r="AI78" s="1">
        <f t="shared" si="35"/>
        <v>2.1999999999999988</v>
      </c>
      <c r="AJ78" s="20">
        <f>+(W78*Forudsætninger!$C$12)</f>
        <v>0</v>
      </c>
      <c r="AK78" s="20">
        <f>Forudsætninger!$C$17</f>
        <v>250</v>
      </c>
      <c r="AL78" s="20">
        <f>IF(A78&lt;92,Forudsætninger!$C$20,Forudsætninger!$C$21)</f>
        <v>4.0072859744990899</v>
      </c>
      <c r="AM78" s="20">
        <f t="shared" si="45"/>
        <v>304.5537340619311</v>
      </c>
      <c r="AN78" s="20">
        <f>IFERROR(AD78+AJ78-AA78-Z78-AK78-AM78-Forudsætninger!$C$75,-99999999)</f>
        <v>-1292.203283437595</v>
      </c>
      <c r="AO78" s="19">
        <f>IFERROR(AN78/(A78+Forudsætninger!$C$74),-99999999)</f>
        <v>-17.002674782073619</v>
      </c>
      <c r="AP78" s="19">
        <f>IFERROR(((365/(A78+Forudsætninger!$C$74))*AN78)/(AI78+Forudsætninger!$C$73),-9999999)</f>
        <v>-2686.5698248731055</v>
      </c>
      <c r="AQ78" s="18">
        <f t="shared" si="36"/>
        <v>76</v>
      </c>
      <c r="AR78" s="18">
        <f t="shared" si="46"/>
        <v>3019.1520128688226</v>
      </c>
      <c r="AS78" s="52">
        <f t="shared" si="27"/>
        <v>3.8</v>
      </c>
      <c r="AT78" s="50">
        <f t="shared" si="49"/>
        <v>2.706771341637932</v>
      </c>
      <c r="AU78" s="50">
        <f t="shared" si="50"/>
        <v>0.26279261498282125</v>
      </c>
      <c r="AV78" s="2">
        <f t="shared" si="51"/>
        <v>41.523508428021159</v>
      </c>
      <c r="AW78" s="61">
        <f t="shared" si="47"/>
        <v>-12.995388807574525</v>
      </c>
      <c r="BA78" s="16"/>
      <c r="BB78" s="2"/>
    </row>
    <row r="79" spans="1:54" x14ac:dyDescent="0.25">
      <c r="A79">
        <v>77</v>
      </c>
      <c r="B79" s="1">
        <f>ROUND((A79+Forudsætninger!$C$60)/30.4,1)</f>
        <v>3.8</v>
      </c>
      <c r="C79" s="1">
        <f>VLOOKUP((A79+Forudsætninger!$C$60),'Model tilvækst, slagteform, fe'!A:B,2,FALSE)</f>
        <v>158.47720314217412</v>
      </c>
      <c r="D79" s="3">
        <f t="shared" si="37"/>
        <v>1495.5532977754444</v>
      </c>
      <c r="E79" s="1">
        <f>(1+Forudsætninger!$C$78)*C79</f>
        <v>147.38379892222193</v>
      </c>
      <c r="F79" s="2">
        <f t="shared" si="38"/>
        <v>5.766855720192587</v>
      </c>
      <c r="G79" s="1">
        <f t="shared" si="28"/>
        <v>153.15065464241451</v>
      </c>
      <c r="H79" s="3">
        <f t="shared" si="29"/>
        <v>1348.1344727090061</v>
      </c>
      <c r="I79" s="3">
        <f t="shared" si="30"/>
        <v>1092.8656447066819</v>
      </c>
      <c r="J79" s="1">
        <f>VLOOKUP((A79+Forudsætninger!$C$60),'Model tilvækst, slagteform, fe'!G:K,2,FALSE)*(1+Forudsætninger!$C$79)</f>
        <v>47.930974316052605</v>
      </c>
      <c r="K79" s="17">
        <f t="shared" si="26"/>
        <v>73.406600941522129</v>
      </c>
      <c r="L79" s="17">
        <f t="shared" si="39"/>
        <v>674.40279002055092</v>
      </c>
      <c r="M79" s="3">
        <f>((K79-(('Model tilvækst, slagteform, fe'!$H$9/100)*'Model tilvækst, slagteform, fe'!$B$9))*1000/(A79+Forudsætninger!$C$60))</f>
        <v>456.54911131994169</v>
      </c>
      <c r="N79" s="17">
        <f t="shared" si="40"/>
        <v>235.92865595391447</v>
      </c>
      <c r="O79" s="19">
        <f>IF( A79&lt;Forudsætninger!$C$14,(G79/100)*Forudsætninger!$C$13,(Forudsætninger!$C$15/1000)*Forudsætninger!$C$13)</f>
        <v>0.99547925517569436</v>
      </c>
      <c r="P79" s="17" cm="1">
        <f t="array" ref="P79">INDEX('Model tilvækst, slagteform, fe'!$N$9:$N$375,MATCH(MIN(ABS('Model tilvækst, slagteform, fe'!$M$9:$M$375-'Vækstfunktion, hol'!G79)),ABS('Model tilvækst, slagteform, fe'!$M$9:$M$375-'Vækstfunktion, hol'!G79),0))*(1+Forudsætninger!$C$80)</f>
        <v>4.5523715478666409</v>
      </c>
      <c r="Q79" s="17">
        <f t="shared" si="41"/>
        <v>6.7502264451306875</v>
      </c>
      <c r="R79" s="17">
        <f t="shared" si="42"/>
        <v>5.7143727356098255</v>
      </c>
      <c r="S79" s="17">
        <f t="shared" si="31"/>
        <v>2.8036461148930765</v>
      </c>
      <c r="T79" s="19">
        <f>(P79)*IF(N79&lt;Forudsætninger!$B$228,IF(N79&lt;Forudsætninger!$B$227,Forudsætninger!$B$225,Forudsætninger!$C$9),Forudsætninger!$C$11)+O79</f>
        <v>11.648028677183632</v>
      </c>
      <c r="U79" s="2">
        <f>Forudsætninger!$C$68+((K79-(Forudsætninger!$C$84)))*0.01</f>
        <v>2.4311188684038614</v>
      </c>
      <c r="V79" s="2">
        <f>U79+Forudsætninger!$C$69</f>
        <v>1.4311188684038614</v>
      </c>
      <c r="W79">
        <f t="shared" si="32"/>
        <v>0</v>
      </c>
      <c r="X79">
        <f>IF(A79+Forudsætninger!$C$60&gt;248,IF(A79+Forudsætninger!$C$60&lt;365,IF(K79&gt;180,IF(K79&lt;260,1,0),0),0),0)</f>
        <v>0</v>
      </c>
      <c r="Y79" s="22">
        <f>IF(X79=0,0,IF('Vækstfunktion, hol'!A79&lt;Forudsætninger!$C$66,Forudsætninger!$C$67+(('Vækstfunktion, hol'!A79-Forudsætninger!$C$66)/7)*Forudsætninger!$C$64,Forudsætninger!$C$67))</f>
        <v>0</v>
      </c>
      <c r="Z79" s="19">
        <f t="shared" si="43"/>
        <v>1126.2463074840748</v>
      </c>
      <c r="AA79" s="19">
        <f>Forudsætninger!$C$62+Forudsætninger!$C$16</f>
        <v>1350</v>
      </c>
      <c r="AB79" s="19">
        <f>IF(K79&gt;Forudsætninger!$C$26,IF(K79&gt;Forudsætninger!$C$27,IF(K79&gt;Forudsætninger!$C$28,Forudsætninger!$E$28,Forudsætninger!$E$27+Forudsætninger!$F$28*(K79-Forudsætninger!$C$27)),Forudsætninger!$E$26+Forudsætninger!$F$27*(K79-Forudsætninger!$C$26)),Forudsætninger!$E$26)+IF(K79&gt;Forudsætninger!$C$28,Forudsætninger!$G$28,IF(K79&gt;Forudsætninger!$C$27,Forudsætninger!$G$27+Forudsætninger!$H$28*(K79-Forudsætninger!$C$27),IF(K79&gt;Forudsætninger!$C$26,Forudsætninger!$G$26+Forudsætninger!$H$27*(K79-Forudsætninger!$C$26),Forudsætninger!$G$26)))*(U79-Forudsætninger!$H$26)</f>
        <v>33.173339151302898</v>
      </c>
      <c r="AC79" s="19">
        <f>IF(K79&gt;Forudsætninger!$C$31,IF(K79&gt;Forudsætninger!$C$32,IF(K79&gt;Forudsætninger!$C$33,Forudsætninger!$E$33,Forudsætninger!$E$32+Forudsætninger!$F$33*(K79-Forudsætninger!$C$32)),Forudsætninger!$E$31+Forudsætninger!$F$32*(K79-Forudsætninger!$C$31)),Forudsætninger!$E$31)+IF(K79&gt;Forudsætninger!$C$33,Forudsætninger!$G$33,IF(K79&gt;Forudsætninger!$C$32,Forudsætninger!$G$32+Forudsætninger!$H$33*(K79-Forudsætninger!$C$32),IF(K79&gt;Forudsætninger!$C$31,Forudsætninger!$G$31+Forudsætninger!$H$32*(K79-Forudsætninger!$C$31),Forudsætninger!$G$31)))*(V79-Forudsætninger!$H$31)</f>
        <v>26.26045452892502</v>
      </c>
      <c r="AD79" s="19">
        <f t="shared" si="33"/>
        <v>1927.6907061477864</v>
      </c>
      <c r="AE79" s="19">
        <f t="shared" si="34"/>
        <v>26.26045452892502</v>
      </c>
      <c r="AF79">
        <f>IF(G79&lt;=Forudsætninger!$C$97,Forudsætninger!$C$98,(IF(G79&lt;=Forudsætninger!$D$97,Forudsætninger!$D$98,IF(G79&lt;=Forudsætninger!$E$97,Forudsætninger!$E$98,IF(G79&lt;=Forudsætninger!$F$97,Forudsætninger!$F$98,IF(G79&lt;=Forudsætninger!$G$97,Forudsætninger!$G$98,IF(G79&lt;=Forudsætninger!$H$97,Forudsætninger!$H$98,IF(G79&lt;=Forudsætninger!$I$97,Forudsætninger!$I$98,Forudsætninger!$I$98))))))))</f>
        <v>2.2000000000000002</v>
      </c>
      <c r="AG79" s="1">
        <f t="shared" si="44"/>
        <v>2.2000000000000002</v>
      </c>
      <c r="AH79" s="1">
        <f t="shared" si="48"/>
        <v>169.39999999999989</v>
      </c>
      <c r="AI79" s="1">
        <f t="shared" si="35"/>
        <v>2.1999999999999984</v>
      </c>
      <c r="AJ79" s="20">
        <f>+(W79*Forudsætninger!$C$12)</f>
        <v>0</v>
      </c>
      <c r="AK79" s="20">
        <f>Forudsætninger!$C$17</f>
        <v>250</v>
      </c>
      <c r="AL79" s="20">
        <f>IF(A79&lt;92,Forudsætninger!$C$20,Forudsætninger!$C$21)</f>
        <v>4.0072859744990899</v>
      </c>
      <c r="AM79" s="20">
        <f t="shared" si="45"/>
        <v>308.56102003643019</v>
      </c>
      <c r="AN79" s="20">
        <f>IFERROR(AD79+AJ79-AA79-Z79-AK79-AM79-Forudsætninger!$C$75,-99999999)</f>
        <v>-1289.5108139221131</v>
      </c>
      <c r="AO79" s="19">
        <f>IFERROR(AN79/(A79+Forudsætninger!$C$74),-99999999)</f>
        <v>-16.746893687300169</v>
      </c>
      <c r="AP79" s="19">
        <f>IFERROR(((365/(A79+Forudsætninger!$C$74))*AN79)/(AI79+Forudsætninger!$C$73),-9999999)</f>
        <v>-2646.1541973439685</v>
      </c>
      <c r="AQ79" s="18">
        <f t="shared" si="36"/>
        <v>77</v>
      </c>
      <c r="AR79" s="18">
        <f t="shared" si="46"/>
        <v>3034.8073275205052</v>
      </c>
      <c r="AS79" s="52">
        <f t="shared" si="27"/>
        <v>3.8</v>
      </c>
      <c r="AT79" s="50">
        <f t="shared" si="49"/>
        <v>2.6924695154818892</v>
      </c>
      <c r="AU79" s="50">
        <f t="shared" si="50"/>
        <v>0.25578109477345023</v>
      </c>
      <c r="AV79" s="2">
        <f t="shared" si="51"/>
        <v>40.415627529137055</v>
      </c>
      <c r="AW79" s="61">
        <f t="shared" si="47"/>
        <v>-12.739607712801078</v>
      </c>
      <c r="BA79" s="16"/>
      <c r="BB79" s="2"/>
    </row>
    <row r="80" spans="1:54" x14ac:dyDescent="0.25">
      <c r="A80">
        <v>78</v>
      </c>
      <c r="B80" s="1">
        <f>ROUND((A80+Forudsætninger!$C$60)/30.4,1)</f>
        <v>3.8</v>
      </c>
      <c r="C80" s="1">
        <f>VLOOKUP((A80+Forudsætninger!$C$60),'Model tilvækst, slagteform, fe'!A:B,2,FALSE)</f>
        <v>159.97739502606416</v>
      </c>
      <c r="D80" s="3">
        <f t="shared" si="37"/>
        <v>1500.1918838900394</v>
      </c>
      <c r="E80" s="1">
        <f>(1+Forudsætninger!$C$78)*C80</f>
        <v>148.77897737423964</v>
      </c>
      <c r="F80" s="2">
        <f t="shared" si="38"/>
        <v>5.723993094938586</v>
      </c>
      <c r="G80" s="1">
        <f t="shared" si="28"/>
        <v>154.50297046917822</v>
      </c>
      <c r="H80" s="3">
        <f t="shared" si="29"/>
        <v>1352.3158267637143</v>
      </c>
      <c r="I80" s="3">
        <f t="shared" si="30"/>
        <v>1096.1919290920284</v>
      </c>
      <c r="J80" s="1">
        <f>VLOOKUP((A80+Forudsætninger!$C$60),'Model tilvækst, slagteform, fe'!G:K,2,FALSE)*(1+Forudsætninger!$C$79)</f>
        <v>47.949546717659146</v>
      </c>
      <c r="K80" s="17">
        <f t="shared" si="26"/>
        <v>74.08347400528973</v>
      </c>
      <c r="L80" s="17">
        <f t="shared" si="39"/>
        <v>676.87306376760148</v>
      </c>
      <c r="M80" s="3">
        <f>((K80-(('Model tilvækst, slagteform, fe'!$H$9/100)*'Model tilvækst, slagteform, fe'!$B$9))*1000/(A80+Forudsætninger!$C$60))</f>
        <v>458.43222202462249</v>
      </c>
      <c r="N80" s="17">
        <f t="shared" si="40"/>
        <v>240.51750430280464</v>
      </c>
      <c r="O80" s="19">
        <f>IF( A80&lt;Forudsætninger!$C$14,(G80/100)*Forudsætninger!$C$13,(Forudsætninger!$C$15/1000)*Forudsætninger!$C$13)</f>
        <v>1.0042693080496585</v>
      </c>
      <c r="P80" s="17" cm="1">
        <f t="array" ref="P80">INDEX('Model tilvækst, slagteform, fe'!$N$9:$N$375,MATCH(MIN(ABS('Model tilvækst, slagteform, fe'!$M$9:$M$375-'Vækstfunktion, hol'!G80)),ABS('Model tilvækst, slagteform, fe'!$M$9:$M$375-'Vækstfunktion, hol'!G80),0))*(1+Forudsætninger!$C$80)</f>
        <v>4.5888483488901795</v>
      </c>
      <c r="Q80" s="17">
        <f t="shared" si="41"/>
        <v>6.7794814043090961</v>
      </c>
      <c r="R80" s="17">
        <f t="shared" si="42"/>
        <v>5.7315528782647966</v>
      </c>
      <c r="S80" s="17">
        <f t="shared" si="31"/>
        <v>2.812972496546251</v>
      </c>
      <c r="T80" s="19">
        <f>(P80)*IF(N80&lt;Forudsætninger!$B$228,IF(N80&lt;Forudsætninger!$B$227,Forudsætninger!$B$225,Forudsætninger!$C$9),Forudsætninger!$C$11)+O80</f>
        <v>11.742174444452679</v>
      </c>
      <c r="U80" s="2">
        <f>Forudsætninger!$C$68+((K80-(Forudsætninger!$C$84)))*0.01</f>
        <v>2.4378875990415376</v>
      </c>
      <c r="V80" s="2">
        <f>U80+Forudsætninger!$C$69</f>
        <v>1.4378875990415376</v>
      </c>
      <c r="W80">
        <f t="shared" si="32"/>
        <v>0</v>
      </c>
      <c r="X80">
        <f>IF(A80+Forudsætninger!$C$60&gt;248,IF(A80+Forudsætninger!$C$60&lt;365,IF(K80&gt;180,IF(K80&lt;260,1,0),0),0),0)</f>
        <v>0</v>
      </c>
      <c r="Y80" s="22">
        <f>IF(X80=0,0,IF('Vækstfunktion, hol'!A80&lt;Forudsætninger!$C$66,Forudsætninger!$C$67+(('Vækstfunktion, hol'!A80-Forudsætninger!$C$66)/7)*Forudsætninger!$C$64,Forudsætninger!$C$67))</f>
        <v>0</v>
      </c>
      <c r="Z80" s="19">
        <f t="shared" si="43"/>
        <v>1137.9884819285276</v>
      </c>
      <c r="AA80" s="19">
        <f>Forudsætninger!$C$62+Forudsætninger!$C$16</f>
        <v>1350</v>
      </c>
      <c r="AB80" s="19">
        <f>IF(K80&gt;Forudsætninger!$C$26,IF(K80&gt;Forudsætninger!$C$27,IF(K80&gt;Forudsætninger!$C$28,Forudsætninger!$E$28,Forudsætninger!$E$27+Forudsætninger!$F$28*(K80-Forudsætninger!$C$27)),Forudsætninger!$E$26+Forudsætninger!$F$27*(K80-Forudsætninger!$C$26)),Forudsætninger!$E$26)+IF(K80&gt;Forudsætninger!$C$28,Forudsætninger!$G$28,IF(K80&gt;Forudsætninger!$C$27,Forudsætninger!$G$27+Forudsætninger!$H$28*(K80-Forudsætninger!$C$27),IF(K80&gt;Forudsætninger!$C$26,Forudsætninger!$G$26+Forudsætninger!$H$27*(K80-Forudsætninger!$C$26),Forudsætninger!$G$26)))*(U80-Forudsætninger!$H$26)</f>
        <v>33.178415699281153</v>
      </c>
      <c r="AC80" s="19">
        <f>IF(K80&gt;Forudsætninger!$C$31,IF(K80&gt;Forudsætninger!$C$32,IF(K80&gt;Forudsætninger!$C$33,Forudsætninger!$E$33,Forudsætninger!$E$32+Forudsætninger!$F$33*(K80-Forudsætninger!$C$32)),Forudsætninger!$E$31+Forudsætninger!$F$32*(K80-Forudsætninger!$C$31)),Forudsætninger!$E$31)+IF(K80&gt;Forudsætninger!$C$33,Forudsætninger!$G$33,IF(K80&gt;Forudsætninger!$C$32,Forudsætninger!$G$32+Forudsætninger!$H$33*(K80-Forudsætninger!$C$32),IF(K80&gt;Forudsætninger!$C$31,Forudsætninger!$G$31+Forudsætninger!$H$32*(K80-Forudsætninger!$C$31),Forudsætninger!$G$31)))*(V80-Forudsætninger!$H$31)</f>
        <v>26.269253878754</v>
      </c>
      <c r="AD80" s="19">
        <f t="shared" si="33"/>
        <v>1946.1175868650284</v>
      </c>
      <c r="AE80" s="19">
        <f t="shared" si="34"/>
        <v>26.269253878754</v>
      </c>
      <c r="AF80">
        <f>IF(G80&lt;=Forudsætninger!$C$97,Forudsætninger!$C$98,(IF(G80&lt;=Forudsætninger!$D$97,Forudsætninger!$D$98,IF(G80&lt;=Forudsætninger!$E$97,Forudsætninger!$E$98,IF(G80&lt;=Forudsætninger!$F$97,Forudsætninger!$F$98,IF(G80&lt;=Forudsætninger!$G$97,Forudsætninger!$G$98,IF(G80&lt;=Forudsætninger!$H$97,Forudsætninger!$H$98,IF(G80&lt;=Forudsætninger!$I$97,Forudsætninger!$I$98,Forudsætninger!$I$98))))))))</f>
        <v>2.2000000000000002</v>
      </c>
      <c r="AG80" s="1">
        <f t="shared" si="44"/>
        <v>2.2000000000000002</v>
      </c>
      <c r="AH80" s="1">
        <f t="shared" si="48"/>
        <v>171.59999999999988</v>
      </c>
      <c r="AI80" s="1">
        <f t="shared" si="35"/>
        <v>2.1999999999999984</v>
      </c>
      <c r="AJ80" s="20">
        <f>+(W80*Forudsætninger!$C$12)</f>
        <v>0</v>
      </c>
      <c r="AK80" s="20">
        <f>Forudsætninger!$C$17</f>
        <v>250</v>
      </c>
      <c r="AL80" s="20">
        <f>IF(A80&lt;92,Forudsætninger!$C$20,Forudsætninger!$C$21)</f>
        <v>4.0072859744990899</v>
      </c>
      <c r="AM80" s="20">
        <f t="shared" si="45"/>
        <v>312.56830601092929</v>
      </c>
      <c r="AN80" s="20">
        <f>IFERROR(AD80+AJ80-AA80-Z80-AK80-AM80-Forudsætninger!$C$75,-99999999)</f>
        <v>-1286.833393623823</v>
      </c>
      <c r="AO80" s="19">
        <f>IFERROR(AN80/(A80+Forudsætninger!$C$74),-99999999)</f>
        <v>-16.497864020818245</v>
      </c>
      <c r="AP80" s="19">
        <f>IFERROR(((365/(A80+Forudsætninger!$C$74))*AN80)/(AI80+Forudsætninger!$C$73),-9999999)</f>
        <v>-2606.8053539388156</v>
      </c>
      <c r="AQ80" s="18">
        <f t="shared" si="36"/>
        <v>78</v>
      </c>
      <c r="AR80" s="18">
        <f t="shared" si="46"/>
        <v>3050.5567879394566</v>
      </c>
      <c r="AS80" s="52">
        <f t="shared" si="27"/>
        <v>3.8</v>
      </c>
      <c r="AT80" s="50">
        <f t="shared" si="49"/>
        <v>2.6774202982901443</v>
      </c>
      <c r="AU80" s="50">
        <f t="shared" si="50"/>
        <v>0.24902966648192404</v>
      </c>
      <c r="AV80" s="2">
        <f t="shared" si="51"/>
        <v>39.34884340515282</v>
      </c>
      <c r="AW80" s="61">
        <f t="shared" si="47"/>
        <v>-12.49057804631915</v>
      </c>
      <c r="BA80" s="16"/>
      <c r="BB80" s="2"/>
    </row>
    <row r="81" spans="1:54" x14ac:dyDescent="0.25">
      <c r="A81">
        <v>79</v>
      </c>
      <c r="B81" s="1">
        <f>ROUND((A81+Forudsætninger!$C$60)/30.4,1)</f>
        <v>3.9</v>
      </c>
      <c r="C81" s="1">
        <f>VLOOKUP((A81+Forudsætninger!$C$60),'Model tilvækst, slagteform, fe'!A:B,2,FALSE)</f>
        <v>161.48212783458962</v>
      </c>
      <c r="D81" s="3">
        <f t="shared" si="37"/>
        <v>1504.7328085254605</v>
      </c>
      <c r="E81" s="1">
        <f>(1+Forudsætninger!$C$78)*C81</f>
        <v>150.17837888616833</v>
      </c>
      <c r="F81" s="2">
        <f t="shared" si="38"/>
        <v>5.6810007289807158</v>
      </c>
      <c r="G81" s="1">
        <f t="shared" si="28"/>
        <v>155.85937961514904</v>
      </c>
      <c r="H81" s="3">
        <f t="shared" si="29"/>
        <v>1356.4091459708152</v>
      </c>
      <c r="I81" s="3">
        <f t="shared" si="30"/>
        <v>1099.4858179132789</v>
      </c>
      <c r="J81" s="1">
        <f>VLOOKUP((A81+Forudsætninger!$C$60),'Model tilvækst, slagteform, fe'!G:K,2,FALSE)*(1+Forudsætninger!$C$79)</f>
        <v>47.96809410509006</v>
      </c>
      <c r="K81" s="17">
        <f t="shared" si="26"/>
        <v>74.762773885404243</v>
      </c>
      <c r="L81" s="17">
        <f t="shared" si="39"/>
        <v>679.29988011451314</v>
      </c>
      <c r="M81" s="3">
        <f>((K81-(('Model tilvækst, slagteform, fe'!$H$9/100)*'Model tilvækst, slagteform, fe'!$B$9))*1000/(A81+Forudsætninger!$C$60))</f>
        <v>460.30398183894363</v>
      </c>
      <c r="N81" s="17">
        <f t="shared" si="40"/>
        <v>245.14268216693353</v>
      </c>
      <c r="O81" s="19">
        <f>IF( A81&lt;Forudsætninger!$C$14,(G81/100)*Forudsætninger!$C$13,(Forudsætninger!$C$15/1000)*Forudsætninger!$C$13)</f>
        <v>1.0130859674984689</v>
      </c>
      <c r="P81" s="17" cm="1">
        <f t="array" ref="P81">INDEX('Model tilvækst, slagteform, fe'!$N$9:$N$375,MATCH(MIN(ABS('Model tilvækst, slagteform, fe'!$M$9:$M$375-'Vækstfunktion, hol'!G81)),ABS('Model tilvækst, slagteform, fe'!$M$9:$M$375-'Vækstfunktion, hol'!G81),0))*(1+Forudsætninger!$C$80)</f>
        <v>4.6251778641288883</v>
      </c>
      <c r="Q81" s="17">
        <f t="shared" si="41"/>
        <v>6.8087423530079203</v>
      </c>
      <c r="R81" s="17">
        <f t="shared" si="42"/>
        <v>5.748712404302645</v>
      </c>
      <c r="S81" s="17">
        <f t="shared" si="31"/>
        <v>2.8222937264011785</v>
      </c>
      <c r="T81" s="19">
        <f>(P81)*IF(N81&lt;Forudsætninger!$B$228,IF(N81&lt;Forudsætninger!$B$227,Forudsætninger!$B$225,Forudsætninger!$C$9),Forudsætninger!$C$11)+O81</f>
        <v>11.836002169560068</v>
      </c>
      <c r="U81" s="2">
        <f>Forudsætninger!$C$68+((K81-(Forudsætninger!$C$84)))*0.01</f>
        <v>2.4446805978426829</v>
      </c>
      <c r="V81" s="2">
        <f>U81+Forudsætninger!$C$69</f>
        <v>1.4446805978426829</v>
      </c>
      <c r="W81">
        <f t="shared" si="32"/>
        <v>0</v>
      </c>
      <c r="X81">
        <f>IF(A81+Forudsætninger!$C$60&gt;248,IF(A81+Forudsætninger!$C$60&lt;365,IF(K81&gt;180,IF(K81&lt;260,1,0),0),0),0)</f>
        <v>0</v>
      </c>
      <c r="Y81" s="22">
        <f>IF(X81=0,0,IF('Vækstfunktion, hol'!A81&lt;Forudsætninger!$C$66,Forudsætninger!$C$67+(('Vækstfunktion, hol'!A81-Forudsætninger!$C$66)/7)*Forudsætninger!$C$64,Forudsætninger!$C$67))</f>
        <v>0</v>
      </c>
      <c r="Z81" s="19">
        <f t="shared" si="43"/>
        <v>1149.8244840980876</v>
      </c>
      <c r="AA81" s="19">
        <f>Forudsætninger!$C$62+Forudsætninger!$C$16</f>
        <v>1350</v>
      </c>
      <c r="AB81" s="19">
        <f>IF(K81&gt;Forudsætninger!$C$26,IF(K81&gt;Forudsætninger!$C$27,IF(K81&gt;Forudsætninger!$C$28,Forudsætninger!$E$28,Forudsætninger!$E$27+Forudsætninger!$F$28*(K81-Forudsætninger!$C$27)),Forudsætninger!$E$26+Forudsætninger!$F$27*(K81-Forudsætninger!$C$26)),Forudsætninger!$E$26)+IF(K81&gt;Forudsætninger!$C$28,Forudsætninger!$G$28,IF(K81&gt;Forudsætninger!$C$27,Forudsætninger!$G$27+Forudsætninger!$H$28*(K81-Forudsætninger!$C$27),IF(K81&gt;Forudsætninger!$C$26,Forudsætninger!$G$26+Forudsætninger!$H$27*(K81-Forudsætninger!$C$26),Forudsætninger!$G$26)))*(U81-Forudsætninger!$H$26)</f>
        <v>33.183510448382016</v>
      </c>
      <c r="AC81" s="19">
        <f>IF(K81&gt;Forudsætninger!$C$31,IF(K81&gt;Forudsætninger!$C$32,IF(K81&gt;Forudsætninger!$C$33,Forudsætninger!$E$33,Forudsætninger!$E$32+Forudsætninger!$F$33*(K81-Forudsætninger!$C$32)),Forudsætninger!$E$31+Forudsætninger!$F$32*(K81-Forudsætninger!$C$31)),Forudsætninger!$E$31)+IF(K81&gt;Forudsætninger!$C$33,Forudsætninger!$G$33,IF(K81&gt;Forudsætninger!$C$32,Forudsætninger!$G$32+Forudsætninger!$H$33*(K81-Forudsætninger!$C$32),IF(K81&gt;Forudsætninger!$C$31,Forudsætninger!$G$31+Forudsætninger!$H$32*(K81-Forudsætninger!$C$31),Forudsætninger!$G$31)))*(V81-Forudsætninger!$H$31)</f>
        <v>26.278084777195488</v>
      </c>
      <c r="AD81" s="19">
        <f t="shared" si="33"/>
        <v>1964.6225103389497</v>
      </c>
      <c r="AE81" s="19">
        <f t="shared" si="34"/>
        <v>26.278084777195488</v>
      </c>
      <c r="AF81">
        <f>IF(G81&lt;=Forudsætninger!$C$97,Forudsætninger!$C$98,(IF(G81&lt;=Forudsætninger!$D$97,Forudsætninger!$D$98,IF(G81&lt;=Forudsætninger!$E$97,Forudsætninger!$E$98,IF(G81&lt;=Forudsætninger!$F$97,Forudsætninger!$F$98,IF(G81&lt;=Forudsætninger!$G$97,Forudsætninger!$G$98,IF(G81&lt;=Forudsætninger!$H$97,Forudsætninger!$H$98,IF(G81&lt;=Forudsætninger!$I$97,Forudsætninger!$I$98,Forudsætninger!$I$98))))))))</f>
        <v>2.2000000000000002</v>
      </c>
      <c r="AG81" s="1">
        <f t="shared" si="44"/>
        <v>2.2000000000000002</v>
      </c>
      <c r="AH81" s="1">
        <f t="shared" si="48"/>
        <v>173.79999999999987</v>
      </c>
      <c r="AI81" s="1">
        <f t="shared" si="35"/>
        <v>2.1999999999999984</v>
      </c>
      <c r="AJ81" s="20">
        <f>+(W81*Forudsætninger!$C$12)</f>
        <v>0</v>
      </c>
      <c r="AK81" s="20">
        <f>Forudsætninger!$C$17</f>
        <v>250</v>
      </c>
      <c r="AL81" s="20">
        <f>IF(A81&lt;92,Forudsætninger!$C$20,Forudsætninger!$C$21)</f>
        <v>4.0072859744990899</v>
      </c>
      <c r="AM81" s="20">
        <f t="shared" si="45"/>
        <v>316.57559198542839</v>
      </c>
      <c r="AN81" s="20">
        <f>IFERROR(AD81+AJ81-AA81-Z81-AK81-AM81-Forudsætninger!$C$75,-99999999)</f>
        <v>-1284.1717582939609</v>
      </c>
      <c r="AO81" s="19">
        <f>IFERROR(AN81/(A81+Forudsætninger!$C$74),-99999999)</f>
        <v>-16.255338712581782</v>
      </c>
      <c r="AP81" s="19">
        <f>IFERROR(((365/(A81+Forudsætninger!$C$74))*AN81)/(AI81+Forudsætninger!$C$73),-9999999)</f>
        <v>-2568.4842554512361</v>
      </c>
      <c r="AQ81" s="18">
        <f t="shared" si="36"/>
        <v>79</v>
      </c>
      <c r="AR81" s="18">
        <f t="shared" si="46"/>
        <v>3066.4000760835161</v>
      </c>
      <c r="AS81" s="52">
        <f t="shared" si="27"/>
        <v>3.9</v>
      </c>
      <c r="AT81" s="50">
        <f t="shared" si="49"/>
        <v>2.6616353298620652</v>
      </c>
      <c r="AU81" s="50">
        <f t="shared" si="50"/>
        <v>0.24252530823646268</v>
      </c>
      <c r="AV81" s="2">
        <f t="shared" si="51"/>
        <v>38.321098487579548</v>
      </c>
      <c r="AW81" s="61">
        <f t="shared" si="47"/>
        <v>-12.24805273808269</v>
      </c>
      <c r="BA81" s="16"/>
      <c r="BB81" s="2"/>
    </row>
    <row r="82" spans="1:54" x14ac:dyDescent="0.25">
      <c r="A82">
        <v>80</v>
      </c>
      <c r="B82" s="1">
        <f>ROUND((A82+Forudsætninger!$C$60)/30.4,1)</f>
        <v>3.9</v>
      </c>
      <c r="C82" s="1">
        <f>VLOOKUP((A82+Forudsætninger!$C$60),'Model tilvækst, slagteform, fe'!A:B,2,FALSE)</f>
        <v>162.99130444061876</v>
      </c>
      <c r="D82" s="3">
        <f t="shared" si="37"/>
        <v>1509.1766060291434</v>
      </c>
      <c r="E82" s="1">
        <f>(1+Forudsætninger!$C$78)*C82</f>
        <v>151.58191312977544</v>
      </c>
      <c r="F82" s="2">
        <f t="shared" si="38"/>
        <v>5.6378813973798829</v>
      </c>
      <c r="G82" s="1">
        <f t="shared" si="28"/>
        <v>157.21979452715533</v>
      </c>
      <c r="H82" s="3">
        <f t="shared" si="29"/>
        <v>1360.4149120062914</v>
      </c>
      <c r="I82" s="3">
        <f t="shared" si="30"/>
        <v>1102.7474315894417</v>
      </c>
      <c r="J82" s="1">
        <f>VLOOKUP((A82+Forudsætninger!$C$60),'Model tilvækst, slagteform, fe'!G:K,2,FALSE)*(1+Forudsætninger!$C$79)</f>
        <v>47.986614802692465</v>
      </c>
      <c r="K82" s="17">
        <f t="shared" si="26"/>
        <v>75.444457193330592</v>
      </c>
      <c r="L82" s="17">
        <f t="shared" si="39"/>
        <v>681.6833079263489</v>
      </c>
      <c r="M82" s="3">
        <f>((K82-(('Model tilvækst, slagteform, fe'!$H$9/100)*'Model tilvækst, slagteform, fe'!$B$9))*1000/(A82+Forudsætninger!$C$60))</f>
        <v>462.16431231026638</v>
      </c>
      <c r="N82" s="17">
        <f t="shared" si="40"/>
        <v>249.84005708025478</v>
      </c>
      <c r="O82" s="19">
        <f>IF( A82&lt;Forudsætninger!$C$14,(G82/100)*Forudsætninger!$C$13,(Forudsætninger!$C$15/1000)*Forudsætninger!$C$13)</f>
        <v>1.0219286644265098</v>
      </c>
      <c r="P82" s="17" cm="1">
        <f t="array" ref="P82">INDEX('Model tilvækst, slagteform, fe'!$N$9:$N$375,MATCH(MIN(ABS('Model tilvækst, slagteform, fe'!$M$9:$M$375-'Vækstfunktion, hol'!G82)),ABS('Model tilvækst, slagteform, fe'!$M$9:$M$375-'Vækstfunktion, hol'!G82),0))*(1+Forudsætninger!$C$80)</f>
        <v>4.6973749133212648</v>
      </c>
      <c r="Q82" s="17">
        <f t="shared" si="41"/>
        <v>6.8908463192541358</v>
      </c>
      <c r="R82" s="17">
        <f t="shared" si="42"/>
        <v>5.7666830507269147</v>
      </c>
      <c r="S82" s="17">
        <f t="shared" si="31"/>
        <v>2.8320181249498422</v>
      </c>
      <c r="T82" s="19">
        <f>(P82)*IF(N82&lt;Forudsætninger!$B$228,IF(N82&lt;Forudsætninger!$B$227,Forudsætninger!$B$225,Forudsætninger!$C$9),Forudsætninger!$C$11)+O82</f>
        <v>12.013785961598268</v>
      </c>
      <c r="U82" s="2">
        <f>Forudsætninger!$C$68+((K82-(Forudsætninger!$C$84)))*0.01</f>
        <v>2.4514974309219459</v>
      </c>
      <c r="V82" s="2">
        <f>U82+Forudsætninger!$C$69</f>
        <v>1.4514974309219459</v>
      </c>
      <c r="W82">
        <f t="shared" si="32"/>
        <v>0</v>
      </c>
      <c r="X82">
        <f>IF(A82+Forudsætninger!$C$60&gt;248,IF(A82+Forudsætninger!$C$60&lt;365,IF(K82&gt;180,IF(K82&lt;260,1,0),0),0),0)</f>
        <v>0</v>
      </c>
      <c r="Y82" s="22">
        <f>IF(X82=0,0,IF('Vækstfunktion, hol'!A82&lt;Forudsætninger!$C$66,Forudsætninger!$C$67+(('Vækstfunktion, hol'!A82-Forudsætninger!$C$66)/7)*Forudsætninger!$C$64,Forudsætninger!$C$67))</f>
        <v>0</v>
      </c>
      <c r="Z82" s="19">
        <f t="shared" si="43"/>
        <v>1161.8382700596858</v>
      </c>
      <c r="AA82" s="19">
        <f>Forudsætninger!$C$62+Forudsætninger!$C$16</f>
        <v>1350</v>
      </c>
      <c r="AB82" s="19">
        <f>IF(K82&gt;Forudsætninger!$C$26,IF(K82&gt;Forudsætninger!$C$27,IF(K82&gt;Forudsætninger!$C$28,Forudsætninger!$E$28,Forudsætninger!$E$27+Forudsætninger!$F$28*(K82-Forudsætninger!$C$27)),Forudsætninger!$E$26+Forudsætninger!$F$27*(K82-Forudsætninger!$C$26)),Forudsætninger!$E$26)+IF(K82&gt;Forudsætninger!$C$28,Forudsætninger!$G$28,IF(K82&gt;Forudsætninger!$C$27,Forudsætninger!$G$27+Forudsætninger!$H$28*(K82-Forudsætninger!$C$27),IF(K82&gt;Forudsætninger!$C$26,Forudsætninger!$G$26+Forudsætninger!$H$27*(K82-Forudsætninger!$C$26),Forudsætninger!$G$26)))*(U82-Forudsætninger!$H$26)</f>
        <v>33.188623073191458</v>
      </c>
      <c r="AC82" s="19">
        <f>IF(K82&gt;Forudsætninger!$C$31,IF(K82&gt;Forudsætninger!$C$32,IF(K82&gt;Forudsætninger!$C$33,Forudsætninger!$E$33,Forudsætninger!$E$32+Forudsætninger!$F$33*(K82-Forudsætninger!$C$32)),Forudsætninger!$E$31+Forudsætninger!$F$32*(K82-Forudsætninger!$C$31)),Forudsætninger!$E$31)+IF(K82&gt;Forudsætninger!$C$33,Forudsætninger!$G$33,IF(K82&gt;Forudsætninger!$C$32,Forudsætninger!$G$32+Forudsætninger!$H$33*(K82-Forudsætninger!$C$32),IF(K82&gt;Forudsætninger!$C$31,Forudsætninger!$G$31+Forudsætninger!$H$32*(K82-Forudsætninger!$C$31),Forudsætninger!$G$31)))*(V82-Forudsætninger!$H$31)</f>
        <v>26.286946660198531</v>
      </c>
      <c r="AD82" s="19">
        <f t="shared" si="33"/>
        <v>1983.2044220487126</v>
      </c>
      <c r="AE82" s="19">
        <f t="shared" si="34"/>
        <v>26.286946660198531</v>
      </c>
      <c r="AF82">
        <f>IF(G82&lt;=Forudsætninger!$C$97,Forudsætninger!$C$98,(IF(G82&lt;=Forudsætninger!$D$97,Forudsætninger!$D$98,IF(G82&lt;=Forudsætninger!$E$97,Forudsætninger!$E$98,IF(G82&lt;=Forudsætninger!$F$97,Forudsætninger!$F$98,IF(G82&lt;=Forudsætninger!$G$97,Forudsætninger!$G$98,IF(G82&lt;=Forudsætninger!$H$97,Forudsætninger!$H$98,IF(G82&lt;=Forudsætninger!$I$97,Forudsætninger!$I$98,Forudsætninger!$I$98))))))))</f>
        <v>2.2000000000000002</v>
      </c>
      <c r="AG82" s="1">
        <f t="shared" si="44"/>
        <v>2.2000000000000002</v>
      </c>
      <c r="AH82" s="1">
        <f t="shared" si="48"/>
        <v>175.99999999999986</v>
      </c>
      <c r="AI82" s="1">
        <f t="shared" si="35"/>
        <v>2.1999999999999984</v>
      </c>
      <c r="AJ82" s="20">
        <f>+(W82*Forudsætninger!$C$12)</f>
        <v>0</v>
      </c>
      <c r="AK82" s="20">
        <f>Forudsætninger!$C$17</f>
        <v>250</v>
      </c>
      <c r="AL82" s="20">
        <f>IF(A82&lt;92,Forudsætninger!$C$20,Forudsætninger!$C$21)</f>
        <v>4.0072859744990899</v>
      </c>
      <c r="AM82" s="20">
        <f t="shared" si="45"/>
        <v>320.58287795992749</v>
      </c>
      <c r="AN82" s="20">
        <f>IFERROR(AD82+AJ82-AA82-Z82-AK82-AM82-Forudsætninger!$C$75,-99999999)</f>
        <v>-1281.6109185202954</v>
      </c>
      <c r="AO82" s="19">
        <f>IFERROR(AN82/(A82+Forudsætninger!$C$74),-99999999)</f>
        <v>-16.020136481503691</v>
      </c>
      <c r="AP82" s="19">
        <f>IFERROR(((365/(A82+Forudsætninger!$C$74))*AN82)/(AI82+Forudsætninger!$C$73),-9999999)</f>
        <v>-2531.3202665579447</v>
      </c>
      <c r="AQ82" s="18">
        <f t="shared" si="36"/>
        <v>80</v>
      </c>
      <c r="AR82" s="18">
        <f t="shared" si="46"/>
        <v>3082.4211480196132</v>
      </c>
      <c r="AS82" s="52">
        <f t="shared" si="27"/>
        <v>3.9</v>
      </c>
      <c r="AT82" s="50">
        <f t="shared" si="49"/>
        <v>2.5608397736655206</v>
      </c>
      <c r="AU82" s="50">
        <f t="shared" si="50"/>
        <v>0.23520223107809102</v>
      </c>
      <c r="AV82" s="2">
        <f t="shared" si="51"/>
        <v>37.163988893291389</v>
      </c>
      <c r="AW82" s="61">
        <f t="shared" si="47"/>
        <v>-12.012850507004599</v>
      </c>
      <c r="BA82" s="16"/>
      <c r="BB82" s="2"/>
    </row>
    <row r="83" spans="1:54" x14ac:dyDescent="0.25">
      <c r="A83">
        <v>81</v>
      </c>
      <c r="B83" s="1">
        <f>ROUND((A83+Forudsætninger!$C$60)/30.4,1)</f>
        <v>3.9</v>
      </c>
      <c r="C83" s="1">
        <f>VLOOKUP((A83+Forudsætninger!$C$60),'Model tilvækst, slagteform, fe'!A:B,2,FALSE)</f>
        <v>164.50482825136714</v>
      </c>
      <c r="D83" s="3">
        <f t="shared" si="37"/>
        <v>1513.5238107483815</v>
      </c>
      <c r="E83" s="1">
        <f>(1+Forudsætninger!$C$78)*C83</f>
        <v>152.98949027377142</v>
      </c>
      <c r="F83" s="2">
        <f t="shared" si="38"/>
        <v>5.5946378599299296</v>
      </c>
      <c r="G83" s="1">
        <f t="shared" si="28"/>
        <v>158.58412813370134</v>
      </c>
      <c r="H83" s="3">
        <f t="shared" si="29"/>
        <v>1364.3336065460119</v>
      </c>
      <c r="I83" s="3">
        <f t="shared" si="30"/>
        <v>1105.9768905395226</v>
      </c>
      <c r="J83" s="1">
        <f>VLOOKUP((A83+Forudsætninger!$C$60),'Model tilvækst, slagteform, fe'!G:K,2,FALSE)*(1+Forudsætninger!$C$79)</f>
        <v>48.0051071348135</v>
      </c>
      <c r="K83" s="17">
        <f t="shared" si="26"/>
        <v>76.12848060939325</v>
      </c>
      <c r="L83" s="17">
        <f t="shared" si="39"/>
        <v>684.02341606265793</v>
      </c>
      <c r="M83" s="3">
        <f>((K83-(('Model tilvækst, slagteform, fe'!$H$9/100)*'Model tilvækst, slagteform, fe'!$B$9))*1000/(A83+Forudsætninger!$C$60))</f>
        <v>464.01313817486965</v>
      </c>
      <c r="N83" s="17">
        <f t="shared" si="40"/>
        <v>254.57328946556444</v>
      </c>
      <c r="O83" s="19">
        <f>IF( A83&lt;Forudsætninger!$C$14,(G83/100)*Forudsætninger!$C$13,(Forudsætninger!$C$15/1000)*Forudsætninger!$C$13)</f>
        <v>1.0307968328690589</v>
      </c>
      <c r="P83" s="17" cm="1">
        <f t="array" ref="P83">INDEX('Model tilvækst, slagteform, fe'!$N$9:$N$375,MATCH(MIN(ABS('Model tilvækst, slagteform, fe'!$M$9:$M$375-'Vækstfunktion, hol'!G83)),ABS('Model tilvækst, slagteform, fe'!$M$9:$M$375-'Vækstfunktion, hol'!G83),0))*(1+Forudsætninger!$C$80)</f>
        <v>4.7332323853096536</v>
      </c>
      <c r="Q83" s="17">
        <f t="shared" si="41"/>
        <v>6.9196934990250103</v>
      </c>
      <c r="R83" s="17">
        <f t="shared" si="42"/>
        <v>5.7846041655963036</v>
      </c>
      <c r="S83" s="17">
        <f t="shared" si="31"/>
        <v>2.8417231352145578</v>
      </c>
      <c r="T83" s="19">
        <f>(P83)*IF(N83&lt;Forudsætninger!$B$228,IF(N83&lt;Forudsætninger!$B$227,Forudsætninger!$B$225,Forudsætninger!$C$9),Forudsætninger!$C$11)+O83</f>
        <v>12.106560614493649</v>
      </c>
      <c r="U83" s="2">
        <f>Forudsætninger!$C$68+((K83-(Forudsætninger!$C$84)))*0.01</f>
        <v>2.4583376650825728</v>
      </c>
      <c r="V83" s="2">
        <f>U83+Forudsætninger!$C$69</f>
        <v>1.4583376650825728</v>
      </c>
      <c r="W83">
        <f t="shared" si="32"/>
        <v>0</v>
      </c>
      <c r="X83">
        <f>IF(A83+Forudsætninger!$C$60&gt;248,IF(A83+Forudsætninger!$C$60&lt;365,IF(K83&gt;180,IF(K83&lt;260,1,0),0),0),0)</f>
        <v>0</v>
      </c>
      <c r="Y83" s="22">
        <f>IF(X83=0,0,IF('Vækstfunktion, hol'!A83&lt;Forudsætninger!$C$66,Forudsætninger!$C$67+(('Vækstfunktion, hol'!A83-Forudsætninger!$C$66)/7)*Forudsætninger!$C$64,Forudsætninger!$C$67))</f>
        <v>0</v>
      </c>
      <c r="Z83" s="19">
        <f t="shared" si="43"/>
        <v>1173.9448306741795</v>
      </c>
      <c r="AA83" s="19">
        <f>Forudsætninger!$C$62+Forudsætninger!$C$16</f>
        <v>1350</v>
      </c>
      <c r="AB83" s="19">
        <f>IF(K83&gt;Forudsætninger!$C$26,IF(K83&gt;Forudsætninger!$C$27,IF(K83&gt;Forudsætninger!$C$28,Forudsætninger!$E$28,Forudsætninger!$E$27+Forudsætninger!$F$28*(K83-Forudsætninger!$C$27)),Forudsætninger!$E$26+Forudsætninger!$F$27*(K83-Forudsætninger!$C$26)),Forudsætninger!$E$26)+IF(K83&gt;Forudsætninger!$C$28,Forudsætninger!$G$28,IF(K83&gt;Forudsætninger!$C$27,Forudsætninger!$G$27+Forudsætninger!$H$28*(K83-Forudsætninger!$C$27),IF(K83&gt;Forudsætninger!$C$26,Forudsætninger!$G$26+Forudsætninger!$H$27*(K83-Forudsætninger!$C$26),Forudsætninger!$G$26)))*(U83-Forudsætninger!$H$26)</f>
        <v>33.19375324881193</v>
      </c>
      <c r="AC83" s="19">
        <f>IF(K83&gt;Forudsætninger!$C$31,IF(K83&gt;Forudsætninger!$C$32,IF(K83&gt;Forudsætninger!$C$33,Forudsætninger!$E$33,Forudsætninger!$E$32+Forudsætninger!$F$33*(K83-Forudsætninger!$C$32)),Forudsætninger!$E$31+Forudsætninger!$F$32*(K83-Forudsætninger!$C$31)),Forudsætninger!$E$31)+IF(K83&gt;Forudsætninger!$C$33,Forudsætninger!$G$33,IF(K83&gt;Forudsætninger!$C$32,Forudsætninger!$G$32+Forudsætninger!$H$33*(K83-Forudsætninger!$C$32),IF(K83&gt;Forudsætninger!$C$31,Forudsætninger!$G$31+Forudsætninger!$H$32*(K83-Forudsætninger!$C$31),Forudsætninger!$G$31)))*(V83-Forudsætninger!$H$31)</f>
        <v>26.295838964607345</v>
      </c>
      <c r="AD83" s="19">
        <f t="shared" si="33"/>
        <v>2001.8622667248378</v>
      </c>
      <c r="AE83" s="19">
        <f t="shared" si="34"/>
        <v>26.295838964607345</v>
      </c>
      <c r="AF83">
        <f>IF(G83&lt;=Forudsætninger!$C$97,Forudsætninger!$C$98,(IF(G83&lt;=Forudsætninger!$D$97,Forudsætninger!$D$98,IF(G83&lt;=Forudsætninger!$E$97,Forudsætninger!$E$98,IF(G83&lt;=Forudsætninger!$F$97,Forudsætninger!$F$98,IF(G83&lt;=Forudsætninger!$G$97,Forudsætninger!$G$98,IF(G83&lt;=Forudsætninger!$H$97,Forudsætninger!$H$98,IF(G83&lt;=Forudsætninger!$I$97,Forudsætninger!$I$98,Forudsætninger!$I$98))))))))</f>
        <v>2.2000000000000002</v>
      </c>
      <c r="AG83" s="1">
        <f t="shared" si="44"/>
        <v>2.2000000000000002</v>
      </c>
      <c r="AH83" s="1">
        <f t="shared" si="48"/>
        <v>178.19999999999985</v>
      </c>
      <c r="AI83" s="1">
        <f t="shared" si="35"/>
        <v>2.199999999999998</v>
      </c>
      <c r="AJ83" s="20">
        <f>+(W83*Forudsætninger!$C$12)</f>
        <v>0</v>
      </c>
      <c r="AK83" s="20">
        <f>Forudsætninger!$C$17</f>
        <v>250</v>
      </c>
      <c r="AL83" s="20">
        <f>IF(A83&lt;92,Forudsætninger!$C$20,Forudsætninger!$C$21)</f>
        <v>4.0072859744990899</v>
      </c>
      <c r="AM83" s="20">
        <f t="shared" si="45"/>
        <v>324.59016393442658</v>
      </c>
      <c r="AN83" s="20">
        <f>IFERROR(AD83+AJ83-AA83-Z83-AK83-AM83-Forudsætninger!$C$75,-99999999)</f>
        <v>-1279.0669204331627</v>
      </c>
      <c r="AO83" s="19">
        <f>IFERROR(AN83/(A83+Forudsætninger!$C$74),-99999999)</f>
        <v>-15.790949634977318</v>
      </c>
      <c r="AP83" s="19">
        <f>IFERROR(((365/(A83+Forudsætninger!$C$74))*AN83)/(AI83+Forudsætninger!$C$73),-9999999)</f>
        <v>-2495.1067605050762</v>
      </c>
      <c r="AQ83" s="18">
        <f t="shared" si="36"/>
        <v>81</v>
      </c>
      <c r="AR83" s="18">
        <f t="shared" si="46"/>
        <v>3098.5349946086062</v>
      </c>
      <c r="AS83" s="52">
        <f t="shared" si="27"/>
        <v>3.9</v>
      </c>
      <c r="AT83" s="50">
        <f t="shared" si="49"/>
        <v>2.5439980871326497</v>
      </c>
      <c r="AU83" s="50">
        <f t="shared" si="50"/>
        <v>0.22918684652637289</v>
      </c>
      <c r="AV83" s="2">
        <f t="shared" si="51"/>
        <v>36.213506052868524</v>
      </c>
      <c r="AW83" s="61">
        <f t="shared" si="47"/>
        <v>-11.783663660478226</v>
      </c>
      <c r="BA83" s="16"/>
      <c r="BB83" s="2"/>
    </row>
    <row r="84" spans="1:54" x14ac:dyDescent="0.25">
      <c r="A84">
        <v>82</v>
      </c>
      <c r="B84" s="1">
        <f>ROUND((A84+Forudsætninger!$C$60)/30.4,1)</f>
        <v>4</v>
      </c>
      <c r="C84" s="1">
        <f>VLOOKUP((A84+Forudsætninger!$C$60),'Model tilvækst, slagteform, fe'!A:B,2,FALSE)</f>
        <v>166.02260320839787</v>
      </c>
      <c r="D84" s="3">
        <f t="shared" si="37"/>
        <v>1517.7749570307242</v>
      </c>
      <c r="E84" s="1">
        <f>(1+Forudsætninger!$C$78)*C84</f>
        <v>154.40102098381001</v>
      </c>
      <c r="F84" s="2">
        <f t="shared" si="38"/>
        <v>5.5512728611576234</v>
      </c>
      <c r="G84" s="1">
        <f t="shared" si="28"/>
        <v>159.95229384496764</v>
      </c>
      <c r="H84" s="3">
        <f t="shared" si="29"/>
        <v>1368.1657112663004</v>
      </c>
      <c r="I84" s="3">
        <f t="shared" si="30"/>
        <v>1109.1743151825322</v>
      </c>
      <c r="J84" s="1">
        <f>VLOOKUP((A84+Forudsætninger!$C$60),'Model tilvækst, slagteform, fe'!G:K,2,FALSE)*(1+Forudsætninger!$C$79)</f>
        <v>48.023569425800304</v>
      </c>
      <c r="K84" s="17">
        <f t="shared" si="26"/>
        <v>76.814800882798139</v>
      </c>
      <c r="L84" s="17">
        <f t="shared" si="39"/>
        <v>686.32027340488833</v>
      </c>
      <c r="M84" s="3">
        <f>((K84-(('Model tilvækst, slagteform, fe'!$H$9/100)*'Model tilvækst, slagteform, fe'!$B$9))*1000/(A84+Forudsætninger!$C$60))</f>
        <v>465.85038722635738</v>
      </c>
      <c r="N84" s="17">
        <f t="shared" si="40"/>
        <v>259.34221191314708</v>
      </c>
      <c r="O84" s="19">
        <f>IF( A84&lt;Forudsætninger!$C$14,(G84/100)*Forudsætninger!$C$13,(Forudsætninger!$C$15/1000)*Forudsætninger!$C$13)</f>
        <v>1.0396899099922898</v>
      </c>
      <c r="P84" s="17" cm="1">
        <f t="array" ref="P84">INDEX('Model tilvækst, slagteform, fe'!$N$9:$N$375,MATCH(MIN(ABS('Model tilvækst, slagteform, fe'!$M$9:$M$375-'Vækstfunktion, hol'!G84)),ABS('Model tilvækst, slagteform, fe'!$M$9:$M$375-'Vækstfunktion, hol'!G84),0))*(1+Forudsætninger!$C$80)</f>
        <v>4.7689224475826588</v>
      </c>
      <c r="Q84" s="17">
        <f t="shared" si="41"/>
        <v>6.9485379237359011</v>
      </c>
      <c r="R84" s="17">
        <f t="shared" si="42"/>
        <v>5.8024770775167864</v>
      </c>
      <c r="S84" s="17">
        <f t="shared" si="31"/>
        <v>2.8514092492841114</v>
      </c>
      <c r="T84" s="19">
        <f>(P84)*IF(N84&lt;Forudsætninger!$B$228,IF(N84&lt;Forudsætninger!$B$227,Forudsætninger!$B$225,Forudsætninger!$C$9),Forudsætninger!$C$11)+O84</f>
        <v>12.198968437335711</v>
      </c>
      <c r="U84" s="2">
        <f>Forudsætninger!$C$68+((K84-(Forudsætninger!$C$84)))*0.01</f>
        <v>2.4652008678166215</v>
      </c>
      <c r="V84" s="2">
        <f>U84+Forudsætninger!$C$69</f>
        <v>1.4652008678166215</v>
      </c>
      <c r="W84">
        <f t="shared" si="32"/>
        <v>0</v>
      </c>
      <c r="X84">
        <f>IF(A84+Forudsætninger!$C$60&gt;248,IF(A84+Forudsætninger!$C$60&lt;365,IF(K84&gt;180,IF(K84&lt;260,1,0),0),0),0)</f>
        <v>0</v>
      </c>
      <c r="Y84" s="22">
        <f>IF(X84=0,0,IF('Vækstfunktion, hol'!A84&lt;Forudsætninger!$C$66,Forudsætninger!$C$67+(('Vækstfunktion, hol'!A84-Forudsætninger!$C$66)/7)*Forudsætninger!$C$64,Forudsætninger!$C$67))</f>
        <v>0</v>
      </c>
      <c r="Z84" s="19">
        <f t="shared" si="43"/>
        <v>1186.1437991115151</v>
      </c>
      <c r="AA84" s="19">
        <f>Forudsætninger!$C$62+Forudsætninger!$C$16</f>
        <v>1350</v>
      </c>
      <c r="AB84" s="19">
        <f>IF(K84&gt;Forudsætninger!$C$26,IF(K84&gt;Forudsætninger!$C$27,IF(K84&gt;Forudsætninger!$C$28,Forudsætninger!$E$28,Forudsætninger!$E$27+Forudsætninger!$F$28*(K84-Forudsætninger!$C$27)),Forudsætninger!$E$26+Forudsætninger!$F$27*(K84-Forudsætninger!$C$26)),Forudsætninger!$E$26)+IF(K84&gt;Forudsætninger!$C$28,Forudsætninger!$G$28,IF(K84&gt;Forudsætninger!$C$27,Forudsætninger!$G$27+Forudsætninger!$H$28*(K84-Forudsætninger!$C$27),IF(K84&gt;Forudsætninger!$C$26,Forudsætninger!$G$26+Forudsætninger!$H$27*(K84-Forudsætninger!$C$26),Forudsætninger!$G$26)))*(U84-Forudsætninger!$H$26)</f>
        <v>33.19890065086247</v>
      </c>
      <c r="AC84" s="19">
        <f>IF(K84&gt;Forudsætninger!$C$31,IF(K84&gt;Forudsætninger!$C$32,IF(K84&gt;Forudsætninger!$C$33,Forudsætninger!$E$33,Forudsætninger!$E$32+Forudsætninger!$F$33*(K84-Forudsætninger!$C$32)),Forudsætninger!$E$31+Forudsætninger!$F$32*(K84-Forudsætninger!$C$31)),Forudsætninger!$E$31)+IF(K84&gt;Forudsætninger!$C$33,Forudsætninger!$G$33,IF(K84&gt;Forudsætninger!$C$32,Forudsætninger!$G$32+Forudsætninger!$H$33*(K84-Forudsætninger!$C$32),IF(K84&gt;Forudsætninger!$C$31,Forudsætninger!$G$31+Forudsætninger!$H$32*(K84-Forudsætninger!$C$31),Forudsætninger!$G$31)))*(V84-Forudsætninger!$H$31)</f>
        <v>26.304761128161608</v>
      </c>
      <c r="AD84" s="19">
        <f t="shared" si="33"/>
        <v>2020.5949883293024</v>
      </c>
      <c r="AE84" s="19">
        <f t="shared" si="34"/>
        <v>26.304761128161608</v>
      </c>
      <c r="AF84">
        <f>IF(G84&lt;=Forudsætninger!$C$97,Forudsætninger!$C$98,(IF(G84&lt;=Forudsætninger!$D$97,Forudsætninger!$D$98,IF(G84&lt;=Forudsætninger!$E$97,Forudsætninger!$E$98,IF(G84&lt;=Forudsætninger!$F$97,Forudsætninger!$F$98,IF(G84&lt;=Forudsætninger!$G$97,Forudsætninger!$G$98,IF(G84&lt;=Forudsætninger!$H$97,Forudsætninger!$H$98,IF(G84&lt;=Forudsætninger!$I$97,Forudsætninger!$I$98,Forudsætninger!$I$98))))))))</f>
        <v>2.2000000000000002</v>
      </c>
      <c r="AG84" s="1">
        <f t="shared" si="44"/>
        <v>2.2000000000000002</v>
      </c>
      <c r="AH84" s="1">
        <f t="shared" si="48"/>
        <v>180.39999999999984</v>
      </c>
      <c r="AI84" s="1">
        <f t="shared" si="35"/>
        <v>2.199999999999998</v>
      </c>
      <c r="AJ84" s="20">
        <f>+(W84*Forudsætninger!$C$12)</f>
        <v>0</v>
      </c>
      <c r="AK84" s="20">
        <f>Forudsætninger!$C$17</f>
        <v>250</v>
      </c>
      <c r="AL84" s="20">
        <f>IF(A84&lt;92,Forudsætninger!$C$20,Forudsætninger!$C$21)</f>
        <v>4.0072859744990899</v>
      </c>
      <c r="AM84" s="20">
        <f t="shared" si="45"/>
        <v>328.59744990892568</v>
      </c>
      <c r="AN84" s="20">
        <f>IFERROR(AD84+AJ84-AA84-Z84-AK84-AM84-Forudsætninger!$C$75,-99999999)</f>
        <v>-1276.540453240533</v>
      </c>
      <c r="AO84" s="19">
        <f>IFERROR(AN84/(A84+Forudsætninger!$C$74),-99999999)</f>
        <v>-15.56756650293333</v>
      </c>
      <c r="AP84" s="19">
        <f>IFERROR(((365/(A84+Forudsætninger!$C$74))*AN84)/(AI84+Forudsætninger!$C$73),-9999999)</f>
        <v>-2459.8102915890349</v>
      </c>
      <c r="AQ84" s="18">
        <f t="shared" si="36"/>
        <v>82</v>
      </c>
      <c r="AR84" s="18">
        <f t="shared" si="46"/>
        <v>3114.741249020441</v>
      </c>
      <c r="AS84" s="52">
        <f t="shared" si="27"/>
        <v>4</v>
      </c>
      <c r="AT84" s="50">
        <f t="shared" si="49"/>
        <v>2.5264671926297524</v>
      </c>
      <c r="AU84" s="50">
        <f t="shared" si="50"/>
        <v>0.2233831320439883</v>
      </c>
      <c r="AV84" s="2">
        <f t="shared" si="51"/>
        <v>35.296468916041249</v>
      </c>
      <c r="AW84" s="61">
        <f t="shared" si="47"/>
        <v>-11.560280528434236</v>
      </c>
      <c r="BA84" s="16"/>
      <c r="BB84" s="2"/>
    </row>
    <row r="85" spans="1:54" x14ac:dyDescent="0.25">
      <c r="A85">
        <v>83</v>
      </c>
      <c r="B85" s="1">
        <f>ROUND((A85+Forudsætninger!$C$60)/30.4,1)</f>
        <v>4</v>
      </c>
      <c r="C85" s="1">
        <f>VLOOKUP((A85+Forudsætninger!$C$60),'Model tilvækst, slagteform, fe'!A:B,2,FALSE)</f>
        <v>167.54453378762133</v>
      </c>
      <c r="D85" s="3">
        <f t="shared" si="37"/>
        <v>1521.930579223465</v>
      </c>
      <c r="E85" s="1">
        <f>(1+Forudsætninger!$C$78)*C85</f>
        <v>155.81641642248783</v>
      </c>
      <c r="F85" s="2">
        <f t="shared" si="38"/>
        <v>5.5077891303226671</v>
      </c>
      <c r="G85" s="1">
        <f t="shared" si="28"/>
        <v>161.3242055528105</v>
      </c>
      <c r="H85" s="3">
        <f t="shared" si="29"/>
        <v>1371.9117078428553</v>
      </c>
      <c r="I85" s="3">
        <f t="shared" si="30"/>
        <v>1112.3398259374758</v>
      </c>
      <c r="J85" s="1">
        <f>VLOOKUP((A85+Forudsætninger!$C$60),'Model tilvækst, slagteform, fe'!G:K,2,FALSE)*(1+Forudsætninger!$C$79)</f>
        <v>48.042000000000002</v>
      </c>
      <c r="K85" s="17">
        <f t="shared" si="26"/>
        <v>77.503374831681228</v>
      </c>
      <c r="L85" s="17">
        <f t="shared" si="39"/>
        <v>688.57394888308932</v>
      </c>
      <c r="M85" s="3">
        <f>((K85-(('Model tilvækst, slagteform, fe'!$H$9/100)*'Model tilvækst, slagteform, fe'!$B$9))*1000/(A85+Forudsætninger!$C$60))</f>
        <v>467.67599019075686</v>
      </c>
      <c r="N85" s="17">
        <f t="shared" si="40"/>
        <v>264.14665198230472</v>
      </c>
      <c r="O85" s="19">
        <f>IF( A85&lt;Forudsætninger!$C$14,(G85/100)*Forudsætninger!$C$13,(Forudsætninger!$C$15/1000)*Forudsætninger!$C$13)</f>
        <v>1.0486073360932684</v>
      </c>
      <c r="P85" s="17" cm="1">
        <f t="array" ref="P85">INDEX('Model tilvækst, slagteform, fe'!$N$9:$N$375,MATCH(MIN(ABS('Model tilvækst, slagteform, fe'!$M$9:$M$375-'Vækstfunktion, hol'!G85)),ABS('Model tilvækst, slagteform, fe'!$M$9:$M$375-'Vækstfunktion, hol'!G85),0))*(1+Forudsætninger!$C$80)</f>
        <v>4.8044400691576392</v>
      </c>
      <c r="Q85" s="17">
        <f t="shared" si="41"/>
        <v>6.9773770514419642</v>
      </c>
      <c r="R85" s="17">
        <f t="shared" si="42"/>
        <v>5.8203029980296694</v>
      </c>
      <c r="S85" s="17">
        <f t="shared" si="31"/>
        <v>2.8610769017796729</v>
      </c>
      <c r="T85" s="19">
        <f>(P85)*IF(N85&lt;Forudsætninger!$B$228,IF(N85&lt;Forudsætninger!$B$227,Forudsætninger!$B$225,Forudsætninger!$C$9),Forudsætninger!$C$11)+O85</f>
        <v>12.290997097922144</v>
      </c>
      <c r="U85" s="2">
        <f>Forudsætninger!$C$68+((K85-(Forudsætninger!$C$84)))*0.01</f>
        <v>2.4720866073054522</v>
      </c>
      <c r="V85" s="2">
        <f>U85+Forudsætninger!$C$69</f>
        <v>1.4720866073054522</v>
      </c>
      <c r="W85">
        <f t="shared" si="32"/>
        <v>0</v>
      </c>
      <c r="X85">
        <f>IF(A85+Forudsætninger!$C$60&gt;248,IF(A85+Forudsætninger!$C$60&lt;365,IF(K85&gt;180,IF(K85&lt;260,1,0),0),0),0)</f>
        <v>0</v>
      </c>
      <c r="Y85" s="22">
        <f>IF(X85=0,0,IF('Vækstfunktion, hol'!A85&lt;Forudsætninger!$C$66,Forudsætninger!$C$67+(('Vækstfunktion, hol'!A85-Forudsætninger!$C$66)/7)*Forudsætninger!$C$64,Forudsætninger!$C$67))</f>
        <v>0</v>
      </c>
      <c r="Z85" s="19">
        <f t="shared" si="43"/>
        <v>1198.4347962094373</v>
      </c>
      <c r="AA85" s="19">
        <f>Forudsætninger!$C$62+Forudsætninger!$C$16</f>
        <v>1350</v>
      </c>
      <c r="AB85" s="19">
        <f>IF(K85&gt;Forudsætninger!$C$26,IF(K85&gt;Forudsætninger!$C$27,IF(K85&gt;Forudsætninger!$C$28,Forudsætninger!$E$28,Forudsætninger!$E$27+Forudsætninger!$F$28*(K85-Forudsætninger!$C$27)),Forudsætninger!$E$26+Forudsætninger!$F$27*(K85-Forudsætninger!$C$26)),Forudsætninger!$E$26)+IF(K85&gt;Forudsætninger!$C$28,Forudsætninger!$G$28,IF(K85&gt;Forudsætninger!$C$27,Forudsætninger!$G$27+Forudsætninger!$H$28*(K85-Forudsætninger!$C$27),IF(K85&gt;Forudsætninger!$C$26,Forudsætninger!$G$26+Forudsætninger!$H$27*(K85-Forudsætninger!$C$26),Forudsætninger!$G$26)))*(U85-Forudsætninger!$H$26)</f>
        <v>33.20406495547909</v>
      </c>
      <c r="AC85" s="19">
        <f>IF(K85&gt;Forudsætninger!$C$31,IF(K85&gt;Forudsætninger!$C$32,IF(K85&gt;Forudsætninger!$C$33,Forudsætninger!$E$33,Forudsætninger!$E$32+Forudsætninger!$F$33*(K85-Forudsætninger!$C$32)),Forudsætninger!$E$31+Forudsætninger!$F$32*(K85-Forudsætninger!$C$31)),Forudsætninger!$E$31)+IF(K85&gt;Forudsætninger!$C$33,Forudsætninger!$G$33,IF(K85&gt;Forudsætninger!$C$32,Forudsætninger!$G$32+Forudsætninger!$H$33*(K85-Forudsætninger!$C$32),IF(K85&gt;Forudsætninger!$C$31,Forudsætninger!$G$31+Forudsætninger!$H$32*(K85-Forudsætninger!$C$31),Forudsætninger!$G$31)))*(V85-Forudsætninger!$H$31)</f>
        <v>26.313712589497086</v>
      </c>
      <c r="AD85" s="19">
        <f t="shared" si="33"/>
        <v>2039.4015300369219</v>
      </c>
      <c r="AE85" s="19">
        <f t="shared" si="34"/>
        <v>26.313712589497086</v>
      </c>
      <c r="AF85">
        <f>IF(G85&lt;=Forudsætninger!$C$97,Forudsætninger!$C$98,(IF(G85&lt;=Forudsætninger!$D$97,Forudsætninger!$D$98,IF(G85&lt;=Forudsætninger!$E$97,Forudsætninger!$E$98,IF(G85&lt;=Forudsætninger!$F$97,Forudsætninger!$F$98,IF(G85&lt;=Forudsætninger!$G$97,Forudsætninger!$G$98,IF(G85&lt;=Forudsætninger!$H$97,Forudsætninger!$H$98,IF(G85&lt;=Forudsætninger!$I$97,Forudsætninger!$I$98,Forudsætninger!$I$98))))))))</f>
        <v>2.2000000000000002</v>
      </c>
      <c r="AG85" s="1">
        <f t="shared" si="44"/>
        <v>2.2000000000000002</v>
      </c>
      <c r="AH85" s="1">
        <f t="shared" si="48"/>
        <v>182.59999999999982</v>
      </c>
      <c r="AI85" s="1">
        <f t="shared" si="35"/>
        <v>2.199999999999998</v>
      </c>
      <c r="AJ85" s="20">
        <f>+(W85*Forudsætninger!$C$12)</f>
        <v>0</v>
      </c>
      <c r="AK85" s="20">
        <f>Forudsætninger!$C$17</f>
        <v>250</v>
      </c>
      <c r="AL85" s="20">
        <f>IF(A85&lt;92,Forudsætninger!$C$20,Forudsætninger!$C$21)</f>
        <v>4.0072859744990899</v>
      </c>
      <c r="AM85" s="20">
        <f t="shared" si="45"/>
        <v>332.60473588342478</v>
      </c>
      <c r="AN85" s="20">
        <f>IFERROR(AD85+AJ85-AA85-Z85-AK85-AM85-Forudsætninger!$C$75,-99999999)</f>
        <v>-1274.0321946053348</v>
      </c>
      <c r="AO85" s="19">
        <f>IFERROR(AN85/(A85+Forudsætninger!$C$74),-99999999)</f>
        <v>-15.349785477172707</v>
      </c>
      <c r="AP85" s="19">
        <f>IFERROR(((365/(A85+Forudsætninger!$C$74))*AN85)/(AI85+Forudsætninger!$C$73),-9999999)</f>
        <v>-2425.3990039688497</v>
      </c>
      <c r="AQ85" s="18">
        <f t="shared" si="36"/>
        <v>83</v>
      </c>
      <c r="AR85" s="18">
        <f t="shared" si="46"/>
        <v>3131.0395320928619</v>
      </c>
      <c r="AS85" s="52">
        <f t="shared" si="27"/>
        <v>4</v>
      </c>
      <c r="AT85" s="50">
        <f t="shared" si="49"/>
        <v>2.5082586351982172</v>
      </c>
      <c r="AU85" s="50">
        <f t="shared" si="50"/>
        <v>0.21778102576062253</v>
      </c>
      <c r="AV85" s="2">
        <f t="shared" si="51"/>
        <v>34.411287620185249</v>
      </c>
      <c r="AW85" s="61">
        <f t="shared" si="47"/>
        <v>-11.342499502673613</v>
      </c>
      <c r="BA85" s="16"/>
      <c r="BB85" s="2"/>
    </row>
    <row r="86" spans="1:54" x14ac:dyDescent="0.25">
      <c r="A86">
        <v>84</v>
      </c>
      <c r="B86" s="1">
        <f>ROUND((A86+Forudsætninger!$C$60)/30.4,1)</f>
        <v>4</v>
      </c>
      <c r="C86" s="1">
        <f>VLOOKUP((A86+Forudsætninger!$C$60),'Model tilvækst, slagteform, fe'!A:B,2,FALSE)</f>
        <v>169.07052499929551</v>
      </c>
      <c r="D86" s="3">
        <f t="shared" si="37"/>
        <v>1525.9912116741816</v>
      </c>
      <c r="E86" s="1">
        <f>(1+Forudsætninger!$C$78)*C86</f>
        <v>157.23558824934483</v>
      </c>
      <c r="F86" s="2">
        <f t="shared" si="38"/>
        <v>5.4641893814176905</v>
      </c>
      <c r="G86" s="1">
        <f t="shared" si="28"/>
        <v>162.69977763076253</v>
      </c>
      <c r="H86" s="3">
        <f t="shared" si="29"/>
        <v>1375.5720779520288</v>
      </c>
      <c r="I86" s="3">
        <f t="shared" si="30"/>
        <v>1115.4735432233635</v>
      </c>
      <c r="J86" s="1">
        <f>VLOOKUP((A86+Forudsætninger!$C$60),'Model tilvækst, slagteform, fe'!G:K,2,FALSE)*(1+Forudsætninger!$C$79)</f>
        <v>48.060397729176792</v>
      </c>
      <c r="K86" s="17">
        <f t="shared" si="26"/>
        <v>78.194160233830686</v>
      </c>
      <c r="L86" s="17">
        <f t="shared" si="39"/>
        <v>690.7854021494586</v>
      </c>
      <c r="M86" s="3">
        <f>((K86-(('Model tilvækst, slagteform, fe'!$H$9/100)*'Model tilvækst, slagteform, fe'!$B$9))*1000/(A86+Forudsætninger!$C$60))</f>
        <v>469.48988784895766</v>
      </c>
      <c r="N86" s="17">
        <f t="shared" si="40"/>
        <v>268.98643220135665</v>
      </c>
      <c r="O86" s="19">
        <f>IF( A86&lt;Forudsætninger!$C$14,(G86/100)*Forudsætninger!$C$13,(Forudsætninger!$C$15/1000)*Forudsætninger!$C$13)</f>
        <v>1.0575485545999566</v>
      </c>
      <c r="P86" s="17" cm="1">
        <f t="array" ref="P86">INDEX('Model tilvækst, slagteform, fe'!$N$9:$N$375,MATCH(MIN(ABS('Model tilvækst, slagteform, fe'!$M$9:$M$375-'Vækstfunktion, hol'!G86)),ABS('Model tilvækst, slagteform, fe'!$M$9:$M$375-'Vækstfunktion, hol'!G86),0))*(1+Forudsætninger!$C$80)</f>
        <v>4.8397802190519563</v>
      </c>
      <c r="Q86" s="17">
        <f t="shared" si="41"/>
        <v>7.0061993261473399</v>
      </c>
      <c r="R86" s="17">
        <f t="shared" si="42"/>
        <v>5.8380829162886645</v>
      </c>
      <c r="S86" s="17">
        <f t="shared" si="31"/>
        <v>2.8707264734537197</v>
      </c>
      <c r="T86" s="19">
        <f>(P86)*IF(N86&lt;Forudsætninger!$B$228,IF(N86&lt;Forudsætninger!$B$227,Forudsætninger!$B$225,Forudsætninger!$C$9),Forudsætninger!$C$11)+O86</f>
        <v>12.382634267181533</v>
      </c>
      <c r="U86" s="2">
        <f>Forudsætninger!$C$68+((K86-(Forudsætninger!$C$84)))*0.01</f>
        <v>2.478994461326947</v>
      </c>
      <c r="V86" s="2">
        <f>U86+Forudsætninger!$C$69</f>
        <v>1.478994461326947</v>
      </c>
      <c r="W86">
        <f t="shared" si="32"/>
        <v>0</v>
      </c>
      <c r="X86">
        <f>IF(A86+Forudsætninger!$C$60&gt;248,IF(A86+Forudsætninger!$C$60&lt;365,IF(K86&gt;180,IF(K86&lt;260,1,0),0),0),0)</f>
        <v>0</v>
      </c>
      <c r="Y86" s="22">
        <f>IF(X86=0,0,IF('Vækstfunktion, hol'!A86&lt;Forudsætninger!$C$66,Forudsætninger!$C$67+(('Vækstfunktion, hol'!A86-Forudsætninger!$C$66)/7)*Forudsætninger!$C$64,Forudsætninger!$C$67))</f>
        <v>0</v>
      </c>
      <c r="Z86" s="19">
        <f t="shared" si="43"/>
        <v>1210.8174304766189</v>
      </c>
      <c r="AA86" s="19">
        <f>Forudsætninger!$C$62+Forudsætninger!$C$16</f>
        <v>1350</v>
      </c>
      <c r="AB86" s="19">
        <f>IF(K86&gt;Forudsætninger!$C$26,IF(K86&gt;Forudsætninger!$C$27,IF(K86&gt;Forudsætninger!$C$28,Forudsætninger!$E$28,Forudsætninger!$E$27+Forudsætninger!$F$28*(K86-Forudsætninger!$C$27)),Forudsætninger!$E$26+Forudsætninger!$F$27*(K86-Forudsætninger!$C$26)),Forudsætninger!$E$26)+IF(K86&gt;Forudsætninger!$C$28,Forudsætninger!$G$28,IF(K86&gt;Forudsætninger!$C$27,Forudsætninger!$G$27+Forudsætninger!$H$28*(K86-Forudsætninger!$C$27),IF(K86&gt;Forudsætninger!$C$26,Forudsætninger!$G$26+Forudsætninger!$H$27*(K86-Forudsætninger!$C$26),Forudsætninger!$G$26)))*(U86-Forudsætninger!$H$26)</f>
        <v>33.209245845995213</v>
      </c>
      <c r="AC86" s="19">
        <f>IF(K86&gt;Forudsætninger!$C$31,IF(K86&gt;Forudsætninger!$C$32,IF(K86&gt;Forudsætninger!$C$33,Forudsætninger!$E$33,Forudsætninger!$E$32+Forudsætninger!$F$33*(K86-Forudsætninger!$C$32)),Forudsætninger!$E$31+Forudsætninger!$F$32*(K86-Forudsætninger!$C$31)),Forudsætninger!$E$31)+IF(K86&gt;Forudsætninger!$C$33,Forudsætninger!$G$33,IF(K86&gt;Forudsætninger!$C$32,Forudsætninger!$G$32+Forudsætninger!$H$33*(K86-Forudsætninger!$C$32),IF(K86&gt;Forudsætninger!$C$31,Forudsætninger!$G$31+Forudsætninger!$H$32*(K86-Forudsætninger!$C$31),Forudsætninger!$G$31)))*(V86-Forudsætninger!$H$31)</f>
        <v>26.322692799725029</v>
      </c>
      <c r="AD86" s="19">
        <f t="shared" si="33"/>
        <v>2058.2808585676003</v>
      </c>
      <c r="AE86" s="19">
        <f t="shared" si="34"/>
        <v>26.322692799725029</v>
      </c>
      <c r="AF86">
        <f>IF(G86&lt;=Forudsætninger!$C$97,Forudsætninger!$C$98,(IF(G86&lt;=Forudsætninger!$D$97,Forudsætninger!$D$98,IF(G86&lt;=Forudsætninger!$E$97,Forudsætninger!$E$98,IF(G86&lt;=Forudsætninger!$F$97,Forudsætninger!$F$98,IF(G86&lt;=Forudsætninger!$G$97,Forudsætninger!$G$98,IF(G86&lt;=Forudsætninger!$H$97,Forudsætninger!$H$98,IF(G86&lt;=Forudsætninger!$I$97,Forudsætninger!$I$98,Forudsætninger!$I$98))))))))</f>
        <v>2.2000000000000002</v>
      </c>
      <c r="AG86" s="1">
        <f t="shared" si="44"/>
        <v>2.2000000000000002</v>
      </c>
      <c r="AH86" s="1">
        <f t="shared" si="48"/>
        <v>184.79999999999981</v>
      </c>
      <c r="AI86" s="1">
        <f t="shared" si="35"/>
        <v>2.199999999999998</v>
      </c>
      <c r="AJ86" s="20">
        <f>+(W86*Forudsætninger!$C$12)</f>
        <v>0</v>
      </c>
      <c r="AK86" s="20">
        <f>Forudsætninger!$C$17</f>
        <v>250</v>
      </c>
      <c r="AL86" s="20">
        <f>IF(A86&lt;92,Forudsætninger!$C$20,Forudsætninger!$C$21)</f>
        <v>4.0072859744990899</v>
      </c>
      <c r="AM86" s="20">
        <f t="shared" si="45"/>
        <v>336.61202185792388</v>
      </c>
      <c r="AN86" s="20">
        <f>IFERROR(AD86+AJ86-AA86-Z86-AK86-AM86-Forudsætninger!$C$75,-99999999)</f>
        <v>-1271.5427863163372</v>
      </c>
      <c r="AO86" s="19">
        <f>IFERROR(AN86/(A86+Forudsætninger!$C$74),-99999999)</f>
        <v>-15.137414122813539</v>
      </c>
      <c r="AP86" s="19">
        <f>IFERROR(((365/(A86+Forudsætninger!$C$74))*AN86)/(AI86+Forudsætninger!$C$73),-9999999)</f>
        <v>-2391.8424912670762</v>
      </c>
      <c r="AQ86" s="18">
        <f t="shared" si="36"/>
        <v>84</v>
      </c>
      <c r="AR86" s="18">
        <f t="shared" si="46"/>
        <v>3147.4294523345429</v>
      </c>
      <c r="AS86" s="52">
        <f t="shared" si="27"/>
        <v>4</v>
      </c>
      <c r="AT86" s="50">
        <f t="shared" si="49"/>
        <v>2.489408288997538</v>
      </c>
      <c r="AU86" s="50">
        <f t="shared" si="50"/>
        <v>0.21237135435916876</v>
      </c>
      <c r="AV86" s="2">
        <f t="shared" si="51"/>
        <v>33.556512701773499</v>
      </c>
      <c r="AW86" s="61">
        <f t="shared" si="47"/>
        <v>-11.130128148314444</v>
      </c>
      <c r="BA86" s="16"/>
      <c r="BB86" s="2"/>
    </row>
    <row r="87" spans="1:54" x14ac:dyDescent="0.25">
      <c r="A87">
        <v>85</v>
      </c>
      <c r="B87" s="1">
        <f>ROUND((A87+Forudsætninger!$C$60)/30.4,1)</f>
        <v>4.0999999999999996</v>
      </c>
      <c r="C87" s="1">
        <f>VLOOKUP((A87+Forudsætninger!$C$60),'Model tilvækst, slagteform, fe'!A:B,2,FALSE)</f>
        <v>170.60048238802568</v>
      </c>
      <c r="D87" s="3">
        <f t="shared" si="37"/>
        <v>1529.9573887301676</v>
      </c>
      <c r="E87" s="1">
        <f>(1+Forudsætninger!$C$78)*C87</f>
        <v>158.65844862086388</v>
      </c>
      <c r="F87" s="2">
        <f t="shared" si="38"/>
        <v>5.4204763131682574</v>
      </c>
      <c r="G87" s="1">
        <f t="shared" si="28"/>
        <v>164.07892493403213</v>
      </c>
      <c r="H87" s="3">
        <f t="shared" si="29"/>
        <v>1379.1473032696047</v>
      </c>
      <c r="I87" s="3">
        <f t="shared" si="30"/>
        <v>1118.5755874592014</v>
      </c>
      <c r="J87" s="1">
        <f>VLOOKUP((A87+Forudsætninger!$C$60),'Model tilvækst, slagteform, fe'!G:K,2,FALSE)*(1+Forudsætninger!$C$79)</f>
        <v>48.078763674763046</v>
      </c>
      <c r="K87" s="17">
        <f t="shared" si="26"/>
        <v>78.88711855912517</v>
      </c>
      <c r="L87" s="17">
        <f t="shared" si="39"/>
        <v>692.95832529448376</v>
      </c>
      <c r="M87" s="3">
        <f>((K87-(('Model tilvækst, slagteform, fe'!$H$9/100)*'Model tilvækst, slagteform, fe'!$B$9))*1000/(A87+Forudsætninger!$C$60))</f>
        <v>471.29205266706668</v>
      </c>
      <c r="N87" s="17">
        <f t="shared" si="40"/>
        <v>273.89634018122467</v>
      </c>
      <c r="O87" s="19">
        <f>IF( A87&lt;Forudsætninger!$C$14,(G87/100)*Forudsætninger!$C$13,(Forudsætninger!$C$15/1000)*Forudsætninger!$C$13)</f>
        <v>1.066513012071209</v>
      </c>
      <c r="P87" s="17" cm="1">
        <f t="array" ref="P87">INDEX('Model tilvækst, slagteform, fe'!$N$9:$N$375,MATCH(MIN(ABS('Model tilvækst, slagteform, fe'!$M$9:$M$375-'Vækstfunktion, hol'!G87)),ABS('Model tilvækst, slagteform, fe'!$M$9:$M$375-'Vækstfunktion, hol'!G87),0))*(1+Forudsætninger!$C$80)</f>
        <v>4.9099079798680467</v>
      </c>
      <c r="Q87" s="17">
        <f t="shared" si="41"/>
        <v>7.0854303940738461</v>
      </c>
      <c r="R87" s="17">
        <f t="shared" si="42"/>
        <v>5.8565650160327865</v>
      </c>
      <c r="S87" s="17">
        <f t="shared" si="31"/>
        <v>2.8807260954124168</v>
      </c>
      <c r="T87" s="19">
        <f>(P87)*IF(N87&lt;Forudsætninger!$B$228,IF(N87&lt;Forudsætninger!$B$227,Forudsætninger!$B$225,Forudsætninger!$C$9),Forudsætninger!$C$11)+O87</f>
        <v>12.555697684962437</v>
      </c>
      <c r="U87" s="2">
        <f>Forudsætninger!$C$68+((K87-(Forudsætninger!$C$84)))*0.01</f>
        <v>2.485924044579892</v>
      </c>
      <c r="V87" s="2">
        <f>U87+Forudsætninger!$C$69</f>
        <v>1.485924044579892</v>
      </c>
      <c r="W87">
        <f t="shared" si="32"/>
        <v>0</v>
      </c>
      <c r="X87">
        <f>IF(A87+Forudsætninger!$C$60&gt;248,IF(A87+Forudsætninger!$C$60&lt;365,IF(K87&gt;180,IF(K87&lt;260,1,0),0),0),0)</f>
        <v>0</v>
      </c>
      <c r="Y87" s="22">
        <f>IF(X87=0,0,IF('Vækstfunktion, hol'!A87&lt;Forudsætninger!$C$66,Forudsætninger!$C$67+(('Vækstfunktion, hol'!A87-Forudsætninger!$C$66)/7)*Forudsætninger!$C$64,Forudsætninger!$C$67))</f>
        <v>0</v>
      </c>
      <c r="Z87" s="19">
        <f t="shared" si="43"/>
        <v>1223.3731281615815</v>
      </c>
      <c r="AA87" s="19">
        <f>Forudsætninger!$C$62+Forudsætninger!$C$16</f>
        <v>1350</v>
      </c>
      <c r="AB87" s="19">
        <f>IF(K87&gt;Forudsætninger!$C$26,IF(K87&gt;Forudsætninger!$C$27,IF(K87&gt;Forudsætninger!$C$28,Forudsætninger!$E$28,Forudsætninger!$E$27+Forudsætninger!$F$28*(K87-Forudsætninger!$C$27)),Forudsætninger!$E$26+Forudsætninger!$F$27*(K87-Forudsætninger!$C$26)),Forudsætninger!$E$26)+IF(K87&gt;Forudsætninger!$C$28,Forudsætninger!$G$28,IF(K87&gt;Forudsætninger!$C$27,Forudsætninger!$G$27+Forudsætninger!$H$28*(K87-Forudsætninger!$C$27),IF(K87&gt;Forudsætninger!$C$26,Forudsætninger!$G$26+Forudsætninger!$H$27*(K87-Forudsætninger!$C$26),Forudsætninger!$G$26)))*(U87-Forudsætninger!$H$26)</f>
        <v>33.214443033434918</v>
      </c>
      <c r="AC87" s="19">
        <f>IF(K87&gt;Forudsætninger!$C$31,IF(K87&gt;Forudsætninger!$C$32,IF(K87&gt;Forudsætninger!$C$33,Forudsætninger!$E$33,Forudsætninger!$E$32+Forudsætninger!$F$33*(K87-Forudsætninger!$C$32)),Forudsætninger!$E$31+Forudsætninger!$F$32*(K87-Forudsætninger!$C$31)),Forudsætninger!$E$31)+IF(K87&gt;Forudsætninger!$C$33,Forudsætninger!$G$33,IF(K87&gt;Forudsætninger!$C$32,Forudsætninger!$G$32+Forudsætninger!$H$33*(K87-Forudsætninger!$C$32),IF(K87&gt;Forudsætninger!$C$31,Forudsætninger!$G$31+Forudsætninger!$H$32*(K87-Forudsætninger!$C$31),Forudsætninger!$G$31)))*(V87-Forudsætninger!$H$31)</f>
        <v>26.33170125795386</v>
      </c>
      <c r="AD87" s="19">
        <f t="shared" si="33"/>
        <v>2077.2320389996717</v>
      </c>
      <c r="AE87" s="19">
        <f t="shared" si="34"/>
        <v>26.33170125795386</v>
      </c>
      <c r="AF87">
        <f>IF(G87&lt;=Forudsætninger!$C$97,Forudsætninger!$C$98,(IF(G87&lt;=Forudsætninger!$D$97,Forudsætninger!$D$98,IF(G87&lt;=Forudsætninger!$E$97,Forudsætninger!$E$98,IF(G87&lt;=Forudsætninger!$F$97,Forudsætninger!$F$98,IF(G87&lt;=Forudsætninger!$G$97,Forudsætninger!$G$98,IF(G87&lt;=Forudsætninger!$H$97,Forudsætninger!$H$98,IF(G87&lt;=Forudsætninger!$I$97,Forudsætninger!$I$98,Forudsætninger!$I$98))))))))</f>
        <v>2.2000000000000002</v>
      </c>
      <c r="AG87" s="1">
        <f t="shared" si="44"/>
        <v>2.2000000000000002</v>
      </c>
      <c r="AH87" s="1">
        <f t="shared" si="48"/>
        <v>186.9999999999998</v>
      </c>
      <c r="AI87" s="1">
        <f t="shared" si="35"/>
        <v>2.1999999999999975</v>
      </c>
      <c r="AJ87" s="20">
        <f>+(W87*Forudsætninger!$C$12)</f>
        <v>0</v>
      </c>
      <c r="AK87" s="20">
        <f>Forudsætninger!$C$17</f>
        <v>250</v>
      </c>
      <c r="AL87" s="20">
        <f>IF(A87&lt;92,Forudsætninger!$C$20,Forudsætninger!$C$21)</f>
        <v>4.0072859744990899</v>
      </c>
      <c r="AM87" s="20">
        <f t="shared" si="45"/>
        <v>340.61930783242298</v>
      </c>
      <c r="AN87" s="20">
        <f>IFERROR(AD87+AJ87-AA87-Z87-AK87-AM87-Forudsætninger!$C$75,-99999999)</f>
        <v>-1269.1545895437273</v>
      </c>
      <c r="AO87" s="19">
        <f>IFERROR(AN87/(A87+Forudsætninger!$C$74),-99999999)</f>
        <v>-14.93123046522032</v>
      </c>
      <c r="AP87" s="19">
        <f>IFERROR(((365/(A87+Forudsætninger!$C$74))*AN87)/(AI87+Forudsætninger!$C$73),-9999999)</f>
        <v>-2359.263688227456</v>
      </c>
      <c r="AQ87" s="18">
        <f t="shared" si="36"/>
        <v>85</v>
      </c>
      <c r="AR87" s="18">
        <f t="shared" si="46"/>
        <v>3163.9924359940046</v>
      </c>
      <c r="AS87" s="52">
        <f t="shared" si="27"/>
        <v>4.0999999999999996</v>
      </c>
      <c r="AT87" s="50">
        <f t="shared" si="49"/>
        <v>2.3881967726099447</v>
      </c>
      <c r="AU87" s="50">
        <f t="shared" si="50"/>
        <v>0.20618365759321833</v>
      </c>
      <c r="AV87" s="2">
        <f t="shared" si="51"/>
        <v>32.578803039620198</v>
      </c>
      <c r="AW87" s="61">
        <f t="shared" si="47"/>
        <v>-10.923944490721228</v>
      </c>
      <c r="BA87" s="16"/>
      <c r="BB87" s="2"/>
    </row>
    <row r="88" spans="1:54" x14ac:dyDescent="0.25">
      <c r="A88">
        <v>86</v>
      </c>
      <c r="B88" s="1">
        <f>ROUND((A88+Forudsætninger!$C$60)/30.4,1)</f>
        <v>4.0999999999999996</v>
      </c>
      <c r="C88" s="1">
        <f>VLOOKUP((A88+Forudsætninger!$C$60),'Model tilvækst, slagteform, fe'!A:B,2,FALSE)</f>
        <v>172.13431203276463</v>
      </c>
      <c r="D88" s="3">
        <f t="shared" si="37"/>
        <v>1533.8296447389439</v>
      </c>
      <c r="E88" s="1">
        <f>(1+Forudsætninger!$C$78)*C88</f>
        <v>160.08491019047108</v>
      </c>
      <c r="F88" s="2">
        <f t="shared" si="38"/>
        <v>5.3766526090328588</v>
      </c>
      <c r="G88" s="1">
        <f t="shared" si="28"/>
        <v>165.46156279950392</v>
      </c>
      <c r="H88" s="3">
        <f t="shared" si="29"/>
        <v>1382.6378654717928</v>
      </c>
      <c r="I88" s="3">
        <f t="shared" si="30"/>
        <v>1121.6460790639992</v>
      </c>
      <c r="J88" s="1">
        <f>VLOOKUP((A88+Forudsætninger!$C$60),'Model tilvækst, slagteform, fe'!G:K,2,FALSE)*(1+Forudsætninger!$C$79)</f>
        <v>48.097099445608187</v>
      </c>
      <c r="K88" s="17">
        <f t="shared" si="26"/>
        <v>79.582212403934847</v>
      </c>
      <c r="L88" s="17">
        <f t="shared" si="39"/>
        <v>695.0938448096764</v>
      </c>
      <c r="M88" s="3">
        <f>((K88-(('Model tilvækst, slagteform, fe'!$H$9/100)*'Model tilvækst, slagteform, fe'!$B$9))*1000/(A88+Forudsætninger!$C$60))</f>
        <v>473.08246700420761</v>
      </c>
      <c r="N88" s="17">
        <f t="shared" si="40"/>
        <v>278.84102571004922</v>
      </c>
      <c r="O88" s="19">
        <f>IF( A88&lt;Forudsætninger!$C$14,(G88/100)*Forudsætninger!$C$13,(Forudsætninger!$C$15/1000)*Forudsætninger!$C$13)</f>
        <v>1.0755001581967756</v>
      </c>
      <c r="P88" s="17" cm="1">
        <f t="array" ref="P88">INDEX('Model tilvækst, slagteform, fe'!$N$9:$N$375,MATCH(MIN(ABS('Model tilvækst, slagteform, fe'!$M$9:$M$375-'Vækstfunktion, hol'!G88)),ABS('Model tilvækst, slagteform, fe'!$M$9:$M$375-'Vækstfunktion, hol'!G88),0))*(1+Forudsætninger!$C$80)</f>
        <v>4.944685528824543</v>
      </c>
      <c r="Q88" s="17">
        <f t="shared" si="41"/>
        <v>7.1136948855854811</v>
      </c>
      <c r="R88" s="17">
        <f t="shared" si="42"/>
        <v>5.8749758304724518</v>
      </c>
      <c r="S88" s="17">
        <f t="shared" si="31"/>
        <v>2.8906957094363315</v>
      </c>
      <c r="T88" s="19">
        <f>(P88)*IF(N88&lt;Forudsætninger!$B$228,IF(N88&lt;Forudsætninger!$B$227,Forudsætninger!$B$225,Forudsætninger!$C$9),Forudsætninger!$C$11)+O88</f>
        <v>12.646064295646205</v>
      </c>
      <c r="U88" s="2">
        <f>Forudsætninger!$C$68+((K88-(Forudsætninger!$C$84)))*0.01</f>
        <v>2.4928749830279888</v>
      </c>
      <c r="V88" s="2">
        <f>U88+Forudsætninger!$C$69</f>
        <v>1.4928749830279888</v>
      </c>
      <c r="W88">
        <f t="shared" si="32"/>
        <v>0</v>
      </c>
      <c r="X88">
        <f>IF(A88+Forudsætninger!$C$60&gt;248,IF(A88+Forudsætninger!$C$60&lt;365,IF(K88&gt;180,IF(K88&lt;260,1,0),0),0),0)</f>
        <v>0</v>
      </c>
      <c r="Y88" s="22">
        <f>IF(X88=0,0,IF('Vækstfunktion, hol'!A88&lt;Forudsætninger!$C$66,Forudsætninger!$C$67+(('Vækstfunktion, hol'!A88-Forudsætninger!$C$66)/7)*Forudsætninger!$C$64,Forudsætninger!$C$67))</f>
        <v>0</v>
      </c>
      <c r="Z88" s="19">
        <f t="shared" si="43"/>
        <v>1236.0191924572277</v>
      </c>
      <c r="AA88" s="19">
        <f>Forudsætninger!$C$62+Forudsætninger!$C$16</f>
        <v>1350</v>
      </c>
      <c r="AB88" s="19">
        <f>IF(K88&gt;Forudsætninger!$C$26,IF(K88&gt;Forudsætninger!$C$27,IF(K88&gt;Forudsætninger!$C$28,Forudsætninger!$E$28,Forudsætninger!$E$27+Forudsætninger!$F$28*(K88-Forudsætninger!$C$27)),Forudsætninger!$E$26+Forudsætninger!$F$27*(K88-Forudsætninger!$C$26)),Forudsætninger!$E$26)+IF(K88&gt;Forudsætninger!$C$28,Forudsætninger!$G$28,IF(K88&gt;Forudsætninger!$C$27,Forudsætninger!$G$27+Forudsætninger!$H$28*(K88-Forudsætninger!$C$27),IF(K88&gt;Forudsætninger!$C$26,Forudsætninger!$G$26+Forudsætninger!$H$27*(K88-Forudsætninger!$C$26),Forudsætninger!$G$26)))*(U88-Forudsætninger!$H$26)</f>
        <v>33.219656237270996</v>
      </c>
      <c r="AC88" s="19">
        <f>IF(K88&gt;Forudsætninger!$C$31,IF(K88&gt;Forudsætninger!$C$32,IF(K88&gt;Forudsætninger!$C$33,Forudsætninger!$E$33,Forudsætninger!$E$32+Forudsætninger!$F$33*(K88-Forudsætninger!$C$32)),Forudsætninger!$E$31+Forudsætninger!$F$32*(K88-Forudsætninger!$C$31)),Forudsætninger!$E$31)+IF(K88&gt;Forudsætninger!$C$33,Forudsætninger!$G$33,IF(K88&gt;Forudsætninger!$C$32,Forudsætninger!$G$32+Forudsætninger!$H$33*(K88-Forudsætninger!$C$32),IF(K88&gt;Forudsætninger!$C$31,Forudsætninger!$G$31+Forudsætninger!$H$32*(K88-Forudsætninger!$C$31),Forudsætninger!$G$31)))*(V88-Forudsætninger!$H$31)</f>
        <v>26.340737477936386</v>
      </c>
      <c r="AD88" s="19">
        <f t="shared" si="33"/>
        <v>2096.2541648454207</v>
      </c>
      <c r="AE88" s="19">
        <f t="shared" si="34"/>
        <v>26.34073747793639</v>
      </c>
      <c r="AF88">
        <f>IF(G88&lt;=Forudsætninger!$C$97,Forudsætninger!$C$98,(IF(G88&lt;=Forudsætninger!$D$97,Forudsætninger!$D$98,IF(G88&lt;=Forudsætninger!$E$97,Forudsætninger!$E$98,IF(G88&lt;=Forudsætninger!$F$97,Forudsætninger!$F$98,IF(G88&lt;=Forudsætninger!$G$97,Forudsætninger!$G$98,IF(G88&lt;=Forudsætninger!$H$97,Forudsætninger!$H$98,IF(G88&lt;=Forudsætninger!$I$97,Forudsætninger!$I$98,Forudsætninger!$I$98))))))))</f>
        <v>2.2000000000000002</v>
      </c>
      <c r="AG88" s="1">
        <f t="shared" si="44"/>
        <v>2.2000000000000002</v>
      </c>
      <c r="AH88" s="1">
        <f t="shared" si="48"/>
        <v>189.19999999999979</v>
      </c>
      <c r="AI88" s="1">
        <f t="shared" si="35"/>
        <v>2.1999999999999975</v>
      </c>
      <c r="AJ88" s="20">
        <f>+(W88*Forudsætninger!$C$12)</f>
        <v>0</v>
      </c>
      <c r="AK88" s="20">
        <f>Forudsætninger!$C$17</f>
        <v>250</v>
      </c>
      <c r="AL88" s="20">
        <f>IF(A88&lt;92,Forudsætninger!$C$20,Forudsætninger!$C$21)</f>
        <v>4.0072859744990899</v>
      </c>
      <c r="AM88" s="20">
        <f t="shared" si="45"/>
        <v>344.62659380692207</v>
      </c>
      <c r="AN88" s="20">
        <f>IFERROR(AD88+AJ88-AA88-Z88-AK88-AM88-Forudsætninger!$C$75,-99999999)</f>
        <v>-1266.7858139681236</v>
      </c>
      <c r="AO88" s="19">
        <f>IFERROR(AN88/(A88+Forudsætninger!$C$74),-99999999)</f>
        <v>-14.730067604280508</v>
      </c>
      <c r="AP88" s="19">
        <f>IFERROR(((365/(A88+Forudsætninger!$C$74))*AN88)/(AI88+Forudsætninger!$C$73),-9999999)</f>
        <v>-2327.4782145291738</v>
      </c>
      <c r="AQ88" s="18">
        <f t="shared" si="36"/>
        <v>86</v>
      </c>
      <c r="AR88" s="18">
        <f t="shared" si="46"/>
        <v>3180.64578626415</v>
      </c>
      <c r="AS88" s="52">
        <f t="shared" si="27"/>
        <v>4.0999999999999996</v>
      </c>
      <c r="AT88" s="50">
        <f t="shared" si="49"/>
        <v>2.3687755756036495</v>
      </c>
      <c r="AU88" s="50">
        <f t="shared" si="50"/>
        <v>0.20116286093981195</v>
      </c>
      <c r="AV88" s="2">
        <f t="shared" si="51"/>
        <v>31.785473698282203</v>
      </c>
      <c r="AW88" s="61">
        <f t="shared" si="47"/>
        <v>-10.722781629781414</v>
      </c>
      <c r="BA88" s="16"/>
      <c r="BB88" s="2"/>
    </row>
    <row r="89" spans="1:54" x14ac:dyDescent="0.25">
      <c r="A89">
        <v>87</v>
      </c>
      <c r="B89" s="1">
        <f>ROUND((A89+Forudsætninger!$C$60)/30.4,1)</f>
        <v>4.0999999999999996</v>
      </c>
      <c r="C89" s="1">
        <f>VLOOKUP((A89+Forudsætninger!$C$60),'Model tilvækst, slagteform, fe'!A:B,2,FALSE)</f>
        <v>173.67192054681243</v>
      </c>
      <c r="D89" s="3">
        <f t="shared" si="37"/>
        <v>1537.608514047804</v>
      </c>
      <c r="E89" s="1">
        <f>(1+Forudsætninger!$C$78)*C89</f>
        <v>161.51488610853556</v>
      </c>
      <c r="F89" s="2">
        <f t="shared" si="38"/>
        <v>5.3327209372029216</v>
      </c>
      <c r="G89" s="1">
        <f t="shared" si="28"/>
        <v>166.84760704573847</v>
      </c>
      <c r="H89" s="3">
        <f t="shared" si="29"/>
        <v>1386.0442462345475</v>
      </c>
      <c r="I89" s="3">
        <f t="shared" si="30"/>
        <v>1124.6851384567642</v>
      </c>
      <c r="J89" s="1">
        <f>VLOOKUP((A89+Forudsætninger!$C$60),'Model tilvækst, slagteform, fe'!G:K,2,FALSE)*(1+Forudsætninger!$C$79)</f>
        <v>48.11540665056166</v>
      </c>
      <c r="K89" s="17">
        <f t="shared" si="26"/>
        <v>80.279404616788227</v>
      </c>
      <c r="L89" s="17">
        <f t="shared" si="39"/>
        <v>697.19221285338051</v>
      </c>
      <c r="M89" s="3">
        <f>((K89-(('Model tilvækst, slagteform, fe'!$H$9/100)*'Model tilvækst, slagteform, fe'!$B$9))*1000/(A89+Forudsætninger!$C$60))</f>
        <v>474.8611157807884</v>
      </c>
      <c r="N89" s="17">
        <f t="shared" si="40"/>
        <v>283.82029119221903</v>
      </c>
      <c r="O89" s="19">
        <f>IF( A89&lt;Forudsætninger!$C$14,(G89/100)*Forudsætninger!$C$13,(Forudsætninger!$C$15/1000)*Forudsætninger!$C$13)</f>
        <v>1.0845094457973001</v>
      </c>
      <c r="P89" s="17" cm="1">
        <f t="array" ref="P89">INDEX('Model tilvækst, slagteform, fe'!$N$9:$N$375,MATCH(MIN(ABS('Model tilvækst, slagteform, fe'!$M$9:$M$375-'Vækstfunktion, hol'!G89)),ABS('Model tilvækst, slagteform, fe'!$M$9:$M$375-'Vækstfunktion, hol'!G89),0))*(1+Forudsætninger!$C$80)</f>
        <v>4.9792654821698177</v>
      </c>
      <c r="Q89" s="17">
        <f t="shared" si="41"/>
        <v>7.1418833864929541</v>
      </c>
      <c r="R89" s="17">
        <f t="shared" si="42"/>
        <v>5.8933164403807101</v>
      </c>
      <c r="S89" s="17">
        <f t="shared" si="31"/>
        <v>2.9006359967449011</v>
      </c>
      <c r="T89" s="19">
        <f>(P89)*IF(N89&lt;Forudsætninger!$B$228,IF(N89&lt;Forudsætninger!$B$227,Forudsætninger!$B$225,Forudsætninger!$C$9),Forudsætninger!$C$11)+O89</f>
        <v>12.735990674074673</v>
      </c>
      <c r="U89" s="2">
        <f>Forudsætninger!$C$68+((K89-(Forudsætninger!$C$84)))*0.01</f>
        <v>2.4998469051565229</v>
      </c>
      <c r="V89" s="2">
        <f>U89+Forudsætninger!$C$69</f>
        <v>1.4998469051565229</v>
      </c>
      <c r="W89">
        <f t="shared" si="32"/>
        <v>0</v>
      </c>
      <c r="X89">
        <f>IF(A89+Forudsætninger!$C$60&gt;248,IF(A89+Forudsætninger!$C$60&lt;365,IF(K89&gt;180,IF(K89&lt;260,1,0),0),0),0)</f>
        <v>0</v>
      </c>
      <c r="Y89" s="22">
        <f>IF(X89=0,0,IF('Vækstfunktion, hol'!A89&lt;Forudsætninger!$C$66,Forudsætninger!$C$67+(('Vækstfunktion, hol'!A89-Forudsætninger!$C$66)/7)*Forudsætninger!$C$64,Forudsætninger!$C$67))</f>
        <v>0</v>
      </c>
      <c r="Z89" s="19">
        <f t="shared" si="43"/>
        <v>1248.7551831313024</v>
      </c>
      <c r="AA89" s="19">
        <f>Forudsætninger!$C$62+Forudsætninger!$C$16</f>
        <v>1350</v>
      </c>
      <c r="AB89" s="19">
        <f>IF(K89&gt;Forudsætninger!$C$26,IF(K89&gt;Forudsætninger!$C$27,IF(K89&gt;Forudsætninger!$C$28,Forudsætninger!$E$28,Forudsætninger!$E$27+Forudsætninger!$F$28*(K89-Forudsætninger!$C$27)),Forudsætninger!$E$26+Forudsætninger!$F$27*(K89-Forudsætninger!$C$26)),Forudsætninger!$E$26)+IF(K89&gt;Forudsætninger!$C$28,Forudsætninger!$G$28,IF(K89&gt;Forudsætninger!$C$27,Forudsætninger!$G$27+Forudsætninger!$H$28*(K89-Forudsætninger!$C$27),IF(K89&gt;Forudsætninger!$C$26,Forudsætninger!$G$26+Forudsætninger!$H$27*(K89-Forudsætninger!$C$26),Forudsætninger!$G$26)))*(U89-Forudsætninger!$H$26)</f>
        <v>33.224885178867396</v>
      </c>
      <c r="AC89" s="19">
        <f>IF(K89&gt;Forudsætninger!$C$31,IF(K89&gt;Forudsætninger!$C$32,IF(K89&gt;Forudsætninger!$C$33,Forudsætninger!$E$33,Forudsætninger!$E$32+Forudsætninger!$F$33*(K89-Forudsætninger!$C$32)),Forudsætninger!$E$31+Forudsætninger!$F$32*(K89-Forudsætninger!$C$31)),Forudsætninger!$E$31)+IF(K89&gt;Forudsætninger!$C$33,Forudsætninger!$G$33,IF(K89&gt;Forudsætninger!$C$32,Forudsætninger!$G$32+Forudsætninger!$H$33*(K89-Forudsætninger!$C$32),IF(K89&gt;Forudsætninger!$C$31,Forudsætninger!$G$31+Forudsætninger!$H$32*(K89-Forudsætninger!$C$31),Forudsætninger!$G$31)))*(V89-Forudsætninger!$H$31)</f>
        <v>26.349800976703481</v>
      </c>
      <c r="AD89" s="19">
        <f t="shared" si="33"/>
        <v>2115.3463341806205</v>
      </c>
      <c r="AE89" s="19">
        <f t="shared" si="34"/>
        <v>26.349800976703481</v>
      </c>
      <c r="AF89">
        <f>IF(G89&lt;=Forudsætninger!$C$97,Forudsætninger!$C$98,(IF(G89&lt;=Forudsætninger!$D$97,Forudsætninger!$D$98,IF(G89&lt;=Forudsætninger!$E$97,Forudsætninger!$E$98,IF(G89&lt;=Forudsætninger!$F$97,Forudsætninger!$F$98,IF(G89&lt;=Forudsætninger!$G$97,Forudsætninger!$G$98,IF(G89&lt;=Forudsætninger!$H$97,Forudsætninger!$H$98,IF(G89&lt;=Forudsætninger!$I$97,Forudsætninger!$I$98,Forudsætninger!$I$98))))))))</f>
        <v>2.2000000000000002</v>
      </c>
      <c r="AG89" s="1">
        <f t="shared" si="44"/>
        <v>2.2000000000000002</v>
      </c>
      <c r="AH89" s="1">
        <f t="shared" si="48"/>
        <v>191.39999999999978</v>
      </c>
      <c r="AI89" s="1">
        <f t="shared" si="35"/>
        <v>2.1999999999999975</v>
      </c>
      <c r="AJ89" s="20">
        <f>+(W89*Forudsætninger!$C$12)</f>
        <v>0</v>
      </c>
      <c r="AK89" s="20">
        <f>Forudsætninger!$C$17</f>
        <v>250</v>
      </c>
      <c r="AL89" s="20">
        <f>IF(A89&lt;92,Forudsætninger!$C$20,Forudsætninger!$C$21)</f>
        <v>4.0072859744990899</v>
      </c>
      <c r="AM89" s="20">
        <f t="shared" si="45"/>
        <v>348.63387978142117</v>
      </c>
      <c r="AN89" s="20">
        <f>IFERROR(AD89+AJ89-AA89-Z89-AK89-AM89-Forudsætninger!$C$75,-99999999)</f>
        <v>-1264.4369212814977</v>
      </c>
      <c r="AO89" s="19">
        <f>IFERROR(AN89/(A89+Forudsætninger!$C$74),-99999999)</f>
        <v>-14.533757715879284</v>
      </c>
      <c r="AP89" s="19">
        <f>IFERROR(((365/(A89+Forudsætninger!$C$74))*AN89)/(AI89+Forudsætninger!$C$73),-9999999)</f>
        <v>-2296.4595525090672</v>
      </c>
      <c r="AQ89" s="18">
        <f t="shared" si="36"/>
        <v>87</v>
      </c>
      <c r="AR89" s="18">
        <f t="shared" si="46"/>
        <v>3197.3890629127231</v>
      </c>
      <c r="AS89" s="52">
        <f t="shared" si="27"/>
        <v>4.0999999999999996</v>
      </c>
      <c r="AT89" s="50">
        <f t="shared" si="49"/>
        <v>2.348892686625959</v>
      </c>
      <c r="AU89" s="50">
        <f t="shared" si="50"/>
        <v>0.19630988840122399</v>
      </c>
      <c r="AV89" s="2">
        <f t="shared" si="51"/>
        <v>31.018662020106603</v>
      </c>
      <c r="AW89" s="61">
        <f t="shared" si="47"/>
        <v>-10.52647174138019</v>
      </c>
      <c r="BA89" s="16"/>
      <c r="BB89" s="2"/>
    </row>
    <row r="90" spans="1:54" x14ac:dyDescent="0.25">
      <c r="A90">
        <v>88</v>
      </c>
      <c r="B90" s="1">
        <f>ROUND((A90+Forudsætninger!$C$60)/30.4,1)</f>
        <v>4.2</v>
      </c>
      <c r="C90" s="1">
        <f>VLOOKUP((A90+Forudsætninger!$C$60),'Model tilvækst, slagteform, fe'!A:B,2,FALSE)</f>
        <v>175.21321507781673</v>
      </c>
      <c r="D90" s="3">
        <f t="shared" si="37"/>
        <v>1541.2945310042971</v>
      </c>
      <c r="E90" s="1">
        <f>(1+Forudsætninger!$C$78)*C90</f>
        <v>162.94829002236955</v>
      </c>
      <c r="F90" s="2">
        <f t="shared" si="38"/>
        <v>5.2886839506027989</v>
      </c>
      <c r="G90" s="1">
        <f t="shared" si="28"/>
        <v>168.23697397297235</v>
      </c>
      <c r="H90" s="3">
        <f t="shared" si="29"/>
        <v>1389.3669272338798</v>
      </c>
      <c r="I90" s="3">
        <f t="shared" si="30"/>
        <v>1127.692886056504</v>
      </c>
      <c r="J90" s="1">
        <f>VLOOKUP((A90+Forudsætninger!$C$60),'Model tilvækst, slagteform, fe'!G:K,2,FALSE)*(1+Forudsætninger!$C$79)</f>
        <v>48.133686898472867</v>
      </c>
      <c r="K90" s="17">
        <f t="shared" si="26"/>
        <v>80.978658299615802</v>
      </c>
      <c r="L90" s="17">
        <f t="shared" si="39"/>
        <v>699.25368282757461</v>
      </c>
      <c r="M90" s="3">
        <f>((K90-(('Model tilvækst, slagteform, fe'!$H$9/100)*'Model tilvækst, slagteform, fe'!$B$9))*1000/(A90+Forudsætninger!$C$60))</f>
        <v>476.62798638745596</v>
      </c>
      <c r="N90" s="17">
        <f t="shared" si="40"/>
        <v>288.83393400114028</v>
      </c>
      <c r="O90" s="19">
        <f>IF( A90&lt;Forudsætninger!$C$14,(G90/100)*Forudsætninger!$C$13,(Forudsætninger!$C$15/1000)*Forudsætninger!$C$13)</f>
        <v>1.0935403308243203</v>
      </c>
      <c r="P90" s="17" cm="1">
        <f t="array" ref="P90">INDEX('Model tilvækst, slagteform, fe'!$N$9:$N$375,MATCH(MIN(ABS('Model tilvækst, slagteform, fe'!$M$9:$M$375-'Vækstfunktion, hol'!G90)),ABS('Model tilvækst, slagteform, fe'!$M$9:$M$375-'Vækstfunktion, hol'!G90),0))*(1+Forudsætninger!$C$80)</f>
        <v>5.0136428089212375</v>
      </c>
      <c r="Q90" s="17">
        <f t="shared" si="41"/>
        <v>7.1699912807717396</v>
      </c>
      <c r="R90" s="17">
        <f t="shared" si="42"/>
        <v>5.9115878052882813</v>
      </c>
      <c r="S90" s="17">
        <f t="shared" si="31"/>
        <v>2.9105475755418091</v>
      </c>
      <c r="T90" s="19">
        <f>(P90)*IF(N90&lt;Forudsætninger!$B$228,IF(N90&lt;Forudsætninger!$B$227,Forudsætninger!$B$225,Forudsætninger!$C$9),Forudsætninger!$C$11)+O90</f>
        <v>12.825464503700015</v>
      </c>
      <c r="U90" s="2">
        <f>Forudsætninger!$C$68+((K90-(Forudsætninger!$C$84)))*0.01</f>
        <v>2.5068394419847984</v>
      </c>
      <c r="V90" s="2">
        <f>U90+Forudsætninger!$C$69</f>
        <v>1.5068394419847984</v>
      </c>
      <c r="W90">
        <f t="shared" si="32"/>
        <v>0</v>
      </c>
      <c r="X90">
        <f>IF(A90+Forudsætninger!$C$60&gt;248,IF(A90+Forudsætninger!$C$60&lt;365,IF(K90&gt;180,IF(K90&lt;260,1,0),0),0),0)</f>
        <v>0</v>
      </c>
      <c r="Y90" s="22">
        <f>IF(X90=0,0,IF('Vækstfunktion, hol'!A90&lt;Forudsætninger!$C$66,Forudsætninger!$C$67+(('Vækstfunktion, hol'!A90-Forudsætninger!$C$66)/7)*Forudsætninger!$C$64,Forudsætninger!$C$67))</f>
        <v>0</v>
      </c>
      <c r="Z90" s="19">
        <f t="shared" si="43"/>
        <v>1261.5806476350024</v>
      </c>
      <c r="AA90" s="19">
        <f>Forudsætninger!$C$62+Forudsætninger!$C$16</f>
        <v>1350</v>
      </c>
      <c r="AB90" s="19">
        <f>IF(K90&gt;Forudsætninger!$C$26,IF(K90&gt;Forudsætninger!$C$27,IF(K90&gt;Forudsætninger!$C$28,Forudsætninger!$E$28,Forudsætninger!$E$27+Forudsætninger!$F$28*(K90-Forudsætninger!$C$27)),Forudsætninger!$E$26+Forudsætninger!$F$27*(K90-Forudsætninger!$C$26)),Forudsætninger!$E$26)+IF(K90&gt;Forudsætninger!$C$28,Forudsætninger!$G$28,IF(K90&gt;Forudsætninger!$C$27,Forudsætninger!$G$27+Forudsætninger!$H$28*(K90-Forudsætninger!$C$27),IF(K90&gt;Forudsætninger!$C$26,Forudsætninger!$G$26+Forudsætninger!$H$27*(K90-Forudsætninger!$C$26),Forudsætninger!$G$26)))*(U90-Forudsætninger!$H$26)</f>
        <v>33.230129581488598</v>
      </c>
      <c r="AC90" s="19">
        <f>IF(K90&gt;Forudsætninger!$C$31,IF(K90&gt;Forudsætninger!$C$32,IF(K90&gt;Forudsætninger!$C$33,Forudsætninger!$E$33,Forudsætninger!$E$32+Forudsætninger!$F$33*(K90-Forudsætninger!$C$32)),Forudsætninger!$E$31+Forudsætninger!$F$32*(K90-Forudsætninger!$C$31)),Forudsætninger!$E$31)+IF(K90&gt;Forudsætninger!$C$33,Forudsætninger!$G$33,IF(K90&gt;Forudsætninger!$C$32,Forudsætninger!$G$32+Forudsætninger!$H$33*(K90-Forudsætninger!$C$32),IF(K90&gt;Forudsætninger!$C$31,Forudsætninger!$G$31+Forudsætninger!$H$32*(K90-Forudsætninger!$C$31),Forudsætninger!$G$31)))*(V90-Forudsætninger!$H$31)</f>
        <v>26.358891274580238</v>
      </c>
      <c r="AD90" s="19">
        <f t="shared" si="33"/>
        <v>2134.5076496809575</v>
      </c>
      <c r="AE90" s="19">
        <f t="shared" si="34"/>
        <v>26.358891274580238</v>
      </c>
      <c r="AF90">
        <f>IF(G90&lt;=Forudsætninger!$C$97,Forudsætninger!$C$98,(IF(G90&lt;=Forudsætninger!$D$97,Forudsætninger!$D$98,IF(G90&lt;=Forudsætninger!$E$97,Forudsætninger!$E$98,IF(G90&lt;=Forudsætninger!$F$97,Forudsætninger!$F$98,IF(G90&lt;=Forudsætninger!$G$97,Forudsætninger!$G$98,IF(G90&lt;=Forudsætninger!$H$97,Forudsætninger!$H$98,IF(G90&lt;=Forudsætninger!$I$97,Forudsætninger!$I$98,Forudsætninger!$I$98))))))))</f>
        <v>2.2000000000000002</v>
      </c>
      <c r="AG90" s="1">
        <f t="shared" si="44"/>
        <v>2.2000000000000002</v>
      </c>
      <c r="AH90" s="1">
        <f t="shared" si="48"/>
        <v>193.59999999999977</v>
      </c>
      <c r="AI90" s="1">
        <f t="shared" si="35"/>
        <v>2.1999999999999975</v>
      </c>
      <c r="AJ90" s="20">
        <f>+(W90*Forudsætninger!$C$12)</f>
        <v>0</v>
      </c>
      <c r="AK90" s="20">
        <f>Forudsætninger!$C$17</f>
        <v>250</v>
      </c>
      <c r="AL90" s="20">
        <f>IF(A90&lt;92,Forudsætninger!$C$20,Forudsætninger!$C$21)</f>
        <v>4.0072859744990899</v>
      </c>
      <c r="AM90" s="20">
        <f t="shared" si="45"/>
        <v>352.64116575592027</v>
      </c>
      <c r="AN90" s="20">
        <f>IFERROR(AD90+AJ90-AA90-Z90-AK90-AM90-Forudsætninger!$C$75,-99999999)</f>
        <v>-1262.1083562593599</v>
      </c>
      <c r="AO90" s="19">
        <f>IFERROR(AN90/(A90+Forudsætninger!$C$74),-99999999)</f>
        <v>-14.34214041203818</v>
      </c>
      <c r="AP90" s="19">
        <f>IFERROR(((365/(A90+Forudsætninger!$C$74))*AN90)/(AI90+Forudsætninger!$C$73),-9999999)</f>
        <v>-2266.1823594778966</v>
      </c>
      <c r="AQ90" s="18">
        <f t="shared" si="36"/>
        <v>88</v>
      </c>
      <c r="AR90" s="18">
        <f t="shared" si="46"/>
        <v>3214.2218133909228</v>
      </c>
      <c r="AS90" s="52">
        <f t="shared" si="27"/>
        <v>4.2</v>
      </c>
      <c r="AT90" s="50">
        <f t="shared" si="49"/>
        <v>2.3285650221378091</v>
      </c>
      <c r="AU90" s="50">
        <f t="shared" si="50"/>
        <v>0.1916173038411042</v>
      </c>
      <c r="AV90" s="2">
        <f t="shared" si="51"/>
        <v>30.277193031170555</v>
      </c>
      <c r="AW90" s="61">
        <f t="shared" si="47"/>
        <v>-10.334854437539086</v>
      </c>
      <c r="BA90" s="16"/>
      <c r="BB90" s="2"/>
    </row>
    <row r="91" spans="1:54" x14ac:dyDescent="0.25">
      <c r="A91">
        <v>89</v>
      </c>
      <c r="B91" s="1">
        <f>ROUND((A91+Forudsætninger!$C$60)/30.4,1)</f>
        <v>4.2</v>
      </c>
      <c r="C91" s="1">
        <f>VLOOKUP((A91+Forudsætninger!$C$60),'Model tilvækst, slagteform, fe'!A:B,2,FALSE)</f>
        <v>176.75810330777244</v>
      </c>
      <c r="D91" s="3">
        <f>(C91-C90)*1000</f>
        <v>1544.888229955717</v>
      </c>
      <c r="E91" s="1">
        <f>(1+Forudsætninger!$C$78)*C91</f>
        <v>164.38503607622837</v>
      </c>
      <c r="F91" s="2">
        <f t="shared" si="38"/>
        <v>5.244544286889778</v>
      </c>
      <c r="G91" s="1">
        <f t="shared" si="28"/>
        <v>169.62958036311815</v>
      </c>
      <c r="H91" s="3">
        <f t="shared" si="29"/>
        <v>1392.6063901458008</v>
      </c>
      <c r="I91" s="3">
        <f t="shared" si="30"/>
        <v>1130.6694422822263</v>
      </c>
      <c r="J91" s="1">
        <f>VLOOKUP((A91+Forudsætninger!$C$60),'Model tilvækst, slagteform, fe'!G:K,2,FALSE)*(1+Forudsætninger!$C$79)</f>
        <v>48.151941798191267</v>
      </c>
      <c r="K91" s="17">
        <f t="shared" si="26"/>
        <v>81.67993680896474</v>
      </c>
      <c r="L91" s="17">
        <f t="shared" si="39"/>
        <v>701.27850934893843</v>
      </c>
      <c r="M91" s="3">
        <f>((K91-(('Model tilvækst, slagteform, fe'!$H$9/100)*'Model tilvækst, slagteform, fe'!$B$9))*1000/(A91+Forudsætninger!$C$60))</f>
        <v>478.38306859809256</v>
      </c>
      <c r="N91" s="17">
        <f t="shared" si="40"/>
        <v>293.88174647923643</v>
      </c>
      <c r="O91" s="19">
        <f>IF( A91&lt;Forudsætninger!$C$14,(G91/100)*Forudsætninger!$C$13,(Forudsætninger!$C$15/1000)*Forudsætninger!$C$13)</f>
        <v>1.1025922723602679</v>
      </c>
      <c r="P91" s="17" cm="1">
        <f t="array" ref="P91">INDEX('Model tilvækst, slagteform, fe'!$N$9:$N$375,MATCH(MIN(ABS('Model tilvækst, slagteform, fe'!$M$9:$M$375-'Vækstfunktion, hol'!G91)),ABS('Model tilvækst, slagteform, fe'!$M$9:$M$375-'Vækstfunktion, hol'!G91),0))*(1+Forudsætninger!$C$80)</f>
        <v>5.0478124780961577</v>
      </c>
      <c r="Q91" s="17">
        <f t="shared" si="41"/>
        <v>7.1980139285638565</v>
      </c>
      <c r="R91" s="17">
        <f t="shared" si="42"/>
        <v>5.929790770474991</v>
      </c>
      <c r="S91" s="17">
        <f t="shared" si="31"/>
        <v>2.9204310046685569</v>
      </c>
      <c r="T91" s="19">
        <f>(P91)*IF(N91&lt;Forudsætninger!$B$228,IF(N91&lt;Forudsætninger!$B$227,Forudsætninger!$B$225,Forudsætninger!$C$9),Forudsætninger!$C$11)+O91</f>
        <v>12.914473471105275</v>
      </c>
      <c r="U91" s="2">
        <f>Forudsætninger!$C$68+((K91-(Forudsætninger!$C$84)))*0.01</f>
        <v>2.5138522270782877</v>
      </c>
      <c r="V91" s="2">
        <f>U91+Forudsætninger!$C$69</f>
        <v>1.5138522270782877</v>
      </c>
      <c r="W91">
        <f t="shared" si="32"/>
        <v>0</v>
      </c>
      <c r="X91">
        <f>IF(A91+Forudsætninger!$C$60&gt;248,IF(A91+Forudsætninger!$C$60&lt;365,IF(K91&gt;180,IF(K91&lt;260,1,0),0),0),0)</f>
        <v>0</v>
      </c>
      <c r="Y91" s="22">
        <f>IF(X91=0,0,IF('Vækstfunktion, hol'!A91&lt;Forudsætninger!$C$66,Forudsætninger!$C$67+(('Vækstfunktion, hol'!A91-Forudsætninger!$C$66)/7)*Forudsætninger!$C$64,Forudsætninger!$C$67))</f>
        <v>0</v>
      </c>
      <c r="Z91" s="19">
        <f t="shared" si="43"/>
        <v>1274.4951211061077</v>
      </c>
      <c r="AA91" s="19">
        <f>Forudsætninger!$C$62+Forudsætninger!$C$16</f>
        <v>1350</v>
      </c>
      <c r="AB91" s="19">
        <f>IF(K91&gt;Forudsætninger!$C$26,IF(K91&gt;Forudsætninger!$C$27,IF(K91&gt;Forudsætninger!$C$28,Forudsætninger!$E$28,Forudsætninger!$E$27+Forudsætninger!$F$28*(K91-Forudsætninger!$C$27)),Forudsætninger!$E$26+Forudsætninger!$F$27*(K91-Forudsætninger!$C$26)),Forudsætninger!$E$26)+IF(K91&gt;Forudsætninger!$C$28,Forudsætninger!$G$28,IF(K91&gt;Forudsætninger!$C$27,Forudsætninger!$G$27+Forudsætninger!$H$28*(K91-Forudsætninger!$C$27),IF(K91&gt;Forudsætninger!$C$26,Forudsætninger!$G$26+Forudsætninger!$H$27*(K91-Forudsætninger!$C$26),Forudsætninger!$G$26)))*(U91-Forudsætninger!$H$26)</f>
        <v>33.235389170308714</v>
      </c>
      <c r="AC91" s="19">
        <f>IF(K91&gt;Forudsætninger!$C$31,IF(K91&gt;Forudsætninger!$C$32,IF(K91&gt;Forudsætninger!$C$33,Forudsætninger!$E$33,Forudsætninger!$E$32+Forudsætninger!$F$33*(K91-Forudsætninger!$C$32)),Forudsætninger!$E$31+Forudsætninger!$F$32*(K91-Forudsætninger!$C$31)),Forudsætninger!$E$31)+IF(K91&gt;Forudsætninger!$C$33,Forudsætninger!$G$33,IF(K91&gt;Forudsætninger!$C$32,Forudsætninger!$G$32+Forudsætninger!$H$33*(K91-Forudsætninger!$C$32),IF(K91&gt;Forudsætninger!$C$31,Forudsætninger!$G$31+Forudsætninger!$H$32*(K91-Forudsætninger!$C$31),Forudsætninger!$G$31)))*(V91-Forudsætninger!$H$31)</f>
        <v>26.368007895201774</v>
      </c>
      <c r="AD91" s="19">
        <f t="shared" si="33"/>
        <v>2153.7372186583643</v>
      </c>
      <c r="AE91" s="19">
        <f t="shared" si="34"/>
        <v>26.368007895201774</v>
      </c>
      <c r="AF91">
        <f>IF(G91&lt;=Forudsætninger!$C$97,Forudsætninger!$C$98,(IF(G91&lt;=Forudsætninger!$D$97,Forudsætninger!$D$98,IF(G91&lt;=Forudsætninger!$E$97,Forudsætninger!$E$98,IF(G91&lt;=Forudsætninger!$F$97,Forudsætninger!$F$98,IF(G91&lt;=Forudsætninger!$G$97,Forudsætninger!$G$98,IF(G91&lt;=Forudsætninger!$H$97,Forudsætninger!$H$98,IF(G91&lt;=Forudsætninger!$I$97,Forudsætninger!$I$98,Forudsætninger!$I$98))))))))</f>
        <v>2.2000000000000002</v>
      </c>
      <c r="AG91" s="1">
        <f t="shared" si="44"/>
        <v>2.2000000000000002</v>
      </c>
      <c r="AH91" s="1">
        <f t="shared" si="48"/>
        <v>195.79999999999976</v>
      </c>
      <c r="AI91" s="1">
        <f t="shared" si="35"/>
        <v>2.1999999999999971</v>
      </c>
      <c r="AJ91" s="20">
        <f>+(W91*Forudsætninger!$C$12)</f>
        <v>0</v>
      </c>
      <c r="AK91" s="20">
        <f>Forudsætninger!$C$17</f>
        <v>250</v>
      </c>
      <c r="AL91" s="20">
        <f>IF(A91&lt;92,Forudsætninger!$C$20,Forudsætninger!$C$21)</f>
        <v>4.0072859744990899</v>
      </c>
      <c r="AM91" s="20">
        <f t="shared" si="45"/>
        <v>356.64845173041937</v>
      </c>
      <c r="AN91" s="20">
        <f>IFERROR(AD91+AJ91-AA91-Z91-AK91-AM91-Forudsætninger!$C$75,-99999999)</f>
        <v>-1259.8005467275573</v>
      </c>
      <c r="AO91" s="19">
        <f>IFERROR(AN91/(A91+Forudsætninger!$C$74),-99999999)</f>
        <v>-14.155062322781543</v>
      </c>
      <c r="AP91" s="19">
        <f>IFERROR(((365/(A91+Forudsætninger!$C$74))*AN91)/(AI91+Forudsætninger!$C$73),-9999999)</f>
        <v>-2236.6224016516317</v>
      </c>
      <c r="AQ91" s="18">
        <f t="shared" si="36"/>
        <v>89</v>
      </c>
      <c r="AR91" s="18">
        <f t="shared" si="46"/>
        <v>3231.1435728365273</v>
      </c>
      <c r="AS91" s="52">
        <f t="shared" si="27"/>
        <v>4.2</v>
      </c>
      <c r="AT91" s="50">
        <f t="shared" si="49"/>
        <v>2.3078095318026044</v>
      </c>
      <c r="AU91" s="50">
        <f t="shared" si="50"/>
        <v>0.18707808925663727</v>
      </c>
      <c r="AV91" s="2">
        <f t="shared" si="51"/>
        <v>29.559957826264963</v>
      </c>
      <c r="AW91" s="61">
        <f t="shared" si="47"/>
        <v>-10.147776348282449</v>
      </c>
      <c r="BA91" s="16"/>
      <c r="BB91" s="2"/>
    </row>
    <row r="92" spans="1:54" x14ac:dyDescent="0.25">
      <c r="A92">
        <v>90</v>
      </c>
      <c r="B92" s="1">
        <f>ROUND((A92+Forudsætninger!$C$60)/30.4,1)</f>
        <v>4.2</v>
      </c>
      <c r="C92" s="1">
        <f>VLOOKUP((A92+Forudsætninger!$C$60),'Model tilvækst, slagteform, fe'!A:B,2,FALSE)</f>
        <v>178.30649345302206</v>
      </c>
      <c r="D92" s="3">
        <f t="shared" si="37"/>
        <v>1548.3901452496127</v>
      </c>
      <c r="E92" s="1">
        <f>(1+Forudsætninger!$C$78)*C92</f>
        <v>165.82503891131051</v>
      </c>
      <c r="F92" s="2">
        <f t="shared" si="38"/>
        <v>5.200304568454075</v>
      </c>
      <c r="G92" s="1">
        <f t="shared" si="28"/>
        <v>171.02534347976459</v>
      </c>
      <c r="H92" s="3">
        <f t="shared" si="29"/>
        <v>1395.7631166464353</v>
      </c>
      <c r="I92" s="3">
        <f t="shared" si="30"/>
        <v>1133.6149275529399</v>
      </c>
      <c r="J92" s="1">
        <f>VLOOKUP((A92+Forudsætninger!$C$60),'Model tilvækst, slagteform, fe'!G:K,2,FALSE)*(1+Forudsætninger!$C$79)</f>
        <v>48.170172958566255</v>
      </c>
      <c r="K92" s="17">
        <f t="shared" si="26"/>
        <v>82.383203757184617</v>
      </c>
      <c r="L92" s="17">
        <f t="shared" si="39"/>
        <v>703.26694821987701</v>
      </c>
      <c r="M92" s="3">
        <f>((K92-(('Model tilvækst, slagteform, fe'!$H$9/100)*'Model tilvækst, slagteform, fe'!$B$9))*1000/(A92+Forudsætninger!$C$60))</f>
        <v>480.12635448663355</v>
      </c>
      <c r="N92" s="17">
        <f t="shared" si="40"/>
        <v>298.99725519902239</v>
      </c>
      <c r="O92" s="19">
        <f>IF( A92&lt;Forudsætninger!$C$14,(G92/100)*Forudsætninger!$C$13,(Forudsætninger!$C$15/1000)*Forudsætninger!$C$13)</f>
        <v>1.1116647326184699</v>
      </c>
      <c r="P92" s="17" cm="1">
        <f t="array" ref="P92">INDEX('Model tilvækst, slagteform, fe'!$N$9:$N$375,MATCH(MIN(ABS('Model tilvækst, slagteform, fe'!$M$9:$M$375-'Vækstfunktion, hol'!G92)),ABS('Model tilvækst, slagteform, fe'!$M$9:$M$375-'Vækstfunktion, hol'!G92),0))*(1+Forudsætninger!$C$80)</f>
        <v>5.1155087197859519</v>
      </c>
      <c r="Q92" s="17">
        <f t="shared" si="41"/>
        <v>7.2739217060241881</v>
      </c>
      <c r="R92" s="17">
        <f t="shared" si="42"/>
        <v>5.9485973213626862</v>
      </c>
      <c r="S92" s="17">
        <f t="shared" si="31"/>
        <v>2.9306174819036475</v>
      </c>
      <c r="T92" s="19">
        <f>(P92)*IF(N92&lt;Forudsætninger!$B$228,IF(N92&lt;Forudsætninger!$B$227,Forudsætninger!$B$225,Forudsætninger!$C$9),Forudsætninger!$C$11)+O92</f>
        <v>13.081955136917596</v>
      </c>
      <c r="U92" s="2">
        <f>Forudsætninger!$C$68+((K92-(Forudsætninger!$C$84)))*0.01</f>
        <v>2.5208848965604864</v>
      </c>
      <c r="V92" s="2">
        <f>U92+Forudsætninger!$C$69</f>
        <v>1.5208848965604864</v>
      </c>
      <c r="W92">
        <f t="shared" si="32"/>
        <v>0</v>
      </c>
      <c r="X92">
        <f>IF(A92+Forudsætninger!$C$60&gt;248,IF(A92+Forudsætninger!$C$60&lt;365,IF(K92&gt;180,IF(K92&lt;260,1,0),0),0),0)</f>
        <v>0</v>
      </c>
      <c r="Y92" s="22">
        <f>IF(X92=0,0,IF('Vækstfunktion, hol'!A92&lt;Forudsætninger!$C$66,Forudsætninger!$C$67+(('Vækstfunktion, hol'!A92-Forudsætninger!$C$66)/7)*Forudsætninger!$C$64,Forudsætninger!$C$67))</f>
        <v>0</v>
      </c>
      <c r="Z92" s="19">
        <f t="shared" si="43"/>
        <v>1287.5770762430252</v>
      </c>
      <c r="AA92" s="19">
        <f>Forudsætninger!$C$62+Forudsætninger!$C$16</f>
        <v>1350</v>
      </c>
      <c r="AB92" s="19">
        <f>IF(K92&gt;Forudsætninger!$C$26,IF(K92&gt;Forudsætninger!$C$27,IF(K92&gt;Forudsætninger!$C$28,Forudsætninger!$E$28,Forudsætninger!$E$27+Forudsætninger!$F$28*(K92-Forudsætninger!$C$27)),Forudsætninger!$E$26+Forudsætninger!$F$27*(K92-Forudsætninger!$C$26)),Forudsætninger!$E$26)+IF(K92&gt;Forudsætninger!$C$28,Forudsætninger!$G$28,IF(K92&gt;Forudsætninger!$C$27,Forudsætninger!$G$27+Forudsætninger!$H$28*(K92-Forudsætninger!$C$27),IF(K92&gt;Forudsætninger!$C$26,Forudsætninger!$G$26+Forudsætninger!$H$27*(K92-Forudsætninger!$C$26),Forudsætninger!$G$26)))*(U92-Forudsætninger!$H$26)</f>
        <v>33.240663672420368</v>
      </c>
      <c r="AC92" s="19">
        <f>IF(K92&gt;Forudsætninger!$C$31,IF(K92&gt;Forudsætninger!$C$32,IF(K92&gt;Forudsætninger!$C$33,Forudsætninger!$E$33,Forudsætninger!$E$32+Forudsætninger!$F$33*(K92-Forudsætninger!$C$32)),Forudsætninger!$E$31+Forudsætninger!$F$32*(K92-Forudsætninger!$C$31)),Forudsætninger!$E$31)+IF(K92&gt;Forudsætninger!$C$33,Forudsætninger!$G$33,IF(K92&gt;Forudsætninger!$C$32,Forudsætninger!$G$32+Forudsætninger!$H$33*(K92-Forudsætninger!$C$32),IF(K92&gt;Forudsætninger!$C$31,Forudsætninger!$G$31+Forudsætninger!$H$32*(K92-Forudsætninger!$C$31),Forudsætninger!$G$31)))*(V92-Forudsætninger!$H$31)</f>
        <v>26.377150365528632</v>
      </c>
      <c r="AD92" s="19">
        <f t="shared" si="33"/>
        <v>2173.0341530972419</v>
      </c>
      <c r="AE92" s="19">
        <f t="shared" si="34"/>
        <v>26.377150365528632</v>
      </c>
      <c r="AF92">
        <f>IF(G92&lt;=Forudsætninger!$C$97,Forudsætninger!$C$98,(IF(G92&lt;=Forudsætninger!$D$97,Forudsætninger!$D$98,IF(G92&lt;=Forudsætninger!$E$97,Forudsætninger!$E$98,IF(G92&lt;=Forudsætninger!$F$97,Forudsætninger!$F$98,IF(G92&lt;=Forudsætninger!$G$97,Forudsætninger!$G$98,IF(G92&lt;=Forudsætninger!$H$97,Forudsætninger!$H$98,IF(G92&lt;=Forudsætninger!$I$97,Forudsætninger!$I$98,Forudsætninger!$I$98))))))))</f>
        <v>2.2000000000000002</v>
      </c>
      <c r="AG92" s="1">
        <f t="shared" si="44"/>
        <v>2.2000000000000002</v>
      </c>
      <c r="AH92" s="1">
        <f t="shared" si="48"/>
        <v>197.99999999999974</v>
      </c>
      <c r="AI92" s="1">
        <f t="shared" si="35"/>
        <v>2.1999999999999971</v>
      </c>
      <c r="AJ92" s="20">
        <f>+(W92*Forudsætninger!$C$12)</f>
        <v>0</v>
      </c>
      <c r="AK92" s="20">
        <f>Forudsætninger!$C$17</f>
        <v>250</v>
      </c>
      <c r="AL92" s="20">
        <f>IF(A92&lt;92,Forudsætninger!$C$20,Forudsætninger!$C$21)</f>
        <v>4.0072859744990899</v>
      </c>
      <c r="AM92" s="20">
        <f t="shared" si="45"/>
        <v>360.65573770491847</v>
      </c>
      <c r="AN92" s="20">
        <f>IFERROR(AD92+AJ92-AA92-Z92-AK92-AM92-Forudsætninger!$C$75,-99999999)</f>
        <v>-1257.5928534000964</v>
      </c>
      <c r="AO92" s="19">
        <f>IFERROR(AN92/(A92+Forudsætninger!$C$74),-99999999)</f>
        <v>-13.973253926667738</v>
      </c>
      <c r="AP92" s="19">
        <f>IFERROR(((365/(A92+Forudsætninger!$C$74))*AN92)/(AI92+Forudsætninger!$C$73),-9999999)</f>
        <v>-2207.8951009669831</v>
      </c>
      <c r="AQ92" s="18">
        <f t="shared" si="36"/>
        <v>90</v>
      </c>
      <c r="AR92" s="18">
        <f t="shared" si="46"/>
        <v>3248.2328139479437</v>
      </c>
      <c r="AS92" s="52">
        <f t="shared" si="27"/>
        <v>4.2</v>
      </c>
      <c r="AT92" s="50">
        <f t="shared" si="49"/>
        <v>2.2076933274609019</v>
      </c>
      <c r="AU92" s="50">
        <f t="shared" si="50"/>
        <v>0.18180839611380506</v>
      </c>
      <c r="AV92" s="2">
        <f t="shared" si="51"/>
        <v>28.727300684648526</v>
      </c>
      <c r="AW92" s="61">
        <f t="shared" si="47"/>
        <v>-9.9659679521686435</v>
      </c>
      <c r="BA92" s="16"/>
      <c r="BB92" s="2"/>
    </row>
    <row r="93" spans="1:54" x14ac:dyDescent="0.25">
      <c r="A93">
        <v>91</v>
      </c>
      <c r="B93" s="1">
        <f>ROUND((A93+Forudsætninger!$C$60)/30.4,1)</f>
        <v>4.3</v>
      </c>
      <c r="C93" s="1">
        <f>VLOOKUP((A93+Forudsætninger!$C$60),'Model tilvækst, slagteform, fe'!A:B,2,FALSE)</f>
        <v>179.85829426425539</v>
      </c>
      <c r="D93" s="3">
        <f t="shared" si="37"/>
        <v>1551.8008112333348</v>
      </c>
      <c r="E93" s="1">
        <f>(1+Forudsætninger!$C$78)*C93</f>
        <v>167.26821366575751</v>
      </c>
      <c r="F93" s="2">
        <f t="shared" si="38"/>
        <v>5.1559674024188364</v>
      </c>
      <c r="G93" s="1">
        <f t="shared" si="28"/>
        <v>172.42418106817635</v>
      </c>
      <c r="H93" s="3">
        <f t="shared" si="29"/>
        <v>1398.8375884117659</v>
      </c>
      <c r="I93" s="3">
        <f t="shared" si="30"/>
        <v>1136.5294622876522</v>
      </c>
      <c r="J93" s="1">
        <f>VLOOKUP((A93+Forudsætninger!$C$60),'Model tilvækst, slagteform, fe'!G:K,2,FALSE)*(1+Forudsætninger!$C$79)</f>
        <v>48.18838198844729</v>
      </c>
      <c r="K93" s="17">
        <f t="shared" si="26"/>
        <v>83.08842301358483</v>
      </c>
      <c r="L93" s="17">
        <f t="shared" si="39"/>
        <v>705.21925640021266</v>
      </c>
      <c r="M93" s="3">
        <f>((K93-(('Model tilvækst, slagteform, fe'!$H$9/100)*'Model tilvækst, slagteform, fe'!$B$9))*1000/(A93+Forudsætninger!$C$60))</f>
        <v>481.8578383475072</v>
      </c>
      <c r="N93" s="17">
        <f t="shared" si="40"/>
        <v>304.14628042935794</v>
      </c>
      <c r="O93" s="19">
        <f>IF( A93&lt;Forudsætninger!$C$14,(G93/100)*Forudsætninger!$C$13,(Forudsætninger!$C$15/1000)*Forudsætninger!$C$13)</f>
        <v>1.1207571769431464</v>
      </c>
      <c r="P93" s="17" cm="1">
        <f t="array" ref="P93">INDEX('Model tilvækst, slagteform, fe'!$N$9:$N$375,MATCH(MIN(ABS('Model tilvækst, slagteform, fe'!$M$9:$M$375-'Vækstfunktion, hol'!G93)),ABS('Model tilvækst, slagteform, fe'!$M$9:$M$375-'Vækstfunktion, hol'!G93),0))*(1+Forudsætninger!$C$80)</f>
        <v>5.1490252303355479</v>
      </c>
      <c r="Q93" s="17">
        <f t="shared" si="41"/>
        <v>7.301311164727287</v>
      </c>
      <c r="R93" s="17">
        <f t="shared" si="42"/>
        <v>5.9673139003379356</v>
      </c>
      <c r="S93" s="17">
        <f t="shared" si="31"/>
        <v>2.9407656631950245</v>
      </c>
      <c r="T93" s="19">
        <f>(P93)*IF(N93&lt;Forudsætninger!$B$228,IF(N93&lt;Forudsætninger!$B$227,Forudsætninger!$B$225,Forudsætninger!$C$9),Forudsætninger!$C$11)+O93</f>
        <v>13.169476215928327</v>
      </c>
      <c r="U93" s="2">
        <f>Forudsætninger!$C$68+((K93-(Forudsætninger!$C$84)))*0.01</f>
        <v>2.5279370891244888</v>
      </c>
      <c r="V93" s="2">
        <f>U93+Forudsætninger!$C$69</f>
        <v>1.5279370891244888</v>
      </c>
      <c r="W93">
        <f t="shared" si="32"/>
        <v>0</v>
      </c>
      <c r="X93">
        <f>IF(A93+Forudsætninger!$C$60&gt;248,IF(A93+Forudsætninger!$C$60&lt;365,IF(K93&gt;180,IF(K93&lt;260,1,0),0),0),0)</f>
        <v>0</v>
      </c>
      <c r="Y93" s="22">
        <f>IF(X93=0,0,IF('Vækstfunktion, hol'!A93&lt;Forudsætninger!$C$66,Forudsætninger!$C$67+(('Vækstfunktion, hol'!A93-Forudsætninger!$C$66)/7)*Forudsætninger!$C$64,Forudsætninger!$C$67))</f>
        <v>0</v>
      </c>
      <c r="Z93" s="19">
        <f t="shared" si="43"/>
        <v>1300.7465524589536</v>
      </c>
      <c r="AA93" s="19">
        <f>Forudsætninger!$C$62+Forudsætninger!$C$16</f>
        <v>1350</v>
      </c>
      <c r="AB93" s="19">
        <f>IF(K93&gt;Forudsætninger!$C$26,IF(K93&gt;Forudsætninger!$C$27,IF(K93&gt;Forudsætninger!$C$28,Forudsætninger!$E$28,Forudsætninger!$E$27+Forudsætninger!$F$28*(K93-Forudsætninger!$C$27)),Forudsætninger!$E$26+Forudsætninger!$F$27*(K93-Forudsætninger!$C$26)),Forudsætninger!$E$26)+IF(K93&gt;Forudsætninger!$C$28,Forudsætninger!$G$28,IF(K93&gt;Forudsætninger!$C$27,Forudsætninger!$G$27+Forudsætninger!$H$28*(K93-Forudsætninger!$C$27),IF(K93&gt;Forudsætninger!$C$26,Forudsætninger!$G$26+Forudsætninger!$H$27*(K93-Forudsætninger!$C$26),Forudsætninger!$G$26)))*(U93-Forudsætninger!$H$26)</f>
        <v>33.245952816843371</v>
      </c>
      <c r="AC93" s="19">
        <f>IF(K93&gt;Forudsætninger!$C$31,IF(K93&gt;Forudsætninger!$C$32,IF(K93&gt;Forudsætninger!$C$33,Forudsætninger!$E$33,Forudsætninger!$E$32+Forudsætninger!$F$33*(K93-Forudsætninger!$C$32)),Forudsætninger!$E$31+Forudsætninger!$F$32*(K93-Forudsætninger!$C$31)),Forudsætninger!$E$31)+IF(K93&gt;Forudsætninger!$C$33,Forudsætninger!$G$33,IF(K93&gt;Forudsætninger!$C$32,Forudsætninger!$G$32+Forudsætninger!$H$33*(K93-Forudsætninger!$C$32),IF(K93&gt;Forudsætninger!$C$31,Forudsætninger!$G$31+Forudsætninger!$H$32*(K93-Forudsætninger!$C$31),Forudsætninger!$G$31)))*(V93-Forudsætninger!$H$31)</f>
        <v>26.386318215861834</v>
      </c>
      <c r="AD93" s="19">
        <f t="shared" si="33"/>
        <v>2192.3975696905873</v>
      </c>
      <c r="AE93" s="19">
        <f t="shared" si="34"/>
        <v>26.386318215861838</v>
      </c>
      <c r="AF93">
        <f>IF(G93&lt;=Forudsætninger!$C$97,Forudsætninger!$C$98,(IF(G93&lt;=Forudsætninger!$D$97,Forudsætninger!$D$98,IF(G93&lt;=Forudsætninger!$E$97,Forudsætninger!$E$98,IF(G93&lt;=Forudsætninger!$F$97,Forudsætninger!$F$98,IF(G93&lt;=Forudsætninger!$G$97,Forudsætninger!$G$98,IF(G93&lt;=Forudsætninger!$H$97,Forudsætninger!$H$98,IF(G93&lt;=Forudsætninger!$I$97,Forudsætninger!$I$98,Forudsætninger!$I$98))))))))</f>
        <v>2.2000000000000002</v>
      </c>
      <c r="AG93" s="1">
        <f t="shared" si="44"/>
        <v>2.2000000000000002</v>
      </c>
      <c r="AH93" s="1">
        <f t="shared" si="48"/>
        <v>200.19999999999973</v>
      </c>
      <c r="AI93" s="1">
        <f t="shared" si="35"/>
        <v>2.1999999999999971</v>
      </c>
      <c r="AJ93" s="20">
        <f>+(W93*Forudsætninger!$C$12)</f>
        <v>0</v>
      </c>
      <c r="AK93" s="20">
        <f>Forudsætninger!$C$17</f>
        <v>250</v>
      </c>
      <c r="AL93" s="20">
        <f>IF(A93&lt;92,Forudsætninger!$C$20,Forudsætninger!$C$21)</f>
        <v>4.0072859744990899</v>
      </c>
      <c r="AM93" s="20">
        <f t="shared" si="45"/>
        <v>364.66302367941756</v>
      </c>
      <c r="AN93" s="20">
        <f>IFERROR(AD93+AJ93-AA93-Z93-AK93-AM93-Forudsætninger!$C$75,-99999999)</f>
        <v>-1255.4061989971785</v>
      </c>
      <c r="AO93" s="19">
        <f>IFERROR(AN93/(A93+Forudsætninger!$C$74),-99999999)</f>
        <v>-13.795672516452511</v>
      </c>
      <c r="AP93" s="19">
        <f>IFERROR(((365/(A93+Forudsætninger!$C$74))*AN93)/(AI93+Forudsætninger!$C$73),-9999999)</f>
        <v>-2179.8357006515898</v>
      </c>
      <c r="AQ93" s="18">
        <f t="shared" si="36"/>
        <v>91</v>
      </c>
      <c r="AR93" s="18">
        <f t="shared" si="46"/>
        <v>3265.409576138371</v>
      </c>
      <c r="AS93" s="52">
        <f t="shared" si="27"/>
        <v>4.3</v>
      </c>
      <c r="AT93" s="50">
        <f t="shared" si="49"/>
        <v>2.1866544029178385</v>
      </c>
      <c r="AU93" s="50">
        <f t="shared" si="50"/>
        <v>0.17758141021522711</v>
      </c>
      <c r="AV93" s="2">
        <f t="shared" si="51"/>
        <v>28.059400315393304</v>
      </c>
      <c r="AW93" s="61">
        <f t="shared" si="47"/>
        <v>-9.7883865419534164</v>
      </c>
      <c r="BA93" s="16"/>
      <c r="BB93" s="2"/>
    </row>
    <row r="94" spans="1:54" x14ac:dyDescent="0.25">
      <c r="A94">
        <v>92</v>
      </c>
      <c r="B94" s="1">
        <f>ROUND((A94+Forudsætninger!$C$60)/30.4,1)</f>
        <v>4.3</v>
      </c>
      <c r="C94" s="1">
        <f>VLOOKUP((A94+Forudsætninger!$C$60),'Model tilvækst, slagteform, fe'!A:B,2,FALSE)</f>
        <v>181.41341502650971</v>
      </c>
      <c r="D94" s="3">
        <f t="shared" si="37"/>
        <v>1555.1207622543188</v>
      </c>
      <c r="E94" s="1">
        <f>(1+Forudsætninger!$C$78)*C94</f>
        <v>168.71447597465402</v>
      </c>
      <c r="F94" s="2">
        <f t="shared" si="38"/>
        <v>5.1115353806401416</v>
      </c>
      <c r="G94" s="1">
        <f t="shared" si="28"/>
        <v>173.82601135529416</v>
      </c>
      <c r="H94" s="3">
        <f t="shared" si="29"/>
        <v>1401.8302871178037</v>
      </c>
      <c r="I94" s="3">
        <f t="shared" si="30"/>
        <v>1139.4131669053713</v>
      </c>
      <c r="J94" s="1">
        <f>VLOOKUP((A94+Forudsætninger!$C$60),'Model tilvækst, slagteform, fe'!G:K,2,FALSE)*(1+Forudsætninger!$C$79)</f>
        <v>48.206570496683753</v>
      </c>
      <c r="K94" s="17">
        <f t="shared" si="26"/>
        <v>83.79555870556338</v>
      </c>
      <c r="L94" s="17">
        <f t="shared" si="39"/>
        <v>707.13569197855008</v>
      </c>
      <c r="M94" s="3">
        <f>((K94-(('Model tilvækst, slagteform, fe'!$H$9/100)*'Model tilvækst, slagteform, fe'!$B$9))*1000/(A94+Forudsætninger!$C$60))</f>
        <v>483.57751661949987</v>
      </c>
      <c r="N94" s="17">
        <f t="shared" si="40"/>
        <v>309.32859438873601</v>
      </c>
      <c r="O94" s="19">
        <f>IF( A94&lt;Forudsætninger!$C$14,(G94/100)*Forudsætninger!$C$13,(Forudsætninger!$C$15/1000)*Forudsætninger!$C$13)</f>
        <v>1.1298690738094121</v>
      </c>
      <c r="P94" s="17" cm="1">
        <f t="array" ref="P94">INDEX('Model tilvækst, slagteform, fe'!$N$9:$N$375,MATCH(MIN(ABS('Model tilvækst, slagteform, fe'!$M$9:$M$375-'Vækstfunktion, hol'!G94)),ABS('Model tilvækst, slagteform, fe'!$M$9:$M$375-'Vækstfunktion, hol'!G94),0))*(1+Forudsætninger!$C$80)</f>
        <v>5.1823139593780914</v>
      </c>
      <c r="Q94" s="17">
        <f t="shared" si="41"/>
        <v>7.3285990484769492</v>
      </c>
      <c r="R94" s="17">
        <f t="shared" si="42"/>
        <v>5.9859418170637095</v>
      </c>
      <c r="S94" s="17">
        <f t="shared" si="31"/>
        <v>2.9508763177138055</v>
      </c>
      <c r="T94" s="19">
        <f>(P94)*IF(N94&lt;Forudsætninger!$B$228,IF(N94&lt;Forudsætninger!$B$227,Forudsætninger!$B$225,Forudsætninger!$C$9),Forudsætninger!$C$11)+O94</f>
        <v>13.256483738754145</v>
      </c>
      <c r="U94" s="2">
        <f>Forudsætninger!$C$68+((K94-(Forudsætninger!$C$84)))*0.01</f>
        <v>2.5350084460442739</v>
      </c>
      <c r="V94" s="2">
        <f>U94+Forudsætninger!$C$69</f>
        <v>1.5350084460442739</v>
      </c>
      <c r="W94">
        <f t="shared" si="32"/>
        <v>0</v>
      </c>
      <c r="X94">
        <f>IF(A94+Forudsætninger!$C$60&gt;248,IF(A94+Forudsætninger!$C$60&lt;365,IF(K94&gt;180,IF(K94&lt;260,1,0),0),0),0)</f>
        <v>0</v>
      </c>
      <c r="Y94" s="22">
        <f>IF(X94=0,0,IF('Vækstfunktion, hol'!A94&lt;Forudsætninger!$C$66,Forudsætninger!$C$67+(('Vækstfunktion, hol'!A94-Forudsætninger!$C$66)/7)*Forudsætninger!$C$64,Forudsætninger!$C$67))</f>
        <v>0</v>
      </c>
      <c r="Z94" s="19">
        <f t="shared" si="43"/>
        <v>1314.0030361977078</v>
      </c>
      <c r="AA94" s="19">
        <f>Forudsætninger!$C$62+Forudsætninger!$C$16</f>
        <v>1350</v>
      </c>
      <c r="AB94" s="19">
        <f>IF(K94&gt;Forudsætninger!$C$26,IF(K94&gt;Forudsætninger!$C$27,IF(K94&gt;Forudsætninger!$C$28,Forudsætninger!$E$28,Forudsætninger!$E$27+Forudsætninger!$F$28*(K94-Forudsætninger!$C$27)),Forudsætninger!$E$26+Forudsætninger!$F$27*(K94-Forudsætninger!$C$26)),Forudsætninger!$E$26)+IF(K94&gt;Forudsætninger!$C$28,Forudsætninger!$G$28,IF(K94&gt;Forudsætninger!$C$27,Forudsætninger!$G$27+Forudsætninger!$H$28*(K94-Forudsætninger!$C$27),IF(K94&gt;Forudsætninger!$C$26,Forudsætninger!$G$26+Forudsætninger!$H$27*(K94-Forudsætninger!$C$26),Forudsætninger!$G$26)))*(U94-Forudsætninger!$H$26)</f>
        <v>33.25125633453321</v>
      </c>
      <c r="AC94" s="19">
        <f>IF(K94&gt;Forudsætninger!$C$31,IF(K94&gt;Forudsætninger!$C$32,IF(K94&gt;Forudsætninger!$C$33,Forudsætninger!$E$33,Forudsætninger!$E$32+Forudsætninger!$F$33*(K94-Forudsætninger!$C$32)),Forudsætninger!$E$31+Forudsætninger!$F$32*(K94-Forudsætninger!$C$31)),Forudsætninger!$E$31)+IF(K94&gt;Forudsætninger!$C$33,Forudsætninger!$G$33,IF(K94&gt;Forudsætninger!$C$32,Forudsætninger!$G$32+Forudsætninger!$H$33*(K94-Forudsætninger!$C$32),IF(K94&gt;Forudsætninger!$C$31,Forudsætninger!$G$31+Forudsætninger!$H$32*(K94-Forudsætninger!$C$31),Forudsætninger!$G$31)))*(V94-Forudsætninger!$H$31)</f>
        <v>26.395510979857555</v>
      </c>
      <c r="AD94" s="19">
        <f t="shared" si="33"/>
        <v>2211.8265898759964</v>
      </c>
      <c r="AE94" s="19">
        <f t="shared" si="34"/>
        <v>26.395510979857555</v>
      </c>
      <c r="AF94">
        <f>IF(G94&lt;=Forudsætninger!$C$97,Forudsætninger!$C$98,(IF(G94&lt;=Forudsætninger!$D$97,Forudsætninger!$D$98,IF(G94&lt;=Forudsætninger!$E$97,Forudsætninger!$E$98,IF(G94&lt;=Forudsætninger!$F$97,Forudsætninger!$F$98,IF(G94&lt;=Forudsætninger!$G$97,Forudsætninger!$G$98,IF(G94&lt;=Forudsætninger!$H$97,Forudsætninger!$H$98,IF(G94&lt;=Forudsætninger!$I$97,Forudsætninger!$I$98,Forudsætninger!$I$98))))))))</f>
        <v>2.2000000000000002</v>
      </c>
      <c r="AG94" s="1">
        <f t="shared" si="44"/>
        <v>2.2000000000000002</v>
      </c>
      <c r="AH94" s="1">
        <f t="shared" si="48"/>
        <v>202.39999999999972</v>
      </c>
      <c r="AI94" s="1">
        <f t="shared" si="35"/>
        <v>2.1999999999999971</v>
      </c>
      <c r="AJ94" s="20">
        <f>+(W94*Forudsætninger!$C$12)</f>
        <v>0</v>
      </c>
      <c r="AK94" s="20">
        <f>Forudsætninger!$C$17</f>
        <v>250</v>
      </c>
      <c r="AL94" s="20">
        <f>IF(A94&lt;92,Forudsætninger!$C$20,Forudsætninger!$C$21)</f>
        <v>1.0566762728146013</v>
      </c>
      <c r="AM94" s="20">
        <f t="shared" si="45"/>
        <v>365.71969995223219</v>
      </c>
      <c r="AN94" s="20">
        <f>IFERROR(AD94+AJ94-AA94-Z94-AK94-AM94-Forudsætninger!$C$75,-99999999)</f>
        <v>-1250.2903388233381</v>
      </c>
      <c r="AO94" s="19">
        <f>IFERROR(AN94/(A94+Forudsætninger!$C$74),-99999999)</f>
        <v>-13.590112378514544</v>
      </c>
      <c r="AP94" s="19">
        <f>IFERROR(((365/(A94+Forudsætninger!$C$74))*AN94)/(AI94+Forudsætninger!$C$73),-9999999)</f>
        <v>-2147.3554191159374</v>
      </c>
      <c r="AQ94" s="18">
        <f t="shared" si="36"/>
        <v>92</v>
      </c>
      <c r="AR94" s="18">
        <f t="shared" si="46"/>
        <v>3279.7227361499399</v>
      </c>
      <c r="AS94" s="52">
        <f t="shared" si="27"/>
        <v>4.3</v>
      </c>
      <c r="AT94" s="50">
        <f t="shared" si="49"/>
        <v>5.1158601738404741</v>
      </c>
      <c r="AU94" s="50">
        <f t="shared" si="50"/>
        <v>0.20556013793796701</v>
      </c>
      <c r="AV94" s="2">
        <f t="shared" si="51"/>
        <v>32.480281535652466</v>
      </c>
      <c r="AW94" s="61">
        <f t="shared" si="47"/>
        <v>-9.6148982485989762</v>
      </c>
      <c r="BA94" s="16"/>
      <c r="BB94" s="2"/>
    </row>
    <row r="95" spans="1:54" x14ac:dyDescent="0.25">
      <c r="A95">
        <v>93</v>
      </c>
      <c r="B95" s="1">
        <f>ROUND((A95+Forudsætninger!$C$60)/30.4,1)</f>
        <v>4.3</v>
      </c>
      <c r="C95" s="1">
        <f>VLOOKUP((A95+Forudsætninger!$C$60),'Model tilvækst, slagteform, fe'!A:B,2,FALSE)</f>
        <v>182.97176555916974</v>
      </c>
      <c r="D95" s="3">
        <f t="shared" si="37"/>
        <v>1558.3505326600289</v>
      </c>
      <c r="E95" s="1">
        <f>(1+Forudsætninger!$C$78)*C95</f>
        <v>170.16374197002784</v>
      </c>
      <c r="F95" s="2">
        <f t="shared" si="38"/>
        <v>5.0670110797069983</v>
      </c>
      <c r="G95" s="1">
        <f t="shared" si="28"/>
        <v>175.23075304973483</v>
      </c>
      <c r="H95" s="3">
        <f t="shared" si="29"/>
        <v>1404.7416944406734</v>
      </c>
      <c r="I95" s="3">
        <f t="shared" si="30"/>
        <v>1142.2661618251057</v>
      </c>
      <c r="J95" s="1">
        <f>VLOOKUP((A95+Forudsætninger!$C$60),'Model tilvækst, slagteform, fe'!G:K,2,FALSE)*(1+Forudsætninger!$C$79)</f>
        <v>48.224740092125124</v>
      </c>
      <c r="K95" s="17">
        <f t="shared" si="26"/>
        <v>84.504575219708244</v>
      </c>
      <c r="L95" s="17">
        <f t="shared" si="39"/>
        <v>709.01651414486366</v>
      </c>
      <c r="M95" s="3">
        <f>((K95-(('Model tilvækst, slagteform, fe'!$H$9/100)*'Model tilvækst, slagteform, fe'!$B$9))*1000/(A95+Forudsætninger!$C$60))</f>
        <v>485.28538781287386</v>
      </c>
      <c r="N95" s="17">
        <f t="shared" si="40"/>
        <v>314.54396426466695</v>
      </c>
      <c r="O95" s="19">
        <f>IF( A95&lt;Forudsætninger!$C$14,(G95/100)*Forudsætninger!$C$13,(Forudsætninger!$C$15/1000)*Forudsætninger!$C$13)</f>
        <v>1.1389998948232765</v>
      </c>
      <c r="P95" s="17" cm="1">
        <f t="array" ref="P95">INDEX('Model tilvækst, slagteform, fe'!$N$9:$N$375,MATCH(MIN(ABS('Model tilvækst, slagteform, fe'!$M$9:$M$375-'Vækstfunktion, hol'!G95)),ABS('Model tilvækst, slagteform, fe'!$M$9:$M$375-'Vækstfunktion, hol'!G95),0))*(1+Forudsætninger!$C$80)</f>
        <v>5.2153698759309419</v>
      </c>
      <c r="Q95" s="17">
        <f t="shared" si="41"/>
        <v>7.3557805380896344</v>
      </c>
      <c r="R95" s="17">
        <f t="shared" si="42"/>
        <v>6.0044822554447608</v>
      </c>
      <c r="S95" s="17">
        <f t="shared" si="31"/>
        <v>2.9609501508231295</v>
      </c>
      <c r="T95" s="19">
        <f>(P95)*IF(N95&lt;Forudsætninger!$B$228,IF(N95&lt;Forudsætninger!$B$227,Forudsætninger!$B$225,Forudsætninger!$C$9),Forudsætninger!$C$11)+O95</f>
        <v>13.34296540450168</v>
      </c>
      <c r="U95" s="2">
        <f>Forudsætninger!$C$68+((K95-(Forudsætninger!$C$84)))*0.01</f>
        <v>2.5420986111857227</v>
      </c>
      <c r="V95" s="2">
        <f>U95+Forudsætninger!$C$69</f>
        <v>1.5420986111857227</v>
      </c>
      <c r="W95">
        <f t="shared" si="32"/>
        <v>0</v>
      </c>
      <c r="X95">
        <f>IF(A95+Forudsætninger!$C$60&gt;248,IF(A95+Forudsætninger!$C$60&lt;365,IF(K95&gt;180,IF(K95&lt;260,1,0),0),0),0)</f>
        <v>0</v>
      </c>
      <c r="Y95" s="22">
        <f>IF(X95=0,0,IF('Vækstfunktion, hol'!A95&lt;Forudsætninger!$C$66,Forudsætninger!$C$67+(('Vækstfunktion, hol'!A95-Forudsætninger!$C$66)/7)*Forudsætninger!$C$64,Forudsætninger!$C$67))</f>
        <v>0</v>
      </c>
      <c r="Z95" s="19">
        <f t="shared" si="43"/>
        <v>1327.3460016022095</v>
      </c>
      <c r="AA95" s="19">
        <f>Forudsætninger!$C$62+Forudsætninger!$C$16</f>
        <v>1350</v>
      </c>
      <c r="AB95" s="19">
        <f>IF(K95&gt;Forudsætninger!$C$26,IF(K95&gt;Forudsætninger!$C$27,IF(K95&gt;Forudsætninger!$C$28,Forudsætninger!$E$28,Forudsætninger!$E$27+Forudsætninger!$F$28*(K95-Forudsætninger!$C$27)),Forudsætninger!$E$26+Forudsætninger!$F$27*(K95-Forudsætninger!$C$26)),Forudsætninger!$E$26)+IF(K95&gt;Forudsætninger!$C$28,Forudsætninger!$G$28,IF(K95&gt;Forudsætninger!$C$27,Forudsætninger!$G$27+Forudsætninger!$H$28*(K95-Forudsætninger!$C$27),IF(K95&gt;Forudsætninger!$C$26,Forudsætninger!$G$26+Forudsætninger!$H$27*(K95-Forudsætninger!$C$26),Forudsætninger!$G$26)))*(U95-Forudsætninger!$H$26)</f>
        <v>33.256573958389296</v>
      </c>
      <c r="AC95" s="19">
        <f>IF(K95&gt;Forudsætninger!$C$31,IF(K95&gt;Forudsætninger!$C$32,IF(K95&gt;Forudsætninger!$C$33,Forudsætninger!$E$33,Forudsætninger!$E$32+Forudsætninger!$F$33*(K95-Forudsætninger!$C$32)),Forudsætninger!$E$31+Forudsætninger!$F$32*(K95-Forudsætninger!$C$31)),Forudsætninger!$E$31)+IF(K95&gt;Forudsætninger!$C$33,Forudsætninger!$G$33,IF(K95&gt;Forudsætninger!$C$32,Forudsætninger!$G$32+Forudsætninger!$H$33*(K95-Forudsætninger!$C$32),IF(K95&gt;Forudsætninger!$C$31,Forudsætninger!$G$31+Forudsætninger!$H$32*(K95-Forudsætninger!$C$31),Forudsætninger!$G$31)))*(V95-Forudsætninger!$H$31)</f>
        <v>26.404728194541438</v>
      </c>
      <c r="AD95" s="19">
        <f t="shared" si="33"/>
        <v>2231.3203398715777</v>
      </c>
      <c r="AE95" s="19">
        <f t="shared" si="34"/>
        <v>26.404728194541434</v>
      </c>
      <c r="AF95">
        <f>IF(G95&lt;=Forudsætninger!$C$97,Forudsætninger!$C$98,(IF(G95&lt;=Forudsætninger!$D$97,Forudsætninger!$D$98,IF(G95&lt;=Forudsætninger!$E$97,Forudsætninger!$E$98,IF(G95&lt;=Forudsætninger!$F$97,Forudsætninger!$F$98,IF(G95&lt;=Forudsætninger!$G$97,Forudsætninger!$G$98,IF(G95&lt;=Forudsætninger!$H$97,Forudsætninger!$H$98,IF(G95&lt;=Forudsætninger!$I$97,Forudsætninger!$I$98,Forudsætninger!$I$98))))))))</f>
        <v>2.2000000000000002</v>
      </c>
      <c r="AG95" s="1">
        <f t="shared" si="44"/>
        <v>2.2000000000000002</v>
      </c>
      <c r="AH95" s="1">
        <f t="shared" si="48"/>
        <v>204.59999999999971</v>
      </c>
      <c r="AI95" s="1">
        <f t="shared" si="35"/>
        <v>2.1999999999999971</v>
      </c>
      <c r="AJ95" s="20">
        <f>+(W95*Forudsætninger!$C$12)</f>
        <v>0</v>
      </c>
      <c r="AK95" s="20">
        <f>Forudsætninger!$C$17</f>
        <v>250</v>
      </c>
      <c r="AL95" s="20">
        <f>IF(A95&lt;92,Forudsætninger!$C$20,Forudsætninger!$C$21)</f>
        <v>1.0566762728146013</v>
      </c>
      <c r="AM95" s="20">
        <f t="shared" si="45"/>
        <v>366.77637622504682</v>
      </c>
      <c r="AN95" s="20">
        <f>IFERROR(AD95+AJ95-AA95-Z95-AK95-AM95-Forudsætninger!$C$75,-99999999)</f>
        <v>-1245.1962305050731</v>
      </c>
      <c r="AO95" s="19">
        <f>IFERROR(AN95/(A95+Forudsætninger!$C$74),-99999999)</f>
        <v>-13.389206779624443</v>
      </c>
      <c r="AP95" s="19">
        <f>IFERROR(((365/(A95+Forudsætninger!$C$74))*AN95)/(AI95+Forudsætninger!$C$73),-9999999)</f>
        <v>-2115.6105950488868</v>
      </c>
      <c r="AQ95" s="18">
        <f t="shared" si="36"/>
        <v>93</v>
      </c>
      <c r="AR95" s="18">
        <f t="shared" si="46"/>
        <v>3294.1223778272565</v>
      </c>
      <c r="AS95" s="52">
        <f t="shared" si="27"/>
        <v>4.3</v>
      </c>
      <c r="AT95" s="50">
        <f t="shared" si="49"/>
        <v>5.0941083182649436</v>
      </c>
      <c r="AU95" s="50">
        <f t="shared" si="50"/>
        <v>0.20090559889010073</v>
      </c>
      <c r="AV95" s="2">
        <f t="shared" si="51"/>
        <v>31.744824067050558</v>
      </c>
      <c r="AW95" s="61">
        <f t="shared" si="47"/>
        <v>-9.4453747772045844</v>
      </c>
      <c r="BA95" s="16"/>
      <c r="BB95" s="2"/>
    </row>
    <row r="96" spans="1:54" x14ac:dyDescent="0.25">
      <c r="A96">
        <v>94</v>
      </c>
      <c r="B96" s="1">
        <f>ROUND((A96+Forudsætninger!$C$60)/30.4,1)</f>
        <v>4.4000000000000004</v>
      </c>
      <c r="C96" s="1">
        <f>VLOOKUP((A96+Forudsætninger!$C$60),'Model tilvækst, slagteform, fe'!A:B,2,FALSE)</f>
        <v>184.53325621596741</v>
      </c>
      <c r="D96" s="3">
        <f t="shared" si="37"/>
        <v>1561.4906567976732</v>
      </c>
      <c r="E96" s="1">
        <f>(1+Forudsætninger!$C$78)*C96</f>
        <v>171.61592828084969</v>
      </c>
      <c r="F96" s="2">
        <f t="shared" si="38"/>
        <v>5.0223970609413504</v>
      </c>
      <c r="G96" s="1">
        <f t="shared" si="28"/>
        <v>176.63832534179105</v>
      </c>
      <c r="H96" s="3">
        <f t="shared" si="29"/>
        <v>1407.5722920562157</v>
      </c>
      <c r="I96" s="3">
        <f t="shared" si="30"/>
        <v>1145.0885674658623</v>
      </c>
      <c r="J96" s="1">
        <f>VLOOKUP((A96+Forudsætninger!$C$60),'Model tilvækst, slagteform, fe'!G:K,2,FALSE)*(1+Forudsætninger!$C$79)</f>
        <v>48.242892383620813</v>
      </c>
      <c r="K96" s="17">
        <f t="shared" si="26"/>
        <v>85.215437202870262</v>
      </c>
      <c r="L96" s="17">
        <f t="shared" si="39"/>
        <v>710.86198316201887</v>
      </c>
      <c r="M96" s="3">
        <f>((K96-(('Model tilvækst, slagteform, fe'!$H$9/100)*'Model tilvækst, slagteform, fe'!$B$9))*1000/(A96+Forudsætninger!$C$60))</f>
        <v>486.98145243955912</v>
      </c>
      <c r="N96" s="17">
        <f t="shared" si="40"/>
        <v>319.79215221367843</v>
      </c>
      <c r="O96" s="19">
        <f>IF( A96&lt;Forudsætninger!$C$14,(G96/100)*Forudsætninger!$C$13,(Forudsætninger!$C$15/1000)*Forudsætninger!$C$13)</f>
        <v>1.1481491147216418</v>
      </c>
      <c r="P96" s="17" cm="1">
        <f t="array" ref="P96">INDEX('Model tilvækst, slagteform, fe'!$N$9:$N$375,MATCH(MIN(ABS('Model tilvækst, slagteform, fe'!$M$9:$M$375-'Vækstfunktion, hol'!G96)),ABS('Model tilvækst, slagteform, fe'!$M$9:$M$375-'Vækstfunktion, hol'!G96),0))*(1+Forudsætninger!$C$80)</f>
        <v>5.248187949011462</v>
      </c>
      <c r="Q96" s="17">
        <f t="shared" si="41"/>
        <v>7.3828507830264725</v>
      </c>
      <c r="R96" s="17">
        <f t="shared" si="42"/>
        <v>6.0229362804110487</v>
      </c>
      <c r="S96" s="17">
        <f t="shared" si="31"/>
        <v>2.9709878075325067</v>
      </c>
      <c r="T96" s="19">
        <f>(P96)*IF(N96&lt;Forudsætninger!$B$228,IF(N96&lt;Forudsætninger!$B$227,Forudsætninger!$B$225,Forudsætninger!$C$9),Forudsætninger!$C$11)+O96</f>
        <v>13.428908915408462</v>
      </c>
      <c r="U96" s="2">
        <f>Forudsætninger!$C$68+((K96-(Forudsætninger!$C$84)))*0.01</f>
        <v>2.549207231017343</v>
      </c>
      <c r="V96" s="2">
        <f>U96+Forudsætninger!$C$69</f>
        <v>1.549207231017343</v>
      </c>
      <c r="W96">
        <f t="shared" si="32"/>
        <v>0</v>
      </c>
      <c r="X96">
        <f>IF(A96+Forudsætninger!$C$60&gt;248,IF(A96+Forudsætninger!$C$60&lt;365,IF(K96&gt;180,IF(K96&lt;260,1,0),0),0),0)</f>
        <v>0</v>
      </c>
      <c r="Y96" s="22">
        <f>IF(X96=0,0,IF('Vækstfunktion, hol'!A96&lt;Forudsætninger!$C$66,Forudsætninger!$C$67+(('Vækstfunktion, hol'!A96-Forudsætninger!$C$66)/7)*Forudsætninger!$C$64,Forudsætninger!$C$67))</f>
        <v>0</v>
      </c>
      <c r="Z96" s="19">
        <f t="shared" si="43"/>
        <v>1340.7749105176181</v>
      </c>
      <c r="AA96" s="19">
        <f>Forudsætninger!$C$62+Forudsætninger!$C$16</f>
        <v>1350</v>
      </c>
      <c r="AB96" s="19">
        <f>IF(K96&gt;Forudsætninger!$C$26,IF(K96&gt;Forudsætninger!$C$27,IF(K96&gt;Forudsætninger!$C$28,Forudsætninger!$E$28,Forudsætninger!$E$27+Forudsætninger!$F$28*(K96-Forudsætninger!$C$27)),Forudsætninger!$E$26+Forudsætninger!$F$27*(K96-Forudsætninger!$C$26)),Forudsætninger!$E$26)+IF(K96&gt;Forudsætninger!$C$28,Forudsætninger!$G$28,IF(K96&gt;Forudsætninger!$C$27,Forudsætninger!$G$27+Forudsætninger!$H$28*(K96-Forudsætninger!$C$27),IF(K96&gt;Forudsætninger!$C$26,Forudsætninger!$G$26+Forudsætninger!$H$27*(K96-Forudsætninger!$C$26),Forudsætninger!$G$26)))*(U96-Forudsætninger!$H$26)</f>
        <v>33.261905423263009</v>
      </c>
      <c r="AC96" s="19">
        <f>IF(K96&gt;Forudsætninger!$C$31,IF(K96&gt;Forudsætninger!$C$32,IF(K96&gt;Forudsætninger!$C$33,Forudsætninger!$E$33,Forudsætninger!$E$32+Forudsætninger!$F$33*(K96-Forudsætninger!$C$32)),Forudsætninger!$E$31+Forudsætninger!$F$32*(K96-Forudsætninger!$C$31)),Forudsætninger!$E$31)+IF(K96&gt;Forudsætninger!$C$33,Forudsætninger!$G$33,IF(K96&gt;Forudsætninger!$C$32,Forudsætninger!$G$32+Forudsætninger!$H$33*(K96-Forudsætninger!$C$32),IF(K96&gt;Forudsætninger!$C$31,Forudsætninger!$G$31+Forudsætninger!$H$32*(K96-Forudsætninger!$C$31),Forudsætninger!$G$31)))*(V96-Forudsætninger!$H$31)</f>
        <v>26.413969400322546</v>
      </c>
      <c r="AD96" s="19">
        <f t="shared" si="33"/>
        <v>2250.8779507117229</v>
      </c>
      <c r="AE96" s="19">
        <f t="shared" si="34"/>
        <v>26.41396940032255</v>
      </c>
      <c r="AF96">
        <f>IF(G96&lt;=Forudsætninger!$C$97,Forudsætninger!$C$98,(IF(G96&lt;=Forudsætninger!$D$97,Forudsætninger!$D$98,IF(G96&lt;=Forudsætninger!$E$97,Forudsætninger!$E$98,IF(G96&lt;=Forudsætninger!$F$97,Forudsætninger!$F$98,IF(G96&lt;=Forudsætninger!$G$97,Forudsætninger!$G$98,IF(G96&lt;=Forudsætninger!$H$97,Forudsætninger!$H$98,IF(G96&lt;=Forudsætninger!$I$97,Forudsætninger!$I$98,Forudsætninger!$I$98))))))))</f>
        <v>2.2000000000000002</v>
      </c>
      <c r="AG96" s="1">
        <f t="shared" si="44"/>
        <v>2.2000000000000002</v>
      </c>
      <c r="AH96" s="1">
        <f t="shared" si="48"/>
        <v>206.7999999999997</v>
      </c>
      <c r="AI96" s="1">
        <f t="shared" si="35"/>
        <v>2.1999999999999966</v>
      </c>
      <c r="AJ96" s="20">
        <f>+(W96*Forudsætninger!$C$12)</f>
        <v>0</v>
      </c>
      <c r="AK96" s="20">
        <f>Forudsætninger!$C$17</f>
        <v>250</v>
      </c>
      <c r="AL96" s="20">
        <f>IF(A96&lt;92,Forudsætninger!$C$20,Forudsætninger!$C$21)</f>
        <v>1.0566762728146013</v>
      </c>
      <c r="AM96" s="20">
        <f t="shared" si="45"/>
        <v>367.83305249786144</v>
      </c>
      <c r="AN96" s="20">
        <f>IFERROR(AD96+AJ96-AA96-Z96-AK96-AM96-Forudsætninger!$C$75,-99999999)</f>
        <v>-1240.1242048531512</v>
      </c>
      <c r="AO96" s="19">
        <f>IFERROR(AN96/(A96+Forudsætninger!$C$74),-99999999)</f>
        <v>-13.192810689927141</v>
      </c>
      <c r="AP96" s="19">
        <f>IFERROR(((365/(A96+Forudsætninger!$C$74))*AN96)/(AI96+Forudsætninger!$C$73),-9999999)</f>
        <v>-2084.5783124776681</v>
      </c>
      <c r="AQ96" s="18">
        <f t="shared" si="36"/>
        <v>94</v>
      </c>
      <c r="AR96" s="18">
        <f t="shared" si="46"/>
        <v>3308.6079630154795</v>
      </c>
      <c r="AS96" s="52">
        <f t="shared" si="27"/>
        <v>4.4000000000000004</v>
      </c>
      <c r="AT96" s="50">
        <f t="shared" si="49"/>
        <v>5.0720256519218765</v>
      </c>
      <c r="AU96" s="50">
        <f t="shared" si="50"/>
        <v>0.19639608969730205</v>
      </c>
      <c r="AV96" s="2">
        <f t="shared" si="51"/>
        <v>31.03228257121873</v>
      </c>
      <c r="AW96" s="61">
        <f t="shared" si="47"/>
        <v>-9.2796931101626576</v>
      </c>
      <c r="BA96" s="16"/>
      <c r="BB96" s="2"/>
    </row>
    <row r="97" spans="1:54" x14ac:dyDescent="0.25">
      <c r="A97">
        <v>95</v>
      </c>
      <c r="B97" s="1">
        <f>ROUND((A97+Forudsætninger!$C$60)/30.4,1)</f>
        <v>4.4000000000000004</v>
      </c>
      <c r="C97" s="1">
        <f>VLOOKUP((A97+Forudsætninger!$C$60),'Model tilvækst, slagteform, fe'!A:B,2,FALSE)</f>
        <v>186.09779788498238</v>
      </c>
      <c r="D97" s="3">
        <f t="shared" si="37"/>
        <v>1564.5416690149716</v>
      </c>
      <c r="E97" s="1">
        <f>(1+Forudsætninger!$C$78)*C97</f>
        <v>173.07095203303359</v>
      </c>
      <c r="F97" s="2">
        <f t="shared" si="38"/>
        <v>4.9776958703980654</v>
      </c>
      <c r="G97" s="1">
        <f t="shared" si="28"/>
        <v>178.04864790343166</v>
      </c>
      <c r="H97" s="3">
        <f t="shared" si="29"/>
        <v>1410.3225616406121</v>
      </c>
      <c r="I97" s="3">
        <f t="shared" si="30"/>
        <v>1147.880504246649</v>
      </c>
      <c r="J97" s="1">
        <f>VLOOKUP((A97+Forudsætninger!$C$60),'Model tilvækst, slagteform, fe'!G:K,2,FALSE)*(1+Forudsætninger!$C$79)</f>
        <v>48.261028980020221</v>
      </c>
      <c r="K97" s="17">
        <f t="shared" si="26"/>
        <v>85.928109563209318</v>
      </c>
      <c r="L97" s="17">
        <f t="shared" si="39"/>
        <v>712.6723603390559</v>
      </c>
      <c r="M97" s="3">
        <f>((K97-(('Model tilvækst, slagteform, fe'!$H$9/100)*'Model tilvækst, slagteform, fe'!$B$9))*1000/(A97+Forudsætninger!$C$60))</f>
        <v>488.66571294627181</v>
      </c>
      <c r="N97" s="17">
        <f t="shared" si="40"/>
        <v>325.1052426545034</v>
      </c>
      <c r="O97" s="19">
        <f>IF( A97&lt;Forudsætninger!$C$14,(G97/100)*Forudsætninger!$C$13,(Forudsætninger!$C$15/1000)*Forudsætninger!$C$13)</f>
        <v>1.1573162113723059</v>
      </c>
      <c r="P97" s="17" cm="1">
        <f t="array" ref="P97">INDEX('Model tilvækst, slagteform, fe'!$N$9:$N$375,MATCH(MIN(ABS('Model tilvækst, slagteform, fe'!$M$9:$M$375-'Vækstfunktion, hol'!G97)),ABS('Model tilvækst, slagteform, fe'!$M$9:$M$375-'Vækstfunktion, hol'!G97),0))*(1+Forudsætninger!$C$80)</f>
        <v>5.3130904408249506</v>
      </c>
      <c r="Q97" s="17">
        <f t="shared" si="41"/>
        <v>7.455165566259975</v>
      </c>
      <c r="R97" s="17">
        <f t="shared" si="42"/>
        <v>6.0419056295621418</v>
      </c>
      <c r="S97" s="17">
        <f t="shared" si="31"/>
        <v>2.9812863240853869</v>
      </c>
      <c r="T97" s="19">
        <f>(P97)*IF(N97&lt;Forudsætninger!$B$228,IF(N97&lt;Forudsætninger!$B$227,Forudsætninger!$B$225,Forudsætninger!$C$9),Forudsætninger!$C$11)+O97</f>
        <v>13.58994784290269</v>
      </c>
      <c r="U97" s="2">
        <f>Forudsætninger!$C$68+((K97-(Forudsætninger!$C$84)))*0.01</f>
        <v>2.5563339546207335</v>
      </c>
      <c r="V97" s="2">
        <f>U97+Forudsætninger!$C$69</f>
        <v>1.5563339546207335</v>
      </c>
      <c r="W97">
        <f t="shared" si="32"/>
        <v>0</v>
      </c>
      <c r="X97">
        <f>IF(A97+Forudsætninger!$C$60&gt;248,IF(A97+Forudsætninger!$C$60&lt;365,IF(K97&gt;180,IF(K97&lt;260,1,0),0),0),0)</f>
        <v>0</v>
      </c>
      <c r="Y97" s="22">
        <f>IF(X97=0,0,IF('Vækstfunktion, hol'!A97&lt;Forudsætninger!$C$66,Forudsætninger!$C$67+(('Vækstfunktion, hol'!A97-Forudsætninger!$C$66)/7)*Forudsætninger!$C$64,Forudsætninger!$C$67))</f>
        <v>0</v>
      </c>
      <c r="Z97" s="19">
        <f t="shared" si="43"/>
        <v>1354.3648583605209</v>
      </c>
      <c r="AA97" s="19">
        <f>Forudsætninger!$C$62+Forudsætninger!$C$16</f>
        <v>1350</v>
      </c>
      <c r="AB97" s="19">
        <f>IF(K97&gt;Forudsætninger!$C$26,IF(K97&gt;Forudsætninger!$C$27,IF(K97&gt;Forudsætninger!$C$28,Forudsætninger!$E$28,Forudsætninger!$E$27+Forudsætninger!$F$28*(K97-Forudsætninger!$C$27)),Forudsætninger!$E$26+Forudsætninger!$F$27*(K97-Forudsætninger!$C$26)),Forudsætninger!$E$26)+IF(K97&gt;Forudsætninger!$C$28,Forudsætninger!$G$28,IF(K97&gt;Forudsætninger!$C$27,Forudsætninger!$G$27+Forudsætninger!$H$28*(K97-Forudsætninger!$C$27),IF(K97&gt;Forudsætninger!$C$26,Forudsætninger!$G$26+Forudsætninger!$H$27*(K97-Forudsætninger!$C$26),Forudsætninger!$G$26)))*(U97-Forudsætninger!$H$26)</f>
        <v>33.267250465965553</v>
      </c>
      <c r="AC97" s="19">
        <f>IF(K97&gt;Forudsætninger!$C$31,IF(K97&gt;Forudsætninger!$C$32,IF(K97&gt;Forudsætninger!$C$33,Forudsætninger!$E$33,Forudsætninger!$E$32+Forudsætninger!$F$33*(K97-Forudsætninger!$C$32)),Forudsætninger!$E$31+Forudsætninger!$F$32*(K97-Forudsætninger!$C$31)),Forudsætninger!$E$31)+IF(K97&gt;Forudsætninger!$C$33,Forudsætninger!$G$33,IF(K97&gt;Forudsætninger!$C$32,Forudsætninger!$G$32+Forudsætninger!$H$33*(K97-Forudsætninger!$C$32),IF(K97&gt;Forudsætninger!$C$31,Forudsætninger!$G$31+Forudsætninger!$H$32*(K97-Forudsætninger!$C$31),Forudsætninger!$G$31)))*(V97-Forudsætninger!$H$31)</f>
        <v>26.423234141006954</v>
      </c>
      <c r="AD97" s="19">
        <f t="shared" si="33"/>
        <v>2270.4985582827785</v>
      </c>
      <c r="AE97" s="19">
        <f t="shared" si="34"/>
        <v>26.423234141006954</v>
      </c>
      <c r="AF97">
        <f>IF(G97&lt;=Forudsætninger!$C$97,Forudsætninger!$C$98,(IF(G97&lt;=Forudsætninger!$D$97,Forudsætninger!$D$98,IF(G97&lt;=Forudsætninger!$E$97,Forudsætninger!$E$98,IF(G97&lt;=Forudsætninger!$F$97,Forudsætninger!$F$98,IF(G97&lt;=Forudsætninger!$G$97,Forudsætninger!$G$98,IF(G97&lt;=Forudsætninger!$H$97,Forudsætninger!$H$98,IF(G97&lt;=Forudsætninger!$I$97,Forudsætninger!$I$98,Forudsætninger!$I$98))))))))</f>
        <v>2.2000000000000002</v>
      </c>
      <c r="AG97" s="1">
        <f t="shared" si="44"/>
        <v>2.2000000000000002</v>
      </c>
      <c r="AH97" s="1">
        <f t="shared" si="48"/>
        <v>208.99999999999969</v>
      </c>
      <c r="AI97" s="1">
        <f t="shared" si="35"/>
        <v>2.1999999999999966</v>
      </c>
      <c r="AJ97" s="20">
        <f>+(W97*Forudsætninger!$C$12)</f>
        <v>0</v>
      </c>
      <c r="AK97" s="20">
        <f>Forudsætninger!$C$17</f>
        <v>250</v>
      </c>
      <c r="AL97" s="20">
        <f>IF(A97&lt;92,Forudsætninger!$C$20,Forudsætninger!$C$21)</f>
        <v>1.0566762728146013</v>
      </c>
      <c r="AM97" s="20">
        <f t="shared" si="45"/>
        <v>368.88972877067607</v>
      </c>
      <c r="AN97" s="20">
        <f>IFERROR(AD97+AJ97-AA97-Z97-AK97-AM97-Forudsætninger!$C$75,-99999999)</f>
        <v>-1235.1502213978131</v>
      </c>
      <c r="AO97" s="19">
        <f>IFERROR(AN97/(A97+Forudsætninger!$C$74),-99999999)</f>
        <v>-13.001581277871717</v>
      </c>
      <c r="AP97" s="19">
        <f>IFERROR(((365/(A97+Forudsætninger!$C$74))*AN97)/(AI97+Forudsætninger!$C$73),-9999999)</f>
        <v>-2054.3624097070056</v>
      </c>
      <c r="AQ97" s="18">
        <f t="shared" si="36"/>
        <v>95</v>
      </c>
      <c r="AR97" s="18">
        <f t="shared" si="46"/>
        <v>3323.2545871311968</v>
      </c>
      <c r="AS97" s="52">
        <f t="shared" si="27"/>
        <v>4.4000000000000004</v>
      </c>
      <c r="AT97" s="50">
        <f t="shared" si="49"/>
        <v>4.973983455338157</v>
      </c>
      <c r="AU97" s="50">
        <f t="shared" si="50"/>
        <v>0.19122941205542432</v>
      </c>
      <c r="AV97" s="2">
        <f t="shared" si="51"/>
        <v>30.215902770662524</v>
      </c>
      <c r="AW97" s="61">
        <f t="shared" si="47"/>
        <v>-9.1185315013382837</v>
      </c>
      <c r="BA97" s="16"/>
      <c r="BB97" s="2"/>
    </row>
    <row r="98" spans="1:54" x14ac:dyDescent="0.25">
      <c r="A98">
        <v>96</v>
      </c>
      <c r="B98" s="1">
        <f>ROUND((A98+Forudsætninger!$C$60)/30.4,1)</f>
        <v>4.4000000000000004</v>
      </c>
      <c r="C98" s="1">
        <f>VLOOKUP((A98+Forudsætninger!$C$60),'Model tilvækst, slagteform, fe'!A:B,2,FALSE)</f>
        <v>187.66530198864163</v>
      </c>
      <c r="D98" s="3">
        <f t="shared" si="37"/>
        <v>1567.5041036592461</v>
      </c>
      <c r="E98" s="1">
        <f>(1+Forudsætninger!$C$78)*C98</f>
        <v>174.5287308494367</v>
      </c>
      <c r="F98" s="2">
        <f t="shared" si="38"/>
        <v>4.9329100388649438</v>
      </c>
      <c r="G98" s="1">
        <f t="shared" si="28"/>
        <v>179.46164088830164</v>
      </c>
      <c r="H98" s="3">
        <f t="shared" si="29"/>
        <v>1412.9929848699874</v>
      </c>
      <c r="I98" s="3">
        <f t="shared" si="30"/>
        <v>1150.6420925864754</v>
      </c>
      <c r="J98" s="1">
        <f>VLOOKUP((A98+Forudsætninger!$C$60),'Model tilvækst, slagteform, fe'!G:K,2,FALSE)*(1+Forudsætninger!$C$79)</f>
        <v>48.279151490172822</v>
      </c>
      <c r="K98" s="17">
        <f t="shared" si="26"/>
        <v>86.642557471213081</v>
      </c>
      <c r="L98" s="17">
        <f t="shared" si="39"/>
        <v>714.44790800376268</v>
      </c>
      <c r="M98" s="3">
        <f>((K98-(('Model tilvækst, slagteform, fe'!$H$9/100)*'Model tilvækst, slagteform, fe'!$B$9))*1000/(A98+Forudsætninger!$C$60))</f>
        <v>490.33817365040142</v>
      </c>
      <c r="N98" s="17">
        <f t="shared" si="40"/>
        <v>330.45040745209604</v>
      </c>
      <c r="O98" s="19">
        <f>IF( A98&lt;Forudsætninger!$C$14,(G98/100)*Forudsætninger!$C$13,(Forudsætninger!$C$15/1000)*Forudsætninger!$C$13)</f>
        <v>1.1665006657739607</v>
      </c>
      <c r="P98" s="17" cm="1">
        <f t="array" ref="P98">INDEX('Model tilvækst, slagteform, fe'!$N$9:$N$375,MATCH(MIN(ABS('Model tilvækst, slagteform, fe'!$M$9:$M$375-'Vækstfunktion, hol'!G98)),ABS('Model tilvækst, slagteform, fe'!$M$9:$M$375-'Vækstfunktion, hol'!G98),0))*(1+Forudsætninger!$C$80)</f>
        <v>5.3451647975926431</v>
      </c>
      <c r="Q98" s="17">
        <f t="shared" si="41"/>
        <v>7.4815318761693295</v>
      </c>
      <c r="R98" s="17">
        <f t="shared" si="42"/>
        <v>6.0607699791012619</v>
      </c>
      <c r="S98" s="17">
        <f t="shared" si="31"/>
        <v>2.9915399119070316</v>
      </c>
      <c r="T98" s="19">
        <f>(P98)*IF(N98&lt;Forudsætninger!$B$228,IF(N98&lt;Forudsætninger!$B$227,Forudsætninger!$B$225,Forudsætninger!$C$9),Forudsætninger!$C$11)+O98</f>
        <v>13.674186292140746</v>
      </c>
      <c r="U98" s="2">
        <f>Forudsætninger!$C$68+((K98-(Forudsætninger!$C$84)))*0.01</f>
        <v>2.5634784337007712</v>
      </c>
      <c r="V98" s="2">
        <f>U98+Forudsætninger!$C$69</f>
        <v>1.5634784337007712</v>
      </c>
      <c r="W98">
        <f t="shared" si="32"/>
        <v>0</v>
      </c>
      <c r="X98">
        <f>IF(A98+Forudsætninger!$C$60&gt;248,IF(A98+Forudsætninger!$C$60&lt;365,IF(K98&gt;180,IF(K98&lt;260,1,0),0),0),0)</f>
        <v>0</v>
      </c>
      <c r="Y98" s="22">
        <f>IF(X98=0,0,IF('Vækstfunktion, hol'!A98&lt;Forudsætninger!$C$66,Forudsætninger!$C$67+(('Vækstfunktion, hol'!A98-Forudsætninger!$C$66)/7)*Forudsætninger!$C$64,Forudsætninger!$C$67))</f>
        <v>0</v>
      </c>
      <c r="Z98" s="19">
        <f t="shared" si="43"/>
        <v>1368.0390446526617</v>
      </c>
      <c r="AA98" s="19">
        <f>Forudsætninger!$C$62+Forudsætninger!$C$16</f>
        <v>1350</v>
      </c>
      <c r="AB98" s="19">
        <f>IF(K98&gt;Forudsætninger!$C$26,IF(K98&gt;Forudsætninger!$C$27,IF(K98&gt;Forudsætninger!$C$28,Forudsætninger!$E$28,Forudsætninger!$E$27+Forudsætninger!$F$28*(K98-Forudsætninger!$C$27)),Forudsætninger!$E$26+Forudsætninger!$F$27*(K98-Forudsætninger!$C$26)),Forudsætninger!$E$26)+IF(K98&gt;Forudsætninger!$C$28,Forudsætninger!$G$28,IF(K98&gt;Forudsætninger!$C$27,Forudsætninger!$G$27+Forudsætninger!$H$28*(K98-Forudsætninger!$C$27),IF(K98&gt;Forudsætninger!$C$26,Forudsætninger!$G$26+Forudsætninger!$H$27*(K98-Forudsætninger!$C$26),Forudsætninger!$G$26)))*(U98-Forudsætninger!$H$26)</f>
        <v>33.272608825275583</v>
      </c>
      <c r="AC98" s="19">
        <f>IF(K98&gt;Forudsætninger!$C$31,IF(K98&gt;Forudsætninger!$C$32,IF(K98&gt;Forudsætninger!$C$33,Forudsætninger!$E$33,Forudsætninger!$E$32+Forudsætninger!$F$33*(K98-Forudsætninger!$C$32)),Forudsætninger!$E$31+Forudsætninger!$F$32*(K98-Forudsætninger!$C$31)),Forudsætninger!$E$31)+IF(K98&gt;Forudsætninger!$C$33,Forudsætninger!$G$33,IF(K98&gt;Forudsætninger!$C$32,Forudsætninger!$G$32+Forudsætninger!$H$33*(K98-Forudsætninger!$C$32),IF(K98&gt;Forudsætninger!$C$31,Forudsætninger!$G$31+Forudsætninger!$H$32*(K98-Forudsætninger!$C$31),Forudsætninger!$G$31)))*(V98-Forudsætninger!$H$31)</f>
        <v>26.432521963811002</v>
      </c>
      <c r="AD98" s="19">
        <f t="shared" si="33"/>
        <v>2290.1813033585968</v>
      </c>
      <c r="AE98" s="19">
        <f t="shared" si="34"/>
        <v>26.432521963811002</v>
      </c>
      <c r="AF98">
        <f>IF(G98&lt;=Forudsætninger!$C$97,Forudsætninger!$C$98,(IF(G98&lt;=Forudsætninger!$D$97,Forudsætninger!$D$98,IF(G98&lt;=Forudsætninger!$E$97,Forudsætninger!$E$98,IF(G98&lt;=Forudsætninger!$F$97,Forudsætninger!$F$98,IF(G98&lt;=Forudsætninger!$G$97,Forudsætninger!$G$98,IF(G98&lt;=Forudsætninger!$H$97,Forudsætninger!$H$98,IF(G98&lt;=Forudsætninger!$I$97,Forudsætninger!$I$98,Forudsætninger!$I$98))))))))</f>
        <v>2.2000000000000002</v>
      </c>
      <c r="AG98" s="1">
        <f t="shared" si="44"/>
        <v>2.2000000000000002</v>
      </c>
      <c r="AH98" s="1">
        <f t="shared" si="48"/>
        <v>211.19999999999968</v>
      </c>
      <c r="AI98" s="1">
        <f t="shared" si="35"/>
        <v>2.1999999999999966</v>
      </c>
      <c r="AJ98" s="20">
        <f>+(W98*Forudsætninger!$C$12)</f>
        <v>0</v>
      </c>
      <c r="AK98" s="20">
        <f>Forudsætninger!$C$17</f>
        <v>250</v>
      </c>
      <c r="AL98" s="20">
        <f>IF(A98&lt;92,Forudsætninger!$C$20,Forudsætninger!$C$21)</f>
        <v>1.0566762728146013</v>
      </c>
      <c r="AM98" s="20">
        <f t="shared" si="45"/>
        <v>369.9464050434907</v>
      </c>
      <c r="AN98" s="20">
        <f>IFERROR(AD98+AJ98-AA98-Z98-AK98-AM98-Forudsætninger!$C$75,-99999999)</f>
        <v>-1230.1983388869503</v>
      </c>
      <c r="AO98" s="19">
        <f>IFERROR(AN98/(A98+Forudsætninger!$C$74),-99999999)</f>
        <v>-12.814566030072399</v>
      </c>
      <c r="AP98" s="19">
        <f>IFERROR(((365/(A98+Forudsætninger!$C$74))*AN98)/(AI98+Forudsætninger!$C$73),-9999999)</f>
        <v>-2024.812381375079</v>
      </c>
      <c r="AQ98" s="18">
        <f t="shared" si="36"/>
        <v>96</v>
      </c>
      <c r="AR98" s="18">
        <f t="shared" si="46"/>
        <v>3337.9854496961525</v>
      </c>
      <c r="AS98" s="52">
        <f t="shared" si="27"/>
        <v>4.4000000000000004</v>
      </c>
      <c r="AT98" s="50">
        <f t="shared" si="49"/>
        <v>4.951882510862788</v>
      </c>
      <c r="AU98" s="50">
        <f t="shared" si="50"/>
        <v>0.18701524779931766</v>
      </c>
      <c r="AV98" s="2">
        <f t="shared" si="51"/>
        <v>29.550028331926569</v>
      </c>
      <c r="AW98" s="61">
        <f t="shared" si="47"/>
        <v>-8.9609576442027041</v>
      </c>
      <c r="BA98" s="16"/>
      <c r="BB98" s="2"/>
    </row>
    <row r="99" spans="1:54" x14ac:dyDescent="0.25">
      <c r="A99">
        <v>97</v>
      </c>
      <c r="B99" s="1">
        <f>ROUND((A99+Forudsætninger!$C$60)/30.4,1)</f>
        <v>4.5</v>
      </c>
      <c r="C99" s="1">
        <f>VLOOKUP((A99+Forudsætninger!$C$60),'Model tilvækst, slagteform, fe'!A:B,2,FALSE)</f>
        <v>189.23568048371939</v>
      </c>
      <c r="D99" s="3">
        <f t="shared" si="37"/>
        <v>1570.3784950777617</v>
      </c>
      <c r="E99" s="1">
        <f>(1+Forudsætninger!$C$78)*C99</f>
        <v>175.98918284985902</v>
      </c>
      <c r="F99" s="2">
        <f t="shared" si="38"/>
        <v>4.8880420818627224</v>
      </c>
      <c r="G99" s="1">
        <f t="shared" si="28"/>
        <v>180.87722493172174</v>
      </c>
      <c r="H99" s="3">
        <f t="shared" si="29"/>
        <v>1415.5840434200968</v>
      </c>
      <c r="I99" s="3">
        <f t="shared" si="30"/>
        <v>1153.3734529043477</v>
      </c>
      <c r="J99" s="1">
        <f>VLOOKUP((A99+Forudsætninger!$C$60),'Model tilvækst, slagteform, fe'!G:K,2,FALSE)*(1+Forudsætninger!$C$79)</f>
        <v>48.297261522927997</v>
      </c>
      <c r="K99" s="17">
        <f t="shared" si="26"/>
        <v>87.358746360688372</v>
      </c>
      <c r="L99" s="17">
        <f t="shared" si="39"/>
        <v>716.18888947529058</v>
      </c>
      <c r="M99" s="3">
        <f>((K99-(('Model tilvækst, slagteform, fe'!$H$9/100)*'Model tilvækst, slagteform, fe'!$B$9))*1000/(A99+Forudsætninger!$C$60))</f>
        <v>491.99884067852554</v>
      </c>
      <c r="N99" s="17">
        <f t="shared" si="40"/>
        <v>335.82738863905348</v>
      </c>
      <c r="O99" s="19">
        <f>IF( A99&lt;Forudsætninger!$C$14,(G99/100)*Forudsætninger!$C$13,(Forudsætninger!$C$15/1000)*Forudsætninger!$C$13)</f>
        <v>1.1757019620561913</v>
      </c>
      <c r="P99" s="17" cm="1">
        <f t="array" ref="P99">INDEX('Model tilvækst, slagteform, fe'!$N$9:$N$375,MATCH(MIN(ABS('Model tilvækst, slagteform, fe'!$M$9:$M$375-'Vækstfunktion, hol'!G99)),ABS('Model tilvækst, slagteform, fe'!$M$9:$M$375-'Vækstfunktion, hol'!G99),0))*(1+Forudsætninger!$C$80)</f>
        <v>5.3769811869574475</v>
      </c>
      <c r="Q99" s="17">
        <f t="shared" si="41"/>
        <v>7.5077696205212634</v>
      </c>
      <c r="R99" s="17">
        <f t="shared" si="42"/>
        <v>6.0795307183609921</v>
      </c>
      <c r="S99" s="17">
        <f t="shared" si="31"/>
        <v>3.0017493626965424</v>
      </c>
      <c r="T99" s="19">
        <f>(P99)*IF(N99&lt;Forudsætninger!$B$228,IF(N99&lt;Forudsætninger!$B$227,Forudsætninger!$B$225,Forudsætninger!$C$9),Forudsætninger!$C$11)+O99</f>
        <v>13.757837939536618</v>
      </c>
      <c r="U99" s="2">
        <f>Forudsætninger!$C$68+((K99-(Forudsætninger!$C$84)))*0.01</f>
        <v>2.5706403225955237</v>
      </c>
      <c r="V99" s="2">
        <f>U99+Forudsætninger!$C$69</f>
        <v>1.5706403225955237</v>
      </c>
      <c r="W99">
        <f t="shared" si="32"/>
        <v>0</v>
      </c>
      <c r="X99">
        <f>IF(A99+Forudsætninger!$C$60&gt;248,IF(A99+Forudsætninger!$C$60&lt;365,IF(K99&gt;180,IF(K99&lt;260,1,0),0),0),0)</f>
        <v>0</v>
      </c>
      <c r="Y99" s="22">
        <f>IF(X99=0,0,IF('Vækstfunktion, hol'!A99&lt;Forudsætninger!$C$66,Forudsætninger!$C$67+(('Vækstfunktion, hol'!A99-Forudsætninger!$C$66)/7)*Forudsætninger!$C$64,Forudsætninger!$C$67))</f>
        <v>0</v>
      </c>
      <c r="Z99" s="19">
        <f t="shared" si="43"/>
        <v>1381.7968825921982</v>
      </c>
      <c r="AA99" s="19">
        <f>Forudsætninger!$C$62+Forudsætninger!$C$16</f>
        <v>1350</v>
      </c>
      <c r="AB99" s="19">
        <f>IF(K99&gt;Forudsætninger!$C$26,IF(K99&gt;Forudsætninger!$C$27,IF(K99&gt;Forudsætninger!$C$28,Forudsætninger!$E$28,Forudsætninger!$E$27+Forudsætninger!$F$28*(K99-Forudsætninger!$C$27)),Forudsætninger!$E$26+Forudsætninger!$F$27*(K99-Forudsætninger!$C$26)),Forudsætninger!$E$26)+IF(K99&gt;Forudsætninger!$C$28,Forudsætninger!$G$28,IF(K99&gt;Forudsætninger!$C$27,Forudsætninger!$G$27+Forudsætninger!$H$28*(K99-Forudsætninger!$C$27),IF(K99&gt;Forudsætninger!$C$26,Forudsætninger!$G$26+Forudsætninger!$H$27*(K99-Forudsætninger!$C$26),Forudsætninger!$G$26)))*(U99-Forudsætninger!$H$26)</f>
        <v>33.277980241946644</v>
      </c>
      <c r="AC99" s="19">
        <f>IF(K99&gt;Forudsætninger!$C$31,IF(K99&gt;Forudsætninger!$C$32,IF(K99&gt;Forudsætninger!$C$33,Forudsætninger!$E$33,Forudsætninger!$E$32+Forudsætninger!$F$33*(K99-Forudsætninger!$C$32)),Forudsætninger!$E$31+Forudsætninger!$F$32*(K99-Forudsætninger!$C$31)),Forudsætninger!$E$31)+IF(K99&gt;Forudsætninger!$C$33,Forudsætninger!$G$33,IF(K99&gt;Forudsætninger!$C$32,Forudsætninger!$G$32+Forudsætninger!$H$33*(K99-Forudsætninger!$C$32),IF(K99&gt;Forudsætninger!$C$31,Forudsætninger!$G$31+Forudsætninger!$H$32*(K99-Forudsætninger!$C$31),Forudsætninger!$G$31)))*(V99-Forudsætninger!$H$31)</f>
        <v>26.44183241937418</v>
      </c>
      <c r="AD99" s="19">
        <f t="shared" si="33"/>
        <v>2309.9253316359359</v>
      </c>
      <c r="AE99" s="19">
        <f t="shared" si="34"/>
        <v>26.44183241937418</v>
      </c>
      <c r="AF99">
        <f>IF(G99&lt;=Forudsætninger!$C$97,Forudsætninger!$C$98,(IF(G99&lt;=Forudsætninger!$D$97,Forudsætninger!$D$98,IF(G99&lt;=Forudsætninger!$E$97,Forudsætninger!$E$98,IF(G99&lt;=Forudsætninger!$F$97,Forudsætninger!$F$98,IF(G99&lt;=Forudsætninger!$G$97,Forudsætninger!$G$98,IF(G99&lt;=Forudsætninger!$H$97,Forudsætninger!$H$98,IF(G99&lt;=Forudsætninger!$I$97,Forudsætninger!$I$98,Forudsætninger!$I$98))))))))</f>
        <v>2.2000000000000002</v>
      </c>
      <c r="AG99" s="1">
        <f t="shared" si="44"/>
        <v>2.2000000000000002</v>
      </c>
      <c r="AH99" s="1">
        <f t="shared" si="48"/>
        <v>213.39999999999966</v>
      </c>
      <c r="AI99" s="1">
        <f t="shared" si="35"/>
        <v>2.1999999999999966</v>
      </c>
      <c r="AJ99" s="20">
        <f>+(W99*Forudsætninger!$C$12)</f>
        <v>0</v>
      </c>
      <c r="AK99" s="20">
        <f>Forudsætninger!$C$17</f>
        <v>250</v>
      </c>
      <c r="AL99" s="20">
        <f>IF(A99&lt;92,Forudsætninger!$C$20,Forudsætninger!$C$21)</f>
        <v>1.0566762728146013</v>
      </c>
      <c r="AM99" s="20">
        <f t="shared" si="45"/>
        <v>371.00308131630533</v>
      </c>
      <c r="AN99" s="20">
        <f>IFERROR(AD99+AJ99-AA99-Z99-AK99-AM99-Forudsætninger!$C$75,-99999999)</f>
        <v>-1225.2688248219622</v>
      </c>
      <c r="AO99" s="19">
        <f>IFERROR(AN99/(A99+Forudsætninger!$C$74),-99999999)</f>
        <v>-12.631637369298579</v>
      </c>
      <c r="AP99" s="19">
        <f>IFERROR(((365/(A99+Forudsætninger!$C$74))*AN99)/(AI99+Forudsætninger!$C$73),-9999999)</f>
        <v>-1995.9080691748866</v>
      </c>
      <c r="AQ99" s="18">
        <f t="shared" si="36"/>
        <v>97</v>
      </c>
      <c r="AR99" s="18">
        <f t="shared" si="46"/>
        <v>3352.7999639085033</v>
      </c>
      <c r="AS99" s="52">
        <f t="shared" si="27"/>
        <v>4.5</v>
      </c>
      <c r="AT99" s="50">
        <f t="shared" si="49"/>
        <v>4.9295140649880977</v>
      </c>
      <c r="AU99" s="50">
        <f t="shared" si="50"/>
        <v>0.18292866077382008</v>
      </c>
      <c r="AV99" s="2">
        <f t="shared" si="51"/>
        <v>28.904312200192408</v>
      </c>
      <c r="AW99" s="61">
        <f t="shared" si="47"/>
        <v>-8.8068633351098651</v>
      </c>
      <c r="BA99" s="16"/>
      <c r="BB99" s="2"/>
    </row>
    <row r="100" spans="1:54" x14ac:dyDescent="0.25">
      <c r="A100">
        <v>98</v>
      </c>
      <c r="B100" s="1">
        <f>ROUND((A100+Forudsætninger!$C$60)/30.4,1)</f>
        <v>4.5</v>
      </c>
      <c r="C100" s="1">
        <f>VLOOKUP((A100+Forudsætninger!$C$60),'Model tilvækst, slagteform, fe'!A:B,2,FALSE)</f>
        <v>190.80884586133752</v>
      </c>
      <c r="D100" s="3">
        <f t="shared" si="37"/>
        <v>1573.1653776181247</v>
      </c>
      <c r="E100" s="1">
        <f>(1+Forudsætninger!$C$78)*C100</f>
        <v>177.45222665104387</v>
      </c>
      <c r="F100" s="2">
        <f t="shared" si="38"/>
        <v>4.843094499645062</v>
      </c>
      <c r="G100" s="1">
        <f t="shared" si="28"/>
        <v>182.29532115068895</v>
      </c>
      <c r="H100" s="3">
        <f t="shared" si="29"/>
        <v>1418.0962189672073</v>
      </c>
      <c r="I100" s="3">
        <f t="shared" si="30"/>
        <v>1156.0747056192749</v>
      </c>
      <c r="J100" s="1">
        <f>VLOOKUP((A100+Forudsætninger!$C$60),'Model tilvækst, slagteform, fe'!G:K,2,FALSE)*(1+Forudsætninger!$C$79)</f>
        <v>48.31536068713519</v>
      </c>
      <c r="K100" s="17">
        <f t="shared" si="26"/>
        <v>88.076641929726804</v>
      </c>
      <c r="L100" s="17">
        <f t="shared" si="39"/>
        <v>717.89556903843277</v>
      </c>
      <c r="M100" s="3">
        <f>((K100-(('Model tilvækst, slagteform, fe'!$H$9/100)*'Model tilvækst, slagteform, fe'!$B$9))*1000/(A100+Forudsætninger!$C$60))</f>
        <v>493.64772190743003</v>
      </c>
      <c r="N100" s="17">
        <f t="shared" si="40"/>
        <v>341.23592321699022</v>
      </c>
      <c r="O100" s="19">
        <f>IF( A100&lt;Forudsætninger!$C$14,(G100/100)*Forudsætninger!$C$13,(Forudsætninger!$C$15/1000)*Forudsætninger!$C$13)</f>
        <v>1.1849195874794782</v>
      </c>
      <c r="P100" s="17" cm="1">
        <f t="array" ref="P100">INDEX('Model tilvækst, slagteform, fe'!$N$9:$N$375,MATCH(MIN(ABS('Model tilvækst, slagteform, fe'!$M$9:$M$375-'Vækstfunktion, hol'!G100)),ABS('Model tilvækst, slagteform, fe'!$M$9:$M$375-'Vækstfunktion, hol'!G100),0))*(1+Forudsætninger!$C$80)</f>
        <v>5.4085345779367247</v>
      </c>
      <c r="Q100" s="17">
        <f t="shared" si="41"/>
        <v>7.5338737431978453</v>
      </c>
      <c r="R100" s="17">
        <f t="shared" si="42"/>
        <v>6.0981891127501688</v>
      </c>
      <c r="S100" s="17">
        <f t="shared" si="31"/>
        <v>3.0119154061369211</v>
      </c>
      <c r="T100" s="19">
        <f>(P100)*IF(N100&lt;Forudsætninger!$B$228,IF(N100&lt;Forudsætninger!$B$227,Forudsætninger!$B$225,Forudsætninger!$C$9),Forudsætninger!$C$11)+O100</f>
        <v>13.840890499851412</v>
      </c>
      <c r="U100" s="2">
        <f>Forudsætninger!$C$68+((K100-(Forudsætninger!$C$84)))*0.01</f>
        <v>2.5778192782859084</v>
      </c>
      <c r="V100" s="2">
        <f>U100+Forudsætninger!$C$69</f>
        <v>1.5778192782859084</v>
      </c>
      <c r="W100">
        <f t="shared" si="32"/>
        <v>0</v>
      </c>
      <c r="X100">
        <f>IF(A100+Forudsætninger!$C$60&gt;248,IF(A100+Forudsætninger!$C$60&lt;365,IF(K100&gt;180,IF(K100&lt;260,1,0),0),0),0)</f>
        <v>0</v>
      </c>
      <c r="Y100" s="22">
        <f>IF(X100=0,0,IF('Vækstfunktion, hol'!A100&lt;Forudsætninger!$C$66,Forudsætninger!$C$67+(('Vækstfunktion, hol'!A100-Forudsætninger!$C$66)/7)*Forudsætninger!$C$64,Forudsætninger!$C$67))</f>
        <v>0</v>
      </c>
      <c r="Z100" s="19">
        <f t="shared" si="43"/>
        <v>1395.6377730920497</v>
      </c>
      <c r="AA100" s="19">
        <f>Forudsætninger!$C$62+Forudsætninger!$C$16</f>
        <v>1350</v>
      </c>
      <c r="AB100" s="19">
        <f>IF(K100&gt;Forudsætninger!$C$26,IF(K100&gt;Forudsætninger!$C$27,IF(K100&gt;Forudsætninger!$C$28,Forudsætninger!$E$28,Forudsætninger!$E$27+Forudsætninger!$F$28*(K100-Forudsætninger!$C$27)),Forudsætninger!$E$26+Forudsætninger!$F$27*(K100-Forudsætninger!$C$26)),Forudsætninger!$E$26)+IF(K100&gt;Forudsætninger!$C$28,Forudsætninger!$G$28,IF(K100&gt;Forudsætninger!$C$27,Forudsætninger!$G$27+Forudsætninger!$H$28*(K100-Forudsætninger!$C$27),IF(K100&gt;Forudsætninger!$C$26,Forudsætninger!$G$26+Forudsætninger!$H$27*(K100-Forudsætninger!$C$26),Forudsætninger!$G$26)))*(U100-Forudsætninger!$H$26)</f>
        <v>33.283364458714431</v>
      </c>
      <c r="AC100" s="19">
        <f>IF(K100&gt;Forudsætninger!$C$31,IF(K100&gt;Forudsætninger!$C$32,IF(K100&gt;Forudsætninger!$C$33,Forudsætninger!$E$33,Forudsætninger!$E$32+Forudsætninger!$F$33*(K100-Forudsætninger!$C$32)),Forudsætninger!$E$31+Forudsætninger!$F$32*(K100-Forudsætninger!$C$31)),Forudsætninger!$E$31)+IF(K100&gt;Forudsætninger!$C$33,Forudsætninger!$G$33,IF(K100&gt;Forudsætninger!$C$32,Forudsætninger!$G$32+Forudsætninger!$H$33*(K100-Forudsætninger!$C$32),IF(K100&gt;Forudsætninger!$C$31,Forudsætninger!$G$31+Forudsætninger!$H$32*(K100-Forudsætninger!$C$31),Forudsætninger!$G$31)))*(V100-Forudsætninger!$H$31)</f>
        <v>26.451165061771679</v>
      </c>
      <c r="AD100" s="19">
        <f t="shared" si="33"/>
        <v>2329.729793769764</v>
      </c>
      <c r="AE100" s="19">
        <f t="shared" si="34"/>
        <v>26.451165061771679</v>
      </c>
      <c r="AF100">
        <f>IF(G100&lt;=Forudsætninger!$C$97,Forudsætninger!$C$98,(IF(G100&lt;=Forudsætninger!$D$97,Forudsætninger!$D$98,IF(G100&lt;=Forudsætninger!$E$97,Forudsætninger!$E$98,IF(G100&lt;=Forudsætninger!$F$97,Forudsætninger!$F$98,IF(G100&lt;=Forudsætninger!$G$97,Forudsætninger!$G$98,IF(G100&lt;=Forudsætninger!$H$97,Forudsætninger!$H$98,IF(G100&lt;=Forudsætninger!$I$97,Forudsætninger!$I$98,Forudsætninger!$I$98))))))))</f>
        <v>2.2000000000000002</v>
      </c>
      <c r="AG100" s="1">
        <f t="shared" si="44"/>
        <v>2.2000000000000002</v>
      </c>
      <c r="AH100" s="1">
        <f t="shared" si="48"/>
        <v>215.59999999999965</v>
      </c>
      <c r="AI100" s="1">
        <f t="shared" si="35"/>
        <v>2.1999999999999966</v>
      </c>
      <c r="AJ100" s="20">
        <f>+(W100*Forudsætninger!$C$12)</f>
        <v>0</v>
      </c>
      <c r="AK100" s="20">
        <f>Forudsætninger!$C$17</f>
        <v>250</v>
      </c>
      <c r="AL100" s="20">
        <f>IF(A100&lt;92,Forudsætninger!$C$20,Forudsætninger!$C$21)</f>
        <v>1.0566762728146013</v>
      </c>
      <c r="AM100" s="20">
        <f t="shared" si="45"/>
        <v>372.05975758911995</v>
      </c>
      <c r="AN100" s="20">
        <f>IFERROR(AD100+AJ100-AA100-Z100-AK100-AM100-Forudsætninger!$C$75,-99999999)</f>
        <v>-1220.3619294608002</v>
      </c>
      <c r="AO100" s="19">
        <f>IFERROR(AN100/(A100+Forudsætninger!$C$74),-99999999)</f>
        <v>-12.452672749600001</v>
      </c>
      <c r="AP100" s="19">
        <f>IFERROR(((365/(A100+Forudsætninger!$C$74))*AN100)/(AI100+Forudsætninger!$C$73),-9999999)</f>
        <v>-1967.630109785285</v>
      </c>
      <c r="AQ100" s="18">
        <f t="shared" si="36"/>
        <v>98</v>
      </c>
      <c r="AR100" s="18">
        <f t="shared" si="46"/>
        <v>3367.6975306811692</v>
      </c>
      <c r="AS100" s="52">
        <f t="shared" si="27"/>
        <v>4.5</v>
      </c>
      <c r="AT100" s="50">
        <f t="shared" si="49"/>
        <v>4.9068953611620145</v>
      </c>
      <c r="AU100" s="50">
        <f t="shared" si="50"/>
        <v>0.17896461969857747</v>
      </c>
      <c r="AV100" s="2">
        <f t="shared" si="51"/>
        <v>28.277959389601619</v>
      </c>
      <c r="AW100" s="61">
        <f t="shared" si="47"/>
        <v>-8.6561446109355131</v>
      </c>
      <c r="BA100" s="16"/>
      <c r="BB100" s="2"/>
    </row>
    <row r="101" spans="1:54" x14ac:dyDescent="0.25">
      <c r="A101">
        <v>99</v>
      </c>
      <c r="B101" s="1">
        <f>ROUND((A101+Forudsætninger!$C$60)/30.4,1)</f>
        <v>4.5</v>
      </c>
      <c r="C101" s="1">
        <f>VLOOKUP((A101+Forudsætninger!$C$60),'Model tilvækst, slagteform, fe'!A:B,2,FALSE)</f>
        <v>192.38471114696512</v>
      </c>
      <c r="D101" s="3">
        <f t="shared" si="37"/>
        <v>1575.8652856276001</v>
      </c>
      <c r="E101" s="1">
        <f>(1+Forudsætninger!$C$78)*C101</f>
        <v>178.91778136667756</v>
      </c>
      <c r="F101" s="2">
        <f t="shared" si="38"/>
        <v>4.7980697771985588</v>
      </c>
      <c r="G101" s="1">
        <f t="shared" si="28"/>
        <v>183.71585114387611</v>
      </c>
      <c r="H101" s="3">
        <f t="shared" si="29"/>
        <v>1420.5299931871593</v>
      </c>
      <c r="I101" s="3">
        <f t="shared" si="30"/>
        <v>1158.7459711502636</v>
      </c>
      <c r="J101" s="1">
        <f>VLOOKUP((A101+Forudsætninger!$C$60),'Model tilvækst, slagteform, fe'!G:K,2,FALSE)*(1+Forudsætninger!$C$79)</f>
        <v>48.333450591643846</v>
      </c>
      <c r="K101" s="17">
        <f t="shared" si="26"/>
        <v>88.796210141643314</v>
      </c>
      <c r="L101" s="17">
        <f t="shared" si="39"/>
        <v>719.56821191650988</v>
      </c>
      <c r="M101" s="3">
        <f>((K101-(('Model tilvækst, slagteform, fe'!$H$9/100)*'Model tilvækst, slagteform, fe'!$B$9))*1000/(A101+Forudsætninger!$C$60))</f>
        <v>495.28482690749576</v>
      </c>
      <c r="N101" s="17">
        <f t="shared" si="40"/>
        <v>346.70675545779835</v>
      </c>
      <c r="O101" s="19">
        <f>IF( A101&lt;Forudsætninger!$C$14,(G101/100)*Forudsætninger!$C$13,(Forudsætninger!$C$15/1000)*Forudsætninger!$C$13)</f>
        <v>1.1941530324351948</v>
      </c>
      <c r="P101" s="17" cm="1">
        <f t="array" ref="P101">INDEX('Model tilvækst, slagteform, fe'!$N$9:$N$375,MATCH(MIN(ABS('Model tilvækst, slagteform, fe'!$M$9:$M$375-'Vækstfunktion, hol'!G101)),ABS('Model tilvækst, slagteform, fe'!$M$9:$M$375-'Vækstfunktion, hol'!G101),0))*(1+Forudsætninger!$C$80)</f>
        <v>5.4708322408081465</v>
      </c>
      <c r="Q101" s="17">
        <f t="shared" si="41"/>
        <v>7.6029376370546462</v>
      </c>
      <c r="R101" s="17">
        <f t="shared" si="42"/>
        <v>6.117293491034931</v>
      </c>
      <c r="S101" s="17">
        <f t="shared" si="31"/>
        <v>3.0223090532010288</v>
      </c>
      <c r="T101" s="19">
        <f>(P101)*IF(N101&lt;Forudsætninger!$B$228,IF(N101&lt;Forudsætninger!$B$227,Forudsætninger!$B$225,Forudsætninger!$C$9),Forudsætninger!$C$11)+O101</f>
        <v>13.995900475926256</v>
      </c>
      <c r="U101" s="2">
        <f>Forudsætninger!$C$68+((K101-(Forudsætninger!$C$84)))*0.01</f>
        <v>2.5850149604050734</v>
      </c>
      <c r="V101" s="2">
        <f>U101+Forudsætninger!$C$69</f>
        <v>1.5850149604050734</v>
      </c>
      <c r="W101">
        <f t="shared" si="32"/>
        <v>0</v>
      </c>
      <c r="X101">
        <f>IF(A101+Forudsætninger!$C$60&gt;248,IF(A101+Forudsætninger!$C$60&lt;365,IF(K101&gt;180,IF(K101&lt;260,1,0),0),0),0)</f>
        <v>0</v>
      </c>
      <c r="Y101" s="22">
        <f>IF(X101=0,0,IF('Vækstfunktion, hol'!A101&lt;Forudsætninger!$C$66,Forudsætninger!$C$67+(('Vækstfunktion, hol'!A101-Forudsætninger!$C$66)/7)*Forudsætninger!$C$64,Forudsætninger!$C$67))</f>
        <v>0</v>
      </c>
      <c r="Z101" s="19">
        <f t="shared" si="43"/>
        <v>1409.6336735679758</v>
      </c>
      <c r="AA101" s="19">
        <f>Forudsætninger!$C$62+Forudsætninger!$C$16</f>
        <v>1350</v>
      </c>
      <c r="AB101" s="19">
        <f>IF(K101&gt;Forudsætninger!$C$26,IF(K101&gt;Forudsætninger!$C$27,IF(K101&gt;Forudsætninger!$C$28,Forudsætninger!$E$28,Forudsætninger!$E$27+Forudsætninger!$F$28*(K101-Forudsætninger!$C$27)),Forudsætninger!$E$26+Forudsætninger!$F$27*(K101-Forudsætninger!$C$26)),Forudsætninger!$E$26)+IF(K101&gt;Forudsætninger!$C$28,Forudsætninger!$G$28,IF(K101&gt;Forudsætninger!$C$27,Forudsætninger!$G$27+Forudsætninger!$H$28*(K101-Forudsætninger!$C$27),IF(K101&gt;Forudsætninger!$C$26,Forudsætninger!$G$26+Forudsætninger!$H$27*(K101-Forudsætninger!$C$26),Forudsætninger!$G$26)))*(U101-Forudsætninger!$H$26)</f>
        <v>33.288761220303805</v>
      </c>
      <c r="AC101" s="19">
        <f>IF(K101&gt;Forudsætninger!$C$31,IF(K101&gt;Forudsætninger!$C$32,IF(K101&gt;Forudsætninger!$C$33,Forudsætninger!$E$33,Forudsætninger!$E$32+Forudsætninger!$F$33*(K101-Forudsætninger!$C$32)),Forudsætninger!$E$31+Forudsætninger!$F$32*(K101-Forudsætninger!$C$31)),Forudsætninger!$E$31)+IF(K101&gt;Forudsætninger!$C$33,Forudsætninger!$G$33,IF(K101&gt;Forudsætninger!$C$32,Forudsætninger!$G$32+Forudsætninger!$H$33*(K101-Forudsætninger!$C$32),IF(K101&gt;Forudsætninger!$C$31,Forudsætninger!$G$31+Forudsætninger!$H$32*(K101-Forudsætninger!$C$31),Forudsætninger!$G$31)))*(V101-Forudsætninger!$H$31)</f>
        <v>26.460519448526597</v>
      </c>
      <c r="AD101" s="19">
        <f t="shared" si="33"/>
        <v>2349.5938454084076</v>
      </c>
      <c r="AE101" s="19">
        <f t="shared" si="34"/>
        <v>26.460519448526597</v>
      </c>
      <c r="AF101">
        <f>IF(G101&lt;=Forudsætninger!$C$97,Forudsætninger!$C$98,(IF(G101&lt;=Forudsætninger!$D$97,Forudsætninger!$D$98,IF(G101&lt;=Forudsætninger!$E$97,Forudsætninger!$E$98,IF(G101&lt;=Forudsætninger!$F$97,Forudsætninger!$F$98,IF(G101&lt;=Forudsætninger!$G$97,Forudsætninger!$G$98,IF(G101&lt;=Forudsætninger!$H$97,Forudsætninger!$H$98,IF(G101&lt;=Forudsætninger!$I$97,Forudsætninger!$I$98,Forudsætninger!$I$98))))))))</f>
        <v>2.2000000000000002</v>
      </c>
      <c r="AG101" s="1">
        <f t="shared" si="44"/>
        <v>2.2000000000000002</v>
      </c>
      <c r="AH101" s="1">
        <f t="shared" si="48"/>
        <v>217.79999999999964</v>
      </c>
      <c r="AI101" s="1">
        <f t="shared" si="35"/>
        <v>2.1999999999999962</v>
      </c>
      <c r="AJ101" s="20">
        <f>+(W101*Forudsætninger!$C$12)</f>
        <v>0</v>
      </c>
      <c r="AK101" s="20">
        <f>Forudsætninger!$C$17</f>
        <v>250</v>
      </c>
      <c r="AL101" s="20">
        <f>IF(A101&lt;92,Forudsætninger!$C$20,Forudsætninger!$C$21)</f>
        <v>1.0566762728146013</v>
      </c>
      <c r="AM101" s="20">
        <f t="shared" si="45"/>
        <v>373.11643386193458</v>
      </c>
      <c r="AN101" s="20">
        <f>IFERROR(AD101+AJ101-AA101-Z101-AK101-AM101-Forudsætninger!$C$75,-99999999)</f>
        <v>-1215.5504545708975</v>
      </c>
      <c r="AO101" s="19">
        <f>IFERROR(AN101/(A101+Forudsætninger!$C$74),-99999999)</f>
        <v>-12.278287419908056</v>
      </c>
      <c r="AP101" s="19">
        <f>IFERROR(((365/(A101+Forudsætninger!$C$74))*AN101)/(AI101+Forudsætninger!$C$73),-9999999)</f>
        <v>-1940.0757178642634</v>
      </c>
      <c r="AQ101" s="18">
        <f t="shared" si="36"/>
        <v>99</v>
      </c>
      <c r="AR101" s="18">
        <f t="shared" si="46"/>
        <v>3382.7501074299107</v>
      </c>
      <c r="AS101" s="52">
        <f t="shared" si="27"/>
        <v>4.5</v>
      </c>
      <c r="AT101" s="50">
        <f t="shared" si="49"/>
        <v>4.8114748899026836</v>
      </c>
      <c r="AU101" s="50">
        <f t="shared" si="50"/>
        <v>0.17438532969194576</v>
      </c>
      <c r="AV101" s="2">
        <f t="shared" si="51"/>
        <v>27.554391921021534</v>
      </c>
      <c r="AW101" s="61">
        <f t="shared" si="47"/>
        <v>-8.5094345526157866</v>
      </c>
      <c r="BA101" s="16"/>
      <c r="BB101" s="2"/>
    </row>
    <row r="102" spans="1:54" x14ac:dyDescent="0.25">
      <c r="A102">
        <v>100</v>
      </c>
      <c r="B102" s="1">
        <f>ROUND((A102+Forudsætninger!$C$60)/30.4,1)</f>
        <v>4.5999999999999996</v>
      </c>
      <c r="C102" s="1">
        <f>VLOOKUP((A102+Forudsætninger!$C$60),'Model tilvækst, slagteform, fe'!A:B,2,FALSE)</f>
        <v>193.963189900419</v>
      </c>
      <c r="D102" s="3">
        <f t="shared" si="37"/>
        <v>1578.4787534538793</v>
      </c>
      <c r="E102" s="1">
        <f>(1+Forudsætninger!$C$78)*C102</f>
        <v>180.38576660738966</v>
      </c>
      <c r="F102" s="2">
        <f t="shared" si="38"/>
        <v>4.752970384242734</v>
      </c>
      <c r="G102" s="1">
        <f t="shared" si="28"/>
        <v>185.13873699163238</v>
      </c>
      <c r="H102" s="3">
        <f t="shared" si="29"/>
        <v>1422.8858477562767</v>
      </c>
      <c r="I102" s="3">
        <f t="shared" si="30"/>
        <v>1161.3873699163239</v>
      </c>
      <c r="J102" s="1">
        <f>VLOOKUP((A102+Forudsætninger!$C$60),'Model tilvækst, slagteform, fe'!G:K,2,FALSE)*(1+Forudsætninger!$C$79)</f>
        <v>48.351532845303382</v>
      </c>
      <c r="K102" s="17">
        <f t="shared" si="26"/>
        <v>89.517417225888977</v>
      </c>
      <c r="L102" s="17">
        <f t="shared" si="39"/>
        <v>721.2070842456626</v>
      </c>
      <c r="M102" s="3">
        <f>((K102-(('Model tilvækst, slagteform, fe'!$H$9/100)*'Model tilvækst, slagteform, fe'!$B$9))*1000/(A102+Forudsætninger!$C$60))</f>
        <v>496.91016688834588</v>
      </c>
      <c r="N102" s="17">
        <f t="shared" si="40"/>
        <v>352.20832190853338</v>
      </c>
      <c r="O102" s="19">
        <f>IF( A102&lt;Forudsætninger!$C$14,(G102/100)*Forudsætninger!$C$13,(Forudsætninger!$C$15/1000)*Forudsætninger!$C$13)</f>
        <v>1.2034017904456107</v>
      </c>
      <c r="P102" s="17" cm="1">
        <f t="array" ref="P102">INDEX('Model tilvækst, slagteform, fe'!$N$9:$N$375,MATCH(MIN(ABS('Model tilvækst, slagteform, fe'!$M$9:$M$375-'Vækstfunktion, hol'!G102)),ABS('Model tilvækst, slagteform, fe'!$M$9:$M$375-'Vækstfunktion, hol'!G102),0))*(1+Forudsætninger!$C$80)</f>
        <v>5.5015664507350106</v>
      </c>
      <c r="Q102" s="17">
        <f t="shared" si="41"/>
        <v>7.6282756657740052</v>
      </c>
      <c r="R102" s="17">
        <f t="shared" si="42"/>
        <v>6.1362791124860658</v>
      </c>
      <c r="S102" s="17">
        <f t="shared" si="31"/>
        <v>3.0326515599520376</v>
      </c>
      <c r="T102" s="19">
        <f>(P102)*IF(N102&lt;Forudsætninger!$B$228,IF(N102&lt;Forudsætninger!$B$227,Forudsætninger!$B$225,Forudsætninger!$C$9),Forudsætninger!$C$11)+O102</f>
        <v>14.077067285165535</v>
      </c>
      <c r="U102" s="2">
        <f>Forudsætninger!$C$68+((K102-(Forudsætninger!$C$84)))*0.01</f>
        <v>2.5922270312475302</v>
      </c>
      <c r="V102" s="2">
        <f>U102+Forudsætninger!$C$69</f>
        <v>1.5922270312475302</v>
      </c>
      <c r="W102">
        <f t="shared" si="32"/>
        <v>0</v>
      </c>
      <c r="X102">
        <f>IF(A102+Forudsætninger!$C$60&gt;248,IF(A102+Forudsætninger!$C$60&lt;365,IF(K102&gt;180,IF(K102&lt;260,1,0),0),0),0)</f>
        <v>0</v>
      </c>
      <c r="Y102" s="22">
        <f>IF(X102=0,0,IF('Vækstfunktion, hol'!A102&lt;Forudsætninger!$C$66,Forudsætninger!$C$67+(('Vækstfunktion, hol'!A102-Forudsætninger!$C$66)/7)*Forudsætninger!$C$64,Forudsætninger!$C$67))</f>
        <v>0</v>
      </c>
      <c r="Z102" s="19">
        <f t="shared" si="43"/>
        <v>1423.7107408531415</v>
      </c>
      <c r="AA102" s="19">
        <f>Forudsætninger!$C$62+Forudsætninger!$C$16</f>
        <v>1350</v>
      </c>
      <c r="AB102" s="19">
        <f>IF(K102&gt;Forudsætninger!$C$26,IF(K102&gt;Forudsætninger!$C$27,IF(K102&gt;Forudsætninger!$C$28,Forudsætninger!$E$28,Forudsætninger!$E$27+Forudsætninger!$F$28*(K102-Forudsætninger!$C$27)),Forudsætninger!$E$26+Forudsætninger!$F$27*(K102-Forudsætninger!$C$26)),Forudsætninger!$E$26)+IF(K102&gt;Forudsætninger!$C$28,Forudsætninger!$G$28,IF(K102&gt;Forudsætninger!$C$27,Forudsætninger!$G$27+Forudsætninger!$H$28*(K102-Forudsætninger!$C$27),IF(K102&gt;Forudsætninger!$C$26,Forudsætninger!$G$26+Forudsætninger!$H$27*(K102-Forudsætninger!$C$26),Forudsætninger!$G$26)))*(U102-Forudsætninger!$H$26)</f>
        <v>33.294170273435647</v>
      </c>
      <c r="AC102" s="19">
        <f>IF(K102&gt;Forudsætninger!$C$31,IF(K102&gt;Forudsætninger!$C$32,IF(K102&gt;Forudsætninger!$C$33,Forudsætninger!$E$33,Forudsætninger!$E$32+Forudsætninger!$F$33*(K102-Forudsætninger!$C$32)),Forudsætninger!$E$31+Forudsætninger!$F$32*(K102-Forudsætninger!$C$31)),Forudsætninger!$E$31)+IF(K102&gt;Forudsætninger!$C$33,Forudsætninger!$G$33,IF(K102&gt;Forudsætninger!$C$32,Forudsætninger!$G$32+Forudsætninger!$H$33*(K102-Forudsætninger!$C$32),IF(K102&gt;Forudsætninger!$C$31,Forudsætninger!$G$31+Forudsætninger!$H$32*(K102-Forudsætninger!$C$31),Forudsætninger!$G$31)))*(V102-Forudsætninger!$H$31)</f>
        <v>26.469895140621787</v>
      </c>
      <c r="AD102" s="19">
        <f t="shared" si="33"/>
        <v>2369.5166472285719</v>
      </c>
      <c r="AE102" s="19">
        <f t="shared" si="34"/>
        <v>26.469895140621787</v>
      </c>
      <c r="AF102">
        <f>IF(G102&lt;=Forudsætninger!$C$97,Forudsætninger!$C$98,(IF(G102&lt;=Forudsætninger!$D$97,Forudsætninger!$D$98,IF(G102&lt;=Forudsætninger!$E$97,Forudsætninger!$E$98,IF(G102&lt;=Forudsætninger!$F$97,Forudsætninger!$F$98,IF(G102&lt;=Forudsætninger!$G$97,Forudsætninger!$G$98,IF(G102&lt;=Forudsætninger!$H$97,Forudsætninger!$H$98,IF(G102&lt;=Forudsætninger!$I$97,Forudsætninger!$I$98,Forudsætninger!$I$98))))))))</f>
        <v>2.2000000000000002</v>
      </c>
      <c r="AG102" s="1">
        <f t="shared" si="44"/>
        <v>2.2000000000000002</v>
      </c>
      <c r="AH102" s="1">
        <f t="shared" si="48"/>
        <v>219.99999999999963</v>
      </c>
      <c r="AI102" s="1">
        <f t="shared" si="35"/>
        <v>2.1999999999999962</v>
      </c>
      <c r="AJ102" s="20">
        <f>+(W102*Forudsætninger!$C$12)</f>
        <v>0</v>
      </c>
      <c r="AK102" s="20">
        <f>Forudsætninger!$C$17</f>
        <v>250</v>
      </c>
      <c r="AL102" s="20">
        <f>IF(A102&lt;92,Forudsætninger!$C$20,Forudsætninger!$C$21)</f>
        <v>1.0566762728146013</v>
      </c>
      <c r="AM102" s="20">
        <f t="shared" si="45"/>
        <v>374.17311013474921</v>
      </c>
      <c r="AN102" s="20">
        <f>IFERROR(AD102+AJ102-AA102-Z102-AK102-AM102-Forudsætninger!$C$75,-99999999)</f>
        <v>-1210.7613963087133</v>
      </c>
      <c r="AO102" s="19">
        <f>IFERROR(AN102/(A102+Forudsætninger!$C$74),-99999999)</f>
        <v>-12.107613963087132</v>
      </c>
      <c r="AP102" s="19">
        <f>IFERROR(((365/(A102+Forudsætninger!$C$74))*AN102)/(AI102+Forudsætninger!$C$73),-9999999)</f>
        <v>-1913.1078339942903</v>
      </c>
      <c r="AQ102" s="18">
        <f t="shared" si="36"/>
        <v>100</v>
      </c>
      <c r="AR102" s="18">
        <f t="shared" si="46"/>
        <v>3397.8838509878906</v>
      </c>
      <c r="AS102" s="52">
        <f t="shared" si="27"/>
        <v>4.5999999999999996</v>
      </c>
      <c r="AT102" s="50">
        <f t="shared" si="49"/>
        <v>4.7890582621841986</v>
      </c>
      <c r="AU102" s="50">
        <f t="shared" si="50"/>
        <v>0.17067345682092316</v>
      </c>
      <c r="AV102" s="2">
        <f t="shared" si="51"/>
        <v>26.967883869973093</v>
      </c>
      <c r="AW102" s="61">
        <f t="shared" si="47"/>
        <v>-8.3658828617396406</v>
      </c>
      <c r="BA102" s="16"/>
      <c r="BB102" s="2"/>
    </row>
    <row r="103" spans="1:54" x14ac:dyDescent="0.25">
      <c r="A103">
        <v>101</v>
      </c>
      <c r="B103" s="1">
        <f>ROUND((A103+Forudsætninger!$C$60)/30.4,1)</f>
        <v>4.5999999999999996</v>
      </c>
      <c r="C103" s="1">
        <f>VLOOKUP((A103+Forudsætninger!$C$60),'Model tilvækst, slagteform, fe'!A:B,2,FALSE)</f>
        <v>195.54419621586302</v>
      </c>
      <c r="D103" s="3">
        <f t="shared" si="37"/>
        <v>1581.0063154440286</v>
      </c>
      <c r="E103" s="1">
        <f>(1+Forudsætninger!$C$78)*C103</f>
        <v>181.85610248075261</v>
      </c>
      <c r="F103" s="2">
        <f t="shared" si="38"/>
        <v>4.7077987752300476</v>
      </c>
      <c r="G103" s="1">
        <f t="shared" si="28"/>
        <v>186.56390125598267</v>
      </c>
      <c r="H103" s="3">
        <f t="shared" si="29"/>
        <v>1425.1642643502862</v>
      </c>
      <c r="I103" s="3">
        <f t="shared" si="30"/>
        <v>1163.9990223364621</v>
      </c>
      <c r="J103" s="1">
        <f>VLOOKUP((A103+Forudsætninger!$C$60),'Model tilvækst, slagteform, fe'!G:K,2,FALSE)*(1+Forudsætninger!$C$79)</f>
        <v>48.36960905696322</v>
      </c>
      <c r="K103" s="17">
        <f t="shared" si="26"/>
        <v>90.240229678937709</v>
      </c>
      <c r="L103" s="17">
        <f t="shared" si="39"/>
        <v>722.8124530487321</v>
      </c>
      <c r="M103" s="3">
        <f>((K103-(('Model tilvækst, slagteform, fe'!$H$9/100)*'Model tilvækst, slagteform, fe'!$B$9))*1000/(A103+Forudsætninger!$C$60))</f>
        <v>498.52375464663442</v>
      </c>
      <c r="N103" s="17">
        <f t="shared" si="40"/>
        <v>357.74033944687915</v>
      </c>
      <c r="O103" s="19">
        <f>IF( A103&lt;Forudsætninger!$C$14,(G103/100)*Forudsætninger!$C$13,(Forudsætninger!$C$15/1000)*Forudsætninger!$C$13)</f>
        <v>1.2126653581638875</v>
      </c>
      <c r="P103" s="17" cm="1">
        <f t="array" ref="P103">INDEX('Model tilvækst, slagteform, fe'!$N$9:$N$375,MATCH(MIN(ABS('Model tilvækst, slagteform, fe'!$M$9:$M$375-'Vækstfunktion, hol'!G103)),ABS('Model tilvækst, slagteform, fe'!$M$9:$M$375-'Vækstfunktion, hol'!G103),0))*(1+Forudsætninger!$C$80)</f>
        <v>5.5320175383457926</v>
      </c>
      <c r="Q103" s="17">
        <f t="shared" si="41"/>
        <v>7.6534618558554683</v>
      </c>
      <c r="R103" s="17">
        <f t="shared" si="42"/>
        <v>6.1551474687723626</v>
      </c>
      <c r="S103" s="17">
        <f t="shared" si="31"/>
        <v>3.0429437576075182</v>
      </c>
      <c r="T103" s="19">
        <f>(P103)*IF(N103&lt;Forudsætninger!$B$228,IF(N103&lt;Forudsætninger!$B$227,Forudsætninger!$B$225,Forudsætninger!$C$9),Forudsætninger!$C$11)+O103</f>
        <v>14.157586397893041</v>
      </c>
      <c r="U103" s="2">
        <f>Forudsætninger!$C$68+((K103-(Forudsætninger!$C$84)))*0.01</f>
        <v>2.5994551557780174</v>
      </c>
      <c r="V103" s="2">
        <f>U103+Forudsætninger!$C$69</f>
        <v>1.5994551557780174</v>
      </c>
      <c r="W103">
        <f t="shared" si="32"/>
        <v>0</v>
      </c>
      <c r="X103">
        <f>IF(A103+Forudsætninger!$C$60&gt;248,IF(A103+Forudsætninger!$C$60&lt;365,IF(K103&gt;180,IF(K103&lt;260,1,0),0),0),0)</f>
        <v>0</v>
      </c>
      <c r="Y103" s="22">
        <f>IF(X103=0,0,IF('Vækstfunktion, hol'!A103&lt;Forudsætninger!$C$66,Forudsætninger!$C$67+(('Vækstfunktion, hol'!A103-Forudsætninger!$C$66)/7)*Forudsætninger!$C$64,Forudsætninger!$C$67))</f>
        <v>0</v>
      </c>
      <c r="Z103" s="19">
        <f t="shared" si="43"/>
        <v>1437.8683272510345</v>
      </c>
      <c r="AA103" s="19">
        <f>Forudsætninger!$C$62+Forudsætninger!$C$16</f>
        <v>1350</v>
      </c>
      <c r="AB103" s="19">
        <f>IF(K103&gt;Forudsætninger!$C$26,IF(K103&gt;Forudsætninger!$C$27,IF(K103&gt;Forudsætninger!$C$28,Forudsætninger!$E$28,Forudsætninger!$E$27+Forudsætninger!$F$28*(K103-Forudsætninger!$C$27)),Forudsætninger!$E$26+Forudsætninger!$F$27*(K103-Forudsætninger!$C$26)),Forudsætninger!$E$26)+IF(K103&gt;Forudsætninger!$C$28,Forudsætninger!$G$28,IF(K103&gt;Forudsætninger!$C$27,Forudsætninger!$G$27+Forudsætninger!$H$28*(K103-Forudsætninger!$C$27),IF(K103&gt;Forudsætninger!$C$26,Forudsætninger!$G$26+Forudsætninger!$H$27*(K103-Forudsætninger!$C$26),Forudsætninger!$G$26)))*(U103-Forudsætninger!$H$26)</f>
        <v>33.299591366833518</v>
      </c>
      <c r="AC103" s="19">
        <f>IF(K103&gt;Forudsætninger!$C$31,IF(K103&gt;Forudsætninger!$C$32,IF(K103&gt;Forudsætninger!$C$33,Forudsætninger!$E$33,Forudsætninger!$E$32+Forudsætninger!$F$33*(K103-Forudsætninger!$C$32)),Forudsætninger!$E$31+Forudsætninger!$F$32*(K103-Forudsætninger!$C$31)),Forudsætninger!$E$31)+IF(K103&gt;Forudsætninger!$C$33,Forudsætninger!$G$33,IF(K103&gt;Forudsætninger!$C$32,Forudsætninger!$G$32+Forudsætninger!$H$33*(K103-Forudsætninger!$C$32),IF(K103&gt;Forudsætninger!$C$31,Forudsætninger!$G$31+Forudsætninger!$H$32*(K103-Forudsætninger!$C$31),Forudsætninger!$G$31)))*(V103-Forudsætninger!$H$31)</f>
        <v>26.479291702511421</v>
      </c>
      <c r="AD103" s="19">
        <f t="shared" si="33"/>
        <v>2389.4973649702201</v>
      </c>
      <c r="AE103" s="19">
        <f t="shared" si="34"/>
        <v>26.479291702511421</v>
      </c>
      <c r="AF103">
        <f>IF(G103&lt;=Forudsætninger!$C$97,Forudsætninger!$C$98,(IF(G103&lt;=Forudsætninger!$D$97,Forudsætninger!$D$98,IF(G103&lt;=Forudsætninger!$E$97,Forudsætninger!$E$98,IF(G103&lt;=Forudsætninger!$F$97,Forudsætninger!$F$98,IF(G103&lt;=Forudsætninger!$G$97,Forudsætninger!$G$98,IF(G103&lt;=Forudsætninger!$H$97,Forudsætninger!$H$98,IF(G103&lt;=Forudsætninger!$I$97,Forudsætninger!$I$98,Forudsætninger!$I$98))))))))</f>
        <v>2.2000000000000002</v>
      </c>
      <c r="AG103" s="1">
        <f t="shared" si="44"/>
        <v>2.2000000000000002</v>
      </c>
      <c r="AH103" s="1">
        <f t="shared" si="48"/>
        <v>222.19999999999962</v>
      </c>
      <c r="AI103" s="1">
        <f t="shared" si="35"/>
        <v>2.1999999999999962</v>
      </c>
      <c r="AJ103" s="20">
        <f>+(W103*Forudsætninger!$C$12)</f>
        <v>0</v>
      </c>
      <c r="AK103" s="20">
        <f>Forudsætninger!$C$17</f>
        <v>250</v>
      </c>
      <c r="AL103" s="20">
        <f>IF(A103&lt;92,Forudsætninger!$C$20,Forudsætninger!$C$21)</f>
        <v>1.0566762728146013</v>
      </c>
      <c r="AM103" s="20">
        <f t="shared" si="45"/>
        <v>375.22978640756384</v>
      </c>
      <c r="AN103" s="20">
        <f>IFERROR(AD103+AJ103-AA103-Z103-AK103-AM103-Forudsætninger!$C$75,-99999999)</f>
        <v>-1205.9949412377728</v>
      </c>
      <c r="AO103" s="19">
        <f>IFERROR(AN103/(A103+Forudsætninger!$C$74),-99999999)</f>
        <v>-11.940543972651216</v>
      </c>
      <c r="AP103" s="19">
        <f>IFERROR(((365/(A103+Forudsætninger!$C$74))*AN103)/(AI103+Forudsætninger!$C$73),-9999999)</f>
        <v>-1886.7093290119919</v>
      </c>
      <c r="AQ103" s="18">
        <f t="shared" si="36"/>
        <v>101</v>
      </c>
      <c r="AR103" s="18">
        <f t="shared" si="46"/>
        <v>3413.0981136585983</v>
      </c>
      <c r="AS103" s="52">
        <f t="shared" si="27"/>
        <v>4.5999999999999996</v>
      </c>
      <c r="AT103" s="50">
        <f t="shared" si="49"/>
        <v>4.7664550709405376</v>
      </c>
      <c r="AU103" s="50">
        <f t="shared" si="50"/>
        <v>0.16706999043591608</v>
      </c>
      <c r="AV103" s="2">
        <f t="shared" si="51"/>
        <v>26.398504982298391</v>
      </c>
      <c r="AW103" s="61">
        <f t="shared" si="47"/>
        <v>-8.2253975725763269</v>
      </c>
      <c r="BA103" s="16"/>
      <c r="BB103" s="2"/>
    </row>
    <row r="104" spans="1:54" x14ac:dyDescent="0.25">
      <c r="A104">
        <v>102</v>
      </c>
      <c r="B104" s="1">
        <f>ROUND((A104+Forudsætninger!$C$60)/30.4,1)</f>
        <v>4.5999999999999996</v>
      </c>
      <c r="C104" s="1">
        <f>VLOOKUP((A104+Forudsætninger!$C$60),'Model tilvækst, slagteform, fe'!A:B,2,FALSE)</f>
        <v>197.12764472180874</v>
      </c>
      <c r="D104" s="3">
        <f t="shared" si="37"/>
        <v>1583.4485059457108</v>
      </c>
      <c r="E104" s="1">
        <f>(1+Forudsætninger!$C$78)*C104</f>
        <v>183.32870959128212</v>
      </c>
      <c r="F104" s="2">
        <f t="shared" si="38"/>
        <v>4.662557389345884</v>
      </c>
      <c r="G104" s="1">
        <f t="shared" si="28"/>
        <v>187.99126698062801</v>
      </c>
      <c r="H104" s="3">
        <f t="shared" si="29"/>
        <v>1427.3657246453411</v>
      </c>
      <c r="I104" s="3">
        <f t="shared" si="30"/>
        <v>1166.5810488296866</v>
      </c>
      <c r="J104" s="1">
        <f>VLOOKUP((A104+Forudsætninger!$C$60),'Model tilvækst, slagteform, fe'!G:K,2,FALSE)*(1+Forudsætninger!$C$79)</f>
        <v>48.387680835472786</v>
      </c>
      <c r="K104" s="17">
        <f t="shared" si="26"/>
        <v>90.964614265147816</v>
      </c>
      <c r="L104" s="17">
        <f t="shared" si="39"/>
        <v>724.38458621010682</v>
      </c>
      <c r="M104" s="3">
        <f>((K104-(('Model tilvækst, slagteform, fe'!$H$9/100)*'Model tilvækst, slagteform, fe'!$B$9))*1000/(A104+Forudsætninger!$C$60))</f>
        <v>500.12560451587882</v>
      </c>
      <c r="N104" s="17">
        <f t="shared" si="40"/>
        <v>363.30251991953702</v>
      </c>
      <c r="O104" s="19">
        <f>IF( A104&lt;Forudsætninger!$C$14,(G104/100)*Forudsætninger!$C$13,(Forudsætninger!$C$15/1000)*Forudsætninger!$C$13)</f>
        <v>1.221943235374082</v>
      </c>
      <c r="P104" s="17" cm="1">
        <f t="array" ref="P104">INDEX('Model tilvækst, slagteform, fe'!$N$9:$N$375,MATCH(MIN(ABS('Model tilvækst, slagteform, fe'!$M$9:$M$375-'Vækstfunktion, hol'!G104)),ABS('Model tilvækst, slagteform, fe'!$M$9:$M$375-'Vækstfunktion, hol'!G104),0))*(1+Forudsætninger!$C$80)</f>
        <v>5.562180472657853</v>
      </c>
      <c r="Q104" s="17">
        <f t="shared" si="41"/>
        <v>7.6784909267030566</v>
      </c>
      <c r="R104" s="17">
        <f t="shared" si="42"/>
        <v>6.1738999270528314</v>
      </c>
      <c r="S104" s="17">
        <f t="shared" si="31"/>
        <v>3.0531864155937032</v>
      </c>
      <c r="T104" s="19">
        <f>(P104)*IF(N104&lt;Forudsætninger!$B$228,IF(N104&lt;Forudsætninger!$B$227,Forudsætninger!$B$225,Forudsætninger!$C$9),Forudsætninger!$C$11)+O104</f>
        <v>14.237445541393457</v>
      </c>
      <c r="U104" s="2">
        <f>Forudsætninger!$C$68+((K104-(Forudsætninger!$C$84)))*0.01</f>
        <v>2.6066990016401181</v>
      </c>
      <c r="V104" s="2">
        <f>U104+Forudsætninger!$C$69</f>
        <v>1.6066990016401181</v>
      </c>
      <c r="W104">
        <f t="shared" si="32"/>
        <v>0</v>
      </c>
      <c r="X104">
        <f>IF(A104+Forudsætninger!$C$60&gt;248,IF(A104+Forudsætninger!$C$60&lt;365,IF(K104&gt;180,IF(K104&lt;260,1,0),0),0),0)</f>
        <v>0</v>
      </c>
      <c r="Y104" s="22">
        <f>IF(X104=0,0,IF('Vækstfunktion, hol'!A104&lt;Forudsætninger!$C$66,Forudsætninger!$C$67+(('Vækstfunktion, hol'!A104-Forudsætninger!$C$66)/7)*Forudsætninger!$C$64,Forudsætninger!$C$67))</f>
        <v>0</v>
      </c>
      <c r="Z104" s="19">
        <f t="shared" si="43"/>
        <v>1452.1057727924281</v>
      </c>
      <c r="AA104" s="19">
        <f>Forudsætninger!$C$62+Forudsætninger!$C$16</f>
        <v>1350</v>
      </c>
      <c r="AB104" s="19">
        <f>IF(K104&gt;Forudsætninger!$C$26,IF(K104&gt;Forudsætninger!$C$27,IF(K104&gt;Forudsætninger!$C$28,Forudsætninger!$E$28,Forudsætninger!$E$27+Forudsætninger!$F$28*(K104-Forudsætninger!$C$27)),Forudsætninger!$E$26+Forudsætninger!$F$27*(K104-Forudsætninger!$C$26)),Forudsætninger!$E$26)+IF(K104&gt;Forudsætninger!$C$28,Forudsætninger!$G$28,IF(K104&gt;Forudsætninger!$C$27,Forudsætninger!$G$27+Forudsætninger!$H$28*(K104-Forudsætninger!$C$27),IF(K104&gt;Forudsætninger!$C$26,Forudsætninger!$G$26+Forudsætninger!$H$27*(K104-Forudsætninger!$C$26),Forudsætninger!$G$26)))*(U104-Forudsætninger!$H$26)</f>
        <v>33.305024251230087</v>
      </c>
      <c r="AC104" s="19">
        <f>IF(K104&gt;Forudsætninger!$C$31,IF(K104&gt;Forudsætninger!$C$32,IF(K104&gt;Forudsætninger!$C$33,Forudsætninger!$E$33,Forudsætninger!$E$32+Forudsætninger!$F$33*(K104-Forudsætninger!$C$32)),Forudsætninger!$E$31+Forudsætninger!$F$32*(K104-Forudsætninger!$C$31)),Forudsætninger!$E$31)+IF(K104&gt;Forudsætninger!$C$33,Forudsætninger!$G$33,IF(K104&gt;Forudsætninger!$C$32,Forudsætninger!$G$32+Forudsætninger!$H$33*(K104-Forudsætninger!$C$32),IF(K104&gt;Forudsætninger!$C$31,Forudsætninger!$G$31+Forudsætninger!$H$32*(K104-Forudsætninger!$C$31),Forudsætninger!$G$31)))*(V104-Forudsætninger!$H$31)</f>
        <v>26.488708702132154</v>
      </c>
      <c r="AD104" s="19">
        <f t="shared" si="33"/>
        <v>2409.5351694713158</v>
      </c>
      <c r="AE104" s="19">
        <f t="shared" si="34"/>
        <v>26.488708702132158</v>
      </c>
      <c r="AF104">
        <f>IF(G104&lt;=Forudsætninger!$C$97,Forudsætninger!$C$98,(IF(G104&lt;=Forudsætninger!$D$97,Forudsætninger!$D$98,IF(G104&lt;=Forudsætninger!$E$97,Forudsætninger!$E$98,IF(G104&lt;=Forudsætninger!$F$97,Forudsætninger!$F$98,IF(G104&lt;=Forudsætninger!$G$97,Forudsætninger!$G$98,IF(G104&lt;=Forudsætninger!$H$97,Forudsætninger!$H$98,IF(G104&lt;=Forudsætninger!$I$97,Forudsætninger!$I$98,Forudsætninger!$I$98))))))))</f>
        <v>2.2000000000000002</v>
      </c>
      <c r="AG104" s="1">
        <f t="shared" si="44"/>
        <v>2.2000000000000002</v>
      </c>
      <c r="AH104" s="1">
        <f t="shared" si="48"/>
        <v>224.39999999999961</v>
      </c>
      <c r="AI104" s="1">
        <f t="shared" si="35"/>
        <v>2.1999999999999962</v>
      </c>
      <c r="AJ104" s="20">
        <f>+(W104*Forudsætninger!$C$12)</f>
        <v>0</v>
      </c>
      <c r="AK104" s="20">
        <f>Forudsætninger!$C$17</f>
        <v>250</v>
      </c>
      <c r="AL104" s="20">
        <f>IF(A104&lt;92,Forudsætninger!$C$20,Forudsætninger!$C$21)</f>
        <v>1.0566762728146013</v>
      </c>
      <c r="AM104" s="20">
        <f t="shared" si="45"/>
        <v>376.28646268037846</v>
      </c>
      <c r="AN104" s="20">
        <f>IFERROR(AD104+AJ104-AA104-Z104-AK104-AM104-Forudsætninger!$C$75,-99999999)</f>
        <v>-1201.2512585508853</v>
      </c>
      <c r="AO104" s="19">
        <f>IFERROR(AN104/(A104+Forudsætninger!$C$74),-99999999)</f>
        <v>-11.776973123047895</v>
      </c>
      <c r="AP104" s="19">
        <f>IFERROR(((365/(A104+Forudsætninger!$C$74))*AN104)/(AI104+Forudsætninger!$C$73),-9999999)</f>
        <v>-1860.8637185768353</v>
      </c>
      <c r="AQ104" s="18">
        <f t="shared" si="36"/>
        <v>102</v>
      </c>
      <c r="AR104" s="18">
        <f t="shared" si="46"/>
        <v>3428.3922354728065</v>
      </c>
      <c r="AS104" s="52">
        <f t="shared" si="27"/>
        <v>4.5999999999999996</v>
      </c>
      <c r="AT104" s="50">
        <f t="shared" si="49"/>
        <v>4.7436826868874959</v>
      </c>
      <c r="AU104" s="50">
        <f t="shared" si="50"/>
        <v>0.16357084960332102</v>
      </c>
      <c r="AV104" s="2">
        <f t="shared" si="51"/>
        <v>25.845610435156686</v>
      </c>
      <c r="AW104" s="61">
        <f t="shared" si="47"/>
        <v>-8.0878901555932039</v>
      </c>
      <c r="BA104" s="16"/>
      <c r="BB104" s="2"/>
    </row>
    <row r="105" spans="1:54" x14ac:dyDescent="0.25">
      <c r="A105">
        <v>103</v>
      </c>
      <c r="B105" s="1">
        <f>ROUND((A105+Forudsætninger!$C$60)/30.4,1)</f>
        <v>4.7</v>
      </c>
      <c r="C105" s="1">
        <f>VLOOKUP((A105+Forudsætninger!$C$60),'Model tilvækst, slagteform, fe'!A:B,2,FALSE)</f>
        <v>198.71345058111498</v>
      </c>
      <c r="D105" s="3">
        <f t="shared" si="37"/>
        <v>1585.8058593062481</v>
      </c>
      <c r="E105" s="1">
        <f>(1+Forudsætninger!$C$78)*C105</f>
        <v>184.80350904043692</v>
      </c>
      <c r="F105" s="2">
        <f t="shared" si="38"/>
        <v>4.6172486505085626</v>
      </c>
      <c r="G105" s="1">
        <f t="shared" si="28"/>
        <v>189.42075769094549</v>
      </c>
      <c r="H105" s="3">
        <f t="shared" si="29"/>
        <v>1429.4907103174808</v>
      </c>
      <c r="I105" s="3">
        <f t="shared" si="30"/>
        <v>1169.1335698150049</v>
      </c>
      <c r="J105" s="1">
        <f>VLOOKUP((A105+Forudsætninger!$C$60),'Model tilvækst, slagteform, fe'!G:K,2,FALSE)*(1+Forudsætninger!$C$79)</f>
        <v>48.405749789681508</v>
      </c>
      <c r="K105" s="17">
        <f t="shared" si="26"/>
        <v>91.690538017597959</v>
      </c>
      <c r="L105" s="17">
        <f t="shared" si="39"/>
        <v>725.92375245014296</v>
      </c>
      <c r="M105" s="3">
        <f>((K105-(('Model tilvækst, slagteform, fe'!$H$9/100)*'Model tilvækst, slagteform, fe'!$B$9))*1000/(A105+Forudsætninger!$C$60))</f>
        <v>501.71573231823288</v>
      </c>
      <c r="N105" s="17">
        <f t="shared" si="40"/>
        <v>368.92414167699229</v>
      </c>
      <c r="O105" s="19">
        <f>IF( A105&lt;Forudsætninger!$C$14,(G105/100)*Forudsætninger!$C$13,(Forudsætninger!$C$15/1000)*Forudsætninger!$C$13)</f>
        <v>1.2312349249911456</v>
      </c>
      <c r="P105" s="17" cm="1">
        <f t="array" ref="P105">INDEX('Model tilvækst, slagteform, fe'!$N$9:$N$375,MATCH(MIN(ABS('Model tilvækst, slagteform, fe'!$M$9:$M$375-'Vækstfunktion, hol'!G105)),ABS('Model tilvækst, slagteform, fe'!$M$9:$M$375-'Vækstfunktion, hol'!G105),0))*(1+Forudsætninger!$C$80)</f>
        <v>5.6216217574552552</v>
      </c>
      <c r="Q105" s="17">
        <f t="shared" si="41"/>
        <v>7.7440939747199593</v>
      </c>
      <c r="R105" s="17">
        <f t="shared" si="42"/>
        <v>6.1930341457095093</v>
      </c>
      <c r="S105" s="17">
        <f t="shared" si="31"/>
        <v>3.0636258129501197</v>
      </c>
      <c r="T105" s="19">
        <f>(P105)*IF(N105&lt;Forudsætninger!$B$228,IF(N105&lt;Forudsætninger!$B$227,Forudsætninger!$B$225,Forudsætninger!$C$9),Forudsætninger!$C$11)+O105</f>
        <v>14.385829837436441</v>
      </c>
      <c r="U105" s="2">
        <f>Forudsætninger!$C$68+((K105-(Forudsætninger!$C$84)))*0.01</f>
        <v>2.6139582391646199</v>
      </c>
      <c r="V105" s="2">
        <f>U105+Forudsætninger!$C$69</f>
        <v>1.6139582391646199</v>
      </c>
      <c r="W105">
        <f t="shared" si="32"/>
        <v>0</v>
      </c>
      <c r="X105">
        <f>IF(A105+Forudsætninger!$C$60&gt;248,IF(A105+Forudsætninger!$C$60&lt;365,IF(K105&gt;180,IF(K105&lt;260,1,0),0),0),0)</f>
        <v>0</v>
      </c>
      <c r="Y105" s="22">
        <f>IF(X105=0,0,IF('Vækstfunktion, hol'!A105&lt;Forudsætninger!$C$66,Forudsætninger!$C$67+(('Vækstfunktion, hol'!A105-Forudsætninger!$C$66)/7)*Forudsætninger!$C$64,Forudsætninger!$C$67))</f>
        <v>0</v>
      </c>
      <c r="Z105" s="19">
        <f t="shared" si="43"/>
        <v>1466.4916026298645</v>
      </c>
      <c r="AA105" s="19">
        <f>Forudsætninger!$C$62+Forudsætninger!$C$16</f>
        <v>1350</v>
      </c>
      <c r="AB105" s="19">
        <f>IF(K105&gt;Forudsætninger!$C$26,IF(K105&gt;Forudsætninger!$C$27,IF(K105&gt;Forudsætninger!$C$28,Forudsætninger!$E$28,Forudsætninger!$E$27+Forudsætninger!$F$28*(K105-Forudsætninger!$C$27)),Forudsætninger!$E$26+Forudsætninger!$F$27*(K105-Forudsætninger!$C$26)),Forudsætninger!$E$26)+IF(K105&gt;Forudsætninger!$C$28,Forudsætninger!$G$28,IF(K105&gt;Forudsætninger!$C$27,Forudsætninger!$G$27+Forudsætninger!$H$28*(K105-Forudsætninger!$C$27),IF(K105&gt;Forudsætninger!$C$26,Forudsætninger!$G$26+Forudsætninger!$H$27*(K105-Forudsætninger!$C$26),Forudsætninger!$G$26)))*(U105-Forudsætninger!$H$26)</f>
        <v>33.310468679373464</v>
      </c>
      <c r="AC105" s="19">
        <f>IF(K105&gt;Forudsætninger!$C$31,IF(K105&gt;Forudsætninger!$C$32,IF(K105&gt;Forudsætninger!$C$33,Forudsætninger!$E$33,Forudsætninger!$E$32+Forudsætninger!$F$33*(K105-Forudsætninger!$C$32)),Forudsætninger!$E$31+Forudsætninger!$F$32*(K105-Forudsætninger!$C$31)),Forudsætninger!$E$31)+IF(K105&gt;Forudsætninger!$C$33,Forudsætninger!$G$33,IF(K105&gt;Forudsætninger!$C$32,Forudsætninger!$G$32+Forudsætninger!$H$33*(K105-Forudsætninger!$C$32),IF(K105&gt;Forudsætninger!$C$31,Forudsætninger!$G$31+Forudsætninger!$H$32*(K105-Forudsætninger!$C$31),Forudsætninger!$G$31)))*(V105-Forudsætninger!$H$31)</f>
        <v>26.498145710914006</v>
      </c>
      <c r="AD105" s="19">
        <f t="shared" si="33"/>
        <v>2429.6292367024112</v>
      </c>
      <c r="AE105" s="19">
        <f t="shared" si="34"/>
        <v>26.498145710914009</v>
      </c>
      <c r="AF105">
        <f>IF(G105&lt;=Forudsætninger!$C$97,Forudsætninger!$C$98,(IF(G105&lt;=Forudsætninger!$D$97,Forudsætninger!$D$98,IF(G105&lt;=Forudsætninger!$E$97,Forudsætninger!$E$98,IF(G105&lt;=Forudsætninger!$F$97,Forudsætninger!$F$98,IF(G105&lt;=Forudsætninger!$G$97,Forudsætninger!$G$98,IF(G105&lt;=Forudsætninger!$H$97,Forudsætninger!$H$98,IF(G105&lt;=Forudsætninger!$I$97,Forudsætninger!$I$98,Forudsætninger!$I$98))))))))</f>
        <v>2.2000000000000002</v>
      </c>
      <c r="AG105" s="1">
        <f t="shared" si="44"/>
        <v>2.2000000000000002</v>
      </c>
      <c r="AH105" s="1">
        <f t="shared" si="48"/>
        <v>226.5999999999996</v>
      </c>
      <c r="AI105" s="1">
        <f t="shared" si="35"/>
        <v>2.1999999999999962</v>
      </c>
      <c r="AJ105" s="20">
        <f>+(W105*Forudsætninger!$C$12)</f>
        <v>0</v>
      </c>
      <c r="AK105" s="20">
        <f>Forudsætninger!$C$17</f>
        <v>250</v>
      </c>
      <c r="AL105" s="20">
        <f>IF(A105&lt;92,Forudsætninger!$C$20,Forudsætninger!$C$21)</f>
        <v>1.0566762728146013</v>
      </c>
      <c r="AM105" s="20">
        <f t="shared" si="45"/>
        <v>377.34313895319309</v>
      </c>
      <c r="AN105" s="20">
        <f>IFERROR(AD105+AJ105-AA105-Z105-AK105-AM105-Forudsætninger!$C$75,-99999999)</f>
        <v>-1196.599697430041</v>
      </c>
      <c r="AO105" s="19">
        <f>IFERROR(AN105/(A105+Forudsætninger!$C$74),-99999999)</f>
        <v>-11.617472790582923</v>
      </c>
      <c r="AP105" s="19">
        <f>IFERROR(((365/(A105+Forudsætninger!$C$74))*AN105)/(AI105+Forudsætninger!$C$73),-9999999)</f>
        <v>-1835.6612850921101</v>
      </c>
      <c r="AQ105" s="18">
        <f t="shared" si="36"/>
        <v>103</v>
      </c>
      <c r="AR105" s="18">
        <f t="shared" si="46"/>
        <v>3443.8347415830572</v>
      </c>
      <c r="AS105" s="52">
        <f t="shared" si="27"/>
        <v>4.7</v>
      </c>
      <c r="AT105" s="50">
        <f t="shared" si="49"/>
        <v>4.6515611208442351</v>
      </c>
      <c r="AU105" s="50">
        <f t="shared" si="50"/>
        <v>0.15950033246497242</v>
      </c>
      <c r="AV105" s="2">
        <f t="shared" si="51"/>
        <v>25.202433484725134</v>
      </c>
      <c r="AW105" s="61">
        <f t="shared" si="47"/>
        <v>-7.953947169678135</v>
      </c>
      <c r="BA105" s="16"/>
      <c r="BB105" s="2"/>
    </row>
    <row r="106" spans="1:54" x14ac:dyDescent="0.25">
      <c r="A106">
        <v>104</v>
      </c>
      <c r="B106" s="1">
        <f>ROUND((A106+Forudsætninger!$C$60)/30.4,1)</f>
        <v>4.7</v>
      </c>
      <c r="C106" s="1">
        <f>VLOOKUP((A106+Forudsætninger!$C$60),'Model tilvækst, slagteform, fe'!A:B,2,FALSE)</f>
        <v>200.30152949098812</v>
      </c>
      <c r="D106" s="3">
        <f t="shared" si="37"/>
        <v>1588.0789098731327</v>
      </c>
      <c r="E106" s="1">
        <f>(1+Forudsætninger!$C$78)*C106</f>
        <v>186.28042242661894</v>
      </c>
      <c r="F106" s="2">
        <f t="shared" si="38"/>
        <v>4.5718749673693306</v>
      </c>
      <c r="G106" s="1">
        <f t="shared" si="28"/>
        <v>190.85229739398827</v>
      </c>
      <c r="H106" s="3">
        <f t="shared" si="29"/>
        <v>1431.5397030427732</v>
      </c>
      <c r="I106" s="3">
        <f t="shared" si="30"/>
        <v>1171.6567057114257</v>
      </c>
      <c r="J106" s="1">
        <f>VLOOKUP((A106+Forudsætninger!$C$60),'Model tilvækst, slagteform, fe'!G:K,2,FALSE)*(1+Forudsætninger!$C$79)</f>
        <v>48.423817528438818</v>
      </c>
      <c r="K106" s="17">
        <f t="shared" si="26"/>
        <v>92.417968238898268</v>
      </c>
      <c r="L106" s="17">
        <f t="shared" si="39"/>
        <v>727.43022130030965</v>
      </c>
      <c r="M106" s="3">
        <f>((K106-(('Model tilvækst, slagteform, fe'!$H$9/100)*'Model tilvækst, slagteform, fe'!$B$9))*1000/(A106+Forudsætninger!$C$60))</f>
        <v>503.29415531810753</v>
      </c>
      <c r="N106" s="17">
        <f t="shared" si="40"/>
        <v>374.57503172296759</v>
      </c>
      <c r="O106" s="19">
        <f>IF( A106&lt;Forudsætninger!$C$14,(G106/100)*Forudsætninger!$C$13,(Forudsætninger!$C$15/1000)*Forudsætninger!$C$13)</f>
        <v>1.2405399330609237</v>
      </c>
      <c r="P106" s="17" cm="1">
        <f t="array" ref="P106">INDEX('Model tilvækst, slagteform, fe'!$N$9:$N$375,MATCH(MIN(ABS('Model tilvækst, slagteform, fe'!$M$9:$M$375-'Vækstfunktion, hol'!G106)),ABS('Model tilvækst, slagteform, fe'!$M$9:$M$375-'Vækstfunktion, hol'!G106),0))*(1+Forudsætninger!$C$80)</f>
        <v>5.6508900459753164</v>
      </c>
      <c r="Q106" s="17">
        <f t="shared" si="41"/>
        <v>7.7682915563696708</v>
      </c>
      <c r="R106" s="17">
        <f t="shared" si="42"/>
        <v>6.2120378445452715</v>
      </c>
      <c r="S106" s="17">
        <f t="shared" si="31"/>
        <v>3.0740087772973554</v>
      </c>
      <c r="T106" s="19">
        <f>(P106)*IF(N106&lt;Forudsætninger!$B$228,IF(N106&lt;Forudsætninger!$B$227,Forudsætninger!$B$225,Forudsætninger!$C$9),Forudsætninger!$C$11)+O106</f>
        <v>14.463622640643162</v>
      </c>
      <c r="U106" s="2">
        <f>Forudsætninger!$C$68+((K106-(Forudsætninger!$C$84)))*0.01</f>
        <v>2.6212325413776227</v>
      </c>
      <c r="V106" s="2">
        <f>U106+Forudsætninger!$C$69</f>
        <v>1.6212325413776227</v>
      </c>
      <c r="W106">
        <f t="shared" si="32"/>
        <v>0</v>
      </c>
      <c r="X106">
        <f>IF(A106+Forudsætninger!$C$60&gt;248,IF(A106+Forudsætninger!$C$60&lt;365,IF(K106&gt;180,IF(K106&lt;260,1,0),0),0),0)</f>
        <v>0</v>
      </c>
      <c r="Y106" s="22">
        <f>IF(X106=0,0,IF('Vækstfunktion, hol'!A106&lt;Forudsætninger!$C$66,Forudsætninger!$C$67+(('Vækstfunktion, hol'!A106-Forudsætninger!$C$66)/7)*Forudsætninger!$C$64,Forudsætninger!$C$67))</f>
        <v>0</v>
      </c>
      <c r="Z106" s="19">
        <f t="shared" si="43"/>
        <v>1480.9552252705075</v>
      </c>
      <c r="AA106" s="19">
        <f>Forudsætninger!$C$62+Forudsætninger!$C$16</f>
        <v>1350</v>
      </c>
      <c r="AB106" s="19">
        <f>IF(K106&gt;Forudsætninger!$C$26,IF(K106&gt;Forudsætninger!$C$27,IF(K106&gt;Forudsætninger!$C$28,Forudsætninger!$E$28,Forudsætninger!$E$27+Forudsætninger!$F$28*(K106-Forudsætninger!$C$27)),Forudsætninger!$E$26+Forudsætninger!$F$27*(K106-Forudsætninger!$C$26)),Forudsætninger!$E$26)+IF(K106&gt;Forudsætninger!$C$28,Forudsætninger!$G$28,IF(K106&gt;Forudsætninger!$C$27,Forudsætninger!$G$27+Forudsætninger!$H$28*(K106-Forudsætninger!$C$27),IF(K106&gt;Forudsætninger!$C$26,Forudsætninger!$G$26+Forudsætninger!$H$27*(K106-Forudsætninger!$C$26),Forudsætninger!$G$26)))*(U106-Forudsætninger!$H$26)</f>
        <v>33.315924406033218</v>
      </c>
      <c r="AC106" s="19">
        <f>IF(K106&gt;Forudsætninger!$C$31,IF(K106&gt;Forudsætninger!$C$32,IF(K106&gt;Forudsætninger!$C$33,Forudsætninger!$E$33,Forudsætninger!$E$32+Forudsætninger!$F$33*(K106-Forudsætninger!$C$32)),Forudsætninger!$E$31+Forudsætninger!$F$32*(K106-Forudsætninger!$C$31)),Forudsætninger!$E$31)+IF(K106&gt;Forudsætninger!$C$33,Forudsætninger!$G$33,IF(K106&gt;Forudsætninger!$C$32,Forudsætninger!$G$32+Forudsætninger!$H$33*(K106-Forudsætninger!$C$32),IF(K106&gt;Forudsætninger!$C$31,Forudsætninger!$G$31+Forudsætninger!$H$32*(K106-Forudsætninger!$C$31),Forudsætninger!$G$31)))*(V106-Forudsætninger!$H$31)</f>
        <v>26.507602303790911</v>
      </c>
      <c r="AD106" s="19">
        <f t="shared" si="33"/>
        <v>2449.7787478010951</v>
      </c>
      <c r="AE106" s="19">
        <f t="shared" si="34"/>
        <v>26.507602303790911</v>
      </c>
      <c r="AF106">
        <f>IF(G106&lt;=Forudsætninger!$C$97,Forudsætninger!$C$98,(IF(G106&lt;=Forudsætninger!$D$97,Forudsætninger!$D$98,IF(G106&lt;=Forudsætninger!$E$97,Forudsætninger!$E$98,IF(G106&lt;=Forudsætninger!$F$97,Forudsætninger!$F$98,IF(G106&lt;=Forudsætninger!$G$97,Forudsætninger!$G$98,IF(G106&lt;=Forudsætninger!$H$97,Forudsætninger!$H$98,IF(G106&lt;=Forudsætninger!$I$97,Forudsætninger!$I$98,Forudsætninger!$I$98))))))))</f>
        <v>2.2000000000000002</v>
      </c>
      <c r="AG106" s="1">
        <f t="shared" si="44"/>
        <v>2.2000000000000002</v>
      </c>
      <c r="AH106" s="1">
        <f t="shared" si="48"/>
        <v>228.79999999999959</v>
      </c>
      <c r="AI106" s="1">
        <f t="shared" si="35"/>
        <v>2.1999999999999962</v>
      </c>
      <c r="AJ106" s="20">
        <f>+(W106*Forudsætninger!$C$12)</f>
        <v>0</v>
      </c>
      <c r="AK106" s="20">
        <f>Forudsætninger!$C$17</f>
        <v>250</v>
      </c>
      <c r="AL106" s="20">
        <f>IF(A106&lt;92,Forudsætninger!$C$20,Forudsætninger!$C$21)</f>
        <v>1.0566762728146013</v>
      </c>
      <c r="AM106" s="20">
        <f t="shared" si="45"/>
        <v>378.39981522600772</v>
      </c>
      <c r="AN106" s="20">
        <f>IFERROR(AD106+AJ106-AA106-Z106-AK106-AM106-Forudsætninger!$C$75,-99999999)</f>
        <v>-1191.9704852448147</v>
      </c>
      <c r="AO106" s="19">
        <f>IFERROR(AN106/(A106+Forudsætninger!$C$74),-99999999)</f>
        <v>-11.461254665815526</v>
      </c>
      <c r="AP106" s="19">
        <f>IFERROR(((365/(A106+Forudsætninger!$C$74))*AN106)/(AI106+Forudsætninger!$C$73),-9999999)</f>
        <v>-1810.9774688409846</v>
      </c>
      <c r="AQ106" s="18">
        <f t="shared" si="36"/>
        <v>104</v>
      </c>
      <c r="AR106" s="18">
        <f t="shared" si="46"/>
        <v>3459.3550404965154</v>
      </c>
      <c r="AS106" s="52">
        <f t="shared" si="27"/>
        <v>4.7</v>
      </c>
      <c r="AT106" s="50">
        <f t="shared" si="49"/>
        <v>4.629212185226379</v>
      </c>
      <c r="AU106" s="50">
        <f t="shared" si="50"/>
        <v>0.15621812476739727</v>
      </c>
      <c r="AV106" s="2">
        <f t="shared" si="51"/>
        <v>24.683816251125563</v>
      </c>
      <c r="AW106" s="61">
        <f t="shared" si="47"/>
        <v>-7.8227949040269902</v>
      </c>
      <c r="BA106" s="16"/>
      <c r="BB106" s="2"/>
    </row>
    <row r="107" spans="1:54" x14ac:dyDescent="0.25">
      <c r="A107">
        <v>105</v>
      </c>
      <c r="B107" s="1">
        <f>ROUND((A107+Forudsætninger!$C$60)/30.4,1)</f>
        <v>4.7</v>
      </c>
      <c r="C107" s="1">
        <f>VLOOKUP((A107+Forudsætninger!$C$60),'Model tilvækst, slagteform, fe'!A:B,2,FALSE)</f>
        <v>201.8917976829818</v>
      </c>
      <c r="D107" s="3">
        <f t="shared" si="37"/>
        <v>1590.2681919936867</v>
      </c>
      <c r="E107" s="1">
        <f>(1+Forudsætninger!$C$78)*C107</f>
        <v>187.75937184517306</v>
      </c>
      <c r="F107" s="2">
        <f t="shared" si="38"/>
        <v>4.5264387333123679</v>
      </c>
      <c r="G107" s="1">
        <f t="shared" si="28"/>
        <v>192.28581057848544</v>
      </c>
      <c r="H107" s="3">
        <f t="shared" si="29"/>
        <v>1433.5131844971727</v>
      </c>
      <c r="I107" s="3">
        <f t="shared" si="30"/>
        <v>1174.1505769379567</v>
      </c>
      <c r="J107" s="1">
        <f>VLOOKUP((A107+Forudsætninger!$C$60),'Model tilvækst, slagteform, fe'!G:K,2,FALSE)*(1+Forudsætninger!$C$79)</f>
        <v>48.441885660594146</v>
      </c>
      <c r="K107" s="17">
        <f t="shared" si="26"/>
        <v>93.14687250197656</v>
      </c>
      <c r="L107" s="17">
        <f t="shared" si="39"/>
        <v>728.90426307829159</v>
      </c>
      <c r="M107" s="3">
        <f>((K107-(('Model tilvækst, slagteform, fe'!$H$9/100)*'Model tilvækst, slagteform, fe'!$B$9))*1000/(A107+Forudsætninger!$C$60))</f>
        <v>504.8608921775533</v>
      </c>
      <c r="N107" s="17">
        <f t="shared" si="40"/>
        <v>380.25488178023369</v>
      </c>
      <c r="O107" s="19">
        <f>IF( A107&lt;Forudsætninger!$C$14,(G107/100)*Forudsætninger!$C$13,(Forudsætninger!$C$15/1000)*Forudsætninger!$C$13)</f>
        <v>1.2498577687601553</v>
      </c>
      <c r="P107" s="17" cm="1">
        <f t="array" ref="P107">INDEX('Model tilvækst, slagteform, fe'!$N$9:$N$375,MATCH(MIN(ABS('Model tilvækst, slagteform, fe'!$M$9:$M$375-'Vækstfunktion, hol'!G107)),ABS('Model tilvækst, slagteform, fe'!$M$9:$M$375-'Vækstfunktion, hol'!G107),0))*(1+Forudsætninger!$C$80)</f>
        <v>5.6798500572661013</v>
      </c>
      <c r="Q107" s="17">
        <f t="shared" si="41"/>
        <v>7.7923128522792418</v>
      </c>
      <c r="R107" s="17">
        <f t="shared" si="42"/>
        <v>6.230912542879083</v>
      </c>
      <c r="S107" s="17">
        <f t="shared" si="31"/>
        <v>3.0843361453843725</v>
      </c>
      <c r="T107" s="19">
        <f>(P107)*IF(N107&lt;Forudsætninger!$B$228,IF(N107&lt;Forudsætninger!$B$227,Forudsætninger!$B$225,Forudsætninger!$C$9),Forudsætninger!$C$11)+O107</f>
        <v>14.54070690276283</v>
      </c>
      <c r="U107" s="2">
        <f>Forudsætninger!$C$68+((K107-(Forudsætninger!$C$84)))*0.01</f>
        <v>2.6285215840084062</v>
      </c>
      <c r="V107" s="2">
        <f>U107+Forudsætninger!$C$69</f>
        <v>1.6285215840084062</v>
      </c>
      <c r="W107">
        <f t="shared" si="32"/>
        <v>0</v>
      </c>
      <c r="X107">
        <f>IF(A107+Forudsætninger!$C$60&gt;248,IF(A107+Forudsætninger!$C$60&lt;365,IF(K107&gt;180,IF(K107&lt;260,1,0),0),0),0)</f>
        <v>0</v>
      </c>
      <c r="Y107" s="22">
        <f>IF(X107=0,0,IF('Vækstfunktion, hol'!A107&lt;Forudsætninger!$C$66,Forudsætninger!$C$67+(('Vækstfunktion, hol'!A107-Forudsætninger!$C$66)/7)*Forudsætninger!$C$64,Forudsætninger!$C$67))</f>
        <v>0</v>
      </c>
      <c r="Z107" s="19">
        <f t="shared" si="43"/>
        <v>1495.4959321732704</v>
      </c>
      <c r="AA107" s="19">
        <f>Forudsætninger!$C$62+Forudsætninger!$C$16</f>
        <v>1350</v>
      </c>
      <c r="AB107" s="19">
        <f>IF(K107&gt;Forudsætninger!$C$26,IF(K107&gt;Forudsætninger!$C$27,IF(K107&gt;Forudsætninger!$C$28,Forudsætninger!$E$28,Forudsætninger!$E$27+Forudsætninger!$F$28*(K107-Forudsætninger!$C$27)),Forudsætninger!$E$26+Forudsætninger!$F$27*(K107-Forudsætninger!$C$26)),Forudsætninger!$E$26)+IF(K107&gt;Forudsætninger!$C$28,Forudsætninger!$G$28,IF(K107&gt;Forudsætninger!$C$27,Forudsætninger!$G$27+Forudsætninger!$H$28*(K107-Forudsætninger!$C$27),IF(K107&gt;Forudsætninger!$C$26,Forudsætninger!$G$26+Forudsætninger!$H$27*(K107-Forudsætninger!$C$26),Forudsætninger!$G$26)))*(U107-Forudsætninger!$H$26)</f>
        <v>33.321391188006309</v>
      </c>
      <c r="AC107" s="19">
        <f>IF(K107&gt;Forudsætninger!$C$31,IF(K107&gt;Forudsætninger!$C$32,IF(K107&gt;Forudsætninger!$C$33,Forudsætninger!$E$33,Forudsætninger!$E$32+Forudsætninger!$F$33*(K107-Forudsætninger!$C$32)),Forudsætninger!$E$31+Forudsætninger!$F$32*(K107-Forudsætninger!$C$31)),Forudsætninger!$E$31)+IF(K107&gt;Forudsætninger!$C$33,Forudsætninger!$G$33,IF(K107&gt;Forudsætninger!$C$32,Forudsætninger!$G$32+Forudsætninger!$H$33*(K107-Forudsætninger!$C$32),IF(K107&gt;Forudsætninger!$C$31,Forudsætninger!$G$31+Forudsætninger!$H$32*(K107-Forudsætninger!$C$31),Forudsætninger!$G$31)))*(V107-Forudsætninger!$H$31)</f>
        <v>26.517078059210927</v>
      </c>
      <c r="AD107" s="19">
        <f t="shared" si="33"/>
        <v>2469.9828891062803</v>
      </c>
      <c r="AE107" s="19">
        <f t="shared" si="34"/>
        <v>26.517078059210927</v>
      </c>
      <c r="AF107">
        <f>IF(G107&lt;=Forudsætninger!$C$97,Forudsætninger!$C$98,(IF(G107&lt;=Forudsætninger!$D$97,Forudsætninger!$D$98,IF(G107&lt;=Forudsætninger!$E$97,Forudsætninger!$E$98,IF(G107&lt;=Forudsætninger!$F$97,Forudsætninger!$F$98,IF(G107&lt;=Forudsætninger!$G$97,Forudsætninger!$G$98,IF(G107&lt;=Forudsætninger!$H$97,Forudsætninger!$H$98,IF(G107&lt;=Forudsætninger!$I$97,Forudsætninger!$I$98,Forudsætninger!$I$98))))))))</f>
        <v>2.2000000000000002</v>
      </c>
      <c r="AG107" s="1">
        <f t="shared" si="44"/>
        <v>2.2000000000000002</v>
      </c>
      <c r="AH107" s="1">
        <f t="shared" si="48"/>
        <v>230.99999999999957</v>
      </c>
      <c r="AI107" s="1">
        <f t="shared" si="35"/>
        <v>2.1999999999999957</v>
      </c>
      <c r="AJ107" s="20">
        <f>+(W107*Forudsætninger!$C$12)</f>
        <v>0</v>
      </c>
      <c r="AK107" s="20">
        <f>Forudsætninger!$C$17</f>
        <v>250</v>
      </c>
      <c r="AL107" s="20">
        <f>IF(A107&lt;92,Forudsætninger!$C$20,Forudsætninger!$C$21)</f>
        <v>1.0566762728146013</v>
      </c>
      <c r="AM107" s="20">
        <f t="shared" si="45"/>
        <v>379.45649149882234</v>
      </c>
      <c r="AN107" s="20">
        <f>IFERROR(AD107+AJ107-AA107-Z107-AK107-AM107-Forudsætninger!$C$75,-99999999)</f>
        <v>-1187.363727115207</v>
      </c>
      <c r="AO107" s="19">
        <f>IFERROR(AN107/(A107+Forudsætninger!$C$74),-99999999)</f>
        <v>-11.308225972525781</v>
      </c>
      <c r="AP107" s="19">
        <f>IFERROR(((365/(A107+Forudsætninger!$C$74))*AN107)/(AI107+Forudsætninger!$C$73),-9999999)</f>
        <v>-1786.7976103774538</v>
      </c>
      <c r="AQ107" s="18">
        <f t="shared" si="36"/>
        <v>105</v>
      </c>
      <c r="AR107" s="18">
        <f t="shared" si="46"/>
        <v>3474.9524236720927</v>
      </c>
      <c r="AS107" s="52">
        <f t="shared" si="27"/>
        <v>4.7</v>
      </c>
      <c r="AT107" s="50">
        <f t="shared" si="49"/>
        <v>4.6067581296076696</v>
      </c>
      <c r="AU107" s="50">
        <f t="shared" si="50"/>
        <v>0.15302869328974467</v>
      </c>
      <c r="AV107" s="2">
        <f t="shared" si="51"/>
        <v>24.179858463530763</v>
      </c>
      <c r="AW107" s="61">
        <f t="shared" si="47"/>
        <v>-7.6943546249179491</v>
      </c>
      <c r="BA107" s="16"/>
      <c r="BB107" s="2"/>
    </row>
    <row r="108" spans="1:54" x14ac:dyDescent="0.25">
      <c r="A108">
        <v>106</v>
      </c>
      <c r="B108" s="1">
        <f>ROUND((A108+Forudsætninger!$C$60)/30.4,1)</f>
        <v>4.8</v>
      </c>
      <c r="C108" s="1">
        <f>VLOOKUP((A108+Forudsætninger!$C$60),'Model tilvækst, slagteform, fe'!A:B,2,FALSE)</f>
        <v>203.48417192299715</v>
      </c>
      <c r="D108" s="3">
        <f t="shared" si="37"/>
        <v>1592.3742400153458</v>
      </c>
      <c r="E108" s="1">
        <f>(1+Forudsætninger!$C$78)*C108</f>
        <v>189.24027988838733</v>
      </c>
      <c r="F108" s="2">
        <f t="shared" si="38"/>
        <v>4.4809423264547865</v>
      </c>
      <c r="G108" s="1">
        <f t="shared" si="28"/>
        <v>193.72122221484213</v>
      </c>
      <c r="H108" s="3">
        <f t="shared" si="29"/>
        <v>1435.4116363566902</v>
      </c>
      <c r="I108" s="3">
        <f t="shared" si="30"/>
        <v>1176.615303913605</v>
      </c>
      <c r="J108" s="1">
        <f>VLOOKUP((A108+Forudsætninger!$C$60),'Model tilvækst, slagteform, fe'!G:K,2,FALSE)*(1+Forudsætninger!$C$79)</f>
        <v>48.45995579499693</v>
      </c>
      <c r="K108" s="17">
        <f t="shared" si="26"/>
        <v>93.877218650840263</v>
      </c>
      <c r="L108" s="17">
        <f t="shared" si="39"/>
        <v>730.34614886370264</v>
      </c>
      <c r="M108" s="3">
        <f>((K108-(('Model tilvækst, slagteform, fe'!$H$9/100)*'Model tilvækst, slagteform, fe'!$B$9))*1000/(A108+Forudsætninger!$C$60))</f>
        <v>506.41596291331979</v>
      </c>
      <c r="N108" s="17">
        <f t="shared" si="40"/>
        <v>385.96337854057867</v>
      </c>
      <c r="O108" s="19">
        <f>IF( A108&lt;Forudsætninger!$C$14,(G108/100)*Forudsætninger!$C$13,(Forudsætninger!$C$15/1000)*Forudsætninger!$C$13)</f>
        <v>1.259187944396474</v>
      </c>
      <c r="P108" s="17" cm="1">
        <f t="array" ref="P108">INDEX('Model tilvækst, slagteform, fe'!$N$9:$N$375,MATCH(MIN(ABS('Model tilvækst, slagteform, fe'!$M$9:$M$375-'Vækstfunktion, hol'!G108)),ABS('Model tilvækst, slagteform, fe'!$M$9:$M$375-'Vækstfunktion, hol'!G108),0))*(1+Forudsætninger!$C$80)</f>
        <v>5.7084967603449694</v>
      </c>
      <c r="Q108" s="17">
        <f t="shared" si="41"/>
        <v>7.8161523398547974</v>
      </c>
      <c r="R108" s="17">
        <f t="shared" si="42"/>
        <v>6.2496596377317521</v>
      </c>
      <c r="S108" s="17">
        <f t="shared" si="31"/>
        <v>3.0946086935848522</v>
      </c>
      <c r="T108" s="19">
        <f>(P108)*IF(N108&lt;Forudsætninger!$B$228,IF(N108&lt;Forudsætninger!$B$227,Forudsætninger!$B$225,Forudsætninger!$C$9),Forudsætninger!$C$11)+O108</f>
        <v>14.617070363603702</v>
      </c>
      <c r="U108" s="2">
        <f>Forudsætninger!$C$68+((K108-(Forudsætninger!$C$84)))*0.01</f>
        <v>2.6358250454970431</v>
      </c>
      <c r="V108" s="2">
        <f>U108+Forudsætninger!$C$69</f>
        <v>1.6358250454970431</v>
      </c>
      <c r="W108">
        <f t="shared" si="32"/>
        <v>0</v>
      </c>
      <c r="X108">
        <f>IF(A108+Forudsætninger!$C$60&gt;248,IF(A108+Forudsætninger!$C$60&lt;365,IF(K108&gt;180,IF(K108&lt;260,1,0),0),0),0)</f>
        <v>0</v>
      </c>
      <c r="Y108" s="22">
        <f>IF(X108=0,0,IF('Vækstfunktion, hol'!A108&lt;Forudsætninger!$C$66,Forudsætninger!$C$67+(('Vækstfunktion, hol'!A108-Forudsætninger!$C$66)/7)*Forudsætninger!$C$64,Forudsætninger!$C$67))</f>
        <v>0</v>
      </c>
      <c r="Z108" s="19">
        <f t="shared" si="43"/>
        <v>1510.1130025368741</v>
      </c>
      <c r="AA108" s="19">
        <f>Forudsætninger!$C$62+Forudsætninger!$C$16</f>
        <v>1350</v>
      </c>
      <c r="AB108" s="19">
        <f>IF(K108&gt;Forudsætninger!$C$26,IF(K108&gt;Forudsætninger!$C$27,IF(K108&gt;Forudsætninger!$C$28,Forudsætninger!$E$28,Forudsætninger!$E$27+Forudsætninger!$F$28*(K108-Forudsætninger!$C$27)),Forudsætninger!$E$26+Forudsætninger!$F$27*(K108-Forudsætninger!$C$26)),Forudsætninger!$E$26)+IF(K108&gt;Forudsætninger!$C$28,Forudsætninger!$G$28,IF(K108&gt;Forudsætninger!$C$27,Forudsætninger!$G$27+Forudsætninger!$H$28*(K108-Forudsætninger!$C$27),IF(K108&gt;Forudsætninger!$C$26,Forudsætninger!$G$26+Forudsætninger!$H$27*(K108-Forudsætninger!$C$26),Forudsætninger!$G$26)))*(U108-Forudsætninger!$H$26)</f>
        <v>33.32686878412278</v>
      </c>
      <c r="AC108" s="19">
        <f>IF(K108&gt;Forudsætninger!$C$31,IF(K108&gt;Forudsætninger!$C$32,IF(K108&gt;Forudsætninger!$C$33,Forudsætninger!$E$33,Forudsætninger!$E$32+Forudsætninger!$F$33*(K108-Forudsætninger!$C$32)),Forudsætninger!$E$31+Forudsætninger!$F$32*(K108-Forudsætninger!$C$31)),Forudsætninger!$E$31)+IF(K108&gt;Forudsætninger!$C$33,Forudsætninger!$G$33,IF(K108&gt;Forudsætninger!$C$32,Forudsætninger!$G$32+Forudsætninger!$H$33*(K108-Forudsætninger!$C$32),IF(K108&gt;Forudsætninger!$C$31,Forudsætninger!$G$31+Forudsætninger!$H$32*(K108-Forudsætninger!$C$31),Forudsætninger!$G$31)))*(V108-Forudsætninger!$H$31)</f>
        <v>26.526572559146157</v>
      </c>
      <c r="AD108" s="19">
        <f t="shared" si="33"/>
        <v>2490.240852192343</v>
      </c>
      <c r="AE108" s="19">
        <f t="shared" si="34"/>
        <v>26.526572559146157</v>
      </c>
      <c r="AF108">
        <f>IF(G108&lt;=Forudsætninger!$C$97,Forudsætninger!$C$98,(IF(G108&lt;=Forudsætninger!$D$97,Forudsætninger!$D$98,IF(G108&lt;=Forudsætninger!$E$97,Forudsætninger!$E$98,IF(G108&lt;=Forudsætninger!$F$97,Forudsætninger!$F$98,IF(G108&lt;=Forudsætninger!$G$97,Forudsætninger!$G$98,IF(G108&lt;=Forudsætninger!$H$97,Forudsætninger!$H$98,IF(G108&lt;=Forudsætninger!$I$97,Forudsætninger!$I$98,Forudsætninger!$I$98))))))))</f>
        <v>2.2000000000000002</v>
      </c>
      <c r="AG108" s="1">
        <f t="shared" si="44"/>
        <v>2.2000000000000002</v>
      </c>
      <c r="AH108" s="1">
        <f t="shared" si="48"/>
        <v>233.19999999999956</v>
      </c>
      <c r="AI108" s="1">
        <f t="shared" si="35"/>
        <v>2.1999999999999957</v>
      </c>
      <c r="AJ108" s="20">
        <f>+(W108*Forudsætninger!$C$12)</f>
        <v>0</v>
      </c>
      <c r="AK108" s="20">
        <f>Forudsætninger!$C$17</f>
        <v>250</v>
      </c>
      <c r="AL108" s="20">
        <f>IF(A108&lt;92,Forudsætninger!$C$20,Forudsætninger!$C$21)</f>
        <v>1.0566762728146013</v>
      </c>
      <c r="AM108" s="20">
        <f t="shared" si="45"/>
        <v>380.51316777163697</v>
      </c>
      <c r="AN108" s="20">
        <f>IFERROR(AD108+AJ108-AA108-Z108-AK108-AM108-Forudsætninger!$C$75,-99999999)</f>
        <v>-1182.7795106655626</v>
      </c>
      <c r="AO108" s="19">
        <f>IFERROR(AN108/(A108+Forudsætninger!$C$74),-99999999)</f>
        <v>-11.158297270429836</v>
      </c>
      <c r="AP108" s="19">
        <f>IFERROR(((365/(A108+Forudsætninger!$C$74))*AN108)/(AI108+Forudsætninger!$C$73),-9999999)</f>
        <v>-1763.1075773622933</v>
      </c>
      <c r="AQ108" s="18">
        <f t="shared" si="36"/>
        <v>106</v>
      </c>
      <c r="AR108" s="18">
        <f t="shared" si="46"/>
        <v>3490.6261703085111</v>
      </c>
      <c r="AS108" s="52">
        <f t="shared" si="27"/>
        <v>4.8</v>
      </c>
      <c r="AT108" s="50">
        <f t="shared" si="49"/>
        <v>4.5842164496443729</v>
      </c>
      <c r="AU108" s="50">
        <f t="shared" si="50"/>
        <v>0.149928702095945</v>
      </c>
      <c r="AV108" s="2">
        <f t="shared" si="51"/>
        <v>23.690033015160452</v>
      </c>
      <c r="AW108" s="61">
        <f t="shared" si="47"/>
        <v>-7.5685504046596757</v>
      </c>
      <c r="BA108" s="16"/>
      <c r="BB108" s="2"/>
    </row>
    <row r="109" spans="1:54" x14ac:dyDescent="0.25">
      <c r="A109">
        <v>107</v>
      </c>
      <c r="B109" s="1">
        <f>ROUND((A109+Forudsætninger!$C$60)/30.4,1)</f>
        <v>4.8</v>
      </c>
      <c r="C109" s="1">
        <f>VLOOKUP((A109+Forudsætninger!$C$60),'Model tilvækst, slagteform, fe'!A:B,2,FALSE)</f>
        <v>205.07856951128284</v>
      </c>
      <c r="D109" s="3">
        <f t="shared" si="37"/>
        <v>1594.3975882856876</v>
      </c>
      <c r="E109" s="1">
        <f>(1+Forudsætninger!$C$78)*C109</f>
        <v>190.72306964549301</v>
      </c>
      <c r="F109" s="2">
        <f t="shared" si="38"/>
        <v>4.4353881096466239</v>
      </c>
      <c r="G109" s="1">
        <f t="shared" si="28"/>
        <v>195.15845775513964</v>
      </c>
      <c r="H109" s="3">
        <f t="shared" si="29"/>
        <v>1437.2355402975074</v>
      </c>
      <c r="I109" s="3">
        <f t="shared" si="30"/>
        <v>1179.0510070573798</v>
      </c>
      <c r="J109" s="1">
        <f>VLOOKUP((A109+Forudsætninger!$C$60),'Model tilvækst, slagteform, fe'!G:K,2,FALSE)*(1+Forudsætninger!$C$79)</f>
        <v>48.478029540496557</v>
      </c>
      <c r="K109" s="17">
        <f t="shared" si="26"/>
        <v>94.608974801314091</v>
      </c>
      <c r="L109" s="17">
        <f t="shared" si="39"/>
        <v>731.75615047382792</v>
      </c>
      <c r="M109" s="3">
        <f>((K109-(('Model tilvækst, slagteform, fe'!$H$9/100)*'Model tilvækst, slagteform, fe'!$B$9))*1000/(A109+Forudsætninger!$C$60))</f>
        <v>507.95938885551504</v>
      </c>
      <c r="N109" s="17">
        <f t="shared" si="40"/>
        <v>391.72820865851509</v>
      </c>
      <c r="O109" s="19">
        <f>IF( A109&lt;Forudsætninger!$C$14,(G109/100)*Forudsætninger!$C$13,(Forudsætninger!$C$15/1000)*Forudsætninger!$C$13)</f>
        <v>1.2685299754084078</v>
      </c>
      <c r="P109" s="17" cm="1">
        <f t="array" ref="P109">INDEX('Model tilvækst, slagteform, fe'!$N$9:$N$375,MATCH(MIN(ABS('Model tilvækst, slagteform, fe'!$M$9:$M$375-'Vækstfunktion, hol'!G109)),ABS('Model tilvækst, slagteform, fe'!$M$9:$M$375-'Vækstfunktion, hol'!G109),0))*(1+Forudsætninger!$C$80)</f>
        <v>5.7648301179363983</v>
      </c>
      <c r="Q109" s="17">
        <f t="shared" si="41"/>
        <v>7.878075386457013</v>
      </c>
      <c r="R109" s="17">
        <f t="shared" si="42"/>
        <v>6.2687285664000258</v>
      </c>
      <c r="S109" s="17">
        <f t="shared" si="31"/>
        <v>3.1050491233716455</v>
      </c>
      <c r="T109" s="19">
        <f>(P109)*IF(N109&lt;Forudsætninger!$B$228,IF(N109&lt;Forudsætninger!$B$227,Forudsætninger!$B$225,Forudsætninger!$C$9),Forudsætninger!$C$11)+O109</f>
        <v>14.758232451379579</v>
      </c>
      <c r="U109" s="2">
        <f>Forudsætninger!$C$68+((K109-(Forudsætninger!$C$84)))*0.01</f>
        <v>2.6431426070017814</v>
      </c>
      <c r="V109" s="2">
        <f>U109+Forudsætninger!$C$69</f>
        <v>1.6431426070017814</v>
      </c>
      <c r="W109">
        <f t="shared" si="32"/>
        <v>0</v>
      </c>
      <c r="X109">
        <f>IF(A109+Forudsætninger!$C$60&gt;248,IF(A109+Forudsætninger!$C$60&lt;365,IF(K109&gt;180,IF(K109&lt;260,1,0),0),0),0)</f>
        <v>0</v>
      </c>
      <c r="Y109" s="22">
        <f>IF(X109=0,0,IF('Vækstfunktion, hol'!A109&lt;Forudsætninger!$C$66,Forudsætninger!$C$67+(('Vækstfunktion, hol'!A109-Forudsætninger!$C$66)/7)*Forudsætninger!$C$64,Forudsætninger!$C$67))</f>
        <v>0</v>
      </c>
      <c r="Z109" s="19">
        <f t="shared" si="43"/>
        <v>1524.8712349882537</v>
      </c>
      <c r="AA109" s="19">
        <f>Forudsætninger!$C$62+Forudsætninger!$C$16</f>
        <v>1350</v>
      </c>
      <c r="AB109" s="19">
        <f>IF(K109&gt;Forudsætninger!$C$26,IF(K109&gt;Forudsætninger!$C$27,IF(K109&gt;Forudsætninger!$C$28,Forudsætninger!$E$28,Forudsætninger!$E$27+Forudsætninger!$F$28*(K109-Forudsætninger!$C$27)),Forudsætninger!$E$26+Forudsætninger!$F$27*(K109-Forudsætninger!$C$26)),Forudsætninger!$E$26)+IF(K109&gt;Forudsætninger!$C$28,Forudsætninger!$G$28,IF(K109&gt;Forudsætninger!$C$27,Forudsætninger!$G$27+Forudsætninger!$H$28*(K109-Forudsætninger!$C$27),IF(K109&gt;Forudsætninger!$C$26,Forudsætninger!$G$26+Forudsætninger!$H$27*(K109-Forudsætninger!$C$26),Forudsætninger!$G$26)))*(U109-Forudsætninger!$H$26)</f>
        <v>33.332356955251335</v>
      </c>
      <c r="AC109" s="19">
        <f>IF(K109&gt;Forudsætninger!$C$31,IF(K109&gt;Forudsætninger!$C$32,IF(K109&gt;Forudsætninger!$C$33,Forudsætninger!$E$33,Forudsætninger!$E$32+Forudsætninger!$F$33*(K109-Forudsætninger!$C$32)),Forudsætninger!$E$31+Forudsætninger!$F$32*(K109-Forudsætninger!$C$31)),Forudsætninger!$E$31)+IF(K109&gt;Forudsætninger!$C$33,Forudsætninger!$G$33,IF(K109&gt;Forudsætninger!$C$32,Forudsætninger!$G$32+Forudsætninger!$H$33*(K109-Forudsætninger!$C$32),IF(K109&gt;Forudsætninger!$C$31,Forudsætninger!$G$31+Forudsætninger!$H$32*(K109-Forudsætninger!$C$31),Forudsætninger!$G$31)))*(V109-Forudsætninger!$H$31)</f>
        <v>26.536085389102315</v>
      </c>
      <c r="AD109" s="19">
        <f t="shared" si="33"/>
        <v>2510.5518339031</v>
      </c>
      <c r="AE109" s="19">
        <f t="shared" si="34"/>
        <v>26.536085389102315</v>
      </c>
      <c r="AF109">
        <f>IF(G109&lt;=Forudsætninger!$C$97,Forudsætninger!$C$98,(IF(G109&lt;=Forudsætninger!$D$97,Forudsætninger!$D$98,IF(G109&lt;=Forudsætninger!$E$97,Forudsætninger!$E$98,IF(G109&lt;=Forudsætninger!$F$97,Forudsætninger!$F$98,IF(G109&lt;=Forudsætninger!$G$97,Forudsætninger!$G$98,IF(G109&lt;=Forudsætninger!$H$97,Forudsætninger!$H$98,IF(G109&lt;=Forudsætninger!$I$97,Forudsætninger!$I$98,Forudsætninger!$I$98))))))))</f>
        <v>2.2000000000000002</v>
      </c>
      <c r="AG109" s="1">
        <f t="shared" si="44"/>
        <v>2.2000000000000002</v>
      </c>
      <c r="AH109" s="1">
        <f t="shared" si="48"/>
        <v>235.39999999999955</v>
      </c>
      <c r="AI109" s="1">
        <f t="shared" si="35"/>
        <v>2.1999999999999957</v>
      </c>
      <c r="AJ109" s="20">
        <f>+(W109*Forudsætninger!$C$12)</f>
        <v>0</v>
      </c>
      <c r="AK109" s="20">
        <f>Forudsætninger!$C$17</f>
        <v>250</v>
      </c>
      <c r="AL109" s="20">
        <f>IF(A109&lt;92,Forudsætninger!$C$20,Forudsætninger!$C$21)</f>
        <v>1.0566762728146013</v>
      </c>
      <c r="AM109" s="20">
        <f t="shared" si="45"/>
        <v>381.5698440444516</v>
      </c>
      <c r="AN109" s="20">
        <f>IFERROR(AD109+AJ109-AA109-Z109-AK109-AM109-Forudsætninger!$C$75,-99999999)</f>
        <v>-1178.2834376789999</v>
      </c>
      <c r="AO109" s="19">
        <f>IFERROR(AN109/(A109+Forudsætninger!$C$74),-99999999)</f>
        <v>-11.01199474466355</v>
      </c>
      <c r="AP109" s="19">
        <f>IFERROR(((365/(A109+Forudsætninger!$C$74))*AN109)/(AI109+Forudsætninger!$C$73),-9999999)</f>
        <v>-1739.9905116026855</v>
      </c>
      <c r="AQ109" s="18">
        <f t="shared" si="36"/>
        <v>107</v>
      </c>
      <c r="AR109" s="18">
        <f t="shared" si="46"/>
        <v>3506.4410790327051</v>
      </c>
      <c r="AS109" s="52">
        <f t="shared" si="27"/>
        <v>4.8</v>
      </c>
      <c r="AT109" s="50">
        <f t="shared" si="49"/>
        <v>4.4960729865626945</v>
      </c>
      <c r="AU109" s="50">
        <f t="shared" si="50"/>
        <v>0.146302525766286</v>
      </c>
      <c r="AV109" s="2">
        <f t="shared" si="51"/>
        <v>23.11706575960784</v>
      </c>
      <c r="AW109" s="61">
        <f t="shared" si="47"/>
        <v>-7.4459214358368992</v>
      </c>
      <c r="BA109" s="16"/>
      <c r="BB109" s="2"/>
    </row>
    <row r="110" spans="1:54" x14ac:dyDescent="0.25">
      <c r="A110">
        <v>108</v>
      </c>
      <c r="B110" s="1">
        <f>ROUND((A110+Forudsætninger!$C$60)/30.4,1)</f>
        <v>4.8</v>
      </c>
      <c r="C110" s="1">
        <f>VLOOKUP((A110+Forudsætninger!$C$60),'Model tilvækst, slagteform, fe'!A:B,2,FALSE)</f>
        <v>206.67490828243476</v>
      </c>
      <c r="D110" s="3">
        <f t="shared" si="37"/>
        <v>1596.3387711519204</v>
      </c>
      <c r="E110" s="1">
        <f>(1+Forudsætninger!$C$78)*C110</f>
        <v>192.20766470266432</v>
      </c>
      <c r="F110" s="2">
        <f t="shared" si="38"/>
        <v>4.3897784304708551</v>
      </c>
      <c r="G110" s="1">
        <f t="shared" si="28"/>
        <v>196.59744313313519</v>
      </c>
      <c r="H110" s="3">
        <f t="shared" si="29"/>
        <v>1438.9853779955502</v>
      </c>
      <c r="I110" s="3">
        <f t="shared" si="30"/>
        <v>1181.4578067882887</v>
      </c>
      <c r="J110" s="1">
        <f>VLOOKUP((A110+Forudsætninger!$C$60),'Model tilvækst, slagteform, fe'!G:K,2,FALSE)*(1+Forudsætninger!$C$79)</f>
        <v>48.496108505942502</v>
      </c>
      <c r="K110" s="17">
        <f t="shared" si="26"/>
        <v>95.342109341753854</v>
      </c>
      <c r="L110" s="17">
        <f t="shared" si="39"/>
        <v>733.13454043976378</v>
      </c>
      <c r="M110" s="3">
        <f>((K110-(('Model tilvækst, slagteform, fe'!$H$9/100)*'Model tilvækst, slagteform, fe'!$B$9))*1000/(A110+Forudsætninger!$C$60))</f>
        <v>509.49119260778889</v>
      </c>
      <c r="N110" s="17">
        <f t="shared" si="40"/>
        <v>397.52071536899876</v>
      </c>
      <c r="O110" s="19">
        <f>IF( A110&lt;Forudsætninger!$C$14,(G110/100)*Forudsætninger!$C$13,(Forudsætninger!$C$15/1000)*Forudsætninger!$C$13)</f>
        <v>1.2778833803653789</v>
      </c>
      <c r="P110" s="17" cm="1">
        <f t="array" ref="P110">INDEX('Model tilvækst, slagteform, fe'!$N$9:$N$375,MATCH(MIN(ABS('Model tilvækst, slagteform, fe'!$M$9:$M$375-'Vækstfunktion, hol'!G110)),ABS('Model tilvækst, slagteform, fe'!$M$9:$M$375-'Vækstfunktion, hol'!G110),0))*(1+Forudsætninger!$C$80)</f>
        <v>5.7925067104836812</v>
      </c>
      <c r="Q110" s="17">
        <f t="shared" si="41"/>
        <v>7.9010146036893874</v>
      </c>
      <c r="R110" s="17">
        <f t="shared" si="42"/>
        <v>6.2876567529123317</v>
      </c>
      <c r="S110" s="17">
        <f t="shared" si="31"/>
        <v>3.1154285353055671</v>
      </c>
      <c r="T110" s="19">
        <f>(P110)*IF(N110&lt;Forudsætninger!$B$228,IF(N110&lt;Forudsætninger!$B$227,Forudsætninger!$B$225,Forudsætninger!$C$9),Forudsætninger!$C$11)+O110</f>
        <v>14.832349082897192</v>
      </c>
      <c r="U110" s="2">
        <f>Forudsætninger!$C$68+((K110-(Forudsætninger!$C$84)))*0.01</f>
        <v>2.6504739524061787</v>
      </c>
      <c r="V110" s="2">
        <f>U110+Forudsætninger!$C$69</f>
        <v>1.6504739524061787</v>
      </c>
      <c r="W110">
        <f t="shared" si="32"/>
        <v>0</v>
      </c>
      <c r="X110">
        <f>IF(A110+Forudsætninger!$C$60&gt;248,IF(A110+Forudsætninger!$C$60&lt;365,IF(K110&gt;180,IF(K110&lt;260,1,0),0),0),0)</f>
        <v>0</v>
      </c>
      <c r="Y110" s="22">
        <f>IF(X110=0,0,IF('Vækstfunktion, hol'!A110&lt;Forudsætninger!$C$66,Forudsætninger!$C$67+(('Vækstfunktion, hol'!A110-Forudsætninger!$C$66)/7)*Forudsætninger!$C$64,Forudsætninger!$C$67))</f>
        <v>0</v>
      </c>
      <c r="Z110" s="19">
        <f t="shared" si="43"/>
        <v>1539.703584071151</v>
      </c>
      <c r="AA110" s="19">
        <f>Forudsætninger!$C$62+Forudsætninger!$C$16</f>
        <v>1350</v>
      </c>
      <c r="AB110" s="19">
        <f>IF(K110&gt;Forudsætninger!$C$26,IF(K110&gt;Forudsætninger!$C$27,IF(K110&gt;Forudsætninger!$C$28,Forudsætninger!$E$28,Forudsætninger!$E$27+Forudsætninger!$F$28*(K110-Forudsætninger!$C$27)),Forudsætninger!$E$26+Forudsætninger!$F$27*(K110-Forudsætninger!$C$26)),Forudsætninger!$E$26)+IF(K110&gt;Forudsætninger!$C$28,Forudsætninger!$G$28,IF(K110&gt;Forudsætninger!$C$27,Forudsætninger!$G$27+Forudsætninger!$H$28*(K110-Forudsætninger!$C$27),IF(K110&gt;Forudsætninger!$C$26,Forudsætninger!$G$26+Forudsætninger!$H$27*(K110-Forudsætninger!$C$26),Forudsætninger!$G$26)))*(U110-Forudsætninger!$H$26)</f>
        <v>33.337855464304639</v>
      </c>
      <c r="AC110" s="19">
        <f>IF(K110&gt;Forudsætninger!$C$31,IF(K110&gt;Forudsætninger!$C$32,IF(K110&gt;Forudsætninger!$C$33,Forudsætninger!$E$33,Forudsætninger!$E$32+Forudsætninger!$F$33*(K110-Forudsætninger!$C$32)),Forudsætninger!$E$31+Forudsætninger!$F$32*(K110-Forudsætninger!$C$31)),Forudsætninger!$E$31)+IF(K110&gt;Forudsætninger!$C$33,Forudsætninger!$G$33,IF(K110&gt;Forudsætninger!$C$32,Forudsætninger!$G$32+Forudsætninger!$H$33*(K110-Forudsætninger!$C$32),IF(K110&gt;Forudsætninger!$C$31,Forudsætninger!$G$31+Forudsætninger!$H$32*(K110-Forudsætninger!$C$31),Forudsætninger!$G$31)))*(V110-Forudsætninger!$H$31)</f>
        <v>26.545616138128032</v>
      </c>
      <c r="AD110" s="19">
        <f t="shared" si="33"/>
        <v>2530.9150363856284</v>
      </c>
      <c r="AE110" s="19">
        <f t="shared" si="34"/>
        <v>26.545616138128029</v>
      </c>
      <c r="AF110">
        <f>IF(G110&lt;=Forudsætninger!$C$97,Forudsætninger!$C$98,(IF(G110&lt;=Forudsætninger!$D$97,Forudsætninger!$D$98,IF(G110&lt;=Forudsætninger!$E$97,Forudsætninger!$E$98,IF(G110&lt;=Forudsætninger!$F$97,Forudsætninger!$F$98,IF(G110&lt;=Forudsætninger!$G$97,Forudsætninger!$G$98,IF(G110&lt;=Forudsætninger!$H$97,Forudsætninger!$H$98,IF(G110&lt;=Forudsætninger!$I$97,Forudsætninger!$I$98,Forudsætninger!$I$98))))))))</f>
        <v>2.2000000000000002</v>
      </c>
      <c r="AG110" s="1">
        <f t="shared" si="44"/>
        <v>2.2000000000000002</v>
      </c>
      <c r="AH110" s="1">
        <f t="shared" si="48"/>
        <v>237.59999999999954</v>
      </c>
      <c r="AI110" s="1">
        <f t="shared" si="35"/>
        <v>2.1999999999999957</v>
      </c>
      <c r="AJ110" s="20">
        <f>+(W110*Forudsætninger!$C$12)</f>
        <v>0</v>
      </c>
      <c r="AK110" s="20">
        <f>Forudsætninger!$C$17</f>
        <v>250</v>
      </c>
      <c r="AL110" s="20">
        <f>IF(A110&lt;92,Forudsætninger!$C$20,Forudsætninger!$C$21)</f>
        <v>1.0566762728146013</v>
      </c>
      <c r="AM110" s="20">
        <f t="shared" si="45"/>
        <v>382.62652031726623</v>
      </c>
      <c r="AN110" s="20">
        <f>IFERROR(AD110+AJ110-AA110-Z110-AK110-AM110-Forudsætninger!$C$75,-99999999)</f>
        <v>-1173.8092605521833</v>
      </c>
      <c r="AO110" s="19">
        <f>IFERROR(AN110/(A110+Forudsætninger!$C$74),-99999999)</f>
        <v>-10.868604264372069</v>
      </c>
      <c r="AP110" s="19">
        <f>IFERROR(((365/(A110+Forudsætninger!$C$74))*AN110)/(AI110+Forudsætninger!$C$73),-9999999)</f>
        <v>-1717.3335742406116</v>
      </c>
      <c r="AQ110" s="18">
        <f t="shared" si="36"/>
        <v>108</v>
      </c>
      <c r="AR110" s="18">
        <f t="shared" si="46"/>
        <v>3522.3301043884171</v>
      </c>
      <c r="AS110" s="52">
        <f t="shared" si="27"/>
        <v>4.8</v>
      </c>
      <c r="AT110" s="50">
        <f t="shared" si="49"/>
        <v>4.4741771268165849</v>
      </c>
      <c r="AU110" s="50">
        <f t="shared" si="50"/>
        <v>0.14339048029148138</v>
      </c>
      <c r="AV110" s="2">
        <f t="shared" si="51"/>
        <v>22.656937362073904</v>
      </c>
      <c r="AW110" s="61">
        <f t="shared" si="47"/>
        <v>-7.3257661132862699</v>
      </c>
      <c r="BA110" s="16"/>
      <c r="BB110" s="2"/>
    </row>
    <row r="111" spans="1:54" x14ac:dyDescent="0.25">
      <c r="A111">
        <v>109</v>
      </c>
      <c r="B111" s="1">
        <f>ROUND((A111+Forudsætninger!$C$60)/30.4,1)</f>
        <v>4.9000000000000004</v>
      </c>
      <c r="C111" s="1">
        <f>VLOOKUP((A111+Forudsætninger!$C$60),'Model tilvækst, slagteform, fe'!A:B,2,FALSE)</f>
        <v>208.27310660539641</v>
      </c>
      <c r="D111" s="3">
        <f>(C111-C110)*1000</f>
        <v>1598.1983229616503</v>
      </c>
      <c r="E111" s="1">
        <f>(1+Forudsætninger!$C$78)*C111</f>
        <v>193.69398914301865</v>
      </c>
      <c r="F111" s="2">
        <f t="shared" si="38"/>
        <v>4.3441156212433798</v>
      </c>
      <c r="G111" s="1">
        <f t="shared" si="28"/>
        <v>198.03810476426204</v>
      </c>
      <c r="H111" s="3">
        <f t="shared" si="29"/>
        <v>1440.6616311268579</v>
      </c>
      <c r="I111" s="3">
        <f t="shared" si="30"/>
        <v>1183.8358235253397</v>
      </c>
      <c r="J111" s="1">
        <f>VLOOKUP((A111+Forudsætninger!$C$60),'Model tilvækst, slagteform, fe'!G:K,2,FALSE)*(1+Forudsætninger!$C$79)</f>
        <v>48.514194300184165</v>
      </c>
      <c r="K111" s="17">
        <f t="shared" si="26"/>
        <v>96.076590933736369</v>
      </c>
      <c r="L111" s="17">
        <f t="shared" si="39"/>
        <v>734.48159198251517</v>
      </c>
      <c r="M111" s="3">
        <f>((K111-(('Model tilvækst, slagteform, fe'!$H$9/100)*'Model tilvækst, slagteform, fe'!$B$9))*1000/(A111+Forudsætninger!$C$60))</f>
        <v>511.01139800896942</v>
      </c>
      <c r="N111" s="17">
        <f t="shared" si="40"/>
        <v>403.34056523988727</v>
      </c>
      <c r="O111" s="19">
        <f>IF( A111&lt;Forudsætninger!$C$14,(G111/100)*Forudsætninger!$C$13,(Forudsætninger!$C$15/1000)*Forudsætninger!$C$13)</f>
        <v>1.2872476809677034</v>
      </c>
      <c r="P111" s="17" cm="1">
        <f t="array" ref="P111">INDEX('Model tilvækst, slagteform, fe'!$N$9:$N$375,MATCH(MIN(ABS('Model tilvækst, slagteform, fe'!$M$9:$M$375-'Vækstfunktion, hol'!G111)),ABS('Model tilvækst, slagteform, fe'!$M$9:$M$375-'Vækstfunktion, hol'!G111),0))*(1+Forudsætninger!$C$80)</f>
        <v>5.8198498708884916</v>
      </c>
      <c r="Q111" s="17">
        <f t="shared" si="41"/>
        <v>7.9237518467679138</v>
      </c>
      <c r="R111" s="17">
        <f t="shared" si="42"/>
        <v>6.3064456901404444</v>
      </c>
      <c r="S111" s="17">
        <f t="shared" si="31"/>
        <v>3.1257477469678019</v>
      </c>
      <c r="T111" s="19">
        <f>(P111)*IF(N111&lt;Forudsætninger!$B$228,IF(N111&lt;Forudsætninger!$B$227,Forudsætninger!$B$225,Forudsætninger!$C$9),Forudsætninger!$C$11)+O111</f>
        <v>14.905696378846773</v>
      </c>
      <c r="U111" s="2">
        <f>Forudsætninger!$C$68+((K111-(Forudsætninger!$C$84)))*0.01</f>
        <v>2.6578187683260039</v>
      </c>
      <c r="V111" s="2">
        <f>U111+Forudsætninger!$C$69</f>
        <v>1.6578187683260039</v>
      </c>
      <c r="W111">
        <f t="shared" si="32"/>
        <v>0</v>
      </c>
      <c r="X111">
        <f>IF(A111+Forudsætninger!$C$60&gt;248,IF(A111+Forudsætninger!$C$60&lt;365,IF(K111&gt;180,IF(K111&lt;260,1,0),0),0),0)</f>
        <v>0</v>
      </c>
      <c r="Y111" s="22">
        <f>IF(X111=0,0,IF('Vækstfunktion, hol'!A111&lt;Forudsætninger!$C$66,Forudsætninger!$C$67+(('Vækstfunktion, hol'!A111-Forudsætninger!$C$66)/7)*Forudsætninger!$C$64,Forudsætninger!$C$67))</f>
        <v>0</v>
      </c>
      <c r="Z111" s="19">
        <f t="shared" si="43"/>
        <v>1554.6092804499979</v>
      </c>
      <c r="AA111" s="19">
        <f>Forudsætninger!$C$62+Forudsætninger!$C$16</f>
        <v>1350</v>
      </c>
      <c r="AB111" s="19">
        <f>IF(K111&gt;Forudsætninger!$C$26,IF(K111&gt;Forudsætninger!$C$27,IF(K111&gt;Forudsætninger!$C$28,Forudsætninger!$E$28,Forudsætninger!$E$27+Forudsætninger!$F$28*(K111-Forudsætninger!$C$27)),Forudsætninger!$E$26+Forudsætninger!$F$27*(K111-Forudsætninger!$C$26)),Forudsætninger!$E$26)+IF(K111&gt;Forudsætninger!$C$28,Forudsætninger!$G$28,IF(K111&gt;Forudsætninger!$C$27,Forudsætninger!$G$27+Forudsætninger!$H$28*(K111-Forudsætninger!$C$27),IF(K111&gt;Forudsætninger!$C$26,Forudsætninger!$G$26+Forudsætninger!$H$27*(K111-Forudsætninger!$C$26),Forudsætninger!$G$26)))*(U111-Forudsætninger!$H$26)</f>
        <v>33.343364076244505</v>
      </c>
      <c r="AC111" s="19">
        <f>IF(K111&gt;Forudsætninger!$C$31,IF(K111&gt;Forudsætninger!$C$32,IF(K111&gt;Forudsætninger!$C$33,Forudsætninger!$E$33,Forudsætninger!$E$32+Forudsætninger!$F$33*(K111-Forudsætninger!$C$32)),Forudsætninger!$E$31+Forudsætninger!$F$32*(K111-Forudsætninger!$C$31)),Forudsætninger!$E$31)+IF(K111&gt;Forudsætninger!$C$33,Forudsætninger!$G$33,IF(K111&gt;Forudsætninger!$C$32,Forudsætninger!$G$32+Forudsætninger!$H$33*(K111-Forudsætninger!$C$32),IF(K111&gt;Forudsætninger!$C$31,Forudsætninger!$G$31+Forudsætninger!$H$32*(K111-Forudsætninger!$C$31),Forudsætninger!$G$31)))*(V111-Forudsætninger!$H$31)</f>
        <v>26.555164398823806</v>
      </c>
      <c r="AD111" s="19">
        <f t="shared" si="33"/>
        <v>2551.3296671239141</v>
      </c>
      <c r="AE111" s="19">
        <f t="shared" si="34"/>
        <v>26.555164398823806</v>
      </c>
      <c r="AF111">
        <f>IF(G111&lt;=Forudsætninger!$C$97,Forudsætninger!$C$98,(IF(G111&lt;=Forudsætninger!$D$97,Forudsætninger!$D$98,IF(G111&lt;=Forudsætninger!$E$97,Forudsætninger!$E$98,IF(G111&lt;=Forudsætninger!$F$97,Forudsætninger!$F$98,IF(G111&lt;=Forudsætninger!$G$97,Forudsætninger!$G$98,IF(G111&lt;=Forudsætninger!$H$97,Forudsætninger!$H$98,IF(G111&lt;=Forudsætninger!$I$97,Forudsætninger!$I$98,Forudsætninger!$I$98))))))))</f>
        <v>2.2000000000000002</v>
      </c>
      <c r="AG111" s="1">
        <f t="shared" si="44"/>
        <v>2.2000000000000002</v>
      </c>
      <c r="AH111" s="1">
        <f t="shared" si="48"/>
        <v>239.79999999999953</v>
      </c>
      <c r="AI111" s="1">
        <f t="shared" si="35"/>
        <v>2.1999999999999957</v>
      </c>
      <c r="AJ111" s="20">
        <f>+(W111*Forudsætninger!$C$12)</f>
        <v>0</v>
      </c>
      <c r="AK111" s="20">
        <f>Forudsætninger!$C$17</f>
        <v>250</v>
      </c>
      <c r="AL111" s="20">
        <f>IF(A111&lt;92,Forudsætninger!$C$20,Forudsætninger!$C$21)</f>
        <v>1.0566762728146013</v>
      </c>
      <c r="AM111" s="20">
        <f t="shared" si="45"/>
        <v>383.68319659008085</v>
      </c>
      <c r="AN111" s="20">
        <f>IFERROR(AD111+AJ111-AA111-Z111-AK111-AM111-Forudsætninger!$C$75,-99999999)</f>
        <v>-1169.3570024655592</v>
      </c>
      <c r="AO111" s="19">
        <f>IFERROR(AN111/(A111+Forudsætninger!$C$74),-99999999)</f>
        <v>-10.728045894179441</v>
      </c>
      <c r="AP111" s="19">
        <f>IFERROR(((365/(A111+Forudsætninger!$C$74))*AN111)/(AI111+Forudsætninger!$C$73),-9999999)</f>
        <v>-1695.1241347945904</v>
      </c>
      <c r="AQ111" s="18">
        <f t="shared" si="36"/>
        <v>109</v>
      </c>
      <c r="AR111" s="18">
        <f t="shared" si="46"/>
        <v>3538.2924770400787</v>
      </c>
      <c r="AS111" s="52">
        <f t="shared" si="27"/>
        <v>4.9000000000000004</v>
      </c>
      <c r="AT111" s="50">
        <f t="shared" si="49"/>
        <v>4.4522580866241697</v>
      </c>
      <c r="AU111" s="50">
        <f t="shared" si="50"/>
        <v>0.14055837019262718</v>
      </c>
      <c r="AV111" s="2">
        <f t="shared" si="51"/>
        <v>22.209439446021179</v>
      </c>
      <c r="AW111" s="61">
        <f t="shared" si="47"/>
        <v>-7.2080165676649388</v>
      </c>
      <c r="BA111" s="16"/>
      <c r="BB111" s="2"/>
    </row>
    <row r="112" spans="1:54" x14ac:dyDescent="0.25">
      <c r="A112">
        <v>110</v>
      </c>
      <c r="B112" s="1">
        <f>ROUND((A112+Forudsætninger!$C$60)/30.4,1)</f>
        <v>4.9000000000000004</v>
      </c>
      <c r="C112" s="1">
        <f>VLOOKUP((A112+Forudsætninger!$C$60),'Model tilvækst, slagteform, fe'!A:B,2,FALSE)</f>
        <v>209.87308338345852</v>
      </c>
      <c r="D112" s="3">
        <f t="shared" si="37"/>
        <v>1599.9767780621141</v>
      </c>
      <c r="E112" s="1">
        <f>(1+Forudsætninger!$C$78)*C112</f>
        <v>195.18196754661642</v>
      </c>
      <c r="F112" s="2">
        <f t="shared" si="38"/>
        <v>4.2984019990130333</v>
      </c>
      <c r="G112" s="1">
        <f t="shared" si="28"/>
        <v>199.48036954562946</v>
      </c>
      <c r="H112" s="3">
        <f t="shared" si="29"/>
        <v>1442.2647813674132</v>
      </c>
      <c r="I112" s="3">
        <f t="shared" si="30"/>
        <v>1186.1851776875405</v>
      </c>
      <c r="J112" s="1">
        <f>VLOOKUP((A112+Forudsætninger!$C$60),'Model tilvækst, slagteform, fe'!G:K,2,FALSE)*(1+Forudsætninger!$C$79)</f>
        <v>48.532288532070972</v>
      </c>
      <c r="K112" s="17">
        <f t="shared" si="26"/>
        <v>96.812388512726315</v>
      </c>
      <c r="L112" s="17">
        <f t="shared" si="39"/>
        <v>735.79757898994558</v>
      </c>
      <c r="M112" s="3">
        <f>((K112-(('Model tilvækst, slagteform, fe'!$H$9/100)*'Model tilvækst, slagteform, fe'!$B$9))*1000/(A112+Forudsætninger!$C$60))</f>
        <v>512.52003009609007</v>
      </c>
      <c r="N112" s="17">
        <f t="shared" si="40"/>
        <v>409.18741980805544</v>
      </c>
      <c r="O112" s="19">
        <f>IF( A112&lt;Forudsætninger!$C$14,(G112/100)*Forudsætninger!$C$13,(Forudsætninger!$C$15/1000)*Forudsætninger!$C$13)</f>
        <v>1.2966224020465915</v>
      </c>
      <c r="P112" s="17" cm="1">
        <f t="array" ref="P112">INDEX('Model tilvækst, slagteform, fe'!$N$9:$N$375,MATCH(MIN(ABS('Model tilvækst, slagteform, fe'!$M$9:$M$375-'Vækstfunktion, hol'!G112)),ABS('Model tilvækst, slagteform, fe'!$M$9:$M$375-'Vækstfunktion, hol'!G112),0))*(1+Forudsætninger!$C$80)</f>
        <v>5.846854568168192</v>
      </c>
      <c r="Q112" s="17">
        <f t="shared" si="41"/>
        <v>7.9462813348670824</v>
      </c>
      <c r="R112" s="17">
        <f t="shared" si="42"/>
        <v>6.3250967526160657</v>
      </c>
      <c r="S112" s="17">
        <f t="shared" si="31"/>
        <v>3.1360075177052678</v>
      </c>
      <c r="T112" s="19">
        <f>(P112)*IF(N112&lt;Forudsætninger!$B$228,IF(N112&lt;Forudsætninger!$B$227,Forudsætninger!$B$225,Forudsætninger!$C$9),Forudsætninger!$C$11)+O112</f>
        <v>14.978262091560159</v>
      </c>
      <c r="U112" s="2">
        <f>Forudsætninger!$C$68+((K112-(Forudsætninger!$C$84)))*0.01</f>
        <v>2.6651767441159033</v>
      </c>
      <c r="V112" s="2">
        <f>U112+Forudsætninger!$C$69</f>
        <v>1.6651767441159033</v>
      </c>
      <c r="W112">
        <f t="shared" si="32"/>
        <v>0</v>
      </c>
      <c r="X112">
        <f>IF(A112+Forudsætninger!$C$60&gt;248,IF(A112+Forudsætninger!$C$60&lt;365,IF(K112&gt;180,IF(K112&lt;260,1,0),0),0),0)</f>
        <v>0</v>
      </c>
      <c r="Y112" s="22">
        <f>IF(X112=0,0,IF('Vækstfunktion, hol'!A112&lt;Forudsætninger!$C$66,Forudsætninger!$C$67+(('Vækstfunktion, hol'!A112-Forudsætninger!$C$66)/7)*Forudsætninger!$C$64,Forudsætninger!$C$67))</f>
        <v>0</v>
      </c>
      <c r="Z112" s="19">
        <f t="shared" si="43"/>
        <v>1569.5875425415579</v>
      </c>
      <c r="AA112" s="19">
        <f>Forudsætninger!$C$62+Forudsætninger!$C$16</f>
        <v>1350</v>
      </c>
      <c r="AB112" s="19">
        <f>IF(K112&gt;Forudsætninger!$C$26,IF(K112&gt;Forudsætninger!$C$27,IF(K112&gt;Forudsætninger!$C$28,Forudsætninger!$E$28,Forudsætninger!$E$27+Forudsætninger!$F$28*(K112-Forudsætninger!$C$27)),Forudsætninger!$E$26+Forudsætninger!$F$27*(K112-Forudsætninger!$C$26)),Forudsætninger!$E$26)+IF(K112&gt;Forudsætninger!$C$28,Forudsætninger!$G$28,IF(K112&gt;Forudsætninger!$C$27,Forudsætninger!$G$27+Forudsætninger!$H$28*(K112-Forudsætninger!$C$27),IF(K112&gt;Forudsætninger!$C$26,Forudsætninger!$G$26+Forudsætninger!$H$27*(K112-Forudsætninger!$C$26),Forudsætninger!$G$26)))*(U112-Forudsætninger!$H$26)</f>
        <v>33.348882558086927</v>
      </c>
      <c r="AC112" s="19">
        <f>IF(K112&gt;Forudsætninger!$C$31,IF(K112&gt;Forudsætninger!$C$32,IF(K112&gt;Forudsætninger!$C$33,Forudsætninger!$E$33,Forudsætninger!$E$32+Forudsætninger!$F$33*(K112-Forudsætninger!$C$32)),Forudsætninger!$E$31+Forudsætninger!$F$32*(K112-Forudsætninger!$C$31)),Forudsætninger!$E$31)+IF(K112&gt;Forudsætninger!$C$33,Forudsætninger!$G$33,IF(K112&gt;Forudsætninger!$C$32,Forudsætninger!$G$32+Forudsætninger!$H$33*(K112-Forudsætninger!$C$32),IF(K112&gt;Forudsætninger!$C$31,Forudsætninger!$G$31+Forudsætninger!$H$32*(K112-Forudsætninger!$C$31),Forudsætninger!$G$31)))*(V112-Forudsætninger!$H$31)</f>
        <v>26.564729767350673</v>
      </c>
      <c r="AD112" s="19">
        <f t="shared" si="33"/>
        <v>2571.794938972339</v>
      </c>
      <c r="AE112" s="19">
        <f t="shared" si="34"/>
        <v>26.564729767350673</v>
      </c>
      <c r="AF112">
        <f>IF(G112&lt;=Forudsætninger!$C$97,Forudsætninger!$C$98,(IF(G112&lt;=Forudsætninger!$D$97,Forudsætninger!$D$98,IF(G112&lt;=Forudsætninger!$E$97,Forudsætninger!$E$98,IF(G112&lt;=Forudsætninger!$F$97,Forudsætninger!$F$98,IF(G112&lt;=Forudsætninger!$G$97,Forudsætninger!$G$98,IF(G112&lt;=Forudsætninger!$H$97,Forudsætninger!$H$98,IF(G112&lt;=Forudsætninger!$I$97,Forudsætninger!$I$98,Forudsætninger!$I$98))))))))</f>
        <v>2.2000000000000002</v>
      </c>
      <c r="AG112" s="1">
        <f t="shared" si="44"/>
        <v>2.2000000000000002</v>
      </c>
      <c r="AH112" s="1">
        <f t="shared" si="48"/>
        <v>241.99999999999952</v>
      </c>
      <c r="AI112" s="1">
        <f t="shared" si="35"/>
        <v>2.1999999999999957</v>
      </c>
      <c r="AJ112" s="20">
        <f>+(W112*Forudsætninger!$C$12)</f>
        <v>0</v>
      </c>
      <c r="AK112" s="20">
        <f>Forudsætninger!$C$17</f>
        <v>250</v>
      </c>
      <c r="AL112" s="20">
        <f>IF(A112&lt;92,Forudsætninger!$C$20,Forudsætninger!$C$21)</f>
        <v>1.0566762728146013</v>
      </c>
      <c r="AM112" s="20">
        <f t="shared" si="45"/>
        <v>384.73987286289548</v>
      </c>
      <c r="AN112" s="20">
        <f>IFERROR(AD112+AJ112-AA112-Z112-AK112-AM112-Forudsætninger!$C$75,-99999999)</f>
        <v>-1164.926668981509</v>
      </c>
      <c r="AO112" s="19">
        <f>IFERROR(AN112/(A112+Forudsætninger!$C$74),-99999999)</f>
        <v>-10.590242445286446</v>
      </c>
      <c r="AP112" s="19">
        <f>IFERROR(((365/(A112+Forudsætninger!$C$74))*AN112)/(AI112+Forudsætninger!$C$73),-9999999)</f>
        <v>-1673.3499967660432</v>
      </c>
      <c r="AQ112" s="18">
        <f t="shared" si="36"/>
        <v>110</v>
      </c>
      <c r="AR112" s="18">
        <f t="shared" si="46"/>
        <v>3554.3274154044534</v>
      </c>
      <c r="AS112" s="52">
        <f t="shared" si="27"/>
        <v>4.9000000000000004</v>
      </c>
      <c r="AT112" s="50">
        <f t="shared" si="49"/>
        <v>4.430333484050152</v>
      </c>
      <c r="AU112" s="50">
        <f t="shared" si="50"/>
        <v>0.13780344889299556</v>
      </c>
      <c r="AV112" s="2">
        <f t="shared" si="51"/>
        <v>21.774138028547213</v>
      </c>
      <c r="AW112" s="61">
        <f t="shared" si="47"/>
        <v>-7.0926072374419409</v>
      </c>
      <c r="BA112" s="16"/>
      <c r="BB112" s="2"/>
    </row>
    <row r="113" spans="1:54" x14ac:dyDescent="0.25">
      <c r="A113">
        <v>111</v>
      </c>
      <c r="B113" s="1">
        <f>ROUND((A113+Forudsætninger!$C$60)/30.4,1)</f>
        <v>4.9000000000000004</v>
      </c>
      <c r="C113" s="1">
        <f>VLOOKUP((A113+Forudsætninger!$C$60),'Model tilvækst, slagteform, fe'!A:B,2,FALSE)</f>
        <v>211.47475805425935</v>
      </c>
      <c r="D113" s="3">
        <f t="shared" si="37"/>
        <v>1601.6746708008327</v>
      </c>
      <c r="E113" s="1">
        <f>(1+Forudsætninger!$C$78)*C113</f>
        <v>196.67152499046119</v>
      </c>
      <c r="F113" s="2">
        <f t="shared" si="38"/>
        <v>4.2526398655615809</v>
      </c>
      <c r="G113" s="1">
        <f t="shared" si="28"/>
        <v>200.92416485602277</v>
      </c>
      <c r="H113" s="3">
        <f t="shared" si="29"/>
        <v>1443.7953103933125</v>
      </c>
      <c r="I113" s="3">
        <f t="shared" si="30"/>
        <v>1188.505989693899</v>
      </c>
      <c r="J113" s="1">
        <f>VLOOKUP((A113+Forudsætninger!$C$60),'Model tilvækst, slagteform, fe'!G:K,2,FALSE)*(1+Forudsætninger!$C$79)</f>
        <v>48.550392810452365</v>
      </c>
      <c r="K113" s="17">
        <f t="shared" si="26"/>
        <v>97.549471288719928</v>
      </c>
      <c r="L113" s="17">
        <f t="shared" si="39"/>
        <v>737.08277599361338</v>
      </c>
      <c r="M113" s="3">
        <f>((K113-(('Model tilvækst, slagteform, fe'!$H$9/100)*'Model tilvækst, slagteform, fe'!$B$9))*1000/(A113+Forudsætninger!$C$60))</f>
        <v>514.01711506874017</v>
      </c>
      <c r="N113" s="17">
        <f t="shared" si="40"/>
        <v>415.08724825747714</v>
      </c>
      <c r="O113" s="19">
        <f>IF( A113&lt;Forudsætninger!$C$14,(G113/100)*Forudsætninger!$C$13,(Forudsætninger!$C$15/1000)*Forudsætninger!$C$13)</f>
        <v>1.3060070715641481</v>
      </c>
      <c r="P113" s="17" cm="1">
        <f t="array" ref="P113">INDEX('Model tilvækst, slagteform, fe'!$N$9:$N$375,MATCH(MIN(ABS('Model tilvækst, slagteform, fe'!$M$9:$M$375-'Vækstfunktion, hol'!G113)),ABS('Model tilvækst, slagteform, fe'!$M$9:$M$375-'Vækstfunktion, hol'!G113),0))*(1+Forudsætninger!$C$80)</f>
        <v>5.8998284494216975</v>
      </c>
      <c r="Q113" s="17">
        <f t="shared" si="41"/>
        <v>8.004295638937597</v>
      </c>
      <c r="R113" s="17">
        <f t="shared" si="42"/>
        <v>6.3440133533314311</v>
      </c>
      <c r="S113" s="17">
        <f t="shared" si="31"/>
        <v>3.1464080042537184</v>
      </c>
      <c r="T113" s="19">
        <f>(P113)*IF(N113&lt;Forudsætninger!$B$228,IF(N113&lt;Forudsætninger!$B$227,Forudsætninger!$B$225,Forudsætninger!$C$9),Forudsætninger!$C$11)+O113</f>
        <v>15.111605643210918</v>
      </c>
      <c r="U113" s="2">
        <f>Forudsætninger!$C$68+((K113-(Forudsætninger!$C$84)))*0.01</f>
        <v>2.6725475718758398</v>
      </c>
      <c r="V113" s="2">
        <f>U113+Forudsætninger!$C$69</f>
        <v>1.6725475718758398</v>
      </c>
      <c r="W113">
        <f t="shared" si="32"/>
        <v>0</v>
      </c>
      <c r="X113">
        <f>IF(A113+Forudsætninger!$C$60&gt;248,IF(A113+Forudsætninger!$C$60&lt;365,IF(K113&gt;180,IF(K113&lt;260,1,0),0),0),0)</f>
        <v>0</v>
      </c>
      <c r="Y113" s="22">
        <f>IF(X113=0,0,IF('Vækstfunktion, hol'!A113&lt;Forudsætninger!$C$66,Forudsætninger!$C$67+(('Vækstfunktion, hol'!A113-Forudsætninger!$C$66)/7)*Forudsætninger!$C$64,Forudsætninger!$C$67))</f>
        <v>0</v>
      </c>
      <c r="Z113" s="19">
        <f t="shared" si="43"/>
        <v>1584.6991481847688</v>
      </c>
      <c r="AA113" s="19">
        <f>Forudsætninger!$C$62+Forudsætninger!$C$16</f>
        <v>1350</v>
      </c>
      <c r="AB113" s="19">
        <f>IF(K113&gt;Forudsætninger!$C$26,IF(K113&gt;Forudsætninger!$C$27,IF(K113&gt;Forudsætninger!$C$28,Forudsætninger!$E$28,Forudsætninger!$E$27+Forudsætninger!$F$28*(K113-Forudsætninger!$C$27)),Forudsætninger!$E$26+Forudsætninger!$F$27*(K113-Forudsætninger!$C$26)),Forudsætninger!$E$26)+IF(K113&gt;Forudsætninger!$C$28,Forudsætninger!$G$28,IF(K113&gt;Forudsætninger!$C$27,Forudsætninger!$G$27+Forudsætninger!$H$28*(K113-Forudsætninger!$C$27),IF(K113&gt;Forudsætninger!$C$26,Forudsætninger!$G$26+Forudsætninger!$H$27*(K113-Forudsætninger!$C$26),Forudsætninger!$G$26)))*(U113-Forudsætninger!$H$26)</f>
        <v>33.354410678906881</v>
      </c>
      <c r="AC113" s="19">
        <f>IF(K113&gt;Forudsætninger!$C$31,IF(K113&gt;Forudsætninger!$C$32,IF(K113&gt;Forudsætninger!$C$33,Forudsætninger!$E$33,Forudsætninger!$E$32+Forudsætninger!$F$33*(K113-Forudsætninger!$C$32)),Forudsætninger!$E$31+Forudsætninger!$F$32*(K113-Forudsætninger!$C$31)),Forudsætninger!$E$31)+IF(K113&gt;Forudsætninger!$C$33,Forudsætninger!$G$33,IF(K113&gt;Forudsætninger!$C$32,Forudsætninger!$G$32+Forudsætninger!$H$33*(K113-Forudsætninger!$C$32),IF(K113&gt;Forudsætninger!$C$31,Forudsætninger!$G$31+Forudsætninger!$H$32*(K113-Forudsætninger!$C$31),Forudsætninger!$G$31)))*(V113-Forudsætninger!$H$31)</f>
        <v>26.57431184343859</v>
      </c>
      <c r="AD113" s="19">
        <f t="shared" si="33"/>
        <v>2592.3100701890025</v>
      </c>
      <c r="AE113" s="19">
        <f t="shared" si="34"/>
        <v>26.57431184343859</v>
      </c>
      <c r="AF113">
        <f>IF(G113&lt;=Forudsætninger!$C$97,Forudsætninger!$C$98,(IF(G113&lt;=Forudsætninger!$D$97,Forudsætninger!$D$98,IF(G113&lt;=Forudsætninger!$E$97,Forudsætninger!$E$98,IF(G113&lt;=Forudsætninger!$F$97,Forudsætninger!$F$98,IF(G113&lt;=Forudsætninger!$G$97,Forudsætninger!$G$98,IF(G113&lt;=Forudsætninger!$H$97,Forudsætninger!$H$98,IF(G113&lt;=Forudsætninger!$I$97,Forudsætninger!$I$98,Forudsætninger!$I$98))))))))</f>
        <v>3.2</v>
      </c>
      <c r="AG113" s="1">
        <f t="shared" si="44"/>
        <v>3.2</v>
      </c>
      <c r="AH113" s="1">
        <f t="shared" si="48"/>
        <v>245.19999999999951</v>
      </c>
      <c r="AI113" s="1">
        <f t="shared" si="35"/>
        <v>2.2090090090090047</v>
      </c>
      <c r="AJ113" s="20">
        <f>+(W113*Forudsætninger!$C$12)</f>
        <v>0</v>
      </c>
      <c r="AK113" s="20">
        <f>Forudsætninger!$C$17</f>
        <v>250</v>
      </c>
      <c r="AL113" s="20">
        <f>IF(A113&lt;92,Forudsætninger!$C$20,Forudsætninger!$C$21)</f>
        <v>1.0566762728146013</v>
      </c>
      <c r="AM113" s="20">
        <f t="shared" si="45"/>
        <v>385.79654913571011</v>
      </c>
      <c r="AN113" s="20">
        <f>IFERROR(AD113+AJ113-AA113-Z113-AK113-AM113-Forudsætninger!$C$75,-99999999)</f>
        <v>-1160.579819680871</v>
      </c>
      <c r="AO113" s="19">
        <f>IFERROR(AN113/(A113+Forudsætninger!$C$74),-99999999)</f>
        <v>-10.455674051179018</v>
      </c>
      <c r="AP113" s="19">
        <f>IFERROR(((365/(A113+Forudsætninger!$C$74))*AN113)/(AI113+Forudsætninger!$C$73),-9999999)</f>
        <v>-1645.6689102347179</v>
      </c>
      <c r="AQ113" s="18">
        <f t="shared" si="36"/>
        <v>111</v>
      </c>
      <c r="AR113" s="18">
        <f t="shared" si="46"/>
        <v>3570.4956973204789</v>
      </c>
      <c r="AS113" s="52">
        <f t="shared" si="27"/>
        <v>4.9000000000000004</v>
      </c>
      <c r="AT113" s="50">
        <f t="shared" si="49"/>
        <v>4.3468493006380413</v>
      </c>
      <c r="AU113" s="50">
        <f t="shared" si="50"/>
        <v>0.13456839410742738</v>
      </c>
      <c r="AV113" s="2">
        <f t="shared" si="51"/>
        <v>27.681086531325263</v>
      </c>
      <c r="AW113" s="61">
        <f t="shared" si="47"/>
        <v>-6.9800294643708183</v>
      </c>
      <c r="BA113" s="16"/>
      <c r="BB113" s="2"/>
    </row>
    <row r="114" spans="1:54" x14ac:dyDescent="0.25">
      <c r="A114">
        <v>112</v>
      </c>
      <c r="B114" s="1">
        <f>ROUND((A114+Forudsætninger!$C$60)/30.4,1)</f>
        <v>5</v>
      </c>
      <c r="C114" s="1">
        <f>VLOOKUP((A114+Forudsætninger!$C$60),'Model tilvækst, slagteform, fe'!A:B,2,FALSE)</f>
        <v>213.07805058978457</v>
      </c>
      <c r="D114" s="3">
        <f t="shared" si="37"/>
        <v>1603.2925355252132</v>
      </c>
      <c r="E114" s="1">
        <f>(1+Forudsætninger!$C$78)*C114</f>
        <v>198.16258704849963</v>
      </c>
      <c r="F114" s="2">
        <f t="shared" si="38"/>
        <v>4.2068315074037175</v>
      </c>
      <c r="G114" s="1">
        <f t="shared" si="28"/>
        <v>202.36941855590334</v>
      </c>
      <c r="H114" s="3">
        <f t="shared" si="29"/>
        <v>1445.253699880567</v>
      </c>
      <c r="I114" s="3">
        <f t="shared" si="30"/>
        <v>1190.7983799634226</v>
      </c>
      <c r="J114" s="1">
        <f>VLOOKUP((A114+Forudsætninger!$C$60),'Model tilvækst, slagteform, fe'!G:K,2,FALSE)*(1+Forudsætninger!$C$79)</f>
        <v>48.56850874417777</v>
      </c>
      <c r="K114" s="17">
        <f t="shared" si="26"/>
        <v>98.287808746865622</v>
      </c>
      <c r="L114" s="17">
        <f t="shared" si="39"/>
        <v>738.3374581456934</v>
      </c>
      <c r="M114" s="3">
        <f>((K114-(('Model tilvækst, slagteform, fe'!$H$9/100)*'Model tilvækst, slagteform, fe'!$B$9))*1000/(A114+Forudsætninger!$C$60))</f>
        <v>515.50268025468029</v>
      </c>
      <c r="N114" s="17">
        <f t="shared" si="40"/>
        <v>421.01303582890739</v>
      </c>
      <c r="O114" s="19">
        <f>IF( A114&lt;Forudsætninger!$C$14,(G114/100)*Forudsætninger!$C$13,(Forudsætninger!$C$15/1000)*Forudsætninger!$C$13)</f>
        <v>1.3154012206133718</v>
      </c>
      <c r="P114" s="17" cm="1">
        <f t="array" ref="P114">INDEX('Model tilvækst, slagteform, fe'!$N$9:$N$375,MATCH(MIN(ABS('Model tilvækst, slagteform, fe'!$M$9:$M$375-'Vækstfunktion, hol'!G114)),ABS('Model tilvækst, slagteform, fe'!$M$9:$M$375-'Vækstfunktion, hol'!G114),0))*(1+Forudsætninger!$C$80)</f>
        <v>5.9257875714302264</v>
      </c>
      <c r="Q114" s="17">
        <f t="shared" si="41"/>
        <v>8.0258525502859062</v>
      </c>
      <c r="R114" s="17">
        <f t="shared" si="42"/>
        <v>6.3627801759105624</v>
      </c>
      <c r="S114" s="17">
        <f t="shared" si="31"/>
        <v>3.1567434302972153</v>
      </c>
      <c r="T114" s="19">
        <f>(P114)*IF(N114&lt;Forudsætninger!$B$228,IF(N114&lt;Forudsætninger!$B$227,Forudsætninger!$B$225,Forudsætninger!$C$9),Forudsætninger!$C$11)+O114</f>
        <v>15.181744137760102</v>
      </c>
      <c r="U114" s="2">
        <f>Forudsætninger!$C$68+((K114-(Forudsætninger!$C$84)))*0.01</f>
        <v>2.6799309464572962</v>
      </c>
      <c r="V114" s="2">
        <f>U114+Forudsætninger!$C$69</f>
        <v>1.6799309464572962</v>
      </c>
      <c r="W114">
        <f t="shared" si="32"/>
        <v>0</v>
      </c>
      <c r="X114">
        <f>IF(A114+Forudsætninger!$C$60&gt;248,IF(A114+Forudsætninger!$C$60&lt;365,IF(K114&gt;180,IF(K114&lt;260,1,0),0),0),0)</f>
        <v>0</v>
      </c>
      <c r="Y114" s="22">
        <f>IF(X114=0,0,IF('Vækstfunktion, hol'!A114&lt;Forudsætninger!$C$66,Forudsætninger!$C$67+(('Vækstfunktion, hol'!A114-Forudsætninger!$C$66)/7)*Forudsætninger!$C$64,Forudsætninger!$C$67))</f>
        <v>0</v>
      </c>
      <c r="Z114" s="19">
        <f t="shared" si="43"/>
        <v>1599.8808923225288</v>
      </c>
      <c r="AA114" s="19">
        <f>Forudsætninger!$C$62+Forudsætninger!$C$16</f>
        <v>1350</v>
      </c>
      <c r="AB114" s="19">
        <f>IF(K114&gt;Forudsætninger!$C$26,IF(K114&gt;Forudsætninger!$C$27,IF(K114&gt;Forudsætninger!$C$28,Forudsætninger!$E$28,Forudsætninger!$E$27+Forudsætninger!$F$28*(K114-Forudsætninger!$C$27)),Forudsætninger!$E$26+Forudsætninger!$F$27*(K114-Forudsætninger!$C$26)),Forudsætninger!$E$26)+IF(K114&gt;Forudsætninger!$C$28,Forudsætninger!$G$28,IF(K114&gt;Forudsætninger!$C$27,Forudsætninger!$G$27+Forudsætninger!$H$28*(K114-Forudsætninger!$C$27),IF(K114&gt;Forudsætninger!$C$26,Forudsætninger!$G$26+Forudsætninger!$H$27*(K114-Forudsætninger!$C$26),Forudsætninger!$G$26)))*(U114-Forudsætninger!$H$26)</f>
        <v>33.359948209842976</v>
      </c>
      <c r="AC114" s="19">
        <f>IF(K114&gt;Forudsætninger!$C$31,IF(K114&gt;Forudsætninger!$C$32,IF(K114&gt;Forudsætninger!$C$33,Forudsætninger!$E$33,Forudsætninger!$E$32+Forudsætninger!$F$33*(K114-Forudsætninger!$C$32)),Forudsætninger!$E$31+Forudsætninger!$F$32*(K114-Forudsætninger!$C$31)),Forudsætninger!$E$31)+IF(K114&gt;Forudsætninger!$C$33,Forudsætninger!$G$33,IF(K114&gt;Forudsætninger!$C$32,Forudsætninger!$G$32+Forudsætninger!$H$33*(K114-Forudsætninger!$C$32),IF(K114&gt;Forudsætninger!$C$31,Forudsætninger!$G$31+Forudsætninger!$H$32*(K114-Forudsætninger!$C$31),Forudsætninger!$G$31)))*(V114-Forudsætninger!$H$31)</f>
        <v>26.583910230394483</v>
      </c>
      <c r="AD114" s="19">
        <f t="shared" si="33"/>
        <v>2612.8742844688572</v>
      </c>
      <c r="AE114" s="19">
        <f t="shared" si="34"/>
        <v>26.583910230394483</v>
      </c>
      <c r="AF114">
        <f>IF(G114&lt;=Forudsætninger!$C$97,Forudsætninger!$C$98,(IF(G114&lt;=Forudsætninger!$D$97,Forudsætninger!$D$98,IF(G114&lt;=Forudsætninger!$E$97,Forudsætninger!$E$98,IF(G114&lt;=Forudsætninger!$F$97,Forudsætninger!$F$98,IF(G114&lt;=Forudsætninger!$G$97,Forudsætninger!$G$98,IF(G114&lt;=Forudsætninger!$H$97,Forudsætninger!$H$98,IF(G114&lt;=Forudsætninger!$I$97,Forudsætninger!$I$98,Forudsætninger!$I$98))))))))</f>
        <v>3.2</v>
      </c>
      <c r="AG114" s="1">
        <f t="shared" si="44"/>
        <v>3.2</v>
      </c>
      <c r="AH114" s="1">
        <f t="shared" si="48"/>
        <v>248.39999999999949</v>
      </c>
      <c r="AI114" s="1">
        <f t="shared" si="35"/>
        <v>2.2178571428571385</v>
      </c>
      <c r="AJ114" s="20">
        <f>+(W114*Forudsætninger!$C$12)</f>
        <v>0</v>
      </c>
      <c r="AK114" s="20">
        <f>Forudsætninger!$C$17</f>
        <v>250</v>
      </c>
      <c r="AL114" s="20">
        <f>IF(A114&lt;92,Forudsætninger!$C$20,Forudsætninger!$C$21)</f>
        <v>1.0566762728146013</v>
      </c>
      <c r="AM114" s="20">
        <f t="shared" si="45"/>
        <v>386.85322540852474</v>
      </c>
      <c r="AN114" s="20">
        <f>IFERROR(AD114+AJ114-AA114-Z114-AK114-AM114-Forudsætninger!$C$75,-99999999)</f>
        <v>-1156.2540258115907</v>
      </c>
      <c r="AO114" s="19">
        <f>IFERROR(AN114/(A114+Forudsætninger!$C$74),-99999999)</f>
        <v>-10.323696659032061</v>
      </c>
      <c r="AP114" s="19">
        <f>IFERROR(((365/(A114+Forudsætninger!$C$74))*AN114)/(AI114+Forudsætninger!$C$73),-9999999)</f>
        <v>-1618.7201573382613</v>
      </c>
      <c r="AQ114" s="18">
        <f t="shared" si="36"/>
        <v>112</v>
      </c>
      <c r="AR114" s="18">
        <f t="shared" si="46"/>
        <v>3586.7341177310536</v>
      </c>
      <c r="AS114" s="52">
        <f t="shared" si="27"/>
        <v>5</v>
      </c>
      <c r="AT114" s="50">
        <f t="shared" si="49"/>
        <v>4.3257938692802327</v>
      </c>
      <c r="AU114" s="50">
        <f t="shared" si="50"/>
        <v>0.13197739214695758</v>
      </c>
      <c r="AV114" s="2">
        <f t="shared" si="51"/>
        <v>26.948752896456654</v>
      </c>
      <c r="AW114" s="61">
        <f t="shared" si="47"/>
        <v>-6.869650003598804</v>
      </c>
      <c r="BA114" s="16"/>
      <c r="BB114" s="2"/>
    </row>
    <row r="115" spans="1:54" x14ac:dyDescent="0.25">
      <c r="A115">
        <v>113</v>
      </c>
      <c r="B115" s="1">
        <f>ROUND((A115+Forudsætninger!$C$60)/30.4,1)</f>
        <v>5</v>
      </c>
      <c r="C115" s="1">
        <f>VLOOKUP((A115+Forudsætninger!$C$60),'Model tilvækst, slagteform, fe'!A:B,2,FALSE)</f>
        <v>214.68288149636732</v>
      </c>
      <c r="D115" s="3">
        <f t="shared" si="37"/>
        <v>1604.8309065827482</v>
      </c>
      <c r="E115" s="1">
        <f>(1+Forudsætninger!$C$78)*C115</f>
        <v>199.6550797916216</v>
      </c>
      <c r="F115" s="2">
        <f t="shared" si="38"/>
        <v>4.1609791957870677</v>
      </c>
      <c r="G115" s="1">
        <f t="shared" si="28"/>
        <v>203.81605898740867</v>
      </c>
      <c r="H115" s="3">
        <f t="shared" si="29"/>
        <v>1446.6404315053296</v>
      </c>
      <c r="I115" s="3">
        <f t="shared" si="30"/>
        <v>1193.0624689151209</v>
      </c>
      <c r="J115" s="1">
        <f>VLOOKUP((A115+Forudsætninger!$C$60),'Model tilvækst, slagteform, fe'!G:K,2,FALSE)*(1+Forudsætninger!$C$79)</f>
        <v>48.586637942096594</v>
      </c>
      <c r="K115" s="17">
        <f t="shared" si="26"/>
        <v>99.027370648062274</v>
      </c>
      <c r="L115" s="17">
        <f t="shared" si="39"/>
        <v>739.56190119665166</v>
      </c>
      <c r="M115" s="3">
        <f>((K115-(('Model tilvækst, slagteform, fe'!$H$9/100)*'Model tilvækst, slagteform, fe'!$B$9))*1000/(A115+Forudsætninger!$C$60))</f>
        <v>516.97675407666702</v>
      </c>
      <c r="N115" s="17">
        <f t="shared" si="40"/>
        <v>426.96442393529048</v>
      </c>
      <c r="O115" s="19">
        <f>IF( A115&lt;Forudsætninger!$C$14,(G115/100)*Forudsætninger!$C$13,(Forudsætninger!$C$15/1000)*Forudsætninger!$C$13)</f>
        <v>1.3248043834181564</v>
      </c>
      <c r="P115" s="17" cm="1">
        <f t="array" ref="P115">INDEX('Model tilvækst, slagteform, fe'!$N$9:$N$375,MATCH(MIN(ABS('Model tilvækst, slagteform, fe'!$M$9:$M$375-'Vækstfunktion, hol'!G115)),ABS('Model tilvækst, slagteform, fe'!$M$9:$M$375-'Vækstfunktion, hol'!G115),0))*(1+Forudsætninger!$C$80)</f>
        <v>5.9513881063830869</v>
      </c>
      <c r="Q115" s="17">
        <f t="shared" si="41"/>
        <v>8.0471804953086625</v>
      </c>
      <c r="R115" s="17">
        <f t="shared" si="42"/>
        <v>6.3813986477221567</v>
      </c>
      <c r="S115" s="17">
        <f t="shared" si="31"/>
        <v>3.1670145763211148</v>
      </c>
      <c r="T115" s="19">
        <f>(P115)*IF(N115&lt;Forudsætninger!$B$228,IF(N115&lt;Forudsætninger!$B$227,Forudsætninger!$B$225,Forudsætninger!$C$9),Forudsætninger!$C$11)+O115</f>
        <v>15.251052552354579</v>
      </c>
      <c r="U115" s="2">
        <f>Forudsætninger!$C$68+((K115-(Forudsætninger!$C$84)))*0.01</f>
        <v>2.6873265654692631</v>
      </c>
      <c r="V115" s="2">
        <f>U115+Forudsætninger!$C$69</f>
        <v>1.6873265654692631</v>
      </c>
      <c r="W115">
        <f t="shared" si="32"/>
        <v>0</v>
      </c>
      <c r="X115">
        <f>IF(A115+Forudsætninger!$C$60&gt;248,IF(A115+Forudsætninger!$C$60&lt;365,IF(K115&gt;180,IF(K115&lt;260,1,0),0),0),0)</f>
        <v>0</v>
      </c>
      <c r="Y115" s="22">
        <f>IF(X115=0,0,IF('Vækstfunktion, hol'!A115&lt;Forudsætninger!$C$66,Forudsætninger!$C$67+(('Vækstfunktion, hol'!A115-Forudsætninger!$C$66)/7)*Forudsætninger!$C$64,Forudsætninger!$C$67))</f>
        <v>0</v>
      </c>
      <c r="Z115" s="19">
        <f t="shared" si="43"/>
        <v>1615.1319448748834</v>
      </c>
      <c r="AA115" s="19">
        <f>Forudsætninger!$C$62+Forudsætninger!$C$16</f>
        <v>1350</v>
      </c>
      <c r="AB115" s="19">
        <f>IF(K115&gt;Forudsætninger!$C$26,IF(K115&gt;Forudsætninger!$C$27,IF(K115&gt;Forudsætninger!$C$28,Forudsætninger!$E$28,Forudsætninger!$E$27+Forudsætninger!$F$28*(K115-Forudsætninger!$C$27)),Forudsætninger!$E$26+Forudsætninger!$F$27*(K115-Forudsætninger!$C$26)),Forudsætninger!$E$26)+IF(K115&gt;Forudsætninger!$C$28,Forudsætninger!$G$28,IF(K115&gt;Forudsætninger!$C$27,Forudsætninger!$G$27+Forudsætninger!$H$28*(K115-Forudsætninger!$C$27),IF(K115&gt;Forudsætninger!$C$26,Forudsætninger!$G$26+Forudsætninger!$H$27*(K115-Forudsætninger!$C$26),Forudsætninger!$G$26)))*(U115-Forudsætninger!$H$26)</f>
        <v>33.365494924101952</v>
      </c>
      <c r="AC115" s="19">
        <f>IF(K115&gt;Forudsætninger!$C$31,IF(K115&gt;Forudsætninger!$C$32,IF(K115&gt;Forudsætninger!$C$33,Forudsætninger!$E$33,Forudsætninger!$E$32+Forudsætninger!$F$33*(K115-Forudsætninger!$C$32)),Forudsætninger!$E$31+Forudsætninger!$F$32*(K115-Forudsætninger!$C$31)),Forudsætninger!$E$31)+IF(K115&gt;Forudsætninger!$C$33,Forudsætninger!$G$33,IF(K115&gt;Forudsætninger!$C$32,Forudsætninger!$G$32+Forudsætninger!$H$33*(K115-Forudsætninger!$C$32),IF(K115&gt;Forudsætninger!$C$31,Forudsætninger!$G$31+Forudsætninger!$H$32*(K115-Forudsætninger!$C$31),Forudsætninger!$G$31)))*(V115-Forudsætninger!$H$31)</f>
        <v>26.593524535110042</v>
      </c>
      <c r="AD115" s="19">
        <f t="shared" si="33"/>
        <v>2633.4868109766803</v>
      </c>
      <c r="AE115" s="19">
        <f t="shared" si="34"/>
        <v>26.593524535110046</v>
      </c>
      <c r="AF115">
        <f>IF(G115&lt;=Forudsætninger!$C$97,Forudsætninger!$C$98,(IF(G115&lt;=Forudsætninger!$D$97,Forudsætninger!$D$98,IF(G115&lt;=Forudsætninger!$E$97,Forudsætninger!$E$98,IF(G115&lt;=Forudsætninger!$F$97,Forudsætninger!$F$98,IF(G115&lt;=Forudsætninger!$G$97,Forudsætninger!$G$98,IF(G115&lt;=Forudsætninger!$H$97,Forudsætninger!$H$98,IF(G115&lt;=Forudsætninger!$I$97,Forudsætninger!$I$98,Forudsætninger!$I$98))))))))</f>
        <v>3.2</v>
      </c>
      <c r="AG115" s="1">
        <f t="shared" si="44"/>
        <v>3.2</v>
      </c>
      <c r="AH115" s="1">
        <f t="shared" si="48"/>
        <v>251.59999999999948</v>
      </c>
      <c r="AI115" s="1">
        <f t="shared" si="35"/>
        <v>2.2265486725663672</v>
      </c>
      <c r="AJ115" s="20">
        <f>+(W115*Forudsætninger!$C$12)</f>
        <v>0</v>
      </c>
      <c r="AK115" s="20">
        <f>Forudsætninger!$C$17</f>
        <v>250</v>
      </c>
      <c r="AL115" s="20">
        <f>IF(A115&lt;92,Forudsætninger!$C$20,Forudsætninger!$C$21)</f>
        <v>1.0566762728146013</v>
      </c>
      <c r="AM115" s="20">
        <f t="shared" si="45"/>
        <v>387.90990168133936</v>
      </c>
      <c r="AN115" s="20">
        <f>IFERROR(AD115+AJ115-AA115-Z115-AK115-AM115-Forudsætninger!$C$75,-99999999)</f>
        <v>-1151.949228128937</v>
      </c>
      <c r="AO115" s="19">
        <f>IFERROR(AN115/(A115+Forudsætninger!$C$74),-99999999)</f>
        <v>-10.194240956893248</v>
      </c>
      <c r="AP115" s="19">
        <f>IFERROR(((365/(A115+Forudsætninger!$C$74))*AN115)/(AI115+Forudsætninger!$C$73),-9999999)</f>
        <v>-1592.4761135744529</v>
      </c>
      <c r="AQ115" s="18">
        <f t="shared" si="36"/>
        <v>113</v>
      </c>
      <c r="AR115" s="18">
        <f t="shared" si="46"/>
        <v>3603.0418465562229</v>
      </c>
      <c r="AS115" s="52">
        <f t="shared" si="27"/>
        <v>5</v>
      </c>
      <c r="AT115" s="50">
        <f t="shared" si="49"/>
        <v>4.3047976826537706</v>
      </c>
      <c r="AU115" s="50">
        <f t="shared" si="50"/>
        <v>0.12945570213881297</v>
      </c>
      <c r="AV115" s="2">
        <f t="shared" si="51"/>
        <v>26.244043763808349</v>
      </c>
      <c r="AW115" s="61">
        <f t="shared" si="47"/>
        <v>-6.7614099685628108</v>
      </c>
      <c r="BA115" s="16"/>
      <c r="BB115" s="2"/>
    </row>
    <row r="116" spans="1:54" x14ac:dyDescent="0.25">
      <c r="A116">
        <v>114</v>
      </c>
      <c r="B116" s="1">
        <f>ROUND((A116+Forudsætninger!$C$60)/30.4,1)</f>
        <v>5</v>
      </c>
      <c r="C116" s="1">
        <f>VLOOKUP((A116+Forudsætninger!$C$60),'Model tilvækst, slagteform, fe'!A:B,2,FALSE)</f>
        <v>216.28917181468802</v>
      </c>
      <c r="D116" s="3">
        <f t="shared" si="37"/>
        <v>1606.2903183207027</v>
      </c>
      <c r="E116" s="1">
        <f>(1+Forudsætninger!$C$78)*C116</f>
        <v>201.14892978765985</v>
      </c>
      <c r="F116" s="2">
        <f t="shared" si="38"/>
        <v>4.1150851866921903</v>
      </c>
      <c r="G116" s="1">
        <f t="shared" si="28"/>
        <v>205.26401497435205</v>
      </c>
      <c r="H116" s="3">
        <f t="shared" si="29"/>
        <v>1447.9559869433842</v>
      </c>
      <c r="I116" s="3">
        <f t="shared" si="30"/>
        <v>1195.2983769680004</v>
      </c>
      <c r="J116" s="1">
        <f>VLOOKUP((A116+Forudsætninger!$C$60),'Model tilvækst, slagteform, fe'!G:K,2,FALSE)*(1+Forudsætninger!$C$79)</f>
        <v>48.604782013058312</v>
      </c>
      <c r="K116" s="17">
        <f t="shared" si="26"/>
        <v>99.768127029535179</v>
      </c>
      <c r="L116" s="17">
        <f t="shared" si="39"/>
        <v>740.7563814729059</v>
      </c>
      <c r="M116" s="3">
        <f>((K116-(('Model tilvækst, slagteform, fe'!$H$9/100)*'Model tilvækst, slagteform, fe'!$B$9))*1000/(A116+Forudsætninger!$C$60))</f>
        <v>518.43936602043323</v>
      </c>
      <c r="N116" s="17">
        <f t="shared" si="40"/>
        <v>432.94104895858811</v>
      </c>
      <c r="O116" s="19">
        <f>IF( A116&lt;Forudsætninger!$C$14,(G116/100)*Forudsætninger!$C$13,(Forudsætninger!$C$15/1000)*Forudsætninger!$C$13)</f>
        <v>1.3342160973332884</v>
      </c>
      <c r="P116" s="17" cm="1">
        <f t="array" ref="P116">INDEX('Model tilvækst, slagteform, fe'!$N$9:$N$375,MATCH(MIN(ABS('Model tilvækst, slagteform, fe'!$M$9:$M$375-'Vækstfunktion, hol'!G116)),ABS('Model tilvækst, slagteform, fe'!$M$9:$M$375-'Vækstfunktion, hol'!G116),0))*(1+Forudsætninger!$C$80)</f>
        <v>5.9766250232976423</v>
      </c>
      <c r="Q116" s="17">
        <f t="shared" si="41"/>
        <v>8.0682734199519608</v>
      </c>
      <c r="R116" s="17">
        <f t="shared" si="42"/>
        <v>6.3998700827917263</v>
      </c>
      <c r="S116" s="17">
        <f t="shared" si="31"/>
        <v>3.1772221671295782</v>
      </c>
      <c r="T116" s="19">
        <f>(P116)*IF(N116&lt;Forudsætninger!$B$228,IF(N116&lt;Forudsætninger!$B$227,Forudsætninger!$B$225,Forudsætninger!$C$9),Forudsætninger!$C$11)+O116</f>
        <v>15.319518651849769</v>
      </c>
      <c r="U116" s="2">
        <f>Forudsætninger!$C$68+((K116-(Forudsætninger!$C$84)))*0.01</f>
        <v>2.6947341292839919</v>
      </c>
      <c r="V116" s="2">
        <f>U116+Forudsætninger!$C$69</f>
        <v>1.6947341292839919</v>
      </c>
      <c r="W116">
        <f t="shared" si="32"/>
        <v>0</v>
      </c>
      <c r="X116">
        <f>IF(A116+Forudsætninger!$C$60&gt;248,IF(A116+Forudsætninger!$C$60&lt;365,IF(K116&gt;180,IF(K116&lt;260,1,0),0),0),0)</f>
        <v>0</v>
      </c>
      <c r="Y116" s="22">
        <f>IF(X116=0,0,IF('Vækstfunktion, hol'!A116&lt;Forudsætninger!$C$66,Forudsætninger!$C$67+(('Vækstfunktion, hol'!A116-Forudsætninger!$C$66)/7)*Forudsætninger!$C$64,Forudsætninger!$C$67))</f>
        <v>0</v>
      </c>
      <c r="Z116" s="19">
        <f t="shared" si="43"/>
        <v>1630.4514635267333</v>
      </c>
      <c r="AA116" s="19">
        <f>Forudsætninger!$C$62+Forudsætninger!$C$16</f>
        <v>1350</v>
      </c>
      <c r="AB116" s="19">
        <f>IF(K116&gt;Forudsætninger!$C$26,IF(K116&gt;Forudsætninger!$C$27,IF(K116&gt;Forudsætninger!$C$28,Forudsætninger!$E$28,Forudsætninger!$E$27+Forudsætninger!$F$28*(K116-Forudsætninger!$C$27)),Forudsætninger!$E$26+Forudsætninger!$F$27*(K116-Forudsætninger!$C$26)),Forudsætninger!$E$26)+IF(K116&gt;Forudsætninger!$C$28,Forudsætninger!$G$28,IF(K116&gt;Forudsætninger!$C$27,Forudsætninger!$G$27+Forudsætninger!$H$28*(K116-Forudsætninger!$C$27),IF(K116&gt;Forudsætninger!$C$26,Forudsætninger!$G$26+Forudsætninger!$H$27*(K116-Forudsætninger!$C$26),Forudsætninger!$G$26)))*(U116-Forudsætninger!$H$26)</f>
        <v>33.371050596962995</v>
      </c>
      <c r="AC116" s="19">
        <f>IF(K116&gt;Forudsætninger!$C$31,IF(K116&gt;Forudsætninger!$C$32,IF(K116&gt;Forudsætninger!$C$33,Forudsætninger!$E$33,Forudsætninger!$E$32+Forudsætninger!$F$33*(K116-Forudsætninger!$C$32)),Forudsætninger!$E$31+Forudsætninger!$F$32*(K116-Forudsætninger!$C$31)),Forudsætninger!$E$31)+IF(K116&gt;Forudsætninger!$C$33,Forudsætninger!$G$33,IF(K116&gt;Forudsætninger!$C$32,Forudsætninger!$G$32+Forudsætninger!$H$33*(K116-Forudsætninger!$C$32),IF(K116&gt;Forudsætninger!$C$31,Forudsætninger!$G$31+Forudsætninger!$H$32*(K116-Forudsætninger!$C$31),Forudsætninger!$G$31)))*(V116-Forudsætninger!$H$31)</f>
        <v>26.603154368069188</v>
      </c>
      <c r="AD116" s="19">
        <f t="shared" si="33"/>
        <v>2654.1468843798602</v>
      </c>
      <c r="AE116" s="19">
        <f t="shared" si="34"/>
        <v>26.603154368069188</v>
      </c>
      <c r="AF116">
        <f>IF(G116&lt;=Forudsætninger!$C$97,Forudsætninger!$C$98,(IF(G116&lt;=Forudsætninger!$D$97,Forudsætninger!$D$98,IF(G116&lt;=Forudsætninger!$E$97,Forudsætninger!$E$98,IF(G116&lt;=Forudsætninger!$F$97,Forudsætninger!$F$98,IF(G116&lt;=Forudsætninger!$G$97,Forudsætninger!$G$98,IF(G116&lt;=Forudsætninger!$H$97,Forudsætninger!$H$98,IF(G116&lt;=Forudsætninger!$I$97,Forudsætninger!$I$98,Forudsætninger!$I$98))))))))</f>
        <v>3.2</v>
      </c>
      <c r="AG116" s="1">
        <f t="shared" si="44"/>
        <v>3.2</v>
      </c>
      <c r="AH116" s="1">
        <f t="shared" si="48"/>
        <v>254.79999999999947</v>
      </c>
      <c r="AI116" s="1">
        <f t="shared" si="35"/>
        <v>2.235087719298241</v>
      </c>
      <c r="AJ116" s="20">
        <f>+(W116*Forudsætninger!$C$12)</f>
        <v>0</v>
      </c>
      <c r="AK116" s="20">
        <f>Forudsætninger!$C$17</f>
        <v>250</v>
      </c>
      <c r="AL116" s="20">
        <f>IF(A116&lt;92,Forudsætninger!$C$20,Forudsætninger!$C$21)</f>
        <v>1.0566762728146013</v>
      </c>
      <c r="AM116" s="20">
        <f t="shared" si="45"/>
        <v>388.96657795415399</v>
      </c>
      <c r="AN116" s="20">
        <f>IFERROR(AD116+AJ116-AA116-Z116-AK116-AM116-Forudsætninger!$C$75,-99999999)</f>
        <v>-1147.6653496504216</v>
      </c>
      <c r="AO116" s="19">
        <f>IFERROR(AN116/(A116+Forudsætninger!$C$74),-99999999)</f>
        <v>-10.067239909214225</v>
      </c>
      <c r="AP116" s="19">
        <f>IFERROR(((365/(A116+Forudsætninger!$C$74))*AN116)/(AI116+Forudsætninger!$C$73),-9999999)</f>
        <v>-1566.9104983257453</v>
      </c>
      <c r="AQ116" s="18">
        <f t="shared" si="36"/>
        <v>114</v>
      </c>
      <c r="AR116" s="18">
        <f t="shared" si="46"/>
        <v>3619.418041480887</v>
      </c>
      <c r="AS116" s="52">
        <f t="shared" si="27"/>
        <v>5</v>
      </c>
      <c r="AT116" s="50">
        <f t="shared" si="49"/>
        <v>4.2838784785153621</v>
      </c>
      <c r="AU116" s="50">
        <f t="shared" si="50"/>
        <v>0.12700104767902332</v>
      </c>
      <c r="AV116" s="2">
        <f t="shared" si="51"/>
        <v>25.565615248707672</v>
      </c>
      <c r="AW116" s="61">
        <f t="shared" si="47"/>
        <v>-6.655252383300593</v>
      </c>
      <c r="BA116" s="16"/>
      <c r="BB116" s="2"/>
    </row>
    <row r="117" spans="1:54" x14ac:dyDescent="0.25">
      <c r="A117">
        <v>115</v>
      </c>
      <c r="B117" s="1">
        <f>ROUND((A117+Forudsætninger!$C$60)/30.4,1)</f>
        <v>5.0999999999999996</v>
      </c>
      <c r="C117" s="1">
        <f>VLOOKUP((A117+Forudsætninger!$C$60),'Model tilvækst, slagteform, fe'!A:B,2,FALSE)</f>
        <v>217.89684311977462</v>
      </c>
      <c r="D117" s="3">
        <f t="shared" si="37"/>
        <v>1607.6713050865976</v>
      </c>
      <c r="E117" s="1">
        <f>(1+Forudsætninger!$C$78)*C117</f>
        <v>202.64406410139037</v>
      </c>
      <c r="F117" s="2">
        <f t="shared" si="38"/>
        <v>4.0691517208325729</v>
      </c>
      <c r="G117" s="1">
        <f t="shared" si="28"/>
        <v>206.71321582222294</v>
      </c>
      <c r="H117" s="3">
        <f t="shared" si="29"/>
        <v>1449.200847870884</v>
      </c>
      <c r="I117" s="3">
        <f t="shared" si="30"/>
        <v>1197.5062245410691</v>
      </c>
      <c r="J117" s="1">
        <f>VLOOKUP((A117+Forudsætninger!$C$60),'Model tilvækst, slagteform, fe'!G:K,2,FALSE)*(1+Forudsætninger!$C$79)</f>
        <v>48.622942565912282</v>
      </c>
      <c r="K117" s="17">
        <f t="shared" si="26"/>
        <v>100.51004820538975</v>
      </c>
      <c r="L117" s="17">
        <f t="shared" si="39"/>
        <v>741.9211758545714</v>
      </c>
      <c r="M117" s="3">
        <f>((K117-(('Model tilvækst, slagteform, fe'!$H$9/100)*'Model tilvækst, slagteform, fe'!$B$9))*1000/(A117+Forudsætninger!$C$60))</f>
        <v>519.89054660377178</v>
      </c>
      <c r="N117" s="17">
        <f t="shared" si="40"/>
        <v>438.96703683766941</v>
      </c>
      <c r="O117" s="19">
        <f>IF( A117&lt;Forudsætninger!$C$14,(G117/100)*Forudsætninger!$C$13,(Forudsætninger!$C$15/1000)*Forudsætninger!$C$13)</f>
        <v>1.3436359028444493</v>
      </c>
      <c r="P117" s="17" cm="1">
        <f t="array" ref="P117">INDEX('Model tilvækst, slagteform, fe'!$N$9:$N$375,MATCH(MIN(ABS('Model tilvækst, slagteform, fe'!$M$9:$M$375-'Vækstfunktion, hol'!G117)),ABS('Model tilvækst, slagteform, fe'!$M$9:$M$375-'Vækstfunktion, hol'!G117),0))*(1+Forudsætninger!$C$80)</f>
        <v>6.0259878790812733</v>
      </c>
      <c r="Q117" s="17">
        <f t="shared" si="41"/>
        <v>8.1221402962926952</v>
      </c>
      <c r="R117" s="17">
        <f t="shared" si="42"/>
        <v>6.4185538452493338</v>
      </c>
      <c r="S117" s="17">
        <f t="shared" si="31"/>
        <v>3.1875447408354893</v>
      </c>
      <c r="T117" s="19">
        <f>(P117)*IF(N117&lt;Forudsætninger!$B$228,IF(N117&lt;Forudsætninger!$B$227,Forudsætninger!$B$225,Forudsætninger!$C$9),Forudsætninger!$C$11)+O117</f>
        <v>15.444447539894627</v>
      </c>
      <c r="U117" s="2">
        <f>Forudsætninger!$C$68+((K117-(Forudsætninger!$C$84)))*0.01</f>
        <v>2.7021533410425378</v>
      </c>
      <c r="V117" s="2">
        <f>U117+Forudsætninger!$C$69</f>
        <v>1.7021533410425378</v>
      </c>
      <c r="W117">
        <f t="shared" si="32"/>
        <v>0</v>
      </c>
      <c r="X117">
        <f>IF(A117+Forudsætninger!$C$60&gt;248,IF(A117+Forudsætninger!$C$60&lt;365,IF(K117&gt;180,IF(K117&lt;260,1,0),0),0),0)</f>
        <v>0</v>
      </c>
      <c r="Y117" s="22">
        <f>IF(X117=0,0,IF('Vækstfunktion, hol'!A117&lt;Forudsætninger!$C$66,Forudsætninger!$C$67+(('Vækstfunktion, hol'!A117-Forudsætninger!$C$66)/7)*Forudsætninger!$C$64,Forudsætninger!$C$67))</f>
        <v>0</v>
      </c>
      <c r="Z117" s="19">
        <f t="shared" si="43"/>
        <v>1645.8959110666278</v>
      </c>
      <c r="AA117" s="19">
        <f>Forudsætninger!$C$62+Forudsætninger!$C$16</f>
        <v>1350</v>
      </c>
      <c r="AB117" s="19">
        <f>IF(K117&gt;Forudsætninger!$C$26,IF(K117&gt;Forudsætninger!$C$27,IF(K117&gt;Forudsætninger!$C$28,Forudsætninger!$E$28,Forudsætninger!$E$27+Forudsætninger!$F$28*(K117-Forudsætninger!$C$27)),Forudsætninger!$E$26+Forudsætninger!$F$27*(K117-Forudsætninger!$C$26)),Forudsætninger!$E$26)+IF(K117&gt;Forudsætninger!$C$28,Forudsætninger!$G$28,IF(K117&gt;Forudsætninger!$C$27,Forudsætninger!$G$27+Forudsætninger!$H$28*(K117-Forudsætninger!$C$27),IF(K117&gt;Forudsætninger!$C$26,Forudsætninger!$G$26+Forudsætninger!$H$27*(K117-Forudsætninger!$C$26),Forudsætninger!$G$26)))*(U117-Forudsætninger!$H$26)</f>
        <v>33.376615005781908</v>
      </c>
      <c r="AC117" s="19">
        <f>IF(K117&gt;Forudsætninger!$C$31,IF(K117&gt;Forudsætninger!$C$32,IF(K117&gt;Forudsætninger!$C$33,Forudsætninger!$E$33,Forudsætninger!$E$32+Forudsætninger!$F$33*(K117-Forudsætninger!$C$32)),Forudsætninger!$E$31+Forudsætninger!$F$32*(K117-Forudsætninger!$C$31)),Forudsætninger!$E$31)+IF(K117&gt;Forudsætninger!$C$33,Forudsætninger!$G$33,IF(K117&gt;Forudsætninger!$C$32,Forudsætninger!$G$32+Forudsætninger!$H$33*(K117-Forudsætninger!$C$32),IF(K117&gt;Forudsætninger!$C$31,Forudsætninger!$G$31+Forudsætninger!$H$32*(K117-Forudsætninger!$C$31),Forudsætninger!$G$31)))*(V117-Forudsætninger!$H$31)</f>
        <v>26.612799343355299</v>
      </c>
      <c r="AD117" s="19">
        <f t="shared" si="33"/>
        <v>2674.8537448810057</v>
      </c>
      <c r="AE117" s="19">
        <f t="shared" si="34"/>
        <v>26.612799343355299</v>
      </c>
      <c r="AF117">
        <f>IF(G117&lt;=Forudsætninger!$C$97,Forudsætninger!$C$98,(IF(G117&lt;=Forudsætninger!$D$97,Forudsætninger!$D$98,IF(G117&lt;=Forudsætninger!$E$97,Forudsætninger!$E$98,IF(G117&lt;=Forudsætninger!$F$97,Forudsætninger!$F$98,IF(G117&lt;=Forudsætninger!$G$97,Forudsætninger!$G$98,IF(G117&lt;=Forudsætninger!$H$97,Forudsætninger!$H$98,IF(G117&lt;=Forudsætninger!$I$97,Forudsætninger!$I$98,Forudsætninger!$I$98))))))))</f>
        <v>3.2</v>
      </c>
      <c r="AG117" s="1">
        <f t="shared" si="44"/>
        <v>3.2</v>
      </c>
      <c r="AH117" s="1">
        <f t="shared" si="48"/>
        <v>257.99999999999949</v>
      </c>
      <c r="AI117" s="1">
        <f t="shared" si="35"/>
        <v>2.2434782608695607</v>
      </c>
      <c r="AJ117" s="20">
        <f>+(W117*Forudsætninger!$C$12)</f>
        <v>0</v>
      </c>
      <c r="AK117" s="20">
        <f>Forudsætninger!$C$17</f>
        <v>250</v>
      </c>
      <c r="AL117" s="20">
        <f>IF(A117&lt;92,Forudsætninger!$C$20,Forudsætninger!$C$21)</f>
        <v>1.0566762728146013</v>
      </c>
      <c r="AM117" s="20">
        <f t="shared" si="45"/>
        <v>390.02325422696862</v>
      </c>
      <c r="AN117" s="20">
        <f>IFERROR(AD117+AJ117-AA117-Z117-AK117-AM117-Forudsætninger!$C$75,-99999999)</f>
        <v>-1143.4596129619854</v>
      </c>
      <c r="AO117" s="19">
        <f>IFERROR(AN117/(A117+Forudsætninger!$C$74),-99999999)</f>
        <v>-9.9431270692346558</v>
      </c>
      <c r="AP117" s="19">
        <f>IFERROR(((365/(A117+Forudsætninger!$C$74))*AN117)/(AI117+Forudsætninger!$C$73),-9999999)</f>
        <v>-1542.0755910996693</v>
      </c>
      <c r="AQ117" s="18">
        <f t="shared" si="36"/>
        <v>115</v>
      </c>
      <c r="AR117" s="18">
        <f t="shared" si="46"/>
        <v>3635.9191652935965</v>
      </c>
      <c r="AS117" s="52">
        <f t="shared" si="27"/>
        <v>5.0999999999999996</v>
      </c>
      <c r="AT117" s="50">
        <f t="shared" si="49"/>
        <v>4.2057366884362182</v>
      </c>
      <c r="AU117" s="50">
        <f t="shared" si="50"/>
        <v>0.12411283997956879</v>
      </c>
      <c r="AV117" s="2">
        <f t="shared" si="51"/>
        <v>24.834907226075984</v>
      </c>
      <c r="AW117" s="61">
        <f t="shared" si="47"/>
        <v>-6.5516205107392755</v>
      </c>
      <c r="BA117" s="16"/>
      <c r="BB117" s="2"/>
    </row>
    <row r="118" spans="1:54" x14ac:dyDescent="0.25">
      <c r="A118">
        <v>116</v>
      </c>
      <c r="B118" s="1">
        <f>ROUND((A118+Forudsætninger!$C$60)/30.4,1)</f>
        <v>5.0999999999999996</v>
      </c>
      <c r="C118" s="1">
        <f>VLOOKUP((A118+Forudsætninger!$C$60),'Model tilvækst, slagteform, fe'!A:B,2,FALSE)</f>
        <v>219.50581752100248</v>
      </c>
      <c r="D118" s="3">
        <f t="shared" si="37"/>
        <v>1608.9744012278686</v>
      </c>
      <c r="E118" s="1">
        <f>(1+Forudsætninger!$C$78)*C118</f>
        <v>204.1404102945323</v>
      </c>
      <c r="F118" s="2">
        <f t="shared" si="38"/>
        <v>4.0231810236546339</v>
      </c>
      <c r="G118" s="1">
        <f t="shared" si="28"/>
        <v>208.16359131818695</v>
      </c>
      <c r="H118" s="3">
        <f t="shared" si="29"/>
        <v>1450.3754959640105</v>
      </c>
      <c r="I118" s="3">
        <f t="shared" si="30"/>
        <v>1199.6861320533358</v>
      </c>
      <c r="J118" s="1">
        <f>VLOOKUP((A118+Forudsætninger!$C$60),'Model tilvækst, slagteform, fe'!G:K,2,FALSE)*(1+Forudsætninger!$C$79)</f>
        <v>48.641121209507986</v>
      </c>
      <c r="K118" s="17">
        <f t="shared" si="26"/>
        <v>101.25310476714415</v>
      </c>
      <c r="L118" s="17">
        <f t="shared" si="39"/>
        <v>743.05656175440049</v>
      </c>
      <c r="M118" s="3">
        <f>((K118-(('Model tilvækst, slagteform, fe'!$H$9/100)*'Model tilvækst, slagteform, fe'!$B$9))*1000/(A118+Forudsætninger!$C$60))</f>
        <v>521.33032734667904</v>
      </c>
      <c r="N118" s="17">
        <f t="shared" si="40"/>
        <v>445.01714059365446</v>
      </c>
      <c r="O118" s="19">
        <f>IF( A118&lt;Forudsætninger!$C$14,(G118/100)*Forudsætninger!$C$13,(Forudsætninger!$C$15/1000)*Forudsætninger!$C$13)</f>
        <v>1.3530633435682153</v>
      </c>
      <c r="P118" s="17" cm="1">
        <f t="array" ref="P118">INDEX('Model tilvækst, slagteform, fe'!$N$9:$N$375,MATCH(MIN(ABS('Model tilvækst, slagteform, fe'!$M$9:$M$375-'Vækstfunktion, hol'!G118)),ABS('Model tilvækst, slagteform, fe'!$M$9:$M$375-'Vækstfunktion, hol'!G118),0))*(1+Forudsætninger!$C$80)</f>
        <v>6.0501037559850719</v>
      </c>
      <c r="Q118" s="17">
        <f t="shared" si="41"/>
        <v>8.1421846833576428</v>
      </c>
      <c r="R118" s="17">
        <f t="shared" si="42"/>
        <v>6.4370797009421477</v>
      </c>
      <c r="S118" s="17">
        <f t="shared" si="31"/>
        <v>3.1977986223146302</v>
      </c>
      <c r="T118" s="19">
        <f>(P118)*IF(N118&lt;Forudsætninger!$B$228,IF(N118&lt;Forudsætninger!$B$227,Forudsætninger!$B$225,Forudsætninger!$C$9),Forudsætninger!$C$11)+O118</f>
        <v>15.510306132573284</v>
      </c>
      <c r="U118" s="2">
        <f>Forudsætninger!$C$68+((K118-(Forudsætninger!$C$84)))*0.01</f>
        <v>2.7095839066600815</v>
      </c>
      <c r="V118" s="2">
        <f>U118+Forudsætninger!$C$69</f>
        <v>1.7095839066600815</v>
      </c>
      <c r="W118">
        <f t="shared" si="32"/>
        <v>0</v>
      </c>
      <c r="X118">
        <f>IF(A118+Forudsætninger!$C$60&gt;248,IF(A118+Forudsætninger!$C$60&lt;365,IF(K118&gt;180,IF(K118&lt;260,1,0),0),0),0)</f>
        <v>0</v>
      </c>
      <c r="Y118" s="22">
        <f>IF(X118=0,0,IF('Vækstfunktion, hol'!A118&lt;Forudsætninger!$C$66,Forudsætninger!$C$67+(('Vækstfunktion, hol'!A118-Forudsætninger!$C$66)/7)*Forudsætninger!$C$64,Forudsætninger!$C$67))</f>
        <v>0</v>
      </c>
      <c r="Z118" s="19">
        <f t="shared" si="43"/>
        <v>1661.4062171992011</v>
      </c>
      <c r="AA118" s="19">
        <f>Forudsætninger!$C$62+Forudsætninger!$C$16</f>
        <v>1350</v>
      </c>
      <c r="AB118" s="19">
        <f>IF(K118&gt;Forudsætninger!$C$26,IF(K118&gt;Forudsætninger!$C$27,IF(K118&gt;Forudsætninger!$C$28,Forudsætninger!$E$28,Forudsætninger!$E$27+Forudsætninger!$F$28*(K118-Forudsætninger!$C$27)),Forudsætninger!$E$26+Forudsætninger!$F$27*(K118-Forudsætninger!$C$26)),Forudsætninger!$E$26)+IF(K118&gt;Forudsætninger!$C$28,Forudsætninger!$G$28,IF(K118&gt;Forudsætninger!$C$27,Forudsætninger!$G$27+Forudsætninger!$H$28*(K118-Forudsætninger!$C$27),IF(K118&gt;Forudsætninger!$C$26,Forudsætninger!$G$26+Forudsætninger!$H$27*(K118-Forudsætninger!$C$26),Forudsætninger!$G$26)))*(U118-Forudsætninger!$H$26)</f>
        <v>33.382187929995062</v>
      </c>
      <c r="AC118" s="19">
        <f>IF(K118&gt;Forudsætninger!$C$31,IF(K118&gt;Forudsætninger!$C$32,IF(K118&gt;Forudsætninger!$C$33,Forudsætninger!$E$33,Forudsætninger!$E$32+Forudsætninger!$F$33*(K118-Forudsætninger!$C$32)),Forudsætninger!$E$31+Forudsætninger!$F$32*(K118-Forudsætninger!$C$31)),Forudsætninger!$E$31)+IF(K118&gt;Forudsætninger!$C$33,Forudsætninger!$G$33,IF(K118&gt;Forudsætninger!$C$32,Forudsætninger!$G$32+Forudsætninger!$H$33*(K118-Forudsætninger!$C$32),IF(K118&gt;Forudsætninger!$C$31,Forudsætninger!$G$31+Forudsætninger!$H$32*(K118-Forudsætninger!$C$31),Forudsætninger!$G$31)))*(V118-Forudsætninger!$H$31)</f>
        <v>26.622459078658107</v>
      </c>
      <c r="AD118" s="19">
        <f t="shared" si="33"/>
        <v>2695.6066382503773</v>
      </c>
      <c r="AE118" s="19">
        <f t="shared" si="34"/>
        <v>26.622459078658107</v>
      </c>
      <c r="AF118">
        <f>IF(G118&lt;=Forudsætninger!$C$97,Forudsætninger!$C$98,(IF(G118&lt;=Forudsætninger!$D$97,Forudsætninger!$D$98,IF(G118&lt;=Forudsætninger!$E$97,Forudsætninger!$E$98,IF(G118&lt;=Forudsætninger!$F$97,Forudsætninger!$F$98,IF(G118&lt;=Forudsætninger!$G$97,Forudsætninger!$G$98,IF(G118&lt;=Forudsætninger!$H$97,Forudsætninger!$H$98,IF(G118&lt;=Forudsætninger!$I$97,Forudsætninger!$I$98,Forudsætninger!$I$98))))))))</f>
        <v>3.2</v>
      </c>
      <c r="AG118" s="1">
        <f t="shared" si="44"/>
        <v>3.2</v>
      </c>
      <c r="AH118" s="1">
        <f t="shared" si="48"/>
        <v>261.19999999999948</v>
      </c>
      <c r="AI118" s="1">
        <f t="shared" si="35"/>
        <v>2.25172413793103</v>
      </c>
      <c r="AJ118" s="20">
        <f>+(W118*Forudsætninger!$C$12)</f>
        <v>0</v>
      </c>
      <c r="AK118" s="20">
        <f>Forudsætninger!$C$17</f>
        <v>250</v>
      </c>
      <c r="AL118" s="20">
        <f>IF(A118&lt;92,Forudsætninger!$C$20,Forudsætninger!$C$21)</f>
        <v>1.0566762728146013</v>
      </c>
      <c r="AM118" s="20">
        <f t="shared" si="45"/>
        <v>391.07993049978325</v>
      </c>
      <c r="AN118" s="20">
        <f>IFERROR(AD118+AJ118-AA118-Z118-AK118-AM118-Forudsætninger!$C$75,-99999999)</f>
        <v>-1139.2737019980016</v>
      </c>
      <c r="AO118" s="19">
        <f>IFERROR(AN118/(A118+Forudsætninger!$C$74),-99999999)</f>
        <v>-9.8213250172241509</v>
      </c>
      <c r="AP118" s="19">
        <f>IFERROR(((365/(A118+Forudsætninger!$C$74))*AN118)/(AI118+Forudsætninger!$C$73),-9999999)</f>
        <v>-1517.867211378564</v>
      </c>
      <c r="AQ118" s="18">
        <f t="shared" si="36"/>
        <v>116</v>
      </c>
      <c r="AR118" s="18">
        <f t="shared" si="46"/>
        <v>3652.486147698984</v>
      </c>
      <c r="AS118" s="52">
        <f t="shared" si="27"/>
        <v>5.0999999999999996</v>
      </c>
      <c r="AT118" s="50">
        <f t="shared" si="49"/>
        <v>4.1859109639838152</v>
      </c>
      <c r="AU118" s="50">
        <f t="shared" si="50"/>
        <v>0.12180205201050498</v>
      </c>
      <c r="AV118" s="2">
        <f t="shared" si="51"/>
        <v>24.208379721105302</v>
      </c>
      <c r="AW118" s="61">
        <f t="shared" si="47"/>
        <v>-6.4499463060191236</v>
      </c>
      <c r="BA118" s="16"/>
      <c r="BB118" s="2"/>
    </row>
    <row r="119" spans="1:54" x14ac:dyDescent="0.25">
      <c r="A119">
        <v>117</v>
      </c>
      <c r="B119" s="1">
        <f>ROUND((A119+Forudsætninger!$C$60)/30.4,1)</f>
        <v>5.0999999999999996</v>
      </c>
      <c r="C119" s="1">
        <f>VLOOKUP((A119+Forudsætninger!$C$60),'Model tilvækst, slagteform, fe'!A:B,2,FALSE)</f>
        <v>221.11601766209438</v>
      </c>
      <c r="D119" s="3">
        <f t="shared" si="37"/>
        <v>1610.2001410918945</v>
      </c>
      <c r="E119" s="1">
        <f>(1+Forudsætninger!$C$78)*C119</f>
        <v>205.63789642574775</v>
      </c>
      <c r="F119" s="2">
        <f t="shared" si="38"/>
        <v>3.9771753053377226</v>
      </c>
      <c r="G119" s="1">
        <f t="shared" si="28"/>
        <v>209.61507173108546</v>
      </c>
      <c r="H119" s="3">
        <f t="shared" si="29"/>
        <v>1451.480412898519</v>
      </c>
      <c r="I119" s="3">
        <f t="shared" si="30"/>
        <v>1201.8382199238072</v>
      </c>
      <c r="J119" s="1">
        <f>VLOOKUP((A119+Forudsætninger!$C$60),'Model tilvækst, slagteform, fe'!G:K,2,FALSE)*(1+Forudsætninger!$C$79)</f>
        <v>48.659319552694832</v>
      </c>
      <c r="K119" s="17">
        <f t="shared" si="26"/>
        <v>101.99726758423937</v>
      </c>
      <c r="L119" s="17">
        <f t="shared" si="39"/>
        <v>744.1628170952157</v>
      </c>
      <c r="M119" s="3">
        <f>((K119-(('Model tilvækst, slagteform, fe'!$H$9/100)*'Model tilvækst, slagteform, fe'!$B$9))*1000/(A119+Forudsætninger!$C$60))</f>
        <v>522.75874074250294</v>
      </c>
      <c r="N119" s="17">
        <f t="shared" si="40"/>
        <v>451.09097648457447</v>
      </c>
      <c r="O119" s="19">
        <f>IF( A119&lt;Forudsætninger!$C$14,(G119/100)*Forudsætninger!$C$13,(Forudsætninger!$C$15/1000)*Forudsætninger!$C$13)</f>
        <v>1.3624979662520555</v>
      </c>
      <c r="P119" s="17" cm="1">
        <f t="array" ref="P119">INDEX('Model tilvækst, slagteform, fe'!$N$9:$N$375,MATCH(MIN(ABS('Model tilvækst, slagteform, fe'!$M$9:$M$375-'Vækstfunktion, hol'!G119)),ABS('Model tilvækst, slagteform, fe'!$M$9:$M$375-'Vækstfunktion, hol'!G119),0))*(1+Forudsætninger!$C$80)</f>
        <v>6.0738358909200088</v>
      </c>
      <c r="Q119" s="17">
        <f t="shared" si="41"/>
        <v>8.1619717505219835</v>
      </c>
      <c r="R119" s="17">
        <f t="shared" si="42"/>
        <v>6.4554489837436853</v>
      </c>
      <c r="S119" s="17">
        <f t="shared" si="31"/>
        <v>3.2079845419931097</v>
      </c>
      <c r="T119" s="19">
        <f>(P119)*IF(N119&lt;Forudsætninger!$B$228,IF(N119&lt;Forudsætninger!$B$227,Forudsætninger!$B$225,Forudsætninger!$C$9),Forudsætninger!$C$11)+O119</f>
        <v>15.575273951004876</v>
      </c>
      <c r="U119" s="2">
        <f>Forudsætninger!$C$68+((K119-(Forudsætninger!$C$84)))*0.01</f>
        <v>2.7170255348310342</v>
      </c>
      <c r="V119" s="2">
        <f>U119+Forudsætninger!$C$69</f>
        <v>1.7170255348310342</v>
      </c>
      <c r="W119">
        <f t="shared" si="32"/>
        <v>0</v>
      </c>
      <c r="X119">
        <f>IF(A119+Forudsætninger!$C$60&gt;248,IF(A119+Forudsætninger!$C$60&lt;365,IF(K119&gt;180,IF(K119&lt;260,1,0),0),0),0)</f>
        <v>0</v>
      </c>
      <c r="Y119" s="22">
        <f>IF(X119=0,0,IF('Vækstfunktion, hol'!A119&lt;Forudsætninger!$C$66,Forudsætninger!$C$67+(('Vækstfunktion, hol'!A119-Forudsætninger!$C$66)/7)*Forudsætninger!$C$64,Forudsætninger!$C$67))</f>
        <v>0</v>
      </c>
      <c r="Z119" s="19">
        <f t="shared" si="43"/>
        <v>1676.981491150206</v>
      </c>
      <c r="AA119" s="19">
        <f>Forudsætninger!$C$62+Forudsætninger!$C$16</f>
        <v>1350</v>
      </c>
      <c r="AB119" s="19">
        <f>IF(K119&gt;Forudsætninger!$C$26,IF(K119&gt;Forudsætninger!$C$27,IF(K119&gt;Forudsætninger!$C$28,Forudsætninger!$E$28,Forudsætninger!$E$27+Forudsætninger!$F$28*(K119-Forudsætninger!$C$27)),Forudsætninger!$E$26+Forudsætninger!$F$27*(K119-Forudsætninger!$C$26)),Forudsætninger!$E$26)+IF(K119&gt;Forudsætninger!$C$28,Forudsætninger!$G$28,IF(K119&gt;Forudsætninger!$C$27,Forudsætninger!$G$27+Forudsætninger!$H$28*(K119-Forudsætninger!$C$27),IF(K119&gt;Forudsætninger!$C$26,Forudsætninger!$G$26+Forudsætninger!$H$27*(K119-Forudsætninger!$C$26),Forudsætninger!$G$26)))*(U119-Forudsætninger!$H$26)</f>
        <v>33.38776915112328</v>
      </c>
      <c r="AC119" s="19">
        <f>IF(K119&gt;Forudsætninger!$C$31,IF(K119&gt;Forudsætninger!$C$32,IF(K119&gt;Forudsætninger!$C$33,Forudsætninger!$E$33,Forudsætninger!$E$32+Forudsætninger!$F$33*(K119-Forudsætninger!$C$32)),Forudsætninger!$E$31+Forudsætninger!$F$32*(K119-Forudsætninger!$C$31)),Forudsætninger!$E$31)+IF(K119&gt;Forudsætninger!$C$33,Forudsætninger!$G$33,IF(K119&gt;Forudsætninger!$C$32,Forudsætninger!$G$32+Forudsætninger!$H$33*(K119-Forudsætninger!$C$32),IF(K119&gt;Forudsætninger!$C$31,Forudsætninger!$G$31+Forudsætninger!$H$32*(K119-Forudsætninger!$C$31),Forudsætninger!$G$31)))*(V119-Forudsætninger!$H$31)</f>
        <v>26.632133195280343</v>
      </c>
      <c r="AD119" s="19">
        <f t="shared" si="33"/>
        <v>2716.4048158581127</v>
      </c>
      <c r="AE119" s="19">
        <f t="shared" si="34"/>
        <v>26.632133195280339</v>
      </c>
      <c r="AF119">
        <f>IF(G119&lt;=Forudsætninger!$C$97,Forudsætninger!$C$98,(IF(G119&lt;=Forudsætninger!$D$97,Forudsætninger!$D$98,IF(G119&lt;=Forudsætninger!$E$97,Forudsætninger!$E$98,IF(G119&lt;=Forudsætninger!$F$97,Forudsætninger!$F$98,IF(G119&lt;=Forudsætninger!$G$97,Forudsætninger!$G$98,IF(G119&lt;=Forudsætninger!$H$97,Forudsætninger!$H$98,IF(G119&lt;=Forudsætninger!$I$97,Forudsætninger!$I$98,Forudsætninger!$I$98))))))))</f>
        <v>3.2</v>
      </c>
      <c r="AG119" s="1">
        <f t="shared" si="44"/>
        <v>3.2</v>
      </c>
      <c r="AH119" s="1">
        <f t="shared" si="48"/>
        <v>264.39999999999947</v>
      </c>
      <c r="AI119" s="1">
        <f t="shared" si="35"/>
        <v>2.2598290598290554</v>
      </c>
      <c r="AJ119" s="20">
        <f>+(W119*Forudsætninger!$C$12)</f>
        <v>0</v>
      </c>
      <c r="AK119" s="20">
        <f>Forudsætninger!$C$17</f>
        <v>250</v>
      </c>
      <c r="AL119" s="20">
        <f>IF(A119&lt;92,Forudsætninger!$C$20,Forudsætninger!$C$21)</f>
        <v>1.0566762728146013</v>
      </c>
      <c r="AM119" s="20">
        <f t="shared" si="45"/>
        <v>392.13660677259787</v>
      </c>
      <c r="AN119" s="20">
        <f>IFERROR(AD119+AJ119-AA119-Z119-AK119-AM119-Forudsætninger!$C$75,-99999999)</f>
        <v>-1135.1074746140857</v>
      </c>
      <c r="AO119" s="19">
        <f>IFERROR(AN119/(A119+Forudsætninger!$C$74),-99999999)</f>
        <v>-9.7017732872998774</v>
      </c>
      <c r="AP119" s="19">
        <f>IFERROR(((365/(A119+Forudsætninger!$C$74))*AN119)/(AI119+Forudsætninger!$C$73),-9999999)</f>
        <v>-1494.2627339205183</v>
      </c>
      <c r="AQ119" s="18">
        <f t="shared" si="36"/>
        <v>117</v>
      </c>
      <c r="AR119" s="18">
        <f t="shared" si="46"/>
        <v>3669.1180979228043</v>
      </c>
      <c r="AS119" s="52">
        <f t="shared" si="27"/>
        <v>5.0999999999999996</v>
      </c>
      <c r="AT119" s="50">
        <f t="shared" si="49"/>
        <v>4.1662273839158388</v>
      </c>
      <c r="AU119" s="50">
        <f t="shared" si="50"/>
        <v>0.11955172992427343</v>
      </c>
      <c r="AV119" s="2">
        <f t="shared" si="51"/>
        <v>23.604477458045722</v>
      </c>
      <c r="AW119" s="61">
        <f t="shared" si="47"/>
        <v>-6.350178357619555</v>
      </c>
      <c r="BA119" s="16"/>
      <c r="BB119" s="2"/>
    </row>
    <row r="120" spans="1:54" x14ac:dyDescent="0.25">
      <c r="A120">
        <v>118</v>
      </c>
      <c r="B120" s="1">
        <f>ROUND((A120+Forudsætninger!$C$60)/30.4,1)</f>
        <v>5.2</v>
      </c>
      <c r="C120" s="1">
        <f>VLOOKUP((A120+Forudsætninger!$C$60),'Model tilvækst, slagteform, fe'!A:B,2,FALSE)</f>
        <v>222.72736672112049</v>
      </c>
      <c r="D120" s="3">
        <f t="shared" si="37"/>
        <v>1611.3490590261108</v>
      </c>
      <c r="E120" s="1">
        <f>(1+Forudsætninger!$C$78)*C120</f>
        <v>207.13645105064205</v>
      </c>
      <c r="F120" s="2">
        <f t="shared" si="38"/>
        <v>3.9311367607941192</v>
      </c>
      <c r="G120" s="1">
        <f t="shared" si="28"/>
        <v>211.06758781143617</v>
      </c>
      <c r="H120" s="3">
        <f t="shared" si="29"/>
        <v>1452.5160803507049</v>
      </c>
      <c r="I120" s="3">
        <f t="shared" si="30"/>
        <v>1203.9626085714929</v>
      </c>
      <c r="J120" s="1">
        <f>VLOOKUP((A120+Forudsætninger!$C$60),'Model tilvækst, slagteform, fe'!G:K,2,FALSE)*(1+Forudsætninger!$C$79)</f>
        <v>48.677539204322251</v>
      </c>
      <c r="K120" s="17">
        <f t="shared" si="26"/>
        <v>102.74250780452914</v>
      </c>
      <c r="L120" s="17">
        <f t="shared" si="39"/>
        <v>745.24022028977299</v>
      </c>
      <c r="M120" s="3">
        <f>((K120-(('Model tilvækst, slagteform, fe'!$H$9/100)*'Model tilvækst, slagteform, fe'!$B$9))*1000/(A120+Forudsætninger!$C$60))</f>
        <v>524.17582023006526</v>
      </c>
      <c r="N120" s="17">
        <f t="shared" si="40"/>
        <v>457.18815573747793</v>
      </c>
      <c r="O120" s="19">
        <f>IF( A120&lt;Forudsætninger!$C$14,(G120/100)*Forudsætninger!$C$13,(Forudsætninger!$C$15/1000)*Forudsætninger!$C$13)</f>
        <v>1.3719393207743351</v>
      </c>
      <c r="P120" s="17" cm="1">
        <f t="array" ref="P120">INDEX('Model tilvækst, slagteform, fe'!$N$9:$N$375,MATCH(MIN(ABS('Model tilvækst, slagteform, fe'!$M$9:$M$375-'Vækstfunktion, hol'!G120)),ABS('Model tilvækst, slagteform, fe'!$M$9:$M$375-'Vækstfunktion, hol'!G120),0))*(1+Forudsætninger!$C$80)</f>
        <v>6.097179252903441</v>
      </c>
      <c r="Q120" s="17">
        <f t="shared" si="41"/>
        <v>8.181495156733039</v>
      </c>
      <c r="R120" s="17">
        <f t="shared" si="42"/>
        <v>6.4736629197439797</v>
      </c>
      <c r="S120" s="17">
        <f t="shared" si="31"/>
        <v>3.2181031773714337</v>
      </c>
      <c r="T120" s="19">
        <f>(P120)*IF(N120&lt;Forudsætninger!$B$228,IF(N120&lt;Forudsætninger!$B$227,Forudsætninger!$B$225,Forudsætninger!$C$9),Forudsætninger!$C$11)+O120</f>
        <v>15.639338772568385</v>
      </c>
      <c r="U120" s="2">
        <f>Forudsætninger!$C$68+((K120-(Forudsætninger!$C$84)))*0.01</f>
        <v>2.7244779370339316</v>
      </c>
      <c r="V120" s="2">
        <f>U120+Forudsætninger!$C$69</f>
        <v>1.7244779370339316</v>
      </c>
      <c r="W120">
        <f t="shared" si="32"/>
        <v>0</v>
      </c>
      <c r="X120">
        <f>IF(A120+Forudsætninger!$C$60&gt;248,IF(A120+Forudsætninger!$C$60&lt;365,IF(K120&gt;180,IF(K120&lt;260,1,0),0),0),0)</f>
        <v>0</v>
      </c>
      <c r="Y120" s="22">
        <f>IF(X120=0,0,IF('Vækstfunktion, hol'!A120&lt;Forudsætninger!$C$66,Forudsætninger!$C$67+(('Vækstfunktion, hol'!A120-Forudsætninger!$C$66)/7)*Forudsætninger!$C$64,Forudsætninger!$C$67))</f>
        <v>0</v>
      </c>
      <c r="Z120" s="19">
        <f t="shared" si="43"/>
        <v>1692.6208299227744</v>
      </c>
      <c r="AA120" s="19">
        <f>Forudsætninger!$C$62+Forudsætninger!$C$16</f>
        <v>1350</v>
      </c>
      <c r="AB120" s="19">
        <f>IF(K120&gt;Forudsætninger!$C$26,IF(K120&gt;Forudsætninger!$C$27,IF(K120&gt;Forudsætninger!$C$28,Forudsætninger!$E$28,Forudsætninger!$E$27+Forudsætninger!$F$28*(K120-Forudsætninger!$C$27)),Forudsætninger!$E$26+Forudsætninger!$F$27*(K120-Forudsætninger!$C$26)),Forudsætninger!$E$26)+IF(K120&gt;Forudsætninger!$C$28,Forudsætninger!$G$28,IF(K120&gt;Forudsætninger!$C$27,Forudsætninger!$G$27+Forudsætninger!$H$28*(K120-Forudsætninger!$C$27),IF(K120&gt;Forudsætninger!$C$26,Forudsætninger!$G$26+Forudsætninger!$H$27*(K120-Forudsætninger!$C$26),Forudsætninger!$G$26)))*(U120-Forudsætninger!$H$26)</f>
        <v>33.393358452775452</v>
      </c>
      <c r="AC120" s="19">
        <f>IF(K120&gt;Forudsætninger!$C$31,IF(K120&gt;Forudsætninger!$C$32,IF(K120&gt;Forudsætninger!$C$33,Forudsætninger!$E$33,Forudsætninger!$E$32+Forudsætninger!$F$33*(K120-Forudsætninger!$C$32)),Forudsætninger!$E$31+Forudsætninger!$F$32*(K120-Forudsætninger!$C$31)),Forudsætninger!$E$31)+IF(K120&gt;Forudsætninger!$C$33,Forudsætninger!$G$33,IF(K120&gt;Forudsætninger!$C$32,Forudsætninger!$G$32+Forudsætninger!$H$33*(K120-Forudsætninger!$C$32),IF(K120&gt;Forudsætninger!$C$31,Forudsætninger!$G$31+Forudsætninger!$H$32*(K120-Forudsætninger!$C$31),Forudsætninger!$G$31)))*(V120-Forudsætninger!$H$31)</f>
        <v>26.64182131814411</v>
      </c>
      <c r="AD120" s="19">
        <f t="shared" si="33"/>
        <v>2737.2475347062923</v>
      </c>
      <c r="AE120" s="19">
        <f t="shared" si="34"/>
        <v>26.641821318144114</v>
      </c>
      <c r="AF120">
        <f>IF(G120&lt;=Forudsætninger!$C$97,Forudsætninger!$C$98,(IF(G120&lt;=Forudsætninger!$D$97,Forudsætninger!$D$98,IF(G120&lt;=Forudsætninger!$E$97,Forudsætninger!$E$98,IF(G120&lt;=Forudsætninger!$F$97,Forudsætninger!$F$98,IF(G120&lt;=Forudsætninger!$G$97,Forudsætninger!$G$98,IF(G120&lt;=Forudsætninger!$H$97,Forudsætninger!$H$98,IF(G120&lt;=Forudsætninger!$I$97,Forudsætninger!$I$98,Forudsætninger!$I$98))))))))</f>
        <v>3.2</v>
      </c>
      <c r="AG120" s="1">
        <f t="shared" si="44"/>
        <v>3.2</v>
      </c>
      <c r="AH120" s="1">
        <f t="shared" si="48"/>
        <v>267.59999999999945</v>
      </c>
      <c r="AI120" s="1">
        <f t="shared" si="35"/>
        <v>2.2677966101694871</v>
      </c>
      <c r="AJ120" s="20">
        <f>+(W120*Forudsætninger!$C$12)</f>
        <v>0</v>
      </c>
      <c r="AK120" s="20">
        <f>Forudsætninger!$C$17</f>
        <v>250</v>
      </c>
      <c r="AL120" s="20">
        <f>IF(A120&lt;92,Forudsætninger!$C$20,Forudsætninger!$C$21)</f>
        <v>1.0566762728146013</v>
      </c>
      <c r="AM120" s="20">
        <f t="shared" si="45"/>
        <v>393.1932830454125</v>
      </c>
      <c r="AN120" s="20">
        <f>IFERROR(AD120+AJ120-AA120-Z120-AK120-AM120-Forudsætninger!$C$75,-99999999)</f>
        <v>-1130.9607708112892</v>
      </c>
      <c r="AO120" s="19">
        <f>IFERROR(AN120/(A120+Forudsætninger!$C$74),-99999999)</f>
        <v>-9.5844133119600787</v>
      </c>
      <c r="AP120" s="19">
        <f>IFERROR(((365/(A120+Forudsætninger!$C$74))*AN120)/(AI120+Forudsætninger!$C$73),-9999999)</f>
        <v>-1471.2405778962197</v>
      </c>
      <c r="AQ120" s="18">
        <f t="shared" si="36"/>
        <v>118</v>
      </c>
      <c r="AR120" s="18">
        <f t="shared" si="46"/>
        <v>3685.8141129681871</v>
      </c>
      <c r="AS120" s="52">
        <f t="shared" si="27"/>
        <v>5.2</v>
      </c>
      <c r="AT120" s="50">
        <f t="shared" si="49"/>
        <v>4.1467038027965373</v>
      </c>
      <c r="AU120" s="50">
        <f t="shared" si="50"/>
        <v>0.11735997533979869</v>
      </c>
      <c r="AV120" s="2">
        <f t="shared" si="51"/>
        <v>23.022156024298511</v>
      </c>
      <c r="AW120" s="61">
        <f t="shared" si="47"/>
        <v>-6.2522668454735317</v>
      </c>
      <c r="BA120" s="16"/>
      <c r="BB120" s="2"/>
    </row>
    <row r="121" spans="1:54" x14ac:dyDescent="0.25">
      <c r="A121">
        <v>119</v>
      </c>
      <c r="B121" s="1">
        <f>ROUND((A121+Forudsætninger!$C$60)/30.4,1)</f>
        <v>5.2</v>
      </c>
      <c r="C121" s="1">
        <f>VLOOKUP((A121+Forudsætninger!$C$60),'Model tilvækst, slagteform, fe'!A:B,2,FALSE)</f>
        <v>224.33978841049844</v>
      </c>
      <c r="D121" s="3">
        <f t="shared" si="37"/>
        <v>1612.4216893779533</v>
      </c>
      <c r="E121" s="1">
        <f>(1+Forudsætninger!$C$78)*C121</f>
        <v>208.63600322176353</v>
      </c>
      <c r="F121" s="2">
        <f t="shared" si="38"/>
        <v>3.8850675696690349</v>
      </c>
      <c r="G121" s="1">
        <f t="shared" si="28"/>
        <v>212.52107079143258</v>
      </c>
      <c r="H121" s="3">
        <f t="shared" si="29"/>
        <v>1453.4829799964086</v>
      </c>
      <c r="I121" s="3">
        <f t="shared" si="30"/>
        <v>1206.0594184153997</v>
      </c>
      <c r="J121" s="1">
        <f>VLOOKUP((A121+Forudsætninger!$C$60),'Model tilvækst, slagteform, fe'!G:K,2,FALSE)*(1+Forudsætninger!$C$79)</f>
        <v>48.695781773239659</v>
      </c>
      <c r="K121" s="17">
        <f t="shared" si="26"/>
        <v>103.48879685474819</v>
      </c>
      <c r="L121" s="17">
        <f t="shared" si="39"/>
        <v>746.28905021904757</v>
      </c>
      <c r="M121" s="3">
        <f>((K121-(('Model tilvækst, slagteform, fe'!$H$9/100)*'Model tilvækst, slagteform, fe'!$B$9))*1000/(A121+Forudsætninger!$C$60))</f>
        <v>525.58160016670433</v>
      </c>
      <c r="N121" s="17">
        <f t="shared" si="40"/>
        <v>463.33084670209331</v>
      </c>
      <c r="O121" s="19">
        <f>IF( A121&lt;Forudsætninger!$C$14,(G121/100)*Forudsætninger!$C$13,(Forudsætninger!$C$15/1000)*Forudsætninger!$C$13)</f>
        <v>1.3813869601443118</v>
      </c>
      <c r="P121" s="17" cm="1">
        <f t="array" ref="P121">INDEX('Model tilvækst, slagteform, fe'!$N$9:$N$375,MATCH(MIN(ABS('Model tilvækst, slagteform, fe'!$M$9:$M$375-'Vækstfunktion, hol'!G121)),ABS('Model tilvækst, slagteform, fe'!$M$9:$M$375-'Vækstfunktion, hol'!G121),0))*(1+Forudsætninger!$C$80)</f>
        <v>6.1426909646153911</v>
      </c>
      <c r="Q121" s="17">
        <f t="shared" si="41"/>
        <v>8.2309809621518824</v>
      </c>
      <c r="R121" s="17">
        <f t="shared" si="42"/>
        <v>6.4920387650934908</v>
      </c>
      <c r="S121" s="17">
        <f t="shared" si="31"/>
        <v>3.2283123596214947</v>
      </c>
      <c r="T121" s="19">
        <f>(P121)*IF(N121&lt;Forudsætninger!$B$228,IF(N121&lt;Forudsætninger!$B$227,Forudsætninger!$B$225,Forudsætninger!$C$9),Forudsætninger!$C$11)+O121</f>
        <v>15.755283817344326</v>
      </c>
      <c r="U121" s="2">
        <f>Forudsætninger!$C$68+((K121-(Forudsætninger!$C$84)))*0.01</f>
        <v>2.7319408275361221</v>
      </c>
      <c r="V121" s="2">
        <f>U121+Forudsætninger!$C$69</f>
        <v>1.7319408275361221</v>
      </c>
      <c r="W121">
        <f t="shared" si="32"/>
        <v>0</v>
      </c>
      <c r="X121">
        <f>IF(A121+Forudsætninger!$C$60&gt;248,IF(A121+Forudsætninger!$C$60&lt;365,IF(K121&gt;180,IF(K121&lt;260,1,0),0),0),0)</f>
        <v>0</v>
      </c>
      <c r="Y121" s="22">
        <f>IF(X121=0,0,IF('Vækstfunktion, hol'!A121&lt;Forudsætninger!$C$66,Forudsætninger!$C$67+(('Vækstfunktion, hol'!A121-Forudsætninger!$C$66)/7)*Forudsætninger!$C$64,Forudsætninger!$C$67))</f>
        <v>0</v>
      </c>
      <c r="Z121" s="19">
        <f t="shared" si="43"/>
        <v>1708.3761137401189</v>
      </c>
      <c r="AA121" s="19">
        <f>Forudsætninger!$C$62+Forudsætninger!$C$16</f>
        <v>1350</v>
      </c>
      <c r="AB121" s="19">
        <f>IF(K121&gt;Forudsætninger!$C$26,IF(K121&gt;Forudsætninger!$C$27,IF(K121&gt;Forudsætninger!$C$28,Forudsætninger!$E$28,Forudsætninger!$E$27+Forudsætninger!$F$28*(K121-Forudsætninger!$C$27)),Forudsætninger!$E$26+Forudsætninger!$F$27*(K121-Forudsætninger!$C$26)),Forudsætninger!$E$26)+IF(K121&gt;Forudsætninger!$C$28,Forudsætninger!$G$28,IF(K121&gt;Forudsætninger!$C$27,Forudsætninger!$G$27+Forudsætninger!$H$28*(K121-Forudsætninger!$C$27),IF(K121&gt;Forudsætninger!$C$26,Forudsætninger!$G$26+Forudsætninger!$H$27*(K121-Forudsætninger!$C$26),Forudsætninger!$G$26)))*(U121-Forudsætninger!$H$26)</f>
        <v>33.398955620652096</v>
      </c>
      <c r="AC121" s="19">
        <f>IF(K121&gt;Forudsætninger!$C$31,IF(K121&gt;Forudsætninger!$C$32,IF(K121&gt;Forudsætninger!$C$33,Forudsætninger!$E$33,Forudsætninger!$E$32+Forudsætninger!$F$33*(K121-Forudsætninger!$C$32)),Forudsætninger!$E$31+Forudsætninger!$F$32*(K121-Forudsætninger!$C$31)),Forudsætninger!$E$31)+IF(K121&gt;Forudsætninger!$C$33,Forudsætninger!$G$33,IF(K121&gt;Forudsætninger!$C$32,Forudsætninger!$G$32+Forudsætninger!$H$33*(K121-Forudsætninger!$C$32),IF(K121&gt;Forudsætninger!$C$31,Forudsætninger!$G$31+Forudsætninger!$H$32*(K121-Forudsætninger!$C$31),Forudsætninger!$G$31)))*(V121-Forudsætninger!$H$31)</f>
        <v>26.651523075796959</v>
      </c>
      <c r="AD121" s="19">
        <f t="shared" si="33"/>
        <v>2758.1340574607852</v>
      </c>
      <c r="AE121" s="19">
        <f t="shared" si="34"/>
        <v>26.651523075796959</v>
      </c>
      <c r="AF121">
        <f>IF(G121&lt;=Forudsætninger!$C$97,Forudsætninger!$C$98,(IF(G121&lt;=Forudsætninger!$D$97,Forudsætninger!$D$98,IF(G121&lt;=Forudsætninger!$E$97,Forudsætninger!$E$98,IF(G121&lt;=Forudsætninger!$F$97,Forudsætninger!$F$98,IF(G121&lt;=Forudsætninger!$G$97,Forudsætninger!$G$98,IF(G121&lt;=Forudsætninger!$H$97,Forudsætninger!$H$98,IF(G121&lt;=Forudsætninger!$I$97,Forudsætninger!$I$98,Forudsætninger!$I$98))))))))</f>
        <v>3.2</v>
      </c>
      <c r="AG121" s="1">
        <f t="shared" si="44"/>
        <v>3.2</v>
      </c>
      <c r="AH121" s="1">
        <f t="shared" si="48"/>
        <v>270.79999999999944</v>
      </c>
      <c r="AI121" s="1">
        <f t="shared" si="35"/>
        <v>2.2756302521008358</v>
      </c>
      <c r="AJ121" s="20">
        <f>+(W121*Forudsætninger!$C$12)</f>
        <v>0</v>
      </c>
      <c r="AK121" s="20">
        <f>Forudsætninger!$C$17</f>
        <v>250</v>
      </c>
      <c r="AL121" s="20">
        <f>IF(A121&lt;92,Forudsætninger!$C$20,Forudsætninger!$C$21)</f>
        <v>1.0566762728146013</v>
      </c>
      <c r="AM121" s="20">
        <f t="shared" si="45"/>
        <v>394.24995931822713</v>
      </c>
      <c r="AN121" s="20">
        <f>IFERROR(AD121+AJ121-AA121-Z121-AK121-AM121-Forudsætninger!$C$75,-99999999)</f>
        <v>-1126.8862081469554</v>
      </c>
      <c r="AO121" s="19">
        <f>IFERROR(AN121/(A121+Forudsætninger!$C$74),-99999999)</f>
        <v>-9.4696320012349187</v>
      </c>
      <c r="AP121" s="19">
        <f>IFERROR(((365/(A121+Forudsætninger!$C$74))*AN121)/(AI121+Forudsætninger!$C$73),-9999999)</f>
        <v>-1448.8480255508807</v>
      </c>
      <c r="AQ121" s="18">
        <f t="shared" si="36"/>
        <v>119</v>
      </c>
      <c r="AR121" s="18">
        <f t="shared" si="46"/>
        <v>3702.6260730583458</v>
      </c>
      <c r="AS121" s="52">
        <f t="shared" si="27"/>
        <v>5.2</v>
      </c>
      <c r="AT121" s="50">
        <f t="shared" si="49"/>
        <v>4.0745626643338255</v>
      </c>
      <c r="AU121" s="50">
        <f t="shared" si="50"/>
        <v>0.11478131072516007</v>
      </c>
      <c r="AV121" s="2">
        <f t="shared" si="51"/>
        <v>22.392552345339027</v>
      </c>
      <c r="AW121" s="61">
        <f t="shared" si="47"/>
        <v>-6.1566071330145222</v>
      </c>
      <c r="BA121" s="16"/>
      <c r="BB121" s="2"/>
    </row>
    <row r="122" spans="1:54" x14ac:dyDescent="0.25">
      <c r="A122">
        <v>120</v>
      </c>
      <c r="B122" s="1">
        <f>ROUND((A122+Forudsætninger!$C$60)/30.4,1)</f>
        <v>5.2</v>
      </c>
      <c r="C122" s="1">
        <f>VLOOKUP((A122+Forudsætninger!$C$60),'Model tilvækst, slagteform, fe'!A:B,2,FALSE)</f>
        <v>225.95320697699321</v>
      </c>
      <c r="D122" s="3">
        <f t="shared" si="37"/>
        <v>1613.4185664947722</v>
      </c>
      <c r="E122" s="1">
        <f>(1+Forudsætninger!$C$78)*C122</f>
        <v>210.13648248860369</v>
      </c>
      <c r="F122" s="2">
        <f t="shared" si="38"/>
        <v>3.8389698963406129</v>
      </c>
      <c r="G122" s="1">
        <f t="shared" si="28"/>
        <v>213.9754523849443</v>
      </c>
      <c r="H122" s="3">
        <f t="shared" si="29"/>
        <v>1454.3815935117266</v>
      </c>
      <c r="I122" s="3">
        <f t="shared" si="30"/>
        <v>1208.1287698745359</v>
      </c>
      <c r="J122" s="1">
        <f>VLOOKUP((A122+Forudsætninger!$C$60),'Model tilvækst, slagteform, fe'!G:K,2,FALSE)*(1+Forudsætninger!$C$79)</f>
        <v>48.714048868296508</v>
      </c>
      <c r="K122" s="17">
        <f t="shared" si="26"/>
        <v>104.2361064409603</v>
      </c>
      <c r="L122" s="17">
        <f t="shared" si="39"/>
        <v>747.3095862121113</v>
      </c>
      <c r="M122" s="3">
        <f>((K122-(('Model tilvækst, slagteform, fe'!$H$9/100)*'Model tilvækst, slagteform, fe'!$B$9))*1000/(A122+Forudsætninger!$C$60))</f>
        <v>526.97611580221007</v>
      </c>
      <c r="N122" s="17">
        <f t="shared" si="40"/>
        <v>469.49571327360843</v>
      </c>
      <c r="O122" s="19">
        <f>IF( A122&lt;Forudsætninger!$C$14,(G122/100)*Forudsætninger!$C$13,(Forudsætninger!$C$15/1000)*Forudsætninger!$C$13)</f>
        <v>1.390840440502138</v>
      </c>
      <c r="P122" s="17" cm="1">
        <f t="array" ref="P122">INDEX('Model tilvækst, slagteform, fe'!$N$9:$N$375,MATCH(MIN(ABS('Model tilvækst, slagteform, fe'!$M$9:$M$375-'Vækstfunktion, hol'!G122)),ABS('Model tilvækst, slagteform, fe'!$M$9:$M$375-'Vækstfunktion, hol'!G122),0))*(1+Forudsætninger!$C$80)</f>
        <v>6.1648665715151161</v>
      </c>
      <c r="Q122" s="17">
        <f t="shared" si="41"/>
        <v>8.2494145468720408</v>
      </c>
      <c r="R122" s="17">
        <f t="shared" si="42"/>
        <v>6.5102496564064651</v>
      </c>
      <c r="S122" s="17">
        <f t="shared" si="31"/>
        <v>3.2384497206257072</v>
      </c>
      <c r="T122" s="19">
        <f>(P122)*IF(N122&lt;Forudsætninger!$B$228,IF(N122&lt;Forudsætninger!$B$227,Forudsætninger!$B$225,Forudsætninger!$C$9),Forudsætninger!$C$11)+O122</f>
        <v>15.816628217847509</v>
      </c>
      <c r="U122" s="2">
        <f>Forudsætninger!$C$68+((K122-(Forudsætninger!$C$84)))*0.01</f>
        <v>2.7394139233982431</v>
      </c>
      <c r="V122" s="2">
        <f>U122+Forudsætninger!$C$69</f>
        <v>1.7394139233982431</v>
      </c>
      <c r="W122">
        <f t="shared" si="32"/>
        <v>0</v>
      </c>
      <c r="X122">
        <f>IF(A122+Forudsætninger!$C$60&gt;248,IF(A122+Forudsætninger!$C$60&lt;365,IF(K122&gt;180,IF(K122&lt;260,1,0),0),0),0)</f>
        <v>0</v>
      </c>
      <c r="Y122" s="22">
        <f>IF(X122=0,0,IF('Vækstfunktion, hol'!A122&lt;Forudsætninger!$C$66,Forudsætninger!$C$67+(('Vækstfunktion, hol'!A122-Forudsætninger!$C$66)/7)*Forudsætninger!$C$64,Forudsætninger!$C$67))</f>
        <v>0</v>
      </c>
      <c r="Z122" s="19">
        <f t="shared" si="43"/>
        <v>1724.1927419579663</v>
      </c>
      <c r="AA122" s="19">
        <f>Forudsætninger!$C$62+Forudsætninger!$C$16</f>
        <v>1350</v>
      </c>
      <c r="AB122" s="19">
        <f>IF(K122&gt;Forudsætninger!$C$26,IF(K122&gt;Forudsætninger!$C$27,IF(K122&gt;Forudsætninger!$C$28,Forudsætninger!$E$28,Forudsætninger!$E$27+Forudsætninger!$F$28*(K122-Forudsætninger!$C$27)),Forudsætninger!$E$26+Forudsætninger!$F$27*(K122-Forudsætninger!$C$26)),Forudsætninger!$E$26)+IF(K122&gt;Forudsætninger!$C$28,Forudsætninger!$G$28,IF(K122&gt;Forudsætninger!$C$27,Forudsætninger!$G$27+Forudsætninger!$H$28*(K122-Forudsætninger!$C$27),IF(K122&gt;Forudsætninger!$C$26,Forudsætninger!$G$26+Forudsætninger!$H$27*(K122-Forudsætninger!$C$26),Forudsætninger!$G$26)))*(U122-Forudsætninger!$H$26)</f>
        <v>33.404560442548686</v>
      </c>
      <c r="AC122" s="19">
        <f>IF(K122&gt;Forudsætninger!$C$31,IF(K122&gt;Forudsætninger!$C$32,IF(K122&gt;Forudsætninger!$C$33,Forudsætninger!$E$33,Forudsætninger!$E$32+Forudsætninger!$F$33*(K122-Forudsætninger!$C$32)),Forudsætninger!$E$31+Forudsætninger!$F$32*(K122-Forudsætninger!$C$31)),Forudsætninger!$E$31)+IF(K122&gt;Forudsætninger!$C$33,Forudsætninger!$G$33,IF(K122&gt;Forudsætninger!$C$32,Forudsætninger!$G$32+Forudsætninger!$H$33*(K122-Forudsætninger!$C$32),IF(K122&gt;Forudsætninger!$C$31,Forudsætninger!$G$31+Forudsætninger!$H$32*(K122-Forudsætninger!$C$31),Forudsætninger!$G$31)))*(V122-Forudsætninger!$H$31)</f>
        <v>26.661238100417716</v>
      </c>
      <c r="AD122" s="19">
        <f t="shared" si="33"/>
        <v>2779.0636524829274</v>
      </c>
      <c r="AE122" s="19">
        <f t="shared" si="34"/>
        <v>26.661238100417719</v>
      </c>
      <c r="AF122">
        <f>IF(G122&lt;=Forudsætninger!$C$97,Forudsætninger!$C$98,(IF(G122&lt;=Forudsætninger!$D$97,Forudsætninger!$D$98,IF(G122&lt;=Forudsætninger!$E$97,Forudsætninger!$E$98,IF(G122&lt;=Forudsætninger!$F$97,Forudsætninger!$F$98,IF(G122&lt;=Forudsætninger!$G$97,Forudsætninger!$G$98,IF(G122&lt;=Forudsætninger!$H$97,Forudsætninger!$H$98,IF(G122&lt;=Forudsætninger!$I$97,Forudsætninger!$I$98,Forudsætninger!$I$98))))))))</f>
        <v>3.2</v>
      </c>
      <c r="AG122" s="1">
        <f t="shared" si="44"/>
        <v>3.2</v>
      </c>
      <c r="AH122" s="1">
        <f t="shared" si="48"/>
        <v>273.99999999999943</v>
      </c>
      <c r="AI122" s="1">
        <f t="shared" si="35"/>
        <v>2.2833333333333288</v>
      </c>
      <c r="AJ122" s="20">
        <f>+(W122*Forudsætninger!$C$12)</f>
        <v>0</v>
      </c>
      <c r="AK122" s="20">
        <f>Forudsætninger!$C$17</f>
        <v>250</v>
      </c>
      <c r="AL122" s="20">
        <f>IF(A122&lt;92,Forudsætninger!$C$20,Forudsætninger!$C$21)</f>
        <v>1.0566762728146013</v>
      </c>
      <c r="AM122" s="20">
        <f t="shared" si="45"/>
        <v>395.30663559104175</v>
      </c>
      <c r="AN122" s="20">
        <f>IFERROR(AD122+AJ122-AA122-Z122-AK122-AM122-Forudsætninger!$C$75,-99999999)</f>
        <v>-1122.8299176154751</v>
      </c>
      <c r="AO122" s="19">
        <f>IFERROR(AN122/(A122+Forudsætninger!$C$74),-99999999)</f>
        <v>-9.3569159801289583</v>
      </c>
      <c r="AP122" s="19">
        <f>IFERROR(((365/(A122+Forudsætninger!$C$74))*AN122)/(AI122+Forudsætninger!$C$73),-9999999)</f>
        <v>-1426.9948465517032</v>
      </c>
      <c r="AQ122" s="18">
        <f t="shared" si="36"/>
        <v>120</v>
      </c>
      <c r="AR122" s="18">
        <f t="shared" si="46"/>
        <v>3719.4993775490079</v>
      </c>
      <c r="AS122" s="52">
        <f t="shared" si="27"/>
        <v>5.2</v>
      </c>
      <c r="AT122" s="50">
        <f t="shared" si="49"/>
        <v>4.056290531480272</v>
      </c>
      <c r="AU122" s="50">
        <f t="shared" si="50"/>
        <v>0.11271602110596035</v>
      </c>
      <c r="AV122" s="2">
        <f t="shared" si="51"/>
        <v>21.853178999177544</v>
      </c>
      <c r="AW122" s="61">
        <f t="shared" si="47"/>
        <v>-6.0626940168702781</v>
      </c>
      <c r="BA122" s="16"/>
      <c r="BB122" s="2"/>
    </row>
    <row r="123" spans="1:54" x14ac:dyDescent="0.25">
      <c r="A123">
        <v>121</v>
      </c>
      <c r="B123" s="1">
        <f>ROUND((A123+Forudsætninger!$C$60)/30.4,1)</f>
        <v>5.3</v>
      </c>
      <c r="C123" s="1">
        <f>VLOOKUP((A123+Forudsætninger!$C$60),'Model tilvækst, slagteform, fe'!A:B,2,FALSE)</f>
        <v>227.56754720171733</v>
      </c>
      <c r="D123" s="3">
        <f t="shared" si="37"/>
        <v>1614.340224724117</v>
      </c>
      <c r="E123" s="1">
        <f>(1+Forudsætninger!$C$78)*C123</f>
        <v>211.6378188975971</v>
      </c>
      <c r="F123" s="2">
        <f t="shared" si="38"/>
        <v>3.7928458899199238</v>
      </c>
      <c r="G123" s="1">
        <f t="shared" si="28"/>
        <v>215.43066478751703</v>
      </c>
      <c r="H123" s="3">
        <f t="shared" si="29"/>
        <v>1455.2124025727267</v>
      </c>
      <c r="I123" s="3">
        <f t="shared" si="30"/>
        <v>1210.1707833679095</v>
      </c>
      <c r="J123" s="1">
        <f>VLOOKUP((A123+Forudsætninger!$C$60),'Model tilvækst, slagteform, fe'!G:K,2,FALSE)*(1+Forudsætninger!$C$79)</f>
        <v>48.732342098342208</v>
      </c>
      <c r="K123" s="17">
        <f t="shared" si="26"/>
        <v>104.98440854898564</v>
      </c>
      <c r="L123" s="17">
        <f t="shared" si="39"/>
        <v>748.30210802534225</v>
      </c>
      <c r="M123" s="3">
        <f>((K123-(('Model tilvækst, slagteform, fe'!$H$9/100)*'Model tilvækst, slagteform, fe'!$B$9))*1000/(A123+Forudsætninger!$C$60))</f>
        <v>528.35940325360468</v>
      </c>
      <c r="N123" s="17">
        <f t="shared" si="40"/>
        <v>475.68237480488574</v>
      </c>
      <c r="O123" s="19">
        <f>IF( A123&lt;Forudsætninger!$C$14,(G123/100)*Forudsætninger!$C$13,(Forudsætninger!$C$15/1000)*Forudsætninger!$C$13)</f>
        <v>1.4002993211188608</v>
      </c>
      <c r="P123" s="17" cm="1">
        <f t="array" ref="P123">INDEX('Model tilvækst, slagteform, fe'!$N$9:$N$375,MATCH(MIN(ABS('Model tilvækst, slagteform, fe'!$M$9:$M$375-'Vækstfunktion, hol'!G123)),ABS('Model tilvækst, slagteform, fe'!$M$9:$M$375-'Vækstfunktion, hol'!G123),0))*(1+Forudsætninger!$C$80)</f>
        <v>6.1866615312773368</v>
      </c>
      <c r="Q123" s="17">
        <f t="shared" si="41"/>
        <v>8.2675986943335147</v>
      </c>
      <c r="R123" s="17">
        <f t="shared" si="42"/>
        <v>6.5282971897686286</v>
      </c>
      <c r="S123" s="17">
        <f t="shared" si="31"/>
        <v>3.24851611849977</v>
      </c>
      <c r="T123" s="19">
        <f>(P123)*IF(N123&lt;Forudsætninger!$B$228,IF(N123&lt;Forudsætninger!$B$227,Forudsætninger!$B$225,Forudsætninger!$C$9),Forudsætninger!$C$11)+O123</f>
        <v>15.877087304307828</v>
      </c>
      <c r="U123" s="2">
        <f>Forudsætninger!$C$68+((K123-(Forudsætninger!$C$84)))*0.01</f>
        <v>2.7468969444784967</v>
      </c>
      <c r="V123" s="2">
        <f>U123+Forudsætninger!$C$69</f>
        <v>1.7468969444784967</v>
      </c>
      <c r="W123">
        <f t="shared" si="32"/>
        <v>0</v>
      </c>
      <c r="X123">
        <f>IF(A123+Forudsætninger!$C$60&gt;248,IF(A123+Forudsætninger!$C$60&lt;365,IF(K123&gt;180,IF(K123&lt;260,1,0),0),0),0)</f>
        <v>0</v>
      </c>
      <c r="Y123" s="22">
        <f>IF(X123=0,0,IF('Vækstfunktion, hol'!A123&lt;Forudsætninger!$C$66,Forudsætninger!$C$67+(('Vækstfunktion, hol'!A123-Forudsætninger!$C$66)/7)*Forudsætninger!$C$64,Forudsætninger!$C$67))</f>
        <v>0</v>
      </c>
      <c r="Z123" s="19">
        <f t="shared" si="43"/>
        <v>1740.0698292622742</v>
      </c>
      <c r="AA123" s="19">
        <f>Forudsætninger!$C$62+Forudsætninger!$C$16</f>
        <v>1350</v>
      </c>
      <c r="AB123" s="19">
        <f>IF(K123&gt;Forudsætninger!$C$26,IF(K123&gt;Forudsætninger!$C$27,IF(K123&gt;Forudsætninger!$C$28,Forudsætninger!$E$28,Forudsætninger!$E$27+Forudsætninger!$F$28*(K123-Forudsætninger!$C$27)),Forudsætninger!$E$26+Forudsætninger!$F$27*(K123-Forudsætninger!$C$26)),Forudsætninger!$E$26)+IF(K123&gt;Forudsætninger!$C$28,Forudsætninger!$G$28,IF(K123&gt;Forudsætninger!$C$27,Forudsætninger!$G$27+Forudsætninger!$H$28*(K123-Forudsætninger!$C$27),IF(K123&gt;Forudsætninger!$C$26,Forudsætninger!$G$26+Forudsætninger!$H$27*(K123-Forudsætninger!$C$26),Forudsætninger!$G$26)))*(U123-Forudsætninger!$H$26)</f>
        <v>33.410172708358871</v>
      </c>
      <c r="AC123" s="19">
        <f>IF(K123&gt;Forudsætninger!$C$31,IF(K123&gt;Forudsætninger!$C$32,IF(K123&gt;Forudsætninger!$C$33,Forudsætninger!$E$33,Forudsætninger!$E$32+Forudsætninger!$F$33*(K123-Forudsætninger!$C$32)),Forudsætninger!$E$31+Forudsætninger!$F$32*(K123-Forudsætninger!$C$31)),Forudsætninger!$E$31)+IF(K123&gt;Forudsætninger!$C$33,Forudsætninger!$G$33,IF(K123&gt;Forudsætninger!$C$32,Forudsætninger!$G$32+Forudsætninger!$H$33*(K123-Forudsætninger!$C$32),IF(K123&gt;Forudsætninger!$C$31,Forudsætninger!$G$31+Forudsætninger!$H$32*(K123-Forudsætninger!$C$31),Forudsætninger!$G$31)))*(V123-Forudsætninger!$H$31)</f>
        <v>26.670966027822047</v>
      </c>
      <c r="AD123" s="19">
        <f t="shared" si="33"/>
        <v>2800.0355938609864</v>
      </c>
      <c r="AE123" s="19">
        <f t="shared" si="34"/>
        <v>26.670966027822047</v>
      </c>
      <c r="AF123">
        <f>IF(G123&lt;=Forudsætninger!$C$97,Forudsætninger!$C$98,(IF(G123&lt;=Forudsætninger!$D$97,Forudsætninger!$D$98,IF(G123&lt;=Forudsætninger!$E$97,Forudsætninger!$E$98,IF(G123&lt;=Forudsætninger!$F$97,Forudsætninger!$F$98,IF(G123&lt;=Forudsætninger!$G$97,Forudsætninger!$G$98,IF(G123&lt;=Forudsætninger!$H$97,Forudsætninger!$H$98,IF(G123&lt;=Forudsætninger!$I$97,Forudsætninger!$I$98,Forudsætninger!$I$98))))))))</f>
        <v>3.2</v>
      </c>
      <c r="AG123" s="1">
        <f t="shared" si="44"/>
        <v>3.2</v>
      </c>
      <c r="AH123" s="1">
        <f t="shared" si="48"/>
        <v>277.19999999999942</v>
      </c>
      <c r="AI123" s="1">
        <f t="shared" si="35"/>
        <v>2.2909090909090861</v>
      </c>
      <c r="AJ123" s="20">
        <f>+(W123*Forudsætninger!$C$12)</f>
        <v>0</v>
      </c>
      <c r="AK123" s="20">
        <f>Forudsætninger!$C$17</f>
        <v>250</v>
      </c>
      <c r="AL123" s="20">
        <f>IF(A123&lt;92,Forudsætninger!$C$20,Forudsætninger!$C$21)</f>
        <v>1.0566762728146013</v>
      </c>
      <c r="AM123" s="20">
        <f t="shared" si="45"/>
        <v>396.36331186385638</v>
      </c>
      <c r="AN123" s="20">
        <f>IFERROR(AD123+AJ123-AA123-Z123-AK123-AM123-Forudsætninger!$C$75,-99999999)</f>
        <v>-1118.7917398145387</v>
      </c>
      <c r="AO123" s="19">
        <f>IFERROR(AN123/(A123+Forudsætninger!$C$74),-99999999)</f>
        <v>-9.2462127257399889</v>
      </c>
      <c r="AP123" s="19">
        <f>IFERROR(((365/(A123+Forudsætninger!$C$74))*AN123)/(AI123+Forudsætninger!$C$73),-9999999)</f>
        <v>-1405.6624041592629</v>
      </c>
      <c r="AQ123" s="18">
        <f t="shared" si="36"/>
        <v>121</v>
      </c>
      <c r="AR123" s="18">
        <f t="shared" si="46"/>
        <v>3736.4331411261305</v>
      </c>
      <c r="AS123" s="52">
        <f t="shared" si="27"/>
        <v>5.3</v>
      </c>
      <c r="AT123" s="50">
        <f t="shared" si="49"/>
        <v>4.0381778009364098</v>
      </c>
      <c r="AU123" s="50">
        <f t="shared" si="50"/>
        <v>0.11070325438896944</v>
      </c>
      <c r="AV123" s="2">
        <f t="shared" si="51"/>
        <v>21.332442392440271</v>
      </c>
      <c r="AW123" s="61">
        <f t="shared" si="47"/>
        <v>-5.970482875625474</v>
      </c>
      <c r="BA123" s="16"/>
      <c r="BB123" s="2"/>
    </row>
    <row r="124" spans="1:54" x14ac:dyDescent="0.25">
      <c r="A124">
        <v>122</v>
      </c>
      <c r="B124" s="1">
        <f>ROUND((A124+Forudsætninger!$C$60)/30.4,1)</f>
        <v>5.3</v>
      </c>
      <c r="C124" s="1">
        <f>VLOOKUP((A124+Forudsætninger!$C$60),'Model tilvækst, slagteform, fe'!A:B,2,FALSE)</f>
        <v>229.18273440013056</v>
      </c>
      <c r="D124" s="3">
        <f t="shared" si="37"/>
        <v>1615.1871984132242</v>
      </c>
      <c r="E124" s="1">
        <f>(1+Forudsætninger!$C$78)*C124</f>
        <v>213.13994299212141</v>
      </c>
      <c r="F124" s="2">
        <f t="shared" si="38"/>
        <v>3.7466976842509747</v>
      </c>
      <c r="G124" s="1">
        <f t="shared" si="28"/>
        <v>216.88664067637237</v>
      </c>
      <c r="H124" s="3">
        <f t="shared" si="29"/>
        <v>1455.9758888553347</v>
      </c>
      <c r="I124" s="3">
        <f t="shared" si="30"/>
        <v>1212.1855793145276</v>
      </c>
      <c r="J124" s="1">
        <f>VLOOKUP((A124+Forudsætninger!$C$60),'Model tilvækst, slagteform, fe'!G:K,2,FALSE)*(1+Forudsætninger!$C$79)</f>
        <v>48.750663072226175</v>
      </c>
      <c r="K124" s="17">
        <f t="shared" si="26"/>
        <v>105.73367544480814</v>
      </c>
      <c r="L124" s="17">
        <f t="shared" si="39"/>
        <v>749.26689582250106</v>
      </c>
      <c r="M124" s="3">
        <f>((K124-(('Model tilvækst, slagteform, fe'!$H$9/100)*'Model tilvækst, slagteform, fe'!$B$9))*1000/(A124+Forudsætninger!$C$60))</f>
        <v>529.73149948074069</v>
      </c>
      <c r="N124" s="17">
        <f t="shared" si="40"/>
        <v>481.89045528810931</v>
      </c>
      <c r="O124" s="19">
        <f>IF( A124&lt;Forudsætninger!$C$14,(G124/100)*Forudsætninger!$C$13,(Forudsætninger!$C$15/1000)*Forudsætninger!$C$13)</f>
        <v>1.4097631643964204</v>
      </c>
      <c r="P124" s="17" cm="1">
        <f t="array" ref="P124">INDEX('Model tilvækst, slagteform, fe'!$N$9:$N$375,MATCH(MIN(ABS('Model tilvækst, slagteform, fe'!$M$9:$M$375-'Vækstfunktion, hol'!G124)),ABS('Model tilvækst, slagteform, fe'!$M$9:$M$375-'Vækstfunktion, hol'!G124),0))*(1+Forudsætninger!$C$80)</f>
        <v>6.2080804832235437</v>
      </c>
      <c r="Q124" s="17">
        <f t="shared" si="41"/>
        <v>8.2855395291535991</v>
      </c>
      <c r="R124" s="17">
        <f t="shared" si="42"/>
        <v>6.5461829753320178</v>
      </c>
      <c r="S124" s="17">
        <f t="shared" si="31"/>
        <v>3.2585124192702031</v>
      </c>
      <c r="T124" s="19">
        <f>(P124)*IF(N124&lt;Forudsætninger!$B$228,IF(N124&lt;Forudsætninger!$B$227,Forudsætninger!$B$225,Forudsætninger!$C$9),Forudsætninger!$C$11)+O124</f>
        <v>15.936671495139512</v>
      </c>
      <c r="U124" s="2">
        <f>Forudsætninger!$C$68+((K124-(Forudsætninger!$C$84)))*0.01</f>
        <v>2.7543896134367216</v>
      </c>
      <c r="V124" s="2">
        <f>U124+Forudsætninger!$C$69</f>
        <v>1.7543896134367216</v>
      </c>
      <c r="W124">
        <f t="shared" si="32"/>
        <v>0</v>
      </c>
      <c r="X124">
        <f>IF(A124+Forudsætninger!$C$60&gt;248,IF(A124+Forudsætninger!$C$60&lt;365,IF(K124&gt;180,IF(K124&lt;260,1,0),0),0),0)</f>
        <v>0</v>
      </c>
      <c r="Y124" s="22">
        <f>IF(X124=0,0,IF('Vækstfunktion, hol'!A124&lt;Forudsætninger!$C$66,Forudsætninger!$C$67+(('Vækstfunktion, hol'!A124-Forudsætninger!$C$66)/7)*Forudsætninger!$C$64,Forudsætninger!$C$67))</f>
        <v>0</v>
      </c>
      <c r="Z124" s="19">
        <f t="shared" si="43"/>
        <v>1756.0065007574137</v>
      </c>
      <c r="AA124" s="19">
        <f>Forudsætninger!$C$62+Forudsætninger!$C$16</f>
        <v>1350</v>
      </c>
      <c r="AB124" s="19">
        <f>IF(K124&gt;Forudsætninger!$C$26,IF(K124&gt;Forudsætninger!$C$27,IF(K124&gt;Forudsætninger!$C$28,Forudsætninger!$E$28,Forudsætninger!$E$27+Forudsætninger!$F$28*(K124-Forudsætninger!$C$27)),Forudsætninger!$E$26+Forudsætninger!$F$27*(K124-Forudsætninger!$C$26)),Forudsætninger!$E$26)+IF(K124&gt;Forudsætninger!$C$28,Forudsætninger!$G$28,IF(K124&gt;Forudsætninger!$C$27,Forudsætninger!$G$27+Forudsætninger!$H$28*(K124-Forudsætninger!$C$27),IF(K124&gt;Forudsætninger!$C$26,Forudsætninger!$G$26+Forudsætninger!$H$27*(K124-Forudsætninger!$C$26),Forudsætninger!$G$26)))*(U124-Forudsætninger!$H$26)</f>
        <v>33.415792210077541</v>
      </c>
      <c r="AC124" s="19">
        <f>IF(K124&gt;Forudsætninger!$C$31,IF(K124&gt;Forudsætninger!$C$32,IF(K124&gt;Forudsætninger!$C$33,Forudsætninger!$E$33,Forudsætninger!$E$32+Forudsætninger!$F$33*(K124-Forudsætninger!$C$32)),Forudsætninger!$E$31+Forudsætninger!$F$32*(K124-Forudsætninger!$C$31)),Forudsætninger!$E$31)+IF(K124&gt;Forudsætninger!$C$33,Forudsætninger!$G$33,IF(K124&gt;Forudsætninger!$C$32,Forudsætninger!$G$32+Forudsætninger!$H$33*(K124-Forudsætninger!$C$32),IF(K124&gt;Forudsætninger!$C$31,Forudsætninger!$G$31+Forudsætninger!$H$32*(K124-Forudsætninger!$C$31),Forudsætninger!$G$31)))*(V124-Forudsætninger!$H$31)</f>
        <v>26.680706497467739</v>
      </c>
      <c r="AD124" s="19">
        <f t="shared" si="33"/>
        <v>2821.0491614414377</v>
      </c>
      <c r="AE124" s="19">
        <f t="shared" si="34"/>
        <v>26.680706497467739</v>
      </c>
      <c r="AF124">
        <f>IF(G124&lt;=Forudsætninger!$C$97,Forudsætninger!$C$98,(IF(G124&lt;=Forudsætninger!$D$97,Forudsætninger!$D$98,IF(G124&lt;=Forudsætninger!$E$97,Forudsætninger!$E$98,IF(G124&lt;=Forudsætninger!$F$97,Forudsætninger!$F$98,IF(G124&lt;=Forudsætninger!$G$97,Forudsætninger!$G$98,IF(G124&lt;=Forudsætninger!$H$97,Forudsætninger!$H$98,IF(G124&lt;=Forudsætninger!$I$97,Forudsætninger!$I$98,Forudsætninger!$I$98))))))))</f>
        <v>3.2</v>
      </c>
      <c r="AG124" s="1">
        <f t="shared" si="44"/>
        <v>3.2</v>
      </c>
      <c r="AH124" s="1">
        <f t="shared" si="48"/>
        <v>280.39999999999941</v>
      </c>
      <c r="AI124" s="1">
        <f t="shared" si="35"/>
        <v>2.2983606557376999</v>
      </c>
      <c r="AJ124" s="20">
        <f>+(W124*Forudsætninger!$C$12)</f>
        <v>0</v>
      </c>
      <c r="AK124" s="20">
        <f>Forudsætninger!$C$17</f>
        <v>250</v>
      </c>
      <c r="AL124" s="20">
        <f>IF(A124&lt;92,Forudsætninger!$C$20,Forudsætninger!$C$21)</f>
        <v>1.0566762728146013</v>
      </c>
      <c r="AM124" s="20">
        <f t="shared" si="45"/>
        <v>397.41998813667101</v>
      </c>
      <c r="AN124" s="20">
        <f>IFERROR(AD124+AJ124-AA124-Z124-AK124-AM124-Forudsætninger!$C$75,-99999999)</f>
        <v>-1114.7715200020416</v>
      </c>
      <c r="AO124" s="19">
        <f>IFERROR(AN124/(A124+Forudsætninger!$C$74),-99999999)</f>
        <v>-9.1374714754265707</v>
      </c>
      <c r="AP124" s="19">
        <f>IFERROR(((365/(A124+Forudsætninger!$C$74))*AN124)/(AI124+Forudsætninger!$C$73),-9999999)</f>
        <v>-1384.8329072246479</v>
      </c>
      <c r="AQ124" s="18">
        <f t="shared" si="36"/>
        <v>122</v>
      </c>
      <c r="AR124" s="18">
        <f t="shared" si="46"/>
        <v>3753.4264888940852</v>
      </c>
      <c r="AS124" s="52">
        <f t="shared" si="27"/>
        <v>5.3</v>
      </c>
      <c r="AT124" s="50">
        <f t="shared" si="49"/>
        <v>4.0202198124970892</v>
      </c>
      <c r="AU124" s="50">
        <f t="shared" si="50"/>
        <v>0.10874125031341819</v>
      </c>
      <c r="AV124" s="2">
        <f t="shared" si="51"/>
        <v>20.829496934615008</v>
      </c>
      <c r="AW124" s="61">
        <f t="shared" si="47"/>
        <v>-5.8799305890604145</v>
      </c>
      <c r="BA124" s="16"/>
      <c r="BB124" s="2"/>
    </row>
    <row r="125" spans="1:54" x14ac:dyDescent="0.25">
      <c r="A125">
        <v>123</v>
      </c>
      <c r="B125" s="1">
        <f>ROUND((A125+Forudsætninger!$C$60)/30.4,1)</f>
        <v>5.3</v>
      </c>
      <c r="C125" s="1">
        <f>VLOOKUP((A125+Forudsætninger!$C$60),'Model tilvækst, slagteform, fe'!A:B,2,FALSE)</f>
        <v>230.79869442204037</v>
      </c>
      <c r="D125" s="3">
        <f t="shared" si="37"/>
        <v>1615.9600219098138</v>
      </c>
      <c r="E125" s="1">
        <f>(1+Forudsætninger!$C$78)*C125</f>
        <v>214.64278581249752</v>
      </c>
      <c r="F125" s="2">
        <f t="shared" si="38"/>
        <v>3.7005273979106943</v>
      </c>
      <c r="G125" s="1">
        <f t="shared" si="28"/>
        <v>218.34331321040821</v>
      </c>
      <c r="H125" s="3">
        <f t="shared" si="29"/>
        <v>1456.672534035846</v>
      </c>
      <c r="I125" s="3">
        <f t="shared" si="30"/>
        <v>1214.1732781334001</v>
      </c>
      <c r="J125" s="1">
        <f>VLOOKUP((A125+Forudsætninger!$C$60),'Model tilvækst, slagteform, fe'!G:K,2,FALSE)*(1+Forudsætninger!$C$79)</f>
        <v>48.769013398797874</v>
      </c>
      <c r="K125" s="17">
        <f t="shared" si="26"/>
        <v>106.48387967496319</v>
      </c>
      <c r="L125" s="17">
        <f t="shared" si="39"/>
        <v>750.20423015504889</v>
      </c>
      <c r="M125" s="3">
        <f>((K125-(('Model tilvækst, slagteform, fe'!$H$9/100)*'Model tilvækst, slagteform, fe'!$B$9))*1000/(A125+Forudsætninger!$C$60))</f>
        <v>531.09244226268083</v>
      </c>
      <c r="N125" s="17">
        <f t="shared" si="40"/>
        <v>488.14026420906316</v>
      </c>
      <c r="O125" s="19">
        <f>IF( A125&lt;Forudsætninger!$C$14,(G125/100)*Forudsætninger!$C$13,(Forudsætninger!$C$15/1000)*Forudsætninger!$C$13)</f>
        <v>1.4192315358676535</v>
      </c>
      <c r="P125" s="17" cm="1">
        <f t="array" ref="P125">INDEX('Model tilvækst, slagteform, fe'!$N$9:$N$375,MATCH(MIN(ABS('Model tilvækst, slagteform, fe'!$M$9:$M$375-'Vækstfunktion, hol'!G125)),ABS('Model tilvækst, slagteform, fe'!$M$9:$M$375-'Vækstfunktion, hol'!G125),0))*(1+Forudsætninger!$C$80)</f>
        <v>6.2498089209538765</v>
      </c>
      <c r="Q125" s="17">
        <f t="shared" si="41"/>
        <v>8.3308100244412024</v>
      </c>
      <c r="R125" s="17">
        <f t="shared" si="42"/>
        <v>6.5641867378361658</v>
      </c>
      <c r="S125" s="17">
        <f t="shared" si="31"/>
        <v>3.2685779745714325</v>
      </c>
      <c r="T125" s="19">
        <f>(P125)*IF(N125&lt;Forudsætninger!$B$228,IF(N125&lt;Forudsætninger!$B$227,Forudsætninger!$B$225,Forudsætninger!$C$9),Forudsætninger!$C$11)+O125</f>
        <v>16.043784410899722</v>
      </c>
      <c r="U125" s="2">
        <f>Forudsætninger!$C$68+((K125-(Forudsætninger!$C$84)))*0.01</f>
        <v>2.761891655738272</v>
      </c>
      <c r="V125" s="2">
        <f>U125+Forudsætninger!$C$69</f>
        <v>1.761891655738272</v>
      </c>
      <c r="W125">
        <f t="shared" si="32"/>
        <v>0</v>
      </c>
      <c r="X125">
        <f>IF(A125+Forudsætninger!$C$60&gt;248,IF(A125+Forudsætninger!$C$60&lt;365,IF(K125&gt;180,IF(K125&lt;260,1,0),0),0),0)</f>
        <v>0</v>
      </c>
      <c r="Y125" s="22">
        <f>IF(X125=0,0,IF('Vækstfunktion, hol'!A125&lt;Forudsætninger!$C$66,Forudsætninger!$C$67+(('Vækstfunktion, hol'!A125-Forudsætninger!$C$66)/7)*Forudsætninger!$C$64,Forudsætninger!$C$67))</f>
        <v>0</v>
      </c>
      <c r="Z125" s="19">
        <f t="shared" si="43"/>
        <v>1772.0502851683134</v>
      </c>
      <c r="AA125" s="19">
        <f>Forudsætninger!$C$62+Forudsætninger!$C$16</f>
        <v>1350</v>
      </c>
      <c r="AB125" s="19">
        <f>IF(K125&gt;Forudsætninger!$C$26,IF(K125&gt;Forudsætninger!$C$27,IF(K125&gt;Forudsætninger!$C$28,Forudsætninger!$E$28,Forudsætninger!$E$27+Forudsætninger!$F$28*(K125-Forudsætninger!$C$27)),Forudsætninger!$E$26+Forudsætninger!$F$27*(K125-Forudsætninger!$C$26)),Forudsætninger!$E$26)+IF(K125&gt;Forudsætninger!$C$28,Forudsætninger!$G$28,IF(K125&gt;Forudsætninger!$C$27,Forudsætninger!$G$27+Forudsætninger!$H$28*(K125-Forudsætninger!$C$27),IF(K125&gt;Forudsætninger!$C$26,Forudsætninger!$G$26+Forudsætninger!$H$27*(K125-Forudsætninger!$C$26),Forudsætninger!$G$26)))*(U125-Forudsætninger!$H$26)</f>
        <v>33.421418741803706</v>
      </c>
      <c r="AC125" s="19">
        <f>IF(K125&gt;Forudsætninger!$C$31,IF(K125&gt;Forudsætninger!$C$32,IF(K125&gt;Forudsætninger!$C$33,Forudsætninger!$E$33,Forudsætninger!$E$32+Forudsætninger!$F$33*(K125-Forudsætninger!$C$32)),Forudsætninger!$E$31+Forudsætninger!$F$32*(K125-Forudsætninger!$C$31)),Forudsætninger!$E$31)+IF(K125&gt;Forudsætninger!$C$33,Forudsætninger!$G$33,IF(K125&gt;Forudsætninger!$C$32,Forudsætninger!$G$32+Forudsætninger!$H$33*(K125-Forudsætninger!$C$32),IF(K125&gt;Forudsætninger!$C$31,Forudsætninger!$G$31+Forudsætninger!$H$32*(K125-Forudsætninger!$C$31),Forudsætninger!$G$31)))*(V125-Forudsætninger!$H$31)</f>
        <v>26.690459152459752</v>
      </c>
      <c r="AD125" s="19">
        <f t="shared" si="33"/>
        <v>2842.1036408600444</v>
      </c>
      <c r="AE125" s="19">
        <f t="shared" si="34"/>
        <v>26.690459152459752</v>
      </c>
      <c r="AF125">
        <f>IF(G125&lt;=Forudsætninger!$C$97,Forudsætninger!$C$98,(IF(G125&lt;=Forudsætninger!$D$97,Forudsætninger!$D$98,IF(G125&lt;=Forudsætninger!$E$97,Forudsætninger!$E$98,IF(G125&lt;=Forudsætninger!$F$97,Forudsætninger!$F$98,IF(G125&lt;=Forudsætninger!$G$97,Forudsætninger!$G$98,IF(G125&lt;=Forudsætninger!$H$97,Forudsætninger!$H$98,IF(G125&lt;=Forudsætninger!$I$97,Forudsætninger!$I$98,Forudsætninger!$I$98))))))))</f>
        <v>3.2</v>
      </c>
      <c r="AG125" s="1">
        <f t="shared" si="44"/>
        <v>3.2</v>
      </c>
      <c r="AH125" s="1">
        <f t="shared" si="48"/>
        <v>283.5999999999994</v>
      </c>
      <c r="AI125" s="1">
        <f t="shared" si="35"/>
        <v>2.3056910569105642</v>
      </c>
      <c r="AJ125" s="20">
        <f>+(W125*Forudsætninger!$C$12)</f>
        <v>0</v>
      </c>
      <c r="AK125" s="20">
        <f>Forudsætninger!$C$17</f>
        <v>250</v>
      </c>
      <c r="AL125" s="20">
        <f>IF(A125&lt;92,Forudsætninger!$C$20,Forudsætninger!$C$21)</f>
        <v>1.0566762728146013</v>
      </c>
      <c r="AM125" s="20">
        <f t="shared" si="45"/>
        <v>398.47666440948564</v>
      </c>
      <c r="AN125" s="20">
        <f>IFERROR(AD125+AJ125-AA125-Z125-AK125-AM125-Forudsætninger!$C$75,-99999999)</f>
        <v>-1110.8175012671493</v>
      </c>
      <c r="AO125" s="19">
        <f>IFERROR(AN125/(A125+Forudsætninger!$C$74),-99999999)</f>
        <v>-9.0310365956678798</v>
      </c>
      <c r="AP125" s="19">
        <f>IFERROR(((365/(A125+Forudsætninger!$C$74))*AN125)/(AI125+Forudsætninger!$C$73),-9999999)</f>
        <v>-1364.5488101588878</v>
      </c>
      <c r="AQ125" s="18">
        <f t="shared" si="36"/>
        <v>123</v>
      </c>
      <c r="AR125" s="18">
        <f t="shared" si="46"/>
        <v>3770.5269495777989</v>
      </c>
      <c r="AS125" s="52">
        <f t="shared" si="27"/>
        <v>5.3</v>
      </c>
      <c r="AT125" s="50">
        <f t="shared" si="49"/>
        <v>3.9540187348923155</v>
      </c>
      <c r="AU125" s="50">
        <f t="shared" si="50"/>
        <v>0.10643487975869093</v>
      </c>
      <c r="AV125" s="2">
        <f t="shared" si="51"/>
        <v>20.284097065760079</v>
      </c>
      <c r="AW125" s="61">
        <f t="shared" si="47"/>
        <v>-5.7913889175419806</v>
      </c>
      <c r="BA125" s="16"/>
      <c r="BB125" s="2"/>
    </row>
    <row r="126" spans="1:54" x14ac:dyDescent="0.25">
      <c r="A126">
        <v>124</v>
      </c>
      <c r="B126" s="1">
        <f>ROUND((A126+Forudsætninger!$C$60)/30.4,1)</f>
        <v>5.4</v>
      </c>
      <c r="C126" s="1">
        <f>VLOOKUP((A126+Forudsætninger!$C$60),'Model tilvækst, slagteform, fe'!A:B,2,FALSE)</f>
        <v>232.41535365160112</v>
      </c>
      <c r="D126" s="3">
        <f t="shared" si="37"/>
        <v>1616.6592295607529</v>
      </c>
      <c r="E126" s="1">
        <f>(1+Forudsætninger!$C$78)*C126</f>
        <v>216.14627889598904</v>
      </c>
      <c r="F126" s="2">
        <f t="shared" si="38"/>
        <v>3.6543371342089586</v>
      </c>
      <c r="G126" s="1">
        <f t="shared" si="28"/>
        <v>219.800616030198</v>
      </c>
      <c r="H126" s="3">
        <f t="shared" si="29"/>
        <v>1457.3028197897884</v>
      </c>
      <c r="I126" s="3">
        <f t="shared" si="30"/>
        <v>1216.1340002435322</v>
      </c>
      <c r="J126" s="1">
        <f>VLOOKUP((A126+Forudsætninger!$C$60),'Model tilvækst, slagteform, fe'!G:K,2,FALSE)*(1+Forudsætninger!$C$79)</f>
        <v>48.787394686906694</v>
      </c>
      <c r="K126" s="17">
        <f t="shared" si="26"/>
        <v>107.234994066905</v>
      </c>
      <c r="L126" s="17">
        <f t="shared" si="39"/>
        <v>751.11439194181173</v>
      </c>
      <c r="M126" s="3">
        <f>((K126-(('Model tilvækst, slagteform, fe'!$H$9/100)*'Model tilvækst, slagteform, fe'!$B$9))*1000/(A126+Forudsætninger!$C$60))</f>
        <v>532.44227017482274</v>
      </c>
      <c r="N126" s="17">
        <f t="shared" si="40"/>
        <v>494.41039189444416</v>
      </c>
      <c r="O126" s="19">
        <f>IF( A126&lt;Forudsætninger!$C$14,(G126/100)*Forudsætninger!$C$13,(Forudsætninger!$C$15/1000)*Forudsætninger!$C$13)</f>
        <v>1.4287040041962871</v>
      </c>
      <c r="P126" s="17" cm="1">
        <f t="array" ref="P126">INDEX('Model tilvækst, slagteform, fe'!$N$9:$N$375,MATCH(MIN(ABS('Model tilvækst, slagteform, fe'!$M$9:$M$375-'Vækstfunktion, hol'!G126)),ABS('Model tilvækst, slagteform, fe'!$M$9:$M$375-'Vækstfunktion, hol'!G126),0))*(1+Forudsætninger!$C$80)</f>
        <v>6.2701276853809844</v>
      </c>
      <c r="Q126" s="17">
        <f t="shared" si="41"/>
        <v>8.3477666686311167</v>
      </c>
      <c r="R126" s="17">
        <f t="shared" si="42"/>
        <v>6.5820216253583101</v>
      </c>
      <c r="S126" s="17">
        <f t="shared" si="31"/>
        <v>3.2785701074021998</v>
      </c>
      <c r="T126" s="19">
        <f>(P126)*IF(N126&lt;Forudsætninger!$B$228,IF(N126&lt;Forudsætninger!$B$227,Forudsætninger!$B$225,Forudsætninger!$C$9),Forudsætninger!$C$11)+O126</f>
        <v>16.100802787987789</v>
      </c>
      <c r="U126" s="2">
        <f>Forudsætninger!$C$68+((K126-(Forudsætninger!$C$84)))*0.01</f>
        <v>2.7694027996576902</v>
      </c>
      <c r="V126" s="2">
        <f>U126+Forudsætninger!$C$69</f>
        <v>1.7694027996576902</v>
      </c>
      <c r="W126">
        <f t="shared" si="32"/>
        <v>0</v>
      </c>
      <c r="X126">
        <f>IF(A126+Forudsætninger!$C$60&gt;248,IF(A126+Forudsætninger!$C$60&lt;365,IF(K126&gt;180,IF(K126&lt;260,1,0),0),0),0)</f>
        <v>0</v>
      </c>
      <c r="Y126" s="22">
        <f>IF(X126=0,0,IF('Vækstfunktion, hol'!A126&lt;Forudsætninger!$C$66,Forudsætninger!$C$67+(('Vækstfunktion, hol'!A126-Forudsætninger!$C$66)/7)*Forudsætninger!$C$64,Forudsætninger!$C$67))</f>
        <v>0</v>
      </c>
      <c r="Z126" s="19">
        <f t="shared" si="43"/>
        <v>1788.1510879563011</v>
      </c>
      <c r="AA126" s="19">
        <f>Forudsætninger!$C$62+Forudsætninger!$C$16</f>
        <v>1350</v>
      </c>
      <c r="AB126" s="19">
        <f>IF(K126&gt;Forudsætninger!$C$26,IF(K126&gt;Forudsætninger!$C$27,IF(K126&gt;Forudsætninger!$C$28,Forudsætninger!$E$28,Forudsætninger!$E$27+Forudsætninger!$F$28*(K126-Forudsætninger!$C$27)),Forudsætninger!$E$26+Forudsætninger!$F$27*(K126-Forudsætninger!$C$26)),Forudsætninger!$E$26)+IF(K126&gt;Forudsætninger!$C$28,Forudsætninger!$G$28,IF(K126&gt;Forudsætninger!$C$27,Forudsætninger!$G$27+Forudsætninger!$H$28*(K126-Forudsætninger!$C$27),IF(K126&gt;Forudsætninger!$C$26,Forudsætninger!$G$26+Forudsætninger!$H$27*(K126-Forudsætninger!$C$26),Forudsætninger!$G$26)))*(U126-Forudsætninger!$H$26)</f>
        <v>33.427052099743271</v>
      </c>
      <c r="AC126" s="19">
        <f>IF(K126&gt;Forudsætninger!$C$31,IF(K126&gt;Forudsætninger!$C$32,IF(K126&gt;Forudsætninger!$C$33,Forudsætninger!$E$33,Forudsætninger!$E$32+Forudsætninger!$F$33*(K126-Forudsætninger!$C$32)),Forudsætninger!$E$31+Forudsætninger!$F$32*(K126-Forudsætninger!$C$31)),Forudsætninger!$E$31)+IF(K126&gt;Forudsætninger!$C$33,Forudsætninger!$G$33,IF(K126&gt;Forudsætninger!$C$32,Forudsætninger!$G$32+Forudsætninger!$H$33*(K126-Forudsætninger!$C$32),IF(K126&gt;Forudsætninger!$C$31,Forudsætninger!$G$31+Forudsætninger!$H$32*(K126-Forudsætninger!$C$31),Forudsætninger!$G$31)))*(V126-Forudsætninger!$H$31)</f>
        <v>26.700223639554999</v>
      </c>
      <c r="AD126" s="19">
        <f t="shared" si="33"/>
        <v>2863.1983235727171</v>
      </c>
      <c r="AE126" s="19">
        <f t="shared" si="34"/>
        <v>26.700223639554999</v>
      </c>
      <c r="AF126">
        <f>IF(G126&lt;=Forudsætninger!$C$97,Forudsætninger!$C$98,(IF(G126&lt;=Forudsætninger!$D$97,Forudsætninger!$D$98,IF(G126&lt;=Forudsætninger!$E$97,Forudsætninger!$E$98,IF(G126&lt;=Forudsætninger!$F$97,Forudsætninger!$F$98,IF(G126&lt;=Forudsætninger!$G$97,Forudsætninger!$G$98,IF(G126&lt;=Forudsætninger!$H$97,Forudsætninger!$H$98,IF(G126&lt;=Forudsætninger!$I$97,Forudsætninger!$I$98,Forudsætninger!$I$98))))))))</f>
        <v>3.2</v>
      </c>
      <c r="AG126" s="1">
        <f t="shared" si="44"/>
        <v>3.2</v>
      </c>
      <c r="AH126" s="1">
        <f t="shared" si="48"/>
        <v>286.79999999999939</v>
      </c>
      <c r="AI126" s="1">
        <f t="shared" si="35"/>
        <v>2.3129032258064468</v>
      </c>
      <c r="AJ126" s="20">
        <f>+(W126*Forudsætninger!$C$12)</f>
        <v>0</v>
      </c>
      <c r="AK126" s="20">
        <f>Forudsætninger!$C$17</f>
        <v>250</v>
      </c>
      <c r="AL126" s="20">
        <f>IF(A126&lt;92,Forudsætninger!$C$20,Forudsætninger!$C$21)</f>
        <v>1.0566762728146013</v>
      </c>
      <c r="AM126" s="20">
        <f t="shared" si="45"/>
        <v>399.53334068230026</v>
      </c>
      <c r="AN126" s="20">
        <f>IFERROR(AD126+AJ126-AA126-Z126-AK126-AM126-Forudsætninger!$C$75,-99999999)</f>
        <v>-1106.8802976152788</v>
      </c>
      <c r="AO126" s="19">
        <f>IFERROR(AN126/(A126+Forudsætninger!$C$74),-99999999)</f>
        <v>-8.9264540130264418</v>
      </c>
      <c r="AP126" s="19">
        <f>IFERROR(((365/(A126+Forudsætninger!$C$74))*AN126)/(AI126+Forudsætninger!$C$73),-9999999)</f>
        <v>-1344.732088368984</v>
      </c>
      <c r="AQ126" s="18">
        <f t="shared" si="36"/>
        <v>124</v>
      </c>
      <c r="AR126" s="18">
        <f t="shared" si="46"/>
        <v>3787.6844286386013</v>
      </c>
      <c r="AS126" s="52">
        <f t="shared" si="27"/>
        <v>5.4</v>
      </c>
      <c r="AT126" s="50">
        <f t="shared" si="49"/>
        <v>3.9372036518705045</v>
      </c>
      <c r="AU126" s="50">
        <f t="shared" si="50"/>
        <v>0.10458258264143794</v>
      </c>
      <c r="AV126" s="2">
        <f t="shared" si="51"/>
        <v>19.816721789903795</v>
      </c>
      <c r="AW126" s="61">
        <f t="shared" si="47"/>
        <v>-5.7044109430078915</v>
      </c>
      <c r="BA126" s="16"/>
      <c r="BB126" s="2"/>
    </row>
    <row r="127" spans="1:54" x14ac:dyDescent="0.25">
      <c r="A127">
        <v>125</v>
      </c>
      <c r="B127" s="1">
        <f>ROUND((A127+Forudsætninger!$C$60)/30.4,1)</f>
        <v>5.4</v>
      </c>
      <c r="C127" s="1">
        <f>VLOOKUP((A127+Forudsætninger!$C$60),'Model tilvækst, slagteform, fe'!A:B,2,FALSE)</f>
        <v>234.03263900731528</v>
      </c>
      <c r="D127" s="3">
        <f t="shared" si="37"/>
        <v>1617.2853557141593</v>
      </c>
      <c r="E127" s="1">
        <f>(1+Forudsætninger!$C$78)*C127</f>
        <v>217.6503542768032</v>
      </c>
      <c r="F127" s="2">
        <f t="shared" si="38"/>
        <v>3.6081289811885542</v>
      </c>
      <c r="G127" s="1">
        <f t="shared" si="28"/>
        <v>221.25848325799174</v>
      </c>
      <c r="H127" s="3">
        <f t="shared" si="29"/>
        <v>1457.8672277937414</v>
      </c>
      <c r="I127" s="3">
        <f t="shared" si="30"/>
        <v>1218.0678660639337</v>
      </c>
      <c r="J127" s="1">
        <f>VLOOKUP((A127+Forudsætninger!$C$60),'Model tilvækst, slagteform, fe'!G:K,2,FALSE)*(1+Forudsætninger!$C$79)</f>
        <v>48.80580854540208</v>
      </c>
      <c r="K127" s="17">
        <f t="shared" si="26"/>
        <v>107.98699172935596</v>
      </c>
      <c r="L127" s="17">
        <f t="shared" si="39"/>
        <v>751.997662450961</v>
      </c>
      <c r="M127" s="3">
        <f>((K127-(('Model tilvækst, slagteform, fe'!$H$9/100)*'Model tilvækst, slagteform, fe'!$B$9))*1000/(A127+Forudsætninger!$C$60))</f>
        <v>533.78102256675038</v>
      </c>
      <c r="N127" s="17">
        <f t="shared" si="40"/>
        <v>500.70048089372222</v>
      </c>
      <c r="O127" s="19">
        <f>IF( A127&lt;Forudsætninger!$C$14,(G127/100)*Forudsætninger!$C$13,(Forudsætninger!$C$15/1000)*Forudsætninger!$C$13)</f>
        <v>1.4381801411769464</v>
      </c>
      <c r="P127" s="17" cm="1">
        <f t="array" ref="P127">INDEX('Model tilvækst, slagteform, fe'!$N$9:$N$375,MATCH(MIN(ABS('Model tilvækst, slagteform, fe'!$M$9:$M$375-'Vækstfunktion, hol'!G127)),ABS('Model tilvækst, slagteform, fe'!$M$9:$M$375-'Vækstfunktion, hol'!G127),0))*(1+Forudsætninger!$C$80)</f>
        <v>6.2900889992780398</v>
      </c>
      <c r="Q127" s="17">
        <f t="shared" si="41"/>
        <v>8.3645060528206461</v>
      </c>
      <c r="R127" s="17">
        <f t="shared" si="42"/>
        <v>6.5996896395373348</v>
      </c>
      <c r="S127" s="17">
        <f t="shared" si="31"/>
        <v>3.288489877081719</v>
      </c>
      <c r="T127" s="19">
        <f>(P127)*IF(N127&lt;Forudsætninger!$B$228,IF(N127&lt;Forudsætninger!$B$227,Forudsætninger!$B$225,Forudsætninger!$C$9),Forudsætninger!$C$11)+O127</f>
        <v>16.15698839948756</v>
      </c>
      <c r="U127" s="2">
        <f>Forudsætninger!$C$68+((K127-(Forudsætninger!$C$84)))*0.01</f>
        <v>2.7769227762822002</v>
      </c>
      <c r="V127" s="2">
        <f>U127+Forudsætninger!$C$69</f>
        <v>1.7769227762822002</v>
      </c>
      <c r="W127">
        <f t="shared" si="32"/>
        <v>0</v>
      </c>
      <c r="X127">
        <f>IF(A127+Forudsætninger!$C$60&gt;248,IF(A127+Forudsætninger!$C$60&lt;365,IF(K127&gt;180,IF(K127&lt;260,1,0),0),0),0)</f>
        <v>0</v>
      </c>
      <c r="Y127" s="22">
        <f>IF(X127=0,0,IF('Vækstfunktion, hol'!A127&lt;Forudsætninger!$C$66,Forudsætninger!$C$67+(('Vækstfunktion, hol'!A127-Forudsætninger!$C$66)/7)*Forudsætninger!$C$64,Forudsætninger!$C$67))</f>
        <v>0</v>
      </c>
      <c r="Z127" s="19">
        <f t="shared" si="43"/>
        <v>1804.3080763557887</v>
      </c>
      <c r="AA127" s="19">
        <f>Forudsætninger!$C$62+Forudsætninger!$C$16</f>
        <v>1350</v>
      </c>
      <c r="AB127" s="19">
        <f>IF(K127&gt;Forudsætninger!$C$26,IF(K127&gt;Forudsætninger!$C$27,IF(K127&gt;Forudsætninger!$C$28,Forudsætninger!$E$28,Forudsætninger!$E$27+Forudsætninger!$F$28*(K127-Forudsætninger!$C$27)),Forudsætninger!$E$26+Forudsætninger!$F$27*(K127-Forudsætninger!$C$26)),Forudsætninger!$E$26)+IF(K127&gt;Forudsætninger!$C$28,Forudsætninger!$G$28,IF(K127&gt;Forudsætninger!$C$27,Forudsætninger!$G$27+Forudsætninger!$H$28*(K127-Forudsætninger!$C$27),IF(K127&gt;Forudsætninger!$C$26,Forudsætninger!$G$26+Forudsætninger!$H$27*(K127-Forudsætninger!$C$26),Forudsætninger!$G$26)))*(U127-Forudsætninger!$H$26)</f>
        <v>33.432692082211652</v>
      </c>
      <c r="AC127" s="19">
        <f>IF(K127&gt;Forudsætninger!$C$31,IF(K127&gt;Forudsætninger!$C$32,IF(K127&gt;Forudsætninger!$C$33,Forudsætninger!$E$33,Forudsætninger!$E$32+Forudsætninger!$F$33*(K127-Forudsætninger!$C$32)),Forudsætninger!$E$31+Forudsætninger!$F$32*(K127-Forudsætninger!$C$31)),Forudsætninger!$E$31)+IF(K127&gt;Forudsætninger!$C$33,Forudsætninger!$G$33,IF(K127&gt;Forudsætninger!$C$32,Forudsætninger!$G$32+Forudsætninger!$H$33*(K127-Forudsætninger!$C$32),IF(K127&gt;Forudsætninger!$C$31,Forudsætninger!$G$31+Forudsætninger!$H$32*(K127-Forudsætninger!$C$31),Forudsætninger!$G$31)))*(V127-Forudsætninger!$H$31)</f>
        <v>26.709999609166861</v>
      </c>
      <c r="AD127" s="19">
        <f t="shared" si="33"/>
        <v>2884.3325068862027</v>
      </c>
      <c r="AE127" s="19">
        <f t="shared" si="34"/>
        <v>26.709999609166861</v>
      </c>
      <c r="AF127">
        <f>IF(G127&lt;=Forudsætninger!$C$97,Forudsætninger!$C$98,(IF(G127&lt;=Forudsætninger!$D$97,Forudsætninger!$D$98,IF(G127&lt;=Forudsætninger!$E$97,Forudsætninger!$E$98,IF(G127&lt;=Forudsætninger!$F$97,Forudsætninger!$F$98,IF(G127&lt;=Forudsætninger!$G$97,Forudsætninger!$G$98,IF(G127&lt;=Forudsætninger!$H$97,Forudsætninger!$H$98,IF(G127&lt;=Forudsætninger!$I$97,Forudsætninger!$I$98,Forudsætninger!$I$98))))))))</f>
        <v>3.2</v>
      </c>
      <c r="AG127" s="1">
        <f t="shared" si="44"/>
        <v>3.2</v>
      </c>
      <c r="AH127" s="1">
        <f t="shared" si="48"/>
        <v>289.99999999999937</v>
      </c>
      <c r="AI127" s="1">
        <f t="shared" si="35"/>
        <v>2.319999999999995</v>
      </c>
      <c r="AJ127" s="20">
        <f>+(W127*Forudsætninger!$C$12)</f>
        <v>0</v>
      </c>
      <c r="AK127" s="20">
        <f>Forudsætninger!$C$17</f>
        <v>250</v>
      </c>
      <c r="AL127" s="20">
        <f>IF(A127&lt;92,Forudsætninger!$C$20,Forudsætninger!$C$21)</f>
        <v>1.0566762728146013</v>
      </c>
      <c r="AM127" s="20">
        <f t="shared" si="45"/>
        <v>400.59001695511489</v>
      </c>
      <c r="AN127" s="20">
        <f>IFERROR(AD127+AJ127-AA127-Z127-AK127-AM127-Forudsætninger!$C$75,-99999999)</f>
        <v>-1102.9597789740953</v>
      </c>
      <c r="AO127" s="19">
        <f>IFERROR(AN127/(A127+Forudsætninger!$C$74),-99999999)</f>
        <v>-8.823678231792762</v>
      </c>
      <c r="AP127" s="19">
        <f>IFERROR(((365/(A127+Forudsætninger!$C$74))*AN127)/(AI127+Forudsætninger!$C$73),-9999999)</f>
        <v>-1325.3673064215495</v>
      </c>
      <c r="AQ127" s="18">
        <f t="shared" si="36"/>
        <v>125</v>
      </c>
      <c r="AR127" s="18">
        <f t="shared" si="46"/>
        <v>3804.8980933109037</v>
      </c>
      <c r="AS127" s="52">
        <f t="shared" si="27"/>
        <v>5.4</v>
      </c>
      <c r="AT127" s="50">
        <f t="shared" si="49"/>
        <v>3.9205186411834347</v>
      </c>
      <c r="AU127" s="50">
        <f t="shared" si="50"/>
        <v>0.10277578123367981</v>
      </c>
      <c r="AV127" s="2">
        <f t="shared" si="51"/>
        <v>19.364781947434494</v>
      </c>
      <c r="AW127" s="61">
        <f t="shared" si="47"/>
        <v>-5.6189580961518439</v>
      </c>
      <c r="BA127" s="16"/>
      <c r="BB127" s="2"/>
    </row>
    <row r="128" spans="1:54" x14ac:dyDescent="0.25">
      <c r="A128">
        <v>126</v>
      </c>
      <c r="B128" s="1">
        <f>ROUND((A128+Forudsætninger!$C$60)/30.4,1)</f>
        <v>5.4</v>
      </c>
      <c r="C128" s="1">
        <f>VLOOKUP((A128+Forudsætninger!$C$60),'Model tilvækst, slagteform, fe'!A:B,2,FALSE)</f>
        <v>235.65047794203232</v>
      </c>
      <c r="D128" s="3">
        <f t="shared" si="37"/>
        <v>1617.8389347170423</v>
      </c>
      <c r="E128" s="1">
        <f>(1+Forudsætninger!$C$78)*C128</f>
        <v>219.15494448609005</v>
      </c>
      <c r="F128" s="2">
        <f t="shared" si="38"/>
        <v>3.56190501162521</v>
      </c>
      <c r="G128" s="1">
        <f t="shared" si="28"/>
        <v>222.71684949771526</v>
      </c>
      <c r="H128" s="3">
        <f t="shared" si="29"/>
        <v>1458.3662397235173</v>
      </c>
      <c r="I128" s="3">
        <f t="shared" si="30"/>
        <v>1219.9749960136132</v>
      </c>
      <c r="J128" s="1">
        <f>VLOOKUP((A128+Forudsætninger!$C$60),'Model tilvækst, slagteform, fe'!G:K,2,FALSE)*(1+Forudsætninger!$C$79)</f>
        <v>48.824256583133462</v>
      </c>
      <c r="K128" s="17">
        <f t="shared" si="26"/>
        <v>108.73984605263568</v>
      </c>
      <c r="L128" s="17">
        <f t="shared" si="39"/>
        <v>752.85432327972046</v>
      </c>
      <c r="M128" s="3">
        <f>((K128-(('Model tilvækst, slagteform, fe'!$H$9/100)*'Model tilvækst, slagteform, fe'!$B$9))*1000/(A128+Forudsætninger!$C$60))</f>
        <v>535.10873954076851</v>
      </c>
      <c r="N128" s="17">
        <f t="shared" si="40"/>
        <v>507.01017839568874</v>
      </c>
      <c r="O128" s="19">
        <f>IF( A128&lt;Forudsætninger!$C$14,(G128/100)*Forudsætninger!$C$13,(Forudsætninger!$C$15/1000)*Forudsætninger!$C$13)</f>
        <v>1.4476595217351491</v>
      </c>
      <c r="P128" s="17" cm="1">
        <f t="array" ref="P128">INDEX('Model tilvækst, slagteform, fe'!$N$9:$N$375,MATCH(MIN(ABS('Model tilvækst, slagteform, fe'!$M$9:$M$375-'Vækstfunktion, hol'!G128)),ABS('Model tilvækst, slagteform, fe'!$M$9:$M$375-'Vækstfunktion, hol'!G128),0))*(1+Forudsætninger!$C$80)</f>
        <v>6.309697501966534</v>
      </c>
      <c r="Q128" s="17">
        <f t="shared" si="41"/>
        <v>8.3810337629185501</v>
      </c>
      <c r="R128" s="17">
        <f t="shared" si="42"/>
        <v>6.6171927761712777</v>
      </c>
      <c r="S128" s="17">
        <f t="shared" si="31"/>
        <v>3.2983383412579284</v>
      </c>
      <c r="T128" s="19">
        <f>(P128)*IF(N128&lt;Forudsætninger!$B$228,IF(N128&lt;Forudsætninger!$B$227,Forudsætninger!$B$225,Forudsætninger!$C$9),Forudsætninger!$C$11)+O128</f>
        <v>16.212351676336837</v>
      </c>
      <c r="U128" s="2">
        <f>Forudsætninger!$C$68+((K128-(Forudsætninger!$C$84)))*0.01</f>
        <v>2.7844513195149974</v>
      </c>
      <c r="V128" s="2">
        <f>U128+Forudsætninger!$C$69</f>
        <v>1.7844513195149974</v>
      </c>
      <c r="W128">
        <f t="shared" si="32"/>
        <v>0</v>
      </c>
      <c r="X128">
        <f>IF(A128+Forudsætninger!$C$60&gt;248,IF(A128+Forudsætninger!$C$60&lt;365,IF(K128&gt;180,IF(K128&lt;260,1,0),0),0),0)</f>
        <v>0</v>
      </c>
      <c r="Y128" s="22">
        <f>IF(X128=0,0,IF('Vækstfunktion, hol'!A128&lt;Forudsætninger!$C$66,Forudsætninger!$C$67+(('Vækstfunktion, hol'!A128-Forudsætninger!$C$66)/7)*Forudsætninger!$C$64,Forudsætninger!$C$67))</f>
        <v>0</v>
      </c>
      <c r="Z128" s="19">
        <f t="shared" si="43"/>
        <v>1820.5204280321254</v>
      </c>
      <c r="AA128" s="19">
        <f>Forudsætninger!$C$62+Forudsætninger!$C$16</f>
        <v>1350</v>
      </c>
      <c r="AB128" s="19">
        <f>IF(K128&gt;Forudsætninger!$C$26,IF(K128&gt;Forudsætninger!$C$27,IF(K128&gt;Forudsætninger!$C$28,Forudsætninger!$E$28,Forudsætninger!$E$27+Forudsætninger!$F$28*(K128-Forudsætninger!$C$27)),Forudsætninger!$E$26+Forudsætninger!$F$27*(K128-Forudsætninger!$C$26)),Forudsætninger!$E$26)+IF(K128&gt;Forudsætninger!$C$28,Forudsætninger!$G$28,IF(K128&gt;Forudsætninger!$C$27,Forudsætninger!$G$27+Forudsætninger!$H$28*(K128-Forudsætninger!$C$27),IF(K128&gt;Forudsætninger!$C$26,Forudsætninger!$G$26+Forudsætninger!$H$27*(K128-Forudsætninger!$C$26),Forudsætninger!$G$26)))*(U128-Forudsætninger!$H$26)</f>
        <v>33.438338489636251</v>
      </c>
      <c r="AC128" s="19">
        <f>IF(K128&gt;Forudsætninger!$C$31,IF(K128&gt;Forudsætninger!$C$32,IF(K128&gt;Forudsætninger!$C$33,Forudsætninger!$E$33,Forudsætninger!$E$32+Forudsætninger!$F$33*(K128-Forudsætninger!$C$32)),Forudsætninger!$E$31+Forudsætninger!$F$32*(K128-Forudsætninger!$C$31)),Forudsætninger!$E$31)+IF(K128&gt;Forudsætninger!$C$33,Forudsætninger!$G$33,IF(K128&gt;Forudsætninger!$C$32,Forudsætninger!$G$32+Forudsætninger!$H$33*(K128-Forudsætninger!$C$32),IF(K128&gt;Forudsætninger!$C$31,Forudsætninger!$G$31+Forudsætninger!$H$32*(K128-Forudsætninger!$C$31),Forudsætninger!$G$31)))*(V128-Forudsætninger!$H$31)</f>
        <v>26.719786715369498</v>
      </c>
      <c r="AD128" s="19">
        <f t="shared" si="33"/>
        <v>2905.5054939885395</v>
      </c>
      <c r="AE128" s="19">
        <f t="shared" si="34"/>
        <v>26.719786715369498</v>
      </c>
      <c r="AF128">
        <f>IF(G128&lt;=Forudsætninger!$C$97,Forudsætninger!$C$98,(IF(G128&lt;=Forudsætninger!$D$97,Forudsætninger!$D$98,IF(G128&lt;=Forudsætninger!$E$97,Forudsætninger!$E$98,IF(G128&lt;=Forudsætninger!$F$97,Forudsætninger!$F$98,IF(G128&lt;=Forudsætninger!$G$97,Forudsætninger!$G$98,IF(G128&lt;=Forudsætninger!$H$97,Forudsætninger!$H$98,IF(G128&lt;=Forudsætninger!$I$97,Forudsætninger!$I$98,Forudsætninger!$I$98))))))))</f>
        <v>3.2</v>
      </c>
      <c r="AG128" s="1">
        <f t="shared" si="44"/>
        <v>3.2</v>
      </c>
      <c r="AH128" s="1">
        <f t="shared" si="48"/>
        <v>293.19999999999936</v>
      </c>
      <c r="AI128" s="1">
        <f t="shared" si="35"/>
        <v>2.3269841269841218</v>
      </c>
      <c r="AJ128" s="20">
        <f>+(W128*Forudsætninger!$C$12)</f>
        <v>0</v>
      </c>
      <c r="AK128" s="20">
        <f>Forudsætninger!$C$17</f>
        <v>250</v>
      </c>
      <c r="AL128" s="20">
        <f>IF(A128&lt;92,Forudsætninger!$C$20,Forudsætninger!$C$21)</f>
        <v>1.0566762728146013</v>
      </c>
      <c r="AM128" s="20">
        <f t="shared" si="45"/>
        <v>401.64669322792952</v>
      </c>
      <c r="AN128" s="20">
        <f>IFERROR(AD128+AJ128-AA128-Z128-AK128-AM128-Forudsætninger!$C$75,-99999999)</f>
        <v>-1099.0558198209101</v>
      </c>
      <c r="AO128" s="19">
        <f>IFERROR(AN128/(A128+Forudsætninger!$C$74),-99999999)</f>
        <v>-8.7226652366738886</v>
      </c>
      <c r="AP128" s="19">
        <f>IFERROR(((365/(A128+Forudsætninger!$C$74))*AN128)/(AI128+Forudsætninger!$C$73),-9999999)</f>
        <v>-1306.4396998457403</v>
      </c>
      <c r="AQ128" s="18">
        <f t="shared" si="36"/>
        <v>126</v>
      </c>
      <c r="AR128" s="18">
        <f t="shared" si="46"/>
        <v>3822.167121260055</v>
      </c>
      <c r="AS128" s="52">
        <f t="shared" si="27"/>
        <v>5.4</v>
      </c>
      <c r="AT128" s="50">
        <f t="shared" si="49"/>
        <v>3.9039591531852693</v>
      </c>
      <c r="AU128" s="50">
        <f t="shared" si="50"/>
        <v>0.10101299511887341</v>
      </c>
      <c r="AV128" s="2">
        <f t="shared" si="51"/>
        <v>18.92760657580925</v>
      </c>
      <c r="AW128" s="61">
        <f t="shared" si="47"/>
        <v>-5.5349930681982586</v>
      </c>
      <c r="BA128" s="16"/>
      <c r="BB128" s="2"/>
    </row>
    <row r="129" spans="1:54" x14ac:dyDescent="0.25">
      <c r="A129">
        <v>127</v>
      </c>
      <c r="B129" s="1">
        <f>ROUND((A129+Forudsætninger!$C$60)/30.4,1)</f>
        <v>5.5</v>
      </c>
      <c r="C129" s="1">
        <f>VLOOKUP((A129+Forudsætninger!$C$60),'Model tilvækst, slagteform, fe'!A:B,2,FALSE)</f>
        <v>237.26879844294916</v>
      </c>
      <c r="D129" s="3">
        <f t="shared" si="37"/>
        <v>1618.3205009168375</v>
      </c>
      <c r="E129" s="1">
        <f>(1+Forudsætninger!$C$78)*C129</f>
        <v>220.6599825519427</v>
      </c>
      <c r="F129" s="2">
        <f t="shared" si="38"/>
        <v>3.5156672830275859</v>
      </c>
      <c r="G129" s="1">
        <f t="shared" si="28"/>
        <v>224.1756498349703</v>
      </c>
      <c r="H129" s="3">
        <f t="shared" si="29"/>
        <v>1458.8003372550418</v>
      </c>
      <c r="I129" s="3">
        <f t="shared" si="30"/>
        <v>1221.8555105115772</v>
      </c>
      <c r="J129" s="1">
        <f>VLOOKUP((A129+Forudsætninger!$C$60),'Model tilvækst, slagteform, fe'!G:K,2,FALSE)*(1+Forudsætninger!$C$79)</f>
        <v>48.842740408950249</v>
      </c>
      <c r="K129" s="17">
        <f t="shared" si="26"/>
        <v>109.49353070897185</v>
      </c>
      <c r="L129" s="17">
        <f t="shared" si="39"/>
        <v>753.68465633616211</v>
      </c>
      <c r="M129" s="3">
        <f>((K129-(('Model tilvækst, slagteform, fe'!$H$9/100)*'Model tilvækst, slagteform, fe'!$B$9))*1000/(A129+Forudsætninger!$C$60))</f>
        <v>536.42546193110218</v>
      </c>
      <c r="N129" s="17">
        <f t="shared" si="40"/>
        <v>513.35805302669257</v>
      </c>
      <c r="O129" s="19">
        <f>IF( A129&lt;Forudsætninger!$C$14,(G129/100)*Forudsætninger!$C$13,(Forudsætninger!$C$15/1000)*Forudsætninger!$C$13)</f>
        <v>1.457141723927307</v>
      </c>
      <c r="P129" s="17" cm="1">
        <f t="array" ref="P129">INDEX('Model tilvækst, slagteform, fe'!$N$9:$N$375,MATCH(MIN(ABS('Model tilvækst, slagteform, fe'!$M$9:$M$375-'Vækstfunktion, hol'!G129)),ABS('Model tilvækst, slagteform, fe'!$M$9:$M$375-'Vækstfunktion, hol'!G129),0))*(1+Forudsætninger!$C$80)</f>
        <v>6.3478746310038012</v>
      </c>
      <c r="Q129" s="17">
        <f t="shared" si="41"/>
        <v>8.422454374834043</v>
      </c>
      <c r="R129" s="17">
        <f t="shared" si="42"/>
        <v>6.6347775101448825</v>
      </c>
      <c r="S129" s="17">
        <f t="shared" si="31"/>
        <v>3.3082384612060602</v>
      </c>
      <c r="T129" s="19">
        <f>(P129)*IF(N129&lt;Forudsætninger!$B$228,IF(N129&lt;Forudsætninger!$B$227,Forudsætninger!$B$225,Forudsætninger!$C$9),Forudsætninger!$C$11)+O129</f>
        <v>16.311168360476202</v>
      </c>
      <c r="U129" s="2">
        <f>Forudsætninger!$C$68+((K129-(Forudsætninger!$C$84)))*0.01</f>
        <v>2.791988166078359</v>
      </c>
      <c r="V129" s="2">
        <f>U129+Forudsætninger!$C$69</f>
        <v>1.791988166078359</v>
      </c>
      <c r="W129">
        <f t="shared" si="32"/>
        <v>0</v>
      </c>
      <c r="X129">
        <f>IF(A129+Forudsætninger!$C$60&gt;248,IF(A129+Forudsætninger!$C$60&lt;365,IF(K129&gt;180,IF(K129&lt;260,1,0),0),0),0)</f>
        <v>0</v>
      </c>
      <c r="Y129" s="22">
        <f>IF(X129=0,0,IF('Vækstfunktion, hol'!A129&lt;Forudsætninger!$C$66,Forudsætninger!$C$67+(('Vækstfunktion, hol'!A129-Forudsætninger!$C$66)/7)*Forudsætninger!$C$64,Forudsætninger!$C$67))</f>
        <v>0</v>
      </c>
      <c r="Z129" s="19">
        <f t="shared" si="43"/>
        <v>1836.8315963926016</v>
      </c>
      <c r="AA129" s="19">
        <f>Forudsætninger!$C$62+Forudsætninger!$C$16</f>
        <v>1350</v>
      </c>
      <c r="AB129" s="19">
        <f>IF(K129&gt;Forudsætninger!$C$26,IF(K129&gt;Forudsætninger!$C$27,IF(K129&gt;Forudsætninger!$C$28,Forudsætninger!$E$28,Forudsætninger!$E$27+Forudsætninger!$F$28*(K129-Forudsætninger!$C$27)),Forudsætninger!$E$26+Forudsætninger!$F$27*(K129-Forudsætninger!$C$26)),Forudsætninger!$E$26)+IF(K129&gt;Forudsætninger!$C$28,Forudsætninger!$G$28,IF(K129&gt;Forudsætninger!$C$27,Forudsætninger!$G$27+Forudsætninger!$H$28*(K129-Forudsætninger!$C$27),IF(K129&gt;Forudsætninger!$C$26,Forudsætninger!$G$26+Forudsætninger!$H$27*(K129-Forudsætninger!$C$26),Forudsætninger!$G$26)))*(U129-Forudsætninger!$H$26)</f>
        <v>33.443991124558771</v>
      </c>
      <c r="AC129" s="19">
        <f>IF(K129&gt;Forudsætninger!$C$31,IF(K129&gt;Forudsætninger!$C$32,IF(K129&gt;Forudsætninger!$C$33,Forudsætninger!$E$33,Forudsætninger!$E$32+Forudsætninger!$F$33*(K129-Forudsætninger!$C$32)),Forudsætninger!$E$31+Forudsætninger!$F$32*(K129-Forudsætninger!$C$31)),Forudsætninger!$E$31)+IF(K129&gt;Forudsætninger!$C$33,Forudsætninger!$G$33,IF(K129&gt;Forudsætninger!$C$32,Forudsætninger!$G$32+Forudsætninger!$H$33*(K129-Forudsætninger!$C$32),IF(K129&gt;Forudsætninger!$C$31,Forudsætninger!$G$31+Forudsætninger!$H$32*(K129-Forudsætninger!$C$31),Forudsætninger!$G$31)))*(V129-Forudsætninger!$H$31)</f>
        <v>26.729584615901867</v>
      </c>
      <c r="AD129" s="19">
        <f t="shared" si="33"/>
        <v>2926.7165939793126</v>
      </c>
      <c r="AE129" s="19">
        <f t="shared" si="34"/>
        <v>26.729584615901867</v>
      </c>
      <c r="AF129">
        <f>IF(G129&lt;=Forudsætninger!$C$97,Forudsætninger!$C$98,(IF(G129&lt;=Forudsætninger!$D$97,Forudsætninger!$D$98,IF(G129&lt;=Forudsætninger!$E$97,Forudsætninger!$E$98,IF(G129&lt;=Forudsætninger!$F$97,Forudsætninger!$F$98,IF(G129&lt;=Forudsætninger!$G$97,Forudsætninger!$G$98,IF(G129&lt;=Forudsætninger!$H$97,Forudsætninger!$H$98,IF(G129&lt;=Forudsætninger!$I$97,Forudsætninger!$I$98,Forudsætninger!$I$98))))))))</f>
        <v>3.2</v>
      </c>
      <c r="AG129" s="1">
        <f t="shared" si="44"/>
        <v>3.2</v>
      </c>
      <c r="AH129" s="1">
        <f t="shared" si="48"/>
        <v>296.39999999999935</v>
      </c>
      <c r="AI129" s="1">
        <f t="shared" si="35"/>
        <v>2.3338582677165305</v>
      </c>
      <c r="AJ129" s="20">
        <f>+(W129*Forudsætninger!$C$12)</f>
        <v>0</v>
      </c>
      <c r="AK129" s="20">
        <f>Forudsætninger!$C$17</f>
        <v>250</v>
      </c>
      <c r="AL129" s="20">
        <f>IF(A129&lt;92,Forudsætninger!$C$20,Forudsætninger!$C$21)</f>
        <v>1.0566762728146013</v>
      </c>
      <c r="AM129" s="20">
        <f t="shared" si="45"/>
        <v>402.70336950074415</v>
      </c>
      <c r="AN129" s="20">
        <f>IFERROR(AD129+AJ129-AA129-Z129-AK129-AM129-Forudsætninger!$C$75,-99999999)</f>
        <v>-1095.2125644634277</v>
      </c>
      <c r="AO129" s="19">
        <f>IFERROR(AN129/(A129+Forudsætninger!$C$74),-99999999)</f>
        <v>-8.6237209800269898</v>
      </c>
      <c r="AP129" s="19">
        <f>IFERROR(((365/(A129+Forudsætninger!$C$74))*AN129)/(AI129+Forudsætninger!$C$73),-9999999)</f>
        <v>-1287.9871960213677</v>
      </c>
      <c r="AQ129" s="18">
        <f t="shared" si="36"/>
        <v>127</v>
      </c>
      <c r="AR129" s="18">
        <f t="shared" si="46"/>
        <v>3839.5349658933455</v>
      </c>
      <c r="AS129" s="52">
        <f t="shared" si="27"/>
        <v>5.5</v>
      </c>
      <c r="AT129" s="50">
        <f t="shared" si="49"/>
        <v>3.8432553574823487</v>
      </c>
      <c r="AU129" s="50">
        <f t="shared" si="50"/>
        <v>9.8944256646898765E-2</v>
      </c>
      <c r="AV129" s="2">
        <f t="shared" si="51"/>
        <v>18.45250382437257</v>
      </c>
      <c r="AW129" s="61">
        <f t="shared" si="47"/>
        <v>-5.4528283067927834</v>
      </c>
      <c r="BA129" s="16"/>
      <c r="BB129" s="2"/>
    </row>
    <row r="130" spans="1:54" x14ac:dyDescent="0.25">
      <c r="A130">
        <v>128</v>
      </c>
      <c r="B130" s="1">
        <f>ROUND((A130+Forudsætninger!$C$60)/30.4,1)</f>
        <v>5.5</v>
      </c>
      <c r="C130" s="1">
        <f>VLOOKUP((A130+Forudsætninger!$C$60),'Model tilvækst, slagteform, fe'!A:B,2,FALSE)</f>
        <v>238.88752903161017</v>
      </c>
      <c r="D130" s="3">
        <f t="shared" si="37"/>
        <v>1618.7305886610091</v>
      </c>
      <c r="E130" s="1">
        <f>(1+Forudsætninger!$C$78)*C130</f>
        <v>222.16540199939743</v>
      </c>
      <c r="F130" s="2">
        <f t="shared" si="38"/>
        <v>3.4694178376372715</v>
      </c>
      <c r="G130" s="1">
        <f t="shared" si="28"/>
        <v>225.63481983703471</v>
      </c>
      <c r="H130" s="3">
        <f t="shared" si="29"/>
        <v>1459.1700020644112</v>
      </c>
      <c r="I130" s="3">
        <f t="shared" si="30"/>
        <v>1223.7095299768337</v>
      </c>
      <c r="J130" s="1">
        <f>VLOOKUP((A130+Forudsætninger!$C$60),'Model tilvækst, slagteform, fe'!G:K,2,FALSE)*(1+Forudsætninger!$C$79)</f>
        <v>48.861261631701886</v>
      </c>
      <c r="K130" s="17">
        <f t="shared" ref="K130:K193" si="52">G130*(J130/100)</f>
        <v>110.24801965279272</v>
      </c>
      <c r="L130" s="17">
        <f t="shared" si="39"/>
        <v>754.48894382087417</v>
      </c>
      <c r="M130" s="3">
        <f>((K130-(('Model tilvækst, slagteform, fe'!$H$9/100)*'Model tilvækst, slagteform, fe'!$B$9))*1000/(A130+Forudsætninger!$C$60))</f>
        <v>537.7312312837355</v>
      </c>
      <c r="N130" s="17">
        <f t="shared" si="40"/>
        <v>519.72450556268814</v>
      </c>
      <c r="O130" s="19">
        <f>IF( A130&lt;Forudsætninger!$C$14,(G130/100)*Forudsætninger!$C$13,(Forudsætninger!$C$15/1000)*Forudsætninger!$C$13)</f>
        <v>1.4666263289407258</v>
      </c>
      <c r="P130" s="17" cm="1">
        <f t="array" ref="P130">INDEX('Model tilvækst, slagteform, fe'!$N$9:$N$375,MATCH(MIN(ABS('Model tilvækst, slagteform, fe'!$M$9:$M$375-'Vækstfunktion, hol'!G130)),ABS('Model tilvækst, slagteform, fe'!$M$9:$M$375-'Vækstfunktion, hol'!G130),0))*(1+Forudsætninger!$C$80)</f>
        <v>6.3664525359955553</v>
      </c>
      <c r="Q130" s="17">
        <f t="shared" si="41"/>
        <v>8.4380991771127096</v>
      </c>
      <c r="R130" s="17">
        <f t="shared" si="42"/>
        <v>6.6521922776113458</v>
      </c>
      <c r="S130" s="17">
        <f t="shared" si="31"/>
        <v>3.3180649494372805</v>
      </c>
      <c r="T130" s="19">
        <f>(P130)*IF(N130&lt;Forudsætninger!$B$228,IF(N130&lt;Forudsætninger!$B$227,Forudsætninger!$B$225,Forudsætninger!$C$9),Forudsætninger!$C$11)+O130</f>
        <v>16.364125263170326</v>
      </c>
      <c r="U130" s="2">
        <f>Forudsætninger!$C$68+((K130-(Forudsætninger!$C$84)))*0.01</f>
        <v>2.7995330555165676</v>
      </c>
      <c r="V130" s="2">
        <f>U130+Forudsætninger!$C$69</f>
        <v>1.7995330555165676</v>
      </c>
      <c r="W130">
        <f t="shared" si="32"/>
        <v>0</v>
      </c>
      <c r="X130">
        <f>IF(A130+Forudsætninger!$C$60&gt;248,IF(A130+Forudsætninger!$C$60&lt;365,IF(K130&gt;180,IF(K130&lt;260,1,0),0),0),0)</f>
        <v>0</v>
      </c>
      <c r="Y130" s="22">
        <f>IF(X130=0,0,IF('Vækstfunktion, hol'!A130&lt;Forudsætninger!$C$66,Forudsætninger!$C$67+(('Vækstfunktion, hol'!A130-Forudsætninger!$C$66)/7)*Forudsætninger!$C$64,Forudsætninger!$C$67))</f>
        <v>0</v>
      </c>
      <c r="Z130" s="19">
        <f t="shared" si="43"/>
        <v>1853.1957216557719</v>
      </c>
      <c r="AA130" s="19">
        <f>Forudsætninger!$C$62+Forudsætninger!$C$16</f>
        <v>1350</v>
      </c>
      <c r="AB130" s="19">
        <f>IF(K130&gt;Forudsætninger!$C$26,IF(K130&gt;Forudsætninger!$C$27,IF(K130&gt;Forudsætninger!$C$28,Forudsætninger!$E$28,Forudsætninger!$E$27+Forudsætninger!$F$28*(K130-Forudsætninger!$C$27)),Forudsætninger!$E$26+Forudsætninger!$F$27*(K130-Forudsætninger!$C$26)),Forudsætninger!$E$26)+IF(K130&gt;Forudsætninger!$C$28,Forudsætninger!$G$28,IF(K130&gt;Forudsætninger!$C$27,Forudsætninger!$G$27+Forudsætninger!$H$28*(K130-Forudsætninger!$C$27),IF(K130&gt;Forudsætninger!$C$26,Forudsætninger!$G$26+Forudsætninger!$H$27*(K130-Forudsætninger!$C$26),Forudsætninger!$G$26)))*(U130-Forudsætninger!$H$26)</f>
        <v>33.449649791637427</v>
      </c>
      <c r="AC130" s="19">
        <f>IF(K130&gt;Forudsætninger!$C$31,IF(K130&gt;Forudsætninger!$C$32,IF(K130&gt;Forudsætninger!$C$33,Forudsætninger!$E$33,Forudsætninger!$E$32+Forudsætninger!$F$33*(K130-Forudsætninger!$C$32)),Forudsætninger!$E$31+Forudsætninger!$F$32*(K130-Forudsætninger!$C$31)),Forudsætninger!$E$31)+IF(K130&gt;Forudsætninger!$C$33,Forudsætninger!$G$33,IF(K130&gt;Forudsætninger!$C$32,Forudsætninger!$G$32+Forudsætninger!$H$33*(K130-Forudsætninger!$C$32),IF(K130&gt;Forudsætninger!$C$31,Forudsætninger!$G$31+Forudsætninger!$H$32*(K130-Forudsætninger!$C$31),Forudsætninger!$G$31)))*(V130-Forudsætninger!$H$31)</f>
        <v>26.739392972171537</v>
      </c>
      <c r="AD130" s="19">
        <f t="shared" si="33"/>
        <v>2947.9651218997151</v>
      </c>
      <c r="AE130" s="19">
        <f t="shared" si="34"/>
        <v>26.739392972171537</v>
      </c>
      <c r="AF130">
        <f>IF(G130&lt;=Forudsætninger!$C$97,Forudsætninger!$C$98,(IF(G130&lt;=Forudsætninger!$D$97,Forudsætninger!$D$98,IF(G130&lt;=Forudsætninger!$E$97,Forudsætninger!$E$98,IF(G130&lt;=Forudsætninger!$F$97,Forudsætninger!$F$98,IF(G130&lt;=Forudsætninger!$G$97,Forudsætninger!$G$98,IF(G130&lt;=Forudsætninger!$H$97,Forudsætninger!$H$98,IF(G130&lt;=Forudsætninger!$I$97,Forudsætninger!$I$98,Forudsætninger!$I$98))))))))</f>
        <v>3.2</v>
      </c>
      <c r="AG130" s="1">
        <f t="shared" si="44"/>
        <v>3.2</v>
      </c>
      <c r="AH130" s="1">
        <f t="shared" si="48"/>
        <v>299.59999999999934</v>
      </c>
      <c r="AI130" s="1">
        <f t="shared" si="35"/>
        <v>2.3406249999999948</v>
      </c>
      <c r="AJ130" s="20">
        <f>+(W130*Forudsætninger!$C$12)</f>
        <v>0</v>
      </c>
      <c r="AK130" s="20">
        <f>Forudsætninger!$C$17</f>
        <v>250</v>
      </c>
      <c r="AL130" s="20">
        <f>IF(A130&lt;92,Forudsætninger!$C$20,Forudsætninger!$C$21)</f>
        <v>1.0566762728146013</v>
      </c>
      <c r="AM130" s="20">
        <f t="shared" si="45"/>
        <v>403.76004577355877</v>
      </c>
      <c r="AN130" s="20">
        <f>IFERROR(AD130+AJ130-AA130-Z130-AK130-AM130-Forudsætninger!$C$75,-99999999)</f>
        <v>-1091.38483807901</v>
      </c>
      <c r="AO130" s="19">
        <f>IFERROR(AN130/(A130+Forudsætninger!$C$74),-99999999)</f>
        <v>-8.5264440474922658</v>
      </c>
      <c r="AP130" s="19">
        <f>IFERROR(((365/(A130+Forudsætninger!$C$74))*AN130)/(AI130+Forudsætninger!$C$73),-9999999)</f>
        <v>-1269.9421891699806</v>
      </c>
      <c r="AQ130" s="18">
        <f t="shared" si="36"/>
        <v>128</v>
      </c>
      <c r="AR130" s="18">
        <f t="shared" si="46"/>
        <v>3856.955767429331</v>
      </c>
      <c r="AS130" s="52">
        <f t="shared" ref="AS130:AS193" si="53">B130</f>
        <v>5.5</v>
      </c>
      <c r="AT130" s="50">
        <f t="shared" si="49"/>
        <v>3.8277263844177014</v>
      </c>
      <c r="AU130" s="50">
        <f t="shared" si="50"/>
        <v>9.7276932534724025E-2</v>
      </c>
      <c r="AV130" s="2">
        <f t="shared" si="51"/>
        <v>18.045006851387143</v>
      </c>
      <c r="AW130" s="61">
        <f t="shared" si="47"/>
        <v>-5.3720686898863379</v>
      </c>
      <c r="BA130" s="16"/>
      <c r="BB130" s="2"/>
    </row>
    <row r="131" spans="1:54" x14ac:dyDescent="0.25">
      <c r="A131">
        <v>129</v>
      </c>
      <c r="B131" s="1">
        <f>ROUND((A131+Forudsætninger!$C$60)/30.4,1)</f>
        <v>5.5</v>
      </c>
      <c r="C131" s="1">
        <f>VLOOKUP((A131+Forudsætninger!$C$60),'Model tilvækst, slagteform, fe'!A:B,2,FALSE)</f>
        <v>240.50659876390722</v>
      </c>
      <c r="D131" s="3">
        <f t="shared" si="37"/>
        <v>1619.0697322970493</v>
      </c>
      <c r="E131" s="1">
        <f>(1+Forudsætninger!$C$78)*C131</f>
        <v>223.6711368504337</v>
      </c>
      <c r="F131" s="2">
        <f t="shared" si="38"/>
        <v>3.4231587024287844</v>
      </c>
      <c r="G131" s="1">
        <f t="shared" ref="G131:G194" si="54">E131+F131</f>
        <v>227.09429555286249</v>
      </c>
      <c r="H131" s="3">
        <f t="shared" ref="H131:H194" si="55">(G131-G130)*1000</f>
        <v>1459.4757158277787</v>
      </c>
      <c r="I131" s="3">
        <f t="shared" ref="I131:I194" si="56">(G131-$G$2)*1000/A131</f>
        <v>1225.5371748283915</v>
      </c>
      <c r="J131" s="1">
        <f>VLOOKUP((A131+Forudsætninger!$C$60),'Model tilvækst, slagteform, fe'!G:K,2,FALSE)*(1+Forudsætninger!$C$79)</f>
        <v>48.879821860237804</v>
      </c>
      <c r="K131" s="17">
        <f t="shared" si="52"/>
        <v>111.00328712100112</v>
      </c>
      <c r="L131" s="17">
        <f t="shared" si="39"/>
        <v>755.26746820840174</v>
      </c>
      <c r="M131" s="3">
        <f>((K131-(('Model tilvækst, slagteform, fe'!$H$9/100)*'Model tilvækst, slagteform, fe'!$B$9))*1000/(A131+Forudsætninger!$C$60))</f>
        <v>539.02608983685843</v>
      </c>
      <c r="N131" s="17">
        <f t="shared" si="40"/>
        <v>526.10920174975286</v>
      </c>
      <c r="O131" s="19">
        <f>IF( A131&lt;Forudsætninger!$C$14,(G131/100)*Forudsætninger!$C$13,(Forudsætninger!$C$15/1000)*Forudsætninger!$C$13)</f>
        <v>1.4761129210936061</v>
      </c>
      <c r="P131" s="17" cm="1">
        <f t="array" ref="P131">INDEX('Model tilvækst, slagteform, fe'!$N$9:$N$375,MATCH(MIN(ABS('Model tilvækst, slagteform, fe'!$M$9:$M$375-'Vækstfunktion, hol'!G131)),ABS('Model tilvækst, slagteform, fe'!$M$9:$M$375-'Vækstfunktion, hol'!G131),0))*(1+Forudsætninger!$C$80)</f>
        <v>6.3846961870647103</v>
      </c>
      <c r="Q131" s="17">
        <f t="shared" si="41"/>
        <v>8.4535564628648547</v>
      </c>
      <c r="R131" s="17">
        <f t="shared" si="42"/>
        <v>6.6694393637808931</v>
      </c>
      <c r="S131" s="17">
        <f t="shared" ref="S131:S194" si="57">N131/(G131-$G$2)</f>
        <v>3.3278190076999712</v>
      </c>
      <c r="T131" s="19">
        <f>(P131)*IF(N131&lt;Forudsætninger!$B$228,IF(N131&lt;Forudsætninger!$B$227,Forudsætninger!$B$225,Forudsætninger!$C$9),Forudsætninger!$C$11)+O131</f>
        <v>16.416301998825027</v>
      </c>
      <c r="U131" s="2">
        <f>Forudsætninger!$C$68+((K131-(Forudsætninger!$C$84)))*0.01</f>
        <v>2.8070857301986516</v>
      </c>
      <c r="V131" s="2">
        <f>U131+Forudsætninger!$C$69</f>
        <v>1.8070857301986516</v>
      </c>
      <c r="W131">
        <f t="shared" ref="W131:W194" si="58">IF(K131&gt;130,1,0)</f>
        <v>0</v>
      </c>
      <c r="X131">
        <f>IF(A131+Forudsætninger!$C$60&gt;248,IF(A131+Forudsætninger!$C$60&lt;365,IF(K131&gt;180,IF(K131&lt;260,1,0),0),0),0)</f>
        <v>0</v>
      </c>
      <c r="Y131" s="22">
        <f>IF(X131=0,0,IF('Vækstfunktion, hol'!A131&lt;Forudsætninger!$C$66,Forudsætninger!$C$67+(('Vækstfunktion, hol'!A131-Forudsætninger!$C$66)/7)*Forudsætninger!$C$64,Forudsætninger!$C$67))</f>
        <v>0</v>
      </c>
      <c r="Z131" s="19">
        <f t="shared" si="43"/>
        <v>1869.6120236545969</v>
      </c>
      <c r="AA131" s="19">
        <f>Forudsætninger!$C$62+Forudsætninger!$C$16</f>
        <v>1350</v>
      </c>
      <c r="AB131" s="19">
        <f>IF(K131&gt;Forudsætninger!$C$26,IF(K131&gt;Forudsætninger!$C$27,IF(K131&gt;Forudsætninger!$C$28,Forudsætninger!$E$28,Forudsætninger!$E$27+Forudsætninger!$F$28*(K131-Forudsætninger!$C$27)),Forudsætninger!$E$26+Forudsætninger!$F$27*(K131-Forudsætninger!$C$26)),Forudsætninger!$E$26)+IF(K131&gt;Forudsætninger!$C$28,Forudsætninger!$G$28,IF(K131&gt;Forudsætninger!$C$27,Forudsætninger!$G$27+Forudsætninger!$H$28*(K131-Forudsætninger!$C$27),IF(K131&gt;Forudsætninger!$C$26,Forudsætninger!$G$26+Forudsætninger!$H$27*(K131-Forudsætninger!$C$26),Forudsætninger!$G$26)))*(U131-Forudsætninger!$H$26)</f>
        <v>33.455314297648989</v>
      </c>
      <c r="AC131" s="19">
        <f>IF(K131&gt;Forudsætninger!$C$31,IF(K131&gt;Forudsætninger!$C$32,IF(K131&gt;Forudsætninger!$C$33,Forudsætninger!$E$33,Forudsætninger!$E$32+Forudsætninger!$F$33*(K131-Forudsætninger!$C$32)),Forudsætninger!$E$31+Forudsætninger!$F$32*(K131-Forudsætninger!$C$31)),Forudsætninger!$E$31)+IF(K131&gt;Forudsætninger!$C$33,Forudsætninger!$G$33,IF(K131&gt;Forudsætninger!$C$32,Forudsætninger!$G$32+Forudsætninger!$H$33*(K131-Forudsætninger!$C$32),IF(K131&gt;Forudsætninger!$C$31,Forudsætninger!$G$31+Forudsætninger!$H$32*(K131-Forudsætninger!$C$31),Forudsætninger!$G$31)))*(V131-Forudsætninger!$H$31)</f>
        <v>26.749211449258247</v>
      </c>
      <c r="AD131" s="19">
        <f t="shared" ref="AD131:AD194" si="59">(K131*(Y131*AB131+((1-Y131)*AC131)))</f>
        <v>2969.2503987623836</v>
      </c>
      <c r="AE131" s="19">
        <f t="shared" ref="AE131:AE194" si="60">AD131/K131</f>
        <v>26.749211449258247</v>
      </c>
      <c r="AF131">
        <f>IF(G131&lt;=Forudsætninger!$C$97,Forudsætninger!$C$98,(IF(G131&lt;=Forudsætninger!$D$97,Forudsætninger!$D$98,IF(G131&lt;=Forudsætninger!$E$97,Forudsætninger!$E$98,IF(G131&lt;=Forudsætninger!$F$97,Forudsætninger!$F$98,IF(G131&lt;=Forudsætninger!$G$97,Forudsætninger!$G$98,IF(G131&lt;=Forudsætninger!$H$97,Forudsætninger!$H$98,IF(G131&lt;=Forudsætninger!$I$97,Forudsætninger!$I$98,Forudsætninger!$I$98))))))))</f>
        <v>3.2</v>
      </c>
      <c r="AG131" s="1">
        <f t="shared" si="44"/>
        <v>3.2</v>
      </c>
      <c r="AH131" s="1">
        <f t="shared" si="48"/>
        <v>302.79999999999933</v>
      </c>
      <c r="AI131" s="1">
        <f t="shared" ref="AI131:AI194" si="61">AH131/A131</f>
        <v>2.347286821705421</v>
      </c>
      <c r="AJ131" s="20">
        <f>+(W131*Forudsætninger!$C$12)</f>
        <v>0</v>
      </c>
      <c r="AK131" s="20">
        <f>Forudsætninger!$C$17</f>
        <v>250</v>
      </c>
      <c r="AL131" s="20">
        <f>IF(A131&lt;92,Forudsætninger!$C$20,Forudsætninger!$C$21)</f>
        <v>1.0566762728146013</v>
      </c>
      <c r="AM131" s="20">
        <f t="shared" si="45"/>
        <v>404.8167220463734</v>
      </c>
      <c r="AN131" s="20">
        <f>IFERROR(AD131+AJ131-AA131-Z131-AK131-AM131-Forudsætninger!$C$75,-99999999)</f>
        <v>-1087.5725394879812</v>
      </c>
      <c r="AO131" s="19">
        <f>IFERROR(AN131/(A131+Forudsætninger!$C$74),-99999999)</f>
        <v>-8.430794879751792</v>
      </c>
      <c r="AP131" s="19">
        <f>IFERROR(((365/(A131+Forudsætninger!$C$74))*AN131)/(AI131+Forudsætninger!$C$73),-9999999)</f>
        <v>-1252.2917975744158</v>
      </c>
      <c r="AQ131" s="18">
        <f t="shared" ref="AQ131:AQ194" si="62">A131</f>
        <v>129</v>
      </c>
      <c r="AR131" s="18">
        <f t="shared" si="46"/>
        <v>3874.42874570097</v>
      </c>
      <c r="AS131" s="52">
        <f t="shared" si="53"/>
        <v>5.5</v>
      </c>
      <c r="AT131" s="50">
        <f t="shared" si="49"/>
        <v>3.8122985910288207</v>
      </c>
      <c r="AU131" s="50">
        <f t="shared" si="50"/>
        <v>9.5649167740473828E-2</v>
      </c>
      <c r="AV131" s="2">
        <f t="shared" si="51"/>
        <v>17.65039159556477</v>
      </c>
      <c r="AW131" s="61">
        <f t="shared" si="47"/>
        <v>-5.2926807553613013</v>
      </c>
      <c r="BA131" s="16"/>
      <c r="BB131" s="2"/>
    </row>
    <row r="132" spans="1:54" x14ac:dyDescent="0.25">
      <c r="A132">
        <v>130</v>
      </c>
      <c r="B132" s="1">
        <f>ROUND((A132+Forudsætninger!$C$60)/30.4,1)</f>
        <v>5.6</v>
      </c>
      <c r="C132" s="1">
        <f>VLOOKUP((A132+Forudsætninger!$C$60),'Model tilvækst, slagteform, fe'!A:B,2,FALSE)</f>
        <v>242.1259372300795</v>
      </c>
      <c r="D132" s="3">
        <f t="shared" ref="D132:D195" si="63">(C132-C131)*1000</f>
        <v>1619.3384661722803</v>
      </c>
      <c r="E132" s="1">
        <f>(1+Forudsætninger!$C$78)*C132</f>
        <v>225.17712162397393</v>
      </c>
      <c r="F132" s="2">
        <f t="shared" ref="F132:F195" si="64">MAX(F131-((D132/1000)/35),0)</f>
        <v>3.3768918891095763</v>
      </c>
      <c r="G132" s="1">
        <f t="shared" si="54"/>
        <v>228.5540135130835</v>
      </c>
      <c r="H132" s="3">
        <f t="shared" si="55"/>
        <v>1459.7179602210133</v>
      </c>
      <c r="I132" s="3">
        <f t="shared" si="56"/>
        <v>1227.3385654852577</v>
      </c>
      <c r="J132" s="1">
        <f>VLOOKUP((A132+Forudsætninger!$C$60),'Model tilvækst, slagteform, fe'!G:K,2,FALSE)*(1+Forudsætninger!$C$79)</f>
        <v>48.898422703407419</v>
      </c>
      <c r="K132" s="17">
        <f t="shared" si="52"/>
        <v>111.75930763323048</v>
      </c>
      <c r="L132" s="17">
        <f t="shared" ref="L132:L195" si="65">(K132-K131)*1000</f>
        <v>756.02051222935529</v>
      </c>
      <c r="M132" s="3">
        <f>((K132-(('Model tilvækst, slagteform, fe'!$H$9/100)*'Model tilvækst, slagteform, fe'!$B$9))*1000/(A132+Forudsætninger!$C$60))</f>
        <v>540.3100805019028</v>
      </c>
      <c r="N132" s="17">
        <f t="shared" ref="N132:N195" si="66">N131+P132</f>
        <v>532.5118119732856</v>
      </c>
      <c r="O132" s="19">
        <f>IF( A132&lt;Forudsætninger!$C$14,(G132/100)*Forudsætninger!$C$13,(Forudsætninger!$C$15/1000)*Forudsætninger!$C$13)</f>
        <v>1.485601087835043</v>
      </c>
      <c r="P132" s="17" cm="1">
        <f t="array" ref="P132">INDEX('Model tilvækst, slagteform, fe'!$N$9:$N$375,MATCH(MIN(ABS('Model tilvækst, slagteform, fe'!$M$9:$M$375-'Vækstfunktion, hol'!G132)),ABS('Model tilvækst, slagteform, fe'!$M$9:$M$375-'Vækstfunktion, hol'!G132),0))*(1+Forudsætninger!$C$80)</f>
        <v>6.402610223532756</v>
      </c>
      <c r="Q132" s="17">
        <f t="shared" ref="Q132:Q195" si="67">P132/(L132/1000)</f>
        <v>8.4688313610072861</v>
      </c>
      <c r="R132" s="17">
        <f t="shared" ref="R132:R195" si="68">N132/(K132-$K$2)</f>
        <v>6.6865210339991421</v>
      </c>
      <c r="S132" s="17">
        <f t="shared" si="57"/>
        <v>3.3375018293075991</v>
      </c>
      <c r="T132" s="19">
        <f>(P132)*IF(N132&lt;Forudsætninger!$B$228,IF(N132&lt;Forudsætninger!$B$227,Forudsætninger!$B$225,Forudsætninger!$C$9),Forudsætninger!$C$11)+O132</f>
        <v>16.467709010901689</v>
      </c>
      <c r="U132" s="2">
        <f>Forudsætninger!$C$68+((K132-(Forudsætninger!$C$84)))*0.01</f>
        <v>2.8146459353209452</v>
      </c>
      <c r="V132" s="2">
        <f>U132+Forudsætninger!$C$69</f>
        <v>1.8146459353209452</v>
      </c>
      <c r="W132">
        <f t="shared" si="58"/>
        <v>0</v>
      </c>
      <c r="X132">
        <f>IF(A132+Forudsætninger!$C$60&gt;248,IF(A132+Forudsætninger!$C$60&lt;365,IF(K132&gt;180,IF(K132&lt;260,1,0),0),0),0)</f>
        <v>0</v>
      </c>
      <c r="Y132" s="22">
        <f>IF(X132=0,0,IF('Vækstfunktion, hol'!A132&lt;Forudsætninger!$C$66,Forudsætninger!$C$67+(('Vækstfunktion, hol'!A132-Forudsætninger!$C$66)/7)*Forudsætninger!$C$64,Forudsætninger!$C$67))</f>
        <v>0</v>
      </c>
      <c r="Z132" s="19">
        <f t="shared" ref="Z132:Z195" si="69">Z131+T132</f>
        <v>1886.0797326654986</v>
      </c>
      <c r="AA132" s="19">
        <f>Forudsætninger!$C$62+Forudsætninger!$C$16</f>
        <v>1350</v>
      </c>
      <c r="AB132" s="19">
        <f>IF(K132&gt;Forudsætninger!$C$26,IF(K132&gt;Forudsætninger!$C$27,IF(K132&gt;Forudsætninger!$C$28,Forudsætninger!$E$28,Forudsætninger!$E$27+Forudsætninger!$F$28*(K132-Forudsætninger!$C$27)),Forudsætninger!$E$26+Forudsætninger!$F$27*(K132-Forudsætninger!$C$26)),Forudsætninger!$E$26)+IF(K132&gt;Forudsætninger!$C$28,Forudsætninger!$G$28,IF(K132&gt;Forudsætninger!$C$27,Forudsætninger!$G$27+Forudsætninger!$H$28*(K132-Forudsætninger!$C$27),IF(K132&gt;Forudsætninger!$C$26,Forudsætninger!$G$26+Forudsætninger!$H$27*(K132-Forudsætninger!$C$26),Forudsætninger!$G$26)))*(U132-Forudsætninger!$H$26)</f>
        <v>33.46098445149071</v>
      </c>
      <c r="AC132" s="19">
        <f>IF(K132&gt;Forudsætninger!$C$31,IF(K132&gt;Forudsætninger!$C$32,IF(K132&gt;Forudsætninger!$C$33,Forudsætninger!$E$33,Forudsætninger!$E$32+Forudsætninger!$F$33*(K132-Forudsætninger!$C$32)),Forudsætninger!$E$31+Forudsætninger!$F$32*(K132-Forudsætninger!$C$31)),Forudsætninger!$E$31)+IF(K132&gt;Forudsætninger!$C$33,Forudsætninger!$G$33,IF(K132&gt;Forudsætninger!$C$32,Forudsætninger!$G$32+Forudsætninger!$H$33*(K132-Forudsætninger!$C$32),IF(K132&gt;Forudsætninger!$C$31,Forudsætninger!$G$31+Forudsætninger!$H$32*(K132-Forudsætninger!$C$31),Forudsætninger!$G$31)))*(V132-Forudsætninger!$H$31)</f>
        <v>26.759039715917229</v>
      </c>
      <c r="AD132" s="19">
        <f t="shared" si="59"/>
        <v>2990.5717515810261</v>
      </c>
      <c r="AE132" s="19">
        <f t="shared" si="60"/>
        <v>26.759039715917233</v>
      </c>
      <c r="AF132">
        <f>IF(G132&lt;=Forudsætninger!$C$97,Forudsætninger!$C$98,(IF(G132&lt;=Forudsætninger!$D$97,Forudsætninger!$D$98,IF(G132&lt;=Forudsætninger!$E$97,Forudsætninger!$E$98,IF(G132&lt;=Forudsætninger!$F$97,Forudsætninger!$F$98,IF(G132&lt;=Forudsætninger!$G$97,Forudsætninger!$G$98,IF(G132&lt;=Forudsætninger!$H$97,Forudsætninger!$H$98,IF(G132&lt;=Forudsætninger!$I$97,Forudsætninger!$I$98,Forudsætninger!$I$98))))))))</f>
        <v>3.2</v>
      </c>
      <c r="AG132" s="1">
        <f t="shared" ref="AG132:AG195" si="70">IF(AF132&lt;=3.2,IF(AF132&lt;=2.2,2.2,3.2),4.4)</f>
        <v>3.2</v>
      </c>
      <c r="AH132" s="1">
        <f t="shared" si="48"/>
        <v>305.99999999999932</v>
      </c>
      <c r="AI132" s="1">
        <f t="shared" si="61"/>
        <v>2.3538461538461486</v>
      </c>
      <c r="AJ132" s="20">
        <f>+(W132*Forudsætninger!$C$12)</f>
        <v>0</v>
      </c>
      <c r="AK132" s="20">
        <f>Forudsætninger!$C$17</f>
        <v>250</v>
      </c>
      <c r="AL132" s="20">
        <f>IF(A132&lt;92,Forudsætninger!$C$20,Forudsætninger!$C$21)</f>
        <v>1.0566762728146013</v>
      </c>
      <c r="AM132" s="20">
        <f t="shared" ref="AM132:AM195" si="71">AL132+AM131</f>
        <v>405.87339831918803</v>
      </c>
      <c r="AN132" s="20">
        <f>IFERROR(AD132+AJ132-AA132-Z132-AK132-AM132-Forudsætninger!$C$75,-99999999)</f>
        <v>-1083.7755719530551</v>
      </c>
      <c r="AO132" s="19">
        <f>IFERROR(AN132/(A132+Forudsætninger!$C$74),-99999999)</f>
        <v>-8.3367351688696552</v>
      </c>
      <c r="AP132" s="19">
        <f>IFERROR(((365/(A132+Forudsætninger!$C$74))*AN132)/(AI132+Forudsætninger!$C$73),-9999999)</f>
        <v>-1235.0236770617107</v>
      </c>
      <c r="AQ132" s="18">
        <f t="shared" si="62"/>
        <v>130</v>
      </c>
      <c r="AR132" s="18">
        <f t="shared" ref="AR132:AR195" si="72">AA132+Z132+AK132+AM132</f>
        <v>3891.9531309846861</v>
      </c>
      <c r="AS132" s="52">
        <f t="shared" si="53"/>
        <v>5.6</v>
      </c>
      <c r="AT132" s="50">
        <f t="shared" si="49"/>
        <v>3.7969675349261252</v>
      </c>
      <c r="AU132" s="50">
        <f t="shared" si="50"/>
        <v>9.4059710882136827E-2</v>
      </c>
      <c r="AV132" s="2">
        <f t="shared" si="51"/>
        <v>17.268120512705082</v>
      </c>
      <c r="AW132" s="61">
        <f t="shared" ref="AW132:AW195" si="73">((AN132+AM132)/A132)</f>
        <v>-5.2146321048759008</v>
      </c>
      <c r="BA132" s="16"/>
      <c r="BB132" s="2"/>
    </row>
    <row r="133" spans="1:54" x14ac:dyDescent="0.25">
      <c r="A133">
        <v>131</v>
      </c>
      <c r="B133" s="1">
        <f>ROUND((A133+Forudsætninger!$C$60)/30.4,1)</f>
        <v>5.6</v>
      </c>
      <c r="C133" s="1">
        <f>VLOOKUP((A133+Forudsætninger!$C$60),'Model tilvækst, slagteform, fe'!A:B,2,FALSE)</f>
        <v>243.74547455471367</v>
      </c>
      <c r="D133" s="3">
        <f t="shared" si="63"/>
        <v>1619.537324634166</v>
      </c>
      <c r="E133" s="1">
        <f>(1+Forudsætninger!$C$78)*C133</f>
        <v>226.68329133588369</v>
      </c>
      <c r="F133" s="2">
        <f t="shared" si="64"/>
        <v>3.3306193941200286</v>
      </c>
      <c r="G133" s="1">
        <f t="shared" si="54"/>
        <v>230.01391073000372</v>
      </c>
      <c r="H133" s="3">
        <f t="shared" si="55"/>
        <v>1459.8972169202113</v>
      </c>
      <c r="I133" s="3">
        <f t="shared" si="56"/>
        <v>1229.1138223664407</v>
      </c>
      <c r="J133" s="1">
        <f>VLOOKUP((A133+Forudsætninger!$C$60),'Model tilvækst, slagteform, fe'!G:K,2,FALSE)*(1+Forudsætninger!$C$79)</f>
        <v>48.917065770060162</v>
      </c>
      <c r="K133" s="17">
        <f t="shared" si="52"/>
        <v>112.51605599208339</v>
      </c>
      <c r="L133" s="17">
        <f t="shared" si="65"/>
        <v>756.74835885291714</v>
      </c>
      <c r="M133" s="3">
        <f>((K133-(('Model tilvækst, slagteform, fe'!$H$9/100)*'Model tilvækst, slagteform, fe'!$B$9))*1000/(A133+Forudsætninger!$C$60))</f>
        <v>541.58324684514412</v>
      </c>
      <c r="N133" s="17">
        <f t="shared" si="66"/>
        <v>538.94927998323703</v>
      </c>
      <c r="O133" s="19">
        <f>IF( A133&lt;Forudsætninger!$C$14,(G133/100)*Forudsætninger!$C$13,(Forudsætninger!$C$15/1000)*Forudsætninger!$C$13)</f>
        <v>1.4950904197450241</v>
      </c>
      <c r="P133" s="17" cm="1">
        <f t="array" ref="P133">INDEX('Model tilvækst, slagteform, fe'!$N$9:$N$375,MATCH(MIN(ABS('Model tilvækst, slagteform, fe'!$M$9:$M$375-'Vækstfunktion, hol'!G133)),ABS('Model tilvækst, slagteform, fe'!$M$9:$M$375-'Vækstfunktion, hol'!G133),0))*(1+Forudsætninger!$C$80)</f>
        <v>6.4374680099514849</v>
      </c>
      <c r="Q133" s="17">
        <f t="shared" si="67"/>
        <v>8.5067485573532409</v>
      </c>
      <c r="R133" s="17">
        <f t="shared" si="68"/>
        <v>6.7036543285280485</v>
      </c>
      <c r="S133" s="17">
        <f t="shared" si="57"/>
        <v>3.34722184896791</v>
      </c>
      <c r="T133" s="19">
        <f>(P133)*IF(N133&lt;Forudsætninger!$B$228,IF(N133&lt;Forudsætninger!$B$227,Forudsætninger!$B$225,Forudsætninger!$C$9),Forudsætninger!$C$11)+O133</f>
        <v>16.5587655630315</v>
      </c>
      <c r="U133" s="2">
        <f>Forudsætninger!$C$68+((K133-(Forudsætninger!$C$84)))*0.01</f>
        <v>2.8222134189094743</v>
      </c>
      <c r="V133" s="2">
        <f>U133+Forudsætninger!$C$69</f>
        <v>1.8222134189094743</v>
      </c>
      <c r="W133">
        <f t="shared" si="58"/>
        <v>0</v>
      </c>
      <c r="X133">
        <f>IF(A133+Forudsætninger!$C$60&gt;248,IF(A133+Forudsætninger!$C$60&lt;365,IF(K133&gt;180,IF(K133&lt;260,1,0),0),0),0)</f>
        <v>0</v>
      </c>
      <c r="Y133" s="22">
        <f>IF(X133=0,0,IF('Vækstfunktion, hol'!A133&lt;Forudsætninger!$C$66,Forudsætninger!$C$67+(('Vækstfunktion, hol'!A133-Forudsætninger!$C$66)/7)*Forudsætninger!$C$64,Forudsætninger!$C$67))</f>
        <v>0</v>
      </c>
      <c r="Z133" s="19">
        <f t="shared" si="69"/>
        <v>1902.6384982285301</v>
      </c>
      <c r="AA133" s="19">
        <f>Forudsætninger!$C$62+Forudsætninger!$C$16</f>
        <v>1350</v>
      </c>
      <c r="AB133" s="19">
        <f>IF(K133&gt;Forudsætninger!$C$26,IF(K133&gt;Forudsætninger!$C$27,IF(K133&gt;Forudsætninger!$C$28,Forudsætninger!$E$28,Forudsætninger!$E$27+Forudsætninger!$F$28*(K133-Forudsætninger!$C$27)),Forudsætninger!$E$26+Forudsætninger!$F$27*(K133-Forudsætninger!$C$26)),Forudsætninger!$E$26)+IF(K133&gt;Forudsætninger!$C$28,Forudsætninger!$G$28,IF(K133&gt;Forudsætninger!$C$27,Forudsætninger!$G$27+Forudsætninger!$H$28*(K133-Forudsætninger!$C$27),IF(K133&gt;Forudsætninger!$C$26,Forudsætninger!$G$26+Forudsætninger!$H$27*(K133-Forudsætninger!$C$26),Forudsætninger!$G$26)))*(U133-Forudsætninger!$H$26)</f>
        <v>33.466660064182108</v>
      </c>
      <c r="AC133" s="19">
        <f>IF(K133&gt;Forudsætninger!$C$31,IF(K133&gt;Forudsætninger!$C$32,IF(K133&gt;Forudsætninger!$C$33,Forudsætninger!$E$33,Forudsætninger!$E$32+Forudsætninger!$F$33*(K133-Forudsætninger!$C$32)),Forudsætninger!$E$31+Forudsætninger!$F$32*(K133-Forudsætninger!$C$31)),Forudsætninger!$E$31)+IF(K133&gt;Forudsætninger!$C$33,Forudsætninger!$G$33,IF(K133&gt;Forudsætninger!$C$32,Forudsætninger!$G$32+Forudsætninger!$H$33*(K133-Forudsætninger!$C$32),IF(K133&gt;Forudsætninger!$C$31,Forudsætninger!$G$31+Forudsætninger!$H$32*(K133-Forudsætninger!$C$31),Forudsætninger!$G$31)))*(V133-Forudsætninger!$H$31)</f>
        <v>26.768877444582316</v>
      </c>
      <c r="AD133" s="19">
        <f t="shared" si="59"/>
        <v>3011.9285133998419</v>
      </c>
      <c r="AE133" s="19">
        <f t="shared" si="60"/>
        <v>26.768877444582316</v>
      </c>
      <c r="AF133">
        <f>IF(G133&lt;=Forudsætninger!$C$97,Forudsætninger!$C$98,(IF(G133&lt;=Forudsætninger!$D$97,Forudsætninger!$D$98,IF(G133&lt;=Forudsætninger!$E$97,Forudsætninger!$E$98,IF(G133&lt;=Forudsætninger!$F$97,Forudsætninger!$F$98,IF(G133&lt;=Forudsætninger!$G$97,Forudsætninger!$G$98,IF(G133&lt;=Forudsætninger!$H$97,Forudsætninger!$H$98,IF(G133&lt;=Forudsætninger!$I$97,Forudsætninger!$I$98,Forudsætninger!$I$98))))))))</f>
        <v>3.2</v>
      </c>
      <c r="AG133" s="1">
        <f t="shared" si="70"/>
        <v>3.2</v>
      </c>
      <c r="AH133" s="1">
        <f t="shared" ref="AH133:AH196" si="74">AH132+AG133</f>
        <v>309.19999999999931</v>
      </c>
      <c r="AI133" s="1">
        <f t="shared" si="61"/>
        <v>2.3603053435114449</v>
      </c>
      <c r="AJ133" s="20">
        <f>+(W133*Forudsætninger!$C$12)</f>
        <v>0</v>
      </c>
      <c r="AK133" s="20">
        <f>Forudsætninger!$C$17</f>
        <v>250</v>
      </c>
      <c r="AL133" s="20">
        <f>IF(A133&lt;92,Forudsætninger!$C$20,Forudsætninger!$C$21)</f>
        <v>1.0566762728146013</v>
      </c>
      <c r="AM133" s="20">
        <f t="shared" si="71"/>
        <v>406.93007459200265</v>
      </c>
      <c r="AN133" s="20">
        <f>IFERROR(AD133+AJ133-AA133-Z133-AK133-AM133-Forudsætninger!$C$75,-99999999)</f>
        <v>-1080.0342519700855</v>
      </c>
      <c r="AO133" s="19">
        <f>IFERROR(AN133/(A133+Forudsætninger!$C$74),-99999999)</f>
        <v>-8.2445362745808062</v>
      </c>
      <c r="AP133" s="19">
        <f>IFERROR(((365/(A133+Forudsætninger!$C$74))*AN133)/(AI133+Forudsætninger!$C$73),-9999999)</f>
        <v>-1218.1715706222988</v>
      </c>
      <c r="AQ133" s="18">
        <f t="shared" si="62"/>
        <v>131</v>
      </c>
      <c r="AR133" s="18">
        <f t="shared" si="72"/>
        <v>3909.5685728205326</v>
      </c>
      <c r="AS133" s="52">
        <f t="shared" si="53"/>
        <v>5.6</v>
      </c>
      <c r="AT133" s="50">
        <f t="shared" ref="AT133:AT196" si="75">AN133-AN132</f>
        <v>3.7413199829695714</v>
      </c>
      <c r="AU133" s="50">
        <f t="shared" ref="AU133:AU196" si="76">AO133-AO132</f>
        <v>9.2198894288848976E-2</v>
      </c>
      <c r="AV133" s="2">
        <f t="shared" ref="AV133:AV196" si="77">AP133-AP132</f>
        <v>16.852106439411955</v>
      </c>
      <c r="AW133" s="61">
        <f t="shared" si="73"/>
        <v>-5.1381998273136089</v>
      </c>
      <c r="BA133" s="16"/>
      <c r="BB133" s="2"/>
    </row>
    <row r="134" spans="1:54" x14ac:dyDescent="0.25">
      <c r="A134">
        <v>132</v>
      </c>
      <c r="B134" s="1">
        <f>ROUND((A134+Forudsætninger!$C$60)/30.4,1)</f>
        <v>5.6</v>
      </c>
      <c r="C134" s="1">
        <f>VLOOKUP((A134+Forudsætninger!$C$60),'Model tilvækst, slagteform, fe'!A:B,2,FALSE)</f>
        <v>245.36514139674384</v>
      </c>
      <c r="D134" s="3">
        <f t="shared" si="63"/>
        <v>1619.6668420301705</v>
      </c>
      <c r="E134" s="1">
        <f>(1+Forudsætninger!$C$78)*C134</f>
        <v>228.18958149897176</v>
      </c>
      <c r="F134" s="2">
        <f t="shared" si="64"/>
        <v>3.2843431986334521</v>
      </c>
      <c r="G134" s="1">
        <f t="shared" si="54"/>
        <v>231.47392469760521</v>
      </c>
      <c r="H134" s="3">
        <f t="shared" si="55"/>
        <v>1460.0139676014976</v>
      </c>
      <c r="I134" s="3">
        <f t="shared" si="56"/>
        <v>1230.8630658909487</v>
      </c>
      <c r="J134" s="1">
        <f>VLOOKUP((A134+Forudsætninger!$C$60),'Model tilvækst, slagteform, fe'!G:K,2,FALSE)*(1+Forudsætninger!$C$79)</f>
        <v>48.935752669045456</v>
      </c>
      <c r="K134" s="17">
        <f t="shared" si="52"/>
        <v>113.27350728335261</v>
      </c>
      <c r="L134" s="17">
        <f t="shared" si="65"/>
        <v>757.45129126921995</v>
      </c>
      <c r="M134" s="3">
        <f>((K134-(('Model tilvækst, slagteform, fe'!$H$9/100)*'Model tilvækst, slagteform, fe'!$B$9))*1000/(A134+Forudsætninger!$C$60))</f>
        <v>542.84563306984637</v>
      </c>
      <c r="N134" s="17">
        <f t="shared" si="66"/>
        <v>545.40370102178213</v>
      </c>
      <c r="O134" s="19">
        <f>IF( A134&lt;Forudsætninger!$C$14,(G134/100)*Forudsætninger!$C$13,(Forudsætninger!$C$15/1000)*Forudsætninger!$C$13)</f>
        <v>1.5045805105344339</v>
      </c>
      <c r="P134" s="17" cm="1">
        <f t="array" ref="P134">INDEX('Model tilvækst, slagteform, fe'!$N$9:$N$375,MATCH(MIN(ABS('Model tilvækst, slagteform, fe'!$M$9:$M$375-'Vækstfunktion, hol'!G134)),ABS('Model tilvækst, slagteform, fe'!$M$9:$M$375-'Vækstfunktion, hol'!G134),0))*(1+Forudsætninger!$C$80)</f>
        <v>6.4544210385451493</v>
      </c>
      <c r="Q134" s="17">
        <f t="shared" si="67"/>
        <v>8.5212357717812157</v>
      </c>
      <c r="R134" s="17">
        <f t="shared" si="68"/>
        <v>6.7206187780095492</v>
      </c>
      <c r="S134" s="17">
        <f t="shared" si="57"/>
        <v>3.3568691224569225</v>
      </c>
      <c r="T134" s="19">
        <f>(P134)*IF(N134&lt;Forudsætninger!$B$228,IF(N134&lt;Forudsætninger!$B$227,Forudsætninger!$B$225,Forudsætninger!$C$9),Forudsætninger!$C$11)+O134</f>
        <v>16.607925740730082</v>
      </c>
      <c r="U134" s="2">
        <f>Forudsætninger!$C$68+((K134-(Forudsætninger!$C$84)))*0.01</f>
        <v>2.8297879318221666</v>
      </c>
      <c r="V134" s="2">
        <f>U134+Forudsætninger!$C$69</f>
        <v>1.8297879318221666</v>
      </c>
      <c r="W134">
        <f t="shared" si="58"/>
        <v>0</v>
      </c>
      <c r="X134">
        <f>IF(A134+Forudsætninger!$C$60&gt;248,IF(A134+Forudsætninger!$C$60&lt;365,IF(K134&gt;180,IF(K134&lt;260,1,0),0),0),0)</f>
        <v>0</v>
      </c>
      <c r="Y134" s="22">
        <f>IF(X134=0,0,IF('Vækstfunktion, hol'!A134&lt;Forudsætninger!$C$66,Forudsætninger!$C$67+(('Vækstfunktion, hol'!A134-Forudsætninger!$C$66)/7)*Forudsætninger!$C$64,Forudsætninger!$C$67))</f>
        <v>0</v>
      </c>
      <c r="Z134" s="19">
        <f t="shared" si="69"/>
        <v>1919.2464239692601</v>
      </c>
      <c r="AA134" s="19">
        <f>Forudsætninger!$C$62+Forudsætninger!$C$16</f>
        <v>1350</v>
      </c>
      <c r="AB134" s="19">
        <f>IF(K134&gt;Forudsætninger!$C$26,IF(K134&gt;Forudsætninger!$C$27,IF(K134&gt;Forudsætninger!$C$28,Forudsætninger!$E$28,Forudsætninger!$E$27+Forudsætninger!$F$28*(K134-Forudsætninger!$C$27)),Forudsætninger!$E$26+Forudsætninger!$F$27*(K134-Forudsætninger!$C$26)),Forudsætninger!$E$26)+IF(K134&gt;Forudsætninger!$C$28,Forudsætninger!$G$28,IF(K134&gt;Forudsætninger!$C$27,Forudsætninger!$G$27+Forudsætninger!$H$28*(K134-Forudsætninger!$C$27),IF(K134&gt;Forudsætninger!$C$26,Forudsætninger!$G$26+Forudsætninger!$H$27*(K134-Forudsætninger!$C$26),Forudsætninger!$G$26)))*(U134-Forudsætninger!$H$26)</f>
        <v>33.472340948866623</v>
      </c>
      <c r="AC134" s="19">
        <f>IF(K134&gt;Forudsætninger!$C$31,IF(K134&gt;Forudsætninger!$C$32,IF(K134&gt;Forudsætninger!$C$33,Forudsætninger!$E$33,Forudsætninger!$E$32+Forudsætninger!$F$33*(K134-Forudsætninger!$C$32)),Forudsætninger!$E$31+Forudsætninger!$F$32*(K134-Forudsætninger!$C$31)),Forudsætninger!$E$31)+IF(K134&gt;Forudsætninger!$C$33,Forudsætninger!$G$33,IF(K134&gt;Forudsætninger!$C$32,Forudsætninger!$G$32+Forudsætninger!$H$33*(K134-Forudsætninger!$C$32),IF(K134&gt;Forudsætninger!$C$31,Forudsætninger!$G$31+Forudsætninger!$H$32*(K134-Forudsætninger!$C$31),Forudsætninger!$G$31)))*(V134-Forudsætninger!$H$31)</f>
        <v>26.778724311368816</v>
      </c>
      <c r="AD134" s="19">
        <f t="shared" si="59"/>
        <v>3033.3200233227271</v>
      </c>
      <c r="AE134" s="19">
        <f t="shared" si="60"/>
        <v>26.778724311368816</v>
      </c>
      <c r="AF134">
        <f>IF(G134&lt;=Forudsætninger!$C$97,Forudsætninger!$C$98,(IF(G134&lt;=Forudsætninger!$D$97,Forudsætninger!$D$98,IF(G134&lt;=Forudsætninger!$E$97,Forudsætninger!$E$98,IF(G134&lt;=Forudsætninger!$F$97,Forudsætninger!$F$98,IF(G134&lt;=Forudsætninger!$G$97,Forudsætninger!$G$98,IF(G134&lt;=Forudsætninger!$H$97,Forudsætninger!$H$98,IF(G134&lt;=Forudsætninger!$I$97,Forudsætninger!$I$98,Forudsætninger!$I$98))))))))</f>
        <v>3.2</v>
      </c>
      <c r="AG134" s="1">
        <f t="shared" si="70"/>
        <v>3.2</v>
      </c>
      <c r="AH134" s="1">
        <f t="shared" si="74"/>
        <v>312.3999999999993</v>
      </c>
      <c r="AI134" s="1">
        <f t="shared" si="61"/>
        <v>2.3666666666666614</v>
      </c>
      <c r="AJ134" s="20">
        <f>+(W134*Forudsætninger!$C$12)</f>
        <v>0</v>
      </c>
      <c r="AK134" s="20">
        <f>Forudsætninger!$C$17</f>
        <v>250</v>
      </c>
      <c r="AL134" s="20">
        <f>IF(A134&lt;92,Forudsætninger!$C$20,Forudsætninger!$C$21)</f>
        <v>1.0566762728146013</v>
      </c>
      <c r="AM134" s="20">
        <f t="shared" si="71"/>
        <v>407.98675086481728</v>
      </c>
      <c r="AN134" s="20">
        <f>IFERROR(AD134+AJ134-AA134-Z134-AK134-AM134-Forudsætninger!$C$75,-99999999)</f>
        <v>-1076.3073440607448</v>
      </c>
      <c r="AO134" s="19">
        <f>IFERROR(AN134/(A134+Forudsætninger!$C$74),-99999999)</f>
        <v>-8.1538435156117028</v>
      </c>
      <c r="AP134" s="19">
        <f>IFERROR(((365/(A134+Forudsætninger!$C$74))*AN134)/(AI134+Forudsætninger!$C$73),-9999999)</f>
        <v>-1201.676803444796</v>
      </c>
      <c r="AQ134" s="18">
        <f t="shared" si="62"/>
        <v>132</v>
      </c>
      <c r="AR134" s="18">
        <f t="shared" si="72"/>
        <v>3927.2331748340771</v>
      </c>
      <c r="AS134" s="52">
        <f t="shared" si="53"/>
        <v>5.6</v>
      </c>
      <c r="AT134" s="50">
        <f t="shared" si="75"/>
        <v>3.7269079093407527</v>
      </c>
      <c r="AU134" s="50">
        <f t="shared" si="76"/>
        <v>9.0692758969103338E-2</v>
      </c>
      <c r="AV134" s="2">
        <f t="shared" si="77"/>
        <v>16.494767177502808</v>
      </c>
      <c r="AW134" s="61">
        <f t="shared" si="73"/>
        <v>-5.0630347969388447</v>
      </c>
      <c r="BA134" s="16"/>
      <c r="BB134" s="2"/>
    </row>
    <row r="135" spans="1:54" x14ac:dyDescent="0.25">
      <c r="A135">
        <v>133</v>
      </c>
      <c r="B135" s="1">
        <f>ROUND((A135+Forudsætninger!$C$60)/30.4,1)</f>
        <v>5.7</v>
      </c>
      <c r="C135" s="1">
        <f>VLOOKUP((A135+Forudsætninger!$C$60),'Model tilvækst, slagteform, fe'!A:B,2,FALSE)</f>
        <v>246.98486894945145</v>
      </c>
      <c r="D135" s="3">
        <f t="shared" si="63"/>
        <v>1619.7275527076158</v>
      </c>
      <c r="E135" s="1">
        <f>(1+Forudsætninger!$C$78)*C135</f>
        <v>229.69592812298984</v>
      </c>
      <c r="F135" s="2">
        <f t="shared" si="64"/>
        <v>3.2380652685560918</v>
      </c>
      <c r="G135" s="1">
        <f t="shared" si="54"/>
        <v>232.93399339154593</v>
      </c>
      <c r="H135" s="3">
        <f t="shared" si="55"/>
        <v>1460.0686939407126</v>
      </c>
      <c r="I135" s="3">
        <f t="shared" si="56"/>
        <v>1232.5864164777888</v>
      </c>
      <c r="J135" s="1">
        <f>VLOOKUP((A135+Forudsætninger!$C$60),'Model tilvækst, slagteform, fe'!G:K,2,FALSE)*(1+Forudsætninger!$C$79)</f>
        <v>48.954485009212746</v>
      </c>
      <c r="K135" s="17">
        <f t="shared" si="52"/>
        <v>114.03163687622495</v>
      </c>
      <c r="L135" s="17">
        <f t="shared" si="65"/>
        <v>758.12959287233639</v>
      </c>
      <c r="M135" s="3">
        <f>((K135-(('Model tilvækst, slagteform, fe'!$H$9/100)*'Model tilvækst, slagteform, fe'!$B$9))*1000/(A135+Forudsætninger!$C$60))</f>
        <v>544.09728399893061</v>
      </c>
      <c r="N135" s="17">
        <f t="shared" si="66"/>
        <v>551.87476403160576</v>
      </c>
      <c r="O135" s="19">
        <f>IF( A135&lt;Forudsætninger!$C$14,(G135/100)*Forudsætninger!$C$13,(Forudsætninger!$C$15/1000)*Forudsætninger!$C$13)</f>
        <v>1.5140709570450486</v>
      </c>
      <c r="P135" s="17" cm="1">
        <f t="array" ref="P135">INDEX('Model tilvækst, slagteform, fe'!$N$9:$N$375,MATCH(MIN(ABS('Model tilvækst, slagteform, fe'!$M$9:$M$375-'Vækstfunktion, hol'!G135)),ABS('Model tilvækst, slagteform, fe'!$M$9:$M$375-'Vækstfunktion, hol'!G135),0))*(1+Forudsætninger!$C$80)</f>
        <v>6.4710630098236681</v>
      </c>
      <c r="Q135" s="17">
        <f t="shared" si="67"/>
        <v>8.5355631420568336</v>
      </c>
      <c r="R135" s="17">
        <f t="shared" si="68"/>
        <v>6.7374168581735292</v>
      </c>
      <c r="S135" s="17">
        <f t="shared" si="57"/>
        <v>3.3664449490563433</v>
      </c>
      <c r="T135" s="19">
        <f>(P135)*IF(N135&lt;Forudsætninger!$B$228,IF(N135&lt;Forudsætninger!$B$227,Forudsætninger!$B$225,Forudsætninger!$C$9),Forudsætninger!$C$11)+O135</f>
        <v>16.656358400032431</v>
      </c>
      <c r="U135" s="2">
        <f>Forudsætninger!$C$68+((K135-(Forudsætninger!$C$84)))*0.01</f>
        <v>2.83736922775089</v>
      </c>
      <c r="V135" s="2">
        <f>U135+Forudsætninger!$C$69</f>
        <v>1.83736922775089</v>
      </c>
      <c r="W135">
        <f t="shared" si="58"/>
        <v>0</v>
      </c>
      <c r="X135">
        <f>IF(A135+Forudsætninger!$C$60&gt;248,IF(A135+Forudsætninger!$C$60&lt;365,IF(K135&gt;180,IF(K135&lt;260,1,0),0),0),0)</f>
        <v>0</v>
      </c>
      <c r="Y135" s="22">
        <f>IF(X135=0,0,IF('Vækstfunktion, hol'!A135&lt;Forudsætninger!$C$66,Forudsætninger!$C$67+(('Vækstfunktion, hol'!A135-Forudsætninger!$C$66)/7)*Forudsætninger!$C$64,Forudsætninger!$C$67))</f>
        <v>0</v>
      </c>
      <c r="Z135" s="19">
        <f t="shared" si="69"/>
        <v>1935.9027823692925</v>
      </c>
      <c r="AA135" s="19">
        <f>Forudsætninger!$C$62+Forudsætninger!$C$16</f>
        <v>1350</v>
      </c>
      <c r="AB135" s="19">
        <f>IF(K135&gt;Forudsætninger!$C$26,IF(K135&gt;Forudsætninger!$C$27,IF(K135&gt;Forudsætninger!$C$28,Forudsætninger!$E$28,Forudsætninger!$E$27+Forudsætninger!$F$28*(K135-Forudsætninger!$C$27)),Forudsætninger!$E$26+Forudsætninger!$F$27*(K135-Forudsætninger!$C$26)),Forudsætninger!$E$26)+IF(K135&gt;Forudsætninger!$C$28,Forudsætninger!$G$28,IF(K135&gt;Forudsætninger!$C$27,Forudsætninger!$G$27+Forudsætninger!$H$28*(K135-Forudsætninger!$C$27),IF(K135&gt;Forudsætninger!$C$26,Forudsætninger!$G$26+Forudsætninger!$H$27*(K135-Forudsætninger!$C$26),Forudsætninger!$G$26)))*(U135-Forudsætninger!$H$26)</f>
        <v>33.478026920813171</v>
      </c>
      <c r="AC135" s="19">
        <f>IF(K135&gt;Forudsætninger!$C$31,IF(K135&gt;Forudsætninger!$C$32,IF(K135&gt;Forudsætninger!$C$33,Forudsætninger!$E$33,Forudsætninger!$E$32+Forudsætninger!$F$33*(K135-Forudsætninger!$C$32)),Forudsætninger!$E$31+Forudsætninger!$F$32*(K135-Forudsætninger!$C$31)),Forudsætninger!$E$31)+IF(K135&gt;Forudsætninger!$C$33,Forudsætninger!$G$33,IF(K135&gt;Forudsætninger!$C$32,Forudsætninger!$G$32+Forudsætninger!$H$33*(K135-Forudsætninger!$C$32),IF(K135&gt;Forudsætninger!$C$31,Forudsætninger!$G$31+Forudsætninger!$H$32*(K135-Forudsætninger!$C$31),Forudsætninger!$G$31)))*(V135-Forudsætninger!$H$31)</f>
        <v>26.788579996076155</v>
      </c>
      <c r="AD135" s="19">
        <f t="shared" si="59"/>
        <v>3054.7456265422597</v>
      </c>
      <c r="AE135" s="19">
        <f t="shared" si="60"/>
        <v>26.788579996076155</v>
      </c>
      <c r="AF135">
        <f>IF(G135&lt;=Forudsætninger!$C$97,Forudsætninger!$C$98,(IF(G135&lt;=Forudsætninger!$D$97,Forudsætninger!$D$98,IF(G135&lt;=Forudsætninger!$E$97,Forudsætninger!$E$98,IF(G135&lt;=Forudsætninger!$F$97,Forudsætninger!$F$98,IF(G135&lt;=Forudsætninger!$G$97,Forudsætninger!$G$98,IF(G135&lt;=Forudsætninger!$H$97,Forudsætninger!$H$98,IF(G135&lt;=Forudsætninger!$I$97,Forudsætninger!$I$98,Forudsætninger!$I$98))))))))</f>
        <v>3.2</v>
      </c>
      <c r="AG135" s="1">
        <f t="shared" si="70"/>
        <v>3.2</v>
      </c>
      <c r="AH135" s="1">
        <f t="shared" si="74"/>
        <v>315.59999999999928</v>
      </c>
      <c r="AI135" s="1">
        <f t="shared" si="61"/>
        <v>2.3729323308270622</v>
      </c>
      <c r="AJ135" s="20">
        <f>+(W135*Forudsætninger!$C$12)</f>
        <v>0</v>
      </c>
      <c r="AK135" s="20">
        <f>Forudsætninger!$C$17</f>
        <v>250</v>
      </c>
      <c r="AL135" s="20">
        <f>IF(A135&lt;92,Forudsætninger!$C$20,Forudsætninger!$C$21)</f>
        <v>1.0566762728146013</v>
      </c>
      <c r="AM135" s="20">
        <f t="shared" si="71"/>
        <v>409.04342713763191</v>
      </c>
      <c r="AN135" s="20">
        <f>IFERROR(AD135+AJ135-AA135-Z135-AK135-AM135-Forudsætninger!$C$75,-99999999)</f>
        <v>-1072.5947755140592</v>
      </c>
      <c r="AO135" s="19">
        <f>IFERROR(AN135/(A135+Forudsætninger!$C$74),-99999999)</f>
        <v>-8.0646223722861592</v>
      </c>
      <c r="AP135" s="19">
        <f>IFERROR(((365/(A135+Forudsætninger!$C$74))*AN135)/(AI135+Forudsætninger!$C$73),-9999999)</f>
        <v>-1185.5285499882884</v>
      </c>
      <c r="AQ135" s="18">
        <f t="shared" si="62"/>
        <v>133</v>
      </c>
      <c r="AR135" s="18">
        <f t="shared" si="72"/>
        <v>3944.9462095069243</v>
      </c>
      <c r="AS135" s="52">
        <f t="shared" si="53"/>
        <v>5.7</v>
      </c>
      <c r="AT135" s="50">
        <f t="shared" si="75"/>
        <v>3.7125685466855884</v>
      </c>
      <c r="AU135" s="50">
        <f t="shared" si="76"/>
        <v>8.922114332554365E-2</v>
      </c>
      <c r="AV135" s="2">
        <f t="shared" si="77"/>
        <v>16.148253456507518</v>
      </c>
      <c r="AW135" s="61">
        <f t="shared" si="73"/>
        <v>-4.9891078825295283</v>
      </c>
      <c r="BA135" s="16"/>
      <c r="BB135" s="2"/>
    </row>
    <row r="136" spans="1:54" x14ac:dyDescent="0.25">
      <c r="A136">
        <v>134</v>
      </c>
      <c r="B136" s="1">
        <f>ROUND((A136+Forudsætninger!$C$60)/30.4,1)</f>
        <v>5.7</v>
      </c>
      <c r="C136" s="1">
        <f>VLOOKUP((A136+Forudsætninger!$C$60),'Model tilvækst, slagteform, fe'!A:B,2,FALSE)</f>
        <v>248.60458894046539</v>
      </c>
      <c r="D136" s="3">
        <f t="shared" si="63"/>
        <v>1619.7199910139375</v>
      </c>
      <c r="E136" s="1">
        <f>(1+Forudsætninger!$C$78)*C136</f>
        <v>231.2022677146328</v>
      </c>
      <c r="F136" s="2">
        <f t="shared" si="64"/>
        <v>3.1917875545271222</v>
      </c>
      <c r="G136" s="1">
        <f t="shared" si="54"/>
        <v>234.39405526915991</v>
      </c>
      <c r="H136" s="3">
        <f t="shared" si="55"/>
        <v>1460.0618776139811</v>
      </c>
      <c r="I136" s="3">
        <f t="shared" si="56"/>
        <v>1234.2839945459693</v>
      </c>
      <c r="J136" s="1">
        <f>VLOOKUP((A136+Forudsætninger!$C$60),'Model tilvækst, slagteform, fe'!G:K,2,FALSE)*(1+Forudsætninger!$C$79)</f>
        <v>48.973264399411427</v>
      </c>
      <c r="K136" s="17">
        <f t="shared" si="52"/>
        <v>114.79042042346823</v>
      </c>
      <c r="L136" s="17">
        <f t="shared" si="65"/>
        <v>758.7835472432829</v>
      </c>
      <c r="M136" s="3">
        <f>((K136-(('Model tilvækst, slagteform, fe'!$H$9/100)*'Model tilvækst, slagteform, fe'!$B$9))*1000/(A136+Forudsætninger!$C$60))</f>
        <v>545.33824505814653</v>
      </c>
      <c r="N136" s="17">
        <f t="shared" si="66"/>
        <v>558.37819636932704</v>
      </c>
      <c r="O136" s="19">
        <f>IF( A136&lt;Forudsætninger!$C$14,(G136/100)*Forudsætninger!$C$13,(Forudsætninger!$C$15/1000)*Forudsætninger!$C$13)</f>
        <v>1.5235613592495394</v>
      </c>
      <c r="P136" s="17" cm="1">
        <f t="array" ref="P136">INDEX('Model tilvækst, slagteform, fe'!$N$9:$N$375,MATCH(MIN(ABS('Model tilvækst, slagteform, fe'!$M$9:$M$375-'Vækstfunktion, hol'!G136)),ABS('Model tilvækst, slagteform, fe'!$M$9:$M$375-'Vækstfunktion, hol'!G136),0))*(1+Forudsætninger!$C$80)</f>
        <v>6.5034323377212271</v>
      </c>
      <c r="Q136" s="17">
        <f t="shared" si="67"/>
        <v>8.5708663048226086</v>
      </c>
      <c r="R136" s="17">
        <f t="shared" si="68"/>
        <v>6.7542449627113061</v>
      </c>
      <c r="S136" s="17">
        <f t="shared" si="57"/>
        <v>3.3760475578195988</v>
      </c>
      <c r="T136" s="19">
        <f>(P136)*IF(N136&lt;Forudsætninger!$B$228,IF(N136&lt;Forudsætninger!$B$227,Forudsætninger!$B$225,Forudsætninger!$C$9),Forudsætninger!$C$11)+O136</f>
        <v>16.741593029517212</v>
      </c>
      <c r="U136" s="2">
        <f>Forudsætninger!$C$68+((K136-(Forudsætninger!$C$84)))*0.01</f>
        <v>2.8449570632233225</v>
      </c>
      <c r="V136" s="2">
        <f>U136+Forudsætninger!$C$69</f>
        <v>1.8449570632233225</v>
      </c>
      <c r="W136">
        <f t="shared" si="58"/>
        <v>0</v>
      </c>
      <c r="X136">
        <f>IF(A136+Forudsætninger!$C$60&gt;248,IF(A136+Forudsætninger!$C$60&lt;365,IF(K136&gt;180,IF(K136&lt;260,1,0),0),0),0)</f>
        <v>0</v>
      </c>
      <c r="Y136" s="22">
        <f>IF(X136=0,0,IF('Vækstfunktion, hol'!A136&lt;Forudsætninger!$C$66,Forudsætninger!$C$67+(('Vækstfunktion, hol'!A136-Forudsætninger!$C$66)/7)*Forudsætninger!$C$64,Forudsætninger!$C$67))</f>
        <v>0</v>
      </c>
      <c r="Z136" s="19">
        <f t="shared" si="69"/>
        <v>1952.6443753988096</v>
      </c>
      <c r="AA136" s="19">
        <f>Forudsætninger!$C$62+Forudsætninger!$C$16</f>
        <v>1350</v>
      </c>
      <c r="AB136" s="19">
        <f>IF(K136&gt;Forudsætninger!$C$26,IF(K136&gt;Forudsætninger!$C$27,IF(K136&gt;Forudsætninger!$C$28,Forudsætninger!$E$28,Forudsætninger!$E$27+Forudsætninger!$F$28*(K136-Forudsætninger!$C$27)),Forudsætninger!$E$26+Forudsætninger!$F$27*(K136-Forudsætninger!$C$26)),Forudsætninger!$E$26)+IF(K136&gt;Forudsætninger!$C$28,Forudsætninger!$G$28,IF(K136&gt;Forudsætninger!$C$27,Forudsætninger!$G$27+Forudsætninger!$H$28*(K136-Forudsætninger!$C$27),IF(K136&gt;Forudsætninger!$C$26,Forudsætninger!$G$26+Forudsætninger!$H$27*(K136-Forudsætninger!$C$26),Forudsætninger!$G$26)))*(U136-Forudsætninger!$H$26)</f>
        <v>33.483717797417491</v>
      </c>
      <c r="AC136" s="19">
        <f>IF(K136&gt;Forudsætninger!$C$31,IF(K136&gt;Forudsætninger!$C$32,IF(K136&gt;Forudsætninger!$C$33,Forudsætninger!$E$33,Forudsætninger!$E$32+Forudsætninger!$F$33*(K136-Forudsætninger!$C$32)),Forudsætninger!$E$31+Forudsætninger!$F$32*(K136-Forudsætninger!$C$31)),Forudsætninger!$E$31)+IF(K136&gt;Forudsætninger!$C$33,Forudsætninger!$G$33,IF(K136&gt;Forudsætninger!$C$32,Forudsætninger!$G$32+Forudsætninger!$H$33*(K136-Forudsætninger!$C$32),IF(K136&gt;Forudsætninger!$C$31,Forudsætninger!$G$31+Forudsætninger!$H$32*(K136-Forudsætninger!$C$31),Forudsætninger!$G$31)))*(V136-Forudsætninger!$H$31)</f>
        <v>26.79844418219032</v>
      </c>
      <c r="AD136" s="19">
        <f t="shared" si="59"/>
        <v>3076.2046743684732</v>
      </c>
      <c r="AE136" s="19">
        <f t="shared" si="60"/>
        <v>26.79844418219032</v>
      </c>
      <c r="AF136">
        <f>IF(G136&lt;=Forudsætninger!$C$97,Forudsætninger!$C$98,(IF(G136&lt;=Forudsætninger!$D$97,Forudsætninger!$D$98,IF(G136&lt;=Forudsætninger!$E$97,Forudsætninger!$E$98,IF(G136&lt;=Forudsætninger!$F$97,Forudsætninger!$F$98,IF(G136&lt;=Forudsætninger!$G$97,Forudsætninger!$G$98,IF(G136&lt;=Forudsætninger!$H$97,Forudsætninger!$H$98,IF(G136&lt;=Forudsætninger!$I$97,Forudsætninger!$I$98,Forudsætninger!$I$98))))))))</f>
        <v>3.2</v>
      </c>
      <c r="AG136" s="1">
        <f t="shared" si="70"/>
        <v>3.2</v>
      </c>
      <c r="AH136" s="1">
        <f t="shared" si="74"/>
        <v>318.79999999999927</v>
      </c>
      <c r="AI136" s="1">
        <f t="shared" si="61"/>
        <v>2.3791044776119348</v>
      </c>
      <c r="AJ136" s="20">
        <f>+(W136*Forudsætninger!$C$12)</f>
        <v>0</v>
      </c>
      <c r="AK136" s="20">
        <f>Forudsætninger!$C$17</f>
        <v>250</v>
      </c>
      <c r="AL136" s="20">
        <f>IF(A136&lt;92,Forudsætninger!$C$20,Forudsætninger!$C$21)</f>
        <v>1.0566762728146013</v>
      </c>
      <c r="AM136" s="20">
        <f t="shared" si="71"/>
        <v>410.10010341044654</v>
      </c>
      <c r="AN136" s="20">
        <f>IFERROR(AD136+AJ136-AA136-Z136-AK136-AM136-Forudsætninger!$C$75,-99999999)</f>
        <v>-1068.9339969901775</v>
      </c>
      <c r="AO136" s="19">
        <f>IFERROR(AN136/(A136+Forudsætninger!$C$74),-99999999)</f>
        <v>-7.9771193805237131</v>
      </c>
      <c r="AP136" s="19">
        <f>IFERROR(((365/(A136+Forudsætninger!$C$74))*AN136)/(AI136+Forudsætninger!$C$73),-9999999)</f>
        <v>-1169.7574770684646</v>
      </c>
      <c r="AQ136" s="18">
        <f t="shared" si="62"/>
        <v>134</v>
      </c>
      <c r="AR136" s="18">
        <f t="shared" si="72"/>
        <v>3962.7444788092562</v>
      </c>
      <c r="AS136" s="52">
        <f t="shared" si="53"/>
        <v>5.7</v>
      </c>
      <c r="AT136" s="50">
        <f t="shared" si="75"/>
        <v>3.6607785238816177</v>
      </c>
      <c r="AU136" s="50">
        <f t="shared" si="76"/>
        <v>8.7502991762446136E-2</v>
      </c>
      <c r="AV136" s="2">
        <f t="shared" si="77"/>
        <v>15.771072919823837</v>
      </c>
      <c r="AW136" s="61">
        <f t="shared" si="73"/>
        <v>-4.9166708476099332</v>
      </c>
      <c r="BA136" s="16"/>
      <c r="BB136" s="2"/>
    </row>
    <row r="137" spans="1:54" x14ac:dyDescent="0.25">
      <c r="A137">
        <v>135</v>
      </c>
      <c r="B137" s="1">
        <f>ROUND((A137+Forudsætninger!$C$60)/30.4,1)</f>
        <v>5.7</v>
      </c>
      <c r="C137" s="1">
        <f>VLOOKUP((A137+Forudsætninger!$C$60),'Model tilvækst, slagteform, fe'!A:B,2,FALSE)</f>
        <v>250.22423363176213</v>
      </c>
      <c r="D137" s="3">
        <f t="shared" si="63"/>
        <v>1619.6446912967417</v>
      </c>
      <c r="E137" s="1">
        <f>(1+Forudsætninger!$C$78)*C137</f>
        <v>232.70853727753877</v>
      </c>
      <c r="F137" s="2">
        <f t="shared" si="64"/>
        <v>3.1455119919186436</v>
      </c>
      <c r="G137" s="1">
        <f t="shared" si="54"/>
        <v>235.85404926945742</v>
      </c>
      <c r="H137" s="3">
        <f t="shared" si="55"/>
        <v>1459.9940002975131</v>
      </c>
      <c r="I137" s="3">
        <f t="shared" si="56"/>
        <v>1235.9559205144992</v>
      </c>
      <c r="J137" s="1">
        <f>VLOOKUP((A137+Forudsætninger!$C$60),'Model tilvækst, slagteform, fe'!G:K,2,FALSE)*(1+Forudsætninger!$C$79)</f>
        <v>48.992092448490972</v>
      </c>
      <c r="K137" s="17">
        <f t="shared" si="52"/>
        <v>115.54983386160202</v>
      </c>
      <c r="L137" s="17">
        <f t="shared" si="65"/>
        <v>759.41343813379092</v>
      </c>
      <c r="M137" s="3">
        <f>((K137-(('Model tilvækst, slagteform, fe'!$H$9/100)*'Model tilvækst, slagteform, fe'!$B$9))*1000/(A137+Forudsætninger!$C$60))</f>
        <v>546.5685622597307</v>
      </c>
      <c r="N137" s="17">
        <f t="shared" si="66"/>
        <v>564.89736534231031</v>
      </c>
      <c r="O137" s="19">
        <f>IF( A137&lt;Forudsætninger!$C$14,(G137/100)*Forudsætninger!$C$13,(Forudsætninger!$C$15/1000)*Forudsætninger!$C$13)</f>
        <v>1.5330513202514733</v>
      </c>
      <c r="P137" s="17" cm="1">
        <f t="array" ref="P137">INDEX('Model tilvækst, slagteform, fe'!$N$9:$N$375,MATCH(MIN(ABS('Model tilvækst, slagteform, fe'!$M$9:$M$375-'Vækstfunktion, hol'!G137)),ABS('Model tilvækst, slagteform, fe'!$M$9:$M$375-'Vækstfunktion, hol'!G137),0))*(1+Forudsætninger!$C$80)</f>
        <v>6.5191689729832492</v>
      </c>
      <c r="Q137" s="17">
        <f t="shared" si="67"/>
        <v>8.5844793436941043</v>
      </c>
      <c r="R137" s="17">
        <f t="shared" si="68"/>
        <v>6.7709044689075544</v>
      </c>
      <c r="S137" s="17">
        <f t="shared" si="57"/>
        <v>3.3855778017711828</v>
      </c>
      <c r="T137" s="19">
        <f>(P137)*IF(N137&lt;Forudsætninger!$B$228,IF(N137&lt;Forudsætninger!$B$227,Forudsætninger!$B$225,Forudsætninger!$C$9),Forudsætninger!$C$11)+O137</f>
        <v>16.787906717032275</v>
      </c>
      <c r="U137" s="2">
        <f>Forudsætninger!$C$68+((K137-(Forudsætninger!$C$84)))*0.01</f>
        <v>2.8525511976046607</v>
      </c>
      <c r="V137" s="2">
        <f>U137+Forudsætninger!$C$69</f>
        <v>1.8525511976046607</v>
      </c>
      <c r="W137">
        <f t="shared" si="58"/>
        <v>0</v>
      </c>
      <c r="X137">
        <f>IF(A137+Forudsætninger!$C$60&gt;248,IF(A137+Forudsætninger!$C$60&lt;365,IF(K137&gt;180,IF(K137&lt;260,1,0),0),0),0)</f>
        <v>0</v>
      </c>
      <c r="Y137" s="22">
        <f>IF(X137=0,0,IF('Vækstfunktion, hol'!A137&lt;Forudsætninger!$C$66,Forudsætninger!$C$67+(('Vækstfunktion, hol'!A137-Forudsætninger!$C$66)/7)*Forudsætninger!$C$64,Forudsætninger!$C$67))</f>
        <v>0</v>
      </c>
      <c r="Z137" s="19">
        <f t="shared" si="69"/>
        <v>1969.4322821158419</v>
      </c>
      <c r="AA137" s="19">
        <f>Forudsætninger!$C$62+Forudsætninger!$C$16</f>
        <v>1350</v>
      </c>
      <c r="AB137" s="19">
        <f>IF(K137&gt;Forudsætninger!$C$26,IF(K137&gt;Forudsætninger!$C$27,IF(K137&gt;Forudsætninger!$C$28,Forudsætninger!$E$28,Forudsætninger!$E$27+Forudsætninger!$F$28*(K137-Forudsætninger!$C$27)),Forudsætninger!$E$26+Forudsætninger!$F$27*(K137-Forudsætninger!$C$26)),Forudsætninger!$E$26)+IF(K137&gt;Forudsætninger!$C$28,Forudsætninger!$G$28,IF(K137&gt;Forudsætninger!$C$27,Forudsætninger!$G$27+Forudsætninger!$H$28*(K137-Forudsætninger!$C$27),IF(K137&gt;Forudsætninger!$C$26,Forudsætninger!$G$26+Forudsætninger!$H$27*(K137-Forudsætninger!$C$26),Forudsætninger!$G$26)))*(U137-Forudsætninger!$H$26)</f>
        <v>33.489413398203496</v>
      </c>
      <c r="AC137" s="19">
        <f>IF(K137&gt;Forudsætninger!$C$31,IF(K137&gt;Forudsætninger!$C$32,IF(K137&gt;Forudsætninger!$C$33,Forudsætninger!$E$33,Forudsætninger!$E$32+Forudsætninger!$F$33*(K137-Forudsætninger!$C$32)),Forudsætninger!$E$31+Forudsætninger!$F$32*(K137-Forudsætninger!$C$31)),Forudsætninger!$E$31)+IF(K137&gt;Forudsætninger!$C$33,Forudsætninger!$G$33,IF(K137&gt;Forudsætninger!$C$32,Forudsætninger!$G$32+Forudsætninger!$H$33*(K137-Forudsætninger!$C$32),IF(K137&gt;Forudsætninger!$C$31,Forudsætninger!$G$31+Forudsætninger!$H$32*(K137-Forudsætninger!$C$31),Forudsætninger!$G$31)))*(V137-Forudsætninger!$H$31)</f>
        <v>26.808316556886059</v>
      </c>
      <c r="AD137" s="19">
        <f t="shared" si="59"/>
        <v>3097.6965242574188</v>
      </c>
      <c r="AE137" s="19">
        <f t="shared" si="60"/>
        <v>26.808316556886059</v>
      </c>
      <c r="AF137">
        <f>IF(G137&lt;=Forudsætninger!$C$97,Forudsætninger!$C$98,(IF(G137&lt;=Forudsætninger!$D$97,Forudsætninger!$D$98,IF(G137&lt;=Forudsætninger!$E$97,Forudsætninger!$E$98,IF(G137&lt;=Forudsætninger!$F$97,Forudsætninger!$F$98,IF(G137&lt;=Forudsætninger!$G$97,Forudsætninger!$G$98,IF(G137&lt;=Forudsætninger!$H$97,Forudsætninger!$H$98,IF(G137&lt;=Forudsætninger!$I$97,Forudsætninger!$I$98,Forudsætninger!$I$98))))))))</f>
        <v>3.2</v>
      </c>
      <c r="AG137" s="1">
        <f t="shared" si="70"/>
        <v>3.2</v>
      </c>
      <c r="AH137" s="1">
        <f t="shared" si="74"/>
        <v>321.99999999999926</v>
      </c>
      <c r="AI137" s="1">
        <f t="shared" si="61"/>
        <v>2.3851851851851795</v>
      </c>
      <c r="AJ137" s="20">
        <f>+(W137*Forudsætninger!$C$12)</f>
        <v>0</v>
      </c>
      <c r="AK137" s="20">
        <f>Forudsætninger!$C$17</f>
        <v>250</v>
      </c>
      <c r="AL137" s="20">
        <f>IF(A137&lt;92,Forudsætninger!$C$20,Forudsætninger!$C$21)</f>
        <v>1.0566762728146013</v>
      </c>
      <c r="AM137" s="20">
        <f t="shared" si="71"/>
        <v>411.15677968326116</v>
      </c>
      <c r="AN137" s="20">
        <f>IFERROR(AD137+AJ137-AA137-Z137-AK137-AM137-Forudsætninger!$C$75,-99999999)</f>
        <v>-1065.2867300910789</v>
      </c>
      <c r="AO137" s="19">
        <f>IFERROR(AN137/(A137+Forudsætninger!$C$74),-99999999)</f>
        <v>-7.8910128154894732</v>
      </c>
      <c r="AP137" s="19">
        <f>IFERROR(((365/(A137+Forudsætninger!$C$74))*AN137)/(AI137+Forudsætninger!$C$73),-9999999)</f>
        <v>-1154.3109885208391</v>
      </c>
      <c r="AQ137" s="18">
        <f t="shared" si="62"/>
        <v>135</v>
      </c>
      <c r="AR137" s="18">
        <f t="shared" si="72"/>
        <v>3980.5890617991031</v>
      </c>
      <c r="AS137" s="52">
        <f t="shared" si="53"/>
        <v>5.7</v>
      </c>
      <c r="AT137" s="50">
        <f t="shared" si="75"/>
        <v>3.6472668990986676</v>
      </c>
      <c r="AU137" s="50">
        <f t="shared" si="76"/>
        <v>8.6106565034239857E-2</v>
      </c>
      <c r="AV137" s="2">
        <f t="shared" si="77"/>
        <v>15.446488547625449</v>
      </c>
      <c r="AW137" s="61">
        <f t="shared" si="73"/>
        <v>-4.8454070400579088</v>
      </c>
      <c r="BA137" s="16"/>
      <c r="BB137" s="2"/>
    </row>
    <row r="138" spans="1:54" x14ac:dyDescent="0.25">
      <c r="A138">
        <v>136</v>
      </c>
      <c r="B138" s="1">
        <f>ROUND((A138+Forudsætninger!$C$60)/30.4,1)</f>
        <v>5.8</v>
      </c>
      <c r="C138" s="1">
        <f>VLOOKUP((A138+Forudsætninger!$C$60),'Model tilvækst, slagteform, fe'!A:B,2,FALSE)</f>
        <v>251.84373581966528</v>
      </c>
      <c r="D138" s="3">
        <f t="shared" si="63"/>
        <v>1619.5021879031515</v>
      </c>
      <c r="E138" s="1">
        <f>(1+Forudsætninger!$C$78)*C138</f>
        <v>234.21467431228871</v>
      </c>
      <c r="F138" s="2">
        <f t="shared" si="64"/>
        <v>3.0992405008356965</v>
      </c>
      <c r="G138" s="1">
        <f t="shared" si="54"/>
        <v>237.3139148131244</v>
      </c>
      <c r="H138" s="3">
        <f t="shared" si="55"/>
        <v>1459.8655436669787</v>
      </c>
      <c r="I138" s="3">
        <f t="shared" si="56"/>
        <v>1237.6023148023853</v>
      </c>
      <c r="J138" s="1">
        <f>VLOOKUP((A138+Forudsætninger!$C$60),'Model tilvækst, slagteform, fe'!G:K,2,FALSE)*(1+Forudsætninger!$C$79)</f>
        <v>49.010970765300769</v>
      </c>
      <c r="K138" s="17">
        <f t="shared" si="52"/>
        <v>116.30985341105118</v>
      </c>
      <c r="L138" s="17">
        <f t="shared" si="65"/>
        <v>760.0195494491544</v>
      </c>
      <c r="M138" s="3">
        <f>((K138-(('Model tilvækst, slagteform, fe'!$H$9/100)*'Model tilvækst, slagteform, fe'!$B$9))*1000/(A138+Forudsætninger!$C$60))</f>
        <v>547.78828218652734</v>
      </c>
      <c r="N138" s="17">
        <f t="shared" si="66"/>
        <v>571.43197845052634</v>
      </c>
      <c r="O138" s="19">
        <f>IF( A138&lt;Forudsætninger!$C$14,(G138/100)*Forudsætninger!$C$13,(Forudsætninger!$C$15/1000)*Forudsætninger!$C$13)</f>
        <v>1.5425404462853085</v>
      </c>
      <c r="P138" s="17" cm="1">
        <f t="array" ref="P138">INDEX('Model tilvækst, slagteform, fe'!$N$9:$N$375,MATCH(MIN(ABS('Model tilvækst, slagteform, fe'!$M$9:$M$375-'Vækstfunktion, hol'!G138)),ABS('Model tilvækst, slagteform, fe'!$M$9:$M$375-'Vækstfunktion, hol'!G138),0))*(1+Forudsætninger!$C$80)</f>
        <v>6.5346131082160879</v>
      </c>
      <c r="Q138" s="17">
        <f t="shared" si="67"/>
        <v>8.597953977568384</v>
      </c>
      <c r="R138" s="17">
        <f t="shared" si="68"/>
        <v>6.7873980080428247</v>
      </c>
      <c r="S138" s="17">
        <f t="shared" si="57"/>
        <v>3.3950370596808703</v>
      </c>
      <c r="T138" s="19">
        <f>(P138)*IF(N138&lt;Forudsætninger!$B$228,IF(N138&lt;Forudsætninger!$B$227,Forudsætninger!$B$225,Forudsætninger!$C$9),Forudsætninger!$C$11)+O138</f>
        <v>16.833535119510955</v>
      </c>
      <c r="U138" s="2">
        <f>Forudsætninger!$C$68+((K138-(Forudsætninger!$C$84)))*0.01</f>
        <v>2.860151393099152</v>
      </c>
      <c r="V138" s="2">
        <f>U138+Forudsætninger!$C$69</f>
        <v>1.860151393099152</v>
      </c>
      <c r="W138">
        <f t="shared" si="58"/>
        <v>0</v>
      </c>
      <c r="X138">
        <f>IF(A138+Forudsætninger!$C$60&gt;248,IF(A138+Forudsætninger!$C$60&lt;365,IF(K138&gt;180,IF(K138&lt;260,1,0),0),0),0)</f>
        <v>0</v>
      </c>
      <c r="Y138" s="22">
        <f>IF(X138=0,0,IF('Vækstfunktion, hol'!A138&lt;Forudsætninger!$C$66,Forudsætninger!$C$67+(('Vækstfunktion, hol'!A138-Forudsætninger!$C$66)/7)*Forudsætninger!$C$64,Forudsætninger!$C$67))</f>
        <v>0</v>
      </c>
      <c r="Z138" s="19">
        <f t="shared" si="69"/>
        <v>1986.2658172353529</v>
      </c>
      <c r="AA138" s="19">
        <f>Forudsætninger!$C$62+Forudsætninger!$C$16</f>
        <v>1350</v>
      </c>
      <c r="AB138" s="19">
        <f>IF(K138&gt;Forudsætninger!$C$26,IF(K138&gt;Forudsætninger!$C$27,IF(K138&gt;Forudsætninger!$C$28,Forudsætninger!$E$28,Forudsætninger!$E$27+Forudsætninger!$F$28*(K138-Forudsætninger!$C$27)),Forudsætninger!$E$26+Forudsætninger!$F$27*(K138-Forudsætninger!$C$26)),Forudsætninger!$E$26)+IF(K138&gt;Forudsætninger!$C$28,Forudsætninger!$G$28,IF(K138&gt;Forudsætninger!$C$27,Forudsætninger!$G$27+Forudsætninger!$H$28*(K138-Forudsætninger!$C$27),IF(K138&gt;Forudsætninger!$C$26,Forudsætninger!$G$26+Forudsætninger!$H$27*(K138-Forudsætninger!$C$26),Forudsætninger!$G$26)))*(U138-Forudsætninger!$H$26)</f>
        <v>33.495113544824363</v>
      </c>
      <c r="AC138" s="19">
        <f>IF(K138&gt;Forudsætninger!$C$31,IF(K138&gt;Forudsætninger!$C$32,IF(K138&gt;Forudsætninger!$C$33,Forudsætninger!$E$33,Forudsætninger!$E$32+Forudsætninger!$F$33*(K138-Forudsætninger!$C$32)),Forudsætninger!$E$31+Forudsætninger!$F$32*(K138-Forudsætninger!$C$31)),Forudsætninger!$E$31)+IF(K138&gt;Forudsætninger!$C$33,Forudsætninger!$G$33,IF(K138&gt;Forudsætninger!$C$32,Forudsætninger!$G$32+Forudsætninger!$H$33*(K138-Forudsætninger!$C$32),IF(K138&gt;Forudsætninger!$C$31,Forudsætninger!$G$31+Forudsætninger!$H$32*(K138-Forudsætninger!$C$31),Forudsætninger!$G$31)))*(V138-Forudsætninger!$H$31)</f>
        <v>26.818196811028898</v>
      </c>
      <c r="AD138" s="19">
        <f t="shared" si="59"/>
        <v>3119.2205398394913</v>
      </c>
      <c r="AE138" s="19">
        <f t="shared" si="60"/>
        <v>26.818196811028898</v>
      </c>
      <c r="AF138">
        <f>IF(G138&lt;=Forudsætninger!$C$97,Forudsætninger!$C$98,(IF(G138&lt;=Forudsætninger!$D$97,Forudsætninger!$D$98,IF(G138&lt;=Forudsætninger!$E$97,Forudsætninger!$E$98,IF(G138&lt;=Forudsætninger!$F$97,Forudsætninger!$F$98,IF(G138&lt;=Forudsætninger!$G$97,Forudsætninger!$G$98,IF(G138&lt;=Forudsætninger!$H$97,Forudsætninger!$H$98,IF(G138&lt;=Forudsætninger!$I$97,Forudsætninger!$I$98,Forudsætninger!$I$98))))))))</f>
        <v>3.2</v>
      </c>
      <c r="AG138" s="1">
        <f t="shared" si="70"/>
        <v>3.2</v>
      </c>
      <c r="AH138" s="1">
        <f t="shared" si="74"/>
        <v>325.19999999999925</v>
      </c>
      <c r="AI138" s="1">
        <f t="shared" si="61"/>
        <v>2.3911764705882299</v>
      </c>
      <c r="AJ138" s="20">
        <f>+(W138*Forudsætninger!$C$12)</f>
        <v>0</v>
      </c>
      <c r="AK138" s="20">
        <f>Forudsætninger!$C$17</f>
        <v>250</v>
      </c>
      <c r="AL138" s="20">
        <f>IF(A138&lt;92,Forudsætninger!$C$20,Forudsætninger!$C$21)</f>
        <v>1.0566762728146013</v>
      </c>
      <c r="AM138" s="20">
        <f t="shared" si="71"/>
        <v>412.21345595607579</v>
      </c>
      <c r="AN138" s="20">
        <f>IFERROR(AD138+AJ138-AA138-Z138-AK138-AM138-Forudsætninger!$C$75,-99999999)</f>
        <v>-1061.6529259013319</v>
      </c>
      <c r="AO138" s="19">
        <f>IFERROR(AN138/(A138+Forudsætninger!$C$74),-99999999)</f>
        <v>-7.8062715139803815</v>
      </c>
      <c r="AP138" s="19">
        <f>IFERROR(((365/(A138+Forudsætninger!$C$74))*AN138)/(AI138+Forudsætninger!$C$73),-9999999)</f>
        <v>-1139.1795565439409</v>
      </c>
      <c r="AQ138" s="18">
        <f t="shared" si="62"/>
        <v>136</v>
      </c>
      <c r="AR138" s="18">
        <f t="shared" si="72"/>
        <v>3998.479273191429</v>
      </c>
      <c r="AS138" s="52">
        <f t="shared" si="53"/>
        <v>5.8</v>
      </c>
      <c r="AT138" s="50">
        <f t="shared" si="75"/>
        <v>3.6338041897470248</v>
      </c>
      <c r="AU138" s="50">
        <f t="shared" si="76"/>
        <v>8.4741301509091649E-2</v>
      </c>
      <c r="AV138" s="2">
        <f t="shared" si="77"/>
        <v>15.131431976898284</v>
      </c>
      <c r="AW138" s="61">
        <f t="shared" si="73"/>
        <v>-4.7752902201857061</v>
      </c>
      <c r="BA138" s="16"/>
      <c r="BB138" s="2"/>
    </row>
    <row r="139" spans="1:54" x14ac:dyDescent="0.25">
      <c r="A139">
        <v>137</v>
      </c>
      <c r="B139" s="1">
        <f>ROUND((A139+Forudsætninger!$C$60)/30.4,1)</f>
        <v>5.8</v>
      </c>
      <c r="C139" s="1">
        <f>VLOOKUP((A139+Forudsætninger!$C$60),'Model tilvækst, slagteform, fe'!A:B,2,FALSE)</f>
        <v>253.46302883484606</v>
      </c>
      <c r="D139" s="3">
        <f t="shared" si="63"/>
        <v>1619.293015180773</v>
      </c>
      <c r="E139" s="1">
        <f>(1+Forudsætninger!$C$78)*C139</f>
        <v>235.72061681640682</v>
      </c>
      <c r="F139" s="2">
        <f t="shared" si="64"/>
        <v>3.0529749861162458</v>
      </c>
      <c r="G139" s="1">
        <f t="shared" si="54"/>
        <v>238.77359180252307</v>
      </c>
      <c r="H139" s="3">
        <f t="shared" si="55"/>
        <v>1459.6769893986732</v>
      </c>
      <c r="I139" s="3">
        <f t="shared" si="56"/>
        <v>1239.2232978286354</v>
      </c>
      <c r="J139" s="1">
        <f>VLOOKUP((A139+Forudsætninger!$C$60),'Model tilvækst, slagteform, fe'!G:K,2,FALSE)*(1+Forudsætninger!$C$79)</f>
        <v>49.029900958690263</v>
      </c>
      <c r="K139" s="17">
        <f t="shared" si="52"/>
        <v>117.07045557628444</v>
      </c>
      <c r="L139" s="17">
        <f t="shared" si="65"/>
        <v>760.60216523326574</v>
      </c>
      <c r="M139" s="3">
        <f>((K139-(('Model tilvækst, slagteform, fe'!$H$9/100)*'Model tilvækst, slagteform, fe'!$B$9))*1000/(A139+Forudsætninger!$C$60))</f>
        <v>548.99745197656569</v>
      </c>
      <c r="N139" s="17">
        <f t="shared" si="66"/>
        <v>577.9817478332676</v>
      </c>
      <c r="O139" s="19">
        <f>IF( A139&lt;Forudsætninger!$C$14,(G139/100)*Forudsætninger!$C$13,(Forudsætninger!$C$15/1000)*Forudsætninger!$C$13)</f>
        <v>1.5520283467164</v>
      </c>
      <c r="P139" s="17" cm="1">
        <f t="array" ref="P139">INDEX('Model tilvækst, slagteform, fe'!$N$9:$N$375,MATCH(MIN(ABS('Model tilvækst, slagteform, fe'!$M$9:$M$375-'Vækstfunktion, hol'!G139)),ABS('Model tilvækst, slagteform, fe'!$M$9:$M$375-'Vækstfunktion, hol'!G139),0))*(1+Forudsætninger!$C$80)</f>
        <v>6.549769382741232</v>
      </c>
      <c r="Q139" s="17">
        <f t="shared" si="67"/>
        <v>8.6112946848271363</v>
      </c>
      <c r="R139" s="17">
        <f t="shared" si="68"/>
        <v>6.803728174800912</v>
      </c>
      <c r="S139" s="17">
        <f t="shared" si="57"/>
        <v>3.4044266937908891</v>
      </c>
      <c r="T139" s="19">
        <f>(P139)*IF(N139&lt;Forudsætninger!$B$228,IF(N139&lt;Forudsætninger!$B$227,Forudsætninger!$B$225,Forudsætninger!$C$9),Forudsætninger!$C$11)+O139</f>
        <v>16.878488702330884</v>
      </c>
      <c r="U139" s="2">
        <f>Forudsætninger!$C$68+((K139-(Forudsætninger!$C$84)))*0.01</f>
        <v>2.8677574147514848</v>
      </c>
      <c r="V139" s="2">
        <f>U139+Forudsætninger!$C$69</f>
        <v>1.8677574147514848</v>
      </c>
      <c r="W139">
        <f t="shared" si="58"/>
        <v>0</v>
      </c>
      <c r="X139">
        <f>IF(A139+Forudsætninger!$C$60&gt;248,IF(A139+Forudsætninger!$C$60&lt;365,IF(K139&gt;180,IF(K139&lt;260,1,0),0),0),0)</f>
        <v>0</v>
      </c>
      <c r="Y139" s="22">
        <f>IF(X139=0,0,IF('Vækstfunktion, hol'!A139&lt;Forudsætninger!$C$66,Forudsætninger!$C$67+(('Vækstfunktion, hol'!A139-Forudsætninger!$C$66)/7)*Forudsætninger!$C$64,Forudsætninger!$C$67))</f>
        <v>0</v>
      </c>
      <c r="Z139" s="19">
        <f t="shared" si="69"/>
        <v>2003.1443059376838</v>
      </c>
      <c r="AA139" s="19">
        <f>Forudsætninger!$C$62+Forudsætninger!$C$16</f>
        <v>1350</v>
      </c>
      <c r="AB139" s="19">
        <f>IF(K139&gt;Forudsætninger!$C$26,IF(K139&gt;Forudsætninger!$C$27,IF(K139&gt;Forudsætninger!$C$28,Forudsætninger!$E$28,Forudsætninger!$E$27+Forudsætninger!$F$28*(K139-Forudsætninger!$C$27)),Forudsætninger!$E$26+Forudsætninger!$F$27*(K139-Forudsætninger!$C$26)),Forudsætninger!$E$26)+IF(K139&gt;Forudsætninger!$C$28,Forudsætninger!$G$28,IF(K139&gt;Forudsætninger!$C$27,Forudsætninger!$G$27+Forudsætninger!$H$28*(K139-Forudsætninger!$C$27),IF(K139&gt;Forudsætninger!$C$26,Forudsætninger!$G$26+Forudsætninger!$H$27*(K139-Forudsætninger!$C$26),Forudsætninger!$G$26)))*(U139-Forudsætninger!$H$26)</f>
        <v>33.500818061063612</v>
      </c>
      <c r="AC139" s="19">
        <f>IF(K139&gt;Forudsætninger!$C$31,IF(K139&gt;Forudsætninger!$C$32,IF(K139&gt;Forudsætninger!$C$33,Forudsætninger!$E$33,Forudsætninger!$E$32+Forudsætninger!$F$33*(K139-Forudsætninger!$C$32)),Forudsætninger!$E$31+Forudsætninger!$F$32*(K139-Forudsætninger!$C$31)),Forudsætninger!$E$31)+IF(K139&gt;Forudsætninger!$C$33,Forudsætninger!$G$33,IF(K139&gt;Forudsætninger!$C$32,Forudsætninger!$G$32+Forudsætninger!$H$33*(K139-Forudsætninger!$C$32),IF(K139&gt;Forudsætninger!$C$31,Forudsætninger!$G$31+Forudsætninger!$H$32*(K139-Forudsætninger!$C$31),Forudsætninger!$G$31)))*(V139-Forudsætninger!$H$31)</f>
        <v>26.828084639176929</v>
      </c>
      <c r="AD139" s="19">
        <f t="shared" si="59"/>
        <v>3140.7760909475619</v>
      </c>
      <c r="AE139" s="19">
        <f t="shared" si="60"/>
        <v>26.828084639176929</v>
      </c>
      <c r="AF139">
        <f>IF(G139&lt;=Forudsætninger!$C$97,Forudsætninger!$C$98,(IF(G139&lt;=Forudsætninger!$D$97,Forudsætninger!$D$98,IF(G139&lt;=Forudsætninger!$E$97,Forudsætninger!$E$98,IF(G139&lt;=Forudsætninger!$F$97,Forudsætninger!$F$98,IF(G139&lt;=Forudsætninger!$G$97,Forudsætninger!$G$98,IF(G139&lt;=Forudsætninger!$H$97,Forudsætninger!$H$98,IF(G139&lt;=Forudsætninger!$I$97,Forudsætninger!$I$98,Forudsætninger!$I$98))))))))</f>
        <v>3.2</v>
      </c>
      <c r="AG139" s="1">
        <f t="shared" si="70"/>
        <v>3.2</v>
      </c>
      <c r="AH139" s="1">
        <f t="shared" si="74"/>
        <v>328.39999999999924</v>
      </c>
      <c r="AI139" s="1">
        <f t="shared" si="61"/>
        <v>2.3970802919707972</v>
      </c>
      <c r="AJ139" s="20">
        <f>+(W139*Forudsætninger!$C$12)</f>
        <v>0</v>
      </c>
      <c r="AK139" s="20">
        <f>Forudsætninger!$C$17</f>
        <v>250</v>
      </c>
      <c r="AL139" s="20">
        <f>IF(A139&lt;92,Forudsætninger!$C$20,Forudsætninger!$C$21)</f>
        <v>1.0566762728146013</v>
      </c>
      <c r="AM139" s="20">
        <f t="shared" si="71"/>
        <v>413.27013222889042</v>
      </c>
      <c r="AN139" s="20">
        <f>IFERROR(AD139+AJ139-AA139-Z139-AK139-AM139-Forudsætninger!$C$75,-99999999)</f>
        <v>-1058.0325397684069</v>
      </c>
      <c r="AO139" s="19">
        <f>IFERROR(AN139/(A139+Forudsætninger!$C$74),-99999999)</f>
        <v>-7.7228652537839917</v>
      </c>
      <c r="AP139" s="19">
        <f>IFERROR(((365/(A139+Forudsætninger!$C$74))*AN139)/(AI139+Forudsætninger!$C$73),-9999999)</f>
        <v>-1124.3540251418449</v>
      </c>
      <c r="AQ139" s="18">
        <f t="shared" si="62"/>
        <v>137</v>
      </c>
      <c r="AR139" s="18">
        <f t="shared" si="72"/>
        <v>4016.4144381665742</v>
      </c>
      <c r="AS139" s="52">
        <f t="shared" si="53"/>
        <v>5.8</v>
      </c>
      <c r="AT139" s="50">
        <f t="shared" si="75"/>
        <v>3.6203861329249776</v>
      </c>
      <c r="AU139" s="50">
        <f t="shared" si="76"/>
        <v>8.3406260196389859E-2</v>
      </c>
      <c r="AV139" s="2">
        <f t="shared" si="77"/>
        <v>14.825531402095976</v>
      </c>
      <c r="AW139" s="61">
        <f t="shared" si="73"/>
        <v>-4.7062949455439158</v>
      </c>
      <c r="BA139" s="16"/>
      <c r="BB139" s="2"/>
    </row>
    <row r="140" spans="1:54" x14ac:dyDescent="0.25">
      <c r="A140">
        <v>138</v>
      </c>
      <c r="B140" s="1">
        <f>ROUND((A140+Forudsætninger!$C$60)/30.4,1)</f>
        <v>5.8</v>
      </c>
      <c r="C140" s="1">
        <f>VLOOKUP((A140+Forudsætninger!$C$60),'Model tilvækst, slagteform, fe'!A:B,2,FALSE)</f>
        <v>255.08204654232304</v>
      </c>
      <c r="D140" s="3">
        <f t="shared" si="63"/>
        <v>1619.0177074769849</v>
      </c>
      <c r="E140" s="1">
        <f>(1+Forudsætninger!$C$78)*C140</f>
        <v>237.22630328436043</v>
      </c>
      <c r="F140" s="2">
        <f t="shared" si="64"/>
        <v>3.0067173373311893</v>
      </c>
      <c r="G140" s="1">
        <f t="shared" si="54"/>
        <v>240.23302062169162</v>
      </c>
      <c r="H140" s="3">
        <f t="shared" si="55"/>
        <v>1459.4288191685507</v>
      </c>
      <c r="I140" s="3">
        <f t="shared" si="56"/>
        <v>1240.8189900122582</v>
      </c>
      <c r="J140" s="1">
        <f>VLOOKUP((A140+Forudsætninger!$C$60),'Model tilvækst, slagteform, fe'!G:K,2,FALSE)*(1+Forudsætninger!$C$79)</f>
        <v>49.048884637508863</v>
      </c>
      <c r="K140" s="17">
        <f t="shared" si="52"/>
        <v>117.83161714593639</v>
      </c>
      <c r="L140" s="17">
        <f t="shared" si="65"/>
        <v>761.16156965194648</v>
      </c>
      <c r="M140" s="3">
        <f>((K140-(('Model tilvækst, slagteform, fe'!$H$9/100)*'Model tilvækst, slagteform, fe'!$B$9))*1000/(A140+Forudsætninger!$C$60))</f>
        <v>550.19611930806502</v>
      </c>
      <c r="N140" s="17">
        <f t="shared" si="66"/>
        <v>584.56098474022201</v>
      </c>
      <c r="O140" s="19">
        <f>IF( A140&lt;Forudsætninger!$C$14,(G140/100)*Forudsætninger!$C$13,(Forudsætninger!$C$15/1000)*Forudsætninger!$C$13)</f>
        <v>1.5615146340409956</v>
      </c>
      <c r="P140" s="17" cm="1">
        <f t="array" ref="P140">INDEX('Model tilvækst, slagteform, fe'!$N$9:$N$375,MATCH(MIN(ABS('Model tilvækst, slagteform, fe'!$M$9:$M$375-'Vækstfunktion, hol'!G140)),ABS('Model tilvækst, slagteform, fe'!$M$9:$M$375-'Vækstfunktion, hol'!G140),0))*(1+Forudsætninger!$C$80)</f>
        <v>6.5792369069544057</v>
      </c>
      <c r="Q140" s="17">
        <f t="shared" si="67"/>
        <v>8.6436798299773194</v>
      </c>
      <c r="R140" s="17">
        <f t="shared" si="68"/>
        <v>6.820067801540989</v>
      </c>
      <c r="S140" s="17">
        <f t="shared" si="57"/>
        <v>3.4138332817926731</v>
      </c>
      <c r="T140" s="19">
        <f>(P140)*IF(N140&lt;Forudsætninger!$B$228,IF(N140&lt;Forudsætninger!$B$227,Forudsætninger!$B$225,Forudsætninger!$C$9),Forudsætninger!$C$11)+O140</f>
        <v>16.956928996314304</v>
      </c>
      <c r="U140" s="2">
        <f>Forudsætninger!$C$68+((K140-(Forudsætninger!$C$84)))*0.01</f>
        <v>2.8753690304480042</v>
      </c>
      <c r="V140" s="2">
        <f>U140+Forudsætninger!$C$69</f>
        <v>1.8753690304480042</v>
      </c>
      <c r="W140">
        <f t="shared" si="58"/>
        <v>0</v>
      </c>
      <c r="X140">
        <f>IF(A140+Forudsætninger!$C$60&gt;248,IF(A140+Forudsætninger!$C$60&lt;365,IF(K140&gt;180,IF(K140&lt;260,1,0),0),0),0)</f>
        <v>0</v>
      </c>
      <c r="Y140" s="22">
        <f>IF(X140=0,0,IF('Vækstfunktion, hol'!A140&lt;Forudsætninger!$C$66,Forudsætninger!$C$67+(('Vækstfunktion, hol'!A140-Forudsætninger!$C$66)/7)*Forudsætninger!$C$64,Forudsætninger!$C$67))</f>
        <v>0</v>
      </c>
      <c r="Z140" s="19">
        <f t="shared" si="69"/>
        <v>2020.1012349339981</v>
      </c>
      <c r="AA140" s="19">
        <f>Forudsætninger!$C$62+Forudsætninger!$C$16</f>
        <v>1350</v>
      </c>
      <c r="AB140" s="19">
        <f>IF(K140&gt;Forudsætninger!$C$26,IF(K140&gt;Forudsætninger!$C$27,IF(K140&gt;Forudsætninger!$C$28,Forudsætninger!$E$28,Forudsætninger!$E$27+Forudsætninger!$F$28*(K140-Forudsætninger!$C$27)),Forudsætninger!$E$26+Forudsætninger!$F$27*(K140-Forudsætninger!$C$26)),Forudsætninger!$E$26)+IF(K140&gt;Forudsætninger!$C$28,Forudsætninger!$G$28,IF(K140&gt;Forudsætninger!$C$27,Forudsætninger!$G$27+Forudsætninger!$H$28*(K140-Forudsætninger!$C$27),IF(K140&gt;Forudsætninger!$C$26,Forudsætninger!$G$26+Forudsætninger!$H$27*(K140-Forudsætninger!$C$26),Forudsætninger!$G$26)))*(U140-Forudsætninger!$H$26)</f>
        <v>33.506526772836004</v>
      </c>
      <c r="AC140" s="19">
        <f>IF(K140&gt;Forudsætninger!$C$31,IF(K140&gt;Forudsætninger!$C$32,IF(K140&gt;Forudsætninger!$C$33,Forudsætninger!$E$33,Forudsætninger!$E$32+Forudsætninger!$F$33*(K140-Forudsætninger!$C$32)),Forudsætninger!$E$31+Forudsætninger!$F$32*(K140-Forudsætninger!$C$31)),Forudsætninger!$E$31)+IF(K140&gt;Forudsætninger!$C$33,Forudsætninger!$G$33,IF(K140&gt;Forudsætninger!$C$32,Forudsætninger!$G$32+Forudsætninger!$H$33*(K140-Forudsætninger!$C$32),IF(K140&gt;Forudsætninger!$C$31,Forudsætninger!$G$31+Forudsætninger!$H$32*(K140-Forudsætninger!$C$31),Forudsætninger!$G$31)))*(V140-Forudsætninger!$H$31)</f>
        <v>26.837979739582405</v>
      </c>
      <c r="AD140" s="19">
        <f t="shared" si="59"/>
        <v>3162.3625536448717</v>
      </c>
      <c r="AE140" s="19">
        <f t="shared" si="60"/>
        <v>26.837979739582405</v>
      </c>
      <c r="AF140">
        <f>IF(G140&lt;=Forudsætninger!$C$97,Forudsætninger!$C$98,(IF(G140&lt;=Forudsætninger!$D$97,Forudsætninger!$D$98,IF(G140&lt;=Forudsætninger!$E$97,Forudsætninger!$E$98,IF(G140&lt;=Forudsætninger!$F$97,Forudsætninger!$F$98,IF(G140&lt;=Forudsætninger!$G$97,Forudsætninger!$G$98,IF(G140&lt;=Forudsætninger!$H$97,Forudsætninger!$H$98,IF(G140&lt;=Forudsætninger!$I$97,Forudsætninger!$I$98,Forudsætninger!$I$98))))))))</f>
        <v>3.2</v>
      </c>
      <c r="AG140" s="1">
        <f t="shared" si="70"/>
        <v>3.2</v>
      </c>
      <c r="AH140" s="1">
        <f t="shared" si="74"/>
        <v>331.59999999999923</v>
      </c>
      <c r="AI140" s="1">
        <f t="shared" si="61"/>
        <v>2.4028985507246321</v>
      </c>
      <c r="AJ140" s="20">
        <f>+(W140*Forudsætninger!$C$12)</f>
        <v>0</v>
      </c>
      <c r="AK140" s="20">
        <f>Forudsætninger!$C$17</f>
        <v>250</v>
      </c>
      <c r="AL140" s="20">
        <f>IF(A140&lt;92,Forudsætninger!$C$20,Forudsætninger!$C$21)</f>
        <v>1.0566762728146013</v>
      </c>
      <c r="AM140" s="20">
        <f t="shared" si="71"/>
        <v>414.32680850170505</v>
      </c>
      <c r="AN140" s="20">
        <f>IFERROR(AD140+AJ140-AA140-Z140-AK140-AM140-Forudsætninger!$C$75,-99999999)</f>
        <v>-1054.459682340226</v>
      </c>
      <c r="AO140" s="19">
        <f>IFERROR(AN140/(A140+Forudsætninger!$C$74),-99999999)</f>
        <v>-7.6410121908712032</v>
      </c>
      <c r="AP140" s="19">
        <f>IFERROR(((365/(A140+Forudsætninger!$C$74))*AN140)/(AI140+Forudsætninger!$C$73),-9999999)</f>
        <v>-1109.8615377305016</v>
      </c>
      <c r="AQ140" s="18">
        <f t="shared" si="62"/>
        <v>138</v>
      </c>
      <c r="AR140" s="18">
        <f t="shared" si="72"/>
        <v>4034.4280434357033</v>
      </c>
      <c r="AS140" s="52">
        <f t="shared" si="53"/>
        <v>5.8</v>
      </c>
      <c r="AT140" s="50">
        <f t="shared" si="75"/>
        <v>3.572857428180896</v>
      </c>
      <c r="AU140" s="50">
        <f t="shared" si="76"/>
        <v>8.1853062912788488E-2</v>
      </c>
      <c r="AV140" s="2">
        <f t="shared" si="77"/>
        <v>14.492487411343291</v>
      </c>
      <c r="AW140" s="61">
        <f t="shared" si="73"/>
        <v>-4.6386440133226152</v>
      </c>
      <c r="BA140" s="16"/>
      <c r="BB140" s="2"/>
    </row>
    <row r="141" spans="1:54" x14ac:dyDescent="0.25">
      <c r="A141">
        <v>139</v>
      </c>
      <c r="B141" s="1">
        <f>ROUND((A141+Forudsætninger!$C$60)/30.4,1)</f>
        <v>5.9</v>
      </c>
      <c r="C141" s="1">
        <f>VLOOKUP((A141+Forudsætninger!$C$60),'Model tilvækst, slagteform, fe'!A:B,2,FALSE)</f>
        <v>256.70072334146232</v>
      </c>
      <c r="D141" s="3">
        <f t="shared" si="63"/>
        <v>1618.6767991392799</v>
      </c>
      <c r="E141" s="1">
        <f>(1+Forudsætninger!$C$78)*C141</f>
        <v>238.73167270755994</v>
      </c>
      <c r="F141" s="2">
        <f t="shared" si="64"/>
        <v>2.9604694287843527</v>
      </c>
      <c r="G141" s="1">
        <f t="shared" si="54"/>
        <v>241.6921421363443</v>
      </c>
      <c r="H141" s="3">
        <f t="shared" si="55"/>
        <v>1459.1215146526793</v>
      </c>
      <c r="I141" s="3">
        <f t="shared" si="56"/>
        <v>1242.3895117722611</v>
      </c>
      <c r="J141" s="1">
        <f>VLOOKUP((A141+Forudsætninger!$C$60),'Model tilvækst, slagteform, fe'!G:K,2,FALSE)*(1+Forudsætninger!$C$79)</f>
        <v>49.067923410606021</v>
      </c>
      <c r="K141" s="17">
        <f t="shared" si="52"/>
        <v>118.59331519291446</v>
      </c>
      <c r="L141" s="17">
        <f t="shared" si="65"/>
        <v>761.69804697806853</v>
      </c>
      <c r="M141" s="3">
        <f>((K141-(('Model tilvækst, slagteform, fe'!$H$9/100)*'Model tilvækst, slagteform, fe'!$B$9))*1000/(A141+Forudsætninger!$C$60))</f>
        <v>551.38433238486277</v>
      </c>
      <c r="N141" s="17">
        <f t="shared" si="66"/>
        <v>591.15454217550746</v>
      </c>
      <c r="O141" s="19">
        <f>IF( A141&lt;Forudsætninger!$C$14,(G141/100)*Forudsætninger!$C$13,(Forudsætninger!$C$15/1000)*Forudsætninger!$C$13)</f>
        <v>1.5709989238862381</v>
      </c>
      <c r="P141" s="17" cm="1">
        <f t="array" ref="P141">INDEX('Model tilvækst, slagteform, fe'!$N$9:$N$375,MATCH(MIN(ABS('Model tilvækst, slagteform, fe'!$M$9:$M$375-'Vækstfunktion, hol'!G141)),ABS('Model tilvækst, slagteform, fe'!$M$9:$M$375-'Vækstfunktion, hol'!G141),0))*(1+Forudsætninger!$C$80)</f>
        <v>6.5935574352854127</v>
      </c>
      <c r="Q141" s="17">
        <f t="shared" si="67"/>
        <v>8.6563927286467894</v>
      </c>
      <c r="R141" s="17">
        <f t="shared" si="68"/>
        <v>6.8362429706769925</v>
      </c>
      <c r="S141" s="17">
        <f t="shared" si="57"/>
        <v>3.4231698956445729</v>
      </c>
      <c r="T141" s="19">
        <f>(P141)*IF(N141&lt;Forudsætninger!$B$228,IF(N141&lt;Forudsætninger!$B$227,Forudsætninger!$B$225,Forudsætninger!$C$9),Forudsætninger!$C$11)+O141</f>
        <v>16.999923322454102</v>
      </c>
      <c r="U141" s="2">
        <f>Forudsætninger!$C$68+((K141-(Forudsætninger!$C$84)))*0.01</f>
        <v>2.8829860109177847</v>
      </c>
      <c r="V141" s="2">
        <f>U141+Forudsætninger!$C$69</f>
        <v>1.8829860109177847</v>
      </c>
      <c r="W141">
        <f t="shared" si="58"/>
        <v>0</v>
      </c>
      <c r="X141">
        <f>IF(A141+Forudsætninger!$C$60&gt;248,IF(A141+Forudsætninger!$C$60&lt;365,IF(K141&gt;180,IF(K141&lt;260,1,0),0),0),0)</f>
        <v>0</v>
      </c>
      <c r="Y141" s="22">
        <f>IF(X141=0,0,IF('Vækstfunktion, hol'!A141&lt;Forudsætninger!$C$66,Forudsætninger!$C$67+(('Vækstfunktion, hol'!A141-Forudsætninger!$C$66)/7)*Forudsætninger!$C$64,Forudsætninger!$C$67))</f>
        <v>0</v>
      </c>
      <c r="Z141" s="19">
        <f t="shared" si="69"/>
        <v>2037.1011582564522</v>
      </c>
      <c r="AA141" s="19">
        <f>Forudsætninger!$C$62+Forudsætninger!$C$16</f>
        <v>1350</v>
      </c>
      <c r="AB141" s="19">
        <f>IF(K141&gt;Forudsætninger!$C$26,IF(K141&gt;Forudsætninger!$C$27,IF(K141&gt;Forudsætninger!$C$28,Forudsætninger!$E$28,Forudsætninger!$E$27+Forudsætninger!$F$28*(K141-Forudsætninger!$C$27)),Forudsætninger!$E$26+Forudsætninger!$F$27*(K141-Forudsætninger!$C$26)),Forudsætninger!$E$26)+IF(K141&gt;Forudsætninger!$C$28,Forudsætninger!$G$28,IF(K141&gt;Forudsætninger!$C$27,Forudsætninger!$G$27+Forudsætninger!$H$28*(K141-Forudsætninger!$C$27),IF(K141&gt;Forudsætninger!$C$26,Forudsætninger!$G$26+Forudsætninger!$H$27*(K141-Forudsætninger!$C$26),Forudsætninger!$G$26)))*(U141-Forudsætninger!$H$26)</f>
        <v>33.512239508188337</v>
      </c>
      <c r="AC141" s="19">
        <f>IF(K141&gt;Forudsætninger!$C$31,IF(K141&gt;Forudsætninger!$C$32,IF(K141&gt;Forudsætninger!$C$33,Forudsætninger!$E$33,Forudsætninger!$E$32+Forudsætninger!$F$33*(K141-Forudsætninger!$C$32)),Forudsætninger!$E$31+Forudsætninger!$F$32*(K141-Forudsætninger!$C$31)),Forudsætninger!$E$31)+IF(K141&gt;Forudsætninger!$C$33,Forudsætninger!$G$33,IF(K141&gt;Forudsætninger!$C$32,Forudsætninger!$G$32+Forudsætninger!$H$33*(K141-Forudsætninger!$C$32),IF(K141&gt;Forudsætninger!$C$31,Forudsætninger!$G$31+Forudsætninger!$H$32*(K141-Forudsætninger!$C$31),Forudsætninger!$G$31)))*(V141-Forudsætninger!$H$31)</f>
        <v>26.847881814193119</v>
      </c>
      <c r="AD141" s="19">
        <f t="shared" si="59"/>
        <v>3183.9793102527206</v>
      </c>
      <c r="AE141" s="19">
        <f t="shared" si="60"/>
        <v>26.847881814193119</v>
      </c>
      <c r="AF141">
        <f>IF(G141&lt;=Forudsætninger!$C$97,Forudsætninger!$C$98,(IF(G141&lt;=Forudsætninger!$D$97,Forudsætninger!$D$98,IF(G141&lt;=Forudsætninger!$E$97,Forudsætninger!$E$98,IF(G141&lt;=Forudsætninger!$F$97,Forudsætninger!$F$98,IF(G141&lt;=Forudsætninger!$G$97,Forudsætninger!$G$98,IF(G141&lt;=Forudsætninger!$H$97,Forudsætninger!$H$98,IF(G141&lt;=Forudsætninger!$I$97,Forudsætninger!$I$98,Forudsætninger!$I$98))))))))</f>
        <v>3.2</v>
      </c>
      <c r="AG141" s="1">
        <f t="shared" si="70"/>
        <v>3.2</v>
      </c>
      <c r="AH141" s="1">
        <f t="shared" si="74"/>
        <v>334.79999999999922</v>
      </c>
      <c r="AI141" s="1">
        <f t="shared" si="61"/>
        <v>2.4086330935251743</v>
      </c>
      <c r="AJ141" s="20">
        <f>+(W141*Forudsætninger!$C$12)</f>
        <v>0</v>
      </c>
      <c r="AK141" s="20">
        <f>Forudsætninger!$C$17</f>
        <v>250</v>
      </c>
      <c r="AL141" s="20">
        <f>IF(A141&lt;92,Forudsætninger!$C$20,Forudsætninger!$C$21)</f>
        <v>1.0566762728146013</v>
      </c>
      <c r="AM141" s="20">
        <f t="shared" si="71"/>
        <v>415.38348477451967</v>
      </c>
      <c r="AN141" s="20">
        <f>IFERROR(AD141+AJ141-AA141-Z141-AK141-AM141-Forudsætninger!$C$75,-99999999)</f>
        <v>-1050.899525327646</v>
      </c>
      <c r="AO141" s="19">
        <f>IFERROR(AN141/(A141+Forudsætninger!$C$74),-99999999)</f>
        <v>-7.5604282397672371</v>
      </c>
      <c r="AP141" s="19">
        <f>IFERROR(((365/(A141+Forudsætninger!$C$74))*AN141)/(AI141+Forudsætninger!$C$73),-9999999)</f>
        <v>-1095.6563362123786</v>
      </c>
      <c r="AQ141" s="18">
        <f t="shared" si="62"/>
        <v>139</v>
      </c>
      <c r="AR141" s="18">
        <f t="shared" si="72"/>
        <v>4052.4846430309722</v>
      </c>
      <c r="AS141" s="52">
        <f t="shared" si="53"/>
        <v>5.9</v>
      </c>
      <c r="AT141" s="50">
        <f t="shared" si="75"/>
        <v>3.5601570125800208</v>
      </c>
      <c r="AU141" s="50">
        <f t="shared" si="76"/>
        <v>8.0583951103966101E-2</v>
      </c>
      <c r="AV141" s="2">
        <f t="shared" si="77"/>
        <v>14.205201518122976</v>
      </c>
      <c r="AW141" s="61">
        <f t="shared" si="73"/>
        <v>-4.5720578457059444</v>
      </c>
      <c r="BA141" s="16"/>
      <c r="BB141" s="2"/>
    </row>
    <row r="142" spans="1:54" x14ac:dyDescent="0.25">
      <c r="A142">
        <v>140</v>
      </c>
      <c r="B142" s="1">
        <f>ROUND((A142+Forudsætninger!$C$60)/30.4,1)</f>
        <v>5.9</v>
      </c>
      <c r="C142" s="1">
        <f>VLOOKUP((A142+Forudsætninger!$C$60),'Model tilvækst, slagteform, fe'!A:B,2,FALSE)</f>
        <v>258.31899416597724</v>
      </c>
      <c r="D142" s="3">
        <f t="shared" si="63"/>
        <v>1618.2708245149229</v>
      </c>
      <c r="E142" s="1">
        <f>(1+Forudsætninger!$C$78)*C142</f>
        <v>240.23666457435883</v>
      </c>
      <c r="F142" s="2">
        <f t="shared" si="64"/>
        <v>2.914233119512498</v>
      </c>
      <c r="G142" s="1">
        <f t="shared" si="54"/>
        <v>243.15089769387131</v>
      </c>
      <c r="H142" s="3">
        <f t="shared" si="55"/>
        <v>1458.755557527013</v>
      </c>
      <c r="I142" s="3">
        <f t="shared" si="56"/>
        <v>1243.9349835276523</v>
      </c>
      <c r="J142" s="1">
        <f>VLOOKUP((A142+Forudsætninger!$C$60),'Model tilvækst, slagteform, fe'!G:K,2,FALSE)*(1+Forudsætninger!$C$79)</f>
        <v>49.087018886831167</v>
      </c>
      <c r="K142" s="17">
        <f t="shared" si="52"/>
        <v>119.35552707449014</v>
      </c>
      <c r="L142" s="17">
        <f t="shared" si="65"/>
        <v>762.21188157568065</v>
      </c>
      <c r="M142" s="3">
        <f>((K142-(('Model tilvækst, slagteform, fe'!$H$9/100)*'Model tilvækst, slagteform, fe'!$B$9))*1000/(A142+Forudsætninger!$C$60))</f>
        <v>552.56213992224161</v>
      </c>
      <c r="N142" s="17">
        <f t="shared" si="66"/>
        <v>597.76215083570219</v>
      </c>
      <c r="O142" s="19">
        <f>IF( A142&lt;Forudsætninger!$C$14,(G142/100)*Forudsætninger!$C$13,(Forudsætninger!$C$15/1000)*Forudsætninger!$C$13)</f>
        <v>1.5804808350101636</v>
      </c>
      <c r="P142" s="17" cm="1">
        <f t="array" ref="P142">INDEX('Model tilvækst, slagteform, fe'!$N$9:$N$375,MATCH(MIN(ABS('Model tilvækst, slagteform, fe'!$M$9:$M$375-'Vækstfunktion, hol'!G142)),ABS('Model tilvækst, slagteform, fe'!$M$9:$M$375-'Vækstfunktion, hol'!G142),0))*(1+Forudsætninger!$C$80)</f>
        <v>6.6076086601946891</v>
      </c>
      <c r="Q142" s="17">
        <f t="shared" si="67"/>
        <v>8.6689919429425917</v>
      </c>
      <c r="R142" s="17">
        <f t="shared" si="68"/>
        <v>6.8522563831475063</v>
      </c>
      <c r="S142" s="17">
        <f t="shared" si="57"/>
        <v>3.4324379532425375</v>
      </c>
      <c r="T142" s="19">
        <f>(P142)*IF(N142&lt;Forudsætninger!$B$228,IF(N142&lt;Forudsætninger!$B$227,Forudsætninger!$B$225,Forudsætninger!$C$9),Forudsætninger!$C$11)+O142</f>
        <v>17.042285099865733</v>
      </c>
      <c r="U142" s="2">
        <f>Forudsætninger!$C$68+((K142-(Forudsætninger!$C$84)))*0.01</f>
        <v>2.8906081297335415</v>
      </c>
      <c r="V142" s="2">
        <f>U142+Forudsætninger!$C$69</f>
        <v>1.8906081297335415</v>
      </c>
      <c r="W142">
        <f t="shared" si="58"/>
        <v>0</v>
      </c>
      <c r="X142">
        <f>IF(A142+Forudsætninger!$C$60&gt;248,IF(A142+Forudsætninger!$C$60&lt;365,IF(K142&gt;180,IF(K142&lt;260,1,0),0),0),0)</f>
        <v>0</v>
      </c>
      <c r="Y142" s="22">
        <f>IF(X142=0,0,IF('Vækstfunktion, hol'!A142&lt;Forudsætninger!$C$66,Forudsætninger!$C$67+(('Vækstfunktion, hol'!A142-Forudsætninger!$C$66)/7)*Forudsætninger!$C$64,Forudsætninger!$C$67))</f>
        <v>0</v>
      </c>
      <c r="Z142" s="19">
        <f t="shared" si="69"/>
        <v>2054.1434433563181</v>
      </c>
      <c r="AA142" s="19">
        <f>Forudsætninger!$C$62+Forudsætninger!$C$16</f>
        <v>1350</v>
      </c>
      <c r="AB142" s="19">
        <f>IF(K142&gt;Forudsætninger!$C$26,IF(K142&gt;Forudsætninger!$C$27,IF(K142&gt;Forudsætninger!$C$28,Forudsætninger!$E$28,Forudsætninger!$E$27+Forudsætninger!$F$28*(K142-Forudsætninger!$C$27)),Forudsætninger!$E$26+Forudsætninger!$F$27*(K142-Forudsætninger!$C$26)),Forudsætninger!$E$26)+IF(K142&gt;Forudsætninger!$C$28,Forudsætninger!$G$28,IF(K142&gt;Forudsætninger!$C$27,Forudsætninger!$G$27+Forudsætninger!$H$28*(K142-Forudsætninger!$C$27),IF(K142&gt;Forudsætninger!$C$26,Forudsætninger!$G$26+Forudsætninger!$H$27*(K142-Forudsætninger!$C$26),Forudsætninger!$G$26)))*(U142-Forudsætninger!$H$26)</f>
        <v>33.517956097300157</v>
      </c>
      <c r="AC142" s="19">
        <f>IF(K142&gt;Forudsætninger!$C$31,IF(K142&gt;Forudsætninger!$C$32,IF(K142&gt;Forudsætninger!$C$33,Forudsætninger!$E$33,Forudsætninger!$E$32+Forudsætninger!$F$33*(K142-Forudsætninger!$C$32)),Forudsætninger!$E$31+Forudsætninger!$F$32*(K142-Forudsætninger!$C$31)),Forudsætninger!$E$31)+IF(K142&gt;Forudsætninger!$C$33,Forudsætninger!$G$33,IF(K142&gt;Forudsætninger!$C$32,Forudsætninger!$G$32+Forudsætninger!$H$33*(K142-Forudsætninger!$C$32),IF(K142&gt;Forudsætninger!$C$31,Forudsætninger!$G$31+Forudsætninger!$H$32*(K142-Forudsætninger!$C$31),Forudsætninger!$G$31)))*(V142-Forudsætninger!$H$31)</f>
        <v>26.857790568653606</v>
      </c>
      <c r="AD142" s="19">
        <f t="shared" si="59"/>
        <v>3205.6257493779212</v>
      </c>
      <c r="AE142" s="19">
        <f t="shared" si="60"/>
        <v>26.857790568653606</v>
      </c>
      <c r="AF142">
        <f>IF(G142&lt;=Forudsætninger!$C$97,Forudsætninger!$C$98,(IF(G142&lt;=Forudsætninger!$D$97,Forudsætninger!$D$98,IF(G142&lt;=Forudsætninger!$E$97,Forudsætninger!$E$98,IF(G142&lt;=Forudsætninger!$F$97,Forudsætninger!$F$98,IF(G142&lt;=Forudsætninger!$G$97,Forudsætninger!$G$98,IF(G142&lt;=Forudsætninger!$H$97,Forudsætninger!$H$98,IF(G142&lt;=Forudsætninger!$I$97,Forudsætninger!$I$98,Forudsætninger!$I$98))))))))</f>
        <v>3.2</v>
      </c>
      <c r="AG142" s="1">
        <f t="shared" si="70"/>
        <v>3.2</v>
      </c>
      <c r="AH142" s="1">
        <f t="shared" si="74"/>
        <v>337.9999999999992</v>
      </c>
      <c r="AI142" s="1">
        <f t="shared" si="61"/>
        <v>2.4142857142857088</v>
      </c>
      <c r="AJ142" s="20">
        <f>+(W142*Forudsætninger!$C$12)</f>
        <v>0</v>
      </c>
      <c r="AK142" s="20">
        <f>Forudsætninger!$C$17</f>
        <v>250</v>
      </c>
      <c r="AL142" s="20">
        <f>IF(A142&lt;92,Forudsætninger!$C$20,Forudsætninger!$C$21)</f>
        <v>1.0566762728146013</v>
      </c>
      <c r="AM142" s="20">
        <f t="shared" si="71"/>
        <v>416.4401610473343</v>
      </c>
      <c r="AN142" s="20">
        <f>IFERROR(AD142+AJ142-AA142-Z142-AK142-AM142-Forudsætninger!$C$75,-99999999)</f>
        <v>-1047.3520475751257</v>
      </c>
      <c r="AO142" s="19">
        <f>IFERROR(AN142/(A142+Forudsætninger!$C$74),-99999999)</f>
        <v>-7.4810860541080402</v>
      </c>
      <c r="AP142" s="19">
        <f>IFERROR(((365/(A142+Forudsætninger!$C$74))*AN142)/(AI142+Forudsætninger!$C$73),-9999999)</f>
        <v>-1081.7303264429024</v>
      </c>
      <c r="AQ142" s="18">
        <f t="shared" si="62"/>
        <v>140</v>
      </c>
      <c r="AR142" s="18">
        <f t="shared" si="72"/>
        <v>4070.5836044036523</v>
      </c>
      <c r="AS142" s="52">
        <f t="shared" si="53"/>
        <v>5.9</v>
      </c>
      <c r="AT142" s="50">
        <f t="shared" si="75"/>
        <v>3.5474777525203081</v>
      </c>
      <c r="AU142" s="50">
        <f t="shared" si="76"/>
        <v>7.9342185659196929E-2</v>
      </c>
      <c r="AV142" s="2">
        <f t="shared" si="77"/>
        <v>13.926009769476195</v>
      </c>
      <c r="AW142" s="61">
        <f t="shared" si="73"/>
        <v>-4.5065134751985099</v>
      </c>
      <c r="BA142" s="16"/>
      <c r="BB142" s="2"/>
    </row>
    <row r="143" spans="1:54" x14ac:dyDescent="0.25">
      <c r="A143">
        <v>141</v>
      </c>
      <c r="B143" s="1">
        <f>ROUND((A143+Forudsætninger!$C$60)/30.4,1)</f>
        <v>5.9</v>
      </c>
      <c r="C143" s="1">
        <f>VLOOKUP((A143+Forudsætninger!$C$60),'Model tilvækst, slagteform, fe'!A:B,2,FALSE)</f>
        <v>259.93679448392868</v>
      </c>
      <c r="D143" s="3">
        <f t="shared" si="63"/>
        <v>1617.8003179514349</v>
      </c>
      <c r="E143" s="1">
        <f>(1+Forudsætninger!$C$78)*C143</f>
        <v>241.74121887005364</v>
      </c>
      <c r="F143" s="2">
        <f t="shared" si="64"/>
        <v>2.868010253285314</v>
      </c>
      <c r="G143" s="1">
        <f t="shared" si="54"/>
        <v>244.60922912333896</v>
      </c>
      <c r="H143" s="3">
        <f t="shared" si="55"/>
        <v>1458.3314294676484</v>
      </c>
      <c r="I143" s="3">
        <f t="shared" si="56"/>
        <v>1245.4555256974395</v>
      </c>
      <c r="J143" s="1">
        <f>VLOOKUP((A143+Forudsætninger!$C$60),'Model tilvækst, slagteform, fe'!G:K,2,FALSE)*(1+Forudsætninger!$C$79)</f>
        <v>49.106172675033697</v>
      </c>
      <c r="K143" s="17">
        <f t="shared" si="52"/>
        <v>120.11823043237565</v>
      </c>
      <c r="L143" s="17">
        <f t="shared" si="65"/>
        <v>762.70335788551336</v>
      </c>
      <c r="M143" s="3">
        <f>((K143-(('Model tilvækst, slagteform, fe'!$H$9/100)*'Model tilvækst, slagteform, fe'!$B$9))*1000/(A143+Forudsætninger!$C$60))</f>
        <v>553.72959113314869</v>
      </c>
      <c r="N143" s="17">
        <f t="shared" si="66"/>
        <v>604.38354605670588</v>
      </c>
      <c r="O143" s="19">
        <f>IF( A143&lt;Forudsætninger!$C$14,(G143/100)*Forudsætninger!$C$13,(Forudsætninger!$C$15/1000)*Forudsætninger!$C$13)</f>
        <v>1.5899599893017033</v>
      </c>
      <c r="P143" s="17" cm="1">
        <f t="array" ref="P143">INDEX('Model tilvækst, slagteform, fe'!$N$9:$N$375,MATCH(MIN(ABS('Model tilvækst, slagteform, fe'!$M$9:$M$375-'Vækstfunktion, hol'!G143)),ABS('Model tilvækst, slagteform, fe'!$M$9:$M$375-'Vækstfunktion, hol'!G143),0))*(1+Forudsætninger!$C$80)</f>
        <v>6.6213952210037252</v>
      </c>
      <c r="Q143" s="17">
        <f t="shared" si="67"/>
        <v>8.6814816698337367</v>
      </c>
      <c r="R143" s="17">
        <f t="shared" si="68"/>
        <v>6.8681106990980503</v>
      </c>
      <c r="S143" s="17">
        <f t="shared" si="57"/>
        <v>3.4416388539136387</v>
      </c>
      <c r="T143" s="19">
        <f>(P143)*IF(N143&lt;Forudsætninger!$B$228,IF(N143&lt;Forudsætninger!$B$227,Forudsætninger!$B$225,Forudsætninger!$C$9),Forudsætninger!$C$11)+O143</f>
        <v>17.084024806450419</v>
      </c>
      <c r="U143" s="2">
        <f>Forudsætninger!$C$68+((K143-(Forudsætninger!$C$84)))*0.01</f>
        <v>2.8982351633123971</v>
      </c>
      <c r="V143" s="2">
        <f>U143+Forudsætninger!$C$69</f>
        <v>1.8982351633123971</v>
      </c>
      <c r="W143">
        <f t="shared" si="58"/>
        <v>0</v>
      </c>
      <c r="X143">
        <f>IF(A143+Forudsætninger!$C$60&gt;248,IF(A143+Forudsætninger!$C$60&lt;365,IF(K143&gt;180,IF(K143&lt;260,1,0),0),0),0)</f>
        <v>0</v>
      </c>
      <c r="Y143" s="22">
        <f>IF(X143=0,0,IF('Vækstfunktion, hol'!A143&lt;Forudsætninger!$C$66,Forudsætninger!$C$67+(('Vækstfunktion, hol'!A143-Forudsætninger!$C$66)/7)*Forudsætninger!$C$64,Forudsætninger!$C$67))</f>
        <v>0</v>
      </c>
      <c r="Z143" s="19">
        <f t="shared" si="69"/>
        <v>2071.2274681627687</v>
      </c>
      <c r="AA143" s="19">
        <f>Forudsætninger!$C$62+Forudsætninger!$C$16</f>
        <v>1350</v>
      </c>
      <c r="AB143" s="19">
        <f>IF(K143&gt;Forudsætninger!$C$26,IF(K143&gt;Forudsætninger!$C$27,IF(K143&gt;Forudsætninger!$C$28,Forudsætninger!$E$28,Forudsætninger!$E$27+Forudsætninger!$F$28*(K143-Forudsætninger!$C$27)),Forudsætninger!$E$26+Forudsætninger!$F$27*(K143-Forudsætninger!$C$26)),Forudsætninger!$E$26)+IF(K143&gt;Forudsætninger!$C$28,Forudsætninger!$G$28,IF(K143&gt;Forudsætninger!$C$27,Forudsætninger!$G$27+Forudsætninger!$H$28*(K143-Forudsætninger!$C$27),IF(K143&gt;Forudsætninger!$C$26,Forudsætninger!$G$26+Forudsætninger!$H$27*(K143-Forudsætninger!$C$26),Forudsætninger!$G$26)))*(U143-Forudsætninger!$H$26)</f>
        <v>33.523676372484296</v>
      </c>
      <c r="AC143" s="19">
        <f>IF(K143&gt;Forudsætninger!$C$31,IF(K143&gt;Forudsætninger!$C$32,IF(K143&gt;Forudsætninger!$C$33,Forudsætninger!$E$33,Forudsætninger!$E$32+Forudsætninger!$F$33*(K143-Forudsætninger!$C$32)),Forudsætninger!$E$31+Forudsætninger!$F$32*(K143-Forudsætninger!$C$31)),Forudsætninger!$E$31)+IF(K143&gt;Forudsætninger!$C$33,Forudsætninger!$G$33,IF(K143&gt;Forudsætninger!$C$32,Forudsætninger!$G$32+Forudsætninger!$H$33*(K143-Forudsætninger!$C$32),IF(K143&gt;Forudsætninger!$C$31,Forudsætninger!$G$31+Forudsætninger!$H$32*(K143-Forudsætninger!$C$31),Forudsætninger!$G$31)))*(V143-Forudsætninger!$H$31)</f>
        <v>26.867705712306115</v>
      </c>
      <c r="AD143" s="19">
        <f t="shared" si="59"/>
        <v>3227.3012659400415</v>
      </c>
      <c r="AE143" s="19">
        <f t="shared" si="60"/>
        <v>26.867705712306115</v>
      </c>
      <c r="AF143">
        <f>IF(G143&lt;=Forudsætninger!$C$97,Forudsætninger!$C$98,(IF(G143&lt;=Forudsætninger!$D$97,Forudsætninger!$D$98,IF(G143&lt;=Forudsætninger!$E$97,Forudsætninger!$E$98,IF(G143&lt;=Forudsætninger!$F$97,Forudsætninger!$F$98,IF(G143&lt;=Forudsætninger!$G$97,Forudsætninger!$G$98,IF(G143&lt;=Forudsætninger!$H$97,Forudsætninger!$H$98,IF(G143&lt;=Forudsætninger!$I$97,Forudsætninger!$I$98,Forudsætninger!$I$98))))))))</f>
        <v>3.2</v>
      </c>
      <c r="AG143" s="1">
        <f t="shared" si="70"/>
        <v>3.2</v>
      </c>
      <c r="AH143" s="1">
        <f t="shared" si="74"/>
        <v>341.19999999999919</v>
      </c>
      <c r="AI143" s="1">
        <f t="shared" si="61"/>
        <v>2.4198581560283632</v>
      </c>
      <c r="AJ143" s="20">
        <f>+(W143*Forudsætninger!$C$12)</f>
        <v>0</v>
      </c>
      <c r="AK143" s="20">
        <f>Forudsætninger!$C$17</f>
        <v>250</v>
      </c>
      <c r="AL143" s="20">
        <f>IF(A143&lt;92,Forudsætninger!$C$20,Forudsætninger!$C$21)</f>
        <v>1.0566762728146013</v>
      </c>
      <c r="AM143" s="20">
        <f t="shared" si="71"/>
        <v>417.49683732014893</v>
      </c>
      <c r="AN143" s="20">
        <f>IFERROR(AD143+AJ143-AA143-Z143-AK143-AM143-Forudsætninger!$C$75,-99999999)</f>
        <v>-1043.8172320922706</v>
      </c>
      <c r="AO143" s="19">
        <f>IFERROR(AN143/(A143+Forudsætninger!$C$74),-99999999)</f>
        <v>-7.4029590928529831</v>
      </c>
      <c r="AP143" s="19">
        <f>IFERROR(((365/(A143+Forudsætninger!$C$74))*AN143)/(AI143+Forudsætninger!$C$73),-9999999)</f>
        <v>-1068.0757189696944</v>
      </c>
      <c r="AQ143" s="18">
        <f t="shared" si="62"/>
        <v>141</v>
      </c>
      <c r="AR143" s="18">
        <f t="shared" si="72"/>
        <v>4088.7243054829178</v>
      </c>
      <c r="AS143" s="52">
        <f t="shared" si="53"/>
        <v>5.9</v>
      </c>
      <c r="AT143" s="50">
        <f t="shared" si="75"/>
        <v>3.5348154828550378</v>
      </c>
      <c r="AU143" s="50">
        <f t="shared" si="76"/>
        <v>7.8126961255057026E-2</v>
      </c>
      <c r="AV143" s="2">
        <f t="shared" si="77"/>
        <v>13.654607473207989</v>
      </c>
      <c r="AW143" s="61">
        <f t="shared" si="73"/>
        <v>-4.4419886154051191</v>
      </c>
      <c r="BA143" s="16"/>
      <c r="BB143" s="2"/>
    </row>
    <row r="144" spans="1:54" x14ac:dyDescent="0.25">
      <c r="A144">
        <v>142</v>
      </c>
      <c r="B144" s="1">
        <f>ROUND((A144+Forudsætninger!$C$60)/30.4,1)</f>
        <v>6</v>
      </c>
      <c r="C144" s="1">
        <f>VLOOKUP((A144+Forudsætninger!$C$60),'Model tilvækst, slagteform, fe'!A:B,2,FALSE)</f>
        <v>261.55406029772496</v>
      </c>
      <c r="D144" s="3">
        <f t="shared" si="63"/>
        <v>1617.2658137962799</v>
      </c>
      <c r="E144" s="1">
        <f>(1+Forudsætninger!$C$78)*C144</f>
        <v>243.24527607688421</v>
      </c>
      <c r="F144" s="2">
        <f t="shared" si="64"/>
        <v>2.8218026586054203</v>
      </c>
      <c r="G144" s="1">
        <f t="shared" si="54"/>
        <v>246.06707873548962</v>
      </c>
      <c r="H144" s="3">
        <f t="shared" si="55"/>
        <v>1457.8496121506532</v>
      </c>
      <c r="I144" s="3">
        <f t="shared" si="56"/>
        <v>1246.9512587006309</v>
      </c>
      <c r="J144" s="1">
        <f>VLOOKUP((A144+Forudsætninger!$C$60),'Model tilvækst, slagteform, fe'!G:K,2,FALSE)*(1+Forudsætninger!$C$79)</f>
        <v>49.12538638406307</v>
      </c>
      <c r="K144" s="17">
        <f t="shared" si="52"/>
        <v>120.88140319278597</v>
      </c>
      <c r="L144" s="17">
        <f t="shared" si="65"/>
        <v>763.17276041031334</v>
      </c>
      <c r="M144" s="3">
        <f>((K144-(('Model tilvækst, slagteform, fe'!$H$9/100)*'Model tilvækst, slagteform, fe'!$B$9))*1000/(A144+Forudsætninger!$C$60))</f>
        <v>554.88673571479046</v>
      </c>
      <c r="N144" s="17">
        <f t="shared" si="66"/>
        <v>611.03173896431292</v>
      </c>
      <c r="O144" s="19">
        <f>IF( A144&lt;Forudsætninger!$C$14,(G144/100)*Forudsætninger!$C$13,(Forudsætninger!$C$15/1000)*Forudsætninger!$C$13)</f>
        <v>1.5994360117806827</v>
      </c>
      <c r="P144" s="17" cm="1">
        <f t="array" ref="P144">INDEX('Model tilvækst, slagteform, fe'!$N$9:$N$375,MATCH(MIN(ABS('Model tilvækst, slagteform, fe'!$M$9:$M$375-'Vækstfunktion, hol'!G144)),ABS('Model tilvækst, slagteform, fe'!$M$9:$M$375-'Vækstfunktion, hol'!G144),0))*(1+Forudsætninger!$C$80)</f>
        <v>6.6481929076070374</v>
      </c>
      <c r="Q144" s="17">
        <f t="shared" si="67"/>
        <v>8.7112555013529214</v>
      </c>
      <c r="R144" s="17">
        <f t="shared" si="68"/>
        <v>6.8839580532163875</v>
      </c>
      <c r="S144" s="17">
        <f t="shared" si="57"/>
        <v>3.4508489287107871</v>
      </c>
      <c r="T144" s="19">
        <f>(P144)*IF(N144&lt;Forudsætninger!$B$228,IF(N144&lt;Forudsætninger!$B$227,Forudsætninger!$B$225,Forudsætninger!$C$9),Forudsætninger!$C$11)+O144</f>
        <v>17.15620741558115</v>
      </c>
      <c r="U144" s="2">
        <f>Forudsætninger!$C$68+((K144-(Forudsætninger!$C$84)))*0.01</f>
        <v>2.9058668909165002</v>
      </c>
      <c r="V144" s="2">
        <f>U144+Forudsætninger!$C$69</f>
        <v>1.9058668909165002</v>
      </c>
      <c r="W144">
        <f t="shared" si="58"/>
        <v>0</v>
      </c>
      <c r="X144">
        <f>IF(A144+Forudsætninger!$C$60&gt;248,IF(A144+Forudsætninger!$C$60&lt;365,IF(K144&gt;180,IF(K144&lt;260,1,0),0),0),0)</f>
        <v>0</v>
      </c>
      <c r="Y144" s="22">
        <f>IF(X144=0,0,IF('Vækstfunktion, hol'!A144&lt;Forudsætninger!$C$66,Forudsætninger!$C$67+(('Vækstfunktion, hol'!A144-Forudsætninger!$C$66)/7)*Forudsætninger!$C$64,Forudsætninger!$C$67))</f>
        <v>0</v>
      </c>
      <c r="Z144" s="19">
        <f t="shared" si="69"/>
        <v>2088.38367557835</v>
      </c>
      <c r="AA144" s="19">
        <f>Forudsætninger!$C$62+Forudsætninger!$C$16</f>
        <v>1350</v>
      </c>
      <c r="AB144" s="19">
        <f>IF(K144&gt;Forudsætninger!$C$26,IF(K144&gt;Forudsætninger!$C$27,IF(K144&gt;Forudsætninger!$C$28,Forudsætninger!$E$28,Forudsætninger!$E$27+Forudsætninger!$F$28*(K144-Forudsætninger!$C$27)),Forudsætninger!$E$26+Forudsætninger!$F$27*(K144-Forudsætninger!$C$26)),Forudsætninger!$E$26)+IF(K144&gt;Forudsætninger!$C$28,Forudsætninger!$G$28,IF(K144&gt;Forudsætninger!$C$27,Forudsætninger!$G$27+Forudsætninger!$H$28*(K144-Forudsætninger!$C$27),IF(K144&gt;Forudsætninger!$C$26,Forudsætninger!$G$26+Forudsætninger!$H$27*(K144-Forudsætninger!$C$26),Forudsætninger!$G$26)))*(U144-Forudsætninger!$H$26)</f>
        <v>33.529400168187379</v>
      </c>
      <c r="AC144" s="19">
        <f>IF(K144&gt;Forudsætninger!$C$31,IF(K144&gt;Forudsætninger!$C$32,IF(K144&gt;Forudsætninger!$C$33,Forudsætninger!$E$33,Forudsætninger!$E$32+Forudsætninger!$F$33*(K144-Forudsætninger!$C$32)),Forudsætninger!$E$31+Forudsætninger!$F$32*(K144-Forudsætninger!$C$31)),Forudsætninger!$E$31)+IF(K144&gt;Forudsætninger!$C$33,Forudsætninger!$G$33,IF(K144&gt;Forudsætninger!$C$32,Forudsætninger!$G$32+Forudsætninger!$H$33*(K144-Forudsætninger!$C$32),IF(K144&gt;Forudsætninger!$C$31,Forudsætninger!$G$31+Forudsætninger!$H$32*(K144-Forudsætninger!$C$31),Forudsætninger!$G$31)))*(V144-Forudsætninger!$H$31)</f>
        <v>26.877626958191449</v>
      </c>
      <c r="AD144" s="19">
        <f t="shared" si="59"/>
        <v>3249.0052611984338</v>
      </c>
      <c r="AE144" s="19">
        <f t="shared" si="60"/>
        <v>26.877626958191446</v>
      </c>
      <c r="AF144">
        <f>IF(G144&lt;=Forudsætninger!$C$97,Forudsætninger!$C$98,(IF(G144&lt;=Forudsætninger!$D$97,Forudsætninger!$D$98,IF(G144&lt;=Forudsætninger!$E$97,Forudsætninger!$E$98,IF(G144&lt;=Forudsætninger!$F$97,Forudsætninger!$F$98,IF(G144&lt;=Forudsætninger!$G$97,Forudsætninger!$G$98,IF(G144&lt;=Forudsætninger!$H$97,Forudsætninger!$H$98,IF(G144&lt;=Forudsætninger!$I$97,Forudsætninger!$I$98,Forudsætninger!$I$98))))))))</f>
        <v>3.2</v>
      </c>
      <c r="AG144" s="1">
        <f t="shared" si="70"/>
        <v>3.2</v>
      </c>
      <c r="AH144" s="1">
        <f t="shared" si="74"/>
        <v>344.39999999999918</v>
      </c>
      <c r="AI144" s="1">
        <f t="shared" si="61"/>
        <v>2.4253521126760504</v>
      </c>
      <c r="AJ144" s="20">
        <f>+(W144*Forudsætninger!$C$12)</f>
        <v>0</v>
      </c>
      <c r="AK144" s="20">
        <f>Forudsætninger!$C$17</f>
        <v>250</v>
      </c>
      <c r="AL144" s="20">
        <f>IF(A144&lt;92,Forudsætninger!$C$20,Forudsætninger!$C$21)</f>
        <v>1.0566762728146013</v>
      </c>
      <c r="AM144" s="20">
        <f t="shared" si="71"/>
        <v>418.55351359296355</v>
      </c>
      <c r="AN144" s="20">
        <f>IFERROR(AD144+AJ144-AA144-Z144-AK144-AM144-Forudsætninger!$C$75,-99999999)</f>
        <v>-1040.3261205222743</v>
      </c>
      <c r="AO144" s="19">
        <f>IFERROR(AN144/(A144+Forudsætninger!$C$74),-99999999)</f>
        <v>-7.3262402853681294</v>
      </c>
      <c r="AP144" s="19">
        <f>IFERROR(((365/(A144+Forudsætninger!$C$74))*AN144)/(AI144+Forudsætninger!$C$73),-9999999)</f>
        <v>-1054.7164990573608</v>
      </c>
      <c r="AQ144" s="18">
        <f t="shared" si="62"/>
        <v>142</v>
      </c>
      <c r="AR144" s="18">
        <f t="shared" si="72"/>
        <v>4106.9371891713135</v>
      </c>
      <c r="AS144" s="52">
        <f t="shared" si="53"/>
        <v>6</v>
      </c>
      <c r="AT144" s="50">
        <f t="shared" si="75"/>
        <v>3.491111569996292</v>
      </c>
      <c r="AU144" s="50">
        <f t="shared" si="76"/>
        <v>7.6718807484853713E-2</v>
      </c>
      <c r="AV144" s="2">
        <f t="shared" si="77"/>
        <v>13.359219912333629</v>
      </c>
      <c r="AW144" s="61">
        <f t="shared" si="73"/>
        <v>-4.3786803304881037</v>
      </c>
      <c r="BA144" s="16"/>
      <c r="BB144" s="2"/>
    </row>
    <row r="145" spans="1:54" x14ac:dyDescent="0.25">
      <c r="A145">
        <v>143</v>
      </c>
      <c r="B145" s="1">
        <f>ROUND((A145+Forudsætninger!$C$60)/30.4,1)</f>
        <v>6</v>
      </c>
      <c r="C145" s="1">
        <f>VLOOKUP((A145+Forudsætninger!$C$60),'Model tilvækst, slagteform, fe'!A:B,2,FALSE)</f>
        <v>263.17072814412171</v>
      </c>
      <c r="D145" s="3">
        <f t="shared" si="63"/>
        <v>1616.6678463967514</v>
      </c>
      <c r="E145" s="1">
        <f>(1+Forudsætninger!$C$78)*C145</f>
        <v>244.74877717403317</v>
      </c>
      <c r="F145" s="2">
        <f t="shared" si="64"/>
        <v>2.7756121487083703</v>
      </c>
      <c r="G145" s="1">
        <f t="shared" si="54"/>
        <v>247.52438932274154</v>
      </c>
      <c r="H145" s="3">
        <f t="shared" si="55"/>
        <v>1457.310587251925</v>
      </c>
      <c r="I145" s="3">
        <f t="shared" si="56"/>
        <v>1248.4223029562345</v>
      </c>
      <c r="J145" s="1">
        <f>VLOOKUP((A145+Forudsætninger!$C$60),'Model tilvækst, slagteform, fe'!G:K,2,FALSE)*(1+Forudsætninger!$C$79)</f>
        <v>49.144661622768687</v>
      </c>
      <c r="K145" s="17">
        <f t="shared" si="52"/>
        <v>121.64502356648592</v>
      </c>
      <c r="L145" s="17">
        <f t="shared" si="65"/>
        <v>763.62037369995051</v>
      </c>
      <c r="M145" s="3">
        <f>((K145-(('Model tilvækst, slagteform, fe'!$H$9/100)*'Model tilvækst, slagteform, fe'!$B$9))*1000/(A145+Forudsætninger!$C$60))</f>
        <v>556.03362383558806</v>
      </c>
      <c r="N145" s="17">
        <f t="shared" si="66"/>
        <v>617.69295227635723</v>
      </c>
      <c r="O145" s="19">
        <f>IF( A145&lt;Forudsætninger!$C$14,(G145/100)*Forudsætninger!$C$13,(Forudsætninger!$C$15/1000)*Forudsætninger!$C$13)</f>
        <v>1.6089085305978201</v>
      </c>
      <c r="P145" s="17" cm="1">
        <f t="array" ref="P145">INDEX('Model tilvækst, slagteform, fe'!$N$9:$N$375,MATCH(MIN(ABS('Model tilvækst, slagteform, fe'!$M$9:$M$375-'Vækstfunktion, hol'!G145)),ABS('Model tilvækst, slagteform, fe'!$M$9:$M$375-'Vækstfunktion, hol'!G145),0))*(1+Forudsætninger!$C$80)</f>
        <v>6.6612133120442945</v>
      </c>
      <c r="Q145" s="17">
        <f t="shared" si="67"/>
        <v>8.723200089291602</v>
      </c>
      <c r="R145" s="17">
        <f t="shared" si="68"/>
        <v>6.899646160990355</v>
      </c>
      <c r="S145" s="17">
        <f t="shared" si="57"/>
        <v>3.4599919631130853</v>
      </c>
      <c r="T145" s="19">
        <f>(P145)*IF(N145&lt;Forudsætninger!$B$228,IF(N145&lt;Forudsætninger!$B$227,Forudsætninger!$B$225,Forudsætninger!$C$9),Forudsætninger!$C$11)+O145</f>
        <v>17.196147680781468</v>
      </c>
      <c r="U145" s="2">
        <f>Forudsætninger!$C$68+((K145-(Forudsætninger!$C$84)))*0.01</f>
        <v>2.9135030946534997</v>
      </c>
      <c r="V145" s="2">
        <f>U145+Forudsætninger!$C$69</f>
        <v>1.9135030946534997</v>
      </c>
      <c r="W145">
        <f t="shared" si="58"/>
        <v>0</v>
      </c>
      <c r="X145">
        <f>IF(A145+Forudsætninger!$C$60&gt;248,IF(A145+Forudsætninger!$C$60&lt;365,IF(K145&gt;180,IF(K145&lt;260,1,0),0),0),0)</f>
        <v>0</v>
      </c>
      <c r="Y145" s="22">
        <f>IF(X145=0,0,IF('Vækstfunktion, hol'!A145&lt;Forudsætninger!$C$66,Forudsætninger!$C$67+(('Vækstfunktion, hol'!A145-Forudsætninger!$C$66)/7)*Forudsætninger!$C$64,Forudsætninger!$C$67))</f>
        <v>0</v>
      </c>
      <c r="Z145" s="19">
        <f t="shared" si="69"/>
        <v>2105.5798232591314</v>
      </c>
      <c r="AA145" s="19">
        <f>Forudsætninger!$C$62+Forudsætninger!$C$16</f>
        <v>1350</v>
      </c>
      <c r="AB145" s="19">
        <f>IF(K145&gt;Forudsætninger!$C$26,IF(K145&gt;Forudsætninger!$C$27,IF(K145&gt;Forudsætninger!$C$28,Forudsætninger!$E$28,Forudsætninger!$E$27+Forudsætninger!$F$28*(K145-Forudsætninger!$C$27)),Forudsætninger!$E$26+Forudsætninger!$F$27*(K145-Forudsætninger!$C$26)),Forudsætninger!$E$26)+IF(K145&gt;Forudsætninger!$C$28,Forudsætninger!$G$28,IF(K145&gt;Forudsætninger!$C$27,Forudsætninger!$G$27+Forudsætninger!$H$28*(K145-Forudsætninger!$C$27),IF(K145&gt;Forudsætninger!$C$26,Forudsætninger!$G$26+Forudsætninger!$H$27*(K145-Forudsætninger!$C$26),Forudsætninger!$G$26)))*(U145-Forudsætninger!$H$26)</f>
        <v>33.535127320990128</v>
      </c>
      <c r="AC145" s="19">
        <f>IF(K145&gt;Forudsætninger!$C$31,IF(K145&gt;Forudsætninger!$C$32,IF(K145&gt;Forudsætninger!$C$33,Forudsætninger!$E$33,Forudsætninger!$E$32+Forudsætninger!$F$33*(K145-Forudsætninger!$C$32)),Forudsætninger!$E$31+Forudsætninger!$F$32*(K145-Forudsætninger!$C$31)),Forudsætninger!$E$31)+IF(K145&gt;Forudsætninger!$C$33,Forudsætninger!$G$33,IF(K145&gt;Forudsætninger!$C$32,Forudsætninger!$G$32+Forudsætninger!$H$33*(K145-Forudsætninger!$C$32),IF(K145&gt;Forudsætninger!$C$31,Forudsætninger!$G$31+Forudsætninger!$H$32*(K145-Forudsætninger!$C$31),Forudsætninger!$G$31)))*(V145-Forudsætninger!$H$31)</f>
        <v>26.88755402304955</v>
      </c>
      <c r="AD145" s="19">
        <f t="shared" si="59"/>
        <v>3270.7371427790258</v>
      </c>
      <c r="AE145" s="19">
        <f t="shared" si="60"/>
        <v>26.88755402304955</v>
      </c>
      <c r="AF145">
        <f>IF(G145&lt;=Forudsætninger!$C$97,Forudsætninger!$C$98,(IF(G145&lt;=Forudsætninger!$D$97,Forudsætninger!$D$98,IF(G145&lt;=Forudsætninger!$E$97,Forudsætninger!$E$98,IF(G145&lt;=Forudsætninger!$F$97,Forudsætninger!$F$98,IF(G145&lt;=Forudsætninger!$G$97,Forudsætninger!$G$98,IF(G145&lt;=Forudsætninger!$H$97,Forudsætninger!$H$98,IF(G145&lt;=Forudsætninger!$I$97,Forudsætninger!$I$98,Forudsætninger!$I$98))))))))</f>
        <v>3.2</v>
      </c>
      <c r="AG145" s="1">
        <f t="shared" si="70"/>
        <v>3.2</v>
      </c>
      <c r="AH145" s="1">
        <f t="shared" si="74"/>
        <v>347.59999999999917</v>
      </c>
      <c r="AI145" s="1">
        <f t="shared" si="61"/>
        <v>2.4307692307692248</v>
      </c>
      <c r="AJ145" s="20">
        <f>+(W145*Forudsætninger!$C$12)</f>
        <v>0</v>
      </c>
      <c r="AK145" s="20">
        <f>Forudsætninger!$C$17</f>
        <v>250</v>
      </c>
      <c r="AL145" s="20">
        <f>IF(A145&lt;92,Forudsætninger!$C$20,Forudsætninger!$C$21)</f>
        <v>1.0566762728146013</v>
      </c>
      <c r="AM145" s="20">
        <f t="shared" si="71"/>
        <v>419.61018986577818</v>
      </c>
      <c r="AN145" s="20">
        <f>IFERROR(AD145+AJ145-AA145-Z145-AK145-AM145-Forudsætninger!$C$75,-99999999)</f>
        <v>-1036.8470628952784</v>
      </c>
      <c r="AO145" s="19">
        <f>IFERROR(AN145/(A145+Forudsætninger!$C$74),-99999999)</f>
        <v>-7.2506787615054433</v>
      </c>
      <c r="AP145" s="19">
        <f>IFERROR(((365/(A145+Forudsætninger!$C$74))*AN145)/(AI145+Forudsætninger!$C$73),-9999999)</f>
        <v>-1041.6127981635912</v>
      </c>
      <c r="AQ145" s="18">
        <f t="shared" si="62"/>
        <v>143</v>
      </c>
      <c r="AR145" s="18">
        <f t="shared" si="72"/>
        <v>4125.1900131249095</v>
      </c>
      <c r="AS145" s="52">
        <f t="shared" si="53"/>
        <v>6</v>
      </c>
      <c r="AT145" s="50">
        <f t="shared" si="75"/>
        <v>3.4790576269958819</v>
      </c>
      <c r="AU145" s="50">
        <f t="shared" si="76"/>
        <v>7.5561523862686109E-2</v>
      </c>
      <c r="AV145" s="2">
        <f t="shared" si="77"/>
        <v>13.103700893769656</v>
      </c>
      <c r="AW145" s="61">
        <f t="shared" si="73"/>
        <v>-4.3163417694370647</v>
      </c>
      <c r="BA145" s="16"/>
      <c r="BB145" s="2"/>
    </row>
    <row r="146" spans="1:54" x14ac:dyDescent="0.25">
      <c r="A146">
        <v>144</v>
      </c>
      <c r="B146" s="1">
        <f>ROUND((A146+Forudsætninger!$C$60)/30.4,1)</f>
        <v>6</v>
      </c>
      <c r="C146" s="1">
        <f>VLOOKUP((A146+Forudsætninger!$C$60),'Model tilvækst, slagteform, fe'!A:B,2,FALSE)</f>
        <v>264.78673509422214</v>
      </c>
      <c r="D146" s="3">
        <f t="shared" si="63"/>
        <v>1616.0069501004273</v>
      </c>
      <c r="E146" s="1">
        <f>(1+Forudsætninger!$C$78)*C146</f>
        <v>246.25166363762656</v>
      </c>
      <c r="F146" s="2">
        <f t="shared" si="64"/>
        <v>2.7294405215626436</v>
      </c>
      <c r="G146" s="1">
        <f t="shared" si="54"/>
        <v>248.98110415918921</v>
      </c>
      <c r="H146" s="3">
        <f t="shared" si="55"/>
        <v>1456.7148364476736</v>
      </c>
      <c r="I146" s="3">
        <f t="shared" si="56"/>
        <v>1249.8687788832585</v>
      </c>
      <c r="J146" s="1">
        <f>VLOOKUP((A146+Forudsætninger!$C$60),'Model tilvækst, slagteform, fe'!G:K,2,FALSE)*(1+Forudsætninger!$C$79)</f>
        <v>49.164000000000001</v>
      </c>
      <c r="K146" s="17">
        <f t="shared" si="52"/>
        <v>122.40907004882379</v>
      </c>
      <c r="L146" s="17">
        <f t="shared" si="65"/>
        <v>764.04648233787498</v>
      </c>
      <c r="M146" s="3">
        <f>((K146-(('Model tilvækst, slagteform, fe'!$H$9/100)*'Model tilvækst, slagteform, fe'!$B$9))*1000/(A146+Forudsætninger!$C$60))</f>
        <v>557.17030612248573</v>
      </c>
      <c r="N146" s="17">
        <f t="shared" si="66"/>
        <v>624.36693988602451</v>
      </c>
      <c r="O146" s="19">
        <f>IF( A146&lt;Forudsætninger!$C$14,(G146/100)*Forudsætninger!$C$13,(Forudsætninger!$C$15/1000)*Forudsætninger!$C$13)</f>
        <v>1.6183771770347299</v>
      </c>
      <c r="P146" s="17" cm="1">
        <f t="array" ref="P146">INDEX('Model tilvækst, slagteform, fe'!$N$9:$N$375,MATCH(MIN(ABS('Model tilvækst, slagteform, fe'!$M$9:$M$375-'Vækstfunktion, hol'!G146)),ABS('Model tilvækst, slagteform, fe'!$M$9:$M$375-'Vækstfunktion, hol'!G146),0))*(1+Forudsætninger!$C$80)</f>
        <v>6.6739876096672743</v>
      </c>
      <c r="Q146" s="17">
        <f t="shared" si="67"/>
        <v>8.7350544292093453</v>
      </c>
      <c r="R146" s="17">
        <f t="shared" si="68"/>
        <v>6.9151777508286116</v>
      </c>
      <c r="S146" s="17">
        <f t="shared" si="57"/>
        <v>3.4690693937169432</v>
      </c>
      <c r="T146" s="19">
        <f>(P146)*IF(N146&lt;Forudsætninger!$B$228,IF(N146&lt;Forudsætninger!$B$227,Forudsætninger!$B$225,Forudsætninger!$C$9),Forudsætninger!$C$11)+O146</f>
        <v>17.235508183656151</v>
      </c>
      <c r="U146" s="2">
        <f>Forudsætninger!$C$68+((K146-(Forudsætninger!$C$84)))*0.01</f>
        <v>2.921143559476878</v>
      </c>
      <c r="V146" s="2">
        <f>U146+Forudsætninger!$C$69</f>
        <v>1.921143559476878</v>
      </c>
      <c r="W146">
        <f t="shared" si="58"/>
        <v>0</v>
      </c>
      <c r="X146">
        <f>IF(A146+Forudsætninger!$C$60&gt;248,IF(A146+Forudsætninger!$C$60&lt;365,IF(K146&gt;180,IF(K146&lt;260,1,0),0),0),0)</f>
        <v>0</v>
      </c>
      <c r="Y146" s="22">
        <f>IF(X146=0,0,IF('Vækstfunktion, hol'!A146&lt;Forudsætninger!$C$66,Forudsætninger!$C$67+(('Vækstfunktion, hol'!A146-Forudsætninger!$C$66)/7)*Forudsætninger!$C$64,Forudsætninger!$C$67))</f>
        <v>0</v>
      </c>
      <c r="Z146" s="19">
        <f t="shared" si="69"/>
        <v>2122.8153314427877</v>
      </c>
      <c r="AA146" s="19">
        <f>Forudsætninger!$C$62+Forudsætninger!$C$16</f>
        <v>1350</v>
      </c>
      <c r="AB146" s="19">
        <f>IF(K146&gt;Forudsætninger!$C$26,IF(K146&gt;Forudsætninger!$C$27,IF(K146&gt;Forudsætninger!$C$28,Forudsætninger!$E$28,Forudsætninger!$E$27+Forudsætninger!$F$28*(K146-Forudsætninger!$C$27)),Forudsætninger!$E$26+Forudsætninger!$F$27*(K146-Forudsætninger!$C$26)),Forudsætninger!$E$26)+IF(K146&gt;Forudsætninger!$C$28,Forudsætninger!$G$28,IF(K146&gt;Forudsætninger!$C$27,Forudsætninger!$G$27+Forudsætninger!$H$28*(K146-Forudsætninger!$C$27),IF(K146&gt;Forudsætninger!$C$26,Forudsætninger!$G$26+Forudsætninger!$H$27*(K146-Forudsætninger!$C$26),Forudsætninger!$G$26)))*(U146-Forudsætninger!$H$26)</f>
        <v>33.540857669607661</v>
      </c>
      <c r="AC146" s="19">
        <f>IF(K146&gt;Forudsætninger!$C$31,IF(K146&gt;Forudsætninger!$C$32,IF(K146&gt;Forudsætninger!$C$33,Forudsætninger!$E$33,Forudsætninger!$E$32+Forudsætninger!$F$33*(K146-Forudsætninger!$C$32)),Forudsætninger!$E$31+Forudsætninger!$F$32*(K146-Forudsætninger!$C$31)),Forudsætninger!$E$31)+IF(K146&gt;Forudsætninger!$C$33,Forudsætninger!$G$33,IF(K146&gt;Forudsætninger!$C$32,Forudsætninger!$G$32+Forudsætninger!$H$33*(K146-Forudsætninger!$C$32),IF(K146&gt;Forudsætninger!$C$31,Forudsætninger!$G$31+Forudsætninger!$H$32*(K146-Forudsætninger!$C$31),Forudsætninger!$G$31)))*(V146-Forudsætninger!$H$31)</f>
        <v>26.897486627319942</v>
      </c>
      <c r="AD146" s="19">
        <f t="shared" si="59"/>
        <v>3292.4963247009082</v>
      </c>
      <c r="AE146" s="19">
        <f t="shared" si="60"/>
        <v>26.897486627319942</v>
      </c>
      <c r="AF146">
        <f>IF(G146&lt;=Forudsætninger!$C$97,Forudsætninger!$C$98,(IF(G146&lt;=Forudsætninger!$D$97,Forudsætninger!$D$98,IF(G146&lt;=Forudsætninger!$E$97,Forudsætninger!$E$98,IF(G146&lt;=Forudsætninger!$F$97,Forudsætninger!$F$98,IF(G146&lt;=Forudsætninger!$G$97,Forudsætninger!$G$98,IF(G146&lt;=Forudsætninger!$H$97,Forudsætninger!$H$98,IF(G146&lt;=Forudsætninger!$I$97,Forudsætninger!$I$98,Forudsætninger!$I$98))))))))</f>
        <v>3.2</v>
      </c>
      <c r="AG146" s="1">
        <f t="shared" si="70"/>
        <v>3.2</v>
      </c>
      <c r="AH146" s="1">
        <f t="shared" si="74"/>
        <v>350.79999999999916</v>
      </c>
      <c r="AI146" s="1">
        <f t="shared" si="61"/>
        <v>2.4361111111111051</v>
      </c>
      <c r="AJ146" s="20">
        <f>+(W146*Forudsætninger!$C$12)</f>
        <v>0</v>
      </c>
      <c r="AK146" s="20">
        <f>Forudsætninger!$C$17</f>
        <v>250</v>
      </c>
      <c r="AL146" s="20">
        <f>IF(A146&lt;92,Forudsætninger!$C$20,Forudsætninger!$C$21)</f>
        <v>1.0566762728146013</v>
      </c>
      <c r="AM146" s="20">
        <f t="shared" si="71"/>
        <v>420.66686613859281</v>
      </c>
      <c r="AN146" s="20">
        <f>IFERROR(AD146+AJ146-AA146-Z146-AK146-AM146-Forudsætninger!$C$75,-99999999)</f>
        <v>-1033.3800654298668</v>
      </c>
      <c r="AO146" s="19">
        <f>IFERROR(AN146/(A146+Forudsætninger!$C$74),-99999999)</f>
        <v>-7.1762504543740748</v>
      </c>
      <c r="AP146" s="19">
        <f>IFERROR(((365/(A146+Forudsætninger!$C$74))*AN146)/(AI146+Forudsætninger!$C$73),-9999999)</f>
        <v>-1028.7577020562467</v>
      </c>
      <c r="AQ146" s="18">
        <f t="shared" si="62"/>
        <v>144</v>
      </c>
      <c r="AR146" s="18">
        <f t="shared" si="72"/>
        <v>4143.4821975813802</v>
      </c>
      <c r="AS146" s="52">
        <f t="shared" si="53"/>
        <v>6</v>
      </c>
      <c r="AT146" s="50">
        <f t="shared" si="75"/>
        <v>3.4669974654116231</v>
      </c>
      <c r="AU146" s="50">
        <f t="shared" si="76"/>
        <v>7.4428307131368499E-2</v>
      </c>
      <c r="AV146" s="2">
        <f t="shared" si="77"/>
        <v>12.85509610734448</v>
      </c>
      <c r="AW146" s="61">
        <f t="shared" si="73"/>
        <v>-4.2549527728560692</v>
      </c>
      <c r="BA146" s="16"/>
      <c r="BB146" s="2"/>
    </row>
    <row r="147" spans="1:54" x14ac:dyDescent="0.25">
      <c r="A147">
        <v>145</v>
      </c>
      <c r="B147" s="1">
        <f>ROUND((A147+Forudsætninger!$C$60)/30.4,1)</f>
        <v>6.1</v>
      </c>
      <c r="C147" s="1">
        <f>VLOOKUP((A147+Forudsætninger!$C$60),'Model tilvækst, slagteform, fe'!A:B,2,FALSE)</f>
        <v>266.4020187534768</v>
      </c>
      <c r="D147" s="3">
        <f t="shared" si="63"/>
        <v>1615.2836592546578</v>
      </c>
      <c r="E147" s="1">
        <f>(1+Forudsætninger!$C$78)*C147</f>
        <v>247.75387744073339</v>
      </c>
      <c r="F147" s="2">
        <f t="shared" si="64"/>
        <v>2.6832895598696536</v>
      </c>
      <c r="G147" s="1">
        <f t="shared" si="54"/>
        <v>250.43716700060304</v>
      </c>
      <c r="H147" s="3">
        <f t="shared" si="55"/>
        <v>1456.062841413825</v>
      </c>
      <c r="I147" s="3">
        <f t="shared" si="56"/>
        <v>1251.2908069007108</v>
      </c>
      <c r="J147" s="1">
        <f>VLOOKUP((A147+Forudsætninger!$C$60),'Model tilvækst, slagteform, fe'!G:K,2,FALSE)*(1+Forudsætninger!$C$79)</f>
        <v>49.18340206317405</v>
      </c>
      <c r="K147" s="17">
        <f t="shared" si="52"/>
        <v>123.17351876152924</v>
      </c>
      <c r="L147" s="17">
        <f t="shared" si="65"/>
        <v>764.44871270544468</v>
      </c>
      <c r="M147" s="3">
        <f>((K147-(('Model tilvækst, slagteform, fe'!$H$9/100)*'Model tilvækst, slagteform, fe'!$B$9))*1000/(A147+Forudsætninger!$C$60))</f>
        <v>558.29681920174096</v>
      </c>
      <c r="N147" s="17">
        <f t="shared" si="66"/>
        <v>631.05346032582202</v>
      </c>
      <c r="O147" s="19">
        <f>IF( A147&lt;Forudsætninger!$C$14,(G147/100)*Forudsætninger!$C$13,(Forudsætninger!$C$15/1000)*Forudsætninger!$C$13)</f>
        <v>1.6278415855039199</v>
      </c>
      <c r="P147" s="17" cm="1">
        <f t="array" ref="P147">INDEX('Model tilvækst, slagteform, fe'!$N$9:$N$375,MATCH(MIN(ABS('Model tilvækst, slagteform, fe'!$M$9:$M$375-'Vækstfunktion, hol'!G147)),ABS('Model tilvækst, slagteform, fe'!$M$9:$M$375-'Vækstfunktion, hol'!G147),0))*(1+Forudsætninger!$C$80)</f>
        <v>6.6865204397974649</v>
      </c>
      <c r="Q147" s="17">
        <f t="shared" si="67"/>
        <v>8.7468529002205244</v>
      </c>
      <c r="R147" s="17">
        <f t="shared" si="68"/>
        <v>6.9305557103493669</v>
      </c>
      <c r="S147" s="17">
        <f t="shared" si="57"/>
        <v>3.4780826374109148</v>
      </c>
      <c r="T147" s="19">
        <f>(P147)*IF(N147&lt;Forudsætninger!$B$228,IF(N147&lt;Forudsætninger!$B$227,Forudsætninger!$B$225,Forudsætninger!$C$9),Forudsætninger!$C$11)+O147</f>
        <v>17.274299414629986</v>
      </c>
      <c r="U147" s="2">
        <f>Forudsætninger!$C$68+((K147-(Forudsætninger!$C$84)))*0.01</f>
        <v>2.9287880466039327</v>
      </c>
      <c r="V147" s="2">
        <f>U147+Forudsætninger!$C$69</f>
        <v>1.9287880466039327</v>
      </c>
      <c r="W147">
        <f t="shared" si="58"/>
        <v>0</v>
      </c>
      <c r="X147">
        <f>IF(A147+Forudsætninger!$C$60&gt;248,IF(A147+Forudsætninger!$C$60&lt;365,IF(K147&gt;180,IF(K147&lt;260,1,0),0),0),0)</f>
        <v>0</v>
      </c>
      <c r="Y147" s="22">
        <f>IF(X147=0,0,IF('Vækstfunktion, hol'!A147&lt;Forudsætninger!$C$66,Forudsætninger!$C$67+(('Vækstfunktion, hol'!A147-Forudsætninger!$C$66)/7)*Forudsætninger!$C$64,Forudsætninger!$C$67))</f>
        <v>0</v>
      </c>
      <c r="Z147" s="19">
        <f t="shared" si="69"/>
        <v>2140.0896308574179</v>
      </c>
      <c r="AA147" s="19">
        <f>Forudsætninger!$C$62+Forudsætninger!$C$16</f>
        <v>1350</v>
      </c>
      <c r="AB147" s="19">
        <f>IF(K147&gt;Forudsætninger!$C$26,IF(K147&gt;Forudsætninger!$C$27,IF(K147&gt;Forudsætninger!$C$28,Forudsætninger!$E$28,Forudsætninger!$E$27+Forudsætninger!$F$28*(K147-Forudsætninger!$C$27)),Forudsætninger!$E$26+Forudsætninger!$F$27*(K147-Forudsætninger!$C$26)),Forudsætninger!$E$26)+IF(K147&gt;Forudsætninger!$C$28,Forudsætninger!$G$28,IF(K147&gt;Forudsætninger!$C$27,Forudsætninger!$G$27+Forudsætninger!$H$28*(K147-Forudsætninger!$C$27),IF(K147&gt;Forudsætninger!$C$26,Forudsætninger!$G$26+Forudsætninger!$H$27*(K147-Forudsætninger!$C$26),Forudsætninger!$G$26)))*(U147-Forudsætninger!$H$26)</f>
        <v>33.546591034952954</v>
      </c>
      <c r="AC147" s="19">
        <f>IF(K147&gt;Forudsætninger!$C$31,IF(K147&gt;Forudsætninger!$C$32,IF(K147&gt;Forudsætninger!$C$33,Forudsætninger!$E$33,Forudsætninger!$E$32+Forudsætninger!$F$33*(K147-Forudsætninger!$C$32)),Forudsætninger!$E$31+Forudsætninger!$F$32*(K147-Forudsætninger!$C$31)),Forudsætninger!$E$31)+IF(K147&gt;Forudsætninger!$C$33,Forudsætninger!$G$33,IF(K147&gt;Forudsætninger!$C$32,Forudsætninger!$G$32+Forudsætninger!$H$33*(K147-Forudsætninger!$C$32),IF(K147&gt;Forudsætninger!$C$31,Forudsætninger!$G$31+Forudsætninger!$H$32*(K147-Forudsætninger!$C$31),Forudsætninger!$G$31)))*(V147-Forudsætninger!$H$31)</f>
        <v>26.907424460585112</v>
      </c>
      <c r="AD147" s="19">
        <f t="shared" si="59"/>
        <v>3314.2821516203112</v>
      </c>
      <c r="AE147" s="19">
        <f t="shared" si="60"/>
        <v>26.907424460585112</v>
      </c>
      <c r="AF147">
        <f>IF(G147&lt;=Forudsætninger!$C$97,Forudsætninger!$C$98,(IF(G147&lt;=Forudsætninger!$D$97,Forudsætninger!$D$98,IF(G147&lt;=Forudsætninger!$E$97,Forudsætninger!$E$98,IF(G147&lt;=Forudsætninger!$F$97,Forudsætninger!$F$98,IF(G147&lt;=Forudsætninger!$G$97,Forudsætninger!$G$98,IF(G147&lt;=Forudsætninger!$H$97,Forudsætninger!$H$98,IF(G147&lt;=Forudsætninger!$I$97,Forudsætninger!$I$98,Forudsætninger!$I$98))))))))</f>
        <v>3.2</v>
      </c>
      <c r="AG147" s="1">
        <f t="shared" si="70"/>
        <v>3.2</v>
      </c>
      <c r="AH147" s="1">
        <f t="shared" si="74"/>
        <v>353.99999999999915</v>
      </c>
      <c r="AI147" s="1">
        <f t="shared" si="61"/>
        <v>2.4413793103448218</v>
      </c>
      <c r="AJ147" s="20">
        <f>+(W147*Forudsætninger!$C$12)</f>
        <v>0</v>
      </c>
      <c r="AK147" s="20">
        <f>Forudsætninger!$C$17</f>
        <v>250</v>
      </c>
      <c r="AL147" s="20">
        <f>IF(A147&lt;92,Forudsætninger!$C$20,Forudsætninger!$C$21)</f>
        <v>1.0566762728146013</v>
      </c>
      <c r="AM147" s="20">
        <f t="shared" si="71"/>
        <v>421.72354241140744</v>
      </c>
      <c r="AN147" s="20">
        <f>IFERROR(AD147+AJ147-AA147-Z147-AK147-AM147-Forudsætninger!$C$75,-99999999)</f>
        <v>-1029.9252141979086</v>
      </c>
      <c r="AO147" s="19">
        <f>IFERROR(AN147/(A147+Forudsætninger!$C$74),-99999999)</f>
        <v>-7.1029325117097146</v>
      </c>
      <c r="AP147" s="19">
        <f>IFERROR(((365/(A147+Forudsætninger!$C$74))*AN147)/(AI147+Forudsætninger!$C$73),-9999999)</f>
        <v>-1016.1446227388499</v>
      </c>
      <c r="AQ147" s="18">
        <f t="shared" si="62"/>
        <v>145</v>
      </c>
      <c r="AR147" s="18">
        <f t="shared" si="72"/>
        <v>4161.8131732688253</v>
      </c>
      <c r="AS147" s="52">
        <f t="shared" si="53"/>
        <v>6.1</v>
      </c>
      <c r="AT147" s="50">
        <f t="shared" si="75"/>
        <v>3.4548512319581732</v>
      </c>
      <c r="AU147" s="50">
        <f t="shared" si="76"/>
        <v>7.3317942664360203E-2</v>
      </c>
      <c r="AV147" s="2">
        <f t="shared" si="77"/>
        <v>12.613079317396796</v>
      </c>
      <c r="AW147" s="61">
        <f t="shared" si="73"/>
        <v>-4.1944942881827671</v>
      </c>
      <c r="BA147" s="16"/>
      <c r="BB147" s="2"/>
    </row>
    <row r="148" spans="1:54" x14ac:dyDescent="0.25">
      <c r="A148">
        <v>146</v>
      </c>
      <c r="B148" s="1">
        <f>ROUND((A148+Forudsætninger!$C$60)/30.4,1)</f>
        <v>6.1</v>
      </c>
      <c r="C148" s="1">
        <f>VLOOKUP((A148+Forudsætninger!$C$60),'Model tilvækst, slagteform, fe'!A:B,2,FALSE)</f>
        <v>268.01651726168336</v>
      </c>
      <c r="D148" s="3">
        <f t="shared" si="63"/>
        <v>1614.4985082065659</v>
      </c>
      <c r="E148" s="1">
        <f>(1+Forudsætninger!$C$78)*C148</f>
        <v>249.2553610533655</v>
      </c>
      <c r="F148" s="2">
        <f t="shared" si="64"/>
        <v>2.6371610310637519</v>
      </c>
      <c r="G148" s="1">
        <f t="shared" si="54"/>
        <v>251.89252208442926</v>
      </c>
      <c r="H148" s="3">
        <f t="shared" si="55"/>
        <v>1455.3550838262197</v>
      </c>
      <c r="I148" s="3">
        <f t="shared" si="56"/>
        <v>1252.6885074275976</v>
      </c>
      <c r="J148" s="1">
        <f>VLOOKUP((A148+Forudsætninger!$C$60),'Model tilvækst, slagteform, fe'!G:K,2,FALSE)*(1+Forudsætninger!$C$79)</f>
        <v>49.202864113978357</v>
      </c>
      <c r="K148" s="17">
        <f t="shared" si="52"/>
        <v>123.93833535447465</v>
      </c>
      <c r="L148" s="17">
        <f t="shared" si="65"/>
        <v>764.81659294540805</v>
      </c>
      <c r="M148" s="3">
        <f>((K148-(('Model tilvækst, slagteform, fe'!$H$9/100)*'Model tilvækst, slagteform, fe'!$B$9))*1000/(A148+Forudsætninger!$C$60))</f>
        <v>559.41314230305807</v>
      </c>
      <c r="N148" s="17">
        <f t="shared" si="66"/>
        <v>637.76434058068742</v>
      </c>
      <c r="O148" s="19">
        <f>IF( A148&lt;Forudsætninger!$C$14,(G148/100)*Forudsætninger!$C$13,(Forudsætninger!$C$15/1000)*Forudsætninger!$C$13)</f>
        <v>1.6373013935487901</v>
      </c>
      <c r="P148" s="17" cm="1">
        <f t="array" ref="P148">INDEX('Model tilvækst, slagteform, fe'!$N$9:$N$375,MATCH(MIN(ABS('Model tilvækst, slagteform, fe'!$M$9:$M$375-'Vækstfunktion, hol'!G148)),ABS('Model tilvækst, slagteform, fe'!$M$9:$M$375-'Vækstfunktion, hol'!G148),0))*(1+Forudsætninger!$C$80)</f>
        <v>6.7108802548654465</v>
      </c>
      <c r="Q148" s="17">
        <f t="shared" si="67"/>
        <v>8.7744961560273875</v>
      </c>
      <c r="R148" s="17">
        <f t="shared" si="68"/>
        <v>6.9459150812724255</v>
      </c>
      <c r="S148" s="17">
        <f t="shared" si="57"/>
        <v>3.487099053105486</v>
      </c>
      <c r="T148" s="19">
        <f>(P148)*IF(N148&lt;Forudsætninger!$B$228,IF(N148&lt;Forudsætninger!$B$227,Forudsætninger!$B$225,Forudsætninger!$C$9),Forudsætninger!$C$11)+O148</f>
        <v>17.340761189933932</v>
      </c>
      <c r="U148" s="2">
        <f>Forudsætninger!$C$68+((K148-(Forudsætninger!$C$84)))*0.01</f>
        <v>2.9364362125333869</v>
      </c>
      <c r="V148" s="2">
        <f>U148+Forudsætninger!$C$69</f>
        <v>1.9364362125333869</v>
      </c>
      <c r="W148">
        <f t="shared" si="58"/>
        <v>0</v>
      </c>
      <c r="X148">
        <f>IF(A148+Forudsætninger!$C$60&gt;248,IF(A148+Forudsætninger!$C$60&lt;365,IF(K148&gt;180,IF(K148&lt;260,1,0),0),0),0)</f>
        <v>0</v>
      </c>
      <c r="Y148" s="22">
        <f>IF(X148=0,0,IF('Vækstfunktion, hol'!A148&lt;Forudsætninger!$C$66,Forudsætninger!$C$67+(('Vækstfunktion, hol'!A148-Forudsætninger!$C$66)/7)*Forudsætninger!$C$64,Forudsætninger!$C$67))</f>
        <v>0</v>
      </c>
      <c r="Z148" s="19">
        <f t="shared" si="69"/>
        <v>2157.4303920473517</v>
      </c>
      <c r="AA148" s="19">
        <f>Forudsætninger!$C$62+Forudsætninger!$C$16</f>
        <v>1350</v>
      </c>
      <c r="AB148" s="19">
        <f>IF(K148&gt;Forudsætninger!$C$26,IF(K148&gt;Forudsætninger!$C$27,IF(K148&gt;Forudsætninger!$C$28,Forudsætninger!$E$28,Forudsætninger!$E$27+Forudsætninger!$F$28*(K148-Forudsætninger!$C$27)),Forudsætninger!$E$26+Forudsætninger!$F$27*(K148-Forudsætninger!$C$26)),Forudsætninger!$E$26)+IF(K148&gt;Forudsætninger!$C$28,Forudsætninger!$G$28,IF(K148&gt;Forudsætninger!$C$27,Forudsætninger!$G$27+Forudsætninger!$H$28*(K148-Forudsætninger!$C$27),IF(K148&gt;Forudsætninger!$C$26,Forudsætninger!$G$26+Forudsætninger!$H$27*(K148-Forudsætninger!$C$26),Forudsætninger!$G$26)))*(U148-Forudsætninger!$H$26)</f>
        <v>33.552327159400043</v>
      </c>
      <c r="AC148" s="19">
        <f>IF(K148&gt;Forudsætninger!$C$31,IF(K148&gt;Forudsætninger!$C$32,IF(K148&gt;Forudsætninger!$C$33,Forudsætninger!$E$33,Forudsætninger!$E$32+Forudsætninger!$F$33*(K148-Forudsætninger!$C$32)),Forudsætninger!$E$31+Forudsætninger!$F$32*(K148-Forudsætninger!$C$31)),Forudsætninger!$E$31)+IF(K148&gt;Forudsætninger!$C$33,Forudsætninger!$G$33,IF(K148&gt;Forudsætninger!$C$32,Forudsætninger!$G$32+Forudsætninger!$H$33*(K148-Forudsætninger!$C$32),IF(K148&gt;Forudsætninger!$C$31,Forudsætninger!$G$31+Forudsætninger!$H$32*(K148-Forudsætninger!$C$31),Forudsætninger!$G$31)))*(V148-Forudsætninger!$H$31)</f>
        <v>26.917367076293402</v>
      </c>
      <c r="AD148" s="19">
        <f t="shared" si="59"/>
        <v>3336.0936675611465</v>
      </c>
      <c r="AE148" s="19">
        <f t="shared" si="60"/>
        <v>26.917367076293402</v>
      </c>
      <c r="AF148">
        <f>IF(G148&lt;=Forudsætninger!$C$97,Forudsætninger!$C$98,(IF(G148&lt;=Forudsætninger!$D$97,Forudsætninger!$D$98,IF(G148&lt;=Forudsætninger!$E$97,Forudsætninger!$E$98,IF(G148&lt;=Forudsætninger!$F$97,Forudsætninger!$F$98,IF(G148&lt;=Forudsætninger!$G$97,Forudsætninger!$G$98,IF(G148&lt;=Forudsætninger!$H$97,Forudsætninger!$H$98,IF(G148&lt;=Forudsætninger!$I$97,Forudsætninger!$I$98,Forudsætninger!$I$98))))))))</f>
        <v>3.2</v>
      </c>
      <c r="AG148" s="1">
        <f t="shared" si="70"/>
        <v>3.2</v>
      </c>
      <c r="AH148" s="1">
        <f t="shared" si="74"/>
        <v>357.19999999999914</v>
      </c>
      <c r="AI148" s="1">
        <f t="shared" si="61"/>
        <v>2.4465753424657475</v>
      </c>
      <c r="AJ148" s="20">
        <f>+(W148*Forudsætninger!$C$12)</f>
        <v>0</v>
      </c>
      <c r="AK148" s="20">
        <f>Forudsætninger!$C$17</f>
        <v>250</v>
      </c>
      <c r="AL148" s="20">
        <f>IF(A148&lt;92,Forudsætninger!$C$20,Forudsætninger!$C$21)</f>
        <v>1.0566762728146013</v>
      </c>
      <c r="AM148" s="20">
        <f t="shared" si="71"/>
        <v>422.78021868422206</v>
      </c>
      <c r="AN148" s="20">
        <f>IFERROR(AD148+AJ148-AA148-Z148-AK148-AM148-Forudsætninger!$C$75,-99999999)</f>
        <v>-1026.5111357198218</v>
      </c>
      <c r="AO148" s="19">
        <f>IFERROR(AN148/(A148+Forudsætninger!$C$74),-99999999)</f>
        <v>-7.0308981898617935</v>
      </c>
      <c r="AP148" s="19">
        <f>IFERROR(((365/(A148+Forudsætninger!$C$74))*AN148)/(AI148+Forudsætninger!$C$73),-9999999)</f>
        <v>-1003.7951147664788</v>
      </c>
      <c r="AQ148" s="18">
        <f t="shared" si="62"/>
        <v>146</v>
      </c>
      <c r="AR148" s="18">
        <f t="shared" si="72"/>
        <v>4180.210610731574</v>
      </c>
      <c r="AS148" s="52">
        <f t="shared" si="53"/>
        <v>6.1</v>
      </c>
      <c r="AT148" s="50">
        <f t="shared" si="75"/>
        <v>3.4140784780868216</v>
      </c>
      <c r="AU148" s="50">
        <f t="shared" si="76"/>
        <v>7.2034321847921134E-2</v>
      </c>
      <c r="AV148" s="2">
        <f t="shared" si="77"/>
        <v>12.349507972371043</v>
      </c>
      <c r="AW148" s="61">
        <f t="shared" si="73"/>
        <v>-4.1351432673671216</v>
      </c>
      <c r="BA148" s="16"/>
      <c r="BB148" s="2"/>
    </row>
    <row r="149" spans="1:54" x14ac:dyDescent="0.25">
      <c r="A149">
        <v>147</v>
      </c>
      <c r="B149" s="1">
        <f>ROUND((A149+Forudsætninger!$C$60)/30.4,1)</f>
        <v>6.1</v>
      </c>
      <c r="C149" s="1">
        <f>VLOOKUP((A149+Forudsætninger!$C$60),'Model tilvækst, slagteform, fe'!A:B,2,FALSE)</f>
        <v>269.63016929298755</v>
      </c>
      <c r="D149" s="3">
        <f t="shared" si="63"/>
        <v>1613.6520313041842</v>
      </c>
      <c r="E149" s="1">
        <f>(1+Forudsætninger!$C$78)*C149</f>
        <v>250.75605744247841</v>
      </c>
      <c r="F149" s="2">
        <f t="shared" si="64"/>
        <v>2.5910566873122036</v>
      </c>
      <c r="G149" s="1">
        <f t="shared" si="54"/>
        <v>253.34711412979061</v>
      </c>
      <c r="H149" s="3">
        <f t="shared" si="55"/>
        <v>1454.5920453613519</v>
      </c>
      <c r="I149" s="3">
        <f t="shared" si="56"/>
        <v>1254.0620008829292</v>
      </c>
      <c r="J149" s="1">
        <f>VLOOKUP((A149+Forudsætninger!$C$60),'Model tilvækst, slagteform, fe'!G:K,2,FALSE)*(1+Forudsætninger!$C$79)</f>
        <v>49.22238139266809</v>
      </c>
      <c r="K149" s="17">
        <f t="shared" si="52"/>
        <v>124.70348276428365</v>
      </c>
      <c r="L149" s="17">
        <f t="shared" si="65"/>
        <v>765.14740980900342</v>
      </c>
      <c r="M149" s="3">
        <f>((K149-(('Model tilvækst, slagteform, fe'!$H$9/100)*'Model tilvækst, slagteform, fe'!$B$9))*1000/(A149+Forudsætninger!$C$60))</f>
        <v>560.51924051545564</v>
      </c>
      <c r="N149" s="17">
        <f t="shared" si="66"/>
        <v>644.48705709913361</v>
      </c>
      <c r="O149" s="19">
        <f>IF( A149&lt;Forudsætninger!$C$14,(G149/100)*Forudsætninger!$C$13,(Forudsætninger!$C$15/1000)*Forudsætninger!$C$13)</f>
        <v>1.6467562418436392</v>
      </c>
      <c r="P149" s="17" cm="1">
        <f t="array" ref="P149">INDEX('Model tilvækst, slagteform, fe'!$N$9:$N$375,MATCH(MIN(ABS('Model tilvækst, slagteform, fe'!$M$9:$M$375-'Vækstfunktion, hol'!G149)),ABS('Model tilvækst, slagteform, fe'!$M$9:$M$375-'Vækstfunktion, hol'!G149),0))*(1+Forudsætninger!$C$80)</f>
        <v>6.7227165184462168</v>
      </c>
      <c r="Q149" s="17">
        <f t="shared" si="67"/>
        <v>8.7861717000706374</v>
      </c>
      <c r="R149" s="17">
        <f t="shared" si="68"/>
        <v>6.9611236606777069</v>
      </c>
      <c r="S149" s="17">
        <f t="shared" si="57"/>
        <v>3.4960517832971276</v>
      </c>
      <c r="T149" s="19">
        <f>(P149)*IF(N149&lt;Forudsætninger!$B$228,IF(N149&lt;Forudsætninger!$B$227,Forudsætninger!$B$225,Forudsætninger!$C$9),Forudsætninger!$C$11)+O149</f>
        <v>17.377912895007785</v>
      </c>
      <c r="U149" s="2">
        <f>Forudsætninger!$C$68+((K149-(Forudsætninger!$C$84)))*0.01</f>
        <v>2.9440876866314767</v>
      </c>
      <c r="V149" s="2">
        <f>U149+Forudsætninger!$C$69</f>
        <v>1.9440876866314767</v>
      </c>
      <c r="W149">
        <f t="shared" si="58"/>
        <v>0</v>
      </c>
      <c r="X149">
        <f>IF(A149+Forudsætninger!$C$60&gt;248,IF(A149+Forudsætninger!$C$60&lt;365,IF(K149&gt;180,IF(K149&lt;260,1,0),0),0),0)</f>
        <v>0</v>
      </c>
      <c r="Y149" s="22">
        <f>IF(X149=0,0,IF('Vækstfunktion, hol'!A149&lt;Forudsætninger!$C$66,Forudsætninger!$C$67+(('Vækstfunktion, hol'!A149-Forudsætninger!$C$66)/7)*Forudsætninger!$C$64,Forudsætninger!$C$67))</f>
        <v>0</v>
      </c>
      <c r="Z149" s="19">
        <f t="shared" si="69"/>
        <v>2174.8083049423594</v>
      </c>
      <c r="AA149" s="19">
        <f>Forudsætninger!$C$62+Forudsætninger!$C$16</f>
        <v>1350</v>
      </c>
      <c r="AB149" s="19">
        <f>IF(K149&gt;Forudsætninger!$C$26,IF(K149&gt;Forudsætninger!$C$27,IF(K149&gt;Forudsætninger!$C$28,Forudsætninger!$E$28,Forudsætninger!$E$27+Forudsætninger!$F$28*(K149-Forudsætninger!$C$27)),Forudsætninger!$E$26+Forudsætninger!$F$27*(K149-Forudsætninger!$C$26)),Forudsætninger!$E$26)+IF(K149&gt;Forudsætninger!$C$28,Forudsætninger!$G$28,IF(K149&gt;Forudsætninger!$C$27,Forudsætninger!$G$27+Forudsætninger!$H$28*(K149-Forudsætninger!$C$27),IF(K149&gt;Forudsætninger!$C$26,Forudsætninger!$G$26+Forudsætninger!$H$27*(K149-Forudsætninger!$C$26),Forudsætninger!$G$26)))*(U149-Forudsætninger!$H$26)</f>
        <v>33.558065764973605</v>
      </c>
      <c r="AC149" s="19">
        <f>IF(K149&gt;Forudsætninger!$C$31,IF(K149&gt;Forudsætninger!$C$32,IF(K149&gt;Forudsætninger!$C$33,Forudsætninger!$E$33,Forudsætninger!$E$32+Forudsætninger!$F$33*(K149-Forudsætninger!$C$32)),Forudsætninger!$E$31+Forudsætninger!$F$32*(K149-Forudsætninger!$C$31)),Forudsætninger!$E$31)+IF(K149&gt;Forudsætninger!$C$33,Forudsætninger!$G$33,IF(K149&gt;Forudsætninger!$C$32,Forudsætninger!$G$32+Forudsætninger!$H$33*(K149-Forudsætninger!$C$32),IF(K149&gt;Forudsætninger!$C$31,Forudsætninger!$G$31+Forudsætninger!$H$32*(K149-Forudsætninger!$C$31),Forudsætninger!$G$31)))*(V149-Forudsætninger!$H$31)</f>
        <v>26.92731399262092</v>
      </c>
      <c r="AD149" s="19">
        <f t="shared" si="59"/>
        <v>3357.9298363672569</v>
      </c>
      <c r="AE149" s="19">
        <f t="shared" si="60"/>
        <v>26.92731399262092</v>
      </c>
      <c r="AF149">
        <f>IF(G149&lt;=Forudsætninger!$C$97,Forudsætninger!$C$98,(IF(G149&lt;=Forudsætninger!$D$97,Forudsætninger!$D$98,IF(G149&lt;=Forudsætninger!$E$97,Forudsætninger!$E$98,IF(G149&lt;=Forudsætninger!$F$97,Forudsætninger!$F$98,IF(G149&lt;=Forudsætninger!$G$97,Forudsætninger!$G$98,IF(G149&lt;=Forudsætninger!$H$97,Forudsætninger!$H$98,IF(G149&lt;=Forudsætninger!$I$97,Forudsætninger!$I$98,Forudsætninger!$I$98))))))))</f>
        <v>3.2</v>
      </c>
      <c r="AG149" s="1">
        <f t="shared" si="70"/>
        <v>3.2</v>
      </c>
      <c r="AH149" s="1">
        <f t="shared" si="74"/>
        <v>360.39999999999912</v>
      </c>
      <c r="AI149" s="1">
        <f t="shared" si="61"/>
        <v>2.4517006802721029</v>
      </c>
      <c r="AJ149" s="20">
        <f>+(W149*Forudsætninger!$C$12)</f>
        <v>0</v>
      </c>
      <c r="AK149" s="20">
        <f>Forudsætninger!$C$17</f>
        <v>250</v>
      </c>
      <c r="AL149" s="20">
        <f>IF(A149&lt;92,Forudsætninger!$C$20,Forudsætninger!$C$21)</f>
        <v>1.0566762728146013</v>
      </c>
      <c r="AM149" s="20">
        <f t="shared" si="71"/>
        <v>423.83689495703669</v>
      </c>
      <c r="AN149" s="20">
        <f>IFERROR(AD149+AJ149-AA149-Z149-AK149-AM149-Forudsætninger!$C$75,-99999999)</f>
        <v>-1023.1095560815338</v>
      </c>
      <c r="AO149" s="19">
        <f>IFERROR(AN149/(A149+Forudsætninger!$C$74),-99999999)</f>
        <v>-6.9599289529356039</v>
      </c>
      <c r="AP149" s="19">
        <f>IFERROR(((365/(A149+Forudsætninger!$C$74))*AN149)/(AI149+Forudsætninger!$C$73),-9999999)</f>
        <v>-991.67482266181776</v>
      </c>
      <c r="AQ149" s="18">
        <f t="shared" si="62"/>
        <v>147</v>
      </c>
      <c r="AR149" s="18">
        <f t="shared" si="72"/>
        <v>4198.6451998993962</v>
      </c>
      <c r="AS149" s="52">
        <f t="shared" si="53"/>
        <v>6.1</v>
      </c>
      <c r="AT149" s="50">
        <f t="shared" si="75"/>
        <v>3.4015796382880126</v>
      </c>
      <c r="AU149" s="50">
        <f t="shared" si="76"/>
        <v>7.0969236926189616E-2</v>
      </c>
      <c r="AV149" s="2">
        <f t="shared" si="77"/>
        <v>12.120292104661075</v>
      </c>
      <c r="AW149" s="61">
        <f t="shared" si="73"/>
        <v>-4.0766847695544017</v>
      </c>
      <c r="BA149" s="16"/>
      <c r="BB149" s="2"/>
    </row>
    <row r="150" spans="1:54" x14ac:dyDescent="0.25">
      <c r="A150">
        <v>148</v>
      </c>
      <c r="B150" s="1">
        <f>ROUND((A150+Forudsætninger!$C$60)/30.4,1)</f>
        <v>6.2</v>
      </c>
      <c r="C150" s="1">
        <f>VLOOKUP((A150+Forudsætninger!$C$60),'Model tilvækst, slagteform, fe'!A:B,2,FALSE)</f>
        <v>271.24291405588201</v>
      </c>
      <c r="D150" s="3">
        <f t="shared" si="63"/>
        <v>1612.7447628944651</v>
      </c>
      <c r="E150" s="1">
        <f>(1+Forudsætninger!$C$78)*C150</f>
        <v>252.25591007197025</v>
      </c>
      <c r="F150" s="2">
        <f t="shared" si="64"/>
        <v>2.5449782655152191</v>
      </c>
      <c r="G150" s="1">
        <f t="shared" si="54"/>
        <v>254.80088833748547</v>
      </c>
      <c r="H150" s="3">
        <f t="shared" si="55"/>
        <v>1453.7742076948632</v>
      </c>
      <c r="I150" s="3">
        <f t="shared" si="56"/>
        <v>1255.4114076857127</v>
      </c>
      <c r="J150" s="1">
        <f>VLOOKUP((A150+Forudsætninger!$C$60),'Model tilvækst, slagteform, fe'!G:K,2,FALSE)*(1+Forudsætninger!$C$79)</f>
        <v>49.241949139498388</v>
      </c>
      <c r="K150" s="17">
        <f t="shared" si="52"/>
        <v>125.46892384213467</v>
      </c>
      <c r="L150" s="17">
        <f t="shared" si="65"/>
        <v>765.44107785102256</v>
      </c>
      <c r="M150" s="3">
        <f>((K150-(('Model tilvækst, slagteform, fe'!$H$9/100)*'Model tilvækst, slagteform, fe'!$B$9))*1000/(A150+Forudsætninger!$C$60))</f>
        <v>561.61507921778491</v>
      </c>
      <c r="N150" s="17">
        <f t="shared" si="66"/>
        <v>651.22138697095374</v>
      </c>
      <c r="O150" s="19">
        <f>IF( A150&lt;Forudsætninger!$C$14,(G150/100)*Forudsætninger!$C$13,(Forudsætninger!$C$15/1000)*Forudsætninger!$C$13)</f>
        <v>1.6562057741936558</v>
      </c>
      <c r="P150" s="17" cm="1">
        <f t="array" ref="P150">INDEX('Model tilvækst, slagteform, fe'!$N$9:$N$375,MATCH(MIN(ABS('Model tilvækst, slagteform, fe'!$M$9:$M$375-'Vækstfunktion, hol'!G150)),ABS('Model tilvækst, slagteform, fe'!$M$9:$M$375-'Vækstfunktion, hol'!G150),0))*(1+Forudsætninger!$C$80)</f>
        <v>6.7343298718201625</v>
      </c>
      <c r="Q150" s="17">
        <f t="shared" si="67"/>
        <v>8.7979729161215232</v>
      </c>
      <c r="R150" s="17">
        <f t="shared" si="68"/>
        <v>6.9761853831048946</v>
      </c>
      <c r="S150" s="17">
        <f t="shared" si="57"/>
        <v>3.5049422680266558</v>
      </c>
      <c r="T150" s="19">
        <f>(P150)*IF(N150&lt;Forudsætninger!$B$228,IF(N150&lt;Forudsætninger!$B$227,Forudsætninger!$B$225,Forudsætninger!$C$9),Forudsætninger!$C$11)+O150</f>
        <v>17.414537674252834</v>
      </c>
      <c r="U150" s="2">
        <f>Forudsætninger!$C$68+((K150-(Forudsætninger!$C$84)))*0.01</f>
        <v>2.9517420974099871</v>
      </c>
      <c r="V150" s="2">
        <f>U150+Forudsætninger!$C$69</f>
        <v>1.9517420974099871</v>
      </c>
      <c r="W150">
        <f t="shared" si="58"/>
        <v>0</v>
      </c>
      <c r="X150">
        <f>IF(A150+Forudsætninger!$C$60&gt;248,IF(A150+Forudsætninger!$C$60&lt;365,IF(K150&gt;180,IF(K150&lt;260,1,0),0),0),0)</f>
        <v>0</v>
      </c>
      <c r="Y150" s="22">
        <f>IF(X150=0,0,IF('Vækstfunktion, hol'!A150&lt;Forudsætninger!$C$66,Forudsætninger!$C$67+(('Vækstfunktion, hol'!A150-Forudsætninger!$C$66)/7)*Forudsætninger!$C$64,Forudsætninger!$C$67))</f>
        <v>0</v>
      </c>
      <c r="Z150" s="19">
        <f t="shared" si="69"/>
        <v>2192.2228426166121</v>
      </c>
      <c r="AA150" s="19">
        <f>Forudsætninger!$C$62+Forudsætninger!$C$16</f>
        <v>1350</v>
      </c>
      <c r="AB150" s="19">
        <f>IF(K150&gt;Forudsætninger!$C$26,IF(K150&gt;Forudsætninger!$C$27,IF(K150&gt;Forudsætninger!$C$28,Forudsætninger!$E$28,Forudsætninger!$E$27+Forudsætninger!$F$28*(K150-Forudsætninger!$C$27)),Forudsætninger!$E$26+Forudsætninger!$F$27*(K150-Forudsætninger!$C$26)),Forudsætninger!$E$26)+IF(K150&gt;Forudsætninger!$C$28,Forudsætninger!$G$28,IF(K150&gt;Forudsætninger!$C$27,Forudsætninger!$G$27+Forudsætninger!$H$28*(K150-Forudsætninger!$C$27),IF(K150&gt;Forudsætninger!$C$26,Forudsætninger!$G$26+Forudsætninger!$H$27*(K150-Forudsætninger!$C$26),Forudsætninger!$G$26)))*(U150-Forudsætninger!$H$26)</f>
        <v>33.563806573057491</v>
      </c>
      <c r="AC150" s="19">
        <f>IF(K150&gt;Forudsætninger!$C$31,IF(K150&gt;Forudsætninger!$C$32,IF(K150&gt;Forudsætninger!$C$33,Forudsætninger!$E$33,Forudsætninger!$E$32+Forudsætninger!$F$33*(K150-Forudsætninger!$C$32)),Forudsætninger!$E$31+Forudsætninger!$F$32*(K150-Forudsætninger!$C$31)),Forudsætninger!$E$31)+IF(K150&gt;Forudsætninger!$C$33,Forudsætninger!$G$33,IF(K150&gt;Forudsætninger!$C$32,Forudsætninger!$G$32+Forudsætninger!$H$33*(K150-Forudsætninger!$C$32),IF(K150&gt;Forudsætninger!$C$31,Forudsætninger!$G$31+Forudsætninger!$H$32*(K150-Forudsætninger!$C$31),Forudsætninger!$G$31)))*(V150-Forudsætninger!$H$31)</f>
        <v>26.937264726632982</v>
      </c>
      <c r="AD150" s="19">
        <f t="shared" si="59"/>
        <v>3379.7896165013344</v>
      </c>
      <c r="AE150" s="19">
        <f t="shared" si="60"/>
        <v>26.937264726632982</v>
      </c>
      <c r="AF150">
        <f>IF(G150&lt;=Forudsætninger!$C$97,Forudsætninger!$C$98,(IF(G150&lt;=Forudsætninger!$D$97,Forudsætninger!$D$98,IF(G150&lt;=Forudsætninger!$E$97,Forudsætninger!$E$98,IF(G150&lt;=Forudsætninger!$F$97,Forudsætninger!$F$98,IF(G150&lt;=Forudsætninger!$G$97,Forudsætninger!$G$98,IF(G150&lt;=Forudsætninger!$H$97,Forudsætninger!$H$98,IF(G150&lt;=Forudsætninger!$I$97,Forudsætninger!$I$98,Forudsætninger!$I$98))))))))</f>
        <v>3.2</v>
      </c>
      <c r="AG150" s="1">
        <f t="shared" si="70"/>
        <v>3.2</v>
      </c>
      <c r="AH150" s="1">
        <f t="shared" si="74"/>
        <v>363.59999999999911</v>
      </c>
      <c r="AI150" s="1">
        <f t="shared" si="61"/>
        <v>2.456756756756751</v>
      </c>
      <c r="AJ150" s="20">
        <f>+(W150*Forudsætninger!$C$12)</f>
        <v>0</v>
      </c>
      <c r="AK150" s="20">
        <f>Forudsætninger!$C$17</f>
        <v>250</v>
      </c>
      <c r="AL150" s="20">
        <f>IF(A150&lt;92,Forudsætninger!$C$20,Forudsætninger!$C$21)</f>
        <v>1.0566762728146013</v>
      </c>
      <c r="AM150" s="20">
        <f t="shared" si="71"/>
        <v>424.89357122985132</v>
      </c>
      <c r="AN150" s="20">
        <f>IFERROR(AD150+AJ150-AA150-Z150-AK150-AM150-Forudsætninger!$C$75,-99999999)</f>
        <v>-1019.7209898945235</v>
      </c>
      <c r="AO150" s="19">
        <f>IFERROR(AN150/(A150+Forudsætninger!$C$74),-99999999)</f>
        <v>-6.8900066884765101</v>
      </c>
      <c r="AP150" s="19">
        <f>IFERROR(((365/(A150+Forudsætninger!$C$74))*AN150)/(AI150+Forudsætninger!$C$73),-9999999)</f>
        <v>-979.77824921423075</v>
      </c>
      <c r="AQ150" s="18">
        <f t="shared" si="62"/>
        <v>148</v>
      </c>
      <c r="AR150" s="18">
        <f t="shared" si="72"/>
        <v>4217.1164138464637</v>
      </c>
      <c r="AS150" s="52">
        <f t="shared" si="53"/>
        <v>6.2</v>
      </c>
      <c r="AT150" s="50">
        <f t="shared" si="75"/>
        <v>3.3885661870102695</v>
      </c>
      <c r="AU150" s="50">
        <f t="shared" si="76"/>
        <v>6.9922264459093775E-2</v>
      </c>
      <c r="AV150" s="2">
        <f t="shared" si="77"/>
        <v>11.896573447587002</v>
      </c>
      <c r="AW150" s="61">
        <f t="shared" si="73"/>
        <v>-4.0191041801667042</v>
      </c>
      <c r="BA150" s="16"/>
      <c r="BB150" s="2"/>
    </row>
    <row r="151" spans="1:54" x14ac:dyDescent="0.25">
      <c r="A151">
        <v>149</v>
      </c>
      <c r="B151" s="1">
        <f>ROUND((A151+Forudsætninger!$C$60)/30.4,1)</f>
        <v>6.2</v>
      </c>
      <c r="C151" s="1">
        <f>VLOOKUP((A151+Forudsætninger!$C$60),'Model tilvækst, slagteform, fe'!A:B,2,FALSE)</f>
        <v>272.854691293207</v>
      </c>
      <c r="D151" s="3">
        <f t="shared" si="63"/>
        <v>1611.7772373249863</v>
      </c>
      <c r="E151" s="1">
        <f>(1+Forudsætninger!$C$78)*C151</f>
        <v>253.7548629026825</v>
      </c>
      <c r="F151" s="2">
        <f t="shared" si="64"/>
        <v>2.4989274873059339</v>
      </c>
      <c r="G151" s="1">
        <f t="shared" si="54"/>
        <v>256.25379038998841</v>
      </c>
      <c r="H151" s="3">
        <f t="shared" si="55"/>
        <v>1452.9020525029352</v>
      </c>
      <c r="I151" s="3">
        <f t="shared" si="56"/>
        <v>1256.7368482549557</v>
      </c>
      <c r="J151" s="1">
        <f>VLOOKUP((A151+Forudsætninger!$C$60),'Model tilvækst, slagteform, fe'!G:K,2,FALSE)*(1+Forudsætninger!$C$79)</f>
        <v>49.261562594724431</v>
      </c>
      <c r="K151" s="17">
        <f t="shared" si="52"/>
        <v>126.23462135431808</v>
      </c>
      <c r="L151" s="17">
        <f t="shared" si="65"/>
        <v>765.69751218340798</v>
      </c>
      <c r="M151" s="3">
        <f>((K151-(('Model tilvækst, slagteform, fe'!$H$9/100)*'Model tilvækst, slagteform, fe'!$B$9))*1000/(A151+Forudsætninger!$C$60))</f>
        <v>562.70062407398495</v>
      </c>
      <c r="N151" s="17">
        <f t="shared" si="66"/>
        <v>657.97829337618725</v>
      </c>
      <c r="O151" s="19">
        <f>IF( A151&lt;Forudsætninger!$C$14,(G151/100)*Forudsætninger!$C$13,(Forudsætninger!$C$15/1000)*Forudsætninger!$C$13)</f>
        <v>1.6656496375349248</v>
      </c>
      <c r="P151" s="17" cm="1">
        <f t="array" ref="P151">INDEX('Model tilvækst, slagteform, fe'!$N$9:$N$375,MATCH(MIN(ABS('Model tilvækst, slagteform, fe'!$M$9:$M$375-'Vækstfunktion, hol'!G151)),ABS('Model tilvækst, slagteform, fe'!$M$9:$M$375-'Vækstfunktion, hol'!G151),0))*(1+Forudsætninger!$C$80)</f>
        <v>6.7569064052335381</v>
      </c>
      <c r="Q151" s="17">
        <f t="shared" si="67"/>
        <v>8.8245113739053807</v>
      </c>
      <c r="R151" s="17">
        <f t="shared" si="68"/>
        <v>6.9912229437435389</v>
      </c>
      <c r="S151" s="17">
        <f t="shared" si="57"/>
        <v>3.51383163996752</v>
      </c>
      <c r="T151" s="19">
        <f>(P151)*IF(N151&lt;Forudsætninger!$B$228,IF(N151&lt;Forudsætninger!$B$227,Forudsætninger!$B$225,Forudsætninger!$C$9),Forudsætninger!$C$11)+O151</f>
        <v>17.476810625781404</v>
      </c>
      <c r="U151" s="2">
        <f>Forudsætninger!$C$68+((K151-(Forudsætninger!$C$84)))*0.01</f>
        <v>2.9593990725318209</v>
      </c>
      <c r="V151" s="2">
        <f>U151+Forudsætninger!$C$69</f>
        <v>1.9593990725318209</v>
      </c>
      <c r="W151">
        <f t="shared" si="58"/>
        <v>0</v>
      </c>
      <c r="X151">
        <f>IF(A151+Forudsætninger!$C$60&gt;248,IF(A151+Forudsætninger!$C$60&lt;365,IF(K151&gt;180,IF(K151&lt;260,1,0),0),0),0)</f>
        <v>0</v>
      </c>
      <c r="Y151" s="22">
        <f>IF(X151=0,0,IF('Vækstfunktion, hol'!A151&lt;Forudsætninger!$C$66,Forudsætninger!$C$67+(('Vækstfunktion, hol'!A151-Forudsætninger!$C$66)/7)*Forudsætninger!$C$64,Forudsætninger!$C$67))</f>
        <v>0</v>
      </c>
      <c r="Z151" s="19">
        <f t="shared" si="69"/>
        <v>2209.6996532423937</v>
      </c>
      <c r="AA151" s="19">
        <f>Forudsætninger!$C$62+Forudsætninger!$C$16</f>
        <v>1350</v>
      </c>
      <c r="AB151" s="19">
        <f>IF(K151&gt;Forudsætninger!$C$26,IF(K151&gt;Forudsætninger!$C$27,IF(K151&gt;Forudsætninger!$C$28,Forudsætninger!$E$28,Forudsætninger!$E$27+Forudsætninger!$F$28*(K151-Forudsætninger!$C$27)),Forudsætninger!$E$26+Forudsætninger!$F$27*(K151-Forudsætninger!$C$26)),Forudsætninger!$E$26)+IF(K151&gt;Forudsætninger!$C$28,Forudsætninger!$G$28,IF(K151&gt;Forudsætninger!$C$27,Forudsætninger!$G$27+Forudsætninger!$H$28*(K151-Forudsætninger!$C$27),IF(K151&gt;Forudsætninger!$C$26,Forudsætninger!$G$26+Forudsætninger!$H$27*(K151-Forudsætninger!$C$26),Forudsætninger!$G$26)))*(U151-Forudsætninger!$H$26)</f>
        <v>33.569549304398869</v>
      </c>
      <c r="AC151" s="19">
        <f>IF(K151&gt;Forudsætninger!$C$31,IF(K151&gt;Forudsætninger!$C$32,IF(K151&gt;Forudsætninger!$C$33,Forudsætninger!$E$33,Forudsætninger!$E$32+Forudsætninger!$F$33*(K151-Forudsætninger!$C$32)),Forudsætninger!$E$31+Forudsætninger!$F$32*(K151-Forudsætninger!$C$31)),Forudsætninger!$E$31)+IF(K151&gt;Forudsætninger!$C$33,Forudsætninger!$G$33,IF(K151&gt;Forudsætninger!$C$32,Forudsætninger!$G$32+Forudsætninger!$H$33*(K151-Forudsætninger!$C$32),IF(K151&gt;Forudsætninger!$C$31,Forudsætninger!$G$31+Forudsætninger!$H$32*(K151-Forudsætninger!$C$31),Forudsætninger!$G$31)))*(V151-Forudsætninger!$H$31)</f>
        <v>26.947218794291366</v>
      </c>
      <c r="AD151" s="19">
        <f t="shared" si="59"/>
        <v>3401.6719610493342</v>
      </c>
      <c r="AE151" s="19">
        <f t="shared" si="60"/>
        <v>26.947218794291366</v>
      </c>
      <c r="AF151">
        <f>IF(G151&lt;=Forudsætninger!$C$97,Forudsætninger!$C$98,(IF(G151&lt;=Forudsætninger!$D$97,Forudsætninger!$D$98,IF(G151&lt;=Forudsætninger!$E$97,Forudsætninger!$E$98,IF(G151&lt;=Forudsætninger!$F$97,Forudsætninger!$F$98,IF(G151&lt;=Forudsætninger!$G$97,Forudsætninger!$G$98,IF(G151&lt;=Forudsætninger!$H$97,Forudsætninger!$H$98,IF(G151&lt;=Forudsætninger!$I$97,Forudsætninger!$I$98,Forudsætninger!$I$98))))))))</f>
        <v>3.2</v>
      </c>
      <c r="AG151" s="1">
        <f t="shared" si="70"/>
        <v>3.2</v>
      </c>
      <c r="AH151" s="1">
        <f t="shared" si="74"/>
        <v>366.7999999999991</v>
      </c>
      <c r="AI151" s="1">
        <f t="shared" si="61"/>
        <v>2.4617449664429469</v>
      </c>
      <c r="AJ151" s="20">
        <f>+(W151*Forudsætninger!$C$12)</f>
        <v>0</v>
      </c>
      <c r="AK151" s="20">
        <f>Forudsætninger!$C$17</f>
        <v>250</v>
      </c>
      <c r="AL151" s="20">
        <f>IF(A151&lt;92,Forudsætninger!$C$20,Forudsætninger!$C$21)</f>
        <v>1.0566762728146013</v>
      </c>
      <c r="AM151" s="20">
        <f t="shared" si="71"/>
        <v>425.95024750266595</v>
      </c>
      <c r="AN151" s="20">
        <f>IFERROR(AD151+AJ151-AA151-Z151-AK151-AM151-Forudsætninger!$C$75,-99999999)</f>
        <v>-1016.3721322451199</v>
      </c>
      <c r="AO151" s="19">
        <f>IFERROR(AN151/(A151+Forudsætninger!$C$74),-99999999)</f>
        <v>-6.8212894781551672</v>
      </c>
      <c r="AP151" s="19">
        <f>IFERROR(((365/(A151+Forudsætninger!$C$74))*AN151)/(AI151+Forudsætninger!$C$73),-9999999)</f>
        <v>-968.12502484268828</v>
      </c>
      <c r="AQ151" s="18">
        <f t="shared" si="62"/>
        <v>149</v>
      </c>
      <c r="AR151" s="18">
        <f t="shared" si="72"/>
        <v>4235.6499007450593</v>
      </c>
      <c r="AS151" s="52">
        <f t="shared" si="53"/>
        <v>6.2</v>
      </c>
      <c r="AT151" s="50">
        <f t="shared" si="75"/>
        <v>3.3488576494036124</v>
      </c>
      <c r="AU151" s="50">
        <f t="shared" si="76"/>
        <v>6.8717210321342925E-2</v>
      </c>
      <c r="AV151" s="2">
        <f t="shared" si="77"/>
        <v>11.653224371542478</v>
      </c>
      <c r="AW151" s="61">
        <f t="shared" si="73"/>
        <v>-3.962562984848685</v>
      </c>
      <c r="BA151" s="16"/>
      <c r="BB151" s="2"/>
    </row>
    <row r="152" spans="1:54" x14ac:dyDescent="0.25">
      <c r="A152">
        <v>150</v>
      </c>
      <c r="B152" s="1">
        <f>ROUND((A152+Forudsætninger!$C$60)/30.4,1)</f>
        <v>6.2</v>
      </c>
      <c r="C152" s="1">
        <f>VLOOKUP((A152+Forudsætninger!$C$60),'Model tilvækst, slagteform, fe'!A:B,2,FALSE)</f>
        <v>274.4654412821501</v>
      </c>
      <c r="D152" s="3">
        <f t="shared" si="63"/>
        <v>1610.7499889430983</v>
      </c>
      <c r="E152" s="1">
        <f>(1+Forudsætninger!$C$78)*C152</f>
        <v>255.25286039239958</v>
      </c>
      <c r="F152" s="2">
        <f t="shared" si="64"/>
        <v>2.452906059050417</v>
      </c>
      <c r="G152" s="1">
        <f t="shared" si="54"/>
        <v>257.70576645145002</v>
      </c>
      <c r="H152" s="3">
        <f t="shared" si="55"/>
        <v>1451.9760614616075</v>
      </c>
      <c r="I152" s="3">
        <f t="shared" si="56"/>
        <v>1258.0384430096667</v>
      </c>
      <c r="J152" s="1">
        <f>VLOOKUP((A152+Forudsætninger!$C$60),'Model tilvækst, slagteform, fe'!G:K,2,FALSE)*(1+Forudsætninger!$C$79)</f>
        <v>49.281216998601352</v>
      </c>
      <c r="K152" s="17">
        <f t="shared" si="52"/>
        <v>127.00053798284789</v>
      </c>
      <c r="L152" s="17">
        <f t="shared" si="65"/>
        <v>765.91662852980846</v>
      </c>
      <c r="M152" s="3">
        <f>((K152-(('Model tilvækst, slagteform, fe'!$H$9/100)*'Model tilvækst, slagteform, fe'!$B$9))*1000/(A152+Forudsætninger!$C$60))</f>
        <v>563.77584102877779</v>
      </c>
      <c r="N152" s="17">
        <f t="shared" si="66"/>
        <v>664.74617224010319</v>
      </c>
      <c r="O152" s="19">
        <f>IF( A152&lt;Forudsætninger!$C$14,(G152/100)*Forudsætninger!$C$13,(Forudsætninger!$C$15/1000)*Forudsætninger!$C$13)</f>
        <v>1.6750874819344252</v>
      </c>
      <c r="P152" s="17" cm="1">
        <f t="array" ref="P152">INDEX('Model tilvækst, slagteform, fe'!$N$9:$N$375,MATCH(MIN(ABS('Model tilvækst, slagteform, fe'!$M$9:$M$375-'Vækstfunktion, hol'!G152)),ABS('Model tilvækst, slagteform, fe'!$M$9:$M$375-'Vækstfunktion, hol'!G152),0))*(1+Forudsætninger!$C$80)</f>
        <v>6.7678788639159508</v>
      </c>
      <c r="Q152" s="17">
        <f t="shared" si="67"/>
        <v>8.8363127419064167</v>
      </c>
      <c r="R152" s="17">
        <f t="shared" si="68"/>
        <v>7.0061172597030197</v>
      </c>
      <c r="S152" s="17">
        <f t="shared" si="57"/>
        <v>3.5226595601206934</v>
      </c>
      <c r="T152" s="19">
        <f>(P152)*IF(N152&lt;Forudsætninger!$B$228,IF(N152&lt;Forudsætninger!$B$227,Forudsætninger!$B$225,Forudsætninger!$C$9),Forudsætninger!$C$11)+O152</f>
        <v>17.511924023497748</v>
      </c>
      <c r="U152" s="2">
        <f>Forudsætninger!$C$68+((K152-(Forudsætninger!$C$84)))*0.01</f>
        <v>2.9670582388171192</v>
      </c>
      <c r="V152" s="2">
        <f>U152+Forudsætninger!$C$69</f>
        <v>1.9670582388171192</v>
      </c>
      <c r="W152">
        <f t="shared" si="58"/>
        <v>0</v>
      </c>
      <c r="X152">
        <f>IF(A152+Forudsætninger!$C$60&gt;248,IF(A152+Forudsætninger!$C$60&lt;365,IF(K152&gt;180,IF(K152&lt;260,1,0),0),0),0)</f>
        <v>0</v>
      </c>
      <c r="Y152" s="22">
        <f>IF(X152=0,0,IF('Vækstfunktion, hol'!A152&lt;Forudsætninger!$C$66,Forudsætninger!$C$67+(('Vækstfunktion, hol'!A152-Forudsætninger!$C$66)/7)*Forudsætninger!$C$64,Forudsætninger!$C$67))</f>
        <v>0</v>
      </c>
      <c r="Z152" s="19">
        <f t="shared" si="69"/>
        <v>2227.2115772658913</v>
      </c>
      <c r="AA152" s="19">
        <f>Forudsætninger!$C$62+Forudsætninger!$C$16</f>
        <v>1350</v>
      </c>
      <c r="AB152" s="19">
        <f>IF(K152&gt;Forudsætninger!$C$26,IF(K152&gt;Forudsætninger!$C$27,IF(K152&gt;Forudsætninger!$C$28,Forudsætninger!$E$28,Forudsætninger!$E$27+Forudsætninger!$F$28*(K152-Forudsætninger!$C$27)),Forudsætninger!$E$26+Forudsætninger!$F$27*(K152-Forudsætninger!$C$26)),Forudsætninger!$E$26)+IF(K152&gt;Forudsætninger!$C$28,Forudsætninger!$G$28,IF(K152&gt;Forudsætninger!$C$27,Forudsætninger!$G$27+Forudsætninger!$H$28*(K152-Forudsætninger!$C$27),IF(K152&gt;Forudsætninger!$C$26,Forudsætninger!$G$26+Forudsætninger!$H$27*(K152-Forudsætninger!$C$26),Forudsætninger!$G$26)))*(U152-Forudsætninger!$H$26)</f>
        <v>33.575293679112839</v>
      </c>
      <c r="AC152" s="19">
        <f>IF(K152&gt;Forudsætninger!$C$31,IF(K152&gt;Forudsætninger!$C$32,IF(K152&gt;Forudsætninger!$C$33,Forudsætninger!$E$33,Forudsætninger!$E$32+Forudsætninger!$F$33*(K152-Forudsætninger!$C$32)),Forudsætninger!$E$31+Forudsætninger!$F$32*(K152-Forudsætninger!$C$31)),Forudsætninger!$E$31)+IF(K152&gt;Forudsætninger!$C$33,Forudsætninger!$G$33,IF(K152&gt;Forudsætninger!$C$32,Forudsætninger!$G$32+Forudsætninger!$H$33*(K152-Forudsætninger!$C$32),IF(K152&gt;Forudsætninger!$C$31,Forudsætninger!$G$31+Forudsætninger!$H$32*(K152-Forudsætninger!$C$31),Forudsætninger!$G$31)))*(V152-Forudsætninger!$H$31)</f>
        <v>26.957175710462256</v>
      </c>
      <c r="AD152" s="19">
        <f t="shared" si="59"/>
        <v>3423.5758177268663</v>
      </c>
      <c r="AE152" s="19">
        <f t="shared" si="60"/>
        <v>26.957175710462256</v>
      </c>
      <c r="AF152">
        <f>IF(G152&lt;=Forudsætninger!$C$97,Forudsætninger!$C$98,(IF(G152&lt;=Forudsætninger!$D$97,Forudsætninger!$D$98,IF(G152&lt;=Forudsætninger!$E$97,Forudsætninger!$E$98,IF(G152&lt;=Forudsætninger!$F$97,Forudsætninger!$F$98,IF(G152&lt;=Forudsætninger!$G$97,Forudsætninger!$G$98,IF(G152&lt;=Forudsætninger!$H$97,Forudsætninger!$H$98,IF(G152&lt;=Forudsætninger!$I$97,Forudsætninger!$I$98,Forudsætninger!$I$98))))))))</f>
        <v>3.2</v>
      </c>
      <c r="AG152" s="1">
        <f t="shared" si="70"/>
        <v>3.2</v>
      </c>
      <c r="AH152" s="1">
        <f t="shared" si="74"/>
        <v>369.99999999999909</v>
      </c>
      <c r="AI152" s="1">
        <f t="shared" si="61"/>
        <v>2.4666666666666606</v>
      </c>
      <c r="AJ152" s="20">
        <f>+(W152*Forudsætninger!$C$12)</f>
        <v>0</v>
      </c>
      <c r="AK152" s="20">
        <f>Forudsætninger!$C$17</f>
        <v>250</v>
      </c>
      <c r="AL152" s="20">
        <f>IF(A152&lt;92,Forudsætninger!$C$20,Forudsætninger!$C$21)</f>
        <v>1.0566762728146013</v>
      </c>
      <c r="AM152" s="20">
        <f t="shared" si="71"/>
        <v>427.00692377548057</v>
      </c>
      <c r="AN152" s="20">
        <f>IFERROR(AD152+AJ152-AA152-Z152-AK152-AM152-Forudsætninger!$C$75,-99999999)</f>
        <v>-1013.0368758639001</v>
      </c>
      <c r="AO152" s="19">
        <f>IFERROR(AN152/(A152+Forudsætninger!$C$74),-99999999)</f>
        <v>-6.7535791724260008</v>
      </c>
      <c r="AP152" s="19">
        <f>IFERROR(((365/(A152+Forudsætninger!$C$74))*AN152)/(AI152+Forudsætninger!$C$73),-9999999)</f>
        <v>-956.68424240704894</v>
      </c>
      <c r="AQ152" s="18">
        <f t="shared" si="62"/>
        <v>150</v>
      </c>
      <c r="AR152" s="18">
        <f t="shared" si="72"/>
        <v>4254.2185010413723</v>
      </c>
      <c r="AS152" s="52">
        <f t="shared" si="53"/>
        <v>6.2</v>
      </c>
      <c r="AT152" s="50">
        <f t="shared" si="75"/>
        <v>3.3352563812197786</v>
      </c>
      <c r="AU152" s="50">
        <f t="shared" si="76"/>
        <v>6.7710305729166365E-2</v>
      </c>
      <c r="AV152" s="2">
        <f t="shared" si="77"/>
        <v>11.440782435639335</v>
      </c>
      <c r="AW152" s="61">
        <f t="shared" si="73"/>
        <v>-3.9068663472561305</v>
      </c>
      <c r="BA152" s="16"/>
      <c r="BB152" s="2"/>
    </row>
    <row r="153" spans="1:54" x14ac:dyDescent="0.25">
      <c r="A153">
        <v>151</v>
      </c>
      <c r="B153" s="1">
        <f>ROUND((A153+Forudsætninger!$C$60)/30.4,1)</f>
        <v>6.3</v>
      </c>
      <c r="C153" s="1">
        <f>VLOOKUP((A153+Forudsætninger!$C$60),'Model tilvækst, slagteform, fe'!A:B,2,FALSE)</f>
        <v>276.07510483424636</v>
      </c>
      <c r="D153" s="3">
        <f t="shared" si="63"/>
        <v>1609.663552096265</v>
      </c>
      <c r="E153" s="1">
        <f>(1+Forudsætninger!$C$78)*C153</f>
        <v>256.74984749584911</v>
      </c>
      <c r="F153" s="2">
        <f t="shared" si="64"/>
        <v>2.4069156718476665</v>
      </c>
      <c r="G153" s="1">
        <f t="shared" si="54"/>
        <v>259.15676316769679</v>
      </c>
      <c r="H153" s="3">
        <f t="shared" si="55"/>
        <v>1450.9967162467774</v>
      </c>
      <c r="I153" s="3">
        <f t="shared" si="56"/>
        <v>1259.316312368853</v>
      </c>
      <c r="J153" s="1">
        <f>VLOOKUP((A153+Forudsætninger!$C$60),'Model tilvækst, slagteform, fe'!G:K,2,FALSE)*(1+Forudsætninger!$C$79)</f>
        <v>49.300907591384302</v>
      </c>
      <c r="K153" s="17">
        <f t="shared" si="52"/>
        <v>127.76663632612886</v>
      </c>
      <c r="L153" s="17">
        <f t="shared" si="65"/>
        <v>766.09834328097293</v>
      </c>
      <c r="M153" s="3">
        <f>((K153-(('Model tilvækst, slagteform, fe'!$H$9/100)*'Model tilvækst, slagteform, fe'!$B$9))*1000/(A153+Forudsætninger!$C$60))</f>
        <v>564.84069630378929</v>
      </c>
      <c r="N153" s="17">
        <f t="shared" si="66"/>
        <v>671.52481920978073</v>
      </c>
      <c r="O153" s="19">
        <f>IF( A153&lt;Forudsætninger!$C$14,(G153/100)*Forudsætninger!$C$13,(Forudsætninger!$C$15/1000)*Forudsætninger!$C$13)</f>
        <v>1.6845189605900293</v>
      </c>
      <c r="P153" s="17" cm="1">
        <f t="array" ref="P153">INDEX('Model tilvækst, slagteform, fe'!$N$9:$N$375,MATCH(MIN(ABS('Model tilvækst, slagteform, fe'!$M$9:$M$375-'Vækstfunktion, hol'!G153)),ABS('Model tilvækst, slagteform, fe'!$M$9:$M$375-'Vækstfunktion, hol'!G153),0))*(1+Forudsætninger!$C$80)</f>
        <v>6.7786469696774994</v>
      </c>
      <c r="Q153" s="17">
        <f t="shared" si="67"/>
        <v>8.84827258684121</v>
      </c>
      <c r="R153" s="17">
        <f t="shared" si="68"/>
        <v>7.0208722787155775</v>
      </c>
      <c r="S153" s="17">
        <f t="shared" si="57"/>
        <v>3.5314274813227216</v>
      </c>
      <c r="T153" s="19">
        <f>(P153)*IF(N153&lt;Forudsætninger!$B$228,IF(N153&lt;Forudsætninger!$B$227,Forudsætninger!$B$225,Forudsætninger!$C$9),Forudsætninger!$C$11)+O153</f>
        <v>17.546552869635377</v>
      </c>
      <c r="U153" s="2">
        <f>Forudsætninger!$C$68+((K153-(Forudsætninger!$C$84)))*0.01</f>
        <v>2.974719222249929</v>
      </c>
      <c r="V153" s="2">
        <f>U153+Forudsætninger!$C$69</f>
        <v>1.974719222249929</v>
      </c>
      <c r="W153">
        <f t="shared" si="58"/>
        <v>0</v>
      </c>
      <c r="X153">
        <f>IF(A153+Forudsætninger!$C$60&gt;248,IF(A153+Forudsætninger!$C$60&lt;365,IF(K153&gt;180,IF(K153&lt;260,1,0),0),0),0)</f>
        <v>0</v>
      </c>
      <c r="Y153" s="22">
        <f>IF(X153=0,0,IF('Vækstfunktion, hol'!A153&lt;Forudsætninger!$C$66,Forudsætninger!$C$67+(('Vækstfunktion, hol'!A153-Forudsætninger!$C$66)/7)*Forudsætninger!$C$64,Forudsætninger!$C$67))</f>
        <v>0</v>
      </c>
      <c r="Z153" s="19">
        <f t="shared" si="69"/>
        <v>2244.7581301355267</v>
      </c>
      <c r="AA153" s="19">
        <f>Forudsætninger!$C$62+Forudsætninger!$C$16</f>
        <v>1350</v>
      </c>
      <c r="AB153" s="19">
        <f>IF(K153&gt;Forudsætninger!$C$26,IF(K153&gt;Forudsætninger!$C$27,IF(K153&gt;Forudsætninger!$C$28,Forudsætninger!$E$28,Forudsætninger!$E$27+Forudsætninger!$F$28*(K153-Forudsætninger!$C$27)),Forudsætninger!$E$26+Forudsætninger!$F$27*(K153-Forudsætninger!$C$26)),Forudsætninger!$E$26)+IF(K153&gt;Forudsætninger!$C$28,Forudsætninger!$G$28,IF(K153&gt;Forudsætninger!$C$27,Forudsætninger!$G$27+Forudsætninger!$H$28*(K153-Forudsætninger!$C$27),IF(K153&gt;Forudsætninger!$C$26,Forudsætninger!$G$26+Forudsætninger!$H$27*(K153-Forudsætninger!$C$26),Forudsætninger!$G$26)))*(U153-Forudsætninger!$H$26)</f>
        <v>33.581039416687446</v>
      </c>
      <c r="AC153" s="19">
        <f>IF(K153&gt;Forudsætninger!$C$31,IF(K153&gt;Forudsætninger!$C$32,IF(K153&gt;Forudsætninger!$C$33,Forudsætninger!$E$33,Forudsætninger!$E$32+Forudsætninger!$F$33*(K153-Forudsætninger!$C$32)),Forudsætninger!$E$31+Forudsætninger!$F$32*(K153-Forudsætninger!$C$31)),Forudsætninger!$E$31)+IF(K153&gt;Forudsætninger!$C$33,Forudsætninger!$G$33,IF(K153&gt;Forudsætninger!$C$32,Forudsætninger!$G$32+Forudsætninger!$H$33*(K153-Forudsætninger!$C$32),IF(K153&gt;Forudsætninger!$C$31,Forudsætninger!$G$31+Forudsætninger!$H$32*(K153-Forudsætninger!$C$31),Forudsætninger!$G$31)))*(V153-Forudsætninger!$H$31)</f>
        <v>26.967134988924908</v>
      </c>
      <c r="AD153" s="19">
        <f t="shared" si="59"/>
        <v>3445.5001288875937</v>
      </c>
      <c r="AE153" s="19">
        <f t="shared" si="60"/>
        <v>26.967134988924908</v>
      </c>
      <c r="AF153">
        <f>IF(G153&lt;=Forudsætninger!$C$97,Forudsætninger!$C$98,(IF(G153&lt;=Forudsætninger!$D$97,Forudsætninger!$D$98,IF(G153&lt;=Forudsætninger!$E$97,Forudsætninger!$E$98,IF(G153&lt;=Forudsætninger!$F$97,Forudsætninger!$F$98,IF(G153&lt;=Forudsætninger!$G$97,Forudsætninger!$G$98,IF(G153&lt;=Forudsætninger!$H$97,Forudsætninger!$H$98,IF(G153&lt;=Forudsætninger!$I$97,Forudsætninger!$I$98,Forudsætninger!$I$98))))))))</f>
        <v>3.2</v>
      </c>
      <c r="AG153" s="1">
        <f t="shared" si="70"/>
        <v>3.2</v>
      </c>
      <c r="AH153" s="1">
        <f t="shared" si="74"/>
        <v>373.19999999999908</v>
      </c>
      <c r="AI153" s="1">
        <f t="shared" si="61"/>
        <v>2.4715231788079408</v>
      </c>
      <c r="AJ153" s="20">
        <f>+(W153*Forudsætninger!$C$12)</f>
        <v>0</v>
      </c>
      <c r="AK153" s="20">
        <f>Forudsætninger!$C$17</f>
        <v>250</v>
      </c>
      <c r="AL153" s="20">
        <f>IF(A153&lt;92,Forudsætninger!$C$20,Forudsætninger!$C$21)</f>
        <v>1.0566762728146013</v>
      </c>
      <c r="AM153" s="20">
        <f t="shared" si="71"/>
        <v>428.0636000482952</v>
      </c>
      <c r="AN153" s="20">
        <f>IFERROR(AD153+AJ153-AA153-Z153-AK153-AM153-Forudsætninger!$C$75,-99999999)</f>
        <v>-1009.7157938456228</v>
      </c>
      <c r="AO153" s="19">
        <f>IFERROR(AN153/(A153+Forudsætninger!$C$74),-99999999)</f>
        <v>-6.6868595618915414</v>
      </c>
      <c r="AP153" s="19">
        <f>IFERROR(((365/(A153+Forudsætninger!$C$74))*AN153)/(AI153+Forudsætninger!$C$73),-9999999)</f>
        <v>-945.45102679165041</v>
      </c>
      <c r="AQ153" s="18">
        <f t="shared" si="62"/>
        <v>151</v>
      </c>
      <c r="AR153" s="18">
        <f t="shared" si="72"/>
        <v>4272.8217301838222</v>
      </c>
      <c r="AS153" s="52">
        <f t="shared" si="53"/>
        <v>6.3</v>
      </c>
      <c r="AT153" s="50">
        <f t="shared" si="75"/>
        <v>3.3210820182773659</v>
      </c>
      <c r="AU153" s="50">
        <f t="shared" si="76"/>
        <v>6.6719610534459406E-2</v>
      </c>
      <c r="AV153" s="2">
        <f t="shared" si="77"/>
        <v>11.233215615398535</v>
      </c>
      <c r="AW153" s="61">
        <f t="shared" si="73"/>
        <v>-3.8520012834260102</v>
      </c>
      <c r="BA153" s="16"/>
      <c r="BB153" s="2"/>
    </row>
    <row r="154" spans="1:54" x14ac:dyDescent="0.25">
      <c r="A154">
        <v>152</v>
      </c>
      <c r="B154" s="1">
        <f>ROUND((A154+Forudsætninger!$C$60)/30.4,1)</f>
        <v>6.3</v>
      </c>
      <c r="C154" s="1">
        <f>VLOOKUP((A154+Forudsætninger!$C$60),'Model tilvækst, slagteform, fe'!A:B,2,FALSE)</f>
        <v>277.68362329537837</v>
      </c>
      <c r="D154" s="3">
        <f t="shared" si="63"/>
        <v>1608.5184611320074</v>
      </c>
      <c r="E154" s="1">
        <f>(1+Forudsætninger!$C$78)*C154</f>
        <v>258.24576966470187</v>
      </c>
      <c r="F154" s="2">
        <f t="shared" si="64"/>
        <v>2.360958001529609</v>
      </c>
      <c r="G154" s="1">
        <f t="shared" si="54"/>
        <v>260.60672766623145</v>
      </c>
      <c r="H154" s="3">
        <f t="shared" si="55"/>
        <v>1449.9644985346549</v>
      </c>
      <c r="I154" s="3">
        <f t="shared" si="56"/>
        <v>1260.5705767515228</v>
      </c>
      <c r="J154" s="1">
        <f>VLOOKUP((A154+Forudsætninger!$C$60),'Model tilvækst, slagteform, fe'!G:K,2,FALSE)*(1+Forudsætninger!$C$79)</f>
        <v>49.320629613328457</v>
      </c>
      <c r="K154" s="17">
        <f t="shared" si="52"/>
        <v>128.5328788996776</v>
      </c>
      <c r="L154" s="17">
        <f t="shared" si="65"/>
        <v>766.24257354873748</v>
      </c>
      <c r="M154" s="3">
        <f>((K154-(('Model tilvækst, slagteform, fe'!$H$9/100)*'Model tilvækst, slagteform, fe'!$B$9))*1000/(A154+Forudsætninger!$C$60))</f>
        <v>565.89515639407693</v>
      </c>
      <c r="N154" s="17">
        <f t="shared" si="66"/>
        <v>678.31403457162037</v>
      </c>
      <c r="O154" s="19">
        <f>IF( A154&lt;Forudsætninger!$C$14,(G154/100)*Forudsætninger!$C$13,(Forudsætninger!$C$15/1000)*Forudsætninger!$C$13)</f>
        <v>1.6939437298305045</v>
      </c>
      <c r="P154" s="17" cm="1">
        <f t="array" ref="P154">INDEX('Model tilvækst, slagteform, fe'!$N$9:$N$375,MATCH(MIN(ABS('Model tilvækst, slagteform, fe'!$M$9:$M$375-'Vækstfunktion, hol'!G154)),ABS('Model tilvækst, slagteform, fe'!$M$9:$M$375-'Vækstfunktion, hol'!G154),0))*(1+Forudsætninger!$C$80)</f>
        <v>6.7892153618396742</v>
      </c>
      <c r="Q154" s="17">
        <f t="shared" si="67"/>
        <v>8.8603995604113219</v>
      </c>
      <c r="R154" s="17">
        <f t="shared" si="68"/>
        <v>7.03549190180349</v>
      </c>
      <c r="S154" s="17">
        <f t="shared" si="57"/>
        <v>3.5401368356606282</v>
      </c>
      <c r="T154" s="19">
        <f>(P154)*IF(N154&lt;Forudsætninger!$B$228,IF(N154&lt;Forudsætninger!$B$227,Forudsætninger!$B$225,Forudsætninger!$C$9),Forudsætninger!$C$11)+O154</f>
        <v>17.58070767653534</v>
      </c>
      <c r="U154" s="2">
        <f>Forudsætninger!$C$68+((K154-(Forudsætninger!$C$84)))*0.01</f>
        <v>2.9823816479854162</v>
      </c>
      <c r="V154" s="2">
        <f>U154+Forudsætninger!$C$69</f>
        <v>1.9823816479854162</v>
      </c>
      <c r="W154">
        <f t="shared" si="58"/>
        <v>0</v>
      </c>
      <c r="X154">
        <f>IF(A154+Forudsætninger!$C$60&gt;248,IF(A154+Forudsætninger!$C$60&lt;365,IF(K154&gt;180,IF(K154&lt;260,1,0),0),0),0)</f>
        <v>0</v>
      </c>
      <c r="Y154" s="22">
        <f>IF(X154=0,0,IF('Vækstfunktion, hol'!A154&lt;Forudsætninger!$C$66,Forudsætninger!$C$67+(('Vækstfunktion, hol'!A154-Forudsætninger!$C$66)/7)*Forudsætninger!$C$64,Forudsætninger!$C$67))</f>
        <v>0</v>
      </c>
      <c r="Z154" s="19">
        <f>Z153+T154</f>
        <v>2262.3388378120621</v>
      </c>
      <c r="AA154" s="19">
        <f>Forudsætninger!$C$62+Forudsætninger!$C$16</f>
        <v>1350</v>
      </c>
      <c r="AB154" s="19">
        <f>IF(K154&gt;Forudsætninger!$C$26,IF(K154&gt;Forudsætninger!$C$27,IF(K154&gt;Forudsætninger!$C$28,Forudsætninger!$E$28,Forudsætninger!$E$27+Forudsætninger!$F$28*(K154-Forudsætninger!$C$27)),Forudsætninger!$E$26+Forudsætninger!$F$27*(K154-Forudsætninger!$C$26)),Forudsætninger!$E$26)+IF(K154&gt;Forudsætninger!$C$28,Forudsætninger!$G$28,IF(K154&gt;Forudsætninger!$C$27,Forudsætninger!$G$27+Forudsætninger!$H$28*(K154-Forudsætninger!$C$27),IF(K154&gt;Forudsætninger!$C$26,Forudsætninger!$G$26+Forudsætninger!$H$27*(K154-Forudsætninger!$C$26),Forudsætninger!$G$26)))*(U154-Forudsætninger!$H$26)</f>
        <v>33.586786235989067</v>
      </c>
      <c r="AC154" s="19">
        <f>IF(K154&gt;Forudsætninger!$C$31,IF(K154&gt;Forudsætninger!$C$32,IF(K154&gt;Forudsætninger!$C$33,Forudsætninger!$E$33,Forudsætninger!$E$32+Forudsætninger!$F$33*(K154-Forudsætninger!$C$32)),Forudsætninger!$E$31+Forudsætninger!$F$32*(K154-Forudsætninger!$C$31)),Forudsætninger!$E$31)+IF(K154&gt;Forudsætninger!$C$33,Forudsætninger!$G$33,IF(K154&gt;Forudsætninger!$C$32,Forudsætninger!$G$32+Forudsætninger!$H$33*(K154-Forudsætninger!$C$32),IF(K154&gt;Forudsætninger!$C$31,Forudsætninger!$G$31+Forudsætninger!$H$32*(K154-Forudsætninger!$C$31),Forudsætninger!$G$31)))*(V154-Forudsætninger!$H$31)</f>
        <v>26.97709614238104</v>
      </c>
      <c r="AD154" s="19">
        <f t="shared" si="59"/>
        <v>3467.443831533622</v>
      </c>
      <c r="AE154" s="19">
        <f t="shared" si="60"/>
        <v>26.97709614238104</v>
      </c>
      <c r="AF154">
        <f>IF(G154&lt;=Forudsætninger!$C$97,Forudsætninger!$C$98,(IF(G154&lt;=Forudsætninger!$D$97,Forudsætninger!$D$98,IF(G154&lt;=Forudsætninger!$E$97,Forudsætninger!$E$98,IF(G154&lt;=Forudsætninger!$F$97,Forudsætninger!$F$98,IF(G154&lt;=Forudsætninger!$G$97,Forudsætninger!$G$98,IF(G154&lt;=Forudsætninger!$H$97,Forudsætninger!$H$98,IF(G154&lt;=Forudsætninger!$I$97,Forudsætninger!$I$98,Forudsætninger!$I$98))))))))</f>
        <v>3.2</v>
      </c>
      <c r="AG154" s="1">
        <f t="shared" si="70"/>
        <v>3.2</v>
      </c>
      <c r="AH154" s="1">
        <f t="shared" si="74"/>
        <v>376.39999999999907</v>
      </c>
      <c r="AI154" s="1">
        <f t="shared" si="61"/>
        <v>2.476315789473678</v>
      </c>
      <c r="AJ154" s="20">
        <f>+(W154*Forudsætninger!$C$12)</f>
        <v>0</v>
      </c>
      <c r="AK154" s="20">
        <f>Forudsætninger!$C$17</f>
        <v>250</v>
      </c>
      <c r="AL154" s="20">
        <f>IF(A154&lt;92,Forudsætninger!$C$20,Forudsætninger!$C$21)</f>
        <v>1.0566762728146013</v>
      </c>
      <c r="AM154" s="20">
        <f t="shared" si="71"/>
        <v>429.12027632110983</v>
      </c>
      <c r="AN154" s="20">
        <f>IFERROR(AD154+AJ154-AA154-Z154-AK154-AM154-Forudsætninger!$C$75,-99999999)</f>
        <v>-1006.4094751489446</v>
      </c>
      <c r="AO154" s="19">
        <f>IFERROR(AN154/(A154+Forudsætninger!$C$74),-99999999)</f>
        <v>-6.6211149680851618</v>
      </c>
      <c r="AP154" s="19">
        <f>IFERROR(((365/(A154+Forudsætninger!$C$74))*AN154)/(AI154+Forudsætninger!$C$73),-9999999)</f>
        <v>-934.42068180038063</v>
      </c>
      <c r="AQ154" s="18">
        <f t="shared" si="62"/>
        <v>152</v>
      </c>
      <c r="AR154" s="18">
        <f t="shared" si="72"/>
        <v>4291.4591141331721</v>
      </c>
      <c r="AS154" s="52">
        <f t="shared" si="53"/>
        <v>6.3</v>
      </c>
      <c r="AT154" s="50">
        <f t="shared" si="75"/>
        <v>3.3063186966782041</v>
      </c>
      <c r="AU154" s="50">
        <f t="shared" si="76"/>
        <v>6.5744593806379648E-2</v>
      </c>
      <c r="AV154" s="2">
        <f t="shared" si="77"/>
        <v>11.030344991269772</v>
      </c>
      <c r="AW154" s="61">
        <f t="shared" si="73"/>
        <v>-3.7979552554462814</v>
      </c>
      <c r="BA154" s="16"/>
      <c r="BB154" s="2"/>
    </row>
    <row r="155" spans="1:54" x14ac:dyDescent="0.25">
      <c r="A155">
        <v>153</v>
      </c>
      <c r="B155" s="1">
        <f>ROUND((A155+Forudsætninger!$C$60)/30.4,1)</f>
        <v>6.3</v>
      </c>
      <c r="C155" s="1">
        <f>VLOOKUP((A155+Forudsætninger!$C$60),'Model tilvækst, slagteform, fe'!A:B,2,FALSE)</f>
        <v>279.29093854577599</v>
      </c>
      <c r="D155" s="3">
        <f t="shared" si="63"/>
        <v>1607.3152503976189</v>
      </c>
      <c r="E155" s="1">
        <f>(1+Forudsætninger!$C$78)*C155</f>
        <v>259.74057284757163</v>
      </c>
      <c r="F155" s="2">
        <f t="shared" si="64"/>
        <v>2.3150347086611056</v>
      </c>
      <c r="G155" s="1">
        <f t="shared" si="54"/>
        <v>262.05560755623276</v>
      </c>
      <c r="H155" s="3">
        <f t="shared" si="55"/>
        <v>1448.879890001308</v>
      </c>
      <c r="I155" s="3">
        <f t="shared" si="56"/>
        <v>1261.8013565766846</v>
      </c>
      <c r="J155" s="1">
        <f>VLOOKUP((A155+Forudsætninger!$C$60),'Model tilvækst, slagteform, fe'!G:K,2,FALSE)*(1+Forudsætninger!$C$79)</f>
        <v>49.340378304688947</v>
      </c>
      <c r="K155" s="17">
        <f t="shared" si="52"/>
        <v>129.29922813689629</v>
      </c>
      <c r="L155" s="17">
        <f t="shared" si="65"/>
        <v>766.34923721869086</v>
      </c>
      <c r="M155" s="3">
        <f>((K155-(('Model tilvækst, slagteform, fe'!$H$9/100)*'Model tilvækst, slagteform, fe'!$B$9))*1000/(A155+Forudsætninger!$C$60))</f>
        <v>566.93918806503848</v>
      </c>
      <c r="N155" s="17">
        <f t="shared" si="66"/>
        <v>685.12380613427229</v>
      </c>
      <c r="O155" s="19">
        <f>IF( A155&lt;Forudsætninger!$C$14,(G155/100)*Forudsætninger!$C$13,(Forudsætninger!$C$15/1000)*Forudsætninger!$C$13)</f>
        <v>1.7033614491155129</v>
      </c>
      <c r="P155" s="17" cm="1">
        <f t="array" ref="P155">INDEX('Model tilvækst, slagteform, fe'!$N$9:$N$375,MATCH(MIN(ABS('Model tilvækst, slagteform, fe'!$M$9:$M$375-'Vækstfunktion, hol'!G155)),ABS('Model tilvækst, slagteform, fe'!$M$9:$M$375-'Vækstfunktion, hol'!G155),0))*(1+Forudsætninger!$C$80)</f>
        <v>6.8097715626518687</v>
      </c>
      <c r="Q155" s="17">
        <f t="shared" si="67"/>
        <v>8.8859898750164525</v>
      </c>
      <c r="R155" s="17">
        <f t="shared" si="68"/>
        <v>7.050084768787074</v>
      </c>
      <c r="S155" s="17">
        <f t="shared" si="57"/>
        <v>3.5488417809087007</v>
      </c>
      <c r="T155" s="19">
        <f>(P155)*IF(N155&lt;Forudsætninger!$B$228,IF(N155&lt;Forudsætninger!$B$227,Forudsætninger!$B$225,Forudsætninger!$C$9),Forudsætninger!$C$11)+O155</f>
        <v>17.638226905720884</v>
      </c>
      <c r="U155" s="2">
        <f>Forudsætninger!$C$68+((K155-(Forudsætninger!$C$84)))*0.01</f>
        <v>2.9900451403576032</v>
      </c>
      <c r="V155" s="2">
        <f>U155+Forudsætninger!$C$69</f>
        <v>1.9900451403576032</v>
      </c>
      <c r="W155">
        <f t="shared" si="58"/>
        <v>0</v>
      </c>
      <c r="X155">
        <f>IF(A155+Forudsætninger!$C$60&gt;248,IF(A155+Forudsætninger!$C$60&lt;365,IF(K155&gt;180,IF(K155&lt;260,1,0),0),0),0)</f>
        <v>0</v>
      </c>
      <c r="Y155" s="22">
        <f>IF(X155=0,0,IF('Vækstfunktion, hol'!A155&lt;Forudsætninger!$C$66,Forudsætninger!$C$67+(('Vækstfunktion, hol'!A155-Forudsætninger!$C$66)/7)*Forudsætninger!$C$64,Forudsætninger!$C$67))</f>
        <v>0</v>
      </c>
      <c r="Z155" s="19">
        <f t="shared" si="69"/>
        <v>2279.9770647177829</v>
      </c>
      <c r="AA155" s="19">
        <f>Forudsætninger!$C$62+Forudsætninger!$C$16</f>
        <v>1350</v>
      </c>
      <c r="AB155" s="19">
        <f>IF(K155&gt;Forudsætninger!$C$26,IF(K155&gt;Forudsætninger!$C$27,IF(K155&gt;Forudsætninger!$C$28,Forudsætninger!$E$28,Forudsætninger!$E$27+Forudsætninger!$F$28*(K155-Forudsætninger!$C$27)),Forudsætninger!$E$26+Forudsætninger!$F$27*(K155-Forudsætninger!$C$26)),Forudsætninger!$E$26)+IF(K155&gt;Forudsætninger!$C$28,Forudsætninger!$G$28,IF(K155&gt;Forudsætninger!$C$27,Forudsætninger!$G$27+Forudsætninger!$H$28*(K155-Forudsætninger!$C$27),IF(K155&gt;Forudsætninger!$C$26,Forudsætninger!$G$26+Forudsætninger!$H$27*(K155-Forudsætninger!$C$26),Forudsætninger!$G$26)))*(U155-Forudsætninger!$H$26)</f>
        <v>33.592533855268201</v>
      </c>
      <c r="AC155" s="19">
        <f>IF(K155&gt;Forudsætninger!$C$31,IF(K155&gt;Forudsætninger!$C$32,IF(K155&gt;Forudsætninger!$C$33,Forudsætninger!$E$33,Forudsætninger!$E$32+Forudsætninger!$F$33*(K155-Forudsætninger!$C$32)),Forudsætninger!$E$31+Forudsætninger!$F$32*(K155-Forudsætninger!$C$31)),Forudsætninger!$E$31)+IF(K155&gt;Forudsætninger!$C$33,Forudsætninger!$G$33,IF(K155&gt;Forudsætninger!$C$32,Forudsætninger!$G$32+Forudsætninger!$H$33*(K155-Forudsætninger!$C$32),IF(K155&gt;Forudsætninger!$C$31,Forudsætninger!$G$31+Forudsætninger!$H$32*(K155-Forudsætninger!$C$31),Forudsætninger!$G$31)))*(V155-Forudsætninger!$H$31)</f>
        <v>26.987058682464884</v>
      </c>
      <c r="AD155" s="19">
        <f t="shared" si="59"/>
        <v>3489.4058573278348</v>
      </c>
      <c r="AE155" s="19">
        <f t="shared" si="60"/>
        <v>26.987058682464884</v>
      </c>
      <c r="AF155">
        <f>IF(G155&lt;=Forudsætninger!$C$97,Forudsætninger!$C$98,(IF(G155&lt;=Forudsætninger!$D$97,Forudsætninger!$D$98,IF(G155&lt;=Forudsætninger!$E$97,Forudsætninger!$E$98,IF(G155&lt;=Forudsætninger!$F$97,Forudsætninger!$F$98,IF(G155&lt;=Forudsætninger!$G$97,Forudsætninger!$G$98,IF(G155&lt;=Forudsætninger!$H$97,Forudsætninger!$H$98,IF(G155&lt;=Forudsætninger!$I$97,Forudsætninger!$I$98,Forudsætninger!$I$98))))))))</f>
        <v>3.2</v>
      </c>
      <c r="AG155" s="1">
        <f t="shared" si="70"/>
        <v>3.2</v>
      </c>
      <c r="AH155" s="1">
        <f t="shared" si="74"/>
        <v>379.59999999999906</v>
      </c>
      <c r="AI155" s="1">
        <f t="shared" si="61"/>
        <v>2.4810457516339808</v>
      </c>
      <c r="AJ155" s="20">
        <f>+(W155*Forudsætninger!$C$12)</f>
        <v>0</v>
      </c>
      <c r="AK155" s="20">
        <f>Forudsætninger!$C$17</f>
        <v>250</v>
      </c>
      <c r="AL155" s="20">
        <f>IF(A155&lt;92,Forudsætninger!$C$20,Forudsætninger!$C$21)</f>
        <v>1.0566762728146013</v>
      </c>
      <c r="AM155" s="20">
        <f t="shared" si="71"/>
        <v>430.17695259392445</v>
      </c>
      <c r="AN155" s="20">
        <f>IFERROR(AD155+AJ155-AA155-Z155-AK155-AM155-Forudsætninger!$C$75,-99999999)</f>
        <v>-1003.1423525332671</v>
      </c>
      <c r="AO155" s="19">
        <f>IFERROR(AN155/(A155+Forudsætninger!$C$74),-99999999)</f>
        <v>-6.5564859642697195</v>
      </c>
      <c r="AP155" s="19">
        <f>IFERROR(((365/(A155+Forudsætninger!$C$74))*AN155)/(AI155+Forudsætninger!$C$73),-9999999)</f>
        <v>-923.61062148334724</v>
      </c>
      <c r="AQ155" s="18">
        <f t="shared" si="62"/>
        <v>153</v>
      </c>
      <c r="AR155" s="18">
        <f t="shared" si="72"/>
        <v>4310.1540173117073</v>
      </c>
      <c r="AS155" s="52">
        <f t="shared" si="53"/>
        <v>6.3</v>
      </c>
      <c r="AT155" s="50">
        <f t="shared" si="75"/>
        <v>3.2671226156775219</v>
      </c>
      <c r="AU155" s="50">
        <f t="shared" si="76"/>
        <v>6.4629003815442232E-2</v>
      </c>
      <c r="AV155" s="2">
        <f t="shared" si="77"/>
        <v>10.81006031703339</v>
      </c>
      <c r="AW155" s="61">
        <f t="shared" si="73"/>
        <v>-3.7448718950283832</v>
      </c>
      <c r="BA155" s="16"/>
      <c r="BB155" s="2"/>
    </row>
    <row r="156" spans="1:54" x14ac:dyDescent="0.25">
      <c r="A156">
        <v>154</v>
      </c>
      <c r="B156" s="1">
        <f>ROUND((A156+Forudsætninger!$C$60)/30.4,1)</f>
        <v>6.3</v>
      </c>
      <c r="C156" s="1">
        <f>VLOOKUP((A156+Forudsætninger!$C$60),'Model tilvækst, slagteform, fe'!A:B,2,FALSE)</f>
        <v>280.89699300001649</v>
      </c>
      <c r="D156" s="3">
        <f t="shared" si="63"/>
        <v>1606.0544542405069</v>
      </c>
      <c r="E156" s="1">
        <f>(1+Forudsætninger!$C$78)*C156</f>
        <v>261.23420349001532</v>
      </c>
      <c r="F156" s="2">
        <f t="shared" si="64"/>
        <v>2.2691474385399482</v>
      </c>
      <c r="G156" s="1">
        <f t="shared" si="54"/>
        <v>263.50335092855528</v>
      </c>
      <c r="H156" s="3">
        <f t="shared" si="55"/>
        <v>1447.7433723225204</v>
      </c>
      <c r="I156" s="3">
        <f t="shared" si="56"/>
        <v>1263.0087722633459</v>
      </c>
      <c r="J156" s="1">
        <f>VLOOKUP((A156+Forudsætninger!$C$60),'Model tilvækst, slagteform, fe'!G:K,2,FALSE)*(1+Forudsætninger!$C$79)</f>
        <v>49.360148905720933</v>
      </c>
      <c r="K156" s="17">
        <f t="shared" si="52"/>
        <v>130.06564638989929</v>
      </c>
      <c r="L156" s="17">
        <f t="shared" si="65"/>
        <v>766.41825300299615</v>
      </c>
      <c r="M156" s="3">
        <f>((K156-(('Model tilvækst, slagteform, fe'!$H$9/100)*'Model tilvækst, slagteform, fe'!$B$9))*1000/(A156+Forudsætninger!$C$60))</f>
        <v>567.97275834969116</v>
      </c>
      <c r="N156" s="17">
        <f t="shared" si="66"/>
        <v>691.94357478421716</v>
      </c>
      <c r="O156" s="19">
        <f>IF( A156&lt;Forudsætninger!$C$14,(G156/100)*Forudsætninger!$C$13,(Forudsætninger!$C$15/1000)*Forudsætninger!$C$13)</f>
        <v>1.7127717810356093</v>
      </c>
      <c r="P156" s="17" cm="1">
        <f t="array" ref="P156">INDEX('Model tilvækst, slagteform, fe'!$N$9:$N$375,MATCH(MIN(ABS('Model tilvækst, slagteform, fe'!$M$9:$M$375-'Vækstfunktion, hol'!G156)),ABS('Model tilvækst, slagteform, fe'!$M$9:$M$375-'Vækstfunktion, hol'!G156),0))*(1+Forudsætninger!$C$80)</f>
        <v>6.8197686499448702</v>
      </c>
      <c r="Q156" s="17">
        <f t="shared" si="67"/>
        <v>8.8982335992436354</v>
      </c>
      <c r="R156" s="17">
        <f t="shared" si="68"/>
        <v>7.0645463699616311</v>
      </c>
      <c r="S156" s="17">
        <f t="shared" si="57"/>
        <v>3.5574892230950867</v>
      </c>
      <c r="T156" s="19">
        <f>(P156)*IF(N156&lt;Forudsætninger!$B$228,IF(N156&lt;Forudsætninger!$B$227,Forudsætninger!$B$225,Forudsætninger!$C$9),Forudsætninger!$C$11)+O156</f>
        <v>17.671030421906604</v>
      </c>
      <c r="U156" s="2">
        <f>Forudsætninger!$C$68+((K156-(Forudsætninger!$C$84)))*0.01</f>
        <v>2.997709322887633</v>
      </c>
      <c r="V156" s="2">
        <f>U156+Forudsætninger!$C$69</f>
        <v>1.997709322887633</v>
      </c>
      <c r="W156">
        <f t="shared" si="58"/>
        <v>1</v>
      </c>
      <c r="X156">
        <f>IF(A156+Forudsætninger!$C$60&gt;248,IF(A156+Forudsætninger!$C$60&lt;365,IF(K156&gt;180,IF(K156&lt;260,1,0),0),0),0)</f>
        <v>0</v>
      </c>
      <c r="Y156" s="22">
        <f>IF(X156=0,0,IF('Vækstfunktion, hol'!A156&lt;Forudsætninger!$C$66,Forudsætninger!$C$67+(('Vækstfunktion, hol'!A156-Forudsætninger!$C$66)/7)*Forudsætninger!$C$64,Forudsætninger!$C$67))</f>
        <v>0</v>
      </c>
      <c r="Z156" s="19">
        <f t="shared" si="69"/>
        <v>2297.6480951396893</v>
      </c>
      <c r="AA156" s="19">
        <f>Forudsætninger!$C$62+Forudsætninger!$C$16</f>
        <v>1350</v>
      </c>
      <c r="AB156" s="19">
        <f>IF(K156&gt;Forudsætninger!$C$26,IF(K156&gt;Forudsætninger!$C$27,IF(K156&gt;Forudsætninger!$C$28,Forudsætninger!$E$28,Forudsætninger!$E$27+Forudsætninger!$F$28*(K156-Forudsætninger!$C$27)),Forudsætninger!$E$26+Forudsætninger!$F$27*(K156-Forudsætninger!$C$26)),Forudsætninger!$E$26)+IF(K156&gt;Forudsætninger!$C$28,Forudsætninger!$G$28,IF(K156&gt;Forudsætninger!$C$27,Forudsætninger!$G$27+Forudsætninger!$H$28*(K156-Forudsætninger!$C$27),IF(K156&gt;Forudsætninger!$C$26,Forudsætninger!$G$26+Forudsætninger!$H$27*(K156-Forudsætninger!$C$26),Forudsætninger!$G$26)))*(U156-Forudsætninger!$H$26)</f>
        <v>33.598281992165724</v>
      </c>
      <c r="AC156" s="19">
        <f>IF(K156&gt;Forudsætninger!$C$31,IF(K156&gt;Forudsætninger!$C$32,IF(K156&gt;Forudsætninger!$C$33,Forudsætninger!$E$33,Forudsætninger!$E$32+Forudsætninger!$F$33*(K156-Forudsætninger!$C$32)),Forudsætninger!$E$31+Forudsætninger!$F$32*(K156-Forudsætninger!$C$31)),Forudsætninger!$E$31)+IF(K156&gt;Forudsætninger!$C$33,Forudsætninger!$G$33,IF(K156&gt;Forudsætninger!$C$32,Forudsætninger!$G$32+Forudsætninger!$H$33*(K156-Forudsætninger!$C$32),IF(K156&gt;Forudsætninger!$C$31,Forudsætninger!$G$31+Forudsætninger!$H$32*(K156-Forudsætninger!$C$31),Forudsætninger!$G$31)))*(V156-Forudsætninger!$H$31)</f>
        <v>26.997022119753922</v>
      </c>
      <c r="AD156" s="19">
        <f t="shared" si="59"/>
        <v>3511.3851326082026</v>
      </c>
      <c r="AE156" s="19">
        <f t="shared" si="60"/>
        <v>26.997022119753922</v>
      </c>
      <c r="AF156">
        <f>IF(G156&lt;=Forudsætninger!$C$97,Forudsætninger!$C$98,(IF(G156&lt;=Forudsætninger!$D$97,Forudsætninger!$D$98,IF(G156&lt;=Forudsætninger!$E$97,Forudsætninger!$E$98,IF(G156&lt;=Forudsætninger!$F$97,Forudsætninger!$F$98,IF(G156&lt;=Forudsætninger!$G$97,Forudsætninger!$G$98,IF(G156&lt;=Forudsætninger!$H$97,Forudsætninger!$H$98,IF(G156&lt;=Forudsætninger!$I$97,Forudsætninger!$I$98,Forudsætninger!$I$98))))))))</f>
        <v>3.2</v>
      </c>
      <c r="AG156" s="1">
        <f t="shared" si="70"/>
        <v>3.2</v>
      </c>
      <c r="AH156" s="1">
        <f t="shared" si="74"/>
        <v>382.79999999999905</v>
      </c>
      <c r="AI156" s="1">
        <f t="shared" si="61"/>
        <v>2.4857142857142795</v>
      </c>
      <c r="AJ156" s="20">
        <f>+(W156*Forudsætninger!$C$12)</f>
        <v>900</v>
      </c>
      <c r="AK156" s="20">
        <f>Forudsætninger!$C$17</f>
        <v>250</v>
      </c>
      <c r="AL156" s="20">
        <f>IF(A156&lt;92,Forudsætninger!$C$20,Forudsætninger!$C$21)</f>
        <v>1.0566762728146013</v>
      </c>
      <c r="AM156" s="20">
        <f t="shared" si="71"/>
        <v>431.23362886673908</v>
      </c>
      <c r="AN156" s="20">
        <f>IFERROR(AD156+AJ156-AA156-Z156-AK156-AM156-Forudsætninger!$C$75,-99999999)</f>
        <v>-99.890783947620747</v>
      </c>
      <c r="AO156" s="19">
        <f>IFERROR(AN156/(A156+Forudsætninger!$C$74),-99999999)</f>
        <v>-0.64864145420532948</v>
      </c>
      <c r="AP156" s="19">
        <f>IFERROR(((365/(A156+Forudsætninger!$C$74))*AN156)/(AI156+Forudsætninger!$C$73),-9999999)</f>
        <v>-91.209626609500333</v>
      </c>
      <c r="AQ156" s="18">
        <f t="shared" si="62"/>
        <v>154</v>
      </c>
      <c r="AR156" s="18">
        <f t="shared" si="72"/>
        <v>4328.8817240064282</v>
      </c>
      <c r="AS156" s="52">
        <f t="shared" si="53"/>
        <v>6.3</v>
      </c>
      <c r="AT156" s="50">
        <f t="shared" si="75"/>
        <v>903.25156858564628</v>
      </c>
      <c r="AU156" s="50">
        <f t="shared" si="76"/>
        <v>5.9078445100643897</v>
      </c>
      <c r="AV156" s="2">
        <f t="shared" si="77"/>
        <v>832.40099487384691</v>
      </c>
      <c r="AW156" s="61">
        <f t="shared" si="73"/>
        <v>2.1515769150592097</v>
      </c>
      <c r="BA156" s="16"/>
      <c r="BB156" s="2"/>
    </row>
    <row r="157" spans="1:54" x14ac:dyDescent="0.25">
      <c r="A157">
        <v>155</v>
      </c>
      <c r="B157" s="1">
        <f>ROUND((A157+Forudsætninger!$C$60)/30.4,1)</f>
        <v>6.4</v>
      </c>
      <c r="C157" s="1">
        <f>VLOOKUP((A157+Forudsætninger!$C$60),'Model tilvækst, slagteform, fe'!A:B,2,FALSE)</f>
        <v>282.50172960702463</v>
      </c>
      <c r="D157" s="3">
        <f t="shared" si="63"/>
        <v>1604.7366070081353</v>
      </c>
      <c r="E157" s="1">
        <f>(1+Forudsætninger!$C$78)*C157</f>
        <v>262.72660853453289</v>
      </c>
      <c r="F157" s="2">
        <f t="shared" si="64"/>
        <v>2.2232978211968586</v>
      </c>
      <c r="G157" s="1">
        <f t="shared" si="54"/>
        <v>264.94990635572975</v>
      </c>
      <c r="H157" s="3">
        <f t="shared" si="55"/>
        <v>1446.5554271744736</v>
      </c>
      <c r="I157" s="3">
        <f t="shared" si="56"/>
        <v>1264.1929442305145</v>
      </c>
      <c r="J157" s="1">
        <f>VLOOKUP((A157+Forudsætninger!$C$60),'Model tilvækst, slagteform, fe'!G:K,2,FALSE)*(1+Forudsætninger!$C$79)</f>
        <v>49.379936656679583</v>
      </c>
      <c r="K157" s="17">
        <f t="shared" si="52"/>
        <v>130.83209593039123</v>
      </c>
      <c r="L157" s="17">
        <f t="shared" si="65"/>
        <v>766.4495404919478</v>
      </c>
      <c r="M157" s="3">
        <f>((K157-(('Model tilvækst, slagteform, fe'!$H$9/100)*'Model tilvækst, slagteform, fe'!$B$9))*1000/(A157+Forudsætninger!$C$60))</f>
        <v>568.99583454630067</v>
      </c>
      <c r="N157" s="17">
        <f t="shared" si="66"/>
        <v>698.77315936514162</v>
      </c>
      <c r="O157" s="19">
        <f>IF( A157&lt;Forudsætninger!$C$14,(G157/100)*Forudsætninger!$C$13,(Forudsætninger!$C$15/1000)*Forudsætninger!$C$13)</f>
        <v>1.7221743913122436</v>
      </c>
      <c r="P157" s="17" cm="1">
        <f t="array" ref="P157">INDEX('Model tilvækst, slagteform, fe'!$N$9:$N$375,MATCH(MIN(ABS('Model tilvækst, slagteform, fe'!$M$9:$M$375-'Vækstfunktion, hol'!G157)),ABS('Model tilvækst, slagteform, fe'!$M$9:$M$375-'Vækstfunktion, hol'!G157),0))*(1+Forudsætninger!$C$80)</f>
        <v>6.8295845809244593</v>
      </c>
      <c r="Q157" s="17">
        <f t="shared" si="67"/>
        <v>8.9106773768053547</v>
      </c>
      <c r="R157" s="17">
        <f t="shared" si="68"/>
        <v>7.0788806028821956</v>
      </c>
      <c r="S157" s="17">
        <f t="shared" si="57"/>
        <v>3.5660805986637252</v>
      </c>
      <c r="T157" s="19">
        <f>(P157)*IF(N157&lt;Forudsætninger!$B$228,IF(N157&lt;Forudsætninger!$B$227,Forudsætninger!$B$225,Forudsætninger!$C$9),Forudsætninger!$C$11)+O157</f>
        <v>17.703402310675475</v>
      </c>
      <c r="U157" s="2">
        <f>Forudsætninger!$C$68+((K157-(Forudsætninger!$C$84)))*0.01</f>
        <v>3.0053738182925525</v>
      </c>
      <c r="V157" s="2">
        <f>U157+Forudsætninger!$C$69</f>
        <v>2.0053738182925525</v>
      </c>
      <c r="W157">
        <f t="shared" si="58"/>
        <v>1</v>
      </c>
      <c r="X157">
        <f>IF(A157+Forudsætninger!$C$60&gt;248,IF(A157+Forudsætninger!$C$60&lt;365,IF(K157&gt;180,IF(K157&lt;260,1,0),0),0),0)</f>
        <v>0</v>
      </c>
      <c r="Y157" s="22">
        <f>IF(X157=0,0,IF('Vækstfunktion, hol'!A157&lt;Forudsætninger!$C$66,Forudsætninger!$C$67+(('Vækstfunktion, hol'!A157-Forudsætninger!$C$66)/7)*Forudsætninger!$C$64,Forudsætninger!$C$67))</f>
        <v>0</v>
      </c>
      <c r="Z157" s="19">
        <f t="shared" si="69"/>
        <v>2315.3514974503646</v>
      </c>
      <c r="AA157" s="19">
        <f>Forudsætninger!$C$62+Forudsætninger!$C$16</f>
        <v>1350</v>
      </c>
      <c r="AB157" s="19">
        <f>IF(K157&gt;Forudsætninger!$C$26,IF(K157&gt;Forudsætninger!$C$27,IF(K157&gt;Forudsætninger!$C$28,Forudsætninger!$E$28,Forudsætninger!$E$27+Forudsætninger!$F$28*(K157-Forudsætninger!$C$27)),Forudsætninger!$E$26+Forudsætninger!$F$27*(K157-Forudsætninger!$C$26)),Forudsætninger!$E$26)+IF(K157&gt;Forudsætninger!$C$28,Forudsætninger!$G$28,IF(K157&gt;Forudsætninger!$C$27,Forudsætninger!$G$27+Forudsætninger!$H$28*(K157-Forudsætninger!$C$27),IF(K157&gt;Forudsætninger!$C$26,Forudsætninger!$G$26+Forudsætninger!$H$27*(K157-Forudsætninger!$C$26),Forudsætninger!$G$26)))*(U157-Forudsætninger!$H$26)</f>
        <v>33.604030363719417</v>
      </c>
      <c r="AC157" s="19">
        <f>IF(K157&gt;Forudsætninger!$C$31,IF(K157&gt;Forudsætninger!$C$32,IF(K157&gt;Forudsætninger!$C$33,Forudsætninger!$E$33,Forudsætninger!$E$32+Forudsætninger!$F$33*(K157-Forudsætninger!$C$32)),Forudsætninger!$E$31+Forudsætninger!$F$32*(K157-Forudsætninger!$C$31)),Forudsætninger!$E$31)+IF(K157&gt;Forudsætninger!$C$33,Forudsætninger!$G$33,IF(K157&gt;Forudsætninger!$C$32,Forudsætninger!$G$32+Forudsætninger!$H$33*(K157-Forudsætninger!$C$32),IF(K157&gt;Forudsætninger!$C$31,Forudsætninger!$G$31+Forudsætninger!$H$32*(K157-Forudsætninger!$C$31),Forudsætninger!$G$31)))*(V157-Forudsætninger!$H$31)</f>
        <v>27.00698596378032</v>
      </c>
      <c r="AD157" s="19">
        <f t="shared" si="59"/>
        <v>3533.3805784040364</v>
      </c>
      <c r="AE157" s="19">
        <f t="shared" si="60"/>
        <v>27.00698596378032</v>
      </c>
      <c r="AF157">
        <f>IF(G157&lt;=Forudsætninger!$C$97,Forudsætninger!$C$98,(IF(G157&lt;=Forudsætninger!$D$97,Forudsætninger!$D$98,IF(G157&lt;=Forudsætninger!$E$97,Forudsætninger!$E$98,IF(G157&lt;=Forudsætninger!$F$97,Forudsætninger!$F$98,IF(G157&lt;=Forudsætninger!$G$97,Forudsætninger!$G$98,IF(G157&lt;=Forudsætninger!$H$97,Forudsætninger!$H$98,IF(G157&lt;=Forudsætninger!$I$97,Forudsætninger!$I$98,Forudsætninger!$I$98))))))))</f>
        <v>3.2</v>
      </c>
      <c r="AG157" s="1">
        <f t="shared" si="70"/>
        <v>3.2</v>
      </c>
      <c r="AH157" s="1">
        <f t="shared" si="74"/>
        <v>385.99999999999903</v>
      </c>
      <c r="AI157" s="1">
        <f t="shared" si="61"/>
        <v>2.490322580645155</v>
      </c>
      <c r="AJ157" s="20">
        <f>+(W157*Forudsætninger!$C$12)</f>
        <v>900</v>
      </c>
      <c r="AK157" s="20">
        <f>Forudsætninger!$C$17</f>
        <v>250</v>
      </c>
      <c r="AL157" s="20">
        <f>IF(A157&lt;92,Forudsætninger!$C$20,Forudsætninger!$C$21)</f>
        <v>1.0566762728146013</v>
      </c>
      <c r="AM157" s="20">
        <f t="shared" si="71"/>
        <v>432.29030513955371</v>
      </c>
      <c r="AN157" s="20">
        <f>IFERROR(AD157+AJ157-AA157-Z157-AK157-AM157-Forudsætninger!$C$75,-99999999)</f>
        <v>-96.655416735276873</v>
      </c>
      <c r="AO157" s="19">
        <f>IFERROR(AN157/(A157+Forudsætninger!$C$74),-99999999)</f>
        <v>-0.62358333377597985</v>
      </c>
      <c r="AP157" s="19">
        <f>IFERROR(((365/(A157+Forudsætninger!$C$74))*AN157)/(AI157+Forudsætninger!$C$73),-9999999)</f>
        <v>-87.530646590686388</v>
      </c>
      <c r="AQ157" s="18">
        <f t="shared" si="62"/>
        <v>155</v>
      </c>
      <c r="AR157" s="18">
        <f t="shared" si="72"/>
        <v>4347.6418025899184</v>
      </c>
      <c r="AS157" s="52">
        <f t="shared" si="53"/>
        <v>6.4</v>
      </c>
      <c r="AT157" s="50">
        <f t="shared" si="75"/>
        <v>3.2353672123438741</v>
      </c>
      <c r="AU157" s="50">
        <f t="shared" si="76"/>
        <v>2.5058120429349628E-2</v>
      </c>
      <c r="AV157" s="2">
        <f t="shared" si="77"/>
        <v>3.6789800188139452</v>
      </c>
      <c r="AW157" s="61">
        <f t="shared" si="73"/>
        <v>2.165386376801786</v>
      </c>
      <c r="BA157" s="16"/>
      <c r="BB157" s="2"/>
    </row>
    <row r="158" spans="1:54" x14ac:dyDescent="0.25">
      <c r="A158">
        <v>156</v>
      </c>
      <c r="B158" s="1">
        <f>ROUND((A158+Forudsætninger!$C$60)/30.4,1)</f>
        <v>6.4</v>
      </c>
      <c r="C158" s="1">
        <f>VLOOKUP((A158+Forudsætninger!$C$60),'Model tilvækst, slagteform, fe'!A:B,2,FALSE)</f>
        <v>284.1050918500726</v>
      </c>
      <c r="D158" s="3">
        <f t="shared" si="63"/>
        <v>1603.3622430479681</v>
      </c>
      <c r="E158" s="1">
        <f>(1+Forudsætninger!$C$78)*C158</f>
        <v>264.21773542056752</v>
      </c>
      <c r="F158" s="2">
        <f t="shared" si="64"/>
        <v>2.1774874713954881</v>
      </c>
      <c r="G158" s="1">
        <f t="shared" si="54"/>
        <v>266.39522289196299</v>
      </c>
      <c r="H158" s="3">
        <f t="shared" si="55"/>
        <v>1445.3165362332356</v>
      </c>
      <c r="I158" s="3">
        <f t="shared" si="56"/>
        <v>1265.3539928971986</v>
      </c>
      <c r="J158" s="1">
        <f>VLOOKUP((A158+Forudsætninger!$C$60),'Model tilvækst, slagteform, fe'!G:K,2,FALSE)*(1+Forudsætninger!$C$79)</f>
        <v>49.399736797820033</v>
      </c>
      <c r="K158" s="17">
        <f t="shared" si="52"/>
        <v>131.59853895059572</v>
      </c>
      <c r="L158" s="17">
        <f t="shared" si="65"/>
        <v>766.44302020449118</v>
      </c>
      <c r="M158" s="3">
        <f>((K158-(('Model tilvækst, slagteform, fe'!$H$9/100)*'Model tilvækst, slagteform, fe'!$B$9))*1000/(A158+Forudsætninger!$C$60))</f>
        <v>570.00838421634273</v>
      </c>
      <c r="N158" s="17">
        <f t="shared" si="66"/>
        <v>705.61238336005374</v>
      </c>
      <c r="O158" s="19">
        <f>IF( A158&lt;Forudsætninger!$C$14,(G158/100)*Forudsætninger!$C$13,(Forudsætninger!$C$15/1000)*Forudsætninger!$C$13)</f>
        <v>1.7315689487977595</v>
      </c>
      <c r="P158" s="17" cm="1">
        <f t="array" ref="P158">INDEX('Model tilvækst, slagteform, fe'!$N$9:$N$375,MATCH(MIN(ABS('Model tilvækst, slagteform, fe'!$M$9:$M$375-'Vækstfunktion, hol'!G158)),ABS('Model tilvækst, slagteform, fe'!$M$9:$M$375-'Vækstfunktion, hol'!G158),0))*(1+Forudsætninger!$C$80)</f>
        <v>6.8392239949121292</v>
      </c>
      <c r="Q158" s="17">
        <f t="shared" si="67"/>
        <v>8.9233299992573318</v>
      </c>
      <c r="R158" s="17">
        <f t="shared" si="68"/>
        <v>7.0930913193780327</v>
      </c>
      <c r="S158" s="17">
        <f t="shared" si="57"/>
        <v>3.5746173236737584</v>
      </c>
      <c r="T158" s="19">
        <f>(P158)*IF(N158&lt;Forudsætninger!$B$228,IF(N158&lt;Forudsætninger!$B$227,Forudsætninger!$B$225,Forudsætninger!$C$9),Forudsætninger!$C$11)+O158</f>
        <v>17.73535309689214</v>
      </c>
      <c r="U158" s="2">
        <f>Forudsætninger!$C$68+((K158-(Forudsætninger!$C$84)))*0.01</f>
        <v>3.0130382484945977</v>
      </c>
      <c r="V158" s="2">
        <f>U158+Forudsætninger!$C$69</f>
        <v>2.0130382484945977</v>
      </c>
      <c r="W158">
        <f t="shared" si="58"/>
        <v>1</v>
      </c>
      <c r="X158">
        <f>IF(A158+Forudsætninger!$C$60&gt;248,IF(A158+Forudsætninger!$C$60&lt;365,IF(K158&gt;180,IF(K158&lt;260,1,0),0),0),0)</f>
        <v>0</v>
      </c>
      <c r="Y158" s="22">
        <f>IF(X158=0,0,IF('Vækstfunktion, hol'!A158&lt;Forudsætninger!$C$66,Forudsætninger!$C$67+(('Vækstfunktion, hol'!A158-Forudsætninger!$C$66)/7)*Forudsætninger!$C$64,Forudsætninger!$C$67))</f>
        <v>0</v>
      </c>
      <c r="Z158" s="19">
        <f t="shared" si="69"/>
        <v>2333.0868505472567</v>
      </c>
      <c r="AA158" s="19">
        <f>Forudsætninger!$C$62+Forudsætninger!$C$16</f>
        <v>1350</v>
      </c>
      <c r="AB158" s="19">
        <f>IF(K158&gt;Forudsætninger!$C$26,IF(K158&gt;Forudsætninger!$C$27,IF(K158&gt;Forudsætninger!$C$28,Forudsætninger!$E$28,Forudsætninger!$E$27+Forudsætninger!$F$28*(K158-Forudsætninger!$C$27)),Forudsætninger!$E$26+Forudsætninger!$F$27*(K158-Forudsætninger!$C$26)),Forudsætninger!$E$26)+IF(K158&gt;Forudsætninger!$C$28,Forudsætninger!$G$28,IF(K158&gt;Forudsætninger!$C$27,Forudsætninger!$G$27+Forudsætninger!$H$28*(K158-Forudsætninger!$C$27),IF(K158&gt;Forudsætninger!$C$26,Forudsætninger!$G$26+Forudsætninger!$H$27*(K158-Forudsætninger!$C$26),Forudsætninger!$G$26)))*(U158-Forudsætninger!$H$26)</f>
        <v>33.609778686370952</v>
      </c>
      <c r="AC158" s="19">
        <f>IF(K158&gt;Forudsætninger!$C$31,IF(K158&gt;Forudsætninger!$C$32,IF(K158&gt;Forudsætninger!$C$33,Forudsætninger!$E$33,Forudsætninger!$E$32+Forudsætninger!$F$33*(K158-Forudsætninger!$C$32)),Forudsætninger!$E$31+Forudsætninger!$F$32*(K158-Forudsætninger!$C$31)),Forudsætninger!$E$31)+IF(K158&gt;Forudsætninger!$C$33,Forudsætninger!$G$33,IF(K158&gt;Forudsætninger!$C$32,Forudsætninger!$G$32+Forudsætninger!$H$33*(K158-Forudsætninger!$C$32),IF(K158&gt;Forudsætninger!$C$31,Forudsætninger!$G$31+Forudsætninger!$H$32*(K158-Forudsætninger!$C$31),Forudsætninger!$G$31)))*(V158-Forudsætninger!$H$31)</f>
        <v>27.016949723042977</v>
      </c>
      <c r="AD158" s="19">
        <f t="shared" si="59"/>
        <v>3555.3911104541576</v>
      </c>
      <c r="AE158" s="19">
        <f t="shared" si="60"/>
        <v>27.016949723042977</v>
      </c>
      <c r="AF158">
        <f>IF(G158&lt;=Forudsætninger!$C$97,Forudsætninger!$C$98,(IF(G158&lt;=Forudsætninger!$D$97,Forudsætninger!$D$98,IF(G158&lt;=Forudsætninger!$E$97,Forudsætninger!$E$98,IF(G158&lt;=Forudsætninger!$F$97,Forudsætninger!$F$98,IF(G158&lt;=Forudsætninger!$G$97,Forudsætninger!$G$98,IF(G158&lt;=Forudsætninger!$H$97,Forudsætninger!$H$98,IF(G158&lt;=Forudsætninger!$I$97,Forudsætninger!$I$98,Forudsætninger!$I$98))))))))</f>
        <v>3.2</v>
      </c>
      <c r="AG158" s="1">
        <f t="shared" si="70"/>
        <v>3.2</v>
      </c>
      <c r="AH158" s="1">
        <f t="shared" si="74"/>
        <v>389.19999999999902</v>
      </c>
      <c r="AI158" s="1">
        <f t="shared" si="61"/>
        <v>2.4948717948717887</v>
      </c>
      <c r="AJ158" s="20">
        <f>+(W158*Forudsætninger!$C$12)</f>
        <v>900</v>
      </c>
      <c r="AK158" s="20">
        <f>Forudsætninger!$C$17</f>
        <v>250</v>
      </c>
      <c r="AL158" s="20">
        <f>IF(A158&lt;92,Forudsætninger!$C$20,Forudsætninger!$C$21)</f>
        <v>1.0566762728146013</v>
      </c>
      <c r="AM158" s="20">
        <f t="shared" si="71"/>
        <v>433.34698141236834</v>
      </c>
      <c r="AN158" s="20">
        <f>IFERROR(AD158+AJ158-AA158-Z158-AK158-AM158-Forudsætninger!$C$75,-99999999)</f>
        <v>-93.436914054862058</v>
      </c>
      <c r="AO158" s="19">
        <f>IFERROR(AN158/(A158+Forudsætninger!$C$74),-99999999)</f>
        <v>-0.59895457727475676</v>
      </c>
      <c r="AP158" s="19">
        <f>IFERROR(((365/(A158+Forudsætninger!$C$74))*AN158)/(AI158+Forudsætninger!$C$73),-9999999)</f>
        <v>-83.926748769624808</v>
      </c>
      <c r="AQ158" s="18">
        <f t="shared" si="62"/>
        <v>156</v>
      </c>
      <c r="AR158" s="18">
        <f t="shared" si="72"/>
        <v>4366.4338319596254</v>
      </c>
      <c r="AS158" s="52">
        <f t="shared" si="53"/>
        <v>6.4</v>
      </c>
      <c r="AT158" s="50">
        <f t="shared" si="75"/>
        <v>3.2185026804148151</v>
      </c>
      <c r="AU158" s="50">
        <f t="shared" si="76"/>
        <v>2.4628756501223092E-2</v>
      </c>
      <c r="AV158" s="2">
        <f t="shared" si="77"/>
        <v>3.6038978210615795</v>
      </c>
      <c r="AW158" s="61">
        <f t="shared" si="73"/>
        <v>2.1789106881891427</v>
      </c>
      <c r="BA158" s="16"/>
      <c r="BB158" s="2"/>
    </row>
    <row r="159" spans="1:54" x14ac:dyDescent="0.25">
      <c r="A159">
        <v>157</v>
      </c>
      <c r="B159" s="1">
        <f>ROUND((A159+Forudsætninger!$C$60)/30.4,1)</f>
        <v>6.4</v>
      </c>
      <c r="C159" s="1">
        <f>VLOOKUP((A159+Forudsætninger!$C$60),'Model tilvækst, slagteform, fe'!A:B,2,FALSE)</f>
        <v>285.7070237467799</v>
      </c>
      <c r="D159" s="3">
        <f t="shared" si="63"/>
        <v>1601.9318967072991</v>
      </c>
      <c r="E159" s="1">
        <f>(1+Forudsætninger!$C$78)*C159</f>
        <v>265.70753208450526</v>
      </c>
      <c r="F159" s="2">
        <f t="shared" si="64"/>
        <v>2.1317179886324227</v>
      </c>
      <c r="G159" s="1">
        <f t="shared" si="54"/>
        <v>267.83925007313769</v>
      </c>
      <c r="H159" s="3">
        <f t="shared" si="55"/>
        <v>1444.0271811747039</v>
      </c>
      <c r="I159" s="3">
        <f t="shared" si="56"/>
        <v>1266.4920386824058</v>
      </c>
      <c r="J159" s="1">
        <f>VLOOKUP((A159+Forudsætninger!$C$60),'Model tilvækst, slagteform, fe'!G:K,2,FALSE)*(1+Forudsætninger!$C$79)</f>
        <v>49.419544569397438</v>
      </c>
      <c r="K159" s="17">
        <f t="shared" si="52"/>
        <v>132.36493756423414</v>
      </c>
      <c r="L159" s="17">
        <f t="shared" si="65"/>
        <v>766.39861363841533</v>
      </c>
      <c r="M159" s="3">
        <f>((K159-(('Model tilvækst, slagteform, fe'!$H$9/100)*'Model tilvækst, slagteform, fe'!$B$9))*1000/(A159+Forudsætninger!$C$60))</f>
        <v>571.0103751827819</v>
      </c>
      <c r="N159" s="17">
        <f t="shared" si="66"/>
        <v>712.4703751892514</v>
      </c>
      <c r="O159" s="19">
        <f>IF( A159&lt;Forudsætninger!$C$14,(G159/100)*Forudsætninger!$C$13,(Forudsætninger!$C$15/1000)*Forudsætninger!$C$13)</f>
        <v>1.740955125475395</v>
      </c>
      <c r="P159" s="17" cm="1">
        <f t="array" ref="P159">INDEX('Model tilvækst, slagteform, fe'!$N$9:$N$375,MATCH(MIN(ABS('Model tilvækst, slagteform, fe'!$M$9:$M$375-'Vækstfunktion, hol'!G159)),ABS('Model tilvækst, slagteform, fe'!$M$9:$M$375-'Vækstfunktion, hol'!G159),0))*(1+Forudsætninger!$C$80)</f>
        <v>6.8579918291976707</v>
      </c>
      <c r="Q159" s="17">
        <f t="shared" si="67"/>
        <v>8.9483353794703646</v>
      </c>
      <c r="R159" s="17">
        <f t="shared" si="68"/>
        <v>7.1072751022833636</v>
      </c>
      <c r="S159" s="17">
        <f t="shared" si="57"/>
        <v>3.5831475673298319</v>
      </c>
      <c r="T159" s="19">
        <f>(P159)*IF(N159&lt;Forudsætninger!$B$228,IF(N159&lt;Forudsætninger!$B$227,Forudsætninger!$B$225,Forudsætninger!$C$9),Forudsætninger!$C$11)+O159</f>
        <v>17.788656005797943</v>
      </c>
      <c r="U159" s="2">
        <f>Forudsætninger!$C$68+((K159-(Forudsætninger!$C$84)))*0.01</f>
        <v>3.0207022346309818</v>
      </c>
      <c r="V159" s="2">
        <f>U159+Forudsætninger!$C$69</f>
        <v>2.0207022346309818</v>
      </c>
      <c r="W159">
        <f t="shared" si="58"/>
        <v>1</v>
      </c>
      <c r="X159">
        <f>IF(A159+Forudsætninger!$C$60&gt;248,IF(A159+Forudsætninger!$C$60&lt;365,IF(K159&gt;180,IF(K159&lt;260,1,0),0),0),0)</f>
        <v>0</v>
      </c>
      <c r="Y159" s="22">
        <f>IF(X159=0,0,IF('Vækstfunktion, hol'!A159&lt;Forudsætninger!$C$66,Forudsætninger!$C$67+(('Vækstfunktion, hol'!A159-Forudsætninger!$C$66)/7)*Forudsætninger!$C$64,Forudsætninger!$C$67))</f>
        <v>0</v>
      </c>
      <c r="Z159" s="19">
        <f t="shared" si="69"/>
        <v>2350.8755065530545</v>
      </c>
      <c r="AA159" s="19">
        <f>Forudsætninger!$C$62+Forudsætninger!$C$16</f>
        <v>1350</v>
      </c>
      <c r="AB159" s="19">
        <f>IF(K159&gt;Forudsætninger!$C$26,IF(K159&gt;Forudsætninger!$C$27,IF(K159&gt;Forudsætninger!$C$28,Forudsætninger!$E$28,Forudsætninger!$E$27+Forudsætninger!$F$28*(K159-Forudsætninger!$C$27)),Forudsætninger!$E$26+Forudsætninger!$F$27*(K159-Forudsætninger!$C$26)),Forudsætninger!$E$26)+IF(K159&gt;Forudsætninger!$C$28,Forudsætninger!$G$28,IF(K159&gt;Forudsætninger!$C$27,Forudsætninger!$G$27+Forudsætninger!$H$28*(K159-Forudsætninger!$C$27),IF(K159&gt;Forudsætninger!$C$26,Forudsætninger!$G$26+Forudsætninger!$H$27*(K159-Forudsætninger!$C$26),Forudsætninger!$G$26)))*(U159-Forudsætninger!$H$26)</f>
        <v>33.615526675973236</v>
      </c>
      <c r="AC159" s="19">
        <f>IF(K159&gt;Forudsætninger!$C$31,IF(K159&gt;Forudsætninger!$C$32,IF(K159&gt;Forudsætninger!$C$33,Forudsætninger!$E$33,Forudsætninger!$E$32+Forudsætninger!$F$33*(K159-Forudsætninger!$C$32)),Forudsætninger!$E$31+Forudsætninger!$F$32*(K159-Forudsætninger!$C$31)),Forudsætninger!$E$31)+IF(K159&gt;Forudsætninger!$C$33,Forudsætninger!$G$33,IF(K159&gt;Forudsætninger!$C$32,Forudsætninger!$G$32+Forudsætninger!$H$33*(K159-Forudsætninger!$C$32),IF(K159&gt;Forudsætninger!$C$31,Forudsætninger!$G$31+Forudsætninger!$H$32*(K159-Forudsætninger!$C$31),Forudsætninger!$G$31)))*(V159-Forudsætninger!$H$31)</f>
        <v>27.026912905020275</v>
      </c>
      <c r="AD159" s="19">
        <f t="shared" si="59"/>
        <v>3577.4156392270024</v>
      </c>
      <c r="AE159" s="19">
        <f t="shared" si="60"/>
        <v>27.026912905020275</v>
      </c>
      <c r="AF159">
        <f>IF(G159&lt;=Forudsætninger!$C$97,Forudsætninger!$C$98,(IF(G159&lt;=Forudsætninger!$D$97,Forudsætninger!$D$98,IF(G159&lt;=Forudsætninger!$E$97,Forudsætninger!$E$98,IF(G159&lt;=Forudsætninger!$F$97,Forudsætninger!$F$98,IF(G159&lt;=Forudsætninger!$G$97,Forudsætninger!$G$98,IF(G159&lt;=Forudsætninger!$H$97,Forudsætninger!$H$98,IF(G159&lt;=Forudsætninger!$I$97,Forudsætninger!$I$98,Forudsætninger!$I$98))))))))</f>
        <v>3.2</v>
      </c>
      <c r="AG159" s="1">
        <f t="shared" si="70"/>
        <v>3.2</v>
      </c>
      <c r="AH159" s="1">
        <f t="shared" si="74"/>
        <v>392.39999999999901</v>
      </c>
      <c r="AI159" s="1">
        <f t="shared" si="61"/>
        <v>2.4993630573248344</v>
      </c>
      <c r="AJ159" s="20">
        <f>+(W159*Forudsætninger!$C$12)</f>
        <v>900</v>
      </c>
      <c r="AK159" s="20">
        <f>Forudsætninger!$C$17</f>
        <v>250</v>
      </c>
      <c r="AL159" s="20">
        <f>IF(A159&lt;92,Forudsætninger!$C$20,Forudsætninger!$C$21)</f>
        <v>1.0566762728146013</v>
      </c>
      <c r="AM159" s="20">
        <f t="shared" si="71"/>
        <v>434.40365768518296</v>
      </c>
      <c r="AN159" s="20">
        <f>IFERROR(AD159+AJ159-AA159-Z159-AK159-AM159-Forudsætninger!$C$75,-99999999)</f>
        <v>-90.257717560629573</v>
      </c>
      <c r="AO159" s="19">
        <f>IFERROR(AN159/(A159+Forudsætninger!$C$74),-99999999)</f>
        <v>-0.57488992076834122</v>
      </c>
      <c r="AP159" s="19">
        <f>IFERROR(((365/(A159+Forudsætninger!$C$74))*AN159)/(AI159+Forudsætninger!$C$73),-9999999)</f>
        <v>-80.41610786640436</v>
      </c>
      <c r="AQ159" s="18">
        <f t="shared" si="62"/>
        <v>157</v>
      </c>
      <c r="AR159" s="18">
        <f t="shared" si="72"/>
        <v>4385.2791642382372</v>
      </c>
      <c r="AS159" s="52">
        <f t="shared" si="53"/>
        <v>6.4</v>
      </c>
      <c r="AT159" s="50">
        <f t="shared" si="75"/>
        <v>3.1791964942324853</v>
      </c>
      <c r="AU159" s="50">
        <f t="shared" si="76"/>
        <v>2.4064656506415538E-2</v>
      </c>
      <c r="AV159" s="2">
        <f t="shared" si="77"/>
        <v>3.5106409032204482</v>
      </c>
      <c r="AW159" s="61">
        <f t="shared" si="73"/>
        <v>2.1920123574812318</v>
      </c>
      <c r="BA159" s="16"/>
      <c r="BB159" s="2"/>
    </row>
    <row r="160" spans="1:54" x14ac:dyDescent="0.25">
      <c r="A160">
        <v>158</v>
      </c>
      <c r="B160" s="1">
        <f>ROUND((A160+Forudsætninger!$C$60)/30.4,1)</f>
        <v>6.5</v>
      </c>
      <c r="C160" s="1">
        <f>VLOOKUP((A160+Forudsætninger!$C$60),'Model tilvækst, slagteform, fe'!A:B,2,FALSE)</f>
        <v>287.3074698491136</v>
      </c>
      <c r="D160" s="3">
        <f t="shared" si="63"/>
        <v>1600.4461023337058</v>
      </c>
      <c r="E160" s="1">
        <f>(1+Forudsætninger!$C$78)*C160</f>
        <v>267.19594695967561</v>
      </c>
      <c r="F160" s="2">
        <f t="shared" si="64"/>
        <v>2.0859909571371738</v>
      </c>
      <c r="G160" s="1">
        <f t="shared" si="54"/>
        <v>269.28193791681281</v>
      </c>
      <c r="H160" s="3">
        <f t="shared" si="55"/>
        <v>1442.6878436751167</v>
      </c>
      <c r="I160" s="3">
        <f t="shared" si="56"/>
        <v>1267.6072020051442</v>
      </c>
      <c r="J160" s="1">
        <f>VLOOKUP((A160+Forudsætninger!$C$60),'Model tilvækst, slagteform, fe'!G:K,2,FALSE)*(1+Forudsætninger!$C$79)</f>
        <v>49.439355211666971</v>
      </c>
      <c r="K160" s="17">
        <f t="shared" si="52"/>
        <v>133.13125380755361</v>
      </c>
      <c r="L160" s="17">
        <f t="shared" si="65"/>
        <v>766.31624331946568</v>
      </c>
      <c r="M160" s="3">
        <f>((K160-(('Model tilvækst, slagteform, fe'!$H$9/100)*'Model tilvækst, slagteform, fe'!$B$9))*1000/(A160+Forudsætninger!$C$60))</f>
        <v>572.00177552865341</v>
      </c>
      <c r="N160" s="17">
        <f t="shared" si="66"/>
        <v>719.33750471738995</v>
      </c>
      <c r="O160" s="19">
        <f>IF( A160&lt;Forudsætninger!$C$14,(G160/100)*Forudsætninger!$C$13,(Forudsætninger!$C$15/1000)*Forudsætninger!$C$13)</f>
        <v>1.7503325964592833</v>
      </c>
      <c r="P160" s="17" cm="1">
        <f t="array" ref="P160">INDEX('Model tilvækst, slagteform, fe'!$N$9:$N$375,MATCH(MIN(ABS('Model tilvækst, slagteform, fe'!$M$9:$M$375-'Vækstfunktion, hol'!G160)),ABS('Model tilvækst, slagteform, fe'!$M$9:$M$375-'Vækstfunktion, hol'!G160),0))*(1+Forudsætninger!$C$80)</f>
        <v>6.8671295281385252</v>
      </c>
      <c r="Q160" s="17">
        <f t="shared" si="67"/>
        <v>8.961221412183642</v>
      </c>
      <c r="R160" s="17">
        <f t="shared" si="68"/>
        <v>7.1213399228655918</v>
      </c>
      <c r="S160" s="17">
        <f t="shared" si="57"/>
        <v>3.5916244480127166</v>
      </c>
      <c r="T160" s="19">
        <f>(P160)*IF(N160&lt;Forudsætninger!$B$228,IF(N160&lt;Forudsætninger!$B$227,Forudsætninger!$B$225,Forudsætninger!$C$9),Forudsætninger!$C$11)+O160</f>
        <v>17.819415692303433</v>
      </c>
      <c r="U160" s="2">
        <f>Forudsætninger!$C$68+((K160-(Forudsætninger!$C$84)))*0.01</f>
        <v>3.0283653970641762</v>
      </c>
      <c r="V160" s="2">
        <f>U160+Forudsætninger!$C$69</f>
        <v>2.0283653970641762</v>
      </c>
      <c r="W160">
        <f t="shared" si="58"/>
        <v>1</v>
      </c>
      <c r="X160">
        <f>IF(A160+Forudsætninger!$C$60&gt;248,IF(A160+Forudsætninger!$C$60&lt;365,IF(K160&gt;180,IF(K160&lt;260,1,0),0),0),0)</f>
        <v>0</v>
      </c>
      <c r="Y160" s="22">
        <f>IF(X160=0,0,IF('Vækstfunktion, hol'!A160&lt;Forudsætninger!$C$66,Forudsætninger!$C$67+(('Vækstfunktion, hol'!A160-Forudsætninger!$C$66)/7)*Forudsætninger!$C$64,Forudsætninger!$C$67))</f>
        <v>0</v>
      </c>
      <c r="Z160" s="19">
        <f t="shared" si="69"/>
        <v>2368.6949222453577</v>
      </c>
      <c r="AA160" s="19">
        <f>Forudsætninger!$C$62+Forudsætninger!$C$16</f>
        <v>1350</v>
      </c>
      <c r="AB160" s="19">
        <f>IF(K160&gt;Forudsætninger!$C$26,IF(K160&gt;Forudsætninger!$C$27,IF(K160&gt;Forudsætninger!$C$28,Forudsætninger!$E$28,Forudsætninger!$E$27+Forudsætninger!$F$28*(K160-Forudsætninger!$C$27)),Forudsætninger!$E$26+Forudsætninger!$F$27*(K160-Forudsætninger!$C$26)),Forudsætninger!$E$26)+IF(K160&gt;Forudsætninger!$C$28,Forudsætninger!$G$28,IF(K160&gt;Forudsætninger!$C$27,Forudsætninger!$G$27+Forudsætninger!$H$28*(K160-Forudsætninger!$C$27),IF(K160&gt;Forudsætninger!$C$26,Forudsætninger!$G$26+Forudsætninger!$H$27*(K160-Forudsætninger!$C$26),Forudsætninger!$G$26)))*(U160-Forudsætninger!$H$26)</f>
        <v>33.621274047798131</v>
      </c>
      <c r="AC160" s="19">
        <f>IF(K160&gt;Forudsætninger!$C$31,IF(K160&gt;Forudsætninger!$C$32,IF(K160&gt;Forudsætninger!$C$33,Forudsætninger!$E$33,Forudsætninger!$E$32+Forudsætninger!$F$33*(K160-Forudsætninger!$C$32)),Forudsætninger!$E$31+Forudsætninger!$F$32*(K160-Forudsætninger!$C$31)),Forudsætninger!$E$31)+IF(K160&gt;Forudsætninger!$C$33,Forudsætninger!$G$33,IF(K160&gt;Forudsætninger!$C$32,Forudsætninger!$G$32+Forudsætninger!$H$33*(K160-Forudsætninger!$C$32),IF(K160&gt;Forudsætninger!$C$31,Forudsætninger!$G$31+Forudsætninger!$H$32*(K160-Forudsætninger!$C$31),Forudsætninger!$G$31)))*(V160-Forudsætninger!$H$31)</f>
        <v>27.03687501618343</v>
      </c>
      <c r="AD160" s="19">
        <f t="shared" si="59"/>
        <v>3599.4530699426214</v>
      </c>
      <c r="AE160" s="19">
        <f t="shared" si="60"/>
        <v>27.03687501618343</v>
      </c>
      <c r="AF160">
        <f>IF(G160&lt;=Forudsætninger!$C$97,Forudsætninger!$C$98,(IF(G160&lt;=Forudsætninger!$D$97,Forudsætninger!$D$98,IF(G160&lt;=Forudsætninger!$E$97,Forudsætninger!$E$98,IF(G160&lt;=Forudsætninger!$F$97,Forudsætninger!$F$98,IF(G160&lt;=Forudsætninger!$G$97,Forudsætninger!$G$98,IF(G160&lt;=Forudsætninger!$H$97,Forudsætninger!$H$98,IF(G160&lt;=Forudsætninger!$I$97,Forudsætninger!$I$98,Forudsætninger!$I$98))))))))</f>
        <v>3.2</v>
      </c>
      <c r="AG160" s="1">
        <f t="shared" si="70"/>
        <v>3.2</v>
      </c>
      <c r="AH160" s="1">
        <f t="shared" si="74"/>
        <v>395.599999999999</v>
      </c>
      <c r="AI160" s="1">
        <f t="shared" si="61"/>
        <v>2.5037974683544242</v>
      </c>
      <c r="AJ160" s="20">
        <f>+(W160*Forudsætninger!$C$12)</f>
        <v>900</v>
      </c>
      <c r="AK160" s="20">
        <f>Forudsætninger!$C$17</f>
        <v>250</v>
      </c>
      <c r="AL160" s="20">
        <f>IF(A160&lt;92,Forudsætninger!$C$20,Forudsætninger!$C$21)</f>
        <v>1.0566762728146013</v>
      </c>
      <c r="AM160" s="20">
        <f t="shared" si="71"/>
        <v>435.46033395799759</v>
      </c>
      <c r="AN160" s="20">
        <f>IFERROR(AD160+AJ160-AA160-Z160-AK160-AM160-Forudsætninger!$C$75,-99999999)</f>
        <v>-87.096378810128471</v>
      </c>
      <c r="AO160" s="19">
        <f>IFERROR(AN160/(A160+Forudsætninger!$C$74),-99999999)</f>
        <v>-0.5512429038615726</v>
      </c>
      <c r="AP160" s="19">
        <f>IFERROR(((365/(A160+Forudsætninger!$C$74))*AN160)/(AI160+Forudsætninger!$C$73),-9999999)</f>
        <v>-76.977524978684116</v>
      </c>
      <c r="AQ160" s="18">
        <f t="shared" si="62"/>
        <v>158</v>
      </c>
      <c r="AR160" s="18">
        <f t="shared" si="72"/>
        <v>4404.1552562033557</v>
      </c>
      <c r="AS160" s="52">
        <f t="shared" si="53"/>
        <v>6.5</v>
      </c>
      <c r="AT160" s="50">
        <f t="shared" si="75"/>
        <v>3.1613387505011019</v>
      </c>
      <c r="AU160" s="50">
        <f t="shared" si="76"/>
        <v>2.3647016906768625E-2</v>
      </c>
      <c r="AV160" s="2">
        <f t="shared" si="77"/>
        <v>3.4385828877202442</v>
      </c>
      <c r="AW160" s="61">
        <f t="shared" si="73"/>
        <v>2.2048351591637285</v>
      </c>
      <c r="BA160" s="16"/>
      <c r="BB160" s="2"/>
    </row>
    <row r="161" spans="1:54" x14ac:dyDescent="0.25">
      <c r="A161">
        <v>159</v>
      </c>
      <c r="B161" s="1">
        <f>ROUND((A161+Forudsætninger!$C$60)/30.4,1)</f>
        <v>6.5</v>
      </c>
      <c r="C161" s="1">
        <f>VLOOKUP((A161+Forudsætninger!$C$60),'Model tilvækst, slagteform, fe'!A:B,2,FALSE)</f>
        <v>288.90637524338814</v>
      </c>
      <c r="D161" s="3">
        <f t="shared" si="63"/>
        <v>1598.9053942745386</v>
      </c>
      <c r="E161" s="1">
        <f>(1+Forudsætninger!$C$78)*C161</f>
        <v>268.68292897635098</v>
      </c>
      <c r="F161" s="2">
        <f t="shared" si="64"/>
        <v>2.0403079458721871</v>
      </c>
      <c r="G161" s="1">
        <f t="shared" si="54"/>
        <v>270.72323692222318</v>
      </c>
      <c r="H161" s="3">
        <f t="shared" si="55"/>
        <v>1441.2990054103716</v>
      </c>
      <c r="I161" s="3">
        <f t="shared" si="56"/>
        <v>1268.6996032844224</v>
      </c>
      <c r="J161" s="1">
        <f>VLOOKUP((A161+Forudsætninger!$C$60),'Model tilvækst, slagteform, fe'!G:K,2,FALSE)*(1+Forudsætninger!$C$79)</f>
        <v>49.459163964883771</v>
      </c>
      <c r="K161" s="17">
        <f t="shared" si="52"/>
        <v>133.89744964040312</v>
      </c>
      <c r="L161" s="17">
        <f t="shared" si="65"/>
        <v>766.19583284951887</v>
      </c>
      <c r="M161" s="3">
        <f>((K161-(('Model tilvækst, slagteform, fe'!$H$9/100)*'Model tilvækst, slagteform, fe'!$B$9))*1000/(A161+Forudsætninger!$C$60))</f>
        <v>572.98255359593043</v>
      </c>
      <c r="N161" s="17">
        <f t="shared" si="66"/>
        <v>726.21361398476336</v>
      </c>
      <c r="O161" s="19">
        <f>IF( A161&lt;Forudsætninger!$C$14,(G161/100)*Forudsætninger!$C$13,(Forudsætninger!$C$15/1000)*Forudsætninger!$C$13)</f>
        <v>1.7597010399944506</v>
      </c>
      <c r="P161" s="17" cm="1">
        <f t="array" ref="P161">INDEX('Model tilvækst, slagteform, fe'!$N$9:$N$375,MATCH(MIN(ABS('Model tilvækst, slagteform, fe'!$M$9:$M$375-'Vækstfunktion, hol'!G161)),ABS('Model tilvækst, slagteform, fe'!$M$9:$M$375-'Vækstfunktion, hol'!G161),0))*(1+Forudsætninger!$C$80)</f>
        <v>6.8761092673734199</v>
      </c>
      <c r="Q161" s="17">
        <f t="shared" si="67"/>
        <v>8.974349601721066</v>
      </c>
      <c r="R161" s="17">
        <f t="shared" si="68"/>
        <v>7.1352896172436528</v>
      </c>
      <c r="S161" s="17">
        <f t="shared" si="57"/>
        <v>3.6000493798578286</v>
      </c>
      <c r="T161" s="19">
        <f>(P161)*IF(N161&lt;Forudsætninger!$B$228,IF(N161&lt;Forudsætninger!$B$227,Forudsætninger!$B$225,Forudsætninger!$C$9),Forudsætninger!$C$11)+O161</f>
        <v>17.84979672564825</v>
      </c>
      <c r="U161" s="2">
        <f>Forudsætninger!$C$68+((K161-(Forudsætninger!$C$84)))*0.01</f>
        <v>3.0360273553926715</v>
      </c>
      <c r="V161" s="2">
        <f>U161+Forudsætninger!$C$69</f>
        <v>2.0360273553926715</v>
      </c>
      <c r="W161">
        <f t="shared" si="58"/>
        <v>1</v>
      </c>
      <c r="X161">
        <f>IF(A161+Forudsætninger!$C$60&gt;248,IF(A161+Forudsætninger!$C$60&lt;365,IF(K161&gt;180,IF(K161&lt;260,1,0),0),0),0)</f>
        <v>0</v>
      </c>
      <c r="Y161" s="22">
        <f>IF(X161=0,0,IF('Vækstfunktion, hol'!A161&lt;Forudsætninger!$C$66,Forudsætninger!$C$67+(('Vækstfunktion, hol'!A161-Forudsætninger!$C$66)/7)*Forudsætninger!$C$64,Forudsætninger!$C$67))</f>
        <v>0</v>
      </c>
      <c r="Z161" s="19">
        <f t="shared" si="69"/>
        <v>2386.5447189710058</v>
      </c>
      <c r="AA161" s="19">
        <f>Forudsætninger!$C$62+Forudsætninger!$C$16</f>
        <v>1350</v>
      </c>
      <c r="AB161" s="19">
        <f>IF(K161&gt;Forudsætninger!$C$26,IF(K161&gt;Forudsætninger!$C$27,IF(K161&gt;Forudsætninger!$C$28,Forudsætninger!$E$28,Forudsætninger!$E$27+Forudsætninger!$F$28*(K161-Forudsætninger!$C$27)),Forudsætninger!$E$26+Forudsætninger!$F$27*(K161-Forudsætninger!$C$26)),Forudsætninger!$E$26)+IF(K161&gt;Forudsætninger!$C$28,Forudsætninger!$G$28,IF(K161&gt;Forudsætninger!$C$27,Forudsætninger!$G$27+Forudsætninger!$H$28*(K161-Forudsætninger!$C$27),IF(K161&gt;Forudsætninger!$C$26,Forudsætninger!$G$26+Forudsætninger!$H$27*(K161-Forudsætninger!$C$26),Forudsætninger!$G$26)))*(U161-Forudsætninger!$H$26)</f>
        <v>33.627020516544505</v>
      </c>
      <c r="AC161" s="19">
        <f>IF(K161&gt;Forudsætninger!$C$31,IF(K161&gt;Forudsætninger!$C$32,IF(K161&gt;Forudsætninger!$C$33,Forudsætninger!$E$33,Forudsætninger!$E$32+Forudsætninger!$F$33*(K161-Forudsætninger!$C$32)),Forudsætninger!$E$31+Forudsætninger!$F$32*(K161-Forudsætninger!$C$31)),Forudsætninger!$E$31)+IF(K161&gt;Forudsætninger!$C$33,Forudsætninger!$G$33,IF(K161&gt;Forudsætninger!$C$32,Forudsætninger!$G$32+Forudsætninger!$H$33*(K161-Forudsætninger!$C$32),IF(K161&gt;Forudsætninger!$C$31,Forudsætninger!$G$31+Forudsætninger!$H$32*(K161-Forudsætninger!$C$31),Forudsætninger!$G$31)))*(V161-Forudsætninger!$H$31)</f>
        <v>27.046835562010472</v>
      </c>
      <c r="AD161" s="19">
        <f t="shared" si="59"/>
        <v>3621.5023025965615</v>
      </c>
      <c r="AE161" s="19">
        <f t="shared" si="60"/>
        <v>27.046835562010472</v>
      </c>
      <c r="AF161">
        <f>IF(G161&lt;=Forudsætninger!$C$97,Forudsætninger!$C$98,(IF(G161&lt;=Forudsætninger!$D$97,Forudsætninger!$D$98,IF(G161&lt;=Forudsætninger!$E$97,Forudsætninger!$E$98,IF(G161&lt;=Forudsætninger!$F$97,Forudsætninger!$F$98,IF(G161&lt;=Forudsætninger!$G$97,Forudsætninger!$G$98,IF(G161&lt;=Forudsætninger!$H$97,Forudsætninger!$H$98,IF(G161&lt;=Forudsætninger!$I$97,Forudsætninger!$I$98,Forudsætninger!$I$98))))))))</f>
        <v>3.2</v>
      </c>
      <c r="AG161" s="1">
        <f t="shared" si="70"/>
        <v>3.2</v>
      </c>
      <c r="AH161" s="1">
        <f t="shared" si="74"/>
        <v>398.79999999999899</v>
      </c>
      <c r="AI161" s="1">
        <f t="shared" si="61"/>
        <v>2.5081761006289245</v>
      </c>
      <c r="AJ161" s="20">
        <f>+(W161*Forudsætninger!$C$12)</f>
        <v>900</v>
      </c>
      <c r="AK161" s="20">
        <f>Forudsætninger!$C$17</f>
        <v>250</v>
      </c>
      <c r="AL161" s="20">
        <f>IF(A161&lt;92,Forudsætninger!$C$20,Forudsætninger!$C$21)</f>
        <v>1.0566762728146013</v>
      </c>
      <c r="AM161" s="20">
        <f t="shared" si="71"/>
        <v>436.51701023081222</v>
      </c>
      <c r="AN161" s="20">
        <f>IFERROR(AD161+AJ161-AA161-Z161-AK161-AM161-Forudsætninger!$C$75,-99999999)</f>
        <v>-83.953619154650511</v>
      </c>
      <c r="AO161" s="19">
        <f>IFERROR(AN161/(A161+Forudsætninger!$C$74),-99999999)</f>
        <v>-0.52801018336258188</v>
      </c>
      <c r="AP161" s="19">
        <f>IFERROR(((365/(A161+Forudsætninger!$C$74))*AN161)/(AI161+Forudsætninger!$C$73),-9999999)</f>
        <v>-73.609913741496356</v>
      </c>
      <c r="AQ161" s="18">
        <f t="shared" si="62"/>
        <v>159</v>
      </c>
      <c r="AR161" s="18">
        <f t="shared" si="72"/>
        <v>4423.0617292018178</v>
      </c>
      <c r="AS161" s="52">
        <f t="shared" si="53"/>
        <v>6.5</v>
      </c>
      <c r="AT161" s="50">
        <f t="shared" si="75"/>
        <v>3.1427596554779598</v>
      </c>
      <c r="AU161" s="50">
        <f t="shared" si="76"/>
        <v>2.3232720498990722E-2</v>
      </c>
      <c r="AV161" s="2">
        <f t="shared" si="77"/>
        <v>3.3676112371877593</v>
      </c>
      <c r="AW161" s="61">
        <f t="shared" si="73"/>
        <v>2.2173798180890674</v>
      </c>
      <c r="BA161" s="16"/>
      <c r="BB161" s="2"/>
    </row>
    <row r="162" spans="1:54" x14ac:dyDescent="0.25">
      <c r="A162">
        <v>160</v>
      </c>
      <c r="B162" s="1">
        <f>ROUND((A162+Forudsætninger!$C$60)/30.4,1)</f>
        <v>6.5</v>
      </c>
      <c r="C162" s="1">
        <f>VLOOKUP((A162+Forudsætninger!$C$60),'Model tilvækst, slagteform, fe'!A:B,2,FALSE)</f>
        <v>290.50368555026535</v>
      </c>
      <c r="D162" s="3">
        <f t="shared" si="63"/>
        <v>1597.3103068772048</v>
      </c>
      <c r="E162" s="1">
        <f>(1+Forudsætninger!$C$78)*C162</f>
        <v>270.16842756174674</v>
      </c>
      <c r="F162" s="2">
        <f t="shared" si="64"/>
        <v>1.9946705085328384</v>
      </c>
      <c r="G162" s="1">
        <f t="shared" si="54"/>
        <v>272.1630980702796</v>
      </c>
      <c r="H162" s="3">
        <f t="shared" si="55"/>
        <v>1439.8611480564227</v>
      </c>
      <c r="I162" s="3">
        <f t="shared" si="56"/>
        <v>1269.7693629392475</v>
      </c>
      <c r="J162" s="1">
        <f>VLOOKUP((A162+Forudsætninger!$C$60),'Model tilvækst, slagteform, fe'!G:K,2,FALSE)*(1+Forudsætninger!$C$79)</f>
        <v>49.478966069303006</v>
      </c>
      <c r="K162" s="17">
        <f t="shared" si="52"/>
        <v>134.66348694735751</v>
      </c>
      <c r="L162" s="17">
        <f t="shared" si="65"/>
        <v>766.03730695438799</v>
      </c>
      <c r="M162" s="3">
        <f>((K162-(('Model tilvækst, slagteform, fe'!$H$9/100)*'Model tilvækst, slagteform, fe'!$B$9))*1000/(A162+Forudsætninger!$C$60))</f>
        <v>573.95267798466637</v>
      </c>
      <c r="N162" s="17">
        <f t="shared" si="66"/>
        <v>733.09854967098715</v>
      </c>
      <c r="O162" s="19">
        <f>IF( A162&lt;Forudsætninger!$C$14,(G162/100)*Forudsætninger!$C$13,(Forudsætninger!$C$15/1000)*Forudsætninger!$C$13)</f>
        <v>1.7690601374568176</v>
      </c>
      <c r="P162" s="17" cm="1">
        <f t="array" ref="P162">INDEX('Model tilvækst, slagteform, fe'!$N$9:$N$375,MATCH(MIN(ABS('Model tilvækst, slagteform, fe'!$M$9:$M$375-'Vækstfunktion, hol'!G162)),ABS('Model tilvækst, slagteform, fe'!$M$9:$M$375-'Vækstfunktion, hol'!G162),0))*(1+Forudsætninger!$C$80)</f>
        <v>6.884935686223848</v>
      </c>
      <c r="Q162" s="17">
        <f t="shared" si="67"/>
        <v>8.9877289574798684</v>
      </c>
      <c r="R162" s="17">
        <f t="shared" si="68"/>
        <v>7.1491279773420811</v>
      </c>
      <c r="S162" s="17">
        <f t="shared" si="57"/>
        <v>3.6084237572385738</v>
      </c>
      <c r="T162" s="19">
        <f>(P162)*IF(N162&lt;Forudsætninger!$B$228,IF(N162&lt;Forudsætninger!$B$227,Forudsætninger!$B$225,Forudsætninger!$C$9),Forudsætninger!$C$11)+O162</f>
        <v>17.879809643220621</v>
      </c>
      <c r="U162" s="2">
        <f>Forudsætninger!$C$68+((K162-(Forudsætninger!$C$84)))*0.01</f>
        <v>3.0436877284622152</v>
      </c>
      <c r="V162" s="2">
        <f>U162+Forudsætninger!$C$69</f>
        <v>2.0436877284622152</v>
      </c>
      <c r="W162">
        <f t="shared" si="58"/>
        <v>1</v>
      </c>
      <c r="X162">
        <f>IF(A162+Forudsætninger!$C$60&gt;248,IF(A162+Forudsætninger!$C$60&lt;365,IF(K162&gt;180,IF(K162&lt;260,1,0),0),0),0)</f>
        <v>0</v>
      </c>
      <c r="Y162" s="22">
        <f>IF(X162=0,0,IF('Vækstfunktion, hol'!A162&lt;Forudsætninger!$C$66,Forudsætninger!$C$67+(('Vækstfunktion, hol'!A162-Forudsætninger!$C$66)/7)*Forudsætninger!$C$64,Forudsætninger!$C$67))</f>
        <v>0</v>
      </c>
      <c r="Z162" s="19">
        <f t="shared" si="69"/>
        <v>2404.4245286142263</v>
      </c>
      <c r="AA162" s="19">
        <f>Forudsætninger!$C$62+Forudsætninger!$C$16</f>
        <v>1350</v>
      </c>
      <c r="AB162" s="19">
        <f>IF(K162&gt;Forudsætninger!$C$26,IF(K162&gt;Forudsætninger!$C$27,IF(K162&gt;Forudsætninger!$C$28,Forudsætninger!$E$28,Forudsætninger!$E$27+Forudsætninger!$F$28*(K162-Forudsætninger!$C$27)),Forudsætninger!$E$26+Forudsætninger!$F$27*(K162-Forudsætninger!$C$26)),Forudsætninger!$E$26)+IF(K162&gt;Forudsætninger!$C$28,Forudsætninger!$G$28,IF(K162&gt;Forudsætninger!$C$27,Forudsætninger!$G$27+Forudsætninger!$H$28*(K162-Forudsætninger!$C$27),IF(K162&gt;Forudsætninger!$C$26,Forudsætninger!$G$26+Forudsætninger!$H$27*(K162-Forudsætninger!$C$26),Forudsætninger!$G$26)))*(U162-Forudsætninger!$H$26)</f>
        <v>33.632765796346661</v>
      </c>
      <c r="AC162" s="19">
        <f>IF(K162&gt;Forudsætninger!$C$31,IF(K162&gt;Forudsætninger!$C$32,IF(K162&gt;Forudsætninger!$C$33,Forudsætninger!$E$33,Forudsætninger!$E$32+Forudsætninger!$F$33*(K162-Forudsætninger!$C$32)),Forudsætninger!$E$31+Forudsætninger!$F$32*(K162-Forudsætninger!$C$31)),Forudsætninger!$E$31)+IF(K162&gt;Forudsætninger!$C$33,Forudsætninger!$G$33,IF(K162&gt;Forudsætninger!$C$32,Forudsætninger!$G$32+Forudsætninger!$H$33*(K162-Forudsætninger!$C$32),IF(K162&gt;Forudsætninger!$C$31,Forudsætninger!$G$31+Forudsætninger!$H$32*(K162-Forudsætninger!$C$31),Forudsætninger!$G$31)))*(V162-Forudsætninger!$H$31)</f>
        <v>27.056794047000881</v>
      </c>
      <c r="AD162" s="19">
        <f t="shared" si="59"/>
        <v>3643.5622319856438</v>
      </c>
      <c r="AE162" s="19">
        <f t="shared" si="60"/>
        <v>27.056794047000881</v>
      </c>
      <c r="AF162">
        <f>IF(G162&lt;=Forudsætninger!$C$97,Forudsætninger!$C$98,(IF(G162&lt;=Forudsætninger!$D$97,Forudsætninger!$D$98,IF(G162&lt;=Forudsætninger!$E$97,Forudsætninger!$E$98,IF(G162&lt;=Forudsætninger!$F$97,Forudsætninger!$F$98,IF(G162&lt;=Forudsætninger!$G$97,Forudsætninger!$G$98,IF(G162&lt;=Forudsætninger!$H$97,Forudsætninger!$H$98,IF(G162&lt;=Forudsætninger!$I$97,Forudsætninger!$I$98,Forudsætninger!$I$98))))))))</f>
        <v>3.2</v>
      </c>
      <c r="AG162" s="1">
        <f t="shared" si="70"/>
        <v>3.2</v>
      </c>
      <c r="AH162" s="1">
        <f t="shared" si="74"/>
        <v>401.99999999999898</v>
      </c>
      <c r="AI162" s="1">
        <f t="shared" si="61"/>
        <v>2.5124999999999935</v>
      </c>
      <c r="AJ162" s="20">
        <f>+(W162*Forudsætninger!$C$12)</f>
        <v>900</v>
      </c>
      <c r="AK162" s="20">
        <f>Forudsætninger!$C$17</f>
        <v>250</v>
      </c>
      <c r="AL162" s="20">
        <f>IF(A162&lt;92,Forudsætninger!$C$20,Forudsætninger!$C$21)</f>
        <v>1.0566762728146013</v>
      </c>
      <c r="AM162" s="20">
        <f t="shared" si="71"/>
        <v>437.57368650362685</v>
      </c>
      <c r="AN162" s="20">
        <f>IFERROR(AD162+AJ162-AA162-Z162-AK162-AM162-Forudsætninger!$C$75,-99999999)</f>
        <v>-80.83017568160389</v>
      </c>
      <c r="AO162" s="19">
        <f>IFERROR(AN162/(A162+Forudsætninger!$C$74),-99999999)</f>
        <v>-0.50518859801002436</v>
      </c>
      <c r="AP162" s="19">
        <f>IFERROR(((365/(A162+Forudsætninger!$C$74))*AN162)/(AI162+Forudsætninger!$C$73),-9999999)</f>
        <v>-70.31223575735342</v>
      </c>
      <c r="AQ162" s="18">
        <f t="shared" si="62"/>
        <v>160</v>
      </c>
      <c r="AR162" s="18">
        <f t="shared" si="72"/>
        <v>4441.9982151178529</v>
      </c>
      <c r="AS162" s="52">
        <f t="shared" si="53"/>
        <v>6.5</v>
      </c>
      <c r="AT162" s="50">
        <f t="shared" si="75"/>
        <v>3.1234434730466205</v>
      </c>
      <c r="AU162" s="50">
        <f t="shared" si="76"/>
        <v>2.2821585352557516E-2</v>
      </c>
      <c r="AV162" s="2">
        <f t="shared" si="77"/>
        <v>3.2976779841429362</v>
      </c>
      <c r="AW162" s="61">
        <f t="shared" si="73"/>
        <v>2.2296469426376433</v>
      </c>
      <c r="BA162" s="16"/>
      <c r="BB162" s="2"/>
    </row>
    <row r="163" spans="1:54" x14ac:dyDescent="0.25">
      <c r="A163">
        <v>161</v>
      </c>
      <c r="B163" s="1">
        <f>ROUND((A163+Forudsætninger!$C$60)/30.4,1)</f>
        <v>6.6</v>
      </c>
      <c r="C163" s="1">
        <f>VLOOKUP((A163+Forudsætninger!$C$60),'Model tilvækst, slagteform, fe'!A:B,2,FALSE)</f>
        <v>292.09934692475451</v>
      </c>
      <c r="D163" s="3">
        <f t="shared" si="63"/>
        <v>1595.6613744891683</v>
      </c>
      <c r="E163" s="1">
        <f>(1+Forudsætninger!$C$78)*C163</f>
        <v>271.65239264002167</v>
      </c>
      <c r="F163" s="2">
        <f t="shared" si="64"/>
        <v>1.9490801835474336</v>
      </c>
      <c r="G163" s="1">
        <f t="shared" si="54"/>
        <v>273.60147282356911</v>
      </c>
      <c r="H163" s="3">
        <f t="shared" si="55"/>
        <v>1438.3747532895086</v>
      </c>
      <c r="I163" s="3">
        <f t="shared" si="56"/>
        <v>1270.816601388628</v>
      </c>
      <c r="J163" s="1">
        <f>VLOOKUP((A163+Forudsætninger!$C$60),'Model tilvækst, slagteform, fe'!G:K,2,FALSE)*(1+Forudsætninger!$C$79)</f>
        <v>49.498756765179799</v>
      </c>
      <c r="K163" s="17">
        <f t="shared" si="52"/>
        <v>135.42932753888797</v>
      </c>
      <c r="L163" s="17">
        <f t="shared" si="65"/>
        <v>765.84059153046269</v>
      </c>
      <c r="M163" s="3">
        <f>((K163-(('Model tilvækst, slagteform, fe'!$H$9/100)*'Model tilvækst, slagteform, fe'!$B$9))*1000/(A163+Forudsætninger!$C$60))</f>
        <v>574.91211755239544</v>
      </c>
      <c r="N163" s="17">
        <f t="shared" si="66"/>
        <v>740.00069679104445</v>
      </c>
      <c r="O163" s="19">
        <f>IF( A163&lt;Forudsætninger!$C$14,(G163/100)*Forudsætninger!$C$13,(Forudsætninger!$C$15/1000)*Forudsætninger!$C$13)</f>
        <v>1.7784095733531993</v>
      </c>
      <c r="P163" s="17" cm="1">
        <f t="array" ref="P163">INDEX('Model tilvækst, slagteform, fe'!$N$9:$N$375,MATCH(MIN(ABS('Model tilvækst, slagteform, fe'!$M$9:$M$375-'Vækstfunktion, hol'!G163)),ABS('Model tilvækst, slagteform, fe'!$M$9:$M$375-'Vækstfunktion, hol'!G163),0))*(1+Forudsætninger!$C$80)</f>
        <v>6.9021471200572648</v>
      </c>
      <c r="Q163" s="17">
        <f t="shared" si="67"/>
        <v>9.012511476133632</v>
      </c>
      <c r="R163" s="17">
        <f t="shared" si="68"/>
        <v>7.1629413552501218</v>
      </c>
      <c r="S163" s="17">
        <f t="shared" si="57"/>
        <v>3.6167906642058147</v>
      </c>
      <c r="T163" s="19">
        <f>(P163)*IF(N163&lt;Forudsætninger!$B$228,IF(N163&lt;Forudsætninger!$B$227,Forudsætninger!$B$225,Forudsætninger!$C$9),Forudsætninger!$C$11)+O163</f>
        <v>17.929433834287195</v>
      </c>
      <c r="U163" s="2">
        <f>Forudsætninger!$C$68+((K163-(Forudsætninger!$C$84)))*0.01</f>
        <v>3.0513461343775199</v>
      </c>
      <c r="V163" s="2">
        <f>U163+Forudsætninger!$C$69</f>
        <v>2.0513461343775199</v>
      </c>
      <c r="W163">
        <f t="shared" si="58"/>
        <v>1</v>
      </c>
      <c r="X163">
        <f>IF(A163+Forudsætninger!$C$60&gt;248,IF(A163+Forudsætninger!$C$60&lt;365,IF(K163&gt;180,IF(K163&lt;260,1,0),0),0),0)</f>
        <v>0</v>
      </c>
      <c r="Y163" s="22">
        <f>IF(X163=0,0,IF('Vækstfunktion, hol'!A163&lt;Forudsætninger!$C$66,Forudsætninger!$C$67+(('Vækstfunktion, hol'!A163-Forudsætninger!$C$66)/7)*Forudsætninger!$C$64,Forudsætninger!$C$67))</f>
        <v>0</v>
      </c>
      <c r="Z163" s="19">
        <f t="shared" si="69"/>
        <v>2422.3539624485134</v>
      </c>
      <c r="AA163" s="19">
        <f>Forudsætninger!$C$62+Forudsætninger!$C$16</f>
        <v>1350</v>
      </c>
      <c r="AB163" s="19">
        <f>IF(K163&gt;Forudsætninger!$C$26,IF(K163&gt;Forudsætninger!$C$27,IF(K163&gt;Forudsætninger!$C$28,Forudsætninger!$E$28,Forudsætninger!$E$27+Forudsætninger!$F$28*(K163-Forudsætninger!$C$27)),Forudsætninger!$E$26+Forudsætninger!$F$27*(K163-Forudsætninger!$C$26)),Forudsætninger!$E$26)+IF(K163&gt;Forudsætninger!$C$28,Forudsætninger!$G$28,IF(K163&gt;Forudsætninger!$C$27,Forudsætninger!$G$27+Forudsætninger!$H$28*(K163-Forudsætninger!$C$27),IF(K163&gt;Forudsætninger!$C$26,Forudsætninger!$G$26+Forudsætninger!$H$27*(K163-Forudsætninger!$C$26),Forudsætninger!$G$26)))*(U163-Forudsætninger!$H$26)</f>
        <v>33.638509600783138</v>
      </c>
      <c r="AC163" s="19">
        <f>IF(K163&gt;Forudsætninger!$C$31,IF(K163&gt;Forudsætninger!$C$32,IF(K163&gt;Forudsætninger!$C$33,Forudsætninger!$E$33,Forudsætninger!$E$32+Forudsætninger!$F$33*(K163-Forudsætninger!$C$32)),Forudsætninger!$E$31+Forudsætninger!$F$32*(K163-Forudsætninger!$C$31)),Forudsætninger!$E$31)+IF(K163&gt;Forudsætninger!$C$33,Forudsætninger!$G$33,IF(K163&gt;Forudsætninger!$C$32,Forudsætninger!$G$32+Forudsætninger!$H$33*(K163-Forudsætninger!$C$32),IF(K163&gt;Forudsætninger!$C$31,Forudsætninger!$G$31+Forudsætninger!$H$32*(K163-Forudsætninger!$C$31),Forudsætninger!$G$31)))*(V163-Forudsætninger!$H$31)</f>
        <v>27.066749974690776</v>
      </c>
      <c r="AD163" s="19">
        <f t="shared" si="59"/>
        <v>3665.6317477355847</v>
      </c>
      <c r="AE163" s="19">
        <f t="shared" si="60"/>
        <v>27.066749974690776</v>
      </c>
      <c r="AF163">
        <f>IF(G163&lt;=Forudsætninger!$C$97,Forudsætninger!$C$98,(IF(G163&lt;=Forudsætninger!$D$97,Forudsætninger!$D$98,IF(G163&lt;=Forudsætninger!$E$97,Forudsætninger!$E$98,IF(G163&lt;=Forudsætninger!$F$97,Forudsætninger!$F$98,IF(G163&lt;=Forudsætninger!$G$97,Forudsætninger!$G$98,IF(G163&lt;=Forudsætninger!$H$97,Forudsætninger!$H$98,IF(G163&lt;=Forudsætninger!$I$97,Forudsætninger!$I$98,Forudsætninger!$I$98))))))))</f>
        <v>3.2</v>
      </c>
      <c r="AG163" s="1">
        <f t="shared" si="70"/>
        <v>3.2</v>
      </c>
      <c r="AH163" s="1">
        <f t="shared" si="74"/>
        <v>405.19999999999897</v>
      </c>
      <c r="AI163" s="1">
        <f t="shared" si="61"/>
        <v>2.5167701863353975</v>
      </c>
      <c r="AJ163" s="20">
        <f>+(W163*Forudsætninger!$C$12)</f>
        <v>900</v>
      </c>
      <c r="AK163" s="20">
        <f>Forudsætninger!$C$17</f>
        <v>250</v>
      </c>
      <c r="AL163" s="20">
        <f>IF(A163&lt;92,Forudsætninger!$C$20,Forudsætninger!$C$21)</f>
        <v>1.0566762728146013</v>
      </c>
      <c r="AM163" s="20">
        <f t="shared" si="71"/>
        <v>438.63036277644147</v>
      </c>
      <c r="AN163" s="20">
        <f>IFERROR(AD163+AJ163-AA163-Z163-AK163-AM163-Forudsætninger!$C$75,-99999999)</f>
        <v>-77.746770038765163</v>
      </c>
      <c r="AO163" s="19">
        <f>IFERROR(AN163/(A163+Forudsætninger!$C$74),-99999999)</f>
        <v>-0.48289919278736126</v>
      </c>
      <c r="AP163" s="19">
        <f>IFERROR(((365/(A163+Forudsætninger!$C$74))*AN163)/(AI163+Forudsætninger!$C$73),-9999999)</f>
        <v>-67.100733168166641</v>
      </c>
      <c r="AQ163" s="18">
        <f t="shared" si="62"/>
        <v>161</v>
      </c>
      <c r="AR163" s="18">
        <f t="shared" si="72"/>
        <v>4460.9843252249548</v>
      </c>
      <c r="AS163" s="52">
        <f t="shared" si="53"/>
        <v>6.6</v>
      </c>
      <c r="AT163" s="50">
        <f t="shared" si="75"/>
        <v>3.0834056428387271</v>
      </c>
      <c r="AU163" s="50">
        <f t="shared" si="76"/>
        <v>2.2289405222663095E-2</v>
      </c>
      <c r="AV163" s="2">
        <f t="shared" si="77"/>
        <v>3.2115025891867788</v>
      </c>
      <c r="AW163" s="61">
        <f t="shared" si="73"/>
        <v>2.2415129983706601</v>
      </c>
      <c r="BA163" s="16"/>
      <c r="BB163" s="2"/>
    </row>
    <row r="164" spans="1:54" x14ac:dyDescent="0.25">
      <c r="A164">
        <v>162</v>
      </c>
      <c r="B164" s="1">
        <f>ROUND((A164+Forudsætninger!$C$60)/30.4,1)</f>
        <v>6.6</v>
      </c>
      <c r="C164" s="1">
        <f>VLOOKUP((A164+Forudsætninger!$C$60),'Model tilvækst, slagteform, fe'!A:B,2,FALSE)</f>
        <v>293.69330605621207</v>
      </c>
      <c r="D164" s="3">
        <f t="shared" si="63"/>
        <v>1593.9591314575523</v>
      </c>
      <c r="E164" s="1">
        <f>(1+Forudsætninger!$C$78)*C164</f>
        <v>273.13477463227719</v>
      </c>
      <c r="F164" s="2">
        <f t="shared" si="64"/>
        <v>1.9035384940772178</v>
      </c>
      <c r="G164" s="1">
        <f t="shared" si="54"/>
        <v>275.03831312635441</v>
      </c>
      <c r="H164" s="3">
        <f t="shared" si="55"/>
        <v>1436.8403027852992</v>
      </c>
      <c r="I164" s="3">
        <f t="shared" si="56"/>
        <v>1271.8414390515704</v>
      </c>
      <c r="J164" s="1">
        <f>VLOOKUP((A164+Forudsætninger!$C$60),'Model tilvækst, slagteform, fe'!G:K,2,FALSE)*(1+Forudsætninger!$C$79)</f>
        <v>49.518531292769332</v>
      </c>
      <c r="K164" s="17">
        <f t="shared" si="52"/>
        <v>136.1949331525787</v>
      </c>
      <c r="L164" s="17">
        <f t="shared" si="65"/>
        <v>765.60561369072389</v>
      </c>
      <c r="M164" s="3">
        <f>((K164-(('Model tilvækst, slagteform, fe'!$H$9/100)*'Model tilvækst, slagteform, fe'!$B$9))*1000/(A164+Forudsætninger!$C$60))</f>
        <v>575.86084141378012</v>
      </c>
      <c r="N164" s="17">
        <f t="shared" si="66"/>
        <v>746.91123820472774</v>
      </c>
      <c r="O164" s="19">
        <f>IF( A164&lt;Forudsætninger!$C$14,(G164/100)*Forudsætninger!$C$13,(Forudsætninger!$C$15/1000)*Forudsætninger!$C$13)</f>
        <v>1.7877490353213039</v>
      </c>
      <c r="P164" s="17" cm="1">
        <f t="array" ref="P164">INDEX('Model tilvækst, slagteform, fe'!$N$9:$N$375,MATCH(MIN(ABS('Model tilvækst, slagteform, fe'!$M$9:$M$375-'Vækstfunktion, hol'!G164)),ABS('Model tilvækst, slagteform, fe'!$M$9:$M$375-'Vækstfunktion, hol'!G164),0))*(1+Forudsætninger!$C$80)</f>
        <v>6.9105414136832355</v>
      </c>
      <c r="Q164" s="17">
        <f t="shared" si="67"/>
        <v>9.0262418275250997</v>
      </c>
      <c r="R164" s="17">
        <f t="shared" si="68"/>
        <v>7.1766483003372441</v>
      </c>
      <c r="S164" s="17">
        <f t="shared" si="57"/>
        <v>3.6251084901218311</v>
      </c>
      <c r="T164" s="19">
        <f>(P164)*IF(N164&lt;Forudsætninger!$B$228,IF(N164&lt;Forudsætninger!$B$227,Forudsætninger!$B$225,Forudsætninger!$C$9),Forudsætninger!$C$11)+O164</f>
        <v>17.958415943340075</v>
      </c>
      <c r="U164" s="2">
        <f>Forudsætninger!$C$68+((K164-(Forudsætninger!$C$84)))*0.01</f>
        <v>3.0590021905144273</v>
      </c>
      <c r="V164" s="2">
        <f>U164+Forudsætninger!$C$69</f>
        <v>2.0590021905144273</v>
      </c>
      <c r="W164">
        <f t="shared" si="58"/>
        <v>1</v>
      </c>
      <c r="X164">
        <f>IF(A164+Forudsætninger!$C$60&gt;248,IF(A164+Forudsætninger!$C$60&lt;365,IF(K164&gt;180,IF(K164&lt;260,1,0),0),0),0)</f>
        <v>0</v>
      </c>
      <c r="Y164" s="22">
        <f>IF(X164=0,0,IF('Vækstfunktion, hol'!A164&lt;Forudsætninger!$C$66,Forudsætninger!$C$67+(('Vækstfunktion, hol'!A164-Forudsætninger!$C$66)/7)*Forudsætninger!$C$64,Forudsætninger!$C$67))</f>
        <v>0</v>
      </c>
      <c r="Z164" s="19">
        <f t="shared" si="69"/>
        <v>2440.3123783918536</v>
      </c>
      <c r="AA164" s="19">
        <f>Forudsætninger!$C$62+Forudsætninger!$C$16</f>
        <v>1350</v>
      </c>
      <c r="AB164" s="19">
        <f>IF(K164&gt;Forudsætninger!$C$26,IF(K164&gt;Forudsætninger!$C$27,IF(K164&gt;Forudsætninger!$C$28,Forudsætninger!$E$28,Forudsætninger!$E$27+Forudsætninger!$F$28*(K164-Forudsætninger!$C$27)),Forudsætninger!$E$26+Forudsætninger!$F$27*(K164-Forudsætninger!$C$26)),Forudsætninger!$E$26)+IF(K164&gt;Forudsætninger!$C$28,Forudsætninger!$G$28,IF(K164&gt;Forudsætninger!$C$27,Forudsætninger!$G$27+Forudsætninger!$H$28*(K164-Forudsætninger!$C$27),IF(K164&gt;Forudsætninger!$C$26,Forudsætninger!$G$26+Forudsætninger!$H$27*(K164-Forudsætninger!$C$26),Forudsætninger!$G$26)))*(U164-Forudsætninger!$H$26)</f>
        <v>33.64425164288582</v>
      </c>
      <c r="AC164" s="19">
        <f>IF(K164&gt;Forudsætninger!$C$31,IF(K164&gt;Forudsætninger!$C$32,IF(K164&gt;Forudsætninger!$C$33,Forudsætninger!$E$33,Forudsætninger!$E$32+Forudsætninger!$F$33*(K164-Forudsætninger!$C$32)),Forudsætninger!$E$31+Forudsætninger!$F$32*(K164-Forudsætninger!$C$31)),Forudsætninger!$E$31)+IF(K164&gt;Forudsætninger!$C$33,Forudsætninger!$G$33,IF(K164&gt;Forudsætninger!$C$32,Forudsætninger!$G$32+Forudsætninger!$H$33*(K164-Forudsætninger!$C$32),IF(K164&gt;Forudsætninger!$C$31,Forudsætninger!$G$31+Forudsætninger!$H$32*(K164-Forudsætninger!$C$31),Forudsætninger!$G$31)))*(V164-Forudsætninger!$H$31)</f>
        <v>27.076702847668756</v>
      </c>
      <c r="AD164" s="19">
        <f t="shared" si="59"/>
        <v>3687.7097343304836</v>
      </c>
      <c r="AE164" s="19">
        <f t="shared" si="60"/>
        <v>27.076702847668756</v>
      </c>
      <c r="AF164">
        <f>IF(G164&lt;=Forudsætninger!$C$97,Forudsætninger!$C$98,(IF(G164&lt;=Forudsætninger!$D$97,Forudsætninger!$D$98,IF(G164&lt;=Forudsætninger!$E$97,Forudsætninger!$E$98,IF(G164&lt;=Forudsætninger!$F$97,Forudsætninger!$F$98,IF(G164&lt;=Forudsætninger!$G$97,Forudsætninger!$G$98,IF(G164&lt;=Forudsætninger!$H$97,Forudsætninger!$H$98,IF(G164&lt;=Forudsætninger!$I$97,Forudsætninger!$I$98,Forudsætninger!$I$98))))))))</f>
        <v>3.2</v>
      </c>
      <c r="AG164" s="1">
        <f t="shared" si="70"/>
        <v>3.2</v>
      </c>
      <c r="AH164" s="1">
        <f t="shared" si="74"/>
        <v>408.39999999999895</v>
      </c>
      <c r="AI164" s="1">
        <f t="shared" si="61"/>
        <v>2.5209876543209813</v>
      </c>
      <c r="AJ164" s="20">
        <f>+(W164*Forudsætninger!$C$12)</f>
        <v>900</v>
      </c>
      <c r="AK164" s="20">
        <f>Forudsætninger!$C$17</f>
        <v>250</v>
      </c>
      <c r="AL164" s="20">
        <f>IF(A164&lt;92,Forudsætninger!$C$20,Forudsætninger!$C$21)</f>
        <v>1.0566762728146013</v>
      </c>
      <c r="AM164" s="20">
        <f t="shared" si="71"/>
        <v>439.6870390492561</v>
      </c>
      <c r="AN164" s="20">
        <f>IFERROR(AD164+AJ164-AA164-Z164-AK164-AM164-Forudsætninger!$C$75,-99999999)</f>
        <v>-74.68387566002113</v>
      </c>
      <c r="AO164" s="19">
        <f>IFERROR(AN164/(A164+Forudsætninger!$C$74),-99999999)</f>
        <v>-0.46101157814827859</v>
      </c>
      <c r="AP164" s="19">
        <f>IFERROR(((365/(A164+Forudsætninger!$C$74))*AN164)/(AI164+Forudsætninger!$C$73),-9999999)</f>
        <v>-63.956676401641829</v>
      </c>
      <c r="AQ164" s="18">
        <f t="shared" si="62"/>
        <v>162</v>
      </c>
      <c r="AR164" s="18">
        <f t="shared" si="72"/>
        <v>4479.9994174411095</v>
      </c>
      <c r="AS164" s="52">
        <f t="shared" si="53"/>
        <v>6.6</v>
      </c>
      <c r="AT164" s="50">
        <f t="shared" si="75"/>
        <v>3.0628943787440335</v>
      </c>
      <c r="AU164" s="50">
        <f t="shared" si="76"/>
        <v>2.1887614639082675E-2</v>
      </c>
      <c r="AV164" s="2">
        <f t="shared" si="77"/>
        <v>3.1440567665248125</v>
      </c>
      <c r="AW164" s="61">
        <f t="shared" si="73"/>
        <v>2.2531059468471293</v>
      </c>
      <c r="BA164" s="16"/>
      <c r="BB164" s="2"/>
    </row>
    <row r="165" spans="1:54" x14ac:dyDescent="0.25">
      <c r="A165">
        <v>163</v>
      </c>
      <c r="B165" s="1">
        <f>ROUND((A165+Forudsætninger!$C$60)/30.4,1)</f>
        <v>6.6</v>
      </c>
      <c r="C165" s="1">
        <f>VLOOKUP((A165+Forudsætninger!$C$60),'Model tilvækst, slagteform, fe'!A:B,2,FALSE)</f>
        <v>295.28551016834251</v>
      </c>
      <c r="D165" s="3">
        <f t="shared" si="63"/>
        <v>1592.204112130446</v>
      </c>
      <c r="E165" s="1">
        <f>(1+Forudsætninger!$C$78)*C165</f>
        <v>274.61552445655849</v>
      </c>
      <c r="F165" s="2">
        <f t="shared" si="64"/>
        <v>1.858046948016348</v>
      </c>
      <c r="G165" s="1">
        <f t="shared" si="54"/>
        <v>276.47357140457484</v>
      </c>
      <c r="H165" s="3">
        <f t="shared" si="55"/>
        <v>1435.2582782204308</v>
      </c>
      <c r="I165" s="3">
        <f t="shared" si="56"/>
        <v>1272.8439963470848</v>
      </c>
      <c r="J165" s="1">
        <f>VLOOKUP((A165+Forudsætninger!$C$60),'Model tilvækst, slagteform, fe'!G:K,2,FALSE)*(1+Forudsætninger!$C$79)</f>
        <v>49.53828489232675</v>
      </c>
      <c r="K165" s="17">
        <f t="shared" si="52"/>
        <v>136.96026545438872</v>
      </c>
      <c r="L165" s="17">
        <f t="shared" si="65"/>
        <v>765.33230181001954</v>
      </c>
      <c r="M165" s="3">
        <f>((K165-(('Model tilvækst, slagteform, fe'!$H$9/100)*'Model tilvækst, slagteform, fe'!$B$9))*1000/(A165+Forudsætninger!$C$60))</f>
        <v>576.79881894049413</v>
      </c>
      <c r="N165" s="17">
        <f t="shared" si="66"/>
        <v>753.83003914893845</v>
      </c>
      <c r="O165" s="19">
        <f>IF( A165&lt;Forudsætninger!$C$14,(G165/100)*Forudsætninger!$C$13,(Forudsætninger!$C$15/1000)*Forudsætninger!$C$13)</f>
        <v>1.7970782141297363</v>
      </c>
      <c r="P165" s="17" cm="1">
        <f t="array" ref="P165">INDEX('Model tilvækst, slagteform, fe'!$N$9:$N$375,MATCH(MIN(ABS('Model tilvækst, slagteform, fe'!$M$9:$M$375-'Vækstfunktion, hol'!G165)),ABS('Model tilvækst, slagteform, fe'!$M$9:$M$375-'Vækstfunktion, hol'!G165),0))*(1+Forudsætninger!$C$80)</f>
        <v>6.918800944210699</v>
      </c>
      <c r="Q165" s="17">
        <f t="shared" si="67"/>
        <v>9.0402573207058641</v>
      </c>
      <c r="R165" s="17">
        <f t="shared" si="68"/>
        <v>7.1902525801091732</v>
      </c>
      <c r="S165" s="17">
        <f t="shared" si="57"/>
        <v>3.6333786228558473</v>
      </c>
      <c r="T165" s="19">
        <f>(P165)*IF(N165&lt;Forudsætninger!$B$228,IF(N165&lt;Forudsætninger!$B$227,Forudsætninger!$B$225,Forudsætninger!$C$9),Forudsætninger!$C$11)+O165</f>
        <v>17.98707242358277</v>
      </c>
      <c r="U165" s="2">
        <f>Forudsætninger!$C$68+((K165-(Forudsætninger!$C$84)))*0.01</f>
        <v>3.0666555135325275</v>
      </c>
      <c r="V165" s="2">
        <f>U165+Forudsætninger!$C$69</f>
        <v>2.0666555135325275</v>
      </c>
      <c r="W165">
        <f t="shared" si="58"/>
        <v>1</v>
      </c>
      <c r="X165">
        <f>IF(A165+Forudsætninger!$C$60&gt;248,IF(A165+Forudsætninger!$C$60&lt;365,IF(K165&gt;180,IF(K165&lt;260,1,0),0),0),0)</f>
        <v>0</v>
      </c>
      <c r="Y165" s="22">
        <f>IF(X165=0,0,IF('Vækstfunktion, hol'!A165&lt;Forudsætninger!$C$66,Forudsætninger!$C$67+(('Vækstfunktion, hol'!A165-Forudsætninger!$C$66)/7)*Forudsætninger!$C$64,Forudsætninger!$C$67))</f>
        <v>0</v>
      </c>
      <c r="Z165" s="19">
        <f t="shared" si="69"/>
        <v>2458.2994508154366</v>
      </c>
      <c r="AA165" s="19">
        <f>Forudsætninger!$C$62+Forudsætninger!$C$16</f>
        <v>1350</v>
      </c>
      <c r="AB165" s="19">
        <f>IF(K165&gt;Forudsætninger!$C$26,IF(K165&gt;Forudsætninger!$C$27,IF(K165&gt;Forudsætninger!$C$28,Forudsætninger!$E$28,Forudsætninger!$E$27+Forudsætninger!$F$28*(K165-Forudsætninger!$C$27)),Forudsætninger!$E$26+Forudsætninger!$F$27*(K165-Forudsætninger!$C$26)),Forudsætninger!$E$26)+IF(K165&gt;Forudsætninger!$C$28,Forudsætninger!$G$28,IF(K165&gt;Forudsætninger!$C$27,Forudsætninger!$G$27+Forudsætninger!$H$28*(K165-Forudsætninger!$C$27),IF(K165&gt;Forudsætninger!$C$26,Forudsætninger!$G$26+Forudsætninger!$H$27*(K165-Forudsætninger!$C$26),Forudsætninger!$G$26)))*(U165-Forudsætninger!$H$26)</f>
        <v>33.649991635149398</v>
      </c>
      <c r="AC165" s="19">
        <f>IF(K165&gt;Forudsætninger!$C$31,IF(K165&gt;Forudsætninger!$C$32,IF(K165&gt;Forudsætninger!$C$33,Forudsætninger!$E$33,Forudsætninger!$E$32+Forudsætninger!$F$33*(K165-Forudsætninger!$C$32)),Forudsætninger!$E$31+Forudsætninger!$F$32*(K165-Forudsætninger!$C$31)),Forudsætninger!$E$31)+IF(K165&gt;Forudsætninger!$C$33,Forudsætninger!$G$33,IF(K165&gt;Forudsætninger!$C$32,Forudsætninger!$G$32+Forudsætninger!$H$33*(K165-Forudsætninger!$C$32),IF(K165&gt;Forudsætninger!$C$31,Forudsætninger!$G$31+Forudsætninger!$H$32*(K165-Forudsætninger!$C$31),Forudsætninger!$G$31)))*(V165-Forudsætninger!$H$31)</f>
        <v>27.086652167592288</v>
      </c>
      <c r="AD165" s="19">
        <f t="shared" si="59"/>
        <v>3709.7950711441331</v>
      </c>
      <c r="AE165" s="19">
        <f t="shared" si="60"/>
        <v>27.086652167592288</v>
      </c>
      <c r="AF165">
        <f>IF(G165&lt;=Forudsætninger!$C$97,Forudsætninger!$C$98,(IF(G165&lt;=Forudsætninger!$D$97,Forudsætninger!$D$98,IF(G165&lt;=Forudsætninger!$E$97,Forudsætninger!$E$98,IF(G165&lt;=Forudsætninger!$F$97,Forudsætninger!$F$98,IF(G165&lt;=Forudsætninger!$G$97,Forudsætninger!$G$98,IF(G165&lt;=Forudsætninger!$H$97,Forudsætninger!$H$98,IF(G165&lt;=Forudsætninger!$I$97,Forudsætninger!$I$98,Forudsætninger!$I$98))))))))</f>
        <v>3.2</v>
      </c>
      <c r="AG165" s="1">
        <f t="shared" si="70"/>
        <v>3.2</v>
      </c>
      <c r="AH165" s="1">
        <f t="shared" si="74"/>
        <v>411.59999999999894</v>
      </c>
      <c r="AI165" s="1">
        <f t="shared" si="61"/>
        <v>2.5251533742331222</v>
      </c>
      <c r="AJ165" s="20">
        <f>+(W165*Forudsætninger!$C$12)</f>
        <v>900</v>
      </c>
      <c r="AK165" s="20">
        <f>Forudsætninger!$C$17</f>
        <v>250</v>
      </c>
      <c r="AL165" s="20">
        <f>IF(A165&lt;92,Forudsætninger!$C$20,Forudsætninger!$C$21)</f>
        <v>1.0566762728146013</v>
      </c>
      <c r="AM165" s="20">
        <f t="shared" si="71"/>
        <v>440.74371532207073</v>
      </c>
      <c r="AN165" s="20">
        <f>IFERROR(AD165+AJ165-AA165-Z165-AK165-AM165-Forudsætninger!$C$75,-99999999)</f>
        <v>-71.642287542768287</v>
      </c>
      <c r="AO165" s="19">
        <f>IFERROR(AN165/(A165+Forudsætninger!$C$74),-99999999)</f>
        <v>-0.43952323645870117</v>
      </c>
      <c r="AP165" s="19">
        <f>IFERROR(((365/(A165+Forudsætninger!$C$74))*AN165)/(AI165+Forudsætninger!$C$73),-9999999)</f>
        <v>-60.879181787326829</v>
      </c>
      <c r="AQ165" s="18">
        <f t="shared" si="62"/>
        <v>163</v>
      </c>
      <c r="AR165" s="18">
        <f t="shared" si="72"/>
        <v>4499.0431661375069</v>
      </c>
      <c r="AS165" s="52">
        <f t="shared" si="53"/>
        <v>6.6</v>
      </c>
      <c r="AT165" s="50">
        <f t="shared" si="75"/>
        <v>3.0415881172528429</v>
      </c>
      <c r="AU165" s="50">
        <f t="shared" si="76"/>
        <v>2.1488341689577417E-2</v>
      </c>
      <c r="AV165" s="2">
        <f t="shared" si="77"/>
        <v>3.0774946143150004</v>
      </c>
      <c r="AW165" s="61">
        <f t="shared" si="73"/>
        <v>2.264425937296334</v>
      </c>
      <c r="BA165" s="16"/>
      <c r="BB165" s="2"/>
    </row>
    <row r="166" spans="1:54" x14ac:dyDescent="0.25">
      <c r="A166">
        <v>164</v>
      </c>
      <c r="B166" s="1">
        <f>ROUND((A166+Forudsætninger!$C$60)/30.4,1)</f>
        <v>6.7</v>
      </c>
      <c r="C166" s="1">
        <f>VLOOKUP((A166+Forudsætninger!$C$60),'Model tilvækst, slagteform, fe'!A:B,2,FALSE)</f>
        <v>296.87590701919714</v>
      </c>
      <c r="D166" s="3">
        <f t="shared" si="63"/>
        <v>1590.3968508546313</v>
      </c>
      <c r="E166" s="1">
        <f>(1+Forudsætninger!$C$78)*C166</f>
        <v>276.09459352785331</v>
      </c>
      <c r="F166" s="2">
        <f t="shared" si="64"/>
        <v>1.8126070379919299</v>
      </c>
      <c r="G166" s="1">
        <f t="shared" si="54"/>
        <v>277.90720056584524</v>
      </c>
      <c r="H166" s="3">
        <f t="shared" si="55"/>
        <v>1433.6291612704031</v>
      </c>
      <c r="I166" s="3">
        <f t="shared" si="56"/>
        <v>1273.8243936941783</v>
      </c>
      <c r="J166" s="1">
        <f>VLOOKUP((A166+Forudsætninger!$C$60),'Model tilvækst, slagteform, fe'!G:K,2,FALSE)*(1+Forudsætninger!$C$79)</f>
        <v>49.5580128041072</v>
      </c>
      <c r="K166" s="17">
        <f t="shared" si="52"/>
        <v>137.72528603995747</v>
      </c>
      <c r="L166" s="17">
        <f t="shared" si="65"/>
        <v>765.02058556874886</v>
      </c>
      <c r="M166" s="3">
        <f>((K166-(('Model tilvækst, slagteform, fe'!$H$9/100)*'Model tilvækst, slagteform, fe'!$B$9))*1000/(A166+Forudsætninger!$C$60))</f>
        <v>577.72601976132307</v>
      </c>
      <c r="N166" s="17">
        <f t="shared" si="66"/>
        <v>760.75696949989958</v>
      </c>
      <c r="O166" s="19">
        <f>IF( A166&lt;Forudsætninger!$C$14,(G166/100)*Forudsætninger!$C$13,(Forudsætninger!$C$15/1000)*Forudsætninger!$C$13)</f>
        <v>1.8063968036779943</v>
      </c>
      <c r="P166" s="17" cm="1">
        <f t="array" ref="P166">INDEX('Model tilvækst, slagteform, fe'!$N$9:$N$375,MATCH(MIN(ABS('Model tilvækst, slagteform, fe'!$M$9:$M$375-'Vækstfunktion, hol'!G166)),ABS('Model tilvækst, slagteform, fe'!$M$9:$M$375-'Vækstfunktion, hol'!G166),0))*(1+Forudsætninger!$C$80)</f>
        <v>6.9269303509611504</v>
      </c>
      <c r="Q166" s="17">
        <f t="shared" si="67"/>
        <v>9.0545672647636994</v>
      </c>
      <c r="R166" s="17">
        <f t="shared" si="68"/>
        <v>7.2037579198019186</v>
      </c>
      <c r="S166" s="17">
        <f t="shared" si="57"/>
        <v>3.6416024313155133</v>
      </c>
      <c r="T166" s="19">
        <f>(P166)*IF(N166&lt;Forudsætninger!$B$228,IF(N166&lt;Forudsætninger!$B$227,Forudsætninger!$B$225,Forudsætninger!$C$9),Forudsætninger!$C$11)+O166</f>
        <v>18.015413824927087</v>
      </c>
      <c r="U166" s="2">
        <f>Forudsætninger!$C$68+((K166-(Forudsætninger!$C$84)))*0.01</f>
        <v>3.0743057193882151</v>
      </c>
      <c r="V166" s="2">
        <f>U166+Forudsætninger!$C$69</f>
        <v>2.0743057193882151</v>
      </c>
      <c r="W166">
        <f t="shared" si="58"/>
        <v>1</v>
      </c>
      <c r="X166">
        <f>IF(A166+Forudsætninger!$C$60&gt;248,IF(A166+Forudsætninger!$C$60&lt;365,IF(K166&gt;180,IF(K166&lt;260,1,0),0),0),0)</f>
        <v>0</v>
      </c>
      <c r="Y166" s="22">
        <f>IF(X166=0,0,IF('Vækstfunktion, hol'!A166&lt;Forudsætninger!$C$66,Forudsætninger!$C$67+(('Vækstfunktion, hol'!A166-Forudsætninger!$C$66)/7)*Forudsætninger!$C$64,Forudsætninger!$C$67))</f>
        <v>0</v>
      </c>
      <c r="Z166" s="19">
        <f t="shared" si="69"/>
        <v>2476.3148646403638</v>
      </c>
      <c r="AA166" s="19">
        <f>Forudsætninger!$C$62+Forudsætninger!$C$16</f>
        <v>1350</v>
      </c>
      <c r="AB166" s="19">
        <f>IF(K166&gt;Forudsætninger!$C$26,IF(K166&gt;Forudsætninger!$C$27,IF(K166&gt;Forudsætninger!$C$28,Forudsætninger!$E$28,Forudsætninger!$E$27+Forudsætninger!$F$28*(K166-Forudsætninger!$C$27)),Forudsætninger!$E$26+Forudsætninger!$F$27*(K166-Forudsætninger!$C$26)),Forudsætninger!$E$26)+IF(K166&gt;Forudsætninger!$C$28,Forudsætninger!$G$28,IF(K166&gt;Forudsætninger!$C$27,Forudsætninger!$G$27+Forudsætninger!$H$28*(K166-Forudsætninger!$C$27),IF(K166&gt;Forudsætninger!$C$26,Forudsætninger!$G$26+Forudsætninger!$H$27*(K166-Forudsætninger!$C$26),Forudsætninger!$G$26)))*(U166-Forudsætninger!$H$26)</f>
        <v>33.655729289541163</v>
      </c>
      <c r="AC166" s="19">
        <f>IF(K166&gt;Forudsætninger!$C$31,IF(K166&gt;Forudsætninger!$C$32,IF(K166&gt;Forudsætninger!$C$33,Forudsætninger!$E$33,Forudsætninger!$E$32+Forudsætninger!$F$33*(K166-Forudsætninger!$C$32)),Forudsætninger!$E$31+Forudsætninger!$F$32*(K166-Forudsætninger!$C$31)),Forudsætninger!$E$31)+IF(K166&gt;Forudsætninger!$C$33,Forudsætninger!$G$33,IF(K166&gt;Forudsætninger!$C$32,Forudsætninger!$G$32+Forudsætninger!$H$33*(K166-Forudsætninger!$C$32),IF(K166&gt;Forudsætninger!$C$31,Forudsætninger!$G$31+Forudsætninger!$H$32*(K166-Forudsætninger!$C$31),Forudsætninger!$G$31)))*(V166-Forudsætninger!$H$31)</f>
        <v>27.096597435204679</v>
      </c>
      <c r="AD166" s="19">
        <f t="shared" si="59"/>
        <v>3731.8866324731421</v>
      </c>
      <c r="AE166" s="19">
        <f t="shared" si="60"/>
        <v>27.096597435204679</v>
      </c>
      <c r="AF166">
        <f>IF(G166&lt;=Forudsætninger!$C$97,Forudsætninger!$C$98,(IF(G166&lt;=Forudsætninger!$D$97,Forudsætninger!$D$98,IF(G166&lt;=Forudsætninger!$E$97,Forudsætninger!$E$98,IF(G166&lt;=Forudsætninger!$F$97,Forudsætninger!$F$98,IF(G166&lt;=Forudsætninger!$G$97,Forudsætninger!$G$98,IF(G166&lt;=Forudsætninger!$H$97,Forudsætninger!$H$98,IF(G166&lt;=Forudsætninger!$I$97,Forudsætninger!$I$98,Forudsætninger!$I$98))))))))</f>
        <v>3.2</v>
      </c>
      <c r="AG166" s="1">
        <f t="shared" si="70"/>
        <v>3.2</v>
      </c>
      <c r="AH166" s="1">
        <f t="shared" si="74"/>
        <v>414.79999999999893</v>
      </c>
      <c r="AI166" s="1">
        <f t="shared" si="61"/>
        <v>2.5292682926829202</v>
      </c>
      <c r="AJ166" s="20">
        <f>+(W166*Forudsætninger!$C$12)</f>
        <v>900</v>
      </c>
      <c r="AK166" s="20">
        <f>Forudsætninger!$C$17</f>
        <v>250</v>
      </c>
      <c r="AL166" s="20">
        <f>IF(A166&lt;92,Forudsætninger!$C$20,Forudsætninger!$C$21)</f>
        <v>1.0566762728146013</v>
      </c>
      <c r="AM166" s="20">
        <f t="shared" si="71"/>
        <v>441.80039159488535</v>
      </c>
      <c r="AN166" s="20">
        <f>IFERROR(AD166+AJ166-AA166-Z166-AK166-AM166-Forudsætninger!$C$75,-99999999)</f>
        <v>-68.622816311501168</v>
      </c>
      <c r="AO166" s="19">
        <f>IFERROR(AN166/(A166+Forudsætninger!$C$74),-99999999)</f>
        <v>-0.41843180677744612</v>
      </c>
      <c r="AP166" s="19">
        <f>IFERROR(((365/(A166+Forudsætninger!$C$74))*AN166)/(AI166+Forudsætninger!$C$73),-9999999)</f>
        <v>-57.867405862900817</v>
      </c>
      <c r="AQ166" s="18">
        <f t="shared" si="62"/>
        <v>164</v>
      </c>
      <c r="AR166" s="18">
        <f t="shared" si="72"/>
        <v>4518.115256235249</v>
      </c>
      <c r="AS166" s="52">
        <f t="shared" si="53"/>
        <v>6.7</v>
      </c>
      <c r="AT166" s="50">
        <f t="shared" si="75"/>
        <v>3.0194712312671186</v>
      </c>
      <c r="AU166" s="50">
        <f t="shared" si="76"/>
        <v>2.1091429681255047E-2</v>
      </c>
      <c r="AV166" s="2">
        <f t="shared" si="77"/>
        <v>3.0117759244260114</v>
      </c>
      <c r="AW166" s="61">
        <f t="shared" si="73"/>
        <v>2.2754730200206352</v>
      </c>
      <c r="BA166" s="16"/>
      <c r="BB166" s="2"/>
    </row>
    <row r="167" spans="1:54" x14ac:dyDescent="0.25">
      <c r="A167">
        <v>165</v>
      </c>
      <c r="B167" s="1">
        <f>ROUND((A167+Forudsætninger!$C$60)/30.4,1)</f>
        <v>6.7</v>
      </c>
      <c r="C167" s="1">
        <f>VLOOKUP((A167+Forudsætninger!$C$60),'Model tilvækst, slagteform, fe'!A:B,2,FALSE)</f>
        <v>298.46444490117494</v>
      </c>
      <c r="D167" s="3">
        <f t="shared" si="63"/>
        <v>1588.5378819777998</v>
      </c>
      <c r="E167" s="1">
        <f>(1+Forudsætninger!$C$78)*C167</f>
        <v>277.57193375809265</v>
      </c>
      <c r="F167" s="2">
        <f>MAX(F166-((D167/1000)/35),0)</f>
        <v>1.7672202413639928</v>
      </c>
      <c r="G167" s="1">
        <f>E167+F167</f>
        <v>279.33915399945664</v>
      </c>
      <c r="H167" s="3">
        <f>(G167-G166)*1000</f>
        <v>1431.9534336113975</v>
      </c>
      <c r="I167" s="3">
        <f t="shared" si="56"/>
        <v>1274.7827515118584</v>
      </c>
      <c r="J167" s="1">
        <f>VLOOKUP((A167+Forudsætninger!$C$60),'Model tilvækst, slagteform, fe'!G:K,2,FALSE)*(1+Forudsætninger!$C$79)</f>
        <v>49.577710268365863</v>
      </c>
      <c r="K167" s="17">
        <f t="shared" si="52"/>
        <v>138.48995643595495</v>
      </c>
      <c r="L167" s="17">
        <f t="shared" si="65"/>
        <v>764.67039599748432</v>
      </c>
      <c r="M167" s="3">
        <f>((K167-(('Model tilvækst, slagteform, fe'!$H$9/100)*'Model tilvækst, slagteform, fe'!$B$9))*1000/(A167+Forudsætninger!$C$60))</f>
        <v>578.64241376248071</v>
      </c>
      <c r="N167" s="17">
        <f t="shared" si="66"/>
        <v>767.69978685031651</v>
      </c>
      <c r="O167" s="19">
        <f>IF( A167&lt;Forudsætninger!$C$14,(G167/100)*Forudsætninger!$C$13,(Forudsætninger!$C$15/1000)*Forudsætninger!$C$13)</f>
        <v>1.8157045009964683</v>
      </c>
      <c r="P167" s="17" cm="1">
        <f t="array" ref="P167">INDEX('Model tilvækst, slagteform, fe'!$N$9:$N$375,MATCH(MIN(ABS('Model tilvækst, slagteform, fe'!$M$9:$M$375-'Vækstfunktion, hol'!G167)),ABS('Model tilvækst, slagteform, fe'!$M$9:$M$375-'Vækstfunktion, hol'!G167),0))*(1+Forudsætninger!$C$80)</f>
        <v>6.9428173504169699</v>
      </c>
      <c r="Q167" s="17">
        <f t="shared" si="67"/>
        <v>9.0794901787198405</v>
      </c>
      <c r="R167" s="17">
        <f t="shared" si="68"/>
        <v>7.2172421133926603</v>
      </c>
      <c r="S167" s="17">
        <f t="shared" si="57"/>
        <v>3.6498187439334271</v>
      </c>
      <c r="T167" s="19">
        <f>(P167)*IF(N167&lt;Forudsætninger!$B$228,IF(N167&lt;Forudsætninger!$B$227,Forudsætninger!$B$225,Forudsætninger!$C$9),Forudsætninger!$C$11)+O167</f>
        <v>18.061897100972175</v>
      </c>
      <c r="U167" s="2">
        <f>Forudsætninger!$C$68+((K167-(Forudsætninger!$C$84)))*0.01</f>
        <v>3.0819524233481896</v>
      </c>
      <c r="V167" s="2">
        <f>U167+Forudsætninger!$C$69</f>
        <v>2.0819524233481896</v>
      </c>
      <c r="W167">
        <f t="shared" si="58"/>
        <v>1</v>
      </c>
      <c r="X167">
        <f>IF(A167+Forudsætninger!$C$60&gt;248,IF(A167+Forudsætninger!$C$60&lt;365,IF(K167&gt;180,IF(K167&lt;260,1,0),0),0),0)</f>
        <v>0</v>
      </c>
      <c r="Y167" s="22">
        <f>IF(X167=0,0,IF('Vækstfunktion, hol'!A167&lt;Forudsætninger!$C$66,Forudsætninger!$C$67+(('Vækstfunktion, hol'!A167-Forudsætninger!$C$66)/7)*Forudsætninger!$C$64,Forudsætninger!$C$67))</f>
        <v>0</v>
      </c>
      <c r="Z167" s="19">
        <f t="shared" si="69"/>
        <v>2494.3767617413359</v>
      </c>
      <c r="AA167" s="19">
        <f>Forudsætninger!$C$62+Forudsætninger!$C$16</f>
        <v>1350</v>
      </c>
      <c r="AB167" s="19">
        <f>IF(K167&gt;Forudsætninger!$C$26,IF(K167&gt;Forudsætninger!$C$27,IF(K167&gt;Forudsætninger!$C$28,Forudsætninger!$E$28,Forudsætninger!$E$27+Forudsætninger!$F$28*(K167-Forudsætninger!$C$27)),Forudsætninger!$E$26+Forudsætninger!$F$27*(K167-Forudsætninger!$C$26)),Forudsætninger!$E$26)+IF(K167&gt;Forudsætninger!$C$28,Forudsætninger!$G$28,IF(K167&gt;Forudsætninger!$C$27,Forudsætninger!$G$27+Forudsætninger!$H$28*(K167-Forudsætninger!$C$27),IF(K167&gt;Forudsætninger!$C$26,Forudsætninger!$G$26+Forudsætninger!$H$27*(K167-Forudsætninger!$C$26),Forudsætninger!$G$26)))*(U167-Forudsætninger!$H$26)</f>
        <v>33.661464317511147</v>
      </c>
      <c r="AC167" s="19">
        <f>IF(K167&gt;Forudsætninger!$C$31,IF(K167&gt;Forudsætninger!$C$32,IF(K167&gt;Forudsætninger!$C$33,Forudsætninger!$E$33,Forudsætninger!$E$32+Forudsætninger!$F$33*(K167-Forudsætninger!$C$32)),Forudsætninger!$E$31+Forudsætninger!$F$32*(K167-Forudsætninger!$C$31)),Forudsætninger!$E$31)+IF(K167&gt;Forudsætninger!$C$33,Forudsætninger!$G$33,IF(K167&gt;Forudsætninger!$C$32,Forudsætninger!$G$32+Forudsætninger!$H$33*(K167-Forudsætninger!$C$32),IF(K167&gt;Forudsætninger!$C$31,Forudsætninger!$G$31+Forudsætninger!$H$32*(K167-Forudsætninger!$C$31),Forudsætninger!$G$31)))*(V167-Forudsætninger!$H$31)</f>
        <v>27.106538150352648</v>
      </c>
      <c r="AD167" s="19">
        <f t="shared" si="59"/>
        <v>3753.9832875718889</v>
      </c>
      <c r="AE167" s="19">
        <f t="shared" si="60"/>
        <v>27.106538150352648</v>
      </c>
      <c r="AF167">
        <f>IF(G167&lt;=Forudsætninger!$C$97,Forudsætninger!$C$98,(IF(G167&lt;=Forudsætninger!$D$97,Forudsætninger!$D$98,IF(G167&lt;=Forudsætninger!$E$97,Forudsætninger!$E$98,IF(G167&lt;=Forudsætninger!$F$97,Forudsætninger!$F$98,IF(G167&lt;=Forudsætninger!$G$97,Forudsætninger!$G$98,IF(G167&lt;=Forudsætninger!$H$97,Forudsætninger!$H$98,IF(G167&lt;=Forudsætninger!$I$97,Forudsætninger!$I$98,Forudsætninger!$I$98))))))))</f>
        <v>3.2</v>
      </c>
      <c r="AG167" s="1">
        <f t="shared" si="70"/>
        <v>3.2</v>
      </c>
      <c r="AH167" s="1">
        <f t="shared" si="74"/>
        <v>417.99999999999892</v>
      </c>
      <c r="AI167" s="1">
        <f t="shared" si="61"/>
        <v>2.533333333333327</v>
      </c>
      <c r="AJ167" s="20">
        <f>+(W167*Forudsætninger!$C$12)</f>
        <v>900</v>
      </c>
      <c r="AK167" s="20">
        <f>Forudsætninger!$C$17</f>
        <v>250</v>
      </c>
      <c r="AL167" s="20">
        <f>IF(A167&lt;92,Forudsætninger!$C$20,Forudsætninger!$C$21)</f>
        <v>1.0566762728146013</v>
      </c>
      <c r="AM167" s="20">
        <f t="shared" si="71"/>
        <v>442.85706786769998</v>
      </c>
      <c r="AN167" s="20">
        <f>IFERROR(AD167+AJ167-AA167-Z167-AK167-AM167-Forudsætninger!$C$75,-99999999)</f>
        <v>-65.644734586541091</v>
      </c>
      <c r="AO167" s="19">
        <f>IFERROR(AN167/(A167+Forudsætninger!$C$74),-99999999)</f>
        <v>-0.39784687628206722</v>
      </c>
      <c r="AP167" s="19">
        <f>IFERROR(((365/(A167+Forudsætninger!$C$74))*AN167)/(AI167+Forudsætninger!$C$73),-9999999)</f>
        <v>-54.935981025077503</v>
      </c>
      <c r="AQ167" s="18">
        <f t="shared" si="62"/>
        <v>165</v>
      </c>
      <c r="AR167" s="18">
        <f t="shared" si="72"/>
        <v>4537.2338296090356</v>
      </c>
      <c r="AS167" s="52">
        <f t="shared" si="53"/>
        <v>6.7</v>
      </c>
      <c r="AT167" s="50">
        <f t="shared" si="75"/>
        <v>2.9780817249600773</v>
      </c>
      <c r="AU167" s="50">
        <f t="shared" si="76"/>
        <v>2.0584930495378906E-2</v>
      </c>
      <c r="AV167" s="2">
        <f t="shared" si="77"/>
        <v>2.9314248378233145</v>
      </c>
      <c r="AW167" s="61">
        <f t="shared" si="73"/>
        <v>2.2861353532191444</v>
      </c>
      <c r="BA167" s="16"/>
      <c r="BB167" s="2"/>
    </row>
    <row r="168" spans="1:54" x14ac:dyDescent="0.25">
      <c r="A168">
        <v>166</v>
      </c>
      <c r="B168" s="1">
        <f>ROUND((A168+Forudsætninger!$C$60)/30.4,1)</f>
        <v>6.7</v>
      </c>
      <c r="C168" s="1">
        <f>VLOOKUP((A168+Forudsætninger!$C$60),'Model tilvækst, slagteform, fe'!A:B,2,FALSE)</f>
        <v>300.05107264102224</v>
      </c>
      <c r="D168" s="3">
        <f t="shared" si="63"/>
        <v>1586.6277398473017</v>
      </c>
      <c r="E168" s="1">
        <f>(1+Forudsætninger!$C$78)*C168</f>
        <v>279.04749755615069</v>
      </c>
      <c r="F168" s="2">
        <f t="shared" si="64"/>
        <v>1.7218880202254985</v>
      </c>
      <c r="G168" s="1">
        <f t="shared" si="54"/>
        <v>280.76938557637618</v>
      </c>
      <c r="H168" s="3">
        <f t="shared" si="55"/>
        <v>1430.2315769195388</v>
      </c>
      <c r="I168" s="3">
        <f t="shared" si="56"/>
        <v>1275.7191902191335</v>
      </c>
      <c r="J168" s="1">
        <f>VLOOKUP((A168+Forudsætninger!$C$60),'Model tilvækst, slagteform, fe'!G:K,2,FALSE)*(1+Forudsætninger!$C$79)</f>
        <v>49.597372525357862</v>
      </c>
      <c r="K168" s="17">
        <f t="shared" si="52"/>
        <v>139.25423810147367</v>
      </c>
      <c r="L168" s="17">
        <f t="shared" si="65"/>
        <v>764.28166551872323</v>
      </c>
      <c r="M168" s="3">
        <f>((K168-(('Model tilvækst, slagteform, fe'!$H$9/100)*'Model tilvækst, slagteform, fe'!$B$9))*1000/(A168+Forudsætninger!$C$60))</f>
        <v>579.5479710881209</v>
      </c>
      <c r="N168" s="17">
        <f t="shared" si="66"/>
        <v>774.65037107208184</v>
      </c>
      <c r="O168" s="19">
        <f>IF( A168&lt;Forudsætninger!$C$14,(G168/100)*Forudsætninger!$C$13,(Forudsætninger!$C$15/1000)*Forudsætninger!$C$13)</f>
        <v>1.825001006246445</v>
      </c>
      <c r="P168" s="17" cm="1">
        <f t="array" ref="P168">INDEX('Model tilvækst, slagteform, fe'!$N$9:$N$375,MATCH(MIN(ABS('Model tilvækst, slagteform, fe'!$M$9:$M$375-'Vækstfunktion, hol'!G168)),ABS('Model tilvækst, slagteform, fe'!$M$9:$M$375-'Vækstfunktion, hol'!G168),0))*(1+Forudsætninger!$C$80)</f>
        <v>6.9505842217653209</v>
      </c>
      <c r="Q168" s="17">
        <f t="shared" si="67"/>
        <v>9.0942705226978209</v>
      </c>
      <c r="R168" s="17">
        <f t="shared" si="68"/>
        <v>7.2306325533365143</v>
      </c>
      <c r="S168" s="17">
        <f t="shared" si="57"/>
        <v>3.6579903604277044</v>
      </c>
      <c r="T168" s="19">
        <f>(P168)*IF(N168&lt;Forudsætninger!$B$228,IF(N168&lt;Forudsætninger!$B$227,Forudsætninger!$B$225,Forudsætninger!$C$9),Forudsætninger!$C$11)+O168</f>
        <v>18.089368085177295</v>
      </c>
      <c r="U168" s="2">
        <f>Forudsætninger!$C$68+((K168-(Forudsætninger!$C$84)))*0.01</f>
        <v>3.0895952400033773</v>
      </c>
      <c r="V168" s="2">
        <f>U168+Forudsætninger!$C$69</f>
        <v>2.0895952400033773</v>
      </c>
      <c r="W168">
        <f t="shared" si="58"/>
        <v>1</v>
      </c>
      <c r="X168">
        <f>IF(A168+Forudsætninger!$C$60&gt;248,IF(A168+Forudsætninger!$C$60&lt;365,IF(K168&gt;180,IF(K168&lt;260,1,0),0),0),0)</f>
        <v>0</v>
      </c>
      <c r="Y168" s="22">
        <f>IF(X168=0,0,IF('Vækstfunktion, hol'!A168&lt;Forudsætninger!$C$66,Forudsætninger!$C$67+(('Vækstfunktion, hol'!A168-Forudsætninger!$C$66)/7)*Forudsætninger!$C$64,Forudsætninger!$C$67))</f>
        <v>0</v>
      </c>
      <c r="Z168" s="19">
        <f t="shared" si="69"/>
        <v>2512.4661298265132</v>
      </c>
      <c r="AA168" s="19">
        <f>Forudsætninger!$C$62+Forudsætninger!$C$16</f>
        <v>1350</v>
      </c>
      <c r="AB168" s="19">
        <f>IF(K168&gt;Forudsætninger!$C$26,IF(K168&gt;Forudsætninger!$C$27,IF(K168&gt;Forudsætninger!$C$28,Forudsætninger!$E$28,Forudsætninger!$E$27+Forudsætninger!$F$28*(K168-Forudsætninger!$C$27)),Forudsætninger!$E$26+Forudsætninger!$F$27*(K168-Forudsætninger!$C$26)),Forudsætninger!$E$26)+IF(K168&gt;Forudsætninger!$C$28,Forudsætninger!$G$28,IF(K168&gt;Forudsætninger!$C$27,Forudsætninger!$G$27+Forudsætninger!$H$28*(K168-Forudsætninger!$C$27),IF(K168&gt;Forudsætninger!$C$26,Forudsætninger!$G$26+Forudsætninger!$H$27*(K168-Forudsætninger!$C$26),Forudsætninger!$G$26)))*(U168-Forudsætninger!$H$26)</f>
        <v>33.667196430002534</v>
      </c>
      <c r="AC168" s="19">
        <f>IF(K168&gt;Forudsætninger!$C$31,IF(K168&gt;Forudsætninger!$C$32,IF(K168&gt;Forudsætninger!$C$33,Forudsætninger!$E$33,Forudsætninger!$E$32+Forudsætninger!$F$33*(K168-Forudsætninger!$C$32)),Forudsætninger!$E$31+Forudsætninger!$F$32*(K168-Forudsætninger!$C$31)),Forudsætninger!$E$31)+IF(K168&gt;Forudsætninger!$C$33,Forudsætninger!$G$33,IF(K168&gt;Forudsætninger!$C$32,Forudsætninger!$G$32+Forudsætninger!$H$33*(K168-Forudsætninger!$C$32),IF(K168&gt;Forudsætninger!$C$31,Forudsætninger!$G$31+Forudsætninger!$H$32*(K168-Forudsætninger!$C$31),Forudsætninger!$G$31)))*(V168-Forudsætninger!$H$31)</f>
        <v>27.11647381200439</v>
      </c>
      <c r="AD168" s="19">
        <f t="shared" si="59"/>
        <v>3776.0839006892347</v>
      </c>
      <c r="AE168" s="19">
        <f t="shared" si="60"/>
        <v>27.11647381200439</v>
      </c>
      <c r="AF168">
        <f>IF(G168&lt;=Forudsætninger!$C$97,Forudsætninger!$C$98,(IF(G168&lt;=Forudsætninger!$D$97,Forudsætninger!$D$98,IF(G168&lt;=Forudsætninger!$E$97,Forudsætninger!$E$98,IF(G168&lt;=Forudsætninger!$F$97,Forudsætninger!$F$98,IF(G168&lt;=Forudsætninger!$G$97,Forudsætninger!$G$98,IF(G168&lt;=Forudsætninger!$H$97,Forudsætninger!$H$98,IF(G168&lt;=Forudsætninger!$I$97,Forudsætninger!$I$98,Forudsætninger!$I$98))))))))</f>
        <v>3.2</v>
      </c>
      <c r="AG168" s="1">
        <f t="shared" si="70"/>
        <v>3.2</v>
      </c>
      <c r="AH168" s="1">
        <f t="shared" si="74"/>
        <v>421.19999999999891</v>
      </c>
      <c r="AI168" s="1">
        <f t="shared" si="61"/>
        <v>2.5373493975903547</v>
      </c>
      <c r="AJ168" s="20">
        <f>+(W168*Forudsætninger!$C$12)</f>
        <v>900</v>
      </c>
      <c r="AK168" s="20">
        <f>Forudsætninger!$C$17</f>
        <v>250</v>
      </c>
      <c r="AL168" s="20">
        <f>IF(A168&lt;92,Forudsætninger!$C$20,Forudsætninger!$C$21)</f>
        <v>1.0566762728146013</v>
      </c>
      <c r="AM168" s="20">
        <f t="shared" si="71"/>
        <v>443.91374414051461</v>
      </c>
      <c r="AN168" s="20">
        <f>IFERROR(AD168+AJ168-AA168-Z168-AK168-AM168-Forudsætninger!$C$75,-99999999)</f>
        <v>-62.690165827187656</v>
      </c>
      <c r="AO168" s="19">
        <f>IFERROR(AN168/(A168+Forudsætninger!$C$74),-99999999)</f>
        <v>-0.37765160136860032</v>
      </c>
      <c r="AP168" s="19">
        <f>IFERROR(((365/(A168+Forudsætninger!$C$74))*AN168)/(AI168+Forudsætninger!$C$73),-9999999)</f>
        <v>-52.068244042514799</v>
      </c>
      <c r="AQ168" s="18">
        <f t="shared" si="62"/>
        <v>166</v>
      </c>
      <c r="AR168" s="18">
        <f t="shared" si="72"/>
        <v>4556.3798739670274</v>
      </c>
      <c r="AS168" s="52">
        <f t="shared" si="53"/>
        <v>6.7</v>
      </c>
      <c r="AT168" s="50">
        <f t="shared" si="75"/>
        <v>2.9545687593534353</v>
      </c>
      <c r="AU168" s="50">
        <f t="shared" si="76"/>
        <v>2.0195274913466899E-2</v>
      </c>
      <c r="AV168" s="2">
        <f t="shared" si="77"/>
        <v>2.8677369825627039</v>
      </c>
      <c r="AW168" s="61">
        <f t="shared" si="73"/>
        <v>2.2965275802007645</v>
      </c>
      <c r="BA168" s="16"/>
      <c r="BB168" s="2"/>
    </row>
    <row r="169" spans="1:54" x14ac:dyDescent="0.25">
      <c r="A169">
        <v>167</v>
      </c>
      <c r="B169" s="1">
        <f>ROUND((A169+Forudsætninger!$C$60)/30.4,1)</f>
        <v>6.8</v>
      </c>
      <c r="C169" s="1">
        <f>VLOOKUP((A169+Forudsætninger!$C$60),'Model tilvækst, slagteform, fe'!A:B,2,FALSE)</f>
        <v>301.6357395998329</v>
      </c>
      <c r="D169" s="3">
        <f t="shared" si="63"/>
        <v>1584.6669588106579</v>
      </c>
      <c r="E169" s="1">
        <f>(1+Forudsætninger!$C$78)*C169</f>
        <v>280.52123782784457</v>
      </c>
      <c r="F169" s="2">
        <f t="shared" si="64"/>
        <v>1.6766118214023369</v>
      </c>
      <c r="G169" s="1">
        <f t="shared" si="54"/>
        <v>282.1978496492469</v>
      </c>
      <c r="H169" s="3">
        <f t="shared" si="55"/>
        <v>1428.4640728707245</v>
      </c>
      <c r="I169" s="3">
        <f t="shared" si="56"/>
        <v>1276.6338302350114</v>
      </c>
      <c r="J169" s="1">
        <f>VLOOKUP((A169+Forudsætninger!$C$60),'Model tilvækst, slagteform, fe'!G:K,2,FALSE)*(1+Forudsætninger!$C$79)</f>
        <v>49.616994815338359</v>
      </c>
      <c r="K169" s="17">
        <f t="shared" si="52"/>
        <v>140.01809242946317</v>
      </c>
      <c r="L169" s="17">
        <f t="shared" si="65"/>
        <v>763.85432798949182</v>
      </c>
      <c r="M169" s="3">
        <f>((K169-(('Model tilvækst, slagteform, fe'!$H$9/100)*'Model tilvækst, slagteform, fe'!$B$9))*1000/(A169+Forudsætninger!$C$60))</f>
        <v>580.44266214104016</v>
      </c>
      <c r="N169" s="17">
        <f t="shared" si="66"/>
        <v>781.60861059870444</v>
      </c>
      <c r="O169" s="19">
        <f>IF( A169&lt;Forudsætninger!$C$14,(G169/100)*Forudsætninger!$C$13,(Forudsætninger!$C$15/1000)*Forudsætninger!$C$13)</f>
        <v>1.834286022720105</v>
      </c>
      <c r="P169" s="17" cm="1">
        <f t="array" ref="P169">INDEX('Model tilvækst, slagteform, fe'!$N$9:$N$375,MATCH(MIN(ABS('Model tilvækst, slagteform, fe'!$M$9:$M$375-'Vækstfunktion, hol'!G169)),ABS('Model tilvækst, slagteform, fe'!$M$9:$M$375-'Vækstfunktion, hol'!G169),0))*(1+Forudsætninger!$C$80)</f>
        <v>6.9582395266226191</v>
      </c>
      <c r="Q169" s="17">
        <f t="shared" si="67"/>
        <v>9.1093802465413827</v>
      </c>
      <c r="R169" s="17">
        <f t="shared" si="68"/>
        <v>7.2439329345791927</v>
      </c>
      <c r="S169" s="17">
        <f t="shared" si="57"/>
        <v>3.6661186399609886</v>
      </c>
      <c r="T169" s="19">
        <f>(P169)*IF(N169&lt;Forudsætninger!$B$228,IF(N169&lt;Forudsætninger!$B$227,Forudsætninger!$B$225,Forudsætninger!$C$9),Forudsætninger!$C$11)+O169</f>
        <v>18.116566515017031</v>
      </c>
      <c r="U169" s="2">
        <f>Forudsætninger!$C$68+((K169-(Forudsætninger!$C$84)))*0.01</f>
        <v>3.0972337832832721</v>
      </c>
      <c r="V169" s="2">
        <f>U169+Forudsætninger!$C$69</f>
        <v>2.0972337832832721</v>
      </c>
      <c r="W169">
        <f t="shared" si="58"/>
        <v>1</v>
      </c>
      <c r="X169">
        <f>IF(A169+Forudsætninger!$C$60&gt;248,IF(A169+Forudsætninger!$C$60&lt;365,IF(K169&gt;180,IF(K169&lt;260,1,0),0),0),0)</f>
        <v>0</v>
      </c>
      <c r="Y169" s="22">
        <f>IF(X169=0,0,IF('Vækstfunktion, hol'!A169&lt;Forudsætninger!$C$66,Forudsætninger!$C$67+(('Vækstfunktion, hol'!A169-Forudsætninger!$C$66)/7)*Forudsætninger!$C$64,Forudsætninger!$C$67))</f>
        <v>0</v>
      </c>
      <c r="Z169" s="19">
        <f t="shared" si="69"/>
        <v>2530.5826963415302</v>
      </c>
      <c r="AA169" s="19">
        <f>Forudsætninger!$C$62+Forudsætninger!$C$16</f>
        <v>1350</v>
      </c>
      <c r="AB169" s="19">
        <f>IF(K169&gt;Forudsætninger!$C$26,IF(K169&gt;Forudsætninger!$C$27,IF(K169&gt;Forudsætninger!$C$28,Forudsætninger!$E$28,Forudsætninger!$E$27+Forudsætninger!$F$28*(K169-Forudsætninger!$C$27)),Forudsætninger!$E$26+Forudsætninger!$F$27*(K169-Forudsætninger!$C$26)),Forudsætninger!$E$26)+IF(K169&gt;Forudsætninger!$C$28,Forudsætninger!$G$28,IF(K169&gt;Forudsætninger!$C$27,Forudsætninger!$G$27+Forudsætninger!$H$28*(K169-Forudsætninger!$C$27),IF(K169&gt;Forudsætninger!$C$26,Forudsætninger!$G$26+Forudsætninger!$H$27*(K169-Forudsætninger!$C$26),Forudsætninger!$G$26)))*(U169-Forudsætninger!$H$26)</f>
        <v>33.672925337462459</v>
      </c>
      <c r="AC169" s="19">
        <f>IF(K169&gt;Forudsætninger!$C$31,IF(K169&gt;Forudsætninger!$C$32,IF(K169&gt;Forudsætninger!$C$33,Forudsætninger!$E$33,Forudsætninger!$E$32+Forudsætninger!$F$33*(K169-Forudsætninger!$C$32)),Forudsætninger!$E$31+Forudsætninger!$F$32*(K169-Forudsætninger!$C$31)),Forudsætninger!$E$31)+IF(K169&gt;Forudsætninger!$C$33,Forudsætninger!$G$33,IF(K169&gt;Forudsætninger!$C$32,Forudsætninger!$G$32+Forudsætninger!$H$33*(K169-Forudsætninger!$C$32),IF(K169&gt;Forudsætninger!$C$31,Forudsætninger!$G$31+Forudsætninger!$H$32*(K169-Forudsætninger!$C$31),Forudsætninger!$G$31)))*(V169-Forudsætninger!$H$31)</f>
        <v>27.126403918268252</v>
      </c>
      <c r="AD169" s="19">
        <f t="shared" si="59"/>
        <v>3798.1873311070358</v>
      </c>
      <c r="AE169" s="19">
        <f t="shared" si="60"/>
        <v>27.126403918268252</v>
      </c>
      <c r="AF169">
        <f>IF(G169&lt;=Forudsætninger!$C$97,Forudsætninger!$C$98,(IF(G169&lt;=Forudsætninger!$D$97,Forudsætninger!$D$98,IF(G169&lt;=Forudsætninger!$E$97,Forudsætninger!$E$98,IF(G169&lt;=Forudsætninger!$F$97,Forudsætninger!$F$98,IF(G169&lt;=Forudsætninger!$G$97,Forudsætninger!$G$98,IF(G169&lt;=Forudsætninger!$H$97,Forudsætninger!$H$98,IF(G169&lt;=Forudsætninger!$I$97,Forudsætninger!$I$98,Forudsætninger!$I$98))))))))</f>
        <v>3.2</v>
      </c>
      <c r="AG169" s="1">
        <f t="shared" si="70"/>
        <v>3.2</v>
      </c>
      <c r="AH169" s="1">
        <f t="shared" si="74"/>
        <v>424.3999999999989</v>
      </c>
      <c r="AI169" s="1">
        <f t="shared" si="61"/>
        <v>2.5413173652694545</v>
      </c>
      <c r="AJ169" s="20">
        <f>+(W169*Forudsætninger!$C$12)</f>
        <v>900</v>
      </c>
      <c r="AK169" s="20">
        <f>Forudsætninger!$C$17</f>
        <v>250</v>
      </c>
      <c r="AL169" s="20">
        <f>IF(A169&lt;92,Forudsætninger!$C$20,Forudsætninger!$C$21)</f>
        <v>1.0566762728146013</v>
      </c>
      <c r="AM169" s="20">
        <f t="shared" si="71"/>
        <v>444.97042041332924</v>
      </c>
      <c r="AN169" s="20">
        <f>IFERROR(AD169+AJ169-AA169-Z169-AK169-AM169-Forudsætninger!$C$75,-99999999)</f>
        <v>-59.759978197218203</v>
      </c>
      <c r="AO169" s="19">
        <f>IFERROR(AN169/(A169+Forudsætninger!$C$74),-99999999)</f>
        <v>-0.35784418082166586</v>
      </c>
      <c r="AP169" s="19">
        <f>IFERROR(((365/(A169+Forudsætninger!$C$74))*AN169)/(AI169+Forudsætninger!$C$73),-9999999)</f>
        <v>-49.263482263894794</v>
      </c>
      <c r="AQ169" s="18">
        <f t="shared" si="62"/>
        <v>167</v>
      </c>
      <c r="AR169" s="18">
        <f t="shared" si="72"/>
        <v>4575.5531167548597</v>
      </c>
      <c r="AS169" s="52">
        <f t="shared" si="53"/>
        <v>6.8</v>
      </c>
      <c r="AT169" s="50">
        <f t="shared" si="75"/>
        <v>2.9301876299694527</v>
      </c>
      <c r="AU169" s="50">
        <f t="shared" si="76"/>
        <v>1.9807420546934462E-2</v>
      </c>
      <c r="AV169" s="2">
        <f t="shared" si="77"/>
        <v>2.804761778620005</v>
      </c>
      <c r="AW169" s="61">
        <f t="shared" si="73"/>
        <v>2.3066493545874911</v>
      </c>
      <c r="BA169" s="16"/>
      <c r="BB169" s="2"/>
    </row>
    <row r="170" spans="1:54" x14ac:dyDescent="0.25">
      <c r="A170">
        <v>168</v>
      </c>
      <c r="B170" s="1">
        <f>ROUND((A170+Forudsætninger!$C$60)/30.4,1)</f>
        <v>6.8</v>
      </c>
      <c r="C170" s="1">
        <f>VLOOKUP((A170+Forudsætninger!$C$60),'Model tilvækst, slagteform, fe'!A:B,2,FALSE)</f>
        <v>303.21839567304806</v>
      </c>
      <c r="D170" s="3">
        <f t="shared" si="63"/>
        <v>1582.656073215162</v>
      </c>
      <c r="E170" s="1">
        <f>(1+Forudsætninger!$C$78)*C170</f>
        <v>281.99310797593466</v>
      </c>
      <c r="F170" s="2">
        <f t="shared" si="64"/>
        <v>1.6313930764533322</v>
      </c>
      <c r="G170" s="1">
        <f t="shared" si="54"/>
        <v>283.62450105238798</v>
      </c>
      <c r="H170" s="3">
        <f t="shared" si="55"/>
        <v>1426.6514031410793</v>
      </c>
      <c r="I170" s="3">
        <f t="shared" si="56"/>
        <v>1277.5267919784999</v>
      </c>
      <c r="J170" s="1">
        <f>VLOOKUP((A170+Forudsætninger!$C$60),'Model tilvækst, slagteform, fe'!G:K,2,FALSE)*(1+Forudsætninger!$C$79)</f>
        <v>49.636572378562533</v>
      </c>
      <c r="K170" s="17">
        <f t="shared" si="52"/>
        <v>140.78148074820541</v>
      </c>
      <c r="L170" s="17">
        <f t="shared" si="65"/>
        <v>763.38831874224411</v>
      </c>
      <c r="M170" s="3">
        <f>((K170-(('Model tilvækst, slagteform, fe'!$H$9/100)*'Model tilvækst, slagteform, fe'!$B$9))*1000/(A170+Forudsætninger!$C$60))</f>
        <v>581.32645758355807</v>
      </c>
      <c r="N170" s="17">
        <f t="shared" si="66"/>
        <v>788.57439850301478</v>
      </c>
      <c r="O170" s="19">
        <f>IF( A170&lt;Forudsætninger!$C$14,(G170/100)*Forudsætninger!$C$13,(Forudsætninger!$C$15/1000)*Forudsætninger!$C$13)</f>
        <v>1.8435592568405219</v>
      </c>
      <c r="P170" s="17" cm="1">
        <f t="array" ref="P170">INDEX('Model tilvækst, slagteform, fe'!$N$9:$N$375,MATCH(MIN(ABS('Model tilvækst, slagteform, fe'!$M$9:$M$375-'Vækstfunktion, hol'!G170)),ABS('Model tilvækst, slagteform, fe'!$M$9:$M$375-'Vækstfunktion, hol'!G170),0))*(1+Forudsætninger!$C$80)</f>
        <v>6.9657879043103561</v>
      </c>
      <c r="Q170" s="17">
        <f t="shared" si="67"/>
        <v>9.1248290460969628</v>
      </c>
      <c r="R170" s="17">
        <f t="shared" si="68"/>
        <v>7.2571469119984426</v>
      </c>
      <c r="S170" s="17">
        <f t="shared" si="57"/>
        <v>3.6742049236518928</v>
      </c>
      <c r="T170" s="19">
        <f>(P170)*IF(N170&lt;Forudsætninger!$B$228,IF(N170&lt;Forudsætninger!$B$227,Forudsætninger!$B$225,Forudsætninger!$C$9),Forudsætninger!$C$11)+O170</f>
        <v>18.143502952926752</v>
      </c>
      <c r="U170" s="2">
        <f>Forudsætninger!$C$68+((K170-(Forudsætninger!$C$84)))*0.01</f>
        <v>3.1048676664706942</v>
      </c>
      <c r="V170" s="2">
        <f>U170+Forudsætninger!$C$69</f>
        <v>2.1048676664706942</v>
      </c>
      <c r="W170">
        <f t="shared" si="58"/>
        <v>1</v>
      </c>
      <c r="X170">
        <f>IF(A170+Forudsætninger!$C$60&gt;248,IF(A170+Forudsætninger!$C$60&lt;365,IF(K170&gt;180,IF(K170&lt;260,1,0),0),0),0)</f>
        <v>0</v>
      </c>
      <c r="Y170" s="22">
        <f>IF(X170=0,0,IF('Vækstfunktion, hol'!A170&lt;Forudsætninger!$C$66,Forudsætninger!$C$67+(('Vækstfunktion, hol'!A170-Forudsætninger!$C$66)/7)*Forudsætninger!$C$64,Forudsætninger!$C$67))</f>
        <v>0</v>
      </c>
      <c r="Z170" s="19">
        <f t="shared" si="69"/>
        <v>2548.7261992944568</v>
      </c>
      <c r="AA170" s="19">
        <f>Forudsætninger!$C$62+Forudsætninger!$C$16</f>
        <v>1350</v>
      </c>
      <c r="AB170" s="19">
        <f>IF(K170&gt;Forudsætninger!$C$26,IF(K170&gt;Forudsætninger!$C$27,IF(K170&gt;Forudsætninger!$C$28,Forudsætninger!$E$28,Forudsætninger!$E$27+Forudsætninger!$F$28*(K170-Forudsætninger!$C$27)),Forudsætninger!$E$26+Forudsætninger!$F$27*(K170-Forudsætninger!$C$26)),Forudsætninger!$E$26)+IF(K170&gt;Forudsætninger!$C$28,Forudsætninger!$G$28,IF(K170&gt;Forudsætninger!$C$27,Forudsætninger!$G$27+Forudsætninger!$H$28*(K170-Forudsætninger!$C$27),IF(K170&gt;Forudsætninger!$C$26,Forudsætninger!$G$26+Forudsætninger!$H$27*(K170-Forudsætninger!$C$26),Forudsætninger!$G$26)))*(U170-Forudsætninger!$H$26)</f>
        <v>33.67865074985302</v>
      </c>
      <c r="AC170" s="19">
        <f>IF(K170&gt;Forudsætninger!$C$31,IF(K170&gt;Forudsætninger!$C$32,IF(K170&gt;Forudsætninger!$C$33,Forudsætninger!$E$33,Forudsætninger!$E$32+Forudsætninger!$F$33*(K170-Forudsætninger!$C$32)),Forudsætninger!$E$31+Forudsætninger!$F$32*(K170-Forudsætninger!$C$31)),Forudsætninger!$E$31)+IF(K170&gt;Forudsætninger!$C$33,Forudsætninger!$G$33,IF(K170&gt;Forudsætninger!$C$32,Forudsætninger!$G$32+Forudsætninger!$H$33*(K170-Forudsætninger!$C$32),IF(K170&gt;Forudsætninger!$C$31,Forudsætninger!$G$31+Forudsætninger!$H$32*(K170-Forudsætninger!$C$31),Forudsætninger!$G$31)))*(V170-Forudsætninger!$H$31)</f>
        <v>27.136327966411901</v>
      </c>
      <c r="AD170" s="19">
        <f t="shared" si="59"/>
        <v>3820.2924331804052</v>
      </c>
      <c r="AE170" s="19">
        <f t="shared" si="60"/>
        <v>27.136327966411901</v>
      </c>
      <c r="AF170">
        <f>IF(G170&lt;=Forudsætninger!$C$97,Forudsætninger!$C$98,(IF(G170&lt;=Forudsætninger!$D$97,Forudsætninger!$D$98,IF(G170&lt;=Forudsætninger!$E$97,Forudsætninger!$E$98,IF(G170&lt;=Forudsætninger!$F$97,Forudsætninger!$F$98,IF(G170&lt;=Forudsætninger!$G$97,Forudsætninger!$G$98,IF(G170&lt;=Forudsætninger!$H$97,Forudsætninger!$H$98,IF(G170&lt;=Forudsætninger!$I$97,Forudsætninger!$I$98,Forudsætninger!$I$98))))))))</f>
        <v>3.2</v>
      </c>
      <c r="AG170" s="1">
        <f t="shared" si="70"/>
        <v>3.2</v>
      </c>
      <c r="AH170" s="1">
        <f t="shared" si="74"/>
        <v>427.59999999999889</v>
      </c>
      <c r="AI170" s="1">
        <f t="shared" si="61"/>
        <v>2.5452380952380884</v>
      </c>
      <c r="AJ170" s="20">
        <f>+(W170*Forudsætninger!$C$12)</f>
        <v>900</v>
      </c>
      <c r="AK170" s="20">
        <f>Forudsætninger!$C$17</f>
        <v>250</v>
      </c>
      <c r="AL170" s="20">
        <f>IF(A170&lt;92,Forudsætninger!$C$20,Forudsætninger!$C$21)</f>
        <v>1.0566762728146013</v>
      </c>
      <c r="AM170" s="20">
        <f t="shared" si="71"/>
        <v>446.02709668614386</v>
      </c>
      <c r="AN170" s="20">
        <f>IFERROR(AD170+AJ170-AA170-Z170-AK170-AM170-Forudsætninger!$C$75,-99999999)</f>
        <v>-56.85505534959006</v>
      </c>
      <c r="AO170" s="19">
        <f>IFERROR(AN170/(A170+Forudsætninger!$C$74),-99999999)</f>
        <v>-0.33842294850946464</v>
      </c>
      <c r="AP170" s="19">
        <f>IFERROR(((365/(A170+Forudsætninger!$C$74))*AN170)/(AI170+Forudsætninger!$C$73),-9999999)</f>
        <v>-46.521016863792198</v>
      </c>
      <c r="AQ170" s="18">
        <f t="shared" si="62"/>
        <v>168</v>
      </c>
      <c r="AR170" s="18">
        <f t="shared" si="72"/>
        <v>4594.7532959806003</v>
      </c>
      <c r="AS170" s="52">
        <f t="shared" si="53"/>
        <v>6.8</v>
      </c>
      <c r="AT170" s="50">
        <f t="shared" si="75"/>
        <v>2.9049228476281428</v>
      </c>
      <c r="AU170" s="50">
        <f t="shared" si="76"/>
        <v>1.942123231220122E-2</v>
      </c>
      <c r="AV170" s="2">
        <f t="shared" si="77"/>
        <v>2.7424654001025957</v>
      </c>
      <c r="AW170" s="61">
        <f t="shared" si="73"/>
        <v>2.3165002460509152</v>
      </c>
      <c r="BA170" s="16"/>
      <c r="BB170" s="2"/>
    </row>
    <row r="171" spans="1:54" x14ac:dyDescent="0.25">
      <c r="A171">
        <v>169</v>
      </c>
      <c r="B171" s="1">
        <f>ROUND((A171+Forudsætninger!$C$60)/30.4,1)</f>
        <v>6.8</v>
      </c>
      <c r="C171" s="1">
        <f>VLOOKUP((A171+Forudsætninger!$C$60),'Model tilvækst, slagteform, fe'!A:B,2,FALSE)</f>
        <v>304.79899129045634</v>
      </c>
      <c r="D171" s="3">
        <f t="shared" si="63"/>
        <v>1580.595617408278</v>
      </c>
      <c r="E171" s="1">
        <f>(1+Forudsætninger!$C$78)*C171</f>
        <v>283.46306190012439</v>
      </c>
      <c r="F171" s="2">
        <f t="shared" si="64"/>
        <v>1.5862332016702385</v>
      </c>
      <c r="G171" s="1">
        <f t="shared" si="54"/>
        <v>285.0492951017946</v>
      </c>
      <c r="H171" s="3">
        <f t="shared" si="55"/>
        <v>1424.7940494066142</v>
      </c>
      <c r="I171" s="3">
        <f t="shared" si="56"/>
        <v>1278.398195868607</v>
      </c>
      <c r="J171" s="1">
        <f>VLOOKUP((A171+Forudsætninger!$C$60),'Model tilvækst, slagteform, fe'!G:K,2,FALSE)*(1+Forudsætninger!$C$79)</f>
        <v>49.656100455285497</v>
      </c>
      <c r="K171" s="17">
        <f t="shared" si="52"/>
        <v>141.54436432283032</v>
      </c>
      <c r="L171" s="17">
        <f t="shared" si="65"/>
        <v>762.88357462490808</v>
      </c>
      <c r="M171" s="3">
        <f>((K171-(('Model tilvækst, slagteform, fe'!$H$9/100)*'Model tilvækst, slagteform, fe'!$B$9))*1000/(A171+Forudsætninger!$C$60))</f>
        <v>582.19932833856456</v>
      </c>
      <c r="N171" s="17">
        <f t="shared" si="66"/>
        <v>795.54763249716484</v>
      </c>
      <c r="O171" s="19">
        <f>IF( A171&lt;Forudsætninger!$C$14,(G171/100)*Forudsætninger!$C$13,(Forudsætninger!$C$15/1000)*Forudsætninger!$C$13)</f>
        <v>1.852820418161665</v>
      </c>
      <c r="P171" s="17" cm="1">
        <f t="array" ref="P171">INDEX('Model tilvækst, slagteform, fe'!$N$9:$N$375,MATCH(MIN(ABS('Model tilvækst, slagteform, fe'!$M$9:$M$375-'Vækstfunktion, hol'!G171)),ABS('Model tilvækst, slagteform, fe'!$M$9:$M$375-'Vækstfunktion, hol'!G171),0))*(1+Forudsætninger!$C$80)</f>
        <v>6.9732339941500214</v>
      </c>
      <c r="Q171" s="17">
        <f t="shared" si="67"/>
        <v>9.1406267300729294</v>
      </c>
      <c r="R171" s="17">
        <f t="shared" si="68"/>
        <v>7.2702781015784828</v>
      </c>
      <c r="S171" s="17">
        <f t="shared" si="57"/>
        <v>3.6822505351027952</v>
      </c>
      <c r="T171" s="19">
        <f>(P171)*IF(N171&lt;Forudsætninger!$B$228,IF(N171&lt;Forudsætninger!$B$227,Forudsætninger!$B$225,Forudsætninger!$C$9),Forudsætninger!$C$11)+O171</f>
        <v>18.170187964472717</v>
      </c>
      <c r="U171" s="2">
        <f>Forudsætninger!$C$68+((K171-(Forudsætninger!$C$84)))*0.01</f>
        <v>3.1124965022169433</v>
      </c>
      <c r="V171" s="2">
        <f>U171+Forudsætninger!$C$69</f>
        <v>2.1124965022169433</v>
      </c>
      <c r="W171">
        <f t="shared" si="58"/>
        <v>1</v>
      </c>
      <c r="X171">
        <f>IF(A171+Forudsætninger!$C$60&gt;248,IF(A171+Forudsætninger!$C$60&lt;365,IF(K171&gt;180,IF(K171&lt;260,1,0),0),0),0)</f>
        <v>0</v>
      </c>
      <c r="Y171" s="22">
        <f>IF(X171=0,0,IF('Vækstfunktion, hol'!A171&lt;Forudsætninger!$C$66,Forudsætninger!$C$67+(('Vækstfunktion, hol'!A171-Forudsætninger!$C$66)/7)*Forudsætninger!$C$64,Forudsætninger!$C$67))</f>
        <v>0</v>
      </c>
      <c r="Z171" s="19">
        <f t="shared" si="69"/>
        <v>2566.8963872589297</v>
      </c>
      <c r="AA171" s="19">
        <f>Forudsætninger!$C$62+Forudsætninger!$C$16</f>
        <v>1350</v>
      </c>
      <c r="AB171" s="19">
        <f>IF(K171&gt;Forudsætninger!$C$26,IF(K171&gt;Forudsætninger!$C$27,IF(K171&gt;Forudsætninger!$C$28,Forudsætninger!$E$28,Forudsætninger!$E$27+Forudsætninger!$F$28*(K171-Forudsætninger!$C$27)),Forudsætninger!$E$26+Forudsætninger!$F$27*(K171-Forudsætninger!$C$26)),Forudsætninger!$E$26)+IF(K171&gt;Forudsætninger!$C$28,Forudsætninger!$G$28,IF(K171&gt;Forudsætninger!$C$27,Forudsætninger!$G$27+Forudsætninger!$H$28*(K171-Forudsætninger!$C$27),IF(K171&gt;Forudsætninger!$C$26,Forudsætninger!$G$26+Forudsætninger!$H$27*(K171-Forudsætninger!$C$26),Forudsætninger!$G$26)))*(U171-Forudsætninger!$H$26)</f>
        <v>33.684372376662708</v>
      </c>
      <c r="AC171" s="19">
        <f>IF(K171&gt;Forudsætninger!$C$31,IF(K171&gt;Forudsætninger!$C$32,IF(K171&gt;Forudsætninger!$C$33,Forudsætninger!$E$33,Forudsætninger!$E$32+Forudsætninger!$F$33*(K171-Forudsætninger!$C$32)),Forudsætninger!$E$31+Forudsætninger!$F$32*(K171-Forudsætninger!$C$31)),Forudsætninger!$E$31)+IF(K171&gt;Forudsætninger!$C$33,Forudsætninger!$G$33,IF(K171&gt;Forudsætninger!$C$32,Forudsætninger!$G$32+Forudsætninger!$H$33*(K171-Forudsætninger!$C$32),IF(K171&gt;Forudsætninger!$C$31,Forudsætninger!$G$31+Forudsætninger!$H$32*(K171-Forudsætninger!$C$31),Forudsætninger!$G$31)))*(V171-Forudsætninger!$H$31)</f>
        <v>27.146245452882027</v>
      </c>
      <c r="AD171" s="19">
        <f t="shared" si="59"/>
        <v>3842.3980563797095</v>
      </c>
      <c r="AE171" s="19">
        <f t="shared" si="60"/>
        <v>27.146245452882027</v>
      </c>
      <c r="AF171">
        <f>IF(G171&lt;=Forudsætninger!$C$97,Forudsætninger!$C$98,(IF(G171&lt;=Forudsætninger!$D$97,Forudsætninger!$D$98,IF(G171&lt;=Forudsætninger!$E$97,Forudsætninger!$E$98,IF(G171&lt;=Forudsætninger!$F$97,Forudsætninger!$F$98,IF(G171&lt;=Forudsætninger!$G$97,Forudsætninger!$G$98,IF(G171&lt;=Forudsætninger!$H$97,Forudsætninger!$H$98,IF(G171&lt;=Forudsætninger!$I$97,Forudsætninger!$I$98,Forudsætninger!$I$98))))))))</f>
        <v>3.2</v>
      </c>
      <c r="AG171" s="1">
        <f t="shared" si="70"/>
        <v>3.2</v>
      </c>
      <c r="AH171" s="1">
        <f t="shared" si="74"/>
        <v>430.79999999999887</v>
      </c>
      <c r="AI171" s="1">
        <f t="shared" si="61"/>
        <v>2.5491124260354963</v>
      </c>
      <c r="AJ171" s="20">
        <f>+(W171*Forudsætninger!$C$12)</f>
        <v>900</v>
      </c>
      <c r="AK171" s="20">
        <f>Forudsætninger!$C$17</f>
        <v>250</v>
      </c>
      <c r="AL171" s="20">
        <f>IF(A171&lt;92,Forudsætninger!$C$20,Forudsætninger!$C$21)</f>
        <v>1.0566762728146013</v>
      </c>
      <c r="AM171" s="20">
        <f t="shared" si="71"/>
        <v>447.08377295895849</v>
      </c>
      <c r="AN171" s="20">
        <f>IFERROR(AD171+AJ171-AA171-Z171-AK171-AM171-Forudsætninger!$C$75,-99999999)</f>
        <v>-53.976296387573285</v>
      </c>
      <c r="AO171" s="19">
        <f>IFERROR(AN171/(A171+Forudsætninger!$C$74),-99999999)</f>
        <v>-0.31938636915723839</v>
      </c>
      <c r="AP171" s="19">
        <f>IFERROR(((365/(A171+Forudsætninger!$C$74))*AN171)/(AI171+Forudsætninger!$C$73),-9999999)</f>
        <v>-43.840201565375956</v>
      </c>
      <c r="AQ171" s="18">
        <f t="shared" si="62"/>
        <v>169</v>
      </c>
      <c r="AR171" s="18">
        <f t="shared" si="72"/>
        <v>4613.9801602178886</v>
      </c>
      <c r="AS171" s="52">
        <f t="shared" si="53"/>
        <v>6.8</v>
      </c>
      <c r="AT171" s="50">
        <f t="shared" si="75"/>
        <v>2.8787589620167751</v>
      </c>
      <c r="AU171" s="50">
        <f t="shared" si="76"/>
        <v>1.9036579352226246E-2</v>
      </c>
      <c r="AV171" s="2">
        <f t="shared" si="77"/>
        <v>2.6808152984162419</v>
      </c>
      <c r="AW171" s="61">
        <f t="shared" si="73"/>
        <v>2.3260797430259479</v>
      </c>
      <c r="BA171" s="16"/>
      <c r="BB171" s="2"/>
    </row>
    <row r="172" spans="1:54" x14ac:dyDescent="0.25">
      <c r="A172">
        <v>170</v>
      </c>
      <c r="B172" s="1">
        <f>ROUND((A172+Forudsætninger!$C$60)/30.4,1)</f>
        <v>6.9</v>
      </c>
      <c r="C172" s="1">
        <f>VLOOKUP((A172+Forudsætninger!$C$60),'Model tilvækst, slagteform, fe'!A:B,2,FALSE)</f>
        <v>306.37747741619387</v>
      </c>
      <c r="D172" s="3">
        <f t="shared" si="63"/>
        <v>1578.4861257375269</v>
      </c>
      <c r="E172" s="1">
        <f>(1+Forudsætninger!$C$78)*C172</f>
        <v>284.9310539970603</v>
      </c>
      <c r="F172" s="2">
        <f t="shared" si="64"/>
        <v>1.5411335980777376</v>
      </c>
      <c r="G172" s="1">
        <f t="shared" si="54"/>
        <v>286.47218759513805</v>
      </c>
      <c r="H172" s="3">
        <f t="shared" si="55"/>
        <v>1422.8924933434541</v>
      </c>
      <c r="I172" s="3">
        <f t="shared" si="56"/>
        <v>1279.2481623243416</v>
      </c>
      <c r="J172" s="1">
        <f>VLOOKUP((A172+Forudsætninger!$C$60),'Model tilvækst, slagteform, fe'!G:K,2,FALSE)*(1+Forudsætninger!$C$79)</f>
        <v>49.675574285762437</v>
      </c>
      <c r="K172" s="17">
        <f t="shared" si="52"/>
        <v>142.30670435687153</v>
      </c>
      <c r="L172" s="17">
        <f t="shared" si="65"/>
        <v>762.34003404121609</v>
      </c>
      <c r="M172" s="3">
        <f>((K172-(('Model tilvækst, slagteform, fe'!$H$9/100)*'Model tilvækst, slagteform, fe'!$B$9))*1000/(A172+Forudsætninger!$C$60))</f>
        <v>583.06124559073032</v>
      </c>
      <c r="N172" s="17">
        <f t="shared" si="66"/>
        <v>802.53547036473594</v>
      </c>
      <c r="O172" s="19">
        <f>IF( A172&lt;Forudsætninger!$C$14,(G172/100)*Forudsætninger!$C$13,(Forudsætninger!$C$15/1000)*Forudsætninger!$C$13)</f>
        <v>1.8620692193683974</v>
      </c>
      <c r="P172" s="17" cm="1">
        <f t="array" ref="P172">INDEX('Model tilvækst, slagteform, fe'!$N$9:$N$375,MATCH(MIN(ABS('Model tilvækst, slagteform, fe'!$M$9:$M$375-'Vækstfunktion, hol'!G172)),ABS('Model tilvækst, slagteform, fe'!$M$9:$M$375-'Vækstfunktion, hol'!G172),0))*(1+Forudsætninger!$C$80)</f>
        <v>6.987837867571101</v>
      </c>
      <c r="Q172" s="17">
        <f t="shared" si="67"/>
        <v>9.1663005424601671</v>
      </c>
      <c r="R172" s="17">
        <f t="shared" si="68"/>
        <v>7.2833959280950564</v>
      </c>
      <c r="S172" s="17">
        <f t="shared" si="57"/>
        <v>3.690290143486274</v>
      </c>
      <c r="T172" s="19">
        <f>(P172)*IF(N172&lt;Forudsætninger!$B$228,IF(N172&lt;Forudsætninger!$B$227,Forudsætninger!$B$225,Forudsætninger!$C$9),Forudsætninger!$C$11)+O172</f>
        <v>18.213609829484774</v>
      </c>
      <c r="U172" s="2">
        <f>Forudsætninger!$C$68+((K172-(Forudsætninger!$C$84)))*0.01</f>
        <v>3.1201199025573558</v>
      </c>
      <c r="V172" s="2">
        <f>U172+Forudsætninger!$C$69</f>
        <v>2.1201199025573558</v>
      </c>
      <c r="W172">
        <f t="shared" si="58"/>
        <v>1</v>
      </c>
      <c r="X172">
        <f>IF(A172+Forudsætninger!$C$60&gt;248,IF(A172+Forudsætninger!$C$60&lt;365,IF(K172&gt;180,IF(K172&lt;260,1,0),0),0),0)</f>
        <v>0</v>
      </c>
      <c r="Y172" s="22">
        <f>IF(X172=0,0,IF('Vækstfunktion, hol'!A172&lt;Forudsætninger!$C$66,Forudsætninger!$C$67+(('Vækstfunktion, hol'!A172-Forudsætninger!$C$66)/7)*Forudsætninger!$C$64,Forudsætninger!$C$67))</f>
        <v>0</v>
      </c>
      <c r="Z172" s="19">
        <f t="shared" si="69"/>
        <v>2585.1099970884147</v>
      </c>
      <c r="AA172" s="19">
        <f>Forudsætninger!$C$62+Forudsætninger!$C$16</f>
        <v>1350</v>
      </c>
      <c r="AB172" s="19">
        <f>IF(K172&gt;Forudsætninger!$C$26,IF(K172&gt;Forudsætninger!$C$27,IF(K172&gt;Forudsætninger!$C$28,Forudsætninger!$E$28,Forudsætninger!$E$27+Forudsætninger!$F$28*(K172-Forudsætninger!$C$27)),Forudsætninger!$E$26+Forudsætninger!$F$27*(K172-Forudsætninger!$C$26)),Forudsætninger!$E$26)+IF(K172&gt;Forudsætninger!$C$28,Forudsætninger!$G$28,IF(K172&gt;Forudsætninger!$C$27,Forudsætninger!$G$27+Forudsætninger!$H$28*(K172-Forudsætninger!$C$27),IF(K172&gt;Forudsætninger!$C$26,Forudsætninger!$G$26+Forudsætninger!$H$27*(K172-Forudsætninger!$C$26),Forudsætninger!$G$26)))*(U172-Forudsætninger!$H$26)</f>
        <v>33.69008992691802</v>
      </c>
      <c r="AC172" s="19">
        <f>IF(K172&gt;Forudsætninger!$C$31,IF(K172&gt;Forudsætninger!$C$32,IF(K172&gt;Forudsætninger!$C$33,Forudsætninger!$E$33,Forudsætninger!$E$32+Forudsætninger!$F$33*(K172-Forudsætninger!$C$32)),Forudsætninger!$E$31+Forudsætninger!$F$32*(K172-Forudsætninger!$C$31)),Forudsætninger!$E$31)+IF(K172&gt;Forudsætninger!$C$33,Forudsætninger!$G$33,IF(K172&gt;Forudsætninger!$C$32,Forudsætninger!$G$32+Forudsætninger!$H$33*(K172-Forudsætninger!$C$32),IF(K172&gt;Forudsætninger!$C$31,Forudsætninger!$G$31+Forudsætninger!$H$32*(K172-Forudsætninger!$C$31),Forudsætninger!$G$31)))*(V172-Forudsætninger!$H$31)</f>
        <v>27.156155873324561</v>
      </c>
      <c r="AD172" s="19">
        <f t="shared" si="59"/>
        <v>3864.5030453343188</v>
      </c>
      <c r="AE172" s="19">
        <f t="shared" si="60"/>
        <v>27.156155873324561</v>
      </c>
      <c r="AF172">
        <f>IF(G172&lt;=Forudsætninger!$C$97,Forudsætninger!$C$98,(IF(G172&lt;=Forudsætninger!$D$97,Forudsætninger!$D$98,IF(G172&lt;=Forudsætninger!$E$97,Forudsætninger!$E$98,IF(G172&lt;=Forudsætninger!$F$97,Forudsætninger!$F$98,IF(G172&lt;=Forudsætninger!$G$97,Forudsætninger!$G$98,IF(G172&lt;=Forudsætninger!$H$97,Forudsætninger!$H$98,IF(G172&lt;=Forudsætninger!$I$97,Forudsætninger!$I$98,Forudsætninger!$I$98))))))))</f>
        <v>3.2</v>
      </c>
      <c r="AG172" s="1">
        <f t="shared" si="70"/>
        <v>3.2</v>
      </c>
      <c r="AH172" s="1">
        <f t="shared" si="74"/>
        <v>433.99999999999886</v>
      </c>
      <c r="AI172" s="1">
        <f t="shared" si="61"/>
        <v>2.5529411764705814</v>
      </c>
      <c r="AJ172" s="20">
        <f>+(W172*Forudsætninger!$C$12)</f>
        <v>900</v>
      </c>
      <c r="AK172" s="20">
        <f>Forudsætninger!$C$17</f>
        <v>250</v>
      </c>
      <c r="AL172" s="20">
        <f>IF(A172&lt;92,Forudsætninger!$C$20,Forudsætninger!$C$21)</f>
        <v>1.0566762728146013</v>
      </c>
      <c r="AM172" s="20">
        <f t="shared" si="71"/>
        <v>448.14044923177312</v>
      </c>
      <c r="AN172" s="20">
        <f>IFERROR(AD172+AJ172-AA172-Z172-AK172-AM172-Forudsætninger!$C$75,-99999999)</f>
        <v>-51.141593535263581</v>
      </c>
      <c r="AO172" s="19">
        <f>IFERROR(AN172/(A172+Forudsætninger!$C$74),-99999999)</f>
        <v>-0.30083290314860928</v>
      </c>
      <c r="AP172" s="19">
        <f>IFERROR(((365/(A172+Forudsætninger!$C$74))*AN172)/(AI172+Forudsætninger!$C$73),-9999999)</f>
        <v>-41.234110095805732</v>
      </c>
      <c r="AQ172" s="18">
        <f t="shared" si="62"/>
        <v>170</v>
      </c>
      <c r="AR172" s="18">
        <f t="shared" si="72"/>
        <v>4633.2504463201885</v>
      </c>
      <c r="AS172" s="52">
        <f t="shared" si="53"/>
        <v>6.9</v>
      </c>
      <c r="AT172" s="50">
        <f t="shared" si="75"/>
        <v>2.8347028523097038</v>
      </c>
      <c r="AU172" s="50">
        <f t="shared" si="76"/>
        <v>1.8553466008629116E-2</v>
      </c>
      <c r="AV172" s="2">
        <f t="shared" si="77"/>
        <v>2.6060914695702238</v>
      </c>
      <c r="AW172" s="61">
        <f t="shared" si="73"/>
        <v>2.3352873864500561</v>
      </c>
      <c r="BA172" s="16"/>
      <c r="BB172" s="2"/>
    </row>
    <row r="173" spans="1:54" x14ac:dyDescent="0.25">
      <c r="A173">
        <v>171</v>
      </c>
      <c r="B173" s="1">
        <f>ROUND((A173+Forudsætninger!$C$60)/30.4,1)</f>
        <v>6.9</v>
      </c>
      <c r="C173" s="1">
        <f>VLOOKUP((A173+Forudsætninger!$C$60),'Model tilvækst, slagteform, fe'!A:B,2,FALSE)</f>
        <v>307.95380554874401</v>
      </c>
      <c r="D173" s="3">
        <f t="shared" si="63"/>
        <v>1576.3281325501453</v>
      </c>
      <c r="E173" s="1">
        <f>(1+Forudsætninger!$C$78)*C173</f>
        <v>286.39703916033193</v>
      </c>
      <c r="F173" s="2">
        <f t="shared" si="64"/>
        <v>1.4960956514334478</v>
      </c>
      <c r="G173" s="1">
        <f t="shared" si="54"/>
        <v>287.89313481176538</v>
      </c>
      <c r="H173" s="3">
        <f t="shared" si="55"/>
        <v>1420.9472166273258</v>
      </c>
      <c r="I173" s="3">
        <f t="shared" si="56"/>
        <v>1280.0768117647096</v>
      </c>
      <c r="J173" s="1">
        <f>VLOOKUP((A173+Forudsætninger!$C$60),'Model tilvækst, slagteform, fe'!G:K,2,FALSE)*(1+Forudsætninger!$C$79)</f>
        <v>49.694989110248493</v>
      </c>
      <c r="K173" s="17">
        <f t="shared" si="52"/>
        <v>143.06846199385981</v>
      </c>
      <c r="L173" s="17">
        <f t="shared" si="65"/>
        <v>761.75763698827836</v>
      </c>
      <c r="M173" s="3">
        <f>((K173-(('Model tilvækst, slagteform, fe'!$H$9/100)*'Model tilvækst, slagteform, fe'!$B$9))*1000/(A173+Forudsætninger!$C$60))</f>
        <v>583.91218078786153</v>
      </c>
      <c r="N173" s="17">
        <f t="shared" si="66"/>
        <v>809.53047529453147</v>
      </c>
      <c r="O173" s="19">
        <f>IF( A173&lt;Forudsætninger!$C$14,(G173/100)*Forudsætninger!$C$13,(Forudsætninger!$C$15/1000)*Forudsætninger!$C$13)</f>
        <v>1.8713053762764751</v>
      </c>
      <c r="P173" s="17" cm="1">
        <f t="array" ref="P173">INDEX('Model tilvækst, slagteform, fe'!$N$9:$N$375,MATCH(MIN(ABS('Model tilvækst, slagteform, fe'!$M$9:$M$375-'Vækstfunktion, hol'!G173)),ABS('Model tilvækst, slagteform, fe'!$M$9:$M$375-'Vækstfunktion, hol'!G173),0))*(1+Forudsætninger!$C$80)</f>
        <v>6.995004929795499</v>
      </c>
      <c r="Q173" s="17">
        <f t="shared" si="67"/>
        <v>9.1827171663828491</v>
      </c>
      <c r="R173" s="17">
        <f t="shared" si="68"/>
        <v>7.2964363859299715</v>
      </c>
      <c r="S173" s="17">
        <f t="shared" si="57"/>
        <v>3.6982908394577008</v>
      </c>
      <c r="T173" s="19">
        <f>(P173)*IF(N173&lt;Forudsætninger!$B$228,IF(N173&lt;Forudsætninger!$B$227,Forudsætninger!$B$225,Forudsætninger!$C$9),Forudsætninger!$C$11)+O173</f>
        <v>18.239616911997942</v>
      </c>
      <c r="U173" s="2">
        <f>Forudsætninger!$C$68+((K173-(Forudsætninger!$C$84)))*0.01</f>
        <v>3.1277374789272385</v>
      </c>
      <c r="V173" s="2">
        <f>U173+Forudsætninger!$C$69</f>
        <v>2.1277374789272385</v>
      </c>
      <c r="W173">
        <f t="shared" si="58"/>
        <v>1</v>
      </c>
      <c r="X173">
        <f>IF(A173+Forudsætninger!$C$60&gt;248,IF(A173+Forudsætninger!$C$60&lt;365,IF(K173&gt;180,IF(K173&lt;260,1,0),0),0),0)</f>
        <v>0</v>
      </c>
      <c r="Y173" s="22">
        <f>IF(X173=0,0,IF('Vækstfunktion, hol'!A173&lt;Forudsætninger!$C$66,Forudsætninger!$C$67+(('Vækstfunktion, hol'!A173-Forudsætninger!$C$66)/7)*Forudsætninger!$C$64,Forudsætninger!$C$67))</f>
        <v>0</v>
      </c>
      <c r="Z173" s="19">
        <f t="shared" si="69"/>
        <v>2603.3496140004127</v>
      </c>
      <c r="AA173" s="19">
        <f>Forudsætninger!$C$62+Forudsætninger!$C$16</f>
        <v>1350</v>
      </c>
      <c r="AB173" s="19">
        <f>IF(K173&gt;Forudsætninger!$C$26,IF(K173&gt;Forudsætninger!$C$27,IF(K173&gt;Forudsætninger!$C$28,Forudsætninger!$E$28,Forudsætninger!$E$27+Forudsætninger!$F$28*(K173-Forudsætninger!$C$27)),Forudsætninger!$E$26+Forudsætninger!$F$27*(K173-Forudsætninger!$C$26)),Forudsætninger!$E$26)+IF(K173&gt;Forudsætninger!$C$28,Forudsætninger!$G$28,IF(K173&gt;Forudsætninger!$C$27,Forudsætninger!$G$27+Forudsætninger!$H$28*(K173-Forudsætninger!$C$27),IF(K173&gt;Forudsætninger!$C$26,Forudsætninger!$G$26+Forudsætninger!$H$27*(K173-Forudsætninger!$C$26),Forudsætninger!$G$26)))*(U173-Forudsætninger!$H$26)</f>
        <v>33.695803109195431</v>
      </c>
      <c r="AC173" s="19">
        <f>IF(K173&gt;Forudsætninger!$C$31,IF(K173&gt;Forudsætninger!$C$32,IF(K173&gt;Forudsætninger!$C$33,Forudsætninger!$E$33,Forudsætninger!$E$32+Forudsætninger!$F$33*(K173-Forudsætninger!$C$32)),Forudsætninger!$E$31+Forudsætninger!$F$32*(K173-Forudsætninger!$C$31)),Forudsætninger!$E$31)+IF(K173&gt;Forudsætninger!$C$33,Forudsætninger!$G$33,IF(K173&gt;Forudsætninger!$C$32,Forudsætninger!$G$32+Forudsætninger!$H$33*(K173-Forudsætninger!$C$32),IF(K173&gt;Forudsætninger!$C$31,Forudsætninger!$G$31+Forudsætninger!$H$32*(K173-Forudsætninger!$C$31),Forudsætninger!$G$31)))*(V173-Forudsætninger!$H$31)</f>
        <v>27.16605872260541</v>
      </c>
      <c r="AD173" s="19">
        <f t="shared" si="59"/>
        <v>3886.6062398780359</v>
      </c>
      <c r="AE173" s="19">
        <f t="shared" si="60"/>
        <v>27.16605872260541</v>
      </c>
      <c r="AF173">
        <f>IF(G173&lt;=Forudsætninger!$C$97,Forudsætninger!$C$98,(IF(G173&lt;=Forudsætninger!$D$97,Forudsætninger!$D$98,IF(G173&lt;=Forudsætninger!$E$97,Forudsætninger!$E$98,IF(G173&lt;=Forudsætninger!$F$97,Forudsætninger!$F$98,IF(G173&lt;=Forudsætninger!$G$97,Forudsætninger!$G$98,IF(G173&lt;=Forudsætninger!$H$97,Forudsætninger!$H$98,IF(G173&lt;=Forudsætninger!$I$97,Forudsætninger!$I$98,Forudsætninger!$I$98))))))))</f>
        <v>3.2</v>
      </c>
      <c r="AG173" s="1">
        <f t="shared" si="70"/>
        <v>3.2</v>
      </c>
      <c r="AH173" s="1">
        <f t="shared" si="74"/>
        <v>437.19999999999885</v>
      </c>
      <c r="AI173" s="1">
        <f t="shared" si="61"/>
        <v>2.5567251461988239</v>
      </c>
      <c r="AJ173" s="20">
        <f>+(W173*Forudsætninger!$C$12)</f>
        <v>900</v>
      </c>
      <c r="AK173" s="20">
        <f>Forudsætninger!$C$17</f>
        <v>250</v>
      </c>
      <c r="AL173" s="20">
        <f>IF(A173&lt;92,Forudsætninger!$C$20,Forudsætninger!$C$21)</f>
        <v>1.0566762728146013</v>
      </c>
      <c r="AM173" s="20">
        <f t="shared" si="71"/>
        <v>449.19712550458775</v>
      </c>
      <c r="AN173" s="20">
        <f>IFERROR(AD173+AJ173-AA173-Z173-AK173-AM173-Forudsætninger!$C$75,-99999999)</f>
        <v>-48.334692176359027</v>
      </c>
      <c r="AO173" s="19">
        <f>IFERROR(AN173/(A173+Forudsætninger!$C$74),-99999999)</f>
        <v>-0.28265901857519898</v>
      </c>
      <c r="AP173" s="19">
        <f>IFERROR(((365/(A173+Forudsætninger!$C$74))*AN173)/(AI173+Forudsætninger!$C$73),-9999999)</f>
        <v>-38.688104744130804</v>
      </c>
      <c r="AQ173" s="18">
        <f t="shared" si="62"/>
        <v>171</v>
      </c>
      <c r="AR173" s="18">
        <f t="shared" si="72"/>
        <v>4652.546739505</v>
      </c>
      <c r="AS173" s="52">
        <f t="shared" si="53"/>
        <v>6.9</v>
      </c>
      <c r="AT173" s="50">
        <f t="shared" si="75"/>
        <v>2.8069013589045539</v>
      </c>
      <c r="AU173" s="50">
        <f t="shared" si="76"/>
        <v>1.8173884573410293E-2</v>
      </c>
      <c r="AV173" s="2">
        <f t="shared" si="77"/>
        <v>2.5460053516749284</v>
      </c>
      <c r="AW173" s="61">
        <f t="shared" si="73"/>
        <v>2.3442247563054308</v>
      </c>
      <c r="BA173" s="16"/>
      <c r="BB173" s="2"/>
    </row>
    <row r="174" spans="1:54" x14ac:dyDescent="0.25">
      <c r="A174">
        <v>172</v>
      </c>
      <c r="B174" s="1">
        <f>ROUND((A174+Forudsætninger!$C$60)/30.4,1)</f>
        <v>6.9</v>
      </c>
      <c r="C174" s="1">
        <f>VLOOKUP((A174+Forudsætninger!$C$60),'Model tilvækst, slagteform, fe'!A:B,2,FALSE)</f>
        <v>309.52792772093761</v>
      </c>
      <c r="D174" s="3">
        <f t="shared" si="63"/>
        <v>1574.1221721935972</v>
      </c>
      <c r="E174" s="1">
        <f>(1+Forudsætninger!$C$78)*C174</f>
        <v>287.86097278047197</v>
      </c>
      <c r="F174" s="2">
        <f t="shared" si="64"/>
        <v>1.4511207322279165</v>
      </c>
      <c r="G174" s="1">
        <f t="shared" si="54"/>
        <v>289.3120935126999</v>
      </c>
      <c r="H174" s="3">
        <f t="shared" si="55"/>
        <v>1418.9587009345246</v>
      </c>
      <c r="I174" s="3">
        <f t="shared" si="56"/>
        <v>1280.8842646087205</v>
      </c>
      <c r="J174" s="1">
        <f>VLOOKUP((A174+Forudsætninger!$C$60),'Model tilvækst, slagteform, fe'!G:K,2,FALSE)*(1+Forudsætninger!$C$79)</f>
        <v>49.714340168998817</v>
      </c>
      <c r="K174" s="17">
        <f t="shared" si="52"/>
        <v>143.82959831895559</v>
      </c>
      <c r="L174" s="17">
        <f t="shared" si="65"/>
        <v>761.13632509577656</v>
      </c>
      <c r="M174" s="3">
        <f>((K174-(('Model tilvækst, slagteform, fe'!$H$9/100)*'Model tilvækst, slagteform, fe'!$B$9))*1000/(A174+Forudsætninger!$C$60))</f>
        <v>584.75210564240138</v>
      </c>
      <c r="N174" s="17">
        <f t="shared" si="66"/>
        <v>816.53256355598921</v>
      </c>
      <c r="O174" s="19">
        <f>IF( A174&lt;Forudsætninger!$C$14,(G174/100)*Forudsætninger!$C$13,(Forudsætninger!$C$15/1000)*Forudsætninger!$C$13)</f>
        <v>1.8805286078325494</v>
      </c>
      <c r="P174" s="17" cm="1">
        <f t="array" ref="P174">INDEX('Model tilvækst, slagteform, fe'!$N$9:$N$375,MATCH(MIN(ABS('Model tilvækst, slagteform, fe'!$M$9:$M$375-'Vækstfunktion, hol'!G174)),ABS('Model tilvækst, slagteform, fe'!$M$9:$M$375-'Vækstfunktion, hol'!G174),0))*(1+Forudsætninger!$C$80)</f>
        <v>7.0020882614577848</v>
      </c>
      <c r="Q174" s="17">
        <f t="shared" si="67"/>
        <v>9.1995192327428157</v>
      </c>
      <c r="R174" s="17">
        <f t="shared" si="68"/>
        <v>7.3094030585286527</v>
      </c>
      <c r="S174" s="17">
        <f t="shared" si="57"/>
        <v>3.7062539352108699</v>
      </c>
      <c r="T174" s="19">
        <f>(P174)*IF(N174&lt;Forudsætninger!$B$228,IF(N174&lt;Forudsætninger!$B$227,Forudsætninger!$B$225,Forudsætninger!$C$9),Forudsætninger!$C$11)+O174</f>
        <v>18.265415139643764</v>
      </c>
      <c r="U174" s="2">
        <f>Forudsætninger!$C$68+((K174-(Forudsætninger!$C$84)))*0.01</f>
        <v>3.1353488421781961</v>
      </c>
      <c r="V174" s="2">
        <f>U174+Forudsætninger!$C$69</f>
        <v>2.1353488421781961</v>
      </c>
      <c r="W174">
        <f t="shared" si="58"/>
        <v>1</v>
      </c>
      <c r="X174">
        <f>IF(A174+Forudsætninger!$C$60&gt;248,IF(A174+Forudsætninger!$C$60&lt;365,IF(K174&gt;180,IF(K174&lt;260,1,0),0),0),0)</f>
        <v>0</v>
      </c>
      <c r="Y174" s="22">
        <f>IF(X174=0,0,IF('Vækstfunktion, hol'!A174&lt;Forudsætninger!$C$66,Forudsætninger!$C$67+(('Vækstfunktion, hol'!A174-Forudsætninger!$C$66)/7)*Forudsætninger!$C$64,Forudsætninger!$C$67))</f>
        <v>0</v>
      </c>
      <c r="Z174" s="19">
        <f t="shared" si="69"/>
        <v>2621.6150291400563</v>
      </c>
      <c r="AA174" s="19">
        <f>Forudsætninger!$C$62+Forudsætninger!$C$16</f>
        <v>1350</v>
      </c>
      <c r="AB174" s="19">
        <f>IF(K174&gt;Forudsætninger!$C$26,IF(K174&gt;Forudsætninger!$C$27,IF(K174&gt;Forudsætninger!$C$28,Forudsætninger!$E$28,Forudsætninger!$E$27+Forudsætninger!$F$28*(K174-Forudsætninger!$C$27)),Forudsætninger!$E$26+Forudsætninger!$F$27*(K174-Forudsætninger!$C$26)),Forudsætninger!$E$26)+IF(K174&gt;Forudsætninger!$C$28,Forudsætninger!$G$28,IF(K174&gt;Forudsætninger!$C$27,Forudsætninger!$G$27+Forudsætninger!$H$28*(K174-Forudsætninger!$C$27),IF(K174&gt;Forudsætninger!$C$26,Forudsætninger!$G$26+Forudsætninger!$H$27*(K174-Forudsætninger!$C$26),Forudsætninger!$G$26)))*(U174-Forudsætninger!$H$26)</f>
        <v>33.70151163163365</v>
      </c>
      <c r="AC174" s="19">
        <f>IF(K174&gt;Forudsætninger!$C$31,IF(K174&gt;Forudsætninger!$C$32,IF(K174&gt;Forudsætninger!$C$33,Forudsætninger!$E$33,Forudsætninger!$E$32+Forudsætninger!$F$33*(K174-Forudsætninger!$C$32)),Forudsætninger!$E$31+Forudsætninger!$F$32*(K174-Forudsætninger!$C$31)),Forudsætninger!$E$31)+IF(K174&gt;Forudsætninger!$C$33,Forudsætninger!$G$33,IF(K174&gt;Forudsætninger!$C$32,Forudsætninger!$G$32+Forudsætninger!$H$33*(K174-Forudsætninger!$C$32),IF(K174&gt;Forudsætninger!$C$31,Forudsætninger!$G$31+Forudsætninger!$H$32*(K174-Forudsætninger!$C$31),Forudsætninger!$G$31)))*(V174-Forudsætninger!$H$31)</f>
        <v>27.175953494831656</v>
      </c>
      <c r="AD174" s="19">
        <f t="shared" si="59"/>
        <v>3908.7064750962545</v>
      </c>
      <c r="AE174" s="19">
        <f t="shared" si="60"/>
        <v>27.175953494831656</v>
      </c>
      <c r="AF174">
        <f>IF(G174&lt;=Forudsætninger!$C$97,Forudsætninger!$C$98,(IF(G174&lt;=Forudsætninger!$D$97,Forudsætninger!$D$98,IF(G174&lt;=Forudsætninger!$E$97,Forudsætninger!$E$98,IF(G174&lt;=Forudsætninger!$F$97,Forudsætninger!$F$98,IF(G174&lt;=Forudsætninger!$G$97,Forudsætninger!$G$98,IF(G174&lt;=Forudsætninger!$H$97,Forudsætninger!$H$98,IF(G174&lt;=Forudsætninger!$I$97,Forudsætninger!$I$98,Forudsætninger!$I$98))))))))</f>
        <v>3.2</v>
      </c>
      <c r="AG174" s="1">
        <f t="shared" si="70"/>
        <v>3.2</v>
      </c>
      <c r="AH174" s="1">
        <f t="shared" si="74"/>
        <v>440.39999999999884</v>
      </c>
      <c r="AI174" s="1">
        <f t="shared" si="61"/>
        <v>2.560465116279063</v>
      </c>
      <c r="AJ174" s="20">
        <f>+(W174*Forudsætninger!$C$12)</f>
        <v>900</v>
      </c>
      <c r="AK174" s="20">
        <f>Forudsætninger!$C$17</f>
        <v>250</v>
      </c>
      <c r="AL174" s="20">
        <f>IF(A174&lt;92,Forudsætninger!$C$20,Forudsætninger!$C$21)</f>
        <v>1.0566762728146013</v>
      </c>
      <c r="AM174" s="20">
        <f t="shared" si="71"/>
        <v>450.25380177740237</v>
      </c>
      <c r="AN174" s="20">
        <f>IFERROR(AD174+AJ174-AA174-Z174-AK174-AM174-Forudsætninger!$C$75,-99999999)</f>
        <v>-45.556548370598733</v>
      </c>
      <c r="AO174" s="19">
        <f>IFERROR(AN174/(A174+Forudsætninger!$C$74),-99999999)</f>
        <v>-0.2648636533174345</v>
      </c>
      <c r="AP174" s="19">
        <f>IFERROR(((365/(A174+Forudsætninger!$C$74))*AN174)/(AI174+Forudsætninger!$C$73),-9999999)</f>
        <v>-36.201646249387316</v>
      </c>
      <c r="AQ174" s="18">
        <f t="shared" si="62"/>
        <v>172</v>
      </c>
      <c r="AR174" s="18">
        <f t="shared" si="72"/>
        <v>4671.8688309174586</v>
      </c>
      <c r="AS174" s="52">
        <f t="shared" si="53"/>
        <v>6.9</v>
      </c>
      <c r="AT174" s="50">
        <f t="shared" si="75"/>
        <v>2.7781438057602941</v>
      </c>
      <c r="AU174" s="50">
        <f t="shared" si="76"/>
        <v>1.7795365257764484E-2</v>
      </c>
      <c r="AV174" s="2">
        <f t="shared" si="77"/>
        <v>2.4864584947434878</v>
      </c>
      <c r="AW174" s="61">
        <f t="shared" si="73"/>
        <v>2.3528910081790908</v>
      </c>
      <c r="BA174" s="16"/>
      <c r="BB174" s="2"/>
    </row>
    <row r="175" spans="1:54" x14ac:dyDescent="0.25">
      <c r="A175">
        <v>173</v>
      </c>
      <c r="B175" s="1">
        <f>ROUND((A175+Forudsætninger!$C$60)/30.4,1)</f>
        <v>7</v>
      </c>
      <c r="C175" s="1">
        <f>VLOOKUP((A175+Forudsætninger!$C$60),'Model tilvækst, slagteform, fe'!A:B,2,FALSE)</f>
        <v>311.09979649995336</v>
      </c>
      <c r="D175" s="3">
        <f t="shared" si="63"/>
        <v>1571.8687790157446</v>
      </c>
      <c r="E175" s="1">
        <f>(1+Forudsætninger!$C$78)*C175</f>
        <v>289.3228107449566</v>
      </c>
      <c r="F175" s="2">
        <f t="shared" si="64"/>
        <v>1.4062101956846096</v>
      </c>
      <c r="G175" s="1">
        <f t="shared" si="54"/>
        <v>290.72902094064119</v>
      </c>
      <c r="H175" s="3">
        <f t="shared" si="55"/>
        <v>1416.9274279412889</v>
      </c>
      <c r="I175" s="3">
        <f t="shared" si="56"/>
        <v>1281.6706412753826</v>
      </c>
      <c r="J175" s="1">
        <f>VLOOKUP((A175+Forudsætninger!$C$60),'Model tilvækst, slagteform, fe'!G:K,2,FALSE)*(1+Forudsætninger!$C$79)</f>
        <v>49.733622702268569</v>
      </c>
      <c r="K175" s="17">
        <f t="shared" si="52"/>
        <v>144.59007436061788</v>
      </c>
      <c r="L175" s="17">
        <f t="shared" si="65"/>
        <v>760.47604166228666</v>
      </c>
      <c r="M175" s="3">
        <f>((K175-(('Model tilvækst, slagteform, fe'!$H$9/100)*'Model tilvækst, slagteform, fe'!$B$9))*1000/(A175+Forudsætninger!$C$60))</f>
        <v>585.58099213306127</v>
      </c>
      <c r="N175" s="17">
        <f t="shared" si="66"/>
        <v>823.54165605786864</v>
      </c>
      <c r="O175" s="19">
        <f>IF( A175&lt;Forudsætninger!$C$14,(G175/100)*Forudsætninger!$C$13,(Forudsætninger!$C$15/1000)*Forudsætninger!$C$13)</f>
        <v>1.8897386361141677</v>
      </c>
      <c r="P175" s="17" cm="1">
        <f t="array" ref="P175">INDEX('Model tilvækst, slagteform, fe'!$N$9:$N$375,MATCH(MIN(ABS('Model tilvækst, slagteform, fe'!$M$9:$M$375-'Vækstfunktion, hol'!G175)),ABS('Model tilvækst, slagteform, fe'!$M$9:$M$375-'Vækstfunktion, hol'!G175),0))*(1+Forudsætninger!$C$80)</f>
        <v>7.0090925018794534</v>
      </c>
      <c r="Q175" s="17">
        <f t="shared" si="67"/>
        <v>9.2167170533849134</v>
      </c>
      <c r="R175" s="17">
        <f t="shared" si="68"/>
        <v>7.3222994927885434</v>
      </c>
      <c r="S175" s="17">
        <f t="shared" si="57"/>
        <v>3.7141807263846531</v>
      </c>
      <c r="T175" s="19">
        <f>(P175)*IF(N175&lt;Forudsætninger!$B$228,IF(N175&lt;Forudsætninger!$B$227,Forudsætninger!$B$225,Forudsætninger!$C$9),Forudsætninger!$C$11)+O175</f>
        <v>18.291015090512087</v>
      </c>
      <c r="U175" s="2">
        <f>Forudsætninger!$C$68+((K175-(Forudsætninger!$C$84)))*0.01</f>
        <v>3.1429536025948188</v>
      </c>
      <c r="V175" s="2">
        <f>U175+Forudsætninger!$C$69</f>
        <v>2.1429536025948188</v>
      </c>
      <c r="W175">
        <f t="shared" si="58"/>
        <v>1</v>
      </c>
      <c r="X175">
        <f>IF(A175+Forudsætninger!$C$60&gt;248,IF(A175+Forudsætninger!$C$60&lt;365,IF(K175&gt;180,IF(K175&lt;260,1,0),0),0),0)</f>
        <v>0</v>
      </c>
      <c r="Y175" s="22">
        <f>IF(X175=0,0,IF('Vækstfunktion, hol'!A175&lt;Forudsætninger!$C$66,Forudsætninger!$C$67+(('Vækstfunktion, hol'!A175-Forudsætninger!$C$66)/7)*Forudsætninger!$C$64,Forudsætninger!$C$67))</f>
        <v>0</v>
      </c>
      <c r="Z175" s="19">
        <f t="shared" si="69"/>
        <v>2639.9060442305686</v>
      </c>
      <c r="AA175" s="19">
        <f>Forudsætninger!$C$62+Forudsætninger!$C$16</f>
        <v>1350</v>
      </c>
      <c r="AB175" s="19">
        <f>IF(K175&gt;Forudsætninger!$C$26,IF(K175&gt;Forudsætninger!$C$27,IF(K175&gt;Forudsætninger!$C$28,Forudsætninger!$E$28,Forudsætninger!$E$27+Forudsætninger!$F$28*(K175-Forudsætninger!$C$27)),Forudsætninger!$E$26+Forudsætninger!$F$27*(K175-Forudsætninger!$C$26)),Forudsætninger!$E$26)+IF(K175&gt;Forudsætninger!$C$28,Forudsætninger!$G$28,IF(K175&gt;Forudsætninger!$C$27,Forudsætninger!$G$27+Forudsætninger!$H$28*(K175-Forudsætninger!$C$27),IF(K175&gt;Forudsætninger!$C$26,Forudsætninger!$G$26+Forudsætninger!$H$27*(K175-Forudsætninger!$C$26),Forudsætninger!$G$26)))*(U175-Forudsætninger!$H$26)</f>
        <v>33.707215201946113</v>
      </c>
      <c r="AC175" s="19">
        <f>IF(K175&gt;Forudsætninger!$C$31,IF(K175&gt;Forudsætninger!$C$32,IF(K175&gt;Forudsætninger!$C$33,Forudsætninger!$E$33,Forudsætninger!$E$32+Forudsætninger!$F$33*(K175-Forudsætninger!$C$32)),Forudsætninger!$E$31+Forudsætninger!$F$32*(K175-Forudsætninger!$C$31)),Forudsætninger!$E$31)+IF(K175&gt;Forudsætninger!$C$33,Forudsætninger!$G$33,IF(K175&gt;Forudsætninger!$C$32,Forudsætninger!$G$32+Forudsætninger!$H$33*(K175-Forudsætninger!$C$32),IF(K175&gt;Forudsætninger!$C$31,Forudsætninger!$G$31+Forudsætninger!$H$32*(K175-Forudsætninger!$C$31),Forudsætninger!$G$31)))*(V175-Forudsætninger!$H$31)</f>
        <v>27.185839683373263</v>
      </c>
      <c r="AD175" s="19">
        <f t="shared" si="59"/>
        <v>3930.8025813747763</v>
      </c>
      <c r="AE175" s="19">
        <f t="shared" si="60"/>
        <v>27.185839683373263</v>
      </c>
      <c r="AF175">
        <f>IF(G175&lt;=Forudsætninger!$C$97,Forudsætninger!$C$98,(IF(G175&lt;=Forudsætninger!$D$97,Forudsætninger!$D$98,IF(G175&lt;=Forudsætninger!$E$97,Forudsætninger!$E$98,IF(G175&lt;=Forudsætninger!$F$97,Forudsætninger!$F$98,IF(G175&lt;=Forudsætninger!$G$97,Forudsætninger!$G$98,IF(G175&lt;=Forudsætninger!$H$97,Forudsætninger!$H$98,IF(G175&lt;=Forudsætninger!$I$97,Forudsætninger!$I$98,Forudsætninger!$I$98))))))))</f>
        <v>3.2</v>
      </c>
      <c r="AG175" s="1">
        <f t="shared" si="70"/>
        <v>3.2</v>
      </c>
      <c r="AH175" s="1">
        <f t="shared" si="74"/>
        <v>443.59999999999883</v>
      </c>
      <c r="AI175" s="1">
        <f t="shared" si="61"/>
        <v>2.5641618497109757</v>
      </c>
      <c r="AJ175" s="20">
        <f>+(W175*Forudsætninger!$C$12)</f>
        <v>900</v>
      </c>
      <c r="AK175" s="20">
        <f>Forudsætninger!$C$17</f>
        <v>250</v>
      </c>
      <c r="AL175" s="20">
        <f>IF(A175&lt;92,Forudsætninger!$C$20,Forudsætninger!$C$21)</f>
        <v>1.0566762728146013</v>
      </c>
      <c r="AM175" s="20">
        <f t="shared" si="71"/>
        <v>451.310478050217</v>
      </c>
      <c r="AN175" s="20">
        <f>IFERROR(AD175+AJ175-AA175-Z175-AK175-AM175-Forudsætninger!$C$75,-99999999)</f>
        <v>-42.808133455403805</v>
      </c>
      <c r="AO175" s="19">
        <f>IFERROR(AN175/(A175+Forudsætninger!$C$74),-99999999)</f>
        <v>-0.24744585812372141</v>
      </c>
      <c r="AP175" s="19">
        <f>IFERROR(((365/(A175+Forudsætninger!$C$74))*AN175)/(AI175+Forudsætninger!$C$73),-9999999)</f>
        <v>-33.774222837305039</v>
      </c>
      <c r="AQ175" s="18">
        <f t="shared" si="62"/>
        <v>173</v>
      </c>
      <c r="AR175" s="18">
        <f t="shared" si="72"/>
        <v>4691.2165222807862</v>
      </c>
      <c r="AS175" s="52">
        <f t="shared" si="53"/>
        <v>7</v>
      </c>
      <c r="AT175" s="50">
        <f t="shared" si="75"/>
        <v>2.7484149151949282</v>
      </c>
      <c r="AU175" s="50">
        <f t="shared" si="76"/>
        <v>1.7417795193713087E-2</v>
      </c>
      <c r="AV175" s="2">
        <f t="shared" si="77"/>
        <v>2.4274234120822769</v>
      </c>
      <c r="AW175" s="61">
        <f t="shared" si="73"/>
        <v>2.3612852288717523</v>
      </c>
      <c r="BA175" s="16"/>
      <c r="BB175" s="2"/>
    </row>
    <row r="176" spans="1:54" x14ac:dyDescent="0.25">
      <c r="A176">
        <v>174</v>
      </c>
      <c r="B176" s="1">
        <f>ROUND((A176+Forudsætninger!$C$60)/30.4,1)</f>
        <v>7</v>
      </c>
      <c r="C176" s="1">
        <f>VLOOKUP((A176+Forudsætninger!$C$60),'Model tilvækst, slagteform, fe'!A:B,2,FALSE)</f>
        <v>312.6693649873165</v>
      </c>
      <c r="D176" s="3">
        <f t="shared" si="63"/>
        <v>1569.5684873631421</v>
      </c>
      <c r="E176" s="1">
        <f>(1+Forudsætninger!$C$78)*C176</f>
        <v>290.78250943820433</v>
      </c>
      <c r="F176" s="2">
        <f t="shared" si="64"/>
        <v>1.3613653817599485</v>
      </c>
      <c r="G176" s="1">
        <f t="shared" si="54"/>
        <v>292.14387481996425</v>
      </c>
      <c r="H176" s="3">
        <f t="shared" si="55"/>
        <v>1414.8538793230614</v>
      </c>
      <c r="I176" s="3">
        <f t="shared" si="56"/>
        <v>1282.4360621837027</v>
      </c>
      <c r="J176" s="1">
        <f>VLOOKUP((A176+Forudsætninger!$C$60),'Model tilvækst, slagteform, fe'!G:K,2,FALSE)*(1+Forudsætninger!$C$79)</f>
        <v>49.752831950312903</v>
      </c>
      <c r="K176" s="17">
        <f t="shared" si="52"/>
        <v>145.34985109230931</v>
      </c>
      <c r="L176" s="17">
        <f t="shared" si="65"/>
        <v>759.77673169143145</v>
      </c>
      <c r="M176" s="3">
        <f>((K176-(('Model tilvækst, slagteform, fe'!$H$9/100)*'Model tilvækst, slagteform, fe'!$B$9))*1000/(A176+Forudsætninger!$C$60))</f>
        <v>586.3988125065747</v>
      </c>
      <c r="N176" s="17">
        <f t="shared" si="66"/>
        <v>830.56453832415548</v>
      </c>
      <c r="O176" s="19">
        <f>IF( A176&lt;Forudsætninger!$C$14,(G176/100)*Forudsætninger!$C$13,(Forudsætninger!$C$15/1000)*Forudsætninger!$C$13)</f>
        <v>1.8989351863297677</v>
      </c>
      <c r="P176" s="17" cm="1">
        <f t="array" ref="P176">INDEX('Model tilvækst, slagteform, fe'!$N$9:$N$375,MATCH(MIN(ABS('Model tilvækst, slagteform, fe'!$M$9:$M$375-'Vækstfunktion, hol'!G176)),ABS('Model tilvækst, slagteform, fe'!$M$9:$M$375-'Vækstfunktion, hol'!G176),0))*(1+Forudsætninger!$C$80)</f>
        <v>7.0228822662868984</v>
      </c>
      <c r="Q176" s="17">
        <f t="shared" si="67"/>
        <v>9.2433500176458487</v>
      </c>
      <c r="R176" s="17">
        <f t="shared" si="68"/>
        <v>7.3351897845273619</v>
      </c>
      <c r="S176" s="17">
        <f t="shared" si="57"/>
        <v>3.722103234938746</v>
      </c>
      <c r="T176" s="19">
        <f>(P176)*IF(N176&lt;Forudsætninger!$B$228,IF(N176&lt;Forudsætninger!$B$227,Forudsætninger!$B$225,Forudsætninger!$C$9),Forudsætninger!$C$11)+O176</f>
        <v>18.332479689441112</v>
      </c>
      <c r="U176" s="2">
        <f>Forudsætninger!$C$68+((K176-(Forudsætninger!$C$84)))*0.01</f>
        <v>3.1505513699117333</v>
      </c>
      <c r="V176" s="2">
        <f>U176+Forudsætninger!$C$69</f>
        <v>2.1505513699117333</v>
      </c>
      <c r="W176">
        <f t="shared" si="58"/>
        <v>1</v>
      </c>
      <c r="X176">
        <f>IF(A176+Forudsætninger!$C$60&gt;248,IF(A176+Forudsætninger!$C$60&lt;365,IF(K176&gt;180,IF(K176&lt;260,1,0),0),0),0)</f>
        <v>0</v>
      </c>
      <c r="Y176" s="22">
        <f>IF(X176=0,0,IF('Vækstfunktion, hol'!A176&lt;Forudsætninger!$C$66,Forudsætninger!$C$67+(('Vækstfunktion, hol'!A176-Forudsætninger!$C$66)/7)*Forudsætninger!$C$64,Forudsætninger!$C$67))</f>
        <v>0</v>
      </c>
      <c r="Z176" s="19">
        <f t="shared" si="69"/>
        <v>2658.2385239200098</v>
      </c>
      <c r="AA176" s="19">
        <f>Forudsætninger!$C$62+Forudsætninger!$C$16</f>
        <v>1350</v>
      </c>
      <c r="AB176" s="19">
        <f>IF(K176&gt;Forudsætninger!$C$26,IF(K176&gt;Forudsætninger!$C$27,IF(K176&gt;Forudsætninger!$C$28,Forudsætninger!$E$28,Forudsætninger!$E$27+Forudsætninger!$F$28*(K176-Forudsætninger!$C$27)),Forudsætninger!$E$26+Forudsætninger!$F$27*(K176-Forudsætninger!$C$26)),Forudsætninger!$E$26)+IF(K176&gt;Forudsætninger!$C$28,Forudsætninger!$G$28,IF(K176&gt;Forudsætninger!$C$27,Forudsætninger!$G$27+Forudsætninger!$H$28*(K176-Forudsætninger!$C$27),IF(K176&gt;Forudsætninger!$C$26,Forudsætninger!$G$26+Forudsætninger!$H$27*(K176-Forudsætninger!$C$26),Forudsætninger!$G$26)))*(U176-Forudsætninger!$H$26)</f>
        <v>33.712913527433798</v>
      </c>
      <c r="AC176" s="19">
        <f>IF(K176&gt;Forudsætninger!$C$31,IF(K176&gt;Forudsætninger!$C$32,IF(K176&gt;Forudsætninger!$C$33,Forudsætninger!$E$33,Forudsætninger!$E$32+Forudsætninger!$F$33*(K176-Forudsætninger!$C$32)),Forudsætninger!$E$31+Forudsætninger!$F$32*(K176-Forudsætninger!$C$31)),Forudsætninger!$E$31)+IF(K176&gt;Forudsætninger!$C$33,Forudsætninger!$G$33,IF(K176&gt;Forudsætninger!$C$32,Forudsætninger!$G$32+Forudsætninger!$H$33*(K176-Forudsætninger!$C$32),IF(K176&gt;Forudsætninger!$C$31,Forudsætninger!$G$31+Forudsætninger!$H$32*(K176-Forudsætninger!$C$31),Forudsætninger!$G$31)))*(V176-Forudsætninger!$H$31)</f>
        <v>27.195716780885252</v>
      </c>
      <c r="AD176" s="19">
        <f t="shared" si="59"/>
        <v>3952.893384450289</v>
      </c>
      <c r="AE176" s="19">
        <f t="shared" si="60"/>
        <v>27.195716780885252</v>
      </c>
      <c r="AF176">
        <f>IF(G176&lt;=Forudsætninger!$C$97,Forudsætninger!$C$98,(IF(G176&lt;=Forudsætninger!$D$97,Forudsætninger!$D$98,IF(G176&lt;=Forudsætninger!$E$97,Forudsætninger!$E$98,IF(G176&lt;=Forudsætninger!$F$97,Forudsætninger!$F$98,IF(G176&lt;=Forudsætninger!$G$97,Forudsætninger!$G$98,IF(G176&lt;=Forudsætninger!$H$97,Forudsætninger!$H$98,IF(G176&lt;=Forudsætninger!$I$97,Forudsætninger!$I$98,Forudsætninger!$I$98))))))))</f>
        <v>3.2</v>
      </c>
      <c r="AG176" s="1">
        <f t="shared" si="70"/>
        <v>3.2</v>
      </c>
      <c r="AH176" s="1">
        <f t="shared" si="74"/>
        <v>446.79999999999882</v>
      </c>
      <c r="AI176" s="1">
        <f t="shared" si="61"/>
        <v>2.5678160919540161</v>
      </c>
      <c r="AJ176" s="20">
        <f>+(W176*Forudsætninger!$C$12)</f>
        <v>900</v>
      </c>
      <c r="AK176" s="20">
        <f>Forudsætninger!$C$17</f>
        <v>250</v>
      </c>
      <c r="AL176" s="20">
        <f>IF(A176&lt;92,Forudsætninger!$C$20,Forudsætninger!$C$21)</f>
        <v>1.0566762728146013</v>
      </c>
      <c r="AM176" s="20">
        <f t="shared" si="71"/>
        <v>452.36715432303163</v>
      </c>
      <c r="AN176" s="20">
        <f>IFERROR(AD176+AJ176-AA176-Z176-AK176-AM176-Forudsætninger!$C$75,-99999999)</f>
        <v>-40.106486342147008</v>
      </c>
      <c r="AO176" s="19">
        <f>IFERROR(AN176/(A176+Forudsætninger!$C$74),-99999999)</f>
        <v>-0.23049704794337361</v>
      </c>
      <c r="AP176" s="19">
        <f>IFERROR(((365/(A176+Forudsætninger!$C$74))*AN176)/(AI176+Forudsætninger!$C$73),-9999999)</f>
        <v>-31.417924013571916</v>
      </c>
      <c r="AQ176" s="18">
        <f t="shared" si="62"/>
        <v>174</v>
      </c>
      <c r="AR176" s="18">
        <f t="shared" si="72"/>
        <v>4710.6056782430423</v>
      </c>
      <c r="AS176" s="52">
        <f t="shared" si="53"/>
        <v>7</v>
      </c>
      <c r="AT176" s="50">
        <f t="shared" si="75"/>
        <v>2.7016471132567972</v>
      </c>
      <c r="AU176" s="50">
        <f t="shared" si="76"/>
        <v>1.6948810180347801E-2</v>
      </c>
      <c r="AV176" s="2">
        <f t="shared" si="77"/>
        <v>2.3562988237331233</v>
      </c>
      <c r="AW176" s="61">
        <f t="shared" si="73"/>
        <v>2.3693141837981875</v>
      </c>
      <c r="BA176" s="16"/>
      <c r="BB176" s="2"/>
    </row>
    <row r="177" spans="1:54" x14ac:dyDescent="0.25">
      <c r="A177">
        <v>175</v>
      </c>
      <c r="B177" s="1">
        <f>ROUND((A177+Forudsætninger!$C$60)/30.4,1)</f>
        <v>7</v>
      </c>
      <c r="C177" s="1">
        <f>VLOOKUP((A177+Forudsætninger!$C$60),'Model tilvækst, slagteform, fe'!A:B,2,FALSE)</f>
        <v>314.23658681890038</v>
      </c>
      <c r="D177" s="3">
        <f t="shared" si="63"/>
        <v>1567.2218315838791</v>
      </c>
      <c r="E177" s="1">
        <f>(1+Forudsætninger!$C$78)*C177</f>
        <v>292.24002574157731</v>
      </c>
      <c r="F177" s="2">
        <f t="shared" si="64"/>
        <v>1.3165876151432663</v>
      </c>
      <c r="G177" s="1">
        <f t="shared" si="54"/>
        <v>293.55661335672056</v>
      </c>
      <c r="H177" s="3">
        <f t="shared" si="55"/>
        <v>1412.7385367563079</v>
      </c>
      <c r="I177" s="3">
        <f t="shared" si="56"/>
        <v>1283.1806477526889</v>
      </c>
      <c r="J177" s="1">
        <f>VLOOKUP((A177+Forudsætninger!$C$60),'Model tilvækst, slagteform, fe'!G:K,2,FALSE)*(1+Forudsætninger!$C$79)</f>
        <v>49.771963153386977</v>
      </c>
      <c r="K177" s="17">
        <f t="shared" si="52"/>
        <v>146.10888943423762</v>
      </c>
      <c r="L177" s="17">
        <f t="shared" si="65"/>
        <v>759.0383419283171</v>
      </c>
      <c r="M177" s="3">
        <f>((K177-(('Model tilvækst, slagteform, fe'!$H$9/100)*'Model tilvækst, slagteform, fe'!$B$9))*1000/(A177+Forudsætninger!$C$60))</f>
        <v>587.20553927957349</v>
      </c>
      <c r="N177" s="17">
        <f t="shared" si="66"/>
        <v>837.59421539307118</v>
      </c>
      <c r="O177" s="19">
        <f>IF( A177&lt;Forudsætninger!$C$14,(G177/100)*Forudsætninger!$C$13,(Forudsætninger!$C$15/1000)*Forudsætninger!$C$13)</f>
        <v>1.9081179868186835</v>
      </c>
      <c r="P177" s="17" cm="1">
        <f t="array" ref="P177">INDEX('Model tilvækst, slagteform, fe'!$N$9:$N$375,MATCH(MIN(ABS('Model tilvækst, slagteform, fe'!$M$9:$M$375-'Vækstfunktion, hol'!G177)),ABS('Model tilvækst, slagteform, fe'!$M$9:$M$375-'Vækstfunktion, hol'!G177),0))*(1+Forudsætninger!$C$80)</f>
        <v>7.0296770689156558</v>
      </c>
      <c r="Q177" s="17">
        <f t="shared" si="67"/>
        <v>9.2612937721392896</v>
      </c>
      <c r="R177" s="17">
        <f t="shared" si="68"/>
        <v>7.3480154478683533</v>
      </c>
      <c r="S177" s="17">
        <f t="shared" si="57"/>
        <v>3.7299913054108389</v>
      </c>
      <c r="T177" s="19">
        <f>(P177)*IF(N177&lt;Forudsætninger!$B$228,IF(N177&lt;Forudsætninger!$B$227,Forudsætninger!$B$225,Forudsætninger!$C$9),Forudsætninger!$C$11)+O177</f>
        <v>18.357562328081318</v>
      </c>
      <c r="U177" s="2">
        <f>Forudsætninger!$C$68+((K177-(Forudsætninger!$C$84)))*0.01</f>
        <v>3.1581417533310168</v>
      </c>
      <c r="V177" s="2">
        <f>U177+Forudsætninger!$C$69</f>
        <v>2.1581417533310168</v>
      </c>
      <c r="W177">
        <f t="shared" si="58"/>
        <v>1</v>
      </c>
      <c r="X177">
        <f>IF(A177+Forudsætninger!$C$60&gt;248,IF(A177+Forudsætninger!$C$60&lt;365,IF(K177&gt;180,IF(K177&lt;260,1,0),0),0),0)</f>
        <v>0</v>
      </c>
      <c r="Y177" s="22">
        <f>IF(X177=0,0,IF('Vækstfunktion, hol'!A177&lt;Forudsætninger!$C$66,Forudsætninger!$C$67+(('Vækstfunktion, hol'!A177-Forudsætninger!$C$66)/7)*Forudsætninger!$C$64,Forudsætninger!$C$67))</f>
        <v>0</v>
      </c>
      <c r="Z177" s="19">
        <f t="shared" si="69"/>
        <v>2676.5960862480911</v>
      </c>
      <c r="AA177" s="19">
        <f>Forudsætninger!$C$62+Forudsætninger!$C$16</f>
        <v>1350</v>
      </c>
      <c r="AB177" s="19">
        <f>IF(K177&gt;Forudsætninger!$C$26,IF(K177&gt;Forudsætninger!$C$27,IF(K177&gt;Forudsætninger!$C$28,Forudsætninger!$E$28,Forudsætninger!$E$27+Forudsætninger!$F$28*(K177-Forudsætninger!$C$27)),Forudsætninger!$E$26+Forudsætninger!$F$27*(K177-Forudsætninger!$C$26)),Forudsætninger!$E$26)+IF(K177&gt;Forudsætninger!$C$28,Forudsætninger!$G$28,IF(K177&gt;Forudsætninger!$C$27,Forudsætninger!$G$27+Forudsætninger!$H$28*(K177-Forudsætninger!$C$27),IF(K177&gt;Forudsætninger!$C$26,Forudsætninger!$G$26+Forudsætninger!$H$27*(K177-Forudsætninger!$C$26),Forudsætninger!$G$26)))*(U177-Forudsætninger!$H$26)</f>
        <v>33.718606314998262</v>
      </c>
      <c r="AC177" s="19">
        <f>IF(K177&gt;Forudsætninger!$C$31,IF(K177&gt;Forudsætninger!$C$32,IF(K177&gt;Forudsætninger!$C$33,Forudsætninger!$E$33,Forudsætninger!$E$32+Forudsætninger!$F$33*(K177-Forudsætninger!$C$32)),Forudsætninger!$E$31+Forudsætninger!$F$32*(K177-Forudsætninger!$C$31)),Forudsætninger!$E$31)+IF(K177&gt;Forudsætninger!$C$33,Forudsætninger!$G$33,IF(K177&gt;Forudsætninger!$C$32,Forudsætninger!$G$32+Forudsætninger!$H$33*(K177-Forudsætninger!$C$32),IF(K177&gt;Forudsætninger!$C$31,Forudsætninger!$G$31+Forudsætninger!$H$32*(K177-Forudsætninger!$C$31),Forudsætninger!$G$31)))*(V177-Forudsætninger!$H$31)</f>
        <v>27.205584279330321</v>
      </c>
      <c r="AD177" s="19">
        <f t="shared" si="59"/>
        <v>3974.9777054625069</v>
      </c>
      <c r="AE177" s="19">
        <f t="shared" si="60"/>
        <v>27.205584279330321</v>
      </c>
      <c r="AF177">
        <f>IF(G177&lt;=Forudsætninger!$C$97,Forudsætninger!$C$98,(IF(G177&lt;=Forudsætninger!$D$97,Forudsætninger!$D$98,IF(G177&lt;=Forudsætninger!$E$97,Forudsætninger!$E$98,IF(G177&lt;=Forudsætninger!$F$97,Forudsætninger!$F$98,IF(G177&lt;=Forudsætninger!$G$97,Forudsætninger!$G$98,IF(G177&lt;=Forudsætninger!$H$97,Forudsætninger!$H$98,IF(G177&lt;=Forudsætninger!$I$97,Forudsætninger!$I$98,Forudsætninger!$I$98))))))))</f>
        <v>3.2</v>
      </c>
      <c r="AG177" s="1">
        <f t="shared" si="70"/>
        <v>3.2</v>
      </c>
      <c r="AH177" s="1">
        <f t="shared" si="74"/>
        <v>449.99999999999881</v>
      </c>
      <c r="AI177" s="1">
        <f t="shared" si="61"/>
        <v>2.5714285714285645</v>
      </c>
      <c r="AJ177" s="20">
        <f>+(W177*Forudsætninger!$C$12)</f>
        <v>900</v>
      </c>
      <c r="AK177" s="20">
        <f>Forudsætninger!$C$17</f>
        <v>250</v>
      </c>
      <c r="AL177" s="20">
        <f>IF(A177&lt;92,Forudsætninger!$C$20,Forudsætninger!$C$21)</f>
        <v>1.0566762728146013</v>
      </c>
      <c r="AM177" s="20">
        <f t="shared" si="71"/>
        <v>453.42383059584625</v>
      </c>
      <c r="AN177" s="20">
        <f>IFERROR(AD177+AJ177-AA177-Z177-AK177-AM177-Forudsætninger!$C$75,-99999999)</f>
        <v>-37.436403930825378</v>
      </c>
      <c r="AO177" s="19">
        <f>IFERROR(AN177/(A177+Forudsætninger!$C$74),-99999999)</f>
        <v>-0.21392230817614502</v>
      </c>
      <c r="AP177" s="19">
        <f>IFERROR(((365/(A177+Forudsætninger!$C$74))*AN177)/(AI177+Forudsætninger!$C$73),-9999999)</f>
        <v>-29.119419147045924</v>
      </c>
      <c r="AQ177" s="18">
        <f t="shared" si="62"/>
        <v>175</v>
      </c>
      <c r="AR177" s="18">
        <f t="shared" si="72"/>
        <v>4730.0199168439376</v>
      </c>
      <c r="AS177" s="52">
        <f t="shared" si="53"/>
        <v>7</v>
      </c>
      <c r="AT177" s="50">
        <f t="shared" si="75"/>
        <v>2.6700824113216299</v>
      </c>
      <c r="AU177" s="50">
        <f t="shared" si="76"/>
        <v>1.6574739767228591E-2</v>
      </c>
      <c r="AV177" s="2">
        <f t="shared" si="77"/>
        <v>2.2985048665259917</v>
      </c>
      <c r="AW177" s="61">
        <f t="shared" si="73"/>
        <v>2.3770710095144048</v>
      </c>
      <c r="BA177" s="16"/>
      <c r="BB177" s="2"/>
    </row>
    <row r="178" spans="1:54" x14ac:dyDescent="0.25">
      <c r="A178">
        <v>176</v>
      </c>
      <c r="B178" s="1">
        <f>ROUND((A178+Forudsætninger!$C$60)/30.4,1)</f>
        <v>7.1</v>
      </c>
      <c r="C178" s="1">
        <f>VLOOKUP((A178+Forudsætninger!$C$60),'Model tilvækst, slagteform, fe'!A:B,2,FALSE)</f>
        <v>315.80141616492557</v>
      </c>
      <c r="D178" s="3">
        <f t="shared" si="63"/>
        <v>1564.8293460251921</v>
      </c>
      <c r="E178" s="1">
        <f>(1+Forudsætninger!$C$78)*C178</f>
        <v>293.69531703338077</v>
      </c>
      <c r="F178" s="2">
        <f t="shared" si="64"/>
        <v>1.2718782052568323</v>
      </c>
      <c r="G178" s="1">
        <f t="shared" si="54"/>
        <v>294.9671952386376</v>
      </c>
      <c r="H178" s="3">
        <f t="shared" si="55"/>
        <v>1410.5818819170395</v>
      </c>
      <c r="I178" s="3">
        <f t="shared" si="56"/>
        <v>1283.9045184013501</v>
      </c>
      <c r="J178" s="1">
        <f>VLOOKUP((A178+Forudsætninger!$C$60),'Model tilvækst, slagteform, fe'!G:K,2,FALSE)*(1+Forudsætninger!$C$79)</f>
        <v>49.791011551745932</v>
      </c>
      <c r="K178" s="17">
        <f t="shared" si="52"/>
        <v>146.86715025513104</v>
      </c>
      <c r="L178" s="17">
        <f t="shared" si="65"/>
        <v>758.26082089341185</v>
      </c>
      <c r="M178" s="3">
        <f>((K178-(('Model tilvækst, slagteform, fe'!$H$9/100)*'Model tilvækst, slagteform, fe'!$B$9))*1000/(A178+Forudsætninger!$C$60))</f>
        <v>588.00114524056812</v>
      </c>
      <c r="N178" s="17">
        <f t="shared" si="66"/>
        <v>844.63062673066099</v>
      </c>
      <c r="O178" s="19">
        <f>IF( A178&lt;Forudsætninger!$C$14,(G178/100)*Forudsætninger!$C$13,(Forudsætninger!$C$15/1000)*Forudsætninger!$C$13)</f>
        <v>1.9172867690511444</v>
      </c>
      <c r="P178" s="17" cm="1">
        <f t="array" ref="P178">INDEX('Model tilvækst, slagteform, fe'!$N$9:$N$375,MATCH(MIN(ABS('Model tilvækst, slagteform, fe'!$M$9:$M$375-'Vækstfunktion, hol'!G178)),ABS('Model tilvækst, slagteform, fe'!$M$9:$M$375-'Vækstfunktion, hol'!G178),0))*(1+Forudsætninger!$C$80)</f>
        <v>7.0364113375897563</v>
      </c>
      <c r="Q178" s="17">
        <f t="shared" si="67"/>
        <v>9.2796715110497043</v>
      </c>
      <c r="R178" s="17">
        <f t="shared" si="68"/>
        <v>7.3607799955689091</v>
      </c>
      <c r="S178" s="17">
        <f t="shared" si="57"/>
        <v>3.7378462207254035</v>
      </c>
      <c r="T178" s="19">
        <f>(P178)*IF(N178&lt;Forudsætninger!$B$228,IF(N178&lt;Forudsætninger!$B$227,Forudsætninger!$B$225,Forudsætninger!$C$9),Forudsætninger!$C$11)+O178</f>
        <v>18.382489299011173</v>
      </c>
      <c r="U178" s="2">
        <f>Forudsætninger!$C$68+((K178-(Forudsætninger!$C$84)))*0.01</f>
        <v>3.1657243615399508</v>
      </c>
      <c r="V178" s="2">
        <f>U178+Forudsætninger!$C$69</f>
        <v>2.1657243615399508</v>
      </c>
      <c r="W178">
        <f t="shared" si="58"/>
        <v>1</v>
      </c>
      <c r="X178">
        <f>IF(A178+Forudsætninger!$C$60&gt;248,IF(A178+Forudsætninger!$C$60&lt;365,IF(K178&gt;180,IF(K178&lt;260,1,0),0),0),0)</f>
        <v>0</v>
      </c>
      <c r="Y178" s="22">
        <f>IF(X178=0,0,IF('Vækstfunktion, hol'!A178&lt;Forudsætninger!$C$66,Forudsætninger!$C$67+(('Vækstfunktion, hol'!A178-Forudsætninger!$C$66)/7)*Forudsætninger!$C$64,Forudsætninger!$C$67))</f>
        <v>0</v>
      </c>
      <c r="Z178" s="19">
        <f t="shared" si="69"/>
        <v>2694.9785755471021</v>
      </c>
      <c r="AA178" s="19">
        <f>Forudsætninger!$C$62+Forudsætninger!$C$16</f>
        <v>1350</v>
      </c>
      <c r="AB178" s="19">
        <f>IF(K178&gt;Forudsætninger!$C$26,IF(K178&gt;Forudsætninger!$C$27,IF(K178&gt;Forudsætninger!$C$28,Forudsætninger!$E$28,Forudsætninger!$E$27+Forudsætninger!$F$28*(K178-Forudsætninger!$C$27)),Forudsætninger!$E$26+Forudsætninger!$F$27*(K178-Forudsætninger!$C$26)),Forudsætninger!$E$26)+IF(K178&gt;Forudsætninger!$C$28,Forudsætninger!$G$28,IF(K178&gt;Forudsætninger!$C$27,Forudsætninger!$G$27+Forudsætninger!$H$28*(K178-Forudsætninger!$C$27),IF(K178&gt;Forudsætninger!$C$26,Forudsætninger!$G$26+Forudsætninger!$H$27*(K178-Forudsætninger!$C$26),Forudsætninger!$G$26)))*(U178-Forudsætninger!$H$26)</f>
        <v>33.724293271154963</v>
      </c>
      <c r="AC178" s="19">
        <f>IF(K178&gt;Forudsætninger!$C$31,IF(K178&gt;Forudsætninger!$C$32,IF(K178&gt;Forudsætninger!$C$33,Forudsætninger!$E$33,Forudsætninger!$E$32+Forudsætninger!$F$33*(K178-Forudsætninger!$C$32)),Forudsætninger!$E$31+Forudsætninger!$F$32*(K178-Forudsætninger!$C$31)),Forudsætninger!$E$31)+IF(K178&gt;Forudsætninger!$C$33,Forudsætninger!$G$33,IF(K178&gt;Forudsætninger!$C$32,Forudsætninger!$G$32+Forudsætninger!$H$33*(K178-Forudsætninger!$C$32),IF(K178&gt;Forudsætninger!$C$31,Forudsætninger!$G$31+Forudsætninger!$H$32*(K178-Forudsætninger!$C$31),Forudsætninger!$G$31)))*(V178-Forudsætninger!$H$31)</f>
        <v>27.215441670001937</v>
      </c>
      <c r="AD178" s="19">
        <f t="shared" si="59"/>
        <v>3997.0543610079289</v>
      </c>
      <c r="AE178" s="19">
        <f t="shared" si="60"/>
        <v>27.215441670001937</v>
      </c>
      <c r="AF178">
        <f>IF(G178&lt;=Forudsætninger!$C$97,Forudsætninger!$C$98,(IF(G178&lt;=Forudsætninger!$D$97,Forudsætninger!$D$98,IF(G178&lt;=Forudsætninger!$E$97,Forudsætninger!$E$98,IF(G178&lt;=Forudsætninger!$F$97,Forudsætninger!$F$98,IF(G178&lt;=Forudsætninger!$G$97,Forudsætninger!$G$98,IF(G178&lt;=Forudsætninger!$H$97,Forudsætninger!$H$98,IF(G178&lt;=Forudsætninger!$I$97,Forudsætninger!$I$98,Forudsætninger!$I$98))))))))</f>
        <v>3.2</v>
      </c>
      <c r="AG178" s="1">
        <f t="shared" si="70"/>
        <v>3.2</v>
      </c>
      <c r="AH178" s="1">
        <f t="shared" si="74"/>
        <v>453.19999999999879</v>
      </c>
      <c r="AI178" s="1">
        <f t="shared" si="61"/>
        <v>2.5749999999999931</v>
      </c>
      <c r="AJ178" s="20">
        <f>+(W178*Forudsætninger!$C$12)</f>
        <v>900</v>
      </c>
      <c r="AK178" s="20">
        <f>Forudsætninger!$C$17</f>
        <v>250</v>
      </c>
      <c r="AL178" s="20">
        <f>IF(A178&lt;92,Forudsætninger!$C$20,Forudsætninger!$C$21)</f>
        <v>1.0566762728146013</v>
      </c>
      <c r="AM178" s="20">
        <f t="shared" si="71"/>
        <v>454.48050686866088</v>
      </c>
      <c r="AN178" s="20">
        <f>IFERROR(AD178+AJ178-AA178-Z178-AK178-AM178-Forudsætninger!$C$75,-99999999)</f>
        <v>-34.798913957228109</v>
      </c>
      <c r="AO178" s="19">
        <f>IFERROR(AN178/(A178+Forudsætninger!$C$74),-99999999)</f>
        <v>-0.19772110202970516</v>
      </c>
      <c r="AP178" s="19">
        <f>IFERROR(((365/(A178+Forudsætninger!$C$74))*AN178)/(AI178+Forudsætninger!$C$73),-9999999)</f>
        <v>-26.878287612976749</v>
      </c>
      <c r="AQ178" s="18">
        <f t="shared" si="62"/>
        <v>176</v>
      </c>
      <c r="AR178" s="18">
        <f t="shared" si="72"/>
        <v>4749.4590824157631</v>
      </c>
      <c r="AS178" s="52">
        <f t="shared" si="53"/>
        <v>7.1</v>
      </c>
      <c r="AT178" s="50">
        <f t="shared" si="75"/>
        <v>2.637489973597269</v>
      </c>
      <c r="AU178" s="50">
        <f t="shared" si="76"/>
        <v>1.6201206146439856E-2</v>
      </c>
      <c r="AV178" s="2">
        <f t="shared" si="77"/>
        <v>2.2411315340691758</v>
      </c>
      <c r="AW178" s="61">
        <f t="shared" si="73"/>
        <v>2.384554505178595</v>
      </c>
      <c r="BA178" s="16"/>
      <c r="BB178" s="2"/>
    </row>
    <row r="179" spans="1:54" x14ac:dyDescent="0.25">
      <c r="A179">
        <v>177</v>
      </c>
      <c r="B179" s="1">
        <f>ROUND((A179+Forudsætninger!$C$60)/30.4,1)</f>
        <v>7.1</v>
      </c>
      <c r="C179" s="1">
        <f>VLOOKUP((A179+Forudsætninger!$C$60),'Model tilvækst, slagteform, fe'!A:B,2,FALSE)</f>
        <v>317.36380772996006</v>
      </c>
      <c r="D179" s="3">
        <f t="shared" si="63"/>
        <v>1562.3915650344884</v>
      </c>
      <c r="E179" s="1">
        <f>(1+Forudsætninger!$C$78)*C179</f>
        <v>295.14834118886284</v>
      </c>
      <c r="F179" s="2">
        <f t="shared" si="64"/>
        <v>1.2272384462558468</v>
      </c>
      <c r="G179" s="1">
        <f t="shared" si="54"/>
        <v>296.3755796351187</v>
      </c>
      <c r="H179" s="3">
        <f t="shared" si="55"/>
        <v>1408.3843964810967</v>
      </c>
      <c r="I179" s="3">
        <f t="shared" si="56"/>
        <v>1284.6077945486932</v>
      </c>
      <c r="J179" s="1">
        <f>VLOOKUP((A179+Forudsætninger!$C$60),'Model tilvækst, slagteform, fe'!G:K,2,FALSE)*(1+Forudsætninger!$C$79)</f>
        <v>49.809972385644933</v>
      </c>
      <c r="K179" s="17">
        <f t="shared" si="52"/>
        <v>147.62459437404775</v>
      </c>
      <c r="L179" s="17">
        <f t="shared" si="65"/>
        <v>757.44411891670893</v>
      </c>
      <c r="M179" s="3">
        <f>((K179-(('Model tilvækst, slagteform, fe'!$H$9/100)*'Model tilvækst, slagteform, fe'!$B$9))*1000/(A179+Forudsætninger!$C$60))</f>
        <v>588.78560345203175</v>
      </c>
      <c r="N179" s="17">
        <f t="shared" si="66"/>
        <v>851.67371644229172</v>
      </c>
      <c r="O179" s="19">
        <f>IF( A179&lt;Forudsætninger!$C$14,(G179/100)*Forudsætninger!$C$13,(Forudsætninger!$C$15/1000)*Forudsætninger!$C$13)</f>
        <v>1.9264412676282716</v>
      </c>
      <c r="P179" s="17" cm="1">
        <f t="array" ref="P179">INDEX('Model tilvækst, slagteform, fe'!$N$9:$N$375,MATCH(MIN(ABS('Model tilvækst, slagteform, fe'!$M$9:$M$375-'Vækstfunktion, hol'!G179)),ABS('Model tilvækst, slagteform, fe'!$M$9:$M$375-'Vækstfunktion, hol'!G179),0))*(1+Forudsætninger!$C$80)</f>
        <v>7.0430897116306932</v>
      </c>
      <c r="Q179" s="17">
        <f t="shared" si="67"/>
        <v>9.2984941538706103</v>
      </c>
      <c r="R179" s="17">
        <f t="shared" si="68"/>
        <v>7.3734869063071047</v>
      </c>
      <c r="S179" s="17">
        <f t="shared" si="57"/>
        <v>3.7456692482500382</v>
      </c>
      <c r="T179" s="19">
        <f>(P179)*IF(N179&lt;Forudsætninger!$B$228,IF(N179&lt;Forudsætninger!$B$227,Forudsætninger!$B$225,Forudsætninger!$C$9),Forudsætninger!$C$11)+O179</f>
        <v>18.407271192844092</v>
      </c>
      <c r="U179" s="2">
        <f>Forudsætninger!$C$68+((K179-(Forudsætninger!$C$84)))*0.01</f>
        <v>3.1732988027291178</v>
      </c>
      <c r="V179" s="2">
        <f>U179+Forudsætninger!$C$69</f>
        <v>2.1732988027291178</v>
      </c>
      <c r="W179">
        <f t="shared" si="58"/>
        <v>1</v>
      </c>
      <c r="X179">
        <f>IF(A179+Forudsætninger!$C$60&gt;248,IF(A179+Forudsætninger!$C$60&lt;365,IF(K179&gt;180,IF(K179&lt;260,1,0),0),0),0)</f>
        <v>0</v>
      </c>
      <c r="Y179" s="22">
        <f>IF(X179=0,0,IF('Vækstfunktion, hol'!A179&lt;Forudsætninger!$C$66,Forudsætninger!$C$67+(('Vækstfunktion, hol'!A179-Forudsætninger!$C$66)/7)*Forudsætninger!$C$64,Forudsætninger!$C$67))</f>
        <v>0</v>
      </c>
      <c r="Z179" s="19">
        <f t="shared" si="69"/>
        <v>2713.3858467399464</v>
      </c>
      <c r="AA179" s="19">
        <f>Forudsætninger!$C$62+Forudsætninger!$C$16</f>
        <v>1350</v>
      </c>
      <c r="AB179" s="19">
        <f>IF(K179&gt;Forudsætninger!$C$26,IF(K179&gt;Forudsætninger!$C$27,IF(K179&gt;Forudsætninger!$C$28,Forudsætninger!$E$28,Forudsætninger!$E$27+Forudsætninger!$F$28*(K179-Forudsætninger!$C$27)),Forudsætninger!$E$26+Forudsætninger!$F$27*(K179-Forudsætninger!$C$26)),Forudsætninger!$E$26)+IF(K179&gt;Forudsætninger!$C$28,Forudsætninger!$G$28,IF(K179&gt;Forudsætninger!$C$27,Forudsætninger!$G$27+Forudsætninger!$H$28*(K179-Forudsætninger!$C$27),IF(K179&gt;Forudsætninger!$C$26,Forudsætninger!$G$26+Forudsætninger!$H$27*(K179-Forudsætninger!$C$26),Forudsætninger!$G$26)))*(U179-Forudsætninger!$H$26)</f>
        <v>33.729974102046839</v>
      </c>
      <c r="AC179" s="19">
        <f>IF(K179&gt;Forudsætninger!$C$31,IF(K179&gt;Forudsætninger!$C$32,IF(K179&gt;Forudsætninger!$C$33,Forudsætninger!$E$33,Forudsætninger!$E$32+Forudsætninger!$F$33*(K179-Forudsætninger!$C$32)),Forudsætninger!$E$31+Forudsætninger!$F$32*(K179-Forudsætninger!$C$31)),Forudsætninger!$E$31)+IF(K179&gt;Forudsætninger!$C$33,Forudsætninger!$G$33,IF(K179&gt;Forudsætninger!$C$32,Forudsætninger!$G$32+Forudsætninger!$H$33*(K179-Forudsætninger!$C$32),IF(K179&gt;Forudsætninger!$C$31,Forudsætninger!$G$31+Forudsætninger!$H$32*(K179-Forudsætninger!$C$31),Forudsætninger!$G$31)))*(V179-Forudsætninger!$H$31)</f>
        <v>27.225288443547853</v>
      </c>
      <c r="AD179" s="19">
        <f t="shared" si="59"/>
        <v>4019.1221631952017</v>
      </c>
      <c r="AE179" s="19">
        <f t="shared" si="60"/>
        <v>27.225288443547853</v>
      </c>
      <c r="AF179">
        <f>IF(G179&lt;=Forudsætninger!$C$97,Forudsætninger!$C$98,(IF(G179&lt;=Forudsætninger!$D$97,Forudsætninger!$D$98,IF(G179&lt;=Forudsætninger!$E$97,Forudsætninger!$E$98,IF(G179&lt;=Forudsætninger!$F$97,Forudsætninger!$F$98,IF(G179&lt;=Forudsætninger!$G$97,Forudsætninger!$G$98,IF(G179&lt;=Forudsætninger!$H$97,Forudsætninger!$H$98,IF(G179&lt;=Forudsætninger!$I$97,Forudsætninger!$I$98,Forudsætninger!$I$98))))))))</f>
        <v>3.2</v>
      </c>
      <c r="AG179" s="1">
        <f t="shared" si="70"/>
        <v>3.2</v>
      </c>
      <c r="AH179" s="1">
        <f t="shared" si="74"/>
        <v>456.39999999999878</v>
      </c>
      <c r="AI179" s="1">
        <f t="shared" si="61"/>
        <v>2.5785310734463209</v>
      </c>
      <c r="AJ179" s="20">
        <f>+(W179*Forudsætninger!$C$12)</f>
        <v>900</v>
      </c>
      <c r="AK179" s="20">
        <f>Forudsætninger!$C$17</f>
        <v>250</v>
      </c>
      <c r="AL179" s="20">
        <f>IF(A179&lt;92,Forudsætninger!$C$20,Forudsætninger!$C$21)</f>
        <v>1.0566762728146013</v>
      </c>
      <c r="AM179" s="20">
        <f t="shared" si="71"/>
        <v>455.53718314147551</v>
      </c>
      <c r="AN179" s="20">
        <f>IFERROR(AD179+AJ179-AA179-Z179-AK179-AM179-Forudsætninger!$C$75,-99999999)</f>
        <v>-32.195059235615219</v>
      </c>
      <c r="AO179" s="19">
        <f>IFERROR(AN179/(A179+Forudsætninger!$C$74),-99999999)</f>
        <v>-0.18189299003172441</v>
      </c>
      <c r="AP179" s="19">
        <f>IFERROR(((365/(A179+Forudsætninger!$C$74))*AN179)/(AI179+Forudsætninger!$C$73),-9999999)</f>
        <v>-24.694132054972126</v>
      </c>
      <c r="AQ179" s="18">
        <f t="shared" si="62"/>
        <v>177</v>
      </c>
      <c r="AR179" s="18">
        <f t="shared" si="72"/>
        <v>4768.9230298814218</v>
      </c>
      <c r="AS179" s="52">
        <f t="shared" si="53"/>
        <v>7.1</v>
      </c>
      <c r="AT179" s="50">
        <f t="shared" si="75"/>
        <v>2.6038547216128904</v>
      </c>
      <c r="AU179" s="50">
        <f t="shared" si="76"/>
        <v>1.5828111997980759E-2</v>
      </c>
      <c r="AV179" s="2">
        <f t="shared" si="77"/>
        <v>2.1841555580046226</v>
      </c>
      <c r="AW179" s="61">
        <f t="shared" si="73"/>
        <v>2.3917634118975157</v>
      </c>
      <c r="BA179" s="16"/>
      <c r="BB179" s="2"/>
    </row>
    <row r="180" spans="1:54" x14ac:dyDescent="0.25">
      <c r="A180">
        <v>178</v>
      </c>
      <c r="B180" s="1">
        <f>ROUND((A180+Forudsætninger!$C$60)/30.4,1)</f>
        <v>7.1</v>
      </c>
      <c r="C180" s="1">
        <f>VLOOKUP((A180+Forudsætninger!$C$60),'Model tilvækst, slagteform, fe'!A:B,2,FALSE)</f>
        <v>318.92371675291918</v>
      </c>
      <c r="D180" s="3">
        <f t="shared" si="63"/>
        <v>1559.9090229591184</v>
      </c>
      <c r="E180" s="1">
        <f>(1+Forudsætninger!$C$78)*C180</f>
        <v>296.59905658021484</v>
      </c>
      <c r="F180" s="2">
        <f t="shared" si="64"/>
        <v>1.1826696170284434</v>
      </c>
      <c r="G180" s="1">
        <f t="shared" si="54"/>
        <v>297.7817261972433</v>
      </c>
      <c r="H180" s="3">
        <f t="shared" si="55"/>
        <v>1406.1465621246043</v>
      </c>
      <c r="I180" s="3">
        <f t="shared" si="56"/>
        <v>1285.2905966137264</v>
      </c>
      <c r="J180" s="1">
        <f>VLOOKUP((A180+Forudsætninger!$C$60),'Model tilvækst, slagteform, fe'!G:K,2,FALSE)*(1+Forudsætninger!$C$79)</f>
        <v>49.828840895339134</v>
      </c>
      <c r="K180" s="17">
        <f t="shared" si="52"/>
        <v>148.38118256221878</v>
      </c>
      <c r="L180" s="17">
        <f t="shared" si="65"/>
        <v>756.58818817103679</v>
      </c>
      <c r="M180" s="3">
        <f>((K180-(('Model tilvækst, slagteform, fe'!$H$9/100)*'Model tilvækst, slagteform, fe'!$B$9))*1000/(A180+Forudsætninger!$C$60))</f>
        <v>589.55888725258012</v>
      </c>
      <c r="N180" s="17">
        <f t="shared" si="66"/>
        <v>858.73001377539072</v>
      </c>
      <c r="O180" s="19">
        <f>IF( A180&lt;Forudsætninger!$C$14,(G180/100)*Forudsætninger!$C$13,(Forudsætninger!$C$15/1000)*Forudsætninger!$C$13)</f>
        <v>1.9355812202820815</v>
      </c>
      <c r="P180" s="17" cm="1">
        <f t="array" ref="P180">INDEX('Model tilvækst, slagteform, fe'!$N$9:$N$375,MATCH(MIN(ABS('Model tilvækst, slagteform, fe'!$M$9:$M$375-'Vækstfunktion, hol'!G180)),ABS('Model tilvækst, slagteform, fe'!$M$9:$M$375-'Vækstfunktion, hol'!G180),0))*(1+Forudsætninger!$C$80)</f>
        <v>7.0562973330990308</v>
      </c>
      <c r="Q180" s="17">
        <f t="shared" si="67"/>
        <v>9.3264703882792599</v>
      </c>
      <c r="R180" s="17">
        <f t="shared" si="68"/>
        <v>7.3861962266332659</v>
      </c>
      <c r="S180" s="17">
        <f t="shared" si="57"/>
        <v>3.7534904034907046</v>
      </c>
      <c r="T180" s="19">
        <f>(P180)*IF(N180&lt;Forudsætninger!$B$228,IF(N180&lt;Forudsætninger!$B$227,Forudsætninger!$B$225,Forudsætninger!$C$9),Forudsætninger!$C$11)+O180</f>
        <v>18.447316979733813</v>
      </c>
      <c r="U180" s="2">
        <f>Forudsætninger!$C$68+((K180-(Forudsætninger!$C$84)))*0.01</f>
        <v>3.1808646846108282</v>
      </c>
      <c r="V180" s="2">
        <f>U180+Forudsætninger!$C$69</f>
        <v>2.1808646846108282</v>
      </c>
      <c r="W180">
        <f t="shared" si="58"/>
        <v>1</v>
      </c>
      <c r="X180">
        <f>IF(A180+Forudsætninger!$C$60&gt;248,IF(A180+Forudsætninger!$C$60&lt;365,IF(K180&gt;180,IF(K180&lt;260,1,0),0),0),0)</f>
        <v>0</v>
      </c>
      <c r="Y180" s="22">
        <f>IF(X180=0,0,IF('Vækstfunktion, hol'!A180&lt;Forudsætninger!$C$66,Forudsætninger!$C$67+(('Vækstfunktion, hol'!A180-Forudsætninger!$C$66)/7)*Forudsætninger!$C$64,Forudsætninger!$C$67))</f>
        <v>0</v>
      </c>
      <c r="Z180" s="19">
        <f t="shared" si="69"/>
        <v>2731.8331637196802</v>
      </c>
      <c r="AA180" s="19">
        <f>Forudsætninger!$C$62+Forudsætninger!$C$16</f>
        <v>1350</v>
      </c>
      <c r="AB180" s="19">
        <f>IF(K180&gt;Forudsætninger!$C$26,IF(K180&gt;Forudsætninger!$C$27,IF(K180&gt;Forudsætninger!$C$28,Forudsætninger!$E$28,Forudsætninger!$E$27+Forudsætninger!$F$28*(K180-Forudsætninger!$C$27)),Forudsætninger!$E$26+Forudsætninger!$F$27*(K180-Forudsætninger!$C$26)),Forudsætninger!$E$26)+IF(K180&gt;Forudsætninger!$C$28,Forudsætninger!$G$28,IF(K180&gt;Forudsætninger!$C$27,Forudsætninger!$G$27+Forudsætninger!$H$28*(K180-Forudsætninger!$C$27),IF(K180&gt;Forudsætninger!$C$26,Forudsætninger!$G$26+Forudsætninger!$H$27*(K180-Forudsætninger!$C$26),Forudsætninger!$G$26)))*(U180-Forudsætninger!$H$26)</f>
        <v>33.735648513458123</v>
      </c>
      <c r="AC180" s="19">
        <f>IF(K180&gt;Forudsætninger!$C$31,IF(K180&gt;Forudsætninger!$C$32,IF(K180&gt;Forudsætninger!$C$33,Forudsætninger!$E$33,Forudsætninger!$E$32+Forudsætninger!$F$33*(K180-Forudsætninger!$C$32)),Forudsætninger!$E$31+Forudsætninger!$F$32*(K180-Forudsætninger!$C$31)),Forudsætninger!$E$31)+IF(K180&gt;Forudsætninger!$C$33,Forudsætninger!$G$33,IF(K180&gt;Forudsætninger!$C$32,Forudsætninger!$G$32+Forudsætninger!$H$33*(K180-Forudsætninger!$C$32),IF(K180&gt;Forudsætninger!$C$31,Forudsætninger!$G$31+Forudsætninger!$H$32*(K180-Forudsætninger!$C$31),Forudsætninger!$G$31)))*(V180-Forudsætninger!$H$31)</f>
        <v>27.235124089994077</v>
      </c>
      <c r="AD180" s="19">
        <f t="shared" si="59"/>
        <v>4041.1799197020937</v>
      </c>
      <c r="AE180" s="19">
        <f t="shared" si="60"/>
        <v>27.235124089994077</v>
      </c>
      <c r="AF180">
        <f>IF(G180&lt;=Forudsætninger!$C$97,Forudsætninger!$C$98,(IF(G180&lt;=Forudsætninger!$D$97,Forudsætninger!$D$98,IF(G180&lt;=Forudsætninger!$E$97,Forudsætninger!$E$98,IF(G180&lt;=Forudsætninger!$F$97,Forudsætninger!$F$98,IF(G180&lt;=Forudsætninger!$G$97,Forudsætninger!$G$98,IF(G180&lt;=Forudsætninger!$H$97,Forudsætninger!$H$98,IF(G180&lt;=Forudsætninger!$I$97,Forudsætninger!$I$98,Forudsætninger!$I$98))))))))</f>
        <v>3.2</v>
      </c>
      <c r="AG180" s="1">
        <f t="shared" si="70"/>
        <v>3.2</v>
      </c>
      <c r="AH180" s="1">
        <f t="shared" si="74"/>
        <v>459.59999999999877</v>
      </c>
      <c r="AI180" s="1">
        <f t="shared" si="61"/>
        <v>2.5820224719101055</v>
      </c>
      <c r="AJ180" s="20">
        <f>+(W180*Forudsætninger!$C$12)</f>
        <v>900</v>
      </c>
      <c r="AK180" s="20">
        <f>Forudsætninger!$C$17</f>
        <v>250</v>
      </c>
      <c r="AL180" s="20">
        <f>IF(A180&lt;92,Forudsætninger!$C$20,Forudsætninger!$C$21)</f>
        <v>1.0566762728146013</v>
      </c>
      <c r="AM180" s="20">
        <f t="shared" si="71"/>
        <v>456.59385941429014</v>
      </c>
      <c r="AN180" s="20">
        <f>IFERROR(AD180+AJ180-AA180-Z180-AK180-AM180-Forudsætninger!$C$75,-99999999)</f>
        <v>-29.641295981271213</v>
      </c>
      <c r="AO180" s="19">
        <f>IFERROR(AN180/(A180+Forudsætninger!$C$74),-99999999)</f>
        <v>-0.16652413472624278</v>
      </c>
      <c r="AP180" s="19">
        <f>IFERROR(((365/(A180+Forudsætninger!$C$74))*AN180)/(AI180+Forudsætninger!$C$73),-9999999)</f>
        <v>-22.578306759806377</v>
      </c>
      <c r="AQ180" s="18">
        <f t="shared" si="62"/>
        <v>178</v>
      </c>
      <c r="AR180" s="18">
        <f t="shared" si="72"/>
        <v>4788.4270231339706</v>
      </c>
      <c r="AS180" s="52">
        <f t="shared" si="53"/>
        <v>7.1</v>
      </c>
      <c r="AT180" s="50">
        <f t="shared" si="75"/>
        <v>2.5537632543440054</v>
      </c>
      <c r="AU180" s="50">
        <f t="shared" si="76"/>
        <v>1.5368855305481627E-2</v>
      </c>
      <c r="AV180" s="2">
        <f t="shared" si="77"/>
        <v>2.1158252951657488</v>
      </c>
      <c r="AW180" s="61">
        <f t="shared" si="73"/>
        <v>2.3986099069270725</v>
      </c>
      <c r="BA180" s="16"/>
      <c r="BB180" s="2"/>
    </row>
    <row r="181" spans="1:54" x14ac:dyDescent="0.25">
      <c r="A181">
        <v>179</v>
      </c>
      <c r="B181" s="1">
        <f>ROUND((A181+Forudsætninger!$C$60)/30.4,1)</f>
        <v>7.2</v>
      </c>
      <c r="C181" s="1">
        <f>VLOOKUP((A181+Forudsætninger!$C$60),'Model tilvækst, slagteform, fe'!A:B,2,FALSE)</f>
        <v>320.48109900706595</v>
      </c>
      <c r="D181" s="3">
        <f t="shared" si="63"/>
        <v>1557.3822541467734</v>
      </c>
      <c r="E181" s="1">
        <f>(1+Forudsætninger!$C$78)*C181</f>
        <v>298.04742207657131</v>
      </c>
      <c r="F181" s="2">
        <f t="shared" si="64"/>
        <v>1.1381729811956784</v>
      </c>
      <c r="G181" s="1">
        <f t="shared" si="54"/>
        <v>299.18559505776699</v>
      </c>
      <c r="H181" s="3">
        <f t="shared" si="55"/>
        <v>1403.8688605236871</v>
      </c>
      <c r="I181" s="3">
        <f t="shared" si="56"/>
        <v>1285.9530450154582</v>
      </c>
      <c r="J181" s="1">
        <f>VLOOKUP((A181+Forudsætninger!$C$60),'Model tilvækst, slagteform, fe'!G:K,2,FALSE)*(1+Forudsætninger!$C$79)</f>
        <v>49.84761232108368</v>
      </c>
      <c r="K181" s="17">
        <f t="shared" si="52"/>
        <v>149.13687554492299</v>
      </c>
      <c r="L181" s="17">
        <f t="shared" si="65"/>
        <v>755.69298270420404</v>
      </c>
      <c r="M181" s="3">
        <f>((K181-(('Model tilvækst, slagteform, fe'!$H$9/100)*'Model tilvækst, slagteform, fe'!$B$9))*1000/(A181+Forudsætninger!$C$60))</f>
        <v>590.32097025923906</v>
      </c>
      <c r="N181" s="17">
        <f t="shared" si="66"/>
        <v>865.79284963456018</v>
      </c>
      <c r="O181" s="19">
        <f>IF( A181&lt;Forudsætninger!$C$14,(G181/100)*Forudsætninger!$C$13,(Forudsætninger!$C$15/1000)*Forudsætninger!$C$13)</f>
        <v>1.9447063678754857</v>
      </c>
      <c r="P181" s="17" cm="1">
        <f t="array" ref="P181">INDEX('Model tilvækst, slagteform, fe'!$N$9:$N$375,MATCH(MIN(ABS('Model tilvækst, slagteform, fe'!$M$9:$M$375-'Vækstfunktion, hol'!G181)),ABS('Model tilvækst, slagteform, fe'!$M$9:$M$375-'Vækstfunktion, hol'!G181),0))*(1+Forudsætninger!$C$80)</f>
        <v>7.0628358591694136</v>
      </c>
      <c r="Q181" s="17">
        <f t="shared" si="67"/>
        <v>9.3461710255604871</v>
      </c>
      <c r="R181" s="17">
        <f t="shared" si="68"/>
        <v>7.3988536795540085</v>
      </c>
      <c r="S181" s="17">
        <f t="shared" si="57"/>
        <v>3.7612816276243621</v>
      </c>
      <c r="T181" s="19">
        <f>(P181)*IF(N181&lt;Forudsætninger!$B$228,IF(N181&lt;Forudsætninger!$B$227,Forudsætninger!$B$225,Forudsætninger!$C$9),Forudsætninger!$C$11)+O181</f>
        <v>18.471742278331913</v>
      </c>
      <c r="U181" s="2">
        <f>Forudsætninger!$C$68+((K181-(Forudsætninger!$C$84)))*0.01</f>
        <v>3.1884216144378703</v>
      </c>
      <c r="V181" s="2">
        <f>U181+Forudsætninger!$C$69</f>
        <v>2.1884216144378703</v>
      </c>
      <c r="W181">
        <f t="shared" si="58"/>
        <v>1</v>
      </c>
      <c r="X181">
        <f>IF(A181+Forudsætninger!$C$60&gt;248,IF(A181+Forudsætninger!$C$60&lt;365,IF(K181&gt;180,IF(K181&lt;260,1,0),0),0),0)</f>
        <v>0</v>
      </c>
      <c r="Y181" s="22">
        <f>IF(X181=0,0,IF('Vækstfunktion, hol'!A181&lt;Forudsætninger!$C$66,Forudsætninger!$C$67+(('Vækstfunktion, hol'!A181-Forudsætninger!$C$66)/7)*Forudsætninger!$C$64,Forudsætninger!$C$67))</f>
        <v>0</v>
      </c>
      <c r="Z181" s="19">
        <f t="shared" si="69"/>
        <v>2750.3049059980121</v>
      </c>
      <c r="AA181" s="19">
        <f>Forudsætninger!$C$62+Forudsætninger!$C$16</f>
        <v>1350</v>
      </c>
      <c r="AB181" s="19">
        <f>IF(K181&gt;Forudsætninger!$C$26,IF(K181&gt;Forudsætninger!$C$27,IF(K181&gt;Forudsætninger!$C$28,Forudsætninger!$E$28,Forudsætninger!$E$27+Forudsætninger!$F$28*(K181-Forudsætninger!$C$27)),Forudsætninger!$E$26+Forudsætninger!$F$27*(K181-Forudsætninger!$C$26)),Forudsætninger!$E$26)+IF(K181&gt;Forudsætninger!$C$28,Forudsætninger!$G$28,IF(K181&gt;Forudsætninger!$C$27,Forudsætninger!$G$27+Forudsætninger!$H$28*(K181-Forudsætninger!$C$27),IF(K181&gt;Forudsætninger!$C$26,Forudsætninger!$G$26+Forudsætninger!$H$27*(K181-Forudsætninger!$C$26),Forudsætninger!$G$26)))*(U181-Forudsætninger!$H$26)</f>
        <v>33.741316210828401</v>
      </c>
      <c r="AC181" s="19">
        <f>IF(K181&gt;Forudsætninger!$C$31,IF(K181&gt;Forudsætninger!$C$32,IF(K181&gt;Forudsætninger!$C$33,Forudsætninger!$E$33,Forudsætninger!$E$32+Forudsætninger!$F$33*(K181-Forudsætninger!$C$32)),Forudsætninger!$E$31+Forudsætninger!$F$32*(K181-Forudsætninger!$C$31)),Forudsætninger!$E$31)+IF(K181&gt;Forudsætninger!$C$33,Forudsætninger!$G$33,IF(K181&gt;Forudsætninger!$C$32,Forudsætninger!$G$32+Forudsætninger!$H$33*(K181-Forudsætninger!$C$32),IF(K181&gt;Forudsætninger!$C$31,Forudsætninger!$G$31+Forudsætninger!$H$32*(K181-Forudsætninger!$C$31),Forudsætninger!$G$31)))*(V181-Forudsætninger!$H$31)</f>
        <v>27.244948098769232</v>
      </c>
      <c r="AD181" s="19">
        <f t="shared" si="59"/>
        <v>4063.2264338340333</v>
      </c>
      <c r="AE181" s="19">
        <f t="shared" si="60"/>
        <v>27.244948098769232</v>
      </c>
      <c r="AF181">
        <f>IF(G181&lt;=Forudsætninger!$C$97,Forudsætninger!$C$98,(IF(G181&lt;=Forudsætninger!$D$97,Forudsætninger!$D$98,IF(G181&lt;=Forudsætninger!$E$97,Forudsætninger!$E$98,IF(G181&lt;=Forudsætninger!$F$97,Forudsætninger!$F$98,IF(G181&lt;=Forudsætninger!$G$97,Forudsætninger!$G$98,IF(G181&lt;=Forudsætninger!$H$97,Forudsætninger!$H$98,IF(G181&lt;=Forudsætninger!$I$97,Forudsætninger!$I$98,Forudsætninger!$I$98))))))))</f>
        <v>3.2</v>
      </c>
      <c r="AG181" s="1">
        <f t="shared" si="70"/>
        <v>3.2</v>
      </c>
      <c r="AH181" s="1">
        <f t="shared" si="74"/>
        <v>462.79999999999876</v>
      </c>
      <c r="AI181" s="1">
        <f t="shared" si="61"/>
        <v>2.5854748603351885</v>
      </c>
      <c r="AJ181" s="20">
        <f>+(W181*Forudsætninger!$C$12)</f>
        <v>900</v>
      </c>
      <c r="AK181" s="20">
        <f>Forudsætninger!$C$17</f>
        <v>250</v>
      </c>
      <c r="AL181" s="20">
        <f>IF(A181&lt;92,Forudsætninger!$C$20,Forudsætninger!$C$21)</f>
        <v>1.0566762728146013</v>
      </c>
      <c r="AM181" s="20">
        <f t="shared" si="71"/>
        <v>457.65053568710476</v>
      </c>
      <c r="AN181" s="20">
        <f>IFERROR(AD181+AJ181-AA181-Z181-AK181-AM181-Forudsætninger!$C$75,-99999999)</f>
        <v>-27.123200400477714</v>
      </c>
      <c r="AO181" s="19">
        <f>IFERROR(AN181/(A181+Forudsætninger!$C$74),-99999999)</f>
        <v>-0.15152625922054588</v>
      </c>
      <c r="AP181" s="19">
        <f>IFERROR(((365/(A181+Forudsætninger!$C$74))*AN181)/(AI181+Forudsætninger!$C$73),-9999999)</f>
        <v>-20.518493950495124</v>
      </c>
      <c r="AQ181" s="18">
        <f t="shared" si="62"/>
        <v>179</v>
      </c>
      <c r="AR181" s="18">
        <f t="shared" si="72"/>
        <v>4807.955441685117</v>
      </c>
      <c r="AS181" s="52">
        <f t="shared" si="53"/>
        <v>7.2</v>
      </c>
      <c r="AT181" s="50">
        <f t="shared" si="75"/>
        <v>2.5180955807934993</v>
      </c>
      <c r="AU181" s="50">
        <f t="shared" si="76"/>
        <v>1.4997875505696895E-2</v>
      </c>
      <c r="AV181" s="2">
        <f t="shared" si="77"/>
        <v>2.0598128093112535</v>
      </c>
      <c r="AW181" s="61">
        <f t="shared" si="73"/>
        <v>2.405180644059369</v>
      </c>
      <c r="BA181" s="16"/>
      <c r="BB181" s="2"/>
    </row>
    <row r="182" spans="1:54" x14ac:dyDescent="0.25">
      <c r="A182">
        <v>180</v>
      </c>
      <c r="B182" s="1">
        <f>ROUND((A182+Forudsætninger!$C$60)/30.4,1)</f>
        <v>7.2</v>
      </c>
      <c r="C182" s="1">
        <f>VLOOKUP((A182+Forudsætninger!$C$60),'Model tilvækst, slagteform, fe'!A:B,2,FALSE)</f>
        <v>322.03591080001041</v>
      </c>
      <c r="D182" s="3">
        <f t="shared" si="63"/>
        <v>1554.8117929444629</v>
      </c>
      <c r="E182" s="1">
        <f>(1+Forudsætninger!$C$78)*C182</f>
        <v>299.49339704400967</v>
      </c>
      <c r="F182" s="2">
        <f t="shared" si="64"/>
        <v>1.0937497871115509</v>
      </c>
      <c r="G182" s="1">
        <f t="shared" si="54"/>
        <v>300.58714683112123</v>
      </c>
      <c r="H182" s="3">
        <f t="shared" si="55"/>
        <v>1401.5517733542424</v>
      </c>
      <c r="I182" s="3">
        <f t="shared" si="56"/>
        <v>1286.5952601728957</v>
      </c>
      <c r="J182" s="1">
        <f>VLOOKUP((A182+Forudsætninger!$C$60),'Model tilvækst, slagteform, fe'!G:K,2,FALSE)*(1+Forudsætninger!$C$79)</f>
        <v>49.866281903133732</v>
      </c>
      <c r="K182" s="17">
        <f t="shared" si="52"/>
        <v>149.89163400339342</v>
      </c>
      <c r="L182" s="17">
        <f t="shared" si="65"/>
        <v>754.75845847043388</v>
      </c>
      <c r="M182" s="3">
        <f>((K182-(('Model tilvækst, slagteform, fe'!$H$9/100)*'Model tilvækst, slagteform, fe'!$B$9))*1000/(A182+Forudsætninger!$C$60))</f>
        <v>591.07182636979223</v>
      </c>
      <c r="N182" s="17">
        <f t="shared" si="66"/>
        <v>872.86218668245283</v>
      </c>
      <c r="O182" s="19">
        <f>IF( A182&lt;Forudsætninger!$C$14,(G182/100)*Forudsætninger!$C$13,(Forudsætninger!$C$15/1000)*Forudsætninger!$C$13)</f>
        <v>1.9538164544022882</v>
      </c>
      <c r="P182" s="17" cm="1">
        <f t="array" ref="P182">INDEX('Model tilvækst, slagteform, fe'!$N$9:$N$375,MATCH(MIN(ABS('Model tilvækst, slagteform, fe'!$M$9:$M$375-'Vækstfunktion, hol'!G182)),ABS('Model tilvækst, slagteform, fe'!$M$9:$M$375-'Vækstfunktion, hol'!G182),0))*(1+Forudsætninger!$C$80)</f>
        <v>7.0693370478925939</v>
      </c>
      <c r="Q182" s="17">
        <f t="shared" si="67"/>
        <v>9.3663568371516579</v>
      </c>
      <c r="R182" s="17">
        <f t="shared" si="68"/>
        <v>7.411462709461353</v>
      </c>
      <c r="S182" s="17">
        <f t="shared" si="57"/>
        <v>3.7690441746275511</v>
      </c>
      <c r="T182" s="19">
        <f>(P182)*IF(N182&lt;Forudsætninger!$B$228,IF(N182&lt;Forudsætninger!$B$227,Forudsætninger!$B$225,Forudsætninger!$C$9),Forudsætninger!$C$11)+O182</f>
        <v>18.496065146470958</v>
      </c>
      <c r="U182" s="2">
        <f>Forudsætninger!$C$68+((K182-(Forudsætninger!$C$84)))*0.01</f>
        <v>3.1959691990225743</v>
      </c>
      <c r="V182" s="2">
        <f>U182+Forudsætninger!$C$69</f>
        <v>2.1959691990225743</v>
      </c>
      <c r="W182">
        <f t="shared" si="58"/>
        <v>1</v>
      </c>
      <c r="X182">
        <f>IF(A182+Forudsætninger!$C$60&gt;248,IF(A182+Forudsætninger!$C$60&lt;365,IF(K182&gt;180,IF(K182&lt;260,1,0),0),0),0)</f>
        <v>0</v>
      </c>
      <c r="Y182" s="22">
        <f>IF(X182=0,0,IF('Vækstfunktion, hol'!A182&lt;Forudsætninger!$C$66,Forudsætninger!$C$67+(('Vækstfunktion, hol'!A182-Forudsætninger!$C$66)/7)*Forudsætninger!$C$64,Forudsætninger!$C$67))</f>
        <v>0</v>
      </c>
      <c r="Z182" s="19">
        <f t="shared" si="69"/>
        <v>2768.8009711444829</v>
      </c>
      <c r="AA182" s="19">
        <f>Forudsætninger!$C$62+Forudsætninger!$C$16</f>
        <v>1350</v>
      </c>
      <c r="AB182" s="19">
        <f>IF(K182&gt;Forudsætninger!$C$26,IF(K182&gt;Forudsætninger!$C$27,IF(K182&gt;Forudsætninger!$C$28,Forudsætninger!$E$28,Forudsætninger!$E$27+Forudsætninger!$F$28*(K182-Forudsætninger!$C$27)),Forudsætninger!$E$26+Forudsætninger!$F$27*(K182-Forudsætninger!$C$26)),Forudsætninger!$E$26)+IF(K182&gt;Forudsætninger!$C$28,Forudsætninger!$G$28,IF(K182&gt;Forudsætninger!$C$27,Forudsætninger!$G$27+Forudsætninger!$H$28*(K182-Forudsætninger!$C$27),IF(K182&gt;Forudsætninger!$C$26,Forudsætninger!$G$26+Forudsætninger!$H$27*(K182-Forudsætninger!$C$26),Forudsætninger!$G$26)))*(U182-Forudsætninger!$H$26)</f>
        <v>33.746976899266933</v>
      </c>
      <c r="AC182" s="19">
        <f>IF(K182&gt;Forudsætninger!$C$31,IF(K182&gt;Forudsætninger!$C$32,IF(K182&gt;Forudsætninger!$C$33,Forudsætninger!$E$33,Forudsætninger!$E$32+Forudsætninger!$F$33*(K182-Forudsætninger!$C$32)),Forudsætninger!$E$31+Forudsætninger!$F$32*(K182-Forudsætninger!$C$31)),Forudsætninger!$E$31)+IF(K182&gt;Forudsætninger!$C$33,Forudsætninger!$G$33,IF(K182&gt;Forudsætninger!$C$32,Forudsætninger!$G$32+Forudsætninger!$H$33*(K182-Forudsætninger!$C$32),IF(K182&gt;Forudsætninger!$C$31,Forudsætninger!$G$31+Forudsætninger!$H$32*(K182-Forudsætninger!$C$31),Forudsætninger!$G$31)))*(V182-Forudsætninger!$H$31)</f>
        <v>27.254759958729348</v>
      </c>
      <c r="AD182" s="19">
        <f t="shared" si="59"/>
        <v>4085.2605045842015</v>
      </c>
      <c r="AE182" s="19">
        <f t="shared" si="60"/>
        <v>27.254759958729348</v>
      </c>
      <c r="AF182">
        <f>IF(G182&lt;=Forudsætninger!$C$97,Forudsætninger!$C$98,(IF(G182&lt;=Forudsætninger!$D$97,Forudsætninger!$D$98,IF(G182&lt;=Forudsætninger!$E$97,Forudsætninger!$E$98,IF(G182&lt;=Forudsætninger!$F$97,Forudsætninger!$F$98,IF(G182&lt;=Forudsætninger!$G$97,Forudsætninger!$G$98,IF(G182&lt;=Forudsætninger!$H$97,Forudsætninger!$H$98,IF(G182&lt;=Forudsætninger!$I$97,Forudsætninger!$I$98,Forudsætninger!$I$98))))))))</f>
        <v>3.8</v>
      </c>
      <c r="AG182" s="1">
        <f t="shared" si="70"/>
        <v>4.4000000000000004</v>
      </c>
      <c r="AH182" s="1">
        <f t="shared" si="74"/>
        <v>467.19999999999874</v>
      </c>
      <c r="AI182" s="1">
        <f t="shared" si="61"/>
        <v>2.5955555555555487</v>
      </c>
      <c r="AJ182" s="20">
        <f>+(W182*Forudsætninger!$C$12)</f>
        <v>900</v>
      </c>
      <c r="AK182" s="20">
        <f>Forudsætninger!$C$17</f>
        <v>250</v>
      </c>
      <c r="AL182" s="20">
        <f>IF(A182&lt;92,Forudsætninger!$C$20,Forudsætninger!$C$21)</f>
        <v>1.0566762728146013</v>
      </c>
      <c r="AM182" s="20">
        <f t="shared" si="71"/>
        <v>458.70721195991939</v>
      </c>
      <c r="AN182" s="20">
        <f>IFERROR(AD182+AJ182-AA182-Z182-AK182-AM182-Forudsætninger!$C$75,-99999999)</f>
        <v>-24.641871069595794</v>
      </c>
      <c r="AO182" s="19">
        <f>IFERROR(AN182/(A182+Forudsætninger!$C$74),-99999999)</f>
        <v>-0.13689928371997664</v>
      </c>
      <c r="AP182" s="19">
        <f>IFERROR(((365/(A182+Forudsætninger!$C$74))*AN182)/(AI182+Forudsætninger!$C$73),-9999999)</f>
        <v>-18.468753471052334</v>
      </c>
      <c r="AQ182" s="18">
        <f t="shared" si="62"/>
        <v>180</v>
      </c>
      <c r="AR182" s="18">
        <f t="shared" si="72"/>
        <v>4827.5081831044026</v>
      </c>
      <c r="AS182" s="52">
        <f t="shared" si="53"/>
        <v>7.2</v>
      </c>
      <c r="AT182" s="50">
        <f t="shared" si="75"/>
        <v>2.4813293308819198</v>
      </c>
      <c r="AU182" s="50">
        <f t="shared" si="76"/>
        <v>1.4626975500569239E-2</v>
      </c>
      <c r="AV182" s="2">
        <f t="shared" si="77"/>
        <v>2.0497404794427894</v>
      </c>
      <c r="AW182" s="61">
        <f t="shared" si="73"/>
        <v>2.4114741160573532</v>
      </c>
      <c r="BA182" s="16"/>
      <c r="BB182" s="2"/>
    </row>
    <row r="183" spans="1:54" x14ac:dyDescent="0.25">
      <c r="A183">
        <v>181</v>
      </c>
      <c r="B183" s="1">
        <f>ROUND((A183+Forudsætninger!$C$60)/30.4,1)</f>
        <v>7.2</v>
      </c>
      <c r="C183" s="1">
        <f>VLOOKUP((A183+Forudsætninger!$C$60),'Model tilvækst, slagteform, fe'!A:B,2,FALSE)</f>
        <v>323.58810897371023</v>
      </c>
      <c r="D183" s="3">
        <f t="shared" si="63"/>
        <v>1552.1981736998214</v>
      </c>
      <c r="E183" s="1">
        <f>(1+Forudsætninger!$C$78)*C183</f>
        <v>300.93694134555051</v>
      </c>
      <c r="F183" s="2">
        <f t="shared" si="64"/>
        <v>1.0494012678629845</v>
      </c>
      <c r="G183" s="1">
        <f t="shared" si="54"/>
        <v>301.98634261341351</v>
      </c>
      <c r="H183" s="3">
        <f t="shared" si="55"/>
        <v>1399.1957822922814</v>
      </c>
      <c r="I183" s="3">
        <f t="shared" si="56"/>
        <v>1287.217362505047</v>
      </c>
      <c r="J183" s="1">
        <f>VLOOKUP((A183+Forudsætninger!$C$60),'Model tilvækst, slagteform, fe'!G:K,2,FALSE)*(1+Forudsætninger!$C$79)</f>
        <v>49.884844881744449</v>
      </c>
      <c r="K183" s="17">
        <f t="shared" si="52"/>
        <v>150.64541857675468</v>
      </c>
      <c r="L183" s="17">
        <f t="shared" si="65"/>
        <v>753.78457336125848</v>
      </c>
      <c r="M183" s="3">
        <f>((K183-(('Model tilvækst, slagteform, fe'!$H$9/100)*'Model tilvækst, slagteform, fe'!$B$9))*1000/(A183+Forudsætninger!$C$60))</f>
        <v>591.81142976520812</v>
      </c>
      <c r="N183" s="17">
        <f t="shared" si="66"/>
        <v>879.93799222104292</v>
      </c>
      <c r="O183" s="19">
        <f>IF( A183&lt;Forudsætninger!$C$14,(G183/100)*Forudsætninger!$C$13,(Forudsætninger!$C$15/1000)*Forudsætninger!$C$13)</f>
        <v>1.9629112269871878</v>
      </c>
      <c r="P183" s="17" cm="1">
        <f t="array" ref="P183">INDEX('Model tilvækst, slagteform, fe'!$N$9:$N$375,MATCH(MIN(ABS('Model tilvækst, slagteform, fe'!$M$9:$M$375-'Vækstfunktion, hol'!G183)),ABS('Model tilvækst, slagteform, fe'!$M$9:$M$375-'Vækstfunktion, hol'!G183),0))*(1+Forudsætninger!$C$80)</f>
        <v>7.0758055385900596</v>
      </c>
      <c r="Q183" s="17">
        <f t="shared" si="67"/>
        <v>9.3870394654507106</v>
      </c>
      <c r="R183" s="17">
        <f t="shared" si="68"/>
        <v>7.4240267292133311</v>
      </c>
      <c r="S183" s="17">
        <f t="shared" si="57"/>
        <v>3.7767792839303667</v>
      </c>
      <c r="T183" s="19">
        <f>(P183)*IF(N183&lt;Forudsætninger!$B$228,IF(N183&lt;Forudsætninger!$B$227,Forudsætninger!$B$225,Forudsætninger!$C$9),Forudsætninger!$C$11)+O183</f>
        <v>18.520296187287926</v>
      </c>
      <c r="U183" s="2">
        <f>Forudsætninger!$C$68+((K183-(Forudsætninger!$C$84)))*0.01</f>
        <v>3.2035070447561873</v>
      </c>
      <c r="V183" s="2">
        <f>U183+Forudsætninger!$C$69</f>
        <v>2.2035070447561873</v>
      </c>
      <c r="W183">
        <f t="shared" si="58"/>
        <v>1</v>
      </c>
      <c r="X183">
        <f>IF(A183+Forudsætninger!$C$60&gt;248,IF(A183+Forudsætninger!$C$60&lt;365,IF(K183&gt;180,IF(K183&lt;260,1,0),0),0),0)</f>
        <v>0</v>
      </c>
      <c r="Y183" s="22">
        <f>IF(X183=0,0,IF('Vækstfunktion, hol'!A183&lt;Forudsætninger!$C$66,Forudsætninger!$C$67+(('Vækstfunktion, hol'!A183-Forudsætninger!$C$66)/7)*Forudsætninger!$C$64,Forudsætninger!$C$67))</f>
        <v>0</v>
      </c>
      <c r="Z183" s="19">
        <f t="shared" si="69"/>
        <v>2787.3212673317707</v>
      </c>
      <c r="AA183" s="19">
        <f>Forudsætninger!$C$62+Forudsætninger!$C$16</f>
        <v>1350</v>
      </c>
      <c r="AB183" s="19">
        <f>IF(K183&gt;Forudsætninger!$C$26,IF(K183&gt;Forudsætninger!$C$27,IF(K183&gt;Forudsætninger!$C$28,Forudsætninger!$E$28,Forudsætninger!$E$27+Forudsætninger!$F$28*(K183-Forudsætninger!$C$27)),Forudsætninger!$E$26+Forudsætninger!$F$27*(K183-Forudsætninger!$C$26)),Forudsætninger!$E$26)+IF(K183&gt;Forudsætninger!$C$28,Forudsætninger!$G$28,IF(K183&gt;Forudsætninger!$C$27,Forudsætninger!$G$27+Forudsætninger!$H$28*(K183-Forudsætninger!$C$27),IF(K183&gt;Forudsætninger!$C$26,Forudsætninger!$G$26+Forudsætninger!$H$27*(K183-Forudsætninger!$C$26),Forudsætninger!$G$26)))*(U183-Forudsætninger!$H$26)</f>
        <v>33.752630283567143</v>
      </c>
      <c r="AC183" s="19">
        <f>IF(K183&gt;Forudsætninger!$C$31,IF(K183&gt;Forudsætninger!$C$32,IF(K183&gt;Forudsætninger!$C$33,Forudsætninger!$E$33,Forudsætninger!$E$32+Forudsætninger!$F$33*(K183-Forudsætninger!$C$32)),Forudsætninger!$E$31+Forudsætninger!$F$32*(K183-Forudsætninger!$C$31)),Forudsætninger!$E$31)+IF(K183&gt;Forudsætninger!$C$33,Forudsætninger!$G$33,IF(K183&gt;Forudsætninger!$C$32,Forudsætninger!$G$32+Forudsætninger!$H$33*(K183-Forudsætninger!$C$32),IF(K183&gt;Forudsætninger!$C$31,Forudsætninger!$G$31+Forudsætninger!$H$32*(K183-Forudsætninger!$C$31),Forudsætninger!$G$31)))*(V183-Forudsætninger!$H$31)</f>
        <v>27.264559158183044</v>
      </c>
      <c r="AD183" s="19">
        <f t="shared" si="59"/>
        <v>4107.2809266951745</v>
      </c>
      <c r="AE183" s="19">
        <f t="shared" si="60"/>
        <v>27.26455915818304</v>
      </c>
      <c r="AF183">
        <f>IF(G183&lt;=Forudsætninger!$C$97,Forudsætninger!$C$98,(IF(G183&lt;=Forudsætninger!$D$97,Forudsætninger!$D$98,IF(G183&lt;=Forudsætninger!$E$97,Forudsætninger!$E$98,IF(G183&lt;=Forudsætninger!$F$97,Forudsætninger!$F$98,IF(G183&lt;=Forudsætninger!$G$97,Forudsætninger!$G$98,IF(G183&lt;=Forudsætninger!$H$97,Forudsætninger!$H$98,IF(G183&lt;=Forudsætninger!$I$97,Forudsætninger!$I$98,Forudsætninger!$I$98))))))))</f>
        <v>3.8</v>
      </c>
      <c r="AG183" s="1">
        <f t="shared" si="70"/>
        <v>4.4000000000000004</v>
      </c>
      <c r="AH183" s="1">
        <f t="shared" si="74"/>
        <v>471.59999999999872</v>
      </c>
      <c r="AI183" s="1">
        <f t="shared" si="61"/>
        <v>2.6055248618784459</v>
      </c>
      <c r="AJ183" s="20">
        <f>+(W183*Forudsætninger!$C$12)</f>
        <v>900</v>
      </c>
      <c r="AK183" s="20">
        <f>Forudsætninger!$C$17</f>
        <v>250</v>
      </c>
      <c r="AL183" s="20">
        <f>IF(A183&lt;92,Forudsætninger!$C$20,Forudsætninger!$C$21)</f>
        <v>1.0566762728146013</v>
      </c>
      <c r="AM183" s="20">
        <f t="shared" si="71"/>
        <v>459.76388823273402</v>
      </c>
      <c r="AN183" s="20">
        <f>IFERROR(AD183+AJ183-AA183-Z183-AK183-AM183-Forudsætninger!$C$75,-99999999)</f>
        <v>-22.198421418724848</v>
      </c>
      <c r="AO183" s="19">
        <f>IFERROR(AN183/(A183+Forudsætninger!$C$74),-99999999)</f>
        <v>-0.12264321225814834</v>
      </c>
      <c r="AP183" s="19">
        <f>IFERROR(((365/(A183+Forudsætninger!$C$74))*AN183)/(AI183+Forudsætninger!$C$73),-9999999)</f>
        <v>-16.484758840785727</v>
      </c>
      <c r="AQ183" s="18">
        <f t="shared" si="62"/>
        <v>181</v>
      </c>
      <c r="AR183" s="18">
        <f t="shared" si="72"/>
        <v>4847.085155564504</v>
      </c>
      <c r="AS183" s="52">
        <f t="shared" si="53"/>
        <v>7.2</v>
      </c>
      <c r="AT183" s="50">
        <f t="shared" si="75"/>
        <v>2.4434496508709458</v>
      </c>
      <c r="AU183" s="50">
        <f t="shared" si="76"/>
        <v>1.4256071461828307E-2</v>
      </c>
      <c r="AV183" s="2">
        <f t="shared" si="77"/>
        <v>1.9839946302666078</v>
      </c>
      <c r="AW183" s="61">
        <f t="shared" si="73"/>
        <v>2.4174887669282272</v>
      </c>
      <c r="BA183" s="16"/>
      <c r="BB183" s="2"/>
    </row>
    <row r="184" spans="1:54" x14ac:dyDescent="0.25">
      <c r="A184">
        <v>182</v>
      </c>
      <c r="B184" s="1">
        <f>ROUND((A184+Forudsætninger!$C$60)/30.4,1)</f>
        <v>7.3</v>
      </c>
      <c r="C184" s="1">
        <f>VLOOKUP((A184+Forudsætninger!$C$60),'Model tilvækst, slagteform, fe'!A:B,2,FALSE)</f>
        <v>325.13765090447066</v>
      </c>
      <c r="D184" s="3">
        <f t="shared" si="63"/>
        <v>1549.5419307604266</v>
      </c>
      <c r="E184" s="1">
        <f>(1+Forudsætninger!$C$78)*C184</f>
        <v>302.37801534115772</v>
      </c>
      <c r="F184" s="2">
        <f t="shared" si="64"/>
        <v>1.0051286412698295</v>
      </c>
      <c r="G184" s="1">
        <f t="shared" si="54"/>
        <v>303.38314398242755</v>
      </c>
      <c r="H184" s="3">
        <f t="shared" si="55"/>
        <v>1396.8013690140424</v>
      </c>
      <c r="I184" s="3">
        <f t="shared" si="56"/>
        <v>1287.8194724309205</v>
      </c>
      <c r="J184" s="1">
        <f>VLOOKUP((A184+Forudsætninger!$C$60),'Model tilvækst, slagteform, fe'!G:K,2,FALSE)*(1+Forudsætninger!$C$79)</f>
        <v>49.903296497170977</v>
      </c>
      <c r="K184" s="17">
        <f t="shared" si="52"/>
        <v>151.39818986398996</v>
      </c>
      <c r="L184" s="17">
        <f t="shared" si="65"/>
        <v>752.77128723527653</v>
      </c>
      <c r="M184" s="3">
        <f>((K184-(('Model tilvækst, slagteform, fe'!$H$9/100)*'Model tilvækst, slagteform, fe'!$B$9))*1000/(A184+Forudsætninger!$C$60))</f>
        <v>592.53975491213157</v>
      </c>
      <c r="N184" s="17">
        <f t="shared" si="66"/>
        <v>887.02023819162628</v>
      </c>
      <c r="O184" s="19">
        <f>IF( A184&lt;Forudsætninger!$C$14,(G184/100)*Forudsætninger!$C$13,(Forudsætninger!$C$15/1000)*Forudsætninger!$C$13)</f>
        <v>1.9719904358857792</v>
      </c>
      <c r="P184" s="17" cm="1">
        <f t="array" ref="P184">INDEX('Model tilvækst, slagteform, fe'!$N$9:$N$375,MATCH(MIN(ABS('Model tilvækst, slagteform, fe'!$M$9:$M$375-'Vækstfunktion, hol'!G184)),ABS('Model tilvækst, slagteform, fe'!$M$9:$M$375-'Vækstfunktion, hol'!G184),0))*(1+Forudsætninger!$C$80)</f>
        <v>7.0822459705833047</v>
      </c>
      <c r="Q184" s="17">
        <f t="shared" si="67"/>
        <v>9.4082307477407401</v>
      </c>
      <c r="R184" s="17">
        <f t="shared" si="68"/>
        <v>7.4365491211501107</v>
      </c>
      <c r="S184" s="17">
        <f t="shared" si="57"/>
        <v>3.7844881808485722</v>
      </c>
      <c r="T184" s="19">
        <f>(P184)*IF(N184&lt;Forudsætninger!$B$228,IF(N184&lt;Forudsætninger!$B$227,Forudsætninger!$B$225,Forudsætninger!$C$9),Forudsætninger!$C$11)+O184</f>
        <v>18.544446007050713</v>
      </c>
      <c r="U184" s="2">
        <f>Forudsætninger!$C$68+((K184-(Forudsætninger!$C$84)))*0.01</f>
        <v>3.2110347576285401</v>
      </c>
      <c r="V184" s="2">
        <f>U184+Forudsætninger!$C$69</f>
        <v>2.2110347576285401</v>
      </c>
      <c r="W184">
        <f t="shared" si="58"/>
        <v>1</v>
      </c>
      <c r="X184">
        <f>IF(A184+Forudsætninger!$C$60&gt;248,IF(A184+Forudsætninger!$C$60&lt;365,IF(K184&gt;180,IF(K184&lt;260,1,0),0),0),0)</f>
        <v>0</v>
      </c>
      <c r="Y184" s="22">
        <f>IF(X184=0,0,IF('Vækstfunktion, hol'!A184&lt;Forudsætninger!$C$66,Forudsætninger!$C$67+(('Vækstfunktion, hol'!A184-Forudsætninger!$C$66)/7)*Forudsætninger!$C$64,Forudsætninger!$C$67))</f>
        <v>0</v>
      </c>
      <c r="Z184" s="19">
        <f>Z183+T184</f>
        <v>2805.8657133388215</v>
      </c>
      <c r="AA184" s="19">
        <f>Forudsætninger!$C$62+Forudsætninger!$C$16</f>
        <v>1350</v>
      </c>
      <c r="AB184" s="19">
        <f>IF(K184&gt;Forudsætninger!$C$26,IF(K184&gt;Forudsætninger!$C$27,IF(K184&gt;Forudsætninger!$C$28,Forudsætninger!$E$28,Forudsætninger!$E$27+Forudsætninger!$F$28*(K184-Forudsætninger!$C$27)),Forudsætninger!$E$26+Forudsætninger!$F$27*(K184-Forudsætninger!$C$26)),Forudsætninger!$E$26)+IF(K184&gt;Forudsætninger!$C$28,Forudsætninger!$G$28,IF(K184&gt;Forudsætninger!$C$27,Forudsætninger!$G$27+Forudsætninger!$H$28*(K184-Forudsætninger!$C$27),IF(K184&gt;Forudsætninger!$C$26,Forudsætninger!$G$26+Forudsætninger!$H$27*(K184-Forudsætninger!$C$26),Forudsætninger!$G$26)))*(U184-Forudsætninger!$H$26)</f>
        <v>33.758276068221406</v>
      </c>
      <c r="AC184" s="19">
        <f>IF(K184&gt;Forudsætninger!$C$31,IF(K184&gt;Forudsætninger!$C$32,IF(K184&gt;Forudsætninger!$C$33,Forudsætninger!$E$33,Forudsætninger!$E$32+Forudsætninger!$F$33*(K184-Forudsætninger!$C$32)),Forudsætninger!$E$31+Forudsætninger!$F$32*(K184-Forudsætninger!$C$31)),Forudsætninger!$E$31)+IF(K184&gt;Forudsætninger!$C$33,Forudsætninger!$G$33,IF(K184&gt;Forudsætninger!$C$32,Forudsætninger!$G$32+Forudsætninger!$H$33*(K184-Forudsætninger!$C$32),IF(K184&gt;Forudsætninger!$C$31,Forudsætninger!$G$31+Forudsætninger!$H$32*(K184-Forudsætninger!$C$31),Forudsætninger!$G$31)))*(V184-Forudsætninger!$H$31)</f>
        <v>27.274345184917102</v>
      </c>
      <c r="AD184" s="19">
        <f t="shared" si="59"/>
        <v>4129.2864907220801</v>
      </c>
      <c r="AE184" s="19">
        <f t="shared" si="60"/>
        <v>27.274345184917106</v>
      </c>
      <c r="AF184">
        <f>IF(G184&lt;=Forudsætninger!$C$97,Forudsætninger!$C$98,(IF(G184&lt;=Forudsætninger!$D$97,Forudsætninger!$D$98,IF(G184&lt;=Forudsætninger!$E$97,Forudsætninger!$E$98,IF(G184&lt;=Forudsætninger!$F$97,Forudsætninger!$F$98,IF(G184&lt;=Forudsætninger!$G$97,Forudsætninger!$G$98,IF(G184&lt;=Forudsætninger!$H$97,Forudsætninger!$H$98,IF(G184&lt;=Forudsætninger!$I$97,Forudsætninger!$I$98,Forudsætninger!$I$98))))))))</f>
        <v>3.8</v>
      </c>
      <c r="AG184" s="1">
        <f t="shared" si="70"/>
        <v>4.4000000000000004</v>
      </c>
      <c r="AH184" s="1">
        <f t="shared" si="74"/>
        <v>475.99999999999869</v>
      </c>
      <c r="AI184" s="1">
        <f t="shared" si="61"/>
        <v>2.6153846153846083</v>
      </c>
      <c r="AJ184" s="20">
        <f>+(W184*Forudsætninger!$C$12)</f>
        <v>900</v>
      </c>
      <c r="AK184" s="20">
        <f>Forudsætninger!$C$17</f>
        <v>250</v>
      </c>
      <c r="AL184" s="20">
        <f>IF(A184&lt;92,Forudsætninger!$C$20,Forudsætninger!$C$21)</f>
        <v>1.0566762728146013</v>
      </c>
      <c r="AM184" s="20">
        <f t="shared" si="71"/>
        <v>460.82056450554865</v>
      </c>
      <c r="AN184" s="20">
        <f>IFERROR(AD184+AJ184-AA184-Z184-AK184-AM184-Forudsætninger!$C$75,-99999999)</f>
        <v>-19.793979671684582</v>
      </c>
      <c r="AO184" s="19">
        <f>IFERROR(AN184/(A184+Forudsætninger!$C$74),-99999999)</f>
        <v>-0.108758130064201</v>
      </c>
      <c r="AP184" s="19">
        <f>IFERROR(((365/(A184+Forudsætninger!$C$74))*AN184)/(AI184+Forudsætninger!$C$73),-9999999)</f>
        <v>-14.56554691376334</v>
      </c>
      <c r="AQ184" s="18">
        <f t="shared" si="62"/>
        <v>182</v>
      </c>
      <c r="AR184" s="18">
        <f t="shared" si="72"/>
        <v>4866.6862778443701</v>
      </c>
      <c r="AS184" s="52">
        <f t="shared" si="53"/>
        <v>7.3</v>
      </c>
      <c r="AT184" s="50">
        <f t="shared" si="75"/>
        <v>2.4044417470402664</v>
      </c>
      <c r="AU184" s="50">
        <f t="shared" si="76"/>
        <v>1.3885082193947337E-2</v>
      </c>
      <c r="AV184" s="2">
        <f t="shared" si="77"/>
        <v>1.9192119270223866</v>
      </c>
      <c r="AW184" s="61">
        <f t="shared" si="73"/>
        <v>2.4232229935926597</v>
      </c>
      <c r="BA184" s="16"/>
      <c r="BB184" s="2"/>
    </row>
    <row r="185" spans="1:54" x14ac:dyDescent="0.25">
      <c r="A185">
        <v>183</v>
      </c>
      <c r="B185" s="1">
        <f>ROUND((A185+Forudsætninger!$C$60)/30.4,1)</f>
        <v>7.3</v>
      </c>
      <c r="C185" s="1">
        <f>VLOOKUP((A185+Forudsætninger!$C$60),'Model tilvækst, slagteform, fe'!A:B,2,FALSE)</f>
        <v>326.68449450294423</v>
      </c>
      <c r="D185" s="3">
        <f t="shared" si="63"/>
        <v>1546.843598473572</v>
      </c>
      <c r="E185" s="1">
        <f>(1+Forudsætninger!$C$78)*C185</f>
        <v>303.8165798877381</v>
      </c>
      <c r="F185" s="2">
        <f t="shared" si="64"/>
        <v>0.96093310988487024</v>
      </c>
      <c r="G185" s="1">
        <f t="shared" si="54"/>
        <v>304.77751299762298</v>
      </c>
      <c r="H185" s="3">
        <f t="shared" si="55"/>
        <v>1394.3690151954229</v>
      </c>
      <c r="I185" s="3">
        <f t="shared" si="56"/>
        <v>1288.4017103695244</v>
      </c>
      <c r="J185" s="1">
        <f>VLOOKUP((A185+Forudsætninger!$C$60),'Model tilvækst, slagteform, fe'!G:K,2,FALSE)*(1+Forudsætninger!$C$79)</f>
        <v>49.921631989668477</v>
      </c>
      <c r="K185" s="17">
        <f t="shared" si="52"/>
        <v>152.14990842593735</v>
      </c>
      <c r="L185" s="17">
        <f t="shared" si="65"/>
        <v>751.71856194739917</v>
      </c>
      <c r="M185" s="3">
        <f>((K185-(('Model tilvækst, slagteform, fe'!$H$9/100)*'Model tilvækst, slagteform, fe'!$B$9))*1000/(A185+Forudsætninger!$C$60))</f>
        <v>593.25677656544349</v>
      </c>
      <c r="N185" s="17">
        <f t="shared" si="66"/>
        <v>894.11529841881998</v>
      </c>
      <c r="O185" s="19">
        <f>IF( A185&lt;Forudsætninger!$C$14,(G185/100)*Forudsætninger!$C$13,(Forudsætninger!$C$15/1000)*Forudsætninger!$C$13)</f>
        <v>1.9810538344845494</v>
      </c>
      <c r="P185" s="17" cm="1">
        <f t="array" ref="P185">INDEX('Model tilvækst, slagteform, fe'!$N$9:$N$375,MATCH(MIN(ABS('Model tilvækst, slagteform, fe'!$M$9:$M$375-'Vækstfunktion, hol'!G185)),ABS('Model tilvækst, slagteform, fe'!$M$9:$M$375-'Vækstfunktion, hol'!G185),0))*(1+Forudsætninger!$C$80)</f>
        <v>7.0950602271937235</v>
      </c>
      <c r="Q185" s="17">
        <f t="shared" si="67"/>
        <v>9.4384528816386926</v>
      </c>
      <c r="R185" s="17">
        <f t="shared" si="68"/>
        <v>7.4490865350435786</v>
      </c>
      <c r="S185" s="17">
        <f t="shared" si="57"/>
        <v>3.7921992095481731</v>
      </c>
      <c r="T185" s="19">
        <f>(P185)*IF(N185&lt;Forudsætninger!$B$228,IF(N185&lt;Forudsætninger!$B$227,Forudsætninger!$B$225,Forudsætninger!$C$9),Forudsætninger!$C$11)+O185</f>
        <v>18.583494766117859</v>
      </c>
      <c r="U185" s="2">
        <f>Forudsætninger!$C$68+((K185-(Forudsætninger!$C$84)))*0.01</f>
        <v>3.2185519432480136</v>
      </c>
      <c r="V185" s="2">
        <f>U185+Forudsætninger!$C$69</f>
        <v>2.2185519432480136</v>
      </c>
      <c r="W185">
        <f t="shared" si="58"/>
        <v>1</v>
      </c>
      <c r="X185">
        <f>IF(A185+Forudsætninger!$C$60&gt;248,IF(A185+Forudsætninger!$C$60&lt;365,IF(K185&gt;180,IF(K185&lt;260,1,0),0),0),0)</f>
        <v>0</v>
      </c>
      <c r="Y185" s="22">
        <f>IF(X185=0,0,IF('Vækstfunktion, hol'!A185&lt;Forudsætninger!$C$66,Forudsætninger!$C$67+(('Vækstfunktion, hol'!A185-Forudsætninger!$C$66)/7)*Forudsætninger!$C$64,Forudsætninger!$C$67))</f>
        <v>0</v>
      </c>
      <c r="Z185" s="19">
        <f t="shared" si="69"/>
        <v>2824.4492081049393</v>
      </c>
      <c r="AA185" s="19">
        <f>Forudsætninger!$C$62+Forudsætninger!$C$16</f>
        <v>1350</v>
      </c>
      <c r="AB185" s="19">
        <f>IF(K185&gt;Forudsætninger!$C$26,IF(K185&gt;Forudsætninger!$C$27,IF(K185&gt;Forudsætninger!$C$28,Forudsætninger!$E$28,Forudsætninger!$E$27+Forudsætninger!$F$28*(K185-Forudsætninger!$C$27)),Forudsætninger!$E$26+Forudsætninger!$F$27*(K185-Forudsætninger!$C$26)),Forudsætninger!$E$26)+IF(K185&gt;Forudsætninger!$C$28,Forudsætninger!$G$28,IF(K185&gt;Forudsætninger!$C$27,Forudsætninger!$G$27+Forudsætninger!$H$28*(K185-Forudsætninger!$C$27),IF(K185&gt;Forudsætninger!$C$26,Forudsætninger!$G$26+Forudsætninger!$H$27*(K185-Forudsætninger!$C$26),Forudsætninger!$G$26)))*(U185-Forudsætninger!$H$26)</f>
        <v>33.76391395743601</v>
      </c>
      <c r="AC185" s="19">
        <f>IF(K185&gt;Forudsætninger!$C$31,IF(K185&gt;Forudsætninger!$C$32,IF(K185&gt;Forudsætninger!$C$33,Forudsætninger!$E$33,Forudsætninger!$E$32+Forudsætninger!$F$33*(K185-Forudsætninger!$C$32)),Forudsætninger!$E$31+Forudsætninger!$F$32*(K185-Forudsætninger!$C$31)),Forudsætninger!$E$31)+IF(K185&gt;Forudsætninger!$C$33,Forudsætninger!$G$33,IF(K185&gt;Forudsætninger!$C$32,Forudsætninger!$G$32+Forudsætninger!$H$33*(K185-Forudsætninger!$C$32),IF(K185&gt;Forudsætninger!$C$31,Forudsætninger!$G$31+Forudsætninger!$H$32*(K185-Forudsætninger!$C$31),Forudsætninger!$G$31)))*(V185-Forudsætninger!$H$31)</f>
        <v>27.284117526222417</v>
      </c>
      <c r="AD185" s="19">
        <f t="shared" si="59"/>
        <v>4151.2759830972527</v>
      </c>
      <c r="AE185" s="19">
        <f t="shared" si="60"/>
        <v>27.284117526222413</v>
      </c>
      <c r="AF185">
        <f>IF(G185&lt;=Forudsætninger!$C$97,Forudsætninger!$C$98,(IF(G185&lt;=Forudsætninger!$D$97,Forudsætninger!$D$98,IF(G185&lt;=Forudsætninger!$E$97,Forudsætninger!$E$98,IF(G185&lt;=Forudsætninger!$F$97,Forudsætninger!$F$98,IF(G185&lt;=Forudsætninger!$G$97,Forudsætninger!$G$98,IF(G185&lt;=Forudsætninger!$H$97,Forudsætninger!$H$98,IF(G185&lt;=Forudsætninger!$I$97,Forudsætninger!$I$98,Forudsætninger!$I$98))))))))</f>
        <v>3.8</v>
      </c>
      <c r="AG185" s="1">
        <f t="shared" si="70"/>
        <v>4.4000000000000004</v>
      </c>
      <c r="AH185" s="1">
        <f t="shared" si="74"/>
        <v>480.39999999999867</v>
      </c>
      <c r="AI185" s="1">
        <f t="shared" si="61"/>
        <v>2.6251366120218504</v>
      </c>
      <c r="AJ185" s="20">
        <f>+(W185*Forudsætninger!$C$12)</f>
        <v>900</v>
      </c>
      <c r="AK185" s="20">
        <f>Forudsætninger!$C$17</f>
        <v>250</v>
      </c>
      <c r="AL185" s="20">
        <f>IF(A185&lt;92,Forudsætninger!$C$20,Forudsætninger!$C$21)</f>
        <v>1.0566762728146013</v>
      </c>
      <c r="AM185" s="20">
        <f t="shared" si="71"/>
        <v>461.87724077836327</v>
      </c>
      <c r="AN185" s="20">
        <f>IFERROR(AD185+AJ185-AA185-Z185-AK185-AM185-Forudsætninger!$C$75,-99999999)</f>
        <v>-17.444658335444416</v>
      </c>
      <c r="AO185" s="19">
        <f>IFERROR(AN185/(A185+Forudsætninger!$C$74),-99999999)</f>
        <v>-9.5326001833029597E-2</v>
      </c>
      <c r="AP185" s="19">
        <f>IFERROR(((365/(A185+Forudsætninger!$C$74))*AN185)/(AI185+Forudsætninger!$C$73),-9999999)</f>
        <v>-12.721116201700656</v>
      </c>
      <c r="AQ185" s="18">
        <f t="shared" si="62"/>
        <v>183</v>
      </c>
      <c r="AR185" s="18">
        <f t="shared" si="72"/>
        <v>4886.3264488833029</v>
      </c>
      <c r="AS185" s="52">
        <f t="shared" si="53"/>
        <v>7.3</v>
      </c>
      <c r="AT185" s="50">
        <f t="shared" si="75"/>
        <v>2.3493213362401661</v>
      </c>
      <c r="AU185" s="50">
        <f t="shared" si="76"/>
        <v>1.3432128231171403E-2</v>
      </c>
      <c r="AV185" s="2">
        <f t="shared" si="77"/>
        <v>1.8444307120626835</v>
      </c>
      <c r="AW185" s="61">
        <f t="shared" si="73"/>
        <v>2.4285933466826166</v>
      </c>
      <c r="BA185" s="16"/>
      <c r="BB185" s="2"/>
    </row>
    <row r="186" spans="1:54" x14ac:dyDescent="0.25">
      <c r="A186">
        <v>184</v>
      </c>
      <c r="B186" s="1">
        <f>ROUND((A186+Forudsætninger!$C$60)/30.4,1)</f>
        <v>7.3</v>
      </c>
      <c r="C186" s="1">
        <f>VLOOKUP((A186+Forudsætninger!$C$60),'Model tilvækst, slagteform, fe'!A:B,2,FALSE)</f>
        <v>328.22859821413067</v>
      </c>
      <c r="D186" s="3">
        <f t="shared" si="63"/>
        <v>1544.1037111864375</v>
      </c>
      <c r="E186" s="1">
        <f>(1+Forudsætninger!$C$78)*C186</f>
        <v>305.25259633914152</v>
      </c>
      <c r="F186" s="2">
        <f t="shared" si="64"/>
        <v>0.91681586099382917</v>
      </c>
      <c r="G186" s="1">
        <f t="shared" si="54"/>
        <v>306.16941220013535</v>
      </c>
      <c r="H186" s="3">
        <f t="shared" si="55"/>
        <v>1391.8992025123771</v>
      </c>
      <c r="I186" s="3">
        <f t="shared" si="56"/>
        <v>1288.9641967398661</v>
      </c>
      <c r="J186" s="1">
        <f>VLOOKUP((A186+Forudsætninger!$C$60),'Model tilvækst, slagteform, fe'!G:K,2,FALSE)*(1+Forudsætninger!$C$79)</f>
        <v>49.939846599492078</v>
      </c>
      <c r="K186" s="17">
        <f t="shared" si="52"/>
        <v>152.90053478731417</v>
      </c>
      <c r="L186" s="17">
        <f t="shared" si="65"/>
        <v>750.62636137681693</v>
      </c>
      <c r="M186" s="3">
        <f>((K186-(('Model tilvækst, slagteform, fe'!$H$9/100)*'Model tilvækst, slagteform, fe'!$B$9))*1000/(A186+Forudsætninger!$C$60))</f>
        <v>593.9624697708756</v>
      </c>
      <c r="N186" s="17">
        <f t="shared" si="66"/>
        <v>901.2167380187135</v>
      </c>
      <c r="O186" s="19">
        <f>IF( A186&lt;Forudsætninger!$C$14,(G186/100)*Forudsætninger!$C$13,(Forudsætninger!$C$15/1000)*Forudsætninger!$C$13)</f>
        <v>1.9901011793008798</v>
      </c>
      <c r="P186" s="17" cm="1">
        <f t="array" ref="P186">INDEX('Model tilvækst, slagteform, fe'!$N$9:$N$375,MATCH(MIN(ABS('Model tilvækst, slagteform, fe'!$M$9:$M$375-'Vækstfunktion, hol'!G186)),ABS('Model tilvækst, slagteform, fe'!$M$9:$M$375-'Vækstfunktion, hol'!G186),0))*(1+Forudsætninger!$C$80)</f>
        <v>7.1014395998935296</v>
      </c>
      <c r="Q186" s="17">
        <f t="shared" si="67"/>
        <v>9.460685056234766</v>
      </c>
      <c r="R186" s="17">
        <f t="shared" si="68"/>
        <v>7.4615881795917582</v>
      </c>
      <c r="S186" s="17">
        <f t="shared" si="57"/>
        <v>3.7998860378260835</v>
      </c>
      <c r="T186" s="19">
        <f>(P186)*IF(N186&lt;Forudsætninger!$B$228,IF(N186&lt;Forudsætninger!$B$227,Forudsætninger!$B$225,Forudsætninger!$C$9),Forudsætninger!$C$11)+O186</f>
        <v>18.607469843051739</v>
      </c>
      <c r="U186" s="2">
        <f>Forudsætninger!$C$68+((K186-(Forudsætninger!$C$84)))*0.01</f>
        <v>3.226058206861782</v>
      </c>
      <c r="V186" s="2">
        <f>U186+Forudsætninger!$C$69</f>
        <v>2.226058206861782</v>
      </c>
      <c r="W186">
        <f t="shared" si="58"/>
        <v>1</v>
      </c>
      <c r="X186">
        <f>IF(A186+Forudsætninger!$C$60&gt;248,IF(A186+Forudsætninger!$C$60&lt;365,IF(K186&gt;180,IF(K186&lt;260,1,0),0),0),0)</f>
        <v>0</v>
      </c>
      <c r="Y186" s="22">
        <f>IF(X186=0,0,IF('Vækstfunktion, hol'!A186&lt;Forudsætninger!$C$66,Forudsætninger!$C$67+(('Vækstfunktion, hol'!A186-Forudsætninger!$C$66)/7)*Forudsætninger!$C$64,Forudsætninger!$C$67))</f>
        <v>0</v>
      </c>
      <c r="Z186" s="19">
        <f t="shared" si="69"/>
        <v>2843.0566779479909</v>
      </c>
      <c r="AA186" s="19">
        <f>Forudsætninger!$C$62+Forudsætninger!$C$16</f>
        <v>1350</v>
      </c>
      <c r="AB186" s="19">
        <f>IF(K186&gt;Forudsætninger!$C$26,IF(K186&gt;Forudsætninger!$C$27,IF(K186&gt;Forudsætninger!$C$28,Forudsætninger!$E$28,Forudsætninger!$E$27+Forudsætninger!$F$28*(K186-Forudsætninger!$C$27)),Forudsætninger!$E$26+Forudsætninger!$F$27*(K186-Forudsætninger!$C$26)),Forudsætninger!$E$26)+IF(K186&gt;Forudsætninger!$C$28,Forudsætninger!$G$28,IF(K186&gt;Forudsætninger!$C$27,Forudsætninger!$G$27+Forudsætninger!$H$28*(K186-Forudsætninger!$C$27),IF(K186&gt;Forudsætninger!$C$26,Forudsætninger!$G$26+Forudsætninger!$H$27*(K186-Forudsætninger!$C$26),Forudsætninger!$G$26)))*(U186-Forudsætninger!$H$26)</f>
        <v>33.769543655146336</v>
      </c>
      <c r="AC186" s="19">
        <f>IF(K186&gt;Forudsætninger!$C$31,IF(K186&gt;Forudsætninger!$C$32,IF(K186&gt;Forudsætninger!$C$33,Forudsætninger!$E$33,Forudsætninger!$E$32+Forudsætninger!$F$33*(K186-Forudsætninger!$C$32)),Forudsætninger!$E$31+Forudsætninger!$F$32*(K186-Forudsætninger!$C$31)),Forudsætninger!$E$31)+IF(K186&gt;Forudsætninger!$C$33,Forudsætninger!$G$33,IF(K186&gt;Forudsætninger!$C$32,Forudsætninger!$G$32+Forudsætninger!$H$33*(K186-Forudsætninger!$C$32),IF(K186&gt;Forudsætninger!$C$31,Forudsætninger!$G$31+Forudsætninger!$H$32*(K186-Forudsætninger!$C$31),Forudsætninger!$G$31)))*(V186-Forudsætninger!$H$31)</f>
        <v>27.293875668920318</v>
      </c>
      <c r="AD186" s="19">
        <f t="shared" si="59"/>
        <v>4173.2481861963788</v>
      </c>
      <c r="AE186" s="19">
        <f t="shared" si="60"/>
        <v>27.293875668920318</v>
      </c>
      <c r="AF186">
        <f>IF(G186&lt;=Forudsætninger!$C$97,Forudsætninger!$C$98,(IF(G186&lt;=Forudsætninger!$D$97,Forudsætninger!$D$98,IF(G186&lt;=Forudsætninger!$E$97,Forudsætninger!$E$98,IF(G186&lt;=Forudsætninger!$F$97,Forudsætninger!$F$98,IF(G186&lt;=Forudsætninger!$G$97,Forudsætninger!$G$98,IF(G186&lt;=Forudsætninger!$H$97,Forudsætninger!$H$98,IF(G186&lt;=Forudsætninger!$I$97,Forudsætninger!$I$98,Forudsætninger!$I$98))))))))</f>
        <v>3.8</v>
      </c>
      <c r="AG186" s="1">
        <f t="shared" si="70"/>
        <v>4.4000000000000004</v>
      </c>
      <c r="AH186" s="1">
        <f t="shared" si="74"/>
        <v>484.79999999999865</v>
      </c>
      <c r="AI186" s="1">
        <f t="shared" si="61"/>
        <v>2.634782608695645</v>
      </c>
      <c r="AJ186" s="20">
        <f>+(W186*Forudsætninger!$C$12)</f>
        <v>900</v>
      </c>
      <c r="AK186" s="20">
        <f>Forudsætninger!$C$17</f>
        <v>250</v>
      </c>
      <c r="AL186" s="20">
        <f>IF(A186&lt;92,Forudsætninger!$C$20,Forudsætninger!$C$21)</f>
        <v>1.0566762728146013</v>
      </c>
      <c r="AM186" s="20">
        <f t="shared" si="71"/>
        <v>462.9339170511779</v>
      </c>
      <c r="AN186" s="20">
        <f>IFERROR(AD186+AJ186-AA186-Z186-AK186-AM186-Forudsætninger!$C$75,-99999999)</f>
        <v>-15.136601352184556</v>
      </c>
      <c r="AO186" s="19">
        <f>IFERROR(AN186/(A186+Forudsætninger!$C$74),-99999999)</f>
        <v>-8.2264137783611718E-2</v>
      </c>
      <c r="AP186" s="19">
        <f>IFERROR(((365/(A186+Forudsætninger!$C$74))*AN186)/(AI186+Forudsætninger!$C$73),-9999999)</f>
        <v>-10.939449337770034</v>
      </c>
      <c r="AQ186" s="18">
        <f t="shared" si="62"/>
        <v>184</v>
      </c>
      <c r="AR186" s="18">
        <f t="shared" si="72"/>
        <v>4905.990594999168</v>
      </c>
      <c r="AS186" s="52">
        <f t="shared" si="53"/>
        <v>7.3</v>
      </c>
      <c r="AT186" s="50">
        <f t="shared" si="75"/>
        <v>2.3080569832598599</v>
      </c>
      <c r="AU186" s="50">
        <f t="shared" si="76"/>
        <v>1.3061864049417879E-2</v>
      </c>
      <c r="AV186" s="2">
        <f t="shared" si="77"/>
        <v>1.7816668639306226</v>
      </c>
      <c r="AW186" s="61">
        <f t="shared" si="73"/>
        <v>2.4336810635814854</v>
      </c>
      <c r="BA186" s="16"/>
      <c r="BB186" s="2"/>
    </row>
    <row r="187" spans="1:54" x14ac:dyDescent="0.25">
      <c r="A187">
        <v>185</v>
      </c>
      <c r="B187" s="1">
        <f>ROUND((A187+Forudsætninger!$C$60)/30.4,1)</f>
        <v>7.4</v>
      </c>
      <c r="C187" s="1">
        <f>VLOOKUP((A187+Forudsætninger!$C$60),'Model tilvækst, slagteform, fe'!A:B,2,FALSE)</f>
        <v>329.76992101737738</v>
      </c>
      <c r="D187" s="3">
        <f t="shared" si="63"/>
        <v>1541.3228032467146</v>
      </c>
      <c r="E187" s="1">
        <f>(1+Forudsætninger!$C$78)*C187</f>
        <v>306.68602654616097</v>
      </c>
      <c r="F187" s="2">
        <f t="shared" si="64"/>
        <v>0.87277806661535162</v>
      </c>
      <c r="G187" s="1">
        <f t="shared" si="54"/>
        <v>307.55880461277633</v>
      </c>
      <c r="H187" s="3">
        <f t="shared" si="55"/>
        <v>1389.3924126409729</v>
      </c>
      <c r="I187" s="3">
        <f t="shared" si="56"/>
        <v>1289.507051960953</v>
      </c>
      <c r="J187" s="1">
        <f>VLOOKUP((A187+Forudsætninger!$C$60),'Model tilvækst, slagteform, fe'!G:K,2,FALSE)*(1+Forudsætninger!$C$79)</f>
        <v>49.957935566896985</v>
      </c>
      <c r="K187" s="17">
        <f t="shared" si="52"/>
        <v>153.65002943876939</v>
      </c>
      <c r="L187" s="17">
        <f t="shared" si="65"/>
        <v>749.49465145522254</v>
      </c>
      <c r="M187" s="3">
        <f>((K187-(('Model tilvækst, slagteform, fe'!$H$9/100)*'Model tilvækst, slagteform, fe'!$B$9))*1000/(A187+Forudsætninger!$C$60))</f>
        <v>594.65680986768075</v>
      </c>
      <c r="N187" s="17">
        <f t="shared" si="66"/>
        <v>908.32454078179705</v>
      </c>
      <c r="O187" s="19">
        <f>IF( A187&lt;Forudsætninger!$C$14,(G187/100)*Forudsætninger!$C$13,(Forudsætninger!$C$15/1000)*Forudsætninger!$C$13)</f>
        <v>1.9991322299830461</v>
      </c>
      <c r="P187" s="17" cm="1">
        <f t="array" ref="P187">INDEX('Model tilvækst, slagteform, fe'!$N$9:$N$375,MATCH(MIN(ABS('Model tilvækst, slagteform, fe'!$M$9:$M$375-'Vækstfunktion, hol'!G187)),ABS('Model tilvækst, slagteform, fe'!$M$9:$M$375-'Vækstfunktion, hol'!G187),0))*(1+Forudsætninger!$C$80)</f>
        <v>7.1078027630836003</v>
      </c>
      <c r="Q187" s="17">
        <f t="shared" si="67"/>
        <v>9.4834602879194065</v>
      </c>
      <c r="R187" s="17">
        <f t="shared" si="68"/>
        <v>7.4740573510641228</v>
      </c>
      <c r="S187" s="17">
        <f t="shared" si="57"/>
        <v>3.8075498502609051</v>
      </c>
      <c r="T187" s="19">
        <f>(P187)*IF(N187&lt;Forudsætninger!$B$228,IF(N187&lt;Forudsætninger!$B$227,Forudsætninger!$B$225,Forudsætninger!$C$9),Forudsætninger!$C$11)+O187</f>
        <v>18.631390695598672</v>
      </c>
      <c r="U187" s="2">
        <f>Forudsætninger!$C$68+((K187-(Forudsætninger!$C$84)))*0.01</f>
        <v>3.2335531533763344</v>
      </c>
      <c r="V187" s="2">
        <f>U187+Forudsætninger!$C$69</f>
        <v>2.2335531533763344</v>
      </c>
      <c r="W187">
        <f t="shared" si="58"/>
        <v>1</v>
      </c>
      <c r="X187">
        <f>IF(A187+Forudsætninger!$C$60&gt;248,IF(A187+Forudsætninger!$C$60&lt;365,IF(K187&gt;180,IF(K187&lt;260,1,0),0),0),0)</f>
        <v>0</v>
      </c>
      <c r="Y187" s="22">
        <f>IF(X187=0,0,IF('Vækstfunktion, hol'!A187&lt;Forudsætninger!$C$66,Forudsætninger!$C$67+(('Vækstfunktion, hol'!A187-Forudsætninger!$C$66)/7)*Forudsætninger!$C$64,Forudsætninger!$C$67))</f>
        <v>0</v>
      </c>
      <c r="Z187" s="19">
        <f t="shared" si="69"/>
        <v>2861.6880686435898</v>
      </c>
      <c r="AA187" s="19">
        <f>Forudsætninger!$C$62+Forudsætninger!$C$16</f>
        <v>1350</v>
      </c>
      <c r="AB187" s="19">
        <f>IF(K187&gt;Forudsætninger!$C$26,IF(K187&gt;Forudsætninger!$C$27,IF(K187&gt;Forudsætninger!$C$28,Forudsætninger!$E$28,Forudsætninger!$E$27+Forudsætninger!$F$28*(K187-Forudsætninger!$C$27)),Forudsætninger!$E$26+Forudsætninger!$F$27*(K187-Forudsætninger!$C$26)),Forudsætninger!$E$26)+IF(K187&gt;Forudsætninger!$C$28,Forudsætninger!$G$28,IF(K187&gt;Forudsætninger!$C$27,Forudsætninger!$G$27+Forudsætninger!$H$28*(K187-Forudsætninger!$C$27),IF(K187&gt;Forudsætninger!$C$26,Forudsætninger!$G$26+Forudsætninger!$H$27*(K187-Forudsætninger!$C$26),Forudsætninger!$G$26)))*(U187-Forudsætninger!$H$26)</f>
        <v>33.775164865032252</v>
      </c>
      <c r="AC187" s="19">
        <f>IF(K187&gt;Forudsætninger!$C$31,IF(K187&gt;Forudsætninger!$C$32,IF(K187&gt;Forudsætninger!$C$33,Forudsætninger!$E$33,Forudsætninger!$E$32+Forudsætninger!$F$33*(K187-Forudsætninger!$C$32)),Forudsætninger!$E$31+Forudsætninger!$F$32*(K187-Forudsætninger!$C$31)),Forudsætninger!$E$31)+IF(K187&gt;Forudsætninger!$C$33,Forudsætninger!$G$33,IF(K187&gt;Forudsætninger!$C$32,Forudsætninger!$G$32+Forudsætninger!$H$33*(K187-Forudsætninger!$C$32),IF(K187&gt;Forudsætninger!$C$31,Forudsætninger!$G$31+Forudsætninger!$H$32*(K187-Forudsætninger!$C$31),Forudsætninger!$G$31)))*(V187-Forudsætninger!$H$31)</f>
        <v>27.303619099389234</v>
      </c>
      <c r="AD187" s="19">
        <f t="shared" si="59"/>
        <v>4195.201878406102</v>
      </c>
      <c r="AE187" s="19">
        <f t="shared" si="60"/>
        <v>27.303619099389234</v>
      </c>
      <c r="AF187">
        <f>IF(G187&lt;=Forudsætninger!$C$97,Forudsætninger!$C$98,(IF(G187&lt;=Forudsætninger!$D$97,Forudsætninger!$D$98,IF(G187&lt;=Forudsætninger!$E$97,Forudsætninger!$E$98,IF(G187&lt;=Forudsætninger!$F$97,Forudsætninger!$F$98,IF(G187&lt;=Forudsætninger!$G$97,Forudsætninger!$G$98,IF(G187&lt;=Forudsætninger!$H$97,Forudsætninger!$H$98,IF(G187&lt;=Forudsætninger!$I$97,Forudsætninger!$I$98,Forudsætninger!$I$98))))))))</f>
        <v>3.8</v>
      </c>
      <c r="AG187" s="1">
        <f t="shared" si="70"/>
        <v>4.4000000000000004</v>
      </c>
      <c r="AH187" s="1">
        <f t="shared" si="74"/>
        <v>489.19999999999862</v>
      </c>
      <c r="AI187" s="1">
        <f t="shared" si="61"/>
        <v>2.6443243243243169</v>
      </c>
      <c r="AJ187" s="20">
        <f>+(W187*Forudsætninger!$C$12)</f>
        <v>900</v>
      </c>
      <c r="AK187" s="20">
        <f>Forudsætninger!$C$17</f>
        <v>250</v>
      </c>
      <c r="AL187" s="20">
        <f>IF(A187&lt;92,Forudsætninger!$C$20,Forudsætninger!$C$21)</f>
        <v>1.0566762728146013</v>
      </c>
      <c r="AM187" s="20">
        <f t="shared" si="71"/>
        <v>463.99059332399253</v>
      </c>
      <c r="AN187" s="20">
        <f>IFERROR(AD187+AJ187-AA187-Z187-AK187-AM187-Forudsætninger!$C$75,-99999999)</f>
        <v>-12.870976110874864</v>
      </c>
      <c r="AO187" s="19">
        <f>IFERROR(AN187/(A187+Forudsætninger!$C$74),-99999999)</f>
        <v>-6.9572843842566831E-2</v>
      </c>
      <c r="AP187" s="19">
        <f>IFERROR(((365/(A187+Forudsætninger!$C$74))*AN187)/(AI187+Forudsætninger!$C$73),-9999999)</f>
        <v>-9.2197159856134601</v>
      </c>
      <c r="AQ187" s="18">
        <f t="shared" si="62"/>
        <v>185</v>
      </c>
      <c r="AR187" s="18">
        <f t="shared" si="72"/>
        <v>4925.6786619675822</v>
      </c>
      <c r="AS187" s="52">
        <f t="shared" si="53"/>
        <v>7.4</v>
      </c>
      <c r="AT187" s="50">
        <f t="shared" si="75"/>
        <v>2.2656252413096922</v>
      </c>
      <c r="AU187" s="50">
        <f t="shared" si="76"/>
        <v>1.2691293941044887E-2</v>
      </c>
      <c r="AV187" s="2">
        <f t="shared" si="77"/>
        <v>1.7197333521565739</v>
      </c>
      <c r="AW187" s="61">
        <f t="shared" si="73"/>
        <v>2.4384844173682034</v>
      </c>
      <c r="BA187" s="16"/>
      <c r="BB187" s="2"/>
    </row>
    <row r="188" spans="1:54" x14ac:dyDescent="0.25">
      <c r="A188">
        <v>186</v>
      </c>
      <c r="B188" s="1">
        <f>ROUND((A188+Forudsætninger!$C$60)/30.4,1)</f>
        <v>7.4</v>
      </c>
      <c r="C188" s="1">
        <f>VLOOKUP((A188+Forudsætninger!$C$60),'Model tilvækst, slagteform, fe'!A:B,2,FALSE)</f>
        <v>331.30842242637937</v>
      </c>
      <c r="D188" s="3">
        <f t="shared" si="63"/>
        <v>1538.5014090019808</v>
      </c>
      <c r="E188" s="1">
        <f>(1+Forudsætninger!$C$78)*C188</f>
        <v>308.11683285653277</v>
      </c>
      <c r="F188" s="2">
        <f t="shared" si="64"/>
        <v>0.82882088350100935</v>
      </c>
      <c r="G188" s="1">
        <f t="shared" si="54"/>
        <v>308.94565374003378</v>
      </c>
      <c r="H188" s="3">
        <f t="shared" si="55"/>
        <v>1386.8491272574488</v>
      </c>
      <c r="I188" s="3">
        <f t="shared" si="56"/>
        <v>1290.0303964517946</v>
      </c>
      <c r="J188" s="1">
        <f>VLOOKUP((A188+Forudsætninger!$C$60),'Model tilvækst, slagteform, fe'!G:K,2,FALSE)*(1+Forudsætninger!$C$79)</f>
        <v>49.975894132138308</v>
      </c>
      <c r="K188" s="17">
        <f t="shared" si="52"/>
        <v>154.39835283896187</v>
      </c>
      <c r="L188" s="17">
        <f t="shared" si="65"/>
        <v>748.32340019247567</v>
      </c>
      <c r="M188" s="3">
        <f>((K188-(('Model tilvækst, slagteform, fe'!$H$9/100)*'Model tilvækst, slagteform, fe'!$B$9))*1000/(A188+Forudsætninger!$C$60))</f>
        <v>595.33977249134659</v>
      </c>
      <c r="N188" s="17">
        <f t="shared" si="66"/>
        <v>915.43869216899441</v>
      </c>
      <c r="O188" s="19">
        <f>IF( A188&lt;Forudsætninger!$C$14,(G188/100)*Forudsætninger!$C$13,(Forudsætninger!$C$15/1000)*Forudsætninger!$C$13)</f>
        <v>2.0081467493102196</v>
      </c>
      <c r="P188" s="17" cm="1">
        <f t="array" ref="P188">INDEX('Model tilvækst, slagteform, fe'!$N$9:$N$375,MATCH(MIN(ABS('Model tilvækst, slagteform, fe'!$M$9:$M$375-'Vækstfunktion, hol'!G188)),ABS('Model tilvækst, slagteform, fe'!$M$9:$M$375-'Vækstfunktion, hol'!G188),0))*(1+Forudsætninger!$C$80)</f>
        <v>7.1141513871973423</v>
      </c>
      <c r="Q188" s="17">
        <f t="shared" si="67"/>
        <v>9.5067872865762535</v>
      </c>
      <c r="R188" s="17">
        <f t="shared" si="68"/>
        <v>7.4864972948074548</v>
      </c>
      <c r="S188" s="17">
        <f t="shared" si="57"/>
        <v>3.815191806561395</v>
      </c>
      <c r="T188" s="19">
        <f>(P188)*IF(N188&lt;Forudsætninger!$B$228,IF(N188&lt;Forudsætninger!$B$227,Forudsætninger!$B$225,Forudsætninger!$C$9),Forudsætninger!$C$11)+O188</f>
        <v>18.655260995352002</v>
      </c>
      <c r="U188" s="2">
        <f>Forudsætninger!$C$68+((K188-(Forudsætninger!$C$84)))*0.01</f>
        <v>3.2410363873782591</v>
      </c>
      <c r="V188" s="2">
        <f>U188+Forudsætninger!$C$69</f>
        <v>2.2410363873782591</v>
      </c>
      <c r="W188">
        <f t="shared" si="58"/>
        <v>1</v>
      </c>
      <c r="X188">
        <f>IF(A188+Forudsætninger!$C$60&gt;248,IF(A188+Forudsætninger!$C$60&lt;365,IF(K188&gt;180,IF(K188&lt;260,1,0),0),0),0)</f>
        <v>0</v>
      </c>
      <c r="Y188" s="22">
        <f>IF(X188=0,0,IF('Vækstfunktion, hol'!A188&lt;Forudsætninger!$C$66,Forudsætninger!$C$67+(('Vækstfunktion, hol'!A188-Forudsætninger!$C$66)/7)*Forudsætninger!$C$64,Forudsætninger!$C$67))</f>
        <v>0</v>
      </c>
      <c r="Z188" s="19">
        <f t="shared" si="69"/>
        <v>2880.3433296389417</v>
      </c>
      <c r="AA188" s="19">
        <f>Forudsætninger!$C$62+Forudsætninger!$C$16</f>
        <v>1350</v>
      </c>
      <c r="AB188" s="19">
        <f>IF(K188&gt;Forudsætninger!$C$26,IF(K188&gt;Forudsætninger!$C$27,IF(K188&gt;Forudsætninger!$C$28,Forudsætninger!$E$28,Forudsætninger!$E$27+Forudsætninger!$F$28*(K188-Forudsætninger!$C$27)),Forudsætninger!$E$26+Forudsætninger!$F$27*(K188-Forudsætninger!$C$26)),Forudsætninger!$E$26)+IF(K188&gt;Forudsætninger!$C$28,Forudsætninger!$G$28,IF(K188&gt;Forudsætninger!$C$27,Forudsætninger!$G$27+Forudsætninger!$H$28*(K188-Forudsætninger!$C$27),IF(K188&gt;Forudsætninger!$C$26,Forudsætninger!$G$26+Forudsætninger!$H$27*(K188-Forudsætninger!$C$26),Forudsætninger!$G$26)))*(U188-Forudsætninger!$H$26)</f>
        <v>33.780777290533699</v>
      </c>
      <c r="AC188" s="19">
        <f>IF(K188&gt;Forudsætninger!$C$31,IF(K188&gt;Forudsætninger!$C$32,IF(K188&gt;Forudsætninger!$C$33,Forudsætninger!$E$33,Forudsætninger!$E$32+Forudsætninger!$F$33*(K188-Forudsætninger!$C$32)),Forudsætninger!$E$31+Forudsætninger!$F$32*(K188-Forudsætninger!$C$31)),Forudsætninger!$E$31)+IF(K188&gt;Forudsætninger!$C$33,Forudsætninger!$G$33,IF(K188&gt;Forudsætninger!$C$32,Forudsætninger!$G$32+Forudsætninger!$H$33*(K188-Forudsætninger!$C$32),IF(K188&gt;Forudsætninger!$C$31,Forudsætninger!$G$31+Forudsætninger!$H$32*(K188-Forudsætninger!$C$31),Forudsætninger!$G$31)))*(V188-Forudsætninger!$H$31)</f>
        <v>27.313347303591737</v>
      </c>
      <c r="AD188" s="19">
        <f t="shared" si="59"/>
        <v>4217.1358341930645</v>
      </c>
      <c r="AE188" s="19">
        <f t="shared" si="60"/>
        <v>27.313347303591737</v>
      </c>
      <c r="AF188">
        <f>IF(G188&lt;=Forudsætninger!$C$97,Forudsætninger!$C$98,(IF(G188&lt;=Forudsætninger!$D$97,Forudsætninger!$D$98,IF(G188&lt;=Forudsætninger!$E$97,Forudsætninger!$E$98,IF(G188&lt;=Forudsætninger!$F$97,Forudsætninger!$F$98,IF(G188&lt;=Forudsætninger!$G$97,Forudsætninger!$G$98,IF(G188&lt;=Forudsætninger!$H$97,Forudsætninger!$H$98,IF(G188&lt;=Forudsætninger!$I$97,Forudsætninger!$I$98,Forudsætninger!$I$98))))))))</f>
        <v>3.8</v>
      </c>
      <c r="AG188" s="1">
        <f t="shared" si="70"/>
        <v>4.4000000000000004</v>
      </c>
      <c r="AH188" s="1">
        <f t="shared" si="74"/>
        <v>493.5999999999986</v>
      </c>
      <c r="AI188" s="1">
        <f t="shared" si="61"/>
        <v>2.6537634408602075</v>
      </c>
      <c r="AJ188" s="20">
        <f>+(W188*Forudsætninger!$C$12)</f>
        <v>900</v>
      </c>
      <c r="AK188" s="20">
        <f>Forudsætninger!$C$17</f>
        <v>250</v>
      </c>
      <c r="AL188" s="20">
        <f>IF(A188&lt;92,Forudsætninger!$C$20,Forudsætninger!$C$21)</f>
        <v>1.0566762728146013</v>
      </c>
      <c r="AM188" s="20">
        <f t="shared" si="71"/>
        <v>465.04726959680715</v>
      </c>
      <c r="AN188" s="20">
        <f>IFERROR(AD188+AJ188-AA188-Z188-AK188-AM188-Forudsætninger!$C$75,-99999999)</f>
        <v>-10.648957592078858</v>
      </c>
      <c r="AO188" s="19">
        <f>IFERROR(AN188/(A188+Forudsætninger!$C$74),-99999999)</f>
        <v>-5.7252460172466976E-2</v>
      </c>
      <c r="AP188" s="19">
        <f>IFERROR(((365/(A188+Forudsætninger!$C$74))*AN188)/(AI188+Forudsætninger!$C$73),-9999999)</f>
        <v>-7.5611203383044669</v>
      </c>
      <c r="AQ188" s="18">
        <f t="shared" si="62"/>
        <v>186</v>
      </c>
      <c r="AR188" s="18">
        <f t="shared" si="72"/>
        <v>4945.3905992357486</v>
      </c>
      <c r="AS188" s="52">
        <f t="shared" si="53"/>
        <v>7.4</v>
      </c>
      <c r="AT188" s="50">
        <f t="shared" si="75"/>
        <v>2.2220185187960055</v>
      </c>
      <c r="AU188" s="50">
        <f t="shared" si="76"/>
        <v>1.2320383670099855E-2</v>
      </c>
      <c r="AV188" s="2">
        <f t="shared" si="77"/>
        <v>1.6585956473089931</v>
      </c>
      <c r="AW188" s="61">
        <f t="shared" si="73"/>
        <v>2.4430016774447756</v>
      </c>
      <c r="BA188" s="16"/>
      <c r="BB188" s="2"/>
    </row>
    <row r="189" spans="1:54" x14ac:dyDescent="0.25">
      <c r="A189">
        <v>187</v>
      </c>
      <c r="B189" s="1">
        <f>ROUND((A189+Forudsætninger!$C$60)/30.4,1)</f>
        <v>7.4</v>
      </c>
      <c r="C189" s="1">
        <f>VLOOKUP((A189+Forudsætninger!$C$60),'Model tilvækst, slagteform, fe'!A:B,2,FALSE)</f>
        <v>332.84406248917844</v>
      </c>
      <c r="D189" s="3">
        <f t="shared" si="63"/>
        <v>1535.6400627990752</v>
      </c>
      <c r="E189" s="1">
        <f>(1+Forudsætninger!$C$78)*C189</f>
        <v>309.54497811493593</v>
      </c>
      <c r="F189" s="2">
        <f t="shared" si="64"/>
        <v>0.78494545313532149</v>
      </c>
      <c r="G189" s="1">
        <f t="shared" si="54"/>
        <v>310.32992356807125</v>
      </c>
      <c r="H189" s="3">
        <f t="shared" si="55"/>
        <v>1384.2698280374748</v>
      </c>
      <c r="I189" s="3">
        <f t="shared" si="56"/>
        <v>1290.534350631397</v>
      </c>
      <c r="J189" s="1">
        <f>VLOOKUP((A189+Forudsætninger!$C$60),'Model tilvækst, slagteform, fe'!G:K,2,FALSE)*(1+Forudsætninger!$C$79)</f>
        <v>49.993717535471212</v>
      </c>
      <c r="K189" s="17">
        <f t="shared" si="52"/>
        <v>155.14546541666525</v>
      </c>
      <c r="L189" s="17">
        <f t="shared" si="65"/>
        <v>747.11257770337625</v>
      </c>
      <c r="M189" s="3">
        <f>((K189-(('Model tilvækst, slagteform, fe'!$H$9/100)*'Model tilvækst, slagteform, fe'!$B$9))*1000/(A189+Forudsætninger!$C$60))</f>
        <v>596.01133357635547</v>
      </c>
      <c r="N189" s="17">
        <f t="shared" si="66"/>
        <v>922.55917931166255</v>
      </c>
      <c r="O189" s="19">
        <f>IF( A189&lt;Forudsætninger!$C$14,(G189/100)*Forudsætninger!$C$13,(Forudsætninger!$C$15/1000)*Forudsætninger!$C$13)</f>
        <v>2.0171445031924633</v>
      </c>
      <c r="P189" s="17" cm="1">
        <f t="array" ref="P189">INDEX('Model tilvækst, slagteform, fe'!$N$9:$N$375,MATCH(MIN(ABS('Model tilvækst, slagteform, fe'!$M$9:$M$375-'Vækstfunktion, hol'!G189)),ABS('Model tilvækst, slagteform, fe'!$M$9:$M$375-'Vækstfunktion, hol'!G189),0))*(1+Forudsætninger!$C$80)</f>
        <v>7.1204871426681615</v>
      </c>
      <c r="Q189" s="17">
        <f t="shared" si="67"/>
        <v>9.5306749680972249</v>
      </c>
      <c r="R189" s="17">
        <f t="shared" si="68"/>
        <v>7.4989112068894208</v>
      </c>
      <c r="S189" s="17">
        <f t="shared" si="57"/>
        <v>3.8228130422932773</v>
      </c>
      <c r="T189" s="19">
        <f>(P189)*IF(N189&lt;Forudsætninger!$B$228,IF(N189&lt;Forudsætninger!$B$227,Forudsætninger!$B$225,Forudsætninger!$C$9),Forudsætninger!$C$11)+O189</f>
        <v>18.679084417035959</v>
      </c>
      <c r="U189" s="2">
        <f>Forudsætninger!$C$68+((K189-(Forudsætninger!$C$84)))*0.01</f>
        <v>3.2485075131552925</v>
      </c>
      <c r="V189" s="2">
        <f>U189+Forudsætninger!$C$69</f>
        <v>2.2485075131552925</v>
      </c>
      <c r="W189">
        <f t="shared" si="58"/>
        <v>1</v>
      </c>
      <c r="X189">
        <f>IF(A189+Forudsætninger!$C$60&gt;248,IF(A189+Forudsætninger!$C$60&lt;365,IF(K189&gt;180,IF(K189&lt;260,1,0),0),0),0)</f>
        <v>0</v>
      </c>
      <c r="Y189" s="22">
        <f>IF(X189=0,0,IF('Vækstfunktion, hol'!A189&lt;Forudsætninger!$C$66,Forudsætninger!$C$67+(('Vækstfunktion, hol'!A189-Forudsætninger!$C$66)/7)*Forudsætninger!$C$64,Forudsætninger!$C$67))</f>
        <v>0</v>
      </c>
      <c r="Z189" s="19">
        <f t="shared" si="69"/>
        <v>2899.0224140559776</v>
      </c>
      <c r="AA189" s="19">
        <f>Forudsætninger!$C$62+Forudsætninger!$C$16</f>
        <v>1350</v>
      </c>
      <c r="AB189" s="19">
        <f>IF(K189&gt;Forudsætninger!$C$26,IF(K189&gt;Forudsætninger!$C$27,IF(K189&gt;Forudsætninger!$C$28,Forudsætninger!$E$28,Forudsætninger!$E$27+Forudsætninger!$F$28*(K189-Forudsætninger!$C$27)),Forudsætninger!$E$26+Forudsætninger!$F$27*(K189-Forudsætninger!$C$26)),Forudsætninger!$E$26)+IF(K189&gt;Forudsætninger!$C$28,Forudsætninger!$G$28,IF(K189&gt;Forudsætninger!$C$27,Forudsætninger!$G$27+Forudsætninger!$H$28*(K189-Forudsætninger!$C$27),IF(K189&gt;Forudsætninger!$C$26,Forudsætninger!$G$26+Forudsætninger!$H$27*(K189-Forudsætninger!$C$26),Forudsætninger!$G$26)))*(U189-Forudsætninger!$H$26)</f>
        <v>33.786380634866468</v>
      </c>
      <c r="AC189" s="19">
        <f>IF(K189&gt;Forudsætninger!$C$31,IF(K189&gt;Forudsætninger!$C$32,IF(K189&gt;Forudsætninger!$C$33,Forudsætninger!$E$33,Forudsætninger!$E$32+Forudsætninger!$F$33*(K189-Forudsætninger!$C$32)),Forudsætninger!$E$31+Forudsætninger!$F$32*(K189-Forudsætninger!$C$31)),Forudsætninger!$E$31)+IF(K189&gt;Forudsætninger!$C$33,Forudsætninger!$G$33,IF(K189&gt;Forudsætninger!$C$32,Forudsætninger!$G$32+Forudsætninger!$H$33*(K189-Forudsætninger!$C$32),IF(K189&gt;Forudsætninger!$C$31,Forudsætninger!$G$31+Forudsætninger!$H$32*(K189-Forudsætninger!$C$31),Forudsætninger!$G$31)))*(V189-Forudsætninger!$H$31)</f>
        <v>27.323059767101881</v>
      </c>
      <c r="AD189" s="19">
        <f t="shared" si="59"/>
        <v>4239.0488241743824</v>
      </c>
      <c r="AE189" s="19">
        <f t="shared" si="60"/>
        <v>27.323059767101881</v>
      </c>
      <c r="AF189">
        <f>IF(G189&lt;=Forudsætninger!$C$97,Forudsætninger!$C$98,(IF(G189&lt;=Forudsætninger!$D$97,Forudsætninger!$D$98,IF(G189&lt;=Forudsætninger!$E$97,Forudsætninger!$E$98,IF(G189&lt;=Forudsætninger!$F$97,Forudsætninger!$F$98,IF(G189&lt;=Forudsætninger!$G$97,Forudsætninger!$G$98,IF(G189&lt;=Forudsætninger!$H$97,Forudsætninger!$H$98,IF(G189&lt;=Forudsætninger!$I$97,Forudsætninger!$I$98,Forudsætninger!$I$98))))))))</f>
        <v>3.8</v>
      </c>
      <c r="AG189" s="1">
        <f t="shared" si="70"/>
        <v>4.4000000000000004</v>
      </c>
      <c r="AH189" s="1">
        <f t="shared" si="74"/>
        <v>497.99999999999858</v>
      </c>
      <c r="AI189" s="1">
        <f t="shared" si="61"/>
        <v>2.6631016042780673</v>
      </c>
      <c r="AJ189" s="20">
        <f>+(W189*Forudsætninger!$C$12)</f>
        <v>900</v>
      </c>
      <c r="AK189" s="20">
        <f>Forudsætninger!$C$17</f>
        <v>250</v>
      </c>
      <c r="AL189" s="20">
        <f>IF(A189&lt;92,Forudsætninger!$C$20,Forudsætninger!$C$21)</f>
        <v>1.0566762728146013</v>
      </c>
      <c r="AM189" s="20">
        <f t="shared" si="71"/>
        <v>466.10394586962178</v>
      </c>
      <c r="AN189" s="20">
        <f>IFERROR(AD189+AJ189-AA189-Z189-AK189-AM189-Forudsætninger!$C$75,-99999999)</f>
        <v>-8.4717283006115451</v>
      </c>
      <c r="AO189" s="19">
        <f>IFERROR(AN189/(A189+Forudsætninger!$C$74),-99999999)</f>
        <v>-4.5303359896318424E-2</v>
      </c>
      <c r="AP189" s="19">
        <f>IFERROR(((365/(A189+Forudsætninger!$C$74))*AN189)/(AI189+Forudsætninger!$C$73),-9999999)</f>
        <v>-5.9628995694375355</v>
      </c>
      <c r="AQ189" s="18">
        <f t="shared" si="62"/>
        <v>187</v>
      </c>
      <c r="AR189" s="18">
        <f t="shared" si="72"/>
        <v>4965.126359925599</v>
      </c>
      <c r="AS189" s="52">
        <f t="shared" si="53"/>
        <v>7.4</v>
      </c>
      <c r="AT189" s="50">
        <f t="shared" si="75"/>
        <v>2.177229291467313</v>
      </c>
      <c r="AU189" s="50">
        <f t="shared" si="76"/>
        <v>1.1949100276148553E-2</v>
      </c>
      <c r="AV189" s="2">
        <f t="shared" si="77"/>
        <v>1.5982207688669314</v>
      </c>
      <c r="AW189" s="61">
        <f t="shared" si="73"/>
        <v>2.4472311099947071</v>
      </c>
      <c r="BA189" s="16"/>
      <c r="BB189" s="2"/>
    </row>
    <row r="190" spans="1:54" x14ac:dyDescent="0.25">
      <c r="A190">
        <v>188</v>
      </c>
      <c r="B190" s="1">
        <f>ROUND((A190+Forudsætninger!$C$60)/30.4,1)</f>
        <v>7.5</v>
      </c>
      <c r="C190" s="1">
        <f>VLOOKUP((A190+Forudsætninger!$C$60),'Model tilvækst, slagteform, fe'!A:B,2,FALSE)</f>
        <v>334.37680178816458</v>
      </c>
      <c r="D190" s="3">
        <f t="shared" si="63"/>
        <v>1532.7392989861437</v>
      </c>
      <c r="E190" s="1">
        <f>(1+Forudsætninger!$C$78)*C190</f>
        <v>310.97042566299302</v>
      </c>
      <c r="F190" s="2">
        <f t="shared" si="64"/>
        <v>0.74115290173571735</v>
      </c>
      <c r="G190" s="1">
        <f t="shared" si="54"/>
        <v>311.71157856472877</v>
      </c>
      <c r="H190" s="3">
        <f t="shared" si="55"/>
        <v>1381.6549966575167</v>
      </c>
      <c r="I190" s="3">
        <f t="shared" si="56"/>
        <v>1291.0190349187699</v>
      </c>
      <c r="J190" s="1">
        <f>VLOOKUP((A190+Forudsætninger!$C$60),'Model tilvækst, slagteform, fe'!G:K,2,FALSE)*(1+Forudsætninger!$C$79)</f>
        <v>50.011401017150853</v>
      </c>
      <c r="K190" s="17">
        <f t="shared" si="52"/>
        <v>155.89132757289772</v>
      </c>
      <c r="L190" s="17">
        <f t="shared" si="65"/>
        <v>745.86215623247654</v>
      </c>
      <c r="M190" s="3">
        <f>((K190-(('Model tilvækst, slagteform, fe'!$H$9/100)*'Model tilvækst, slagteform, fe'!$B$9))*1000/(A190+Forudsætninger!$C$60))</f>
        <v>596.67146935898154</v>
      </c>
      <c r="N190" s="17">
        <f t="shared" si="66"/>
        <v>929.69230604107725</v>
      </c>
      <c r="O190" s="19">
        <f>IF( A190&lt;Forudsætninger!$C$14,(G190/100)*Forudsætninger!$C$13,(Forudsætninger!$C$15/1000)*Forudsætninger!$C$13)</f>
        <v>2.0261252606707369</v>
      </c>
      <c r="P190" s="17" cm="1">
        <f t="array" ref="P190">INDEX('Model tilvækst, slagteform, fe'!$N$9:$N$375,MATCH(MIN(ABS('Model tilvækst, slagteform, fe'!$M$9:$M$375-'Vækstfunktion, hol'!G190)),ABS('Model tilvækst, slagteform, fe'!$M$9:$M$375-'Vækstfunktion, hol'!G190),0))*(1+Forudsætninger!$C$80)</f>
        <v>7.133126729414653</v>
      </c>
      <c r="Q190" s="17">
        <f t="shared" si="67"/>
        <v>9.56359921174408</v>
      </c>
      <c r="R190" s="17">
        <f t="shared" si="68"/>
        <v>7.5113532573236705</v>
      </c>
      <c r="S190" s="17">
        <f t="shared" si="57"/>
        <v>3.8304406882390967</v>
      </c>
      <c r="T190" s="19">
        <f>(P190)*IF(N190&lt;Forudsætninger!$B$228,IF(N190&lt;Forudsætninger!$B$227,Forudsætninger!$B$225,Forudsætninger!$C$9),Forudsætninger!$C$11)+O190</f>
        <v>18.717641807501025</v>
      </c>
      <c r="U190" s="2">
        <f>Forudsætninger!$C$68+((K190-(Forudsætninger!$C$84)))*0.01</f>
        <v>3.2559661347176174</v>
      </c>
      <c r="V190" s="2">
        <f>U190+Forudsætninger!$C$69</f>
        <v>2.2559661347176174</v>
      </c>
      <c r="W190">
        <f t="shared" si="58"/>
        <v>1</v>
      </c>
      <c r="X190">
        <f>IF(A190+Forudsætninger!$C$60&gt;248,IF(A190+Forudsætninger!$C$60&lt;365,IF(K190&gt;180,IF(K190&lt;260,1,0),0),0),0)</f>
        <v>0</v>
      </c>
      <c r="Y190" s="22">
        <f>IF(X190=0,0,IF('Vækstfunktion, hol'!A190&lt;Forudsætninger!$C$66,Forudsætninger!$C$67+(('Vækstfunktion, hol'!A190-Forudsætninger!$C$66)/7)*Forudsætninger!$C$64,Forudsætninger!$C$67))</f>
        <v>0</v>
      </c>
      <c r="Z190" s="19">
        <f t="shared" si="69"/>
        <v>2917.7400558634786</v>
      </c>
      <c r="AA190" s="19">
        <f>Forudsætninger!$C$62+Forudsætninger!$C$16</f>
        <v>1350</v>
      </c>
      <c r="AB190" s="19">
        <f>IF(K190&gt;Forudsætninger!$C$26,IF(K190&gt;Forudsætninger!$C$27,IF(K190&gt;Forudsætninger!$C$28,Forudsætninger!$E$28,Forudsætninger!$E$27+Forudsætninger!$F$28*(K190-Forudsætninger!$C$27)),Forudsætninger!$E$26+Forudsætninger!$F$27*(K190-Forudsætninger!$C$26)),Forudsætninger!$E$26)+IF(K190&gt;Forudsætninger!$C$28,Forudsætninger!$G$28,IF(K190&gt;Forudsætninger!$C$27,Forudsætninger!$G$27+Forudsætninger!$H$28*(K190-Forudsætninger!$C$27),IF(K190&gt;Forudsætninger!$C$26,Forudsætninger!$G$26+Forudsætninger!$H$27*(K190-Forudsætninger!$C$26),Forudsætninger!$G$26)))*(U190-Forudsætninger!$H$26)</f>
        <v>33.791974601038213</v>
      </c>
      <c r="AC190" s="19">
        <f>IF(K190&gt;Forudsætninger!$C$31,IF(K190&gt;Forudsætninger!$C$32,IF(K190&gt;Forudsætninger!$C$33,Forudsætninger!$E$33,Forudsætninger!$E$32+Forudsætninger!$F$33*(K190-Forudsætninger!$C$32)),Forudsætninger!$E$31+Forudsætninger!$F$32*(K190-Forudsætninger!$C$31)),Forudsætninger!$E$31)+IF(K190&gt;Forudsætninger!$C$33,Forudsætninger!$G$33,IF(K190&gt;Forudsætninger!$C$32,Forudsætninger!$G$32+Forudsætninger!$H$33*(K190-Forudsætninger!$C$32),IF(K190&gt;Forudsætninger!$C$31,Forudsætninger!$G$31+Forudsætninger!$H$32*(K190-Forudsætninger!$C$31),Forudsætninger!$G$31)))*(V190-Forudsætninger!$H$31)</f>
        <v>27.332755975132901</v>
      </c>
      <c r="AD190" s="19">
        <f t="shared" si="59"/>
        <v>4260.9396151895207</v>
      </c>
      <c r="AE190" s="19">
        <f t="shared" si="60"/>
        <v>27.332755975132901</v>
      </c>
      <c r="AF190">
        <f>IF(G190&lt;=Forudsætninger!$C$97,Forudsætninger!$C$98,(IF(G190&lt;=Forudsætninger!$D$97,Forudsætninger!$D$98,IF(G190&lt;=Forudsætninger!$E$97,Forudsætninger!$E$98,IF(G190&lt;=Forudsætninger!$F$97,Forudsætninger!$F$98,IF(G190&lt;=Forudsætninger!$G$97,Forudsætninger!$G$98,IF(G190&lt;=Forudsætninger!$H$97,Forudsætninger!$H$98,IF(G190&lt;=Forudsætninger!$I$97,Forudsætninger!$I$98,Forudsætninger!$I$98))))))))</f>
        <v>3.8</v>
      </c>
      <c r="AG190" s="1">
        <f t="shared" si="70"/>
        <v>4.4000000000000004</v>
      </c>
      <c r="AH190" s="1">
        <f t="shared" si="74"/>
        <v>502.39999999999856</v>
      </c>
      <c r="AI190" s="1">
        <f t="shared" si="61"/>
        <v>2.6723404255319072</v>
      </c>
      <c r="AJ190" s="20">
        <f>+(W190*Forudsætninger!$C$12)</f>
        <v>900</v>
      </c>
      <c r="AK190" s="20">
        <f>Forudsætninger!$C$17</f>
        <v>250</v>
      </c>
      <c r="AL190" s="20">
        <f>IF(A190&lt;92,Forudsætninger!$C$20,Forudsætninger!$C$21)</f>
        <v>1.0566762728146013</v>
      </c>
      <c r="AM190" s="20">
        <f t="shared" si="71"/>
        <v>467.16062214243641</v>
      </c>
      <c r="AN190" s="20">
        <f>IFERROR(AD190+AJ190-AA190-Z190-AK190-AM190-Forudsætninger!$C$75,-99999999)</f>
        <v>-6.3552553657887927</v>
      </c>
      <c r="AO190" s="19">
        <f>IFERROR(AN190/(A190+Forudsætninger!$C$74),-99999999)</f>
        <v>-3.3804549818025491E-2</v>
      </c>
      <c r="AP190" s="19">
        <f>IFERROR(((365/(A190+Forudsætninger!$C$74))*AN190)/(AI190+Forudsætninger!$C$73),-9999999)</f>
        <v>-4.4346337243116078</v>
      </c>
      <c r="AQ190" s="18">
        <f t="shared" si="62"/>
        <v>188</v>
      </c>
      <c r="AR190" s="18">
        <f t="shared" si="72"/>
        <v>4984.9006780059144</v>
      </c>
      <c r="AS190" s="52">
        <f t="shared" si="53"/>
        <v>7.5</v>
      </c>
      <c r="AT190" s="50">
        <f t="shared" si="75"/>
        <v>2.1164729348227524</v>
      </c>
      <c r="AU190" s="50">
        <f t="shared" si="76"/>
        <v>1.1498810078292933E-2</v>
      </c>
      <c r="AV190" s="2">
        <f t="shared" si="77"/>
        <v>1.5282658451259277</v>
      </c>
      <c r="AW190" s="61">
        <f t="shared" si="73"/>
        <v>2.4510923764715296</v>
      </c>
      <c r="BA190" s="16"/>
      <c r="BB190" s="2"/>
    </row>
    <row r="191" spans="1:54" x14ac:dyDescent="0.25">
      <c r="A191">
        <v>189</v>
      </c>
      <c r="B191" s="1">
        <f>ROUND((A191+Forudsætninger!$C$60)/30.4,1)</f>
        <v>7.5</v>
      </c>
      <c r="C191" s="1">
        <f>VLOOKUP((A191+Forudsætninger!$C$60),'Model tilvækst, slagteform, fe'!A:B,2,FALSE)</f>
        <v>335.90660144007461</v>
      </c>
      <c r="D191" s="3">
        <f t="shared" si="63"/>
        <v>1529.7996519100252</v>
      </c>
      <c r="E191" s="1">
        <f>(1+Forudsætninger!$C$78)*C191</f>
        <v>312.39313933926934</v>
      </c>
      <c r="F191" s="2">
        <f t="shared" si="64"/>
        <v>0.69744434025257374</v>
      </c>
      <c r="G191" s="1">
        <f t="shared" si="54"/>
        <v>313.0905836795219</v>
      </c>
      <c r="H191" s="3">
        <f t="shared" si="55"/>
        <v>1379.0051147931308</v>
      </c>
      <c r="I191" s="3">
        <f t="shared" si="56"/>
        <v>1291.4845697329201</v>
      </c>
      <c r="J191" s="1">
        <f>VLOOKUP((A191+Forudsætninger!$C$60),'Model tilvækst, slagteform, fe'!G:K,2,FALSE)*(1+Forudsætninger!$C$79)</f>
        <v>50.028939817432395</v>
      </c>
      <c r="K191" s="17">
        <f t="shared" si="52"/>
        <v>156.63589968307582</v>
      </c>
      <c r="L191" s="17">
        <f t="shared" si="65"/>
        <v>744.57211017809755</v>
      </c>
      <c r="M191" s="3">
        <f>((K191-(('Model tilvækst, slagteform, fe'!$H$9/100)*'Model tilvækst, slagteform, fe'!$B$9))*1000/(A191+Forudsætninger!$C$60))</f>
        <v>597.32015638011819</v>
      </c>
      <c r="N191" s="17">
        <f t="shared" si="66"/>
        <v>936.83173994263439</v>
      </c>
      <c r="O191" s="19">
        <f>IF( A191&lt;Forudsætninger!$C$14,(G191/100)*Forudsætninger!$C$13,(Forudsætninger!$C$15/1000)*Forudsætninger!$C$13)</f>
        <v>2.0350887939168927</v>
      </c>
      <c r="P191" s="17" cm="1">
        <f t="array" ref="P191">INDEX('Model tilvækst, slagteform, fe'!$N$9:$N$375,MATCH(MIN(ABS('Model tilvækst, slagteform, fe'!$M$9:$M$375-'Vækstfunktion, hol'!G191)),ABS('Model tilvækst, slagteform, fe'!$M$9:$M$375-'Vækstfunktion, hol'!G191),0))*(1+Forudsætninger!$C$80)</f>
        <v>7.1394339015571369</v>
      </c>
      <c r="Q191" s="17">
        <f t="shared" si="67"/>
        <v>9.5886399771936439</v>
      </c>
      <c r="R191" s="17">
        <f t="shared" si="68"/>
        <v>7.5237748534327196</v>
      </c>
      <c r="S191" s="17">
        <f t="shared" si="57"/>
        <v>3.8380494889251655</v>
      </c>
      <c r="T191" s="19">
        <f>(P191)*IF(N191&lt;Forudsætninger!$B$228,IF(N191&lt;Forudsætninger!$B$227,Forudsætninger!$B$225,Forudsætninger!$C$9),Forudsætninger!$C$11)+O191</f>
        <v>18.74136412356059</v>
      </c>
      <c r="U191" s="2">
        <f>Forudsætninger!$C$68+((K191-(Forudsætninger!$C$84)))*0.01</f>
        <v>3.2634118558193985</v>
      </c>
      <c r="V191" s="2">
        <f>U191+Forudsætninger!$C$69</f>
        <v>2.2634118558193985</v>
      </c>
      <c r="W191">
        <f t="shared" si="58"/>
        <v>1</v>
      </c>
      <c r="X191">
        <f>IF(A191+Forudsætninger!$C$60&gt;248,IF(A191+Forudsætninger!$C$60&lt;365,IF(K191&gt;180,IF(K191&lt;260,1,0),0),0),0)</f>
        <v>0</v>
      </c>
      <c r="Y191" s="22">
        <f>IF(X191=0,0,IF('Vækstfunktion, hol'!A191&lt;Forudsætninger!$C$66,Forudsætninger!$C$67+(('Vækstfunktion, hol'!A191-Forudsætninger!$C$66)/7)*Forudsætninger!$C$64,Forudsætninger!$C$67))</f>
        <v>0</v>
      </c>
      <c r="Z191" s="19">
        <f t="shared" si="69"/>
        <v>2936.4814199870393</v>
      </c>
      <c r="AA191" s="19">
        <f>Forudsætninger!$C$62+Forudsætninger!$C$16</f>
        <v>1350</v>
      </c>
      <c r="AB191" s="19">
        <f>IF(K191&gt;Forudsætninger!$C$26,IF(K191&gt;Forudsætninger!$C$27,IF(K191&gt;Forudsætninger!$C$28,Forudsætninger!$E$28,Forudsætninger!$E$27+Forudsætninger!$F$28*(K191-Forudsætninger!$C$27)),Forudsætninger!$E$26+Forudsætninger!$F$27*(K191-Forudsætninger!$C$26)),Forudsætninger!$E$26)+IF(K191&gt;Forudsætninger!$C$28,Forudsætninger!$G$28,IF(K191&gt;Forudsætninger!$C$27,Forudsætninger!$G$27+Forudsætninger!$H$28*(K191-Forudsætninger!$C$27),IF(K191&gt;Forudsætninger!$C$26,Forudsætninger!$G$26+Forudsætninger!$H$27*(K191-Forudsætninger!$C$26),Forudsætninger!$G$26)))*(U191-Forudsætninger!$H$26)</f>
        <v>33.797558891864547</v>
      </c>
      <c r="AC191" s="19">
        <f>IF(K191&gt;Forudsætninger!$C$31,IF(K191&gt;Forudsætninger!$C$32,IF(K191&gt;Forudsætninger!$C$33,Forudsætninger!$E$33,Forudsætninger!$E$32+Forudsætninger!$F$33*(K191-Forudsætninger!$C$32)),Forudsætninger!$E$31+Forudsætninger!$F$32*(K191-Forudsætninger!$C$31)),Forudsætninger!$E$31)+IF(K191&gt;Forudsætninger!$C$33,Forudsætninger!$G$33,IF(K191&gt;Forudsætninger!$C$32,Forudsætninger!$G$32+Forudsætninger!$H$33*(K191-Forudsætninger!$C$32),IF(K191&gt;Forudsætninger!$C$31,Forudsætninger!$G$31+Forudsætninger!$H$32*(K191-Forudsætninger!$C$31),Forudsætninger!$G$31)))*(V191-Forudsætninger!$H$31)</f>
        <v>27.342435412565219</v>
      </c>
      <c r="AD191" s="19">
        <f t="shared" si="59"/>
        <v>4282.8069703735455</v>
      </c>
      <c r="AE191" s="19">
        <f t="shared" si="60"/>
        <v>27.342435412565219</v>
      </c>
      <c r="AF191">
        <f>IF(G191&lt;=Forudsætninger!$C$97,Forudsætninger!$C$98,(IF(G191&lt;=Forudsætninger!$D$97,Forudsætninger!$D$98,IF(G191&lt;=Forudsætninger!$E$97,Forudsætninger!$E$98,IF(G191&lt;=Forudsætninger!$F$97,Forudsætninger!$F$98,IF(G191&lt;=Forudsætninger!$G$97,Forudsætninger!$G$98,IF(G191&lt;=Forudsætninger!$H$97,Forudsætninger!$H$98,IF(G191&lt;=Forudsætninger!$I$97,Forudsætninger!$I$98,Forudsætninger!$I$98))))))))</f>
        <v>3.8</v>
      </c>
      <c r="AG191" s="1">
        <f t="shared" si="70"/>
        <v>4.4000000000000004</v>
      </c>
      <c r="AH191" s="1">
        <f t="shared" si="74"/>
        <v>506.79999999999853</v>
      </c>
      <c r="AI191" s="1">
        <f t="shared" si="61"/>
        <v>2.6814814814814736</v>
      </c>
      <c r="AJ191" s="20">
        <f>+(W191*Forudsætninger!$C$12)</f>
        <v>900</v>
      </c>
      <c r="AK191" s="20">
        <f>Forudsætninger!$C$17</f>
        <v>250</v>
      </c>
      <c r="AL191" s="20">
        <f>IF(A191&lt;92,Forudsætninger!$C$20,Forudsætninger!$C$21)</f>
        <v>1.0566762728146013</v>
      </c>
      <c r="AM191" s="20">
        <f t="shared" si="71"/>
        <v>468.21729841525104</v>
      </c>
      <c r="AN191" s="20">
        <f>IFERROR(AD191+AJ191-AA191-Z191-AK191-AM191-Forudsætninger!$C$75,-99999999)</f>
        <v>-4.2859405781394173</v>
      </c>
      <c r="AO191" s="19">
        <f>IFERROR(AN191/(A191+Forudsætninger!$C$74),-99999999)</f>
        <v>-2.2676934275869934E-2</v>
      </c>
      <c r="AP191" s="19">
        <f>IFERROR(((365/(A191+Forudsætninger!$C$74))*AN191)/(AI191+Forudsætninger!$C$73),-9999999)</f>
        <v>-2.9651212324359668</v>
      </c>
      <c r="AQ191" s="18">
        <f t="shared" si="62"/>
        <v>189</v>
      </c>
      <c r="AR191" s="18">
        <f t="shared" si="72"/>
        <v>5004.698718402291</v>
      </c>
      <c r="AS191" s="52">
        <f t="shared" si="53"/>
        <v>7.5</v>
      </c>
      <c r="AT191" s="50">
        <f t="shared" si="75"/>
        <v>2.0693147876493754</v>
      </c>
      <c r="AU191" s="50">
        <f t="shared" si="76"/>
        <v>1.1127615542155557E-2</v>
      </c>
      <c r="AV191" s="2">
        <f t="shared" si="77"/>
        <v>1.469512491875641</v>
      </c>
      <c r="AW191" s="61">
        <f t="shared" si="73"/>
        <v>2.4546632689794263</v>
      </c>
      <c r="BA191" s="16"/>
      <c r="BB191" s="2"/>
    </row>
    <row r="192" spans="1:54" x14ac:dyDescent="0.25">
      <c r="A192">
        <v>190</v>
      </c>
      <c r="B192" s="1">
        <f>ROUND((A192+Forudsætninger!$C$60)/30.4,1)</f>
        <v>7.5</v>
      </c>
      <c r="C192" s="1">
        <f>VLOOKUP((A192+Forudsætninger!$C$60),'Model tilvækst, slagteform, fe'!A:B,2,FALSE)</f>
        <v>337.43342309599291</v>
      </c>
      <c r="D192" s="3">
        <f t="shared" si="63"/>
        <v>1526.8216559182974</v>
      </c>
      <c r="E192" s="1">
        <f>(1+Forudsætninger!$C$78)*C192</f>
        <v>313.81308347927336</v>
      </c>
      <c r="F192" s="2">
        <f t="shared" si="64"/>
        <v>0.65382086436919384</v>
      </c>
      <c r="G192" s="1">
        <f t="shared" si="54"/>
        <v>314.46690434364257</v>
      </c>
      <c r="H192" s="3">
        <f t="shared" si="55"/>
        <v>1376.3206641206693</v>
      </c>
      <c r="I192" s="3">
        <f t="shared" si="56"/>
        <v>1291.9310754928556</v>
      </c>
      <c r="J192" s="1">
        <f>VLOOKUP((A192+Forudsætninger!$C$60),'Model tilvækst, slagteform, fe'!G:K,2,FALSE)*(1+Forudsætninger!$C$79)</f>
        <v>50.046329176570978</v>
      </c>
      <c r="K192" s="17">
        <f t="shared" si="52"/>
        <v>157.37914209919194</v>
      </c>
      <c r="L192" s="17">
        <f t="shared" si="65"/>
        <v>743.24241611611797</v>
      </c>
      <c r="M192" s="3">
        <f>((K192-(('Model tilvækst, slagteform, fe'!$H$9/100)*'Model tilvækst, slagteform, fe'!$B$9))*1000/(A192+Forudsætninger!$C$60))</f>
        <v>597.95737148813566</v>
      </c>
      <c r="N192" s="17">
        <f t="shared" si="66"/>
        <v>943.97747482942475</v>
      </c>
      <c r="O192" s="19">
        <f>IF( A192&lt;Forudsætninger!$C$14,(G192/100)*Forudsætninger!$C$13,(Forudsætninger!$C$15/1000)*Forudsætninger!$C$13)</f>
        <v>2.0440348782336768</v>
      </c>
      <c r="P192" s="17" cm="1">
        <f t="array" ref="P192">INDEX('Model tilvækst, slagteform, fe'!$N$9:$N$375,MATCH(MIN(ABS('Model tilvækst, slagteform, fe'!$M$9:$M$375-'Vækstfunktion, hol'!G192)),ABS('Model tilvækst, slagteform, fe'!$M$9:$M$375-'Vækstfunktion, hol'!G192),0))*(1+Forudsætninger!$C$80)</f>
        <v>7.1457348867903203</v>
      </c>
      <c r="Q192" s="17">
        <f t="shared" si="67"/>
        <v>9.6142721834028517</v>
      </c>
      <c r="R192" s="17">
        <f t="shared" si="68"/>
        <v>7.5361790797740795</v>
      </c>
      <c r="S192" s="17">
        <f t="shared" si="57"/>
        <v>3.8456405247523673</v>
      </c>
      <c r="T192" s="19">
        <f>(P192)*IF(N192&lt;Forudsætninger!$B$228,IF(N192&lt;Forudsætninger!$B$227,Forudsætninger!$B$225,Forudsætninger!$C$9),Forudsætninger!$C$11)+O192</f>
        <v>18.765054513323026</v>
      </c>
      <c r="U192" s="2">
        <f>Forudsætninger!$C$68+((K192-(Forudsætninger!$C$84)))*0.01</f>
        <v>3.2708442799805599</v>
      </c>
      <c r="V192" s="2">
        <f>U192+Forudsætninger!$C$69</f>
        <v>2.2708442799805599</v>
      </c>
      <c r="W192">
        <f t="shared" si="58"/>
        <v>1</v>
      </c>
      <c r="X192">
        <f>IF(A192+Forudsætninger!$C$60&gt;248,IF(A192+Forudsætninger!$C$60&lt;365,IF(K192&gt;180,IF(K192&lt;260,1,0),0),0),0)</f>
        <v>0</v>
      </c>
      <c r="Y192" s="22">
        <f>IF(X192=0,0,IF('Vækstfunktion, hol'!A192&lt;Forudsætninger!$C$66,Forudsætninger!$C$67+(('Vækstfunktion, hol'!A192-Forudsætninger!$C$66)/7)*Forudsætninger!$C$64,Forudsætninger!$C$67))</f>
        <v>0</v>
      </c>
      <c r="Z192" s="19">
        <f t="shared" si="69"/>
        <v>2955.2464745003622</v>
      </c>
      <c r="AA192" s="19">
        <f>Forudsætninger!$C$62+Forudsætninger!$C$16</f>
        <v>1350</v>
      </c>
      <c r="AB192" s="19">
        <f>IF(K192&gt;Forudsætninger!$C$26,IF(K192&gt;Forudsætninger!$C$27,IF(K192&gt;Forudsætninger!$C$28,Forudsætninger!$E$28,Forudsætninger!$E$27+Forudsætninger!$F$28*(K192-Forudsætninger!$C$27)),Forudsætninger!$E$26+Forudsætninger!$F$27*(K192-Forudsætninger!$C$26)),Forudsætninger!$E$26)+IF(K192&gt;Forudsætninger!$C$28,Forudsætninger!$G$28,IF(K192&gt;Forudsætninger!$C$27,Forudsætninger!$G$27+Forudsætninger!$H$28*(K192-Forudsætninger!$C$27),IF(K192&gt;Forudsætninger!$C$26,Forudsætninger!$G$26+Forudsætninger!$H$27*(K192-Forudsætninger!$C$26),Forudsætninger!$G$26)))*(U192-Forudsætninger!$H$26)</f>
        <v>33.803133209985418</v>
      </c>
      <c r="AC192" s="19">
        <f>IF(K192&gt;Forudsætninger!$C$31,IF(K192&gt;Forudsætninger!$C$32,IF(K192&gt;Forudsætninger!$C$33,Forudsætninger!$E$33,Forudsætninger!$E$32+Forudsætninger!$F$33*(K192-Forudsætninger!$C$32)),Forudsætninger!$E$31+Forudsætninger!$F$32*(K192-Forudsætninger!$C$31)),Forudsætninger!$E$31)+IF(K192&gt;Forudsætninger!$C$33,Forudsætninger!$G$33,IF(K192&gt;Forudsætninger!$C$32,Forudsætninger!$G$32+Forudsætninger!$H$33*(K192-Forudsætninger!$C$32),IF(K192&gt;Forudsætninger!$C$31,Forudsætninger!$G$31+Forudsætninger!$H$32*(K192-Forudsætninger!$C$31),Forudsætninger!$G$31)))*(V192-Forudsætninger!$H$31)</f>
        <v>27.352097563974727</v>
      </c>
      <c r="AD192" s="19">
        <f t="shared" si="59"/>
        <v>4304.6496492317401</v>
      </c>
      <c r="AE192" s="19">
        <f t="shared" si="60"/>
        <v>27.352097563974727</v>
      </c>
      <c r="AF192">
        <f>IF(G192&lt;=Forudsætninger!$C$97,Forudsætninger!$C$98,(IF(G192&lt;=Forudsætninger!$D$97,Forudsætninger!$D$98,IF(G192&lt;=Forudsætninger!$E$97,Forudsætninger!$E$98,IF(G192&lt;=Forudsætninger!$F$97,Forudsætninger!$F$98,IF(G192&lt;=Forudsætninger!$G$97,Forudsætninger!$G$98,IF(G192&lt;=Forudsætninger!$H$97,Forudsætninger!$H$98,IF(G192&lt;=Forudsætninger!$I$97,Forudsætninger!$I$98,Forudsætninger!$I$98))))))))</f>
        <v>3.8</v>
      </c>
      <c r="AG192" s="1">
        <f t="shared" si="70"/>
        <v>4.4000000000000004</v>
      </c>
      <c r="AH192" s="1">
        <f t="shared" si="74"/>
        <v>511.19999999999851</v>
      </c>
      <c r="AI192" s="1">
        <f t="shared" si="61"/>
        <v>2.6905263157894659</v>
      </c>
      <c r="AJ192" s="20">
        <f>+(W192*Forudsætninger!$C$12)</f>
        <v>900</v>
      </c>
      <c r="AK192" s="20">
        <f>Forudsætninger!$C$17</f>
        <v>250</v>
      </c>
      <c r="AL192" s="20">
        <f>IF(A192&lt;92,Forudsætninger!$C$20,Forudsætninger!$C$21)</f>
        <v>1.0566762728146013</v>
      </c>
      <c r="AM192" s="20">
        <f t="shared" si="71"/>
        <v>469.27397468806566</v>
      </c>
      <c r="AN192" s="20">
        <f>IFERROR(AD192+AJ192-AA192-Z192-AK192-AM192-Forudsætninger!$C$75,-99999999)</f>
        <v>-2.2649925060822795</v>
      </c>
      <c r="AO192" s="19">
        <f>IFERROR(AN192/(A192+Forudsætninger!$C$74),-99999999)</f>
        <v>-1.1921013189906734E-2</v>
      </c>
      <c r="AP192" s="19">
        <f>IFERROR(((365/(A192+Forudsætninger!$C$74))*AN192)/(AI192+Forudsætninger!$C$73),-9999999)</f>
        <v>-1.5536971710581364</v>
      </c>
      <c r="AQ192" s="18">
        <f t="shared" si="62"/>
        <v>190</v>
      </c>
      <c r="AR192" s="18">
        <f t="shared" si="72"/>
        <v>5024.5204491884269</v>
      </c>
      <c r="AS192" s="52">
        <f t="shared" si="53"/>
        <v>7.5</v>
      </c>
      <c r="AT192" s="50">
        <f t="shared" si="75"/>
        <v>2.0209480720571378</v>
      </c>
      <c r="AU192" s="50">
        <f t="shared" si="76"/>
        <v>1.07559210859632E-2</v>
      </c>
      <c r="AV192" s="2">
        <f t="shared" si="77"/>
        <v>1.4114240613778304</v>
      </c>
      <c r="AW192" s="61">
        <f t="shared" si="73"/>
        <v>2.4579420114841231</v>
      </c>
      <c r="BA192" s="16"/>
      <c r="BB192" s="2"/>
    </row>
    <row r="193" spans="1:54" x14ac:dyDescent="0.25">
      <c r="A193">
        <v>191</v>
      </c>
      <c r="B193" s="1">
        <f>ROUND((A193+Forudsætninger!$C$60)/30.4,1)</f>
        <v>7.6</v>
      </c>
      <c r="C193" s="1">
        <f>VLOOKUP((A193+Forudsætninger!$C$60),'Model tilvækst, slagteform, fe'!A:B,2,FALSE)</f>
        <v>338.95722894135167</v>
      </c>
      <c r="D193" s="3">
        <f t="shared" si="63"/>
        <v>1523.8058453587655</v>
      </c>
      <c r="E193" s="1">
        <f>(1+Forudsætninger!$C$78)*C193</f>
        <v>315.23022291545703</v>
      </c>
      <c r="F193" s="2">
        <f t="shared" si="64"/>
        <v>0.6102835545018005</v>
      </c>
      <c r="G193" s="1">
        <f t="shared" si="54"/>
        <v>315.84050646995883</v>
      </c>
      <c r="H193" s="3">
        <f t="shared" si="55"/>
        <v>1373.602126316257</v>
      </c>
      <c r="I193" s="3">
        <f t="shared" si="56"/>
        <v>1292.3586726175854</v>
      </c>
      <c r="J193" s="1">
        <f>VLOOKUP((A193+Forudsætninger!$C$60),'Model tilvækst, slagteform, fe'!G:K,2,FALSE)*(1+Forudsætninger!$C$79)</f>
        <v>50.063564334821756</v>
      </c>
      <c r="K193" s="17">
        <f t="shared" si="52"/>
        <v>158.12101515201471</v>
      </c>
      <c r="L193" s="17">
        <f t="shared" si="65"/>
        <v>741.87305282276839</v>
      </c>
      <c r="M193" s="3">
        <f>((K193-(('Model tilvækst, slagteform, fe'!$H$9/100)*'Model tilvækst, slagteform, fe'!$B$9))*1000/(A193+Forudsætninger!$C$60))</f>
        <v>598.58309184176449</v>
      </c>
      <c r="N193" s="17">
        <f t="shared" si="66"/>
        <v>951.12950618497234</v>
      </c>
      <c r="O193" s="19">
        <f>IF( A193&lt;Forudsætninger!$C$14,(G193/100)*Forudsætninger!$C$13,(Forudsætninger!$C$15/1000)*Forudsætninger!$C$13)</f>
        <v>2.0529632920547325</v>
      </c>
      <c r="P193" s="17" cm="1">
        <f t="array" ref="P193">INDEX('Model tilvækst, slagteform, fe'!$N$9:$N$375,MATCH(MIN(ABS('Model tilvækst, slagteform, fe'!$M$9:$M$375-'Vækstfunktion, hol'!G193)),ABS('Model tilvækst, slagteform, fe'!$M$9:$M$375-'Vækstfunktion, hol'!G193),0))*(1+Forudsætninger!$C$80)</f>
        <v>7.1520313555476109</v>
      </c>
      <c r="Q193" s="17">
        <f t="shared" si="67"/>
        <v>9.6405056476100537</v>
      </c>
      <c r="R193" s="17">
        <f t="shared" si="68"/>
        <v>7.5485689771152238</v>
      </c>
      <c r="S193" s="17">
        <f t="shared" si="57"/>
        <v>3.8532148543485811</v>
      </c>
      <c r="T193" s="19">
        <f>(P193)*IF(N193&lt;Forudsætninger!$B$228,IF(N193&lt;Forudsætninger!$B$227,Forudsætninger!$B$225,Forudsætninger!$C$9),Forudsætninger!$C$11)+O193</f>
        <v>18.788716664036144</v>
      </c>
      <c r="U193" s="2">
        <f>Forudsætninger!$C$68+((K193-(Forudsætninger!$C$84)))*0.01</f>
        <v>3.2782630105087875</v>
      </c>
      <c r="V193" s="2">
        <f>U193+Forudsætninger!$C$69</f>
        <v>2.2782630105087875</v>
      </c>
      <c r="W193">
        <f t="shared" si="58"/>
        <v>1</v>
      </c>
      <c r="X193">
        <f>IF(A193+Forudsætninger!$C$60&gt;248,IF(A193+Forudsætninger!$C$60&lt;365,IF(K193&gt;180,IF(K193&lt;260,1,0),0),0),0)</f>
        <v>0</v>
      </c>
      <c r="Y193" s="22">
        <f>IF(X193=0,0,IF('Vækstfunktion, hol'!A193&lt;Forudsætninger!$C$66,Forudsætninger!$C$67+(('Vækstfunktion, hol'!A193-Forudsætninger!$C$66)/7)*Forudsætninger!$C$64,Forudsætninger!$C$67))</f>
        <v>0</v>
      </c>
      <c r="Z193" s="19">
        <f t="shared" si="69"/>
        <v>2974.0351911643984</v>
      </c>
      <c r="AA193" s="19">
        <f>Forudsætninger!$C$62+Forudsætninger!$C$16</f>
        <v>1350</v>
      </c>
      <c r="AB193" s="19">
        <f>IF(K193&gt;Forudsætninger!$C$26,IF(K193&gt;Forudsætninger!$C$27,IF(K193&gt;Forudsætninger!$C$28,Forudsætninger!$E$28,Forudsætninger!$E$27+Forudsætninger!$F$28*(K193-Forudsætninger!$C$27)),Forudsætninger!$E$26+Forudsætninger!$F$27*(K193-Forudsætninger!$C$26)),Forudsætninger!$E$26)+IF(K193&gt;Forudsætninger!$C$28,Forudsætninger!$G$28,IF(K193&gt;Forudsætninger!$C$27,Forudsætninger!$G$27+Forudsætninger!$H$28*(K193-Forudsætninger!$C$27),IF(K193&gt;Forudsætninger!$C$26,Forudsætninger!$G$26+Forudsætninger!$H$27*(K193-Forudsætninger!$C$26),Forudsætninger!$G$26)))*(U193-Forudsætninger!$H$26)</f>
        <v>33.80869725788159</v>
      </c>
      <c r="AC193" s="19">
        <f>IF(K193&gt;Forudsætninger!$C$31,IF(K193&gt;Forudsætninger!$C$32,IF(K193&gt;Forudsætninger!$C$33,Forudsætninger!$E$33,Forudsætninger!$E$32+Forudsætninger!$F$33*(K193-Forudsætninger!$C$32)),Forudsætninger!$E$31+Forudsætninger!$F$32*(K193-Forudsætninger!$C$31)),Forudsætninger!$E$31)+IF(K193&gt;Forudsætninger!$C$33,Forudsætninger!$G$33,IF(K193&gt;Forudsætninger!$C$32,Forudsætninger!$G$32+Forudsætninger!$H$33*(K193-Forudsætninger!$C$32),IF(K193&gt;Forudsætninger!$C$31,Forudsætninger!$G$31+Forudsætninger!$H$32*(K193-Forudsætninger!$C$31),Forudsætninger!$G$31)))*(V193-Forudsætninger!$H$31)</f>
        <v>27.361741913661422</v>
      </c>
      <c r="AD193" s="19">
        <f t="shared" si="59"/>
        <v>4326.466407715574</v>
      </c>
      <c r="AE193" s="19">
        <f t="shared" si="60"/>
        <v>27.361741913661426</v>
      </c>
      <c r="AF193">
        <f>IF(G193&lt;=Forudsætninger!$C$97,Forudsætninger!$C$98,(IF(G193&lt;=Forudsætninger!$D$97,Forudsætninger!$D$98,IF(G193&lt;=Forudsætninger!$E$97,Forudsætninger!$E$98,IF(G193&lt;=Forudsætninger!$F$97,Forudsætninger!$F$98,IF(G193&lt;=Forudsætninger!$G$97,Forudsætninger!$G$98,IF(G193&lt;=Forudsætninger!$H$97,Forudsætninger!$H$98,IF(G193&lt;=Forudsætninger!$I$97,Forudsætninger!$I$98,Forudsætninger!$I$98))))))))</f>
        <v>3.8</v>
      </c>
      <c r="AG193" s="1">
        <f t="shared" si="70"/>
        <v>4.4000000000000004</v>
      </c>
      <c r="AH193" s="1">
        <f t="shared" si="74"/>
        <v>515.59999999999854</v>
      </c>
      <c r="AI193" s="1">
        <f t="shared" si="61"/>
        <v>2.6994764397905682</v>
      </c>
      <c r="AJ193" s="20">
        <f>+(W193*Forudsætninger!$C$12)</f>
        <v>900</v>
      </c>
      <c r="AK193" s="20">
        <f>Forudsætninger!$C$17</f>
        <v>250</v>
      </c>
      <c r="AL193" s="20">
        <f>IF(A193&lt;92,Forudsætninger!$C$20,Forudsætninger!$C$21)</f>
        <v>1.0566762728146013</v>
      </c>
      <c r="AM193" s="20">
        <f t="shared" si="71"/>
        <v>470.33065096088029</v>
      </c>
      <c r="AN193" s="20">
        <f>IFERROR(AD193+AJ193-AA193-Z193-AK193-AM193-Forudsætninger!$C$75,-99999999)</f>
        <v>-0.29362695909927083</v>
      </c>
      <c r="AO193" s="19">
        <f>IFERROR(AN193/(A193+Forudsætninger!$C$74),-99999999)</f>
        <v>-1.5373139219857111E-3</v>
      </c>
      <c r="AP193" s="19">
        <f>IFERROR(((365/(A193+Forudsætninger!$C$74))*AN193)/(AI193+Forudsætninger!$C$73),-9999999)</f>
        <v>-0.19972389644478142</v>
      </c>
      <c r="AQ193" s="18">
        <f t="shared" si="62"/>
        <v>191</v>
      </c>
      <c r="AR193" s="18">
        <f t="shared" si="72"/>
        <v>5044.3658421252785</v>
      </c>
      <c r="AS193" s="52">
        <f t="shared" si="53"/>
        <v>7.6</v>
      </c>
      <c r="AT193" s="50">
        <f t="shared" si="75"/>
        <v>1.9713655469830087</v>
      </c>
      <c r="AU193" s="50">
        <f t="shared" si="76"/>
        <v>1.0383699267921022E-2</v>
      </c>
      <c r="AV193" s="2">
        <f t="shared" si="77"/>
        <v>1.353973274613355</v>
      </c>
      <c r="AW193" s="61">
        <f t="shared" si="73"/>
        <v>2.4609268272344553</v>
      </c>
      <c r="BA193" s="16"/>
      <c r="BB193" s="2"/>
    </row>
    <row r="194" spans="1:54" x14ac:dyDescent="0.25">
      <c r="A194">
        <v>192</v>
      </c>
      <c r="B194" s="1">
        <f>ROUND((A194+Forudsætninger!$C$60)/30.4,1)</f>
        <v>7.6</v>
      </c>
      <c r="C194" s="1">
        <f>VLOOKUP((A194+Forudsætninger!$C$60),'Model tilvækst, slagteform, fe'!A:B,2,FALSE)</f>
        <v>340.47798169592988</v>
      </c>
      <c r="D194" s="3">
        <f t="shared" si="63"/>
        <v>1520.7527545782114</v>
      </c>
      <c r="E194" s="1">
        <f>(1+Forudsætninger!$C$78)*C194</f>
        <v>316.64452297721476</v>
      </c>
      <c r="F194" s="2">
        <f t="shared" si="64"/>
        <v>0.56683347579956589</v>
      </c>
      <c r="G194" s="1">
        <f t="shared" si="54"/>
        <v>317.21135645301433</v>
      </c>
      <c r="H194" s="3">
        <f t="shared" si="55"/>
        <v>1370.849983055507</v>
      </c>
      <c r="I194" s="3">
        <f t="shared" si="56"/>
        <v>1292.7674815261164</v>
      </c>
      <c r="J194" s="1">
        <f>VLOOKUP((A194+Forudsætninger!$C$60),'Model tilvækst, slagteform, fe'!G:K,2,FALSE)*(1+Forudsætninger!$C$79)</f>
        <v>50.080640532439894</v>
      </c>
      <c r="K194" s="17">
        <f t="shared" ref="K194:K257" si="78">G194*(J194/100)</f>
        <v>158.86147915331068</v>
      </c>
      <c r="L194" s="17">
        <f t="shared" si="65"/>
        <v>740.464001295976</v>
      </c>
      <c r="M194" s="3">
        <f>((K194-(('Model tilvækst, slagteform, fe'!$H$9/100)*'Model tilvækst, slagteform, fe'!$B$9))*1000/(A194+Forudsætninger!$C$60))</f>
        <v>599.19729491299472</v>
      </c>
      <c r="N194" s="17">
        <f t="shared" si="66"/>
        <v>958.28783116323473</v>
      </c>
      <c r="O194" s="19">
        <f>IF( A194&lt;Forudsætninger!$C$14,(G194/100)*Forudsætninger!$C$13,(Forudsætninger!$C$15/1000)*Forudsætninger!$C$13)</f>
        <v>2.0618738169445932</v>
      </c>
      <c r="P194" s="17" cm="1">
        <f t="array" ref="P194">INDEX('Model tilvækst, slagteform, fe'!$N$9:$N$375,MATCH(MIN(ABS('Model tilvækst, slagteform, fe'!$M$9:$M$375-'Vækstfunktion, hol'!G194)),ABS('Model tilvækst, slagteform, fe'!$M$9:$M$375-'Vækstfunktion, hol'!G194),0))*(1+Forudsætninger!$C$80)</f>
        <v>7.1583249782624145</v>
      </c>
      <c r="Q194" s="17">
        <f t="shared" si="67"/>
        <v>9.6673504258596772</v>
      </c>
      <c r="R194" s="17">
        <f t="shared" si="68"/>
        <v>7.56094754386951</v>
      </c>
      <c r="S194" s="17">
        <f t="shared" si="57"/>
        <v>3.8607735151902114</v>
      </c>
      <c r="T194" s="19">
        <f>(P194)*IF(N194&lt;Forudsætninger!$B$228,IF(N194&lt;Forudsætninger!$B$227,Forudsætninger!$B$225,Forudsætninger!$C$9),Forudsætninger!$C$11)+O194</f>
        <v>18.812354266078643</v>
      </c>
      <c r="U194" s="2">
        <f>Forudsætninger!$C$68+((K194-(Forudsætninger!$C$84)))*0.01</f>
        <v>3.2856676505217473</v>
      </c>
      <c r="V194" s="2">
        <f>U194+Forudsætninger!$C$69</f>
        <v>2.2856676505217473</v>
      </c>
      <c r="W194">
        <f t="shared" si="58"/>
        <v>1</v>
      </c>
      <c r="X194">
        <f>IF(A194+Forudsætninger!$C$60&gt;248,IF(A194+Forudsætninger!$C$60&lt;365,IF(K194&gt;180,IF(K194&lt;260,1,0),0),0),0)</f>
        <v>0</v>
      </c>
      <c r="Y194" s="22">
        <f>IF(X194=0,0,IF('Vækstfunktion, hol'!A194&lt;Forudsætninger!$C$66,Forudsætninger!$C$67+(('Vækstfunktion, hol'!A194-Forudsætninger!$C$66)/7)*Forudsætninger!$C$64,Forudsætninger!$C$67))</f>
        <v>0</v>
      </c>
      <c r="Z194" s="19">
        <f t="shared" si="69"/>
        <v>2992.8475454304771</v>
      </c>
      <c r="AA194" s="19">
        <f>Forudsætninger!$C$62+Forudsætninger!$C$16</f>
        <v>1350</v>
      </c>
      <c r="AB194" s="19">
        <f>IF(K194&gt;Forudsætninger!$C$26,IF(K194&gt;Forudsætninger!$C$27,IF(K194&gt;Forudsætninger!$C$28,Forudsætninger!$E$28,Forudsætninger!$E$27+Forudsætninger!$F$28*(K194-Forudsætninger!$C$27)),Forudsætninger!$E$26+Forudsætninger!$F$27*(K194-Forudsætninger!$C$26)),Forudsætninger!$E$26)+IF(K194&gt;Forudsætninger!$C$28,Forudsætninger!$G$28,IF(K194&gt;Forudsætninger!$C$27,Forudsætninger!$G$27+Forudsætninger!$H$28*(K194-Forudsætninger!$C$27),IF(K194&gt;Forudsætninger!$C$26,Forudsætninger!$G$26+Forudsætninger!$H$27*(K194-Forudsætninger!$C$26),Forudsætninger!$G$26)))*(U194-Forudsætninger!$H$26)</f>
        <v>33.814250737891314</v>
      </c>
      <c r="AC194" s="19">
        <f>IF(K194&gt;Forudsætninger!$C$31,IF(K194&gt;Forudsætninger!$C$32,IF(K194&gt;Forudsætninger!$C$33,Forudsætninger!$E$33,Forudsætninger!$E$32+Forudsætninger!$F$33*(K194-Forudsætninger!$C$32)),Forudsætninger!$E$31+Forudsætninger!$F$32*(K194-Forudsætninger!$C$31)),Forudsætninger!$E$31)+IF(K194&gt;Forudsætninger!$C$33,Forudsætninger!$G$33,IF(K194&gt;Forudsætninger!$C$32,Forudsætninger!$G$32+Forudsætninger!$H$33*(K194-Forudsætninger!$C$32),IF(K194&gt;Forudsætninger!$C$31,Forudsætninger!$G$31+Forudsætninger!$H$32*(K194-Forudsætninger!$C$31),Forudsætninger!$G$31)))*(V194-Forudsætninger!$H$31)</f>
        <v>27.371367945678273</v>
      </c>
      <c r="AD194" s="19">
        <f t="shared" si="59"/>
        <v>4348.2559982999655</v>
      </c>
      <c r="AE194" s="19">
        <f t="shared" si="60"/>
        <v>27.371367945678276</v>
      </c>
      <c r="AF194">
        <f>IF(G194&lt;=Forudsætninger!$C$97,Forudsætninger!$C$98,(IF(G194&lt;=Forudsætninger!$D$97,Forudsætninger!$D$98,IF(G194&lt;=Forudsætninger!$E$97,Forudsætninger!$E$98,IF(G194&lt;=Forudsætninger!$F$97,Forudsætninger!$F$98,IF(G194&lt;=Forudsætninger!$G$97,Forudsætninger!$G$98,IF(G194&lt;=Forudsætninger!$H$97,Forudsætninger!$H$98,IF(G194&lt;=Forudsætninger!$I$97,Forudsætninger!$I$98,Forudsætninger!$I$98))))))))</f>
        <v>3.8</v>
      </c>
      <c r="AG194" s="1">
        <f t="shared" si="70"/>
        <v>4.4000000000000004</v>
      </c>
      <c r="AH194" s="1">
        <f t="shared" si="74"/>
        <v>519.99999999999852</v>
      </c>
      <c r="AI194" s="1">
        <f t="shared" si="61"/>
        <v>2.7083333333333255</v>
      </c>
      <c r="AJ194" s="20">
        <f>+(W194*Forudsætninger!$C$12)</f>
        <v>900</v>
      </c>
      <c r="AK194" s="20">
        <f>Forudsætninger!$C$17</f>
        <v>250</v>
      </c>
      <c r="AL194" s="20">
        <f>IF(A194&lt;92,Forudsætninger!$C$20,Forudsætninger!$C$21)</f>
        <v>1.0566762728146013</v>
      </c>
      <c r="AM194" s="20">
        <f t="shared" si="71"/>
        <v>471.38732723369492</v>
      </c>
      <c r="AN194" s="20">
        <f>IFERROR(AD194+AJ194-AA194-Z194-AK194-AM194-Forudsætninger!$C$75,-99999999)</f>
        <v>1.6269330863989637</v>
      </c>
      <c r="AO194" s="19">
        <f>IFERROR(AN194/(A194+Forudsætninger!$C$74),-99999999)</f>
        <v>8.4736098249946021E-3</v>
      </c>
      <c r="AP194" s="19">
        <f>IFERROR(((365/(A194+Forudsætninger!$C$74))*AN194)/(AI194+Forudsætninger!$C$73),-9999999)</f>
        <v>1.0974101429176957</v>
      </c>
      <c r="AQ194" s="18">
        <f t="shared" si="62"/>
        <v>192</v>
      </c>
      <c r="AR194" s="18">
        <f t="shared" si="72"/>
        <v>5064.2348726641721</v>
      </c>
      <c r="AS194" s="52">
        <f t="shared" ref="AS194:AS257" si="79">B194</f>
        <v>7.6</v>
      </c>
      <c r="AT194" s="50">
        <f t="shared" si="75"/>
        <v>1.9205600454982346</v>
      </c>
      <c r="AU194" s="50">
        <f t="shared" si="76"/>
        <v>1.0010923746980312E-2</v>
      </c>
      <c r="AV194" s="2">
        <f t="shared" si="77"/>
        <v>1.2971340393624771</v>
      </c>
      <c r="AW194" s="61">
        <f t="shared" si="73"/>
        <v>2.4636159391671555</v>
      </c>
      <c r="BA194" s="16"/>
      <c r="BB194" s="2"/>
    </row>
    <row r="195" spans="1:54" x14ac:dyDescent="0.25">
      <c r="A195">
        <v>193</v>
      </c>
      <c r="B195" s="1">
        <f>ROUND((A195+Forudsætninger!$C$60)/30.4,1)</f>
        <v>7.6</v>
      </c>
      <c r="C195" s="1">
        <f>VLOOKUP((A195+Forudsætninger!$C$60),'Model tilvækst, slagteform, fe'!A:B,2,FALSE)</f>
        <v>341.99564461385449</v>
      </c>
      <c r="D195" s="3">
        <f t="shared" si="63"/>
        <v>1517.6629179246106</v>
      </c>
      <c r="E195" s="1">
        <f>(1+Forudsætninger!$C$78)*C195</f>
        <v>318.05594949088464</v>
      </c>
      <c r="F195" s="2">
        <f t="shared" si="64"/>
        <v>0.52347167814457696</v>
      </c>
      <c r="G195" s="1">
        <f t="shared" ref="G195:G258" si="80">E195+F195</f>
        <v>318.57942116902922</v>
      </c>
      <c r="H195" s="3">
        <f t="shared" ref="H195:H258" si="81">(G195-G194)*1000</f>
        <v>1368.0647160148851</v>
      </c>
      <c r="I195" s="3">
        <f t="shared" ref="I195:I258" si="82">(G195-$G$2)*1000/A195</f>
        <v>1293.1576226374571</v>
      </c>
      <c r="J195" s="1">
        <f>VLOOKUP((A195+Forudsætninger!$C$60),'Model tilvækst, slagteform, fe'!G:K,2,FALSE)*(1+Forudsætninger!$C$79)</f>
        <v>50.097553009680539</v>
      </c>
      <c r="K195" s="17">
        <f t="shared" si="78"/>
        <v>159.60049439808785</v>
      </c>
      <c r="L195" s="17">
        <f t="shared" si="65"/>
        <v>739.01524477716407</v>
      </c>
      <c r="M195" s="3">
        <f>((K195-(('Model tilvækst, slagteform, fe'!$H$9/100)*'Model tilvækst, slagteform, fe'!$B$9))*1000/(A195+Forudsætninger!$C$60))</f>
        <v>599.79995848999556</v>
      </c>
      <c r="N195" s="17">
        <f t="shared" si="66"/>
        <v>965.45874153053296</v>
      </c>
      <c r="O195" s="19">
        <f>IF( A195&lt;Forudsætninger!$C$14,(G195/100)*Forudsætninger!$C$13,(Forudsætninger!$C$15/1000)*Forudsætninger!$C$13)</f>
        <v>2.0707662375986899</v>
      </c>
      <c r="P195" s="17" cm="1">
        <f t="array" ref="P195">INDEX('Model tilvækst, slagteform, fe'!$N$9:$N$375,MATCH(MIN(ABS('Model tilvækst, slagteform, fe'!$M$9:$M$375-'Vækstfunktion, hol'!G195)),ABS('Model tilvækst, slagteform, fe'!$M$9:$M$375-'Vækstfunktion, hol'!G195),0))*(1+Forudsætninger!$C$80)</f>
        <v>7.1709103672981787</v>
      </c>
      <c r="Q195" s="17">
        <f t="shared" si="67"/>
        <v>9.7033321274183315</v>
      </c>
      <c r="R195" s="17">
        <f t="shared" si="68"/>
        <v>7.5733671013401205</v>
      </c>
      <c r="S195" s="17">
        <f t="shared" ref="S195:S258" si="83">N195/(G195-$G$2)</f>
        <v>3.8683427383889555</v>
      </c>
      <c r="T195" s="19">
        <f>(P195)*IF(N195&lt;Forudsætninger!$B$228,IF(N195&lt;Forudsætninger!$B$227,Forudsætninger!$B$225,Forudsætninger!$C$9),Forudsætninger!$C$11)+O195</f>
        <v>18.850696497076427</v>
      </c>
      <c r="U195" s="2">
        <f>Forudsætninger!$C$68+((K195-(Forudsætninger!$C$84)))*0.01</f>
        <v>3.2930578029695186</v>
      </c>
      <c r="V195" s="2">
        <f>U195+Forudsætninger!$C$69</f>
        <v>2.2930578029695186</v>
      </c>
      <c r="W195">
        <f t="shared" ref="W195:W258" si="84">IF(K195&gt;130,1,0)</f>
        <v>1</v>
      </c>
      <c r="X195">
        <f>IF(A195+Forudsætninger!$C$60&gt;248,IF(A195+Forudsætninger!$C$60&lt;365,IF(K195&gt;180,IF(K195&lt;260,1,0),0),0),0)</f>
        <v>0</v>
      </c>
      <c r="Y195" s="22">
        <f>IF(X195=0,0,IF('Vækstfunktion, hol'!A195&lt;Forudsætninger!$C$66,Forudsætninger!$C$67+(('Vækstfunktion, hol'!A195-Forudsætninger!$C$66)/7)*Forudsætninger!$C$64,Forudsætninger!$C$67))</f>
        <v>0</v>
      </c>
      <c r="Z195" s="19">
        <f t="shared" si="69"/>
        <v>3011.6982419275537</v>
      </c>
      <c r="AA195" s="19">
        <f>Forudsætninger!$C$62+Forudsætninger!$C$16</f>
        <v>1350</v>
      </c>
      <c r="AB195" s="19">
        <f>IF(K195&gt;Forudsætninger!$C$26,IF(K195&gt;Forudsætninger!$C$27,IF(K195&gt;Forudsætninger!$C$28,Forudsætninger!$E$28,Forudsætninger!$E$27+Forudsætninger!$F$28*(K195-Forudsætninger!$C$27)),Forudsætninger!$E$26+Forudsætninger!$F$27*(K195-Forudsætninger!$C$26)),Forudsætninger!$E$26)+IF(K195&gt;Forudsætninger!$C$28,Forudsætninger!$G$28,IF(K195&gt;Forudsætninger!$C$27,Forudsætninger!$G$27+Forudsætninger!$H$28*(K195-Forudsætninger!$C$27),IF(K195&gt;Forudsætninger!$C$26,Forudsætninger!$G$26+Forudsætninger!$H$27*(K195-Forudsætninger!$C$26),Forudsætninger!$G$26)))*(U195-Forudsætninger!$H$26)</f>
        <v>33.819793352227137</v>
      </c>
      <c r="AC195" s="19">
        <f>IF(K195&gt;Forudsætninger!$C$31,IF(K195&gt;Forudsætninger!$C$32,IF(K195&gt;Forudsætninger!$C$33,Forudsætninger!$E$33,Forudsætninger!$E$32+Forudsætninger!$F$33*(K195-Forudsætninger!$C$32)),Forudsætninger!$E$31+Forudsætninger!$F$32*(K195-Forudsætninger!$C$31)),Forudsætninger!$E$31)+IF(K195&gt;Forudsætninger!$C$33,Forudsætninger!$G$33,IF(K195&gt;Forudsætninger!$C$32,Forudsætninger!$G$32+Forudsætninger!$H$33*(K195-Forudsætninger!$C$32),IF(K195&gt;Forudsætninger!$C$31,Forudsætninger!$G$31+Forudsætninger!$H$32*(K195-Forudsætninger!$C$31),Forudsætninger!$G$31)))*(V195-Forudsætninger!$H$31)</f>
        <v>27.380975143860375</v>
      </c>
      <c r="AD195" s="19">
        <f t="shared" ref="AD195:AD258" si="85">(K195*(Y195*AB195+((1-Y195)*AC195)))</f>
        <v>4370.0171700618703</v>
      </c>
      <c r="AE195" s="19">
        <f t="shared" ref="AE195:AE258" si="86">AD195/K195</f>
        <v>27.380975143860375</v>
      </c>
      <c r="AF195">
        <f>IF(G195&lt;=Forudsætninger!$C$97,Forudsætninger!$C$98,(IF(G195&lt;=Forudsætninger!$D$97,Forudsætninger!$D$98,IF(G195&lt;=Forudsætninger!$E$97,Forudsætninger!$E$98,IF(G195&lt;=Forudsætninger!$F$97,Forudsætninger!$F$98,IF(G195&lt;=Forudsætninger!$G$97,Forudsætninger!$G$98,IF(G195&lt;=Forudsætninger!$H$97,Forudsætninger!$H$98,IF(G195&lt;=Forudsætninger!$I$97,Forudsætninger!$I$98,Forudsætninger!$I$98))))))))</f>
        <v>3.8</v>
      </c>
      <c r="AG195" s="1">
        <f t="shared" si="70"/>
        <v>4.4000000000000004</v>
      </c>
      <c r="AH195" s="1">
        <f t="shared" si="74"/>
        <v>524.3999999999985</v>
      </c>
      <c r="AI195" s="1">
        <f t="shared" ref="AI195:AI258" si="87">AH195/A195</f>
        <v>2.7170984455958473</v>
      </c>
      <c r="AJ195" s="20">
        <f>+(W195*Forudsætninger!$C$12)</f>
        <v>900</v>
      </c>
      <c r="AK195" s="20">
        <f>Forudsætninger!$C$17</f>
        <v>250</v>
      </c>
      <c r="AL195" s="20">
        <f>IF(A195&lt;92,Forudsætninger!$C$20,Forudsætninger!$C$21)</f>
        <v>1.0566762728146013</v>
      </c>
      <c r="AM195" s="20">
        <f t="shared" si="71"/>
        <v>472.44400350650955</v>
      </c>
      <c r="AN195" s="20">
        <f>IFERROR(AD195+AJ195-AA195-Z195-AK195-AM195-Forudsætninger!$C$75,-99999999)</f>
        <v>3.4807320784125011</v>
      </c>
      <c r="AO195" s="19">
        <f>IFERROR(AN195/(A195+Forudsætninger!$C$74),-99999999)</f>
        <v>1.8034881235297933E-2</v>
      </c>
      <c r="AP195" s="19">
        <f>IFERROR(((365/(A195+Forudsætninger!$C$74))*AN195)/(AI195+Forudsætninger!$C$73),-9999999)</f>
        <v>2.3284409006479967</v>
      </c>
      <c r="AQ195" s="18">
        <f t="shared" ref="AQ195:AQ258" si="88">A195</f>
        <v>193</v>
      </c>
      <c r="AR195" s="18">
        <f t="shared" si="72"/>
        <v>5084.1422454340636</v>
      </c>
      <c r="AS195" s="52">
        <f t="shared" si="79"/>
        <v>7.6</v>
      </c>
      <c r="AT195" s="50">
        <f t="shared" si="75"/>
        <v>1.8537989920135374</v>
      </c>
      <c r="AU195" s="50">
        <f t="shared" si="76"/>
        <v>9.5612714103033309E-3</v>
      </c>
      <c r="AV195" s="2">
        <f t="shared" si="77"/>
        <v>1.231030757730301</v>
      </c>
      <c r="AW195" s="61">
        <f t="shared" si="73"/>
        <v>2.4659312724607361</v>
      </c>
      <c r="BA195" s="16"/>
      <c r="BB195" s="2"/>
    </row>
    <row r="196" spans="1:54" x14ac:dyDescent="0.25">
      <c r="A196">
        <v>194</v>
      </c>
      <c r="B196" s="1">
        <f>ROUND((A196+Forudsætninger!$C$60)/30.4,1)</f>
        <v>7.7</v>
      </c>
      <c r="C196" s="1">
        <f>VLOOKUP((A196+Forudsætninger!$C$60),'Model tilvækst, slagteform, fe'!A:B,2,FALSE)</f>
        <v>343.51018148359935</v>
      </c>
      <c r="D196" s="3">
        <f t="shared" ref="D196:D259" si="89">(C196-C195)*1000</f>
        <v>1514.5368697448589</v>
      </c>
      <c r="E196" s="1">
        <f>(1+Forudsætninger!$C$78)*C196</f>
        <v>319.46446877974739</v>
      </c>
      <c r="F196" s="2">
        <f t="shared" ref="F196:F259" si="90">MAX(F195-((D196/1000)/35),0)</f>
        <v>0.48019919615186668</v>
      </c>
      <c r="G196" s="1">
        <f t="shared" si="80"/>
        <v>319.94466797589928</v>
      </c>
      <c r="H196" s="3">
        <f t="shared" si="81"/>
        <v>1365.2468068700614</v>
      </c>
      <c r="I196" s="3">
        <f t="shared" si="82"/>
        <v>1293.5292163706147</v>
      </c>
      <c r="J196" s="1">
        <f>VLOOKUP((A196+Forudsætninger!$C$60),'Model tilvækst, slagteform, fe'!G:K,2,FALSE)*(1+Forudsætninger!$C$79)</f>
        <v>50.114297006798843</v>
      </c>
      <c r="K196" s="17">
        <f t="shared" si="78"/>
        <v>160.3380211668586</v>
      </c>
      <c r="L196" s="17">
        <f t="shared" ref="L196:L259" si="91">(K196-K195)*1000</f>
        <v>737.52676877074919</v>
      </c>
      <c r="M196" s="3">
        <f>((K196-(('Model tilvækst, slagteform, fe'!$H$9/100)*'Model tilvækst, slagteform, fe'!$B$9))*1000/(A196+Forudsætninger!$C$60))</f>
        <v>600.39106068004173</v>
      </c>
      <c r="N196" s="17">
        <f t="shared" ref="N196:N259" si="92">N195+P196</f>
        <v>972.63594700501892</v>
      </c>
      <c r="O196" s="19">
        <f>IF( A196&lt;Forudsætninger!$C$14,(G196/100)*Forudsætninger!$C$13,(Forudsætninger!$C$15/1000)*Forudsætninger!$C$13)</f>
        <v>2.0796403418433451</v>
      </c>
      <c r="P196" s="17" cm="1">
        <f t="array" ref="P196">INDEX('Model tilvækst, slagteform, fe'!$N$9:$N$375,MATCH(MIN(ABS('Model tilvækst, slagteform, fe'!$M$9:$M$375-'Vækstfunktion, hol'!G196)),ABS('Model tilvækst, slagteform, fe'!$M$9:$M$375-'Vækstfunktion, hol'!G196),0))*(1+Forudsætninger!$C$80)</f>
        <v>7.1772054744859526</v>
      </c>
      <c r="Q196" s="17">
        <f t="shared" ref="Q196:Q259" si="93">P196/(L196/1000)</f>
        <v>9.7314508142509144</v>
      </c>
      <c r="R196" s="17">
        <f t="shared" ref="R196:R259" si="94">N196/(K196-$K$2)</f>
        <v>7.5857806525233951</v>
      </c>
      <c r="S196" s="17">
        <f t="shared" si="83"/>
        <v>3.8758980409913746</v>
      </c>
      <c r="T196" s="19">
        <f>(P196)*IF(N196&lt;Forudsætninger!$B$228,IF(N196&lt;Forudsætninger!$B$227,Forudsætninger!$B$225,Forudsætninger!$C$9),Forudsætninger!$C$11)+O196</f>
        <v>18.874301152140472</v>
      </c>
      <c r="U196" s="2">
        <f>Forudsætninger!$C$68+((K196-(Forudsætninger!$C$84)))*0.01</f>
        <v>3.3004330706572262</v>
      </c>
      <c r="V196" s="2">
        <f>U196+Forudsætninger!$C$69</f>
        <v>2.3004330706572262</v>
      </c>
      <c r="W196">
        <f t="shared" si="84"/>
        <v>1</v>
      </c>
      <c r="X196">
        <f>IF(A196+Forudsætninger!$C$60&gt;248,IF(A196+Forudsætninger!$C$60&lt;365,IF(K196&gt;180,IF(K196&lt;260,1,0),0),0),0)</f>
        <v>0</v>
      </c>
      <c r="Y196" s="22">
        <f>IF(X196=0,0,IF('Vækstfunktion, hol'!A196&lt;Forudsætninger!$C$66,Forudsætninger!$C$67+(('Vækstfunktion, hol'!A196-Forudsætninger!$C$66)/7)*Forudsætninger!$C$64,Forudsætninger!$C$67))</f>
        <v>0</v>
      </c>
      <c r="Z196" s="19">
        <f t="shared" ref="Z196:Z259" si="95">Z195+T196</f>
        <v>3030.5725430796942</v>
      </c>
      <c r="AA196" s="19">
        <f>Forudsætninger!$C$62+Forudsætninger!$C$16</f>
        <v>1350</v>
      </c>
      <c r="AB196" s="19">
        <f>IF(K196&gt;Forudsætninger!$C$26,IF(K196&gt;Forudsætninger!$C$27,IF(K196&gt;Forudsætninger!$C$28,Forudsætninger!$E$28,Forudsætninger!$E$27+Forudsætninger!$F$28*(K196-Forudsætninger!$C$27)),Forudsætninger!$E$26+Forudsætninger!$F$27*(K196-Forudsætninger!$C$26)),Forudsætninger!$E$26)+IF(K196&gt;Forudsætninger!$C$28,Forudsætninger!$G$28,IF(K196&gt;Forudsætninger!$C$27,Forudsætninger!$G$27+Forudsætninger!$H$28*(K196-Forudsætninger!$C$27),IF(K196&gt;Forudsætninger!$C$26,Forudsætninger!$G$26+Forudsætninger!$H$27*(K196-Forudsætninger!$C$26),Forudsætninger!$G$26)))*(U196-Forudsætninger!$H$26)</f>
        <v>33.825324802992924</v>
      </c>
      <c r="AC196" s="19">
        <f>IF(K196&gt;Forudsætninger!$C$31,IF(K196&gt;Forudsætninger!$C$32,IF(K196&gt;Forudsætninger!$C$33,Forudsætninger!$E$33,Forudsætninger!$E$32+Forudsætninger!$F$33*(K196-Forudsætninger!$C$32)),Forudsætninger!$E$31+Forudsætninger!$F$32*(K196-Forudsætninger!$C$31)),Forudsætninger!$E$31)+IF(K196&gt;Forudsætninger!$C$33,Forudsætninger!$G$33,IF(K196&gt;Forudsætninger!$C$32,Forudsætninger!$G$32+Forudsætninger!$H$33*(K196-Forudsætninger!$C$32),IF(K196&gt;Forudsætninger!$C$31,Forudsætninger!$G$31+Forudsætninger!$H$32*(K196-Forudsætninger!$C$31),Forudsætninger!$G$31)))*(V196-Forudsætninger!$H$31)</f>
        <v>27.390562991854395</v>
      </c>
      <c r="AD196" s="19">
        <f t="shared" si="85"/>
        <v>4391.748668760124</v>
      </c>
      <c r="AE196" s="19">
        <f t="shared" si="86"/>
        <v>27.390562991854399</v>
      </c>
      <c r="AF196">
        <f>IF(G196&lt;=Forudsætninger!$C$97,Forudsætninger!$C$98,(IF(G196&lt;=Forudsætninger!$D$97,Forudsætninger!$D$98,IF(G196&lt;=Forudsætninger!$E$97,Forudsætninger!$E$98,IF(G196&lt;=Forudsætninger!$F$97,Forudsætninger!$F$98,IF(G196&lt;=Forudsætninger!$G$97,Forudsætninger!$G$98,IF(G196&lt;=Forudsætninger!$H$97,Forudsætninger!$H$98,IF(G196&lt;=Forudsætninger!$I$97,Forudsætninger!$I$98,Forudsætninger!$I$98))))))))</f>
        <v>3.8</v>
      </c>
      <c r="AG196" s="1">
        <f t="shared" ref="AG196:AG259" si="96">IF(AF196&lt;=3.2,IF(AF196&lt;=2.2,2.2,3.2),4.4)</f>
        <v>4.4000000000000004</v>
      </c>
      <c r="AH196" s="1">
        <f t="shared" si="74"/>
        <v>528.79999999999848</v>
      </c>
      <c r="AI196" s="1">
        <f t="shared" si="87"/>
        <v>2.7257731958762808</v>
      </c>
      <c r="AJ196" s="20">
        <f>+(W196*Forudsætninger!$C$12)</f>
        <v>900</v>
      </c>
      <c r="AK196" s="20">
        <f>Forudsætninger!$C$17</f>
        <v>250</v>
      </c>
      <c r="AL196" s="20">
        <f>IF(A196&lt;92,Forudsætninger!$C$20,Forudsætninger!$C$21)</f>
        <v>1.0566762728146013</v>
      </c>
      <c r="AM196" s="20">
        <f t="shared" ref="AM196:AM259" si="97">AL196+AM195</f>
        <v>473.50067977932417</v>
      </c>
      <c r="AN196" s="20">
        <f>IFERROR(AD196+AJ196-AA196-Z196-AK196-AM196-Forudsætninger!$C$75,-99999999)</f>
        <v>5.281253351711058</v>
      </c>
      <c r="AO196" s="19">
        <f>IFERROR(AN196/(A196+Forudsætninger!$C$74),-99999999)</f>
        <v>2.722295542119102E-2</v>
      </c>
      <c r="AP196" s="19">
        <f>IFERROR(((365/(A196+Forudsætninger!$C$74))*AN196)/(AI196+Forudsætninger!$C$73),-9999999)</f>
        <v>3.503939857808088</v>
      </c>
      <c r="AQ196" s="18">
        <f t="shared" si="88"/>
        <v>194</v>
      </c>
      <c r="AR196" s="18">
        <f t="shared" ref="AR196:AR259" si="98">AA196+Z196+AK196+AM196</f>
        <v>5104.0732228590177</v>
      </c>
      <c r="AS196" s="52">
        <f t="shared" si="79"/>
        <v>7.7</v>
      </c>
      <c r="AT196" s="50">
        <f t="shared" si="75"/>
        <v>1.8005212732985569</v>
      </c>
      <c r="AU196" s="50">
        <f t="shared" si="76"/>
        <v>9.1880741858930866E-3</v>
      </c>
      <c r="AV196" s="2">
        <f t="shared" si="77"/>
        <v>1.1754989571600913</v>
      </c>
      <c r="AW196" s="61">
        <f t="shared" ref="AW196:AW259" si="99">((AN196+AM196)/A196)</f>
        <v>2.4679481089228616</v>
      </c>
      <c r="BA196" s="16"/>
      <c r="BB196" s="2"/>
    </row>
    <row r="197" spans="1:54" x14ac:dyDescent="0.25">
      <c r="A197">
        <v>195</v>
      </c>
      <c r="B197" s="1">
        <f>ROUND((A197+Forudsætninger!$C$60)/30.4,1)</f>
        <v>7.7</v>
      </c>
      <c r="C197" s="1">
        <f>VLOOKUP((A197+Forudsætninger!$C$60),'Model tilvækst, slagteform, fe'!A:B,2,FALSE)</f>
        <v>345.02155662798623</v>
      </c>
      <c r="D197" s="3">
        <f t="shared" si="89"/>
        <v>1511.375144386875</v>
      </c>
      <c r="E197" s="1">
        <f>(1+Forudsætninger!$C$78)*C197</f>
        <v>320.8700476640272</v>
      </c>
      <c r="F197" s="2">
        <f t="shared" si="90"/>
        <v>0.43701704916938455</v>
      </c>
      <c r="G197" s="1">
        <f t="shared" si="80"/>
        <v>321.30706471319661</v>
      </c>
      <c r="H197" s="3">
        <f t="shared" si="81"/>
        <v>1362.3967372973311</v>
      </c>
      <c r="I197" s="3">
        <f t="shared" si="82"/>
        <v>1293.882383144598</v>
      </c>
      <c r="J197" s="1">
        <f>VLOOKUP((A197+Forudsætninger!$C$60),'Model tilvækst, slagteform, fe'!G:K,2,FALSE)*(1+Forudsætninger!$C$79)</f>
        <v>50.130867764049974</v>
      </c>
      <c r="K197" s="17">
        <f t="shared" si="78"/>
        <v>161.07401972792306</v>
      </c>
      <c r="L197" s="17">
        <f t="shared" si="91"/>
        <v>735.99856106446282</v>
      </c>
      <c r="M197" s="3">
        <f>((K197-(('Model tilvækst, slagteform, fe'!$H$9/100)*'Model tilvækst, slagteform, fe'!$B$9))*1000/(A197+Forudsætninger!$C$60))</f>
        <v>600.97057991245356</v>
      </c>
      <c r="N197" s="17">
        <f t="shared" si="92"/>
        <v>979.81945142238374</v>
      </c>
      <c r="O197" s="19">
        <f>IF( A197&lt;Forudsætninger!$C$14,(G197/100)*Forudsætninger!$C$13,(Forudsætninger!$C$15/1000)*Forudsætninger!$C$13)</f>
        <v>2.0884959206357778</v>
      </c>
      <c r="P197" s="17" cm="1">
        <f t="array" ref="P197">INDEX('Model tilvækst, slagteform, fe'!$N$9:$N$375,MATCH(MIN(ABS('Model tilvækst, slagteform, fe'!$M$9:$M$375-'Vækstfunktion, hol'!G197)),ABS('Model tilvækst, slagteform, fe'!$M$9:$M$375-'Vækstfunktion, hol'!G197),0))*(1+Forudsætninger!$C$80)</f>
        <v>7.1835044173648628</v>
      </c>
      <c r="Q197" s="17">
        <f t="shared" si="93"/>
        <v>9.7602153012031394</v>
      </c>
      <c r="R197" s="17">
        <f t="shared" si="94"/>
        <v>7.5981911011288066</v>
      </c>
      <c r="S197" s="17">
        <f t="shared" si="83"/>
        <v>3.8834404123252262</v>
      </c>
      <c r="T197" s="19">
        <f>(P197)*IF(N197&lt;Forudsætninger!$B$228,IF(N197&lt;Forudsætninger!$B$227,Forudsætninger!$B$225,Forudsætninger!$C$9),Forudsætninger!$C$11)+O197</f>
        <v>18.897896257269558</v>
      </c>
      <c r="U197" s="2">
        <f>Forudsætninger!$C$68+((K197-(Forudsætninger!$C$84)))*0.01</f>
        <v>3.307793056267871</v>
      </c>
      <c r="V197" s="2">
        <f>U197+Forudsætninger!$C$69</f>
        <v>2.307793056267871</v>
      </c>
      <c r="W197">
        <f t="shared" si="84"/>
        <v>1</v>
      </c>
      <c r="X197">
        <f>IF(A197+Forudsætninger!$C$60&gt;248,IF(A197+Forudsætninger!$C$60&lt;365,IF(K197&gt;180,IF(K197&lt;260,1,0),0),0),0)</f>
        <v>0</v>
      </c>
      <c r="Y197" s="22">
        <f>IF(X197=0,0,IF('Vækstfunktion, hol'!A197&lt;Forudsætninger!$C$66,Forudsætninger!$C$67+(('Vækstfunktion, hol'!A197-Forudsætninger!$C$66)/7)*Forudsætninger!$C$64,Forudsætninger!$C$67))</f>
        <v>0</v>
      </c>
      <c r="Z197" s="19">
        <f t="shared" si="95"/>
        <v>3049.4704393369639</v>
      </c>
      <c r="AA197" s="19">
        <f>Forudsætninger!$C$62+Forudsætninger!$C$16</f>
        <v>1350</v>
      </c>
      <c r="AB197" s="19">
        <f>IF(K197&gt;Forudsætninger!$C$26,IF(K197&gt;Forudsætninger!$C$27,IF(K197&gt;Forudsætninger!$C$28,Forudsætninger!$E$28,Forudsætninger!$E$27+Forudsætninger!$F$28*(K197-Forudsætninger!$C$27)),Forudsætninger!$E$26+Forudsætninger!$F$27*(K197-Forudsætninger!$C$26)),Forudsætninger!$E$26)+IF(K197&gt;Forudsætninger!$C$28,Forudsætninger!$G$28,IF(K197&gt;Forudsætninger!$C$27,Forudsætninger!$G$27+Forudsætninger!$H$28*(K197-Forudsætninger!$C$27),IF(K197&gt;Forudsætninger!$C$26,Forudsætninger!$G$26+Forudsætninger!$H$27*(K197-Forudsætninger!$C$26),Forudsætninger!$G$26)))*(U197-Forudsætninger!$H$26)</f>
        <v>33.830844792200907</v>
      </c>
      <c r="AC197" s="19">
        <f>IF(K197&gt;Forudsætninger!$C$31,IF(K197&gt;Forudsætninger!$C$32,IF(K197&gt;Forudsætninger!$C$33,Forudsætninger!$E$33,Forudsætninger!$E$32+Forudsætninger!$F$33*(K197-Forudsætninger!$C$32)),Forudsætninger!$E$31+Forudsætninger!$F$32*(K197-Forudsætninger!$C$31)),Forudsætninger!$E$31)+IF(K197&gt;Forudsætninger!$C$33,Forudsætninger!$G$33,IF(K197&gt;Forudsætninger!$C$32,Forudsætninger!$G$32+Forudsætninger!$H$33*(K197-Forudsætninger!$C$32),IF(K197&gt;Forudsætninger!$C$31,Forudsætninger!$G$31+Forudsætninger!$H$32*(K197-Forudsætninger!$C$31),Forudsætninger!$G$31)))*(V197-Forudsætninger!$H$31)</f>
        <v>27.400130973148233</v>
      </c>
      <c r="AD197" s="19">
        <f t="shared" si="85"/>
        <v>4413.4492369165537</v>
      </c>
      <c r="AE197" s="19">
        <f t="shared" si="86"/>
        <v>27.400130973148229</v>
      </c>
      <c r="AF197">
        <f>IF(G197&lt;=Forudsætninger!$C$97,Forudsætninger!$C$98,(IF(G197&lt;=Forudsætninger!$D$97,Forudsætninger!$D$98,IF(G197&lt;=Forudsætninger!$E$97,Forudsætninger!$E$98,IF(G197&lt;=Forudsætninger!$F$97,Forudsætninger!$F$98,IF(G197&lt;=Forudsætninger!$G$97,Forudsætninger!$G$98,IF(G197&lt;=Forudsætninger!$H$97,Forudsætninger!$H$98,IF(G197&lt;=Forudsætninger!$I$97,Forudsætninger!$I$98,Forudsætninger!$I$98))))))))</f>
        <v>3.8</v>
      </c>
      <c r="AG197" s="1">
        <f t="shared" si="96"/>
        <v>4.4000000000000004</v>
      </c>
      <c r="AH197" s="1">
        <f t="shared" ref="AH197:AH260" si="100">AH196+AG197</f>
        <v>533.19999999999845</v>
      </c>
      <c r="AI197" s="1">
        <f t="shared" si="87"/>
        <v>2.7343589743589662</v>
      </c>
      <c r="AJ197" s="20">
        <f>+(W197*Forudsætninger!$C$12)</f>
        <v>900</v>
      </c>
      <c r="AK197" s="20">
        <f>Forudsætninger!$C$17</f>
        <v>250</v>
      </c>
      <c r="AL197" s="20">
        <f>IF(A197&lt;92,Forudsætninger!$C$20,Forudsætninger!$C$21)</f>
        <v>1.0566762728146013</v>
      </c>
      <c r="AM197" s="20">
        <f t="shared" si="97"/>
        <v>474.5573560521388</v>
      </c>
      <c r="AN197" s="20">
        <f>IFERROR(AD197+AJ197-AA197-Z197-AK197-AM197-Forudsætninger!$C$75,-99999999)</f>
        <v>7.0272489780564626</v>
      </c>
      <c r="AO197" s="19">
        <f>IFERROR(AN197/(A197+Forudsætninger!$C$74),-99999999)</f>
        <v>3.6037174246443399E-2</v>
      </c>
      <c r="AP197" s="19">
        <f>IFERROR(((365/(A197+Forudsætninger!$C$74))*AN197)/(AI197+Forudsætninger!$C$73),-9999999)</f>
        <v>4.6244404164619421</v>
      </c>
      <c r="AQ197" s="18">
        <f t="shared" si="88"/>
        <v>195</v>
      </c>
      <c r="AR197" s="18">
        <f t="shared" si="98"/>
        <v>5124.0277953891027</v>
      </c>
      <c r="AS197" s="52">
        <f t="shared" si="79"/>
        <v>7.7</v>
      </c>
      <c r="AT197" s="50">
        <f t="shared" ref="AT197:AT260" si="101">AN197-AN196</f>
        <v>1.7459956263454046</v>
      </c>
      <c r="AU197" s="50">
        <f t="shared" ref="AU197:AU260" si="102">AO197-AO196</f>
        <v>8.814218825252379E-3</v>
      </c>
      <c r="AV197" s="2">
        <f t="shared" ref="AV197:AV260" si="103">AP197-AP196</f>
        <v>1.1205005586538541</v>
      </c>
      <c r="AW197" s="61">
        <f t="shared" si="99"/>
        <v>2.4696646411804886</v>
      </c>
      <c r="BA197" s="16"/>
      <c r="BB197" s="2"/>
    </row>
    <row r="198" spans="1:54" x14ac:dyDescent="0.25">
      <c r="A198">
        <v>196</v>
      </c>
      <c r="B198" s="1">
        <f>ROUND((A198+Forudsætninger!$C$60)/30.4,1)</f>
        <v>7.7</v>
      </c>
      <c r="C198" s="1">
        <f>VLOOKUP((A198+Forudsætninger!$C$60),'Model tilvækst, slagteform, fe'!A:B,2,FALSE)</f>
        <v>346.52973490418401</v>
      </c>
      <c r="D198" s="3">
        <f t="shared" si="89"/>
        <v>1508.178276197782</v>
      </c>
      <c r="E198" s="1">
        <f>(1+Forudsætninger!$C$78)*C198</f>
        <v>322.27265346089109</v>
      </c>
      <c r="F198" s="2">
        <f t="shared" si="90"/>
        <v>0.39392624127801934</v>
      </c>
      <c r="G198" s="1">
        <f t="shared" si="80"/>
        <v>322.66657970216909</v>
      </c>
      <c r="H198" s="3">
        <f t="shared" si="81"/>
        <v>1359.514988972478</v>
      </c>
      <c r="I198" s="3">
        <f t="shared" si="82"/>
        <v>1294.2172433784137</v>
      </c>
      <c r="J198" s="1">
        <f>VLOOKUP((A198+Forudsætninger!$C$60),'Model tilvækst, slagteform, fe'!G:K,2,FALSE)*(1+Forudsætninger!$C$79)</f>
        <v>50.14726052168907</v>
      </c>
      <c r="K198" s="17">
        <f t="shared" si="78"/>
        <v>161.80845033967026</v>
      </c>
      <c r="L198" s="17">
        <f t="shared" si="91"/>
        <v>734.43061174720015</v>
      </c>
      <c r="M198" s="3">
        <f>((K198-(('Model tilvækst, slagteform, fe'!$H$9/100)*'Model tilvækst, slagteform, fe'!$B$9))*1000/(A198+Forudsætninger!$C$60))</f>
        <v>601.53849494153758</v>
      </c>
      <c r="N198" s="17">
        <f t="shared" si="92"/>
        <v>987.0092602887521</v>
      </c>
      <c r="O198" s="19">
        <f>IF( A198&lt;Forudsætninger!$C$14,(G198/100)*Forudsætninger!$C$13,(Forudsætninger!$C$15/1000)*Forudsætninger!$C$13)</f>
        <v>2.0973327680640992</v>
      </c>
      <c r="P198" s="17" cm="1">
        <f t="array" ref="P198">INDEX('Model tilvækst, slagteform, fe'!$N$9:$N$375,MATCH(MIN(ABS('Model tilvækst, slagteform, fe'!$M$9:$M$375-'Vækstfunktion, hol'!G198)),ABS('Model tilvækst, slagteform, fe'!$M$9:$M$375-'Vækstfunktion, hol'!G198),0))*(1+Forudsætninger!$C$80)</f>
        <v>7.1898088663683124</v>
      </c>
      <c r="Q198" s="17">
        <f t="shared" si="93"/>
        <v>9.7896366945596913</v>
      </c>
      <c r="R198" s="17">
        <f t="shared" si="94"/>
        <v>7.6106013133364767</v>
      </c>
      <c r="S198" s="17">
        <f t="shared" si="83"/>
        <v>3.8909708225955644</v>
      </c>
      <c r="T198" s="19">
        <f>(P198)*IF(N198&lt;Forudsætninger!$B$228,IF(N198&lt;Forudsætninger!$B$227,Forudsætninger!$B$225,Forudsætninger!$C$9),Forudsætninger!$C$11)+O198</f>
        <v>18.921485515365948</v>
      </c>
      <c r="U198" s="2">
        <f>Forudsætninger!$C$68+((K198-(Forudsætninger!$C$84)))*0.01</f>
        <v>3.3151373623853431</v>
      </c>
      <c r="V198" s="2">
        <f>U198+Forudsætninger!$C$69</f>
        <v>2.3151373623853431</v>
      </c>
      <c r="W198">
        <f t="shared" si="84"/>
        <v>1</v>
      </c>
      <c r="X198">
        <f>IF(A198+Forudsætninger!$C$60&gt;248,IF(A198+Forudsætninger!$C$60&lt;365,IF(K198&gt;180,IF(K198&lt;260,1,0),0),0),0)</f>
        <v>0</v>
      </c>
      <c r="Y198" s="22">
        <f>IF(X198=0,0,IF('Vækstfunktion, hol'!A198&lt;Forudsætninger!$C$66,Forudsætninger!$C$67+(('Vækstfunktion, hol'!A198-Forudsætninger!$C$66)/7)*Forudsætninger!$C$64,Forudsætninger!$C$67))</f>
        <v>0</v>
      </c>
      <c r="Z198" s="19">
        <f t="shared" si="95"/>
        <v>3068.3919248523298</v>
      </c>
      <c r="AA198" s="19">
        <f>Forudsætninger!$C$62+Forudsætninger!$C$16</f>
        <v>1350</v>
      </c>
      <c r="AB198" s="19">
        <f>IF(K198&gt;Forudsætninger!$C$26,IF(K198&gt;Forudsætninger!$C$27,IF(K198&gt;Forudsætninger!$C$28,Forudsætninger!$E$28,Forudsætninger!$E$27+Forudsætninger!$F$28*(K198-Forudsætninger!$C$27)),Forudsætninger!$E$26+Forudsætninger!$F$27*(K198-Forudsætninger!$C$26)),Forudsætninger!$E$26)+IF(K198&gt;Forudsætninger!$C$28,Forudsætninger!$G$28,IF(K198&gt;Forudsætninger!$C$27,Forudsætninger!$G$27+Forudsætninger!$H$28*(K198-Forudsætninger!$C$27),IF(K198&gt;Forudsætninger!$C$26,Forudsætninger!$G$26+Forudsætninger!$H$27*(K198-Forudsætninger!$C$26),Forudsætninger!$G$26)))*(U198-Forudsætninger!$H$26)</f>
        <v>33.836353021789009</v>
      </c>
      <c r="AC198" s="19">
        <f>IF(K198&gt;Forudsætninger!$C$31,IF(K198&gt;Forudsætninger!$C$32,IF(K198&gt;Forudsætninger!$C$33,Forudsætninger!$E$33,Forudsætninger!$E$32+Forudsætninger!$F$33*(K198-Forudsætninger!$C$32)),Forudsætninger!$E$31+Forudsætninger!$F$32*(K198-Forudsætninger!$C$31)),Forudsætninger!$E$31)+IF(K198&gt;Forudsætninger!$C$33,Forudsætninger!$G$33,IF(K198&gt;Forudsætninger!$C$32,Forudsætninger!$G$32+Forudsætninger!$H$33*(K198-Forudsætninger!$C$32),IF(K198&gt;Forudsætninger!$C$31,Forudsætninger!$G$31+Forudsætninger!$H$32*(K198-Forudsætninger!$C$31),Forudsætninger!$G$31)))*(V198-Forudsætninger!$H$31)</f>
        <v>27.409678571100947</v>
      </c>
      <c r="AD198" s="19">
        <f t="shared" si="85"/>
        <v>4435.1176138983119</v>
      </c>
      <c r="AE198" s="19">
        <f t="shared" si="86"/>
        <v>27.409678571100947</v>
      </c>
      <c r="AF198">
        <f>IF(G198&lt;=Forudsætninger!$C$97,Forudsætninger!$C$98,(IF(G198&lt;=Forudsætninger!$D$97,Forudsætninger!$D$98,IF(G198&lt;=Forudsætninger!$E$97,Forudsætninger!$E$98,IF(G198&lt;=Forudsætninger!$F$97,Forudsætninger!$F$98,IF(G198&lt;=Forudsætninger!$G$97,Forudsætninger!$G$98,IF(G198&lt;=Forudsætninger!$H$97,Forudsætninger!$H$98,IF(G198&lt;=Forudsætninger!$I$97,Forudsætninger!$I$98,Forudsætninger!$I$98))))))))</f>
        <v>3.8</v>
      </c>
      <c r="AG198" s="1">
        <f t="shared" si="96"/>
        <v>4.4000000000000004</v>
      </c>
      <c r="AH198" s="1">
        <f t="shared" si="100"/>
        <v>537.59999999999843</v>
      </c>
      <c r="AI198" s="1">
        <f t="shared" si="87"/>
        <v>2.7428571428571349</v>
      </c>
      <c r="AJ198" s="20">
        <f>+(W198*Forudsætninger!$C$12)</f>
        <v>900</v>
      </c>
      <c r="AK198" s="20">
        <f>Forudsætninger!$C$17</f>
        <v>250</v>
      </c>
      <c r="AL198" s="20">
        <f>IF(A198&lt;92,Forudsætninger!$C$20,Forudsætninger!$C$21)</f>
        <v>1.0566762728146013</v>
      </c>
      <c r="AM198" s="20">
        <f t="shared" si="97"/>
        <v>475.61403232495343</v>
      </c>
      <c r="AN198" s="20">
        <f>IFERROR(AD198+AJ198-AA198-Z198-AK198-AM198-Forudsætninger!$C$75,-99999999)</f>
        <v>8.7174641716341341</v>
      </c>
      <c r="AO198" s="19">
        <f>IFERROR(AN198/(A198+Forudsætninger!$C$74),-99999999)</f>
        <v>4.4476858018541503E-2</v>
      </c>
      <c r="AP198" s="19">
        <f>IFERROR(((365/(A198+Forudsætninger!$C$74))*AN198)/(AI198+Forudsætninger!$C$73),-9999999)</f>
        <v>5.6904542933086564</v>
      </c>
      <c r="AQ198" s="18">
        <f t="shared" si="88"/>
        <v>196</v>
      </c>
      <c r="AR198" s="18">
        <f t="shared" si="98"/>
        <v>5144.0059571772836</v>
      </c>
      <c r="AS198" s="52">
        <f t="shared" si="79"/>
        <v>7.7</v>
      </c>
      <c r="AT198" s="50">
        <f t="shared" si="101"/>
        <v>1.6902151935776715</v>
      </c>
      <c r="AU198" s="50">
        <f t="shared" si="102"/>
        <v>8.4396837720981041E-3</v>
      </c>
      <c r="AV198" s="2">
        <f t="shared" si="103"/>
        <v>1.0660138768467142</v>
      </c>
      <c r="AW198" s="61">
        <f t="shared" si="99"/>
        <v>2.4710790637580997</v>
      </c>
      <c r="BA198" s="16"/>
      <c r="BB198" s="2"/>
    </row>
    <row r="199" spans="1:54" x14ac:dyDescent="0.25">
      <c r="A199">
        <v>197</v>
      </c>
      <c r="B199" s="1">
        <f>ROUND((A199+Forudsætninger!$C$60)/30.4,1)</f>
        <v>7.8</v>
      </c>
      <c r="C199" s="1">
        <f>VLOOKUP((A199+Forudsætninger!$C$60),'Model tilvækst, slagteform, fe'!A:B,2,FALSE)</f>
        <v>348.03468170370917</v>
      </c>
      <c r="D199" s="3">
        <f t="shared" si="89"/>
        <v>1504.9467995251575</v>
      </c>
      <c r="E199" s="1">
        <f>(1+Forudsætninger!$C$78)*C199</f>
        <v>323.67225398444953</v>
      </c>
      <c r="F199" s="2">
        <f t="shared" si="90"/>
        <v>0.35092776129158626</v>
      </c>
      <c r="G199" s="1">
        <f t="shared" si="80"/>
        <v>324.02318174574111</v>
      </c>
      <c r="H199" s="3">
        <f t="shared" si="81"/>
        <v>1356.6020435720247</v>
      </c>
      <c r="I199" s="3">
        <f t="shared" si="82"/>
        <v>1294.5339174910716</v>
      </c>
      <c r="J199" s="1">
        <f>VLOOKUP((A199+Forudsætninger!$C$60),'Model tilvækst, slagteform, fe'!G:K,2,FALSE)*(1+Forudsætninger!$C$79)</f>
        <v>50.163470519971284</v>
      </c>
      <c r="K199" s="17">
        <f t="shared" si="78"/>
        <v>162.54127325289784</v>
      </c>
      <c r="L199" s="17">
        <f t="shared" si="91"/>
        <v>732.82291322757942</v>
      </c>
      <c r="M199" s="3">
        <f>((K199-(('Model tilvækst, slagteform, fe'!$H$9/100)*'Model tilvækst, slagteform, fe'!$B$9))*1000/(A199+Forudsætninger!$C$60))</f>
        <v>602.09478484952956</v>
      </c>
      <c r="N199" s="17">
        <f t="shared" si="92"/>
        <v>994.20538078068182</v>
      </c>
      <c r="O199" s="19">
        <f>IF( A199&lt;Forudsætninger!$C$14,(G199/100)*Forudsætninger!$C$13,(Forudsætninger!$C$15/1000)*Forudsætninger!$C$13)</f>
        <v>2.1061506813473172</v>
      </c>
      <c r="P199" s="17" cm="1">
        <f t="array" ref="P199">INDEX('Model tilvækst, slagteform, fe'!$N$9:$N$375,MATCH(MIN(ABS('Model tilvækst, slagteform, fe'!$M$9:$M$375-'Vækstfunktion, hol'!G199)),ABS('Model tilvækst, slagteform, fe'!$M$9:$M$375-'Vækstfunktion, hol'!G199),0))*(1+Forudsætninger!$C$80)</f>
        <v>7.1961204919297117</v>
      </c>
      <c r="Q199" s="17">
        <f t="shared" si="93"/>
        <v>9.8197263786905413</v>
      </c>
      <c r="R199" s="17">
        <f t="shared" si="94"/>
        <v>7.6230141190603042</v>
      </c>
      <c r="S199" s="17">
        <f t="shared" si="83"/>
        <v>3.8984902234178365</v>
      </c>
      <c r="T199" s="19">
        <f>(P199)*IF(N199&lt;Forudsætninger!$B$228,IF(N199&lt;Forudsætninger!$B$227,Forudsætninger!$B$225,Forudsætninger!$C$9),Forudsætninger!$C$11)+O199</f>
        <v>18.945072632462839</v>
      </c>
      <c r="U199" s="2">
        <f>Forudsætninger!$C$68+((K199-(Forudsætninger!$C$84)))*0.01</f>
        <v>3.3224655915176187</v>
      </c>
      <c r="V199" s="2">
        <f>U199+Forudsætninger!$C$69</f>
        <v>2.3224655915176187</v>
      </c>
      <c r="W199">
        <f t="shared" si="84"/>
        <v>1</v>
      </c>
      <c r="X199">
        <f>IF(A199+Forudsætninger!$C$60&gt;248,IF(A199+Forudsætninger!$C$60&lt;365,IF(K199&gt;180,IF(K199&lt;260,1,0),0),0),0)</f>
        <v>0</v>
      </c>
      <c r="Y199" s="22">
        <f>IF(X199=0,0,IF('Vækstfunktion, hol'!A199&lt;Forudsætninger!$C$66,Forudsætninger!$C$67+(('Vækstfunktion, hol'!A199-Forudsætninger!$C$66)/7)*Forudsætninger!$C$64,Forudsætninger!$C$67))</f>
        <v>0</v>
      </c>
      <c r="Z199" s="19">
        <f t="shared" si="95"/>
        <v>3087.3369974847928</v>
      </c>
      <c r="AA199" s="19">
        <f>Forudsætninger!$C$62+Forudsætninger!$C$16</f>
        <v>1350</v>
      </c>
      <c r="AB199" s="19">
        <f>IF(K199&gt;Forudsætninger!$C$26,IF(K199&gt;Forudsætninger!$C$27,IF(K199&gt;Forudsætninger!$C$28,Forudsætninger!$E$28,Forudsætninger!$E$27+Forudsætninger!$F$28*(K199-Forudsætninger!$C$27)),Forudsætninger!$E$26+Forudsætninger!$F$27*(K199-Forudsætninger!$C$26)),Forudsætninger!$E$26)+IF(K199&gt;Forudsætninger!$C$28,Forudsætninger!$G$28,IF(K199&gt;Forudsætninger!$C$27,Forudsætninger!$G$27+Forudsætninger!$H$28*(K199-Forudsætninger!$C$27),IF(K199&gt;Forudsætninger!$C$26,Forudsætninger!$G$26+Forudsætninger!$H$27*(K199-Forudsætninger!$C$26),Forudsætninger!$G$26)))*(U199-Forudsætninger!$H$26)</f>
        <v>33.841849193638218</v>
      </c>
      <c r="AC199" s="19">
        <f>IF(K199&gt;Forudsætninger!$C$31,IF(K199&gt;Forudsætninger!$C$32,IF(K199&gt;Forudsætninger!$C$33,Forudsætninger!$E$33,Forudsætninger!$E$32+Forudsætninger!$F$33*(K199-Forudsætninger!$C$32)),Forudsætninger!$E$31+Forudsætninger!$F$32*(K199-Forudsætninger!$C$31)),Forudsætninger!$E$31)+IF(K199&gt;Forudsætninger!$C$33,Forudsætninger!$G$33,IF(K199&gt;Forudsætninger!$C$32,Forudsætninger!$G$32+Forudsætninger!$H$33*(K199-Forudsætninger!$C$32),IF(K199&gt;Forudsætninger!$C$31,Forudsætninger!$G$31+Forudsætninger!$H$32*(K199-Forudsætninger!$C$31),Forudsætninger!$G$31)))*(V199-Forudsætninger!$H$31)</f>
        <v>27.419205268972906</v>
      </c>
      <c r="AD199" s="19">
        <f t="shared" si="85"/>
        <v>4456.7525360014215</v>
      </c>
      <c r="AE199" s="19">
        <f t="shared" si="86"/>
        <v>27.419205268972906</v>
      </c>
      <c r="AF199">
        <f>IF(G199&lt;=Forudsætninger!$C$97,Forudsætninger!$C$98,(IF(G199&lt;=Forudsætninger!$D$97,Forudsætninger!$D$98,IF(G199&lt;=Forudsætninger!$E$97,Forudsætninger!$E$98,IF(G199&lt;=Forudsætninger!$F$97,Forudsætninger!$F$98,IF(G199&lt;=Forudsætninger!$G$97,Forudsætninger!$G$98,IF(G199&lt;=Forudsætninger!$H$97,Forudsætninger!$H$98,IF(G199&lt;=Forudsætninger!$I$97,Forudsætninger!$I$98,Forudsætninger!$I$98))))))))</f>
        <v>3.8</v>
      </c>
      <c r="AG199" s="1">
        <f t="shared" si="96"/>
        <v>4.4000000000000004</v>
      </c>
      <c r="AH199" s="1">
        <f t="shared" si="100"/>
        <v>541.99999999999841</v>
      </c>
      <c r="AI199" s="1">
        <f t="shared" si="87"/>
        <v>2.751269035532987</v>
      </c>
      <c r="AJ199" s="20">
        <f>+(W199*Forudsætninger!$C$12)</f>
        <v>900</v>
      </c>
      <c r="AK199" s="20">
        <f>Forudsætninger!$C$17</f>
        <v>250</v>
      </c>
      <c r="AL199" s="20">
        <f>IF(A199&lt;92,Forudsætninger!$C$20,Forudsætninger!$C$21)</f>
        <v>1.0566762728146013</v>
      </c>
      <c r="AM199" s="20">
        <f t="shared" si="97"/>
        <v>476.67070859776805</v>
      </c>
      <c r="AN199" s="20">
        <f>IFERROR(AD199+AJ199-AA199-Z199-AK199-AM199-Forudsætninger!$C$75,-99999999)</f>
        <v>10.350637369466057</v>
      </c>
      <c r="AO199" s="19">
        <f>IFERROR(AN199/(A199+Forudsætninger!$C$74),-99999999)</f>
        <v>5.2541306443990132E-2</v>
      </c>
      <c r="AP199" s="19">
        <f>IFERROR(((365/(A199+Forudsætninger!$C$74))*AN199)/(AI199+Forudsætninger!$C$73),-9999999)</f>
        <v>6.7024724392909345</v>
      </c>
      <c r="AQ199" s="18">
        <f t="shared" si="88"/>
        <v>197</v>
      </c>
      <c r="AR199" s="18">
        <f t="shared" si="98"/>
        <v>5164.0077060825606</v>
      </c>
      <c r="AS199" s="52">
        <f t="shared" si="79"/>
        <v>7.8</v>
      </c>
      <c r="AT199" s="50">
        <f t="shared" si="101"/>
        <v>1.6331731978319226</v>
      </c>
      <c r="AU199" s="50">
        <f t="shared" si="102"/>
        <v>8.0644484254486296E-3</v>
      </c>
      <c r="AV199" s="2">
        <f t="shared" si="103"/>
        <v>1.0120181459822781</v>
      </c>
      <c r="AW199" s="61">
        <f t="shared" si="99"/>
        <v>2.4721895734377366</v>
      </c>
      <c r="BA199" s="16"/>
      <c r="BB199" s="2"/>
    </row>
    <row r="200" spans="1:54" x14ac:dyDescent="0.25">
      <c r="A200">
        <v>198</v>
      </c>
      <c r="B200" s="1">
        <f>ROUND((A200+Forudsætninger!$C$60)/30.4,1)</f>
        <v>7.8</v>
      </c>
      <c r="C200" s="1">
        <f>VLOOKUP((A200+Forudsætninger!$C$60),'Model tilvækst, slagteform, fe'!A:B,2,FALSE)</f>
        <v>349.53636295242541</v>
      </c>
      <c r="D200" s="3">
        <f t="shared" si="89"/>
        <v>1501.6812487162383</v>
      </c>
      <c r="E200" s="1">
        <f>(1+Forudsætninger!$C$78)*C200</f>
        <v>325.06881754575562</v>
      </c>
      <c r="F200" s="2">
        <f t="shared" si="90"/>
        <v>0.30802258275683658</v>
      </c>
      <c r="G200" s="1">
        <f t="shared" si="80"/>
        <v>325.37684012851247</v>
      </c>
      <c r="H200" s="3">
        <f t="shared" si="81"/>
        <v>1353.6583827713571</v>
      </c>
      <c r="I200" s="3">
        <f t="shared" si="82"/>
        <v>1294.832525901578</v>
      </c>
      <c r="J200" s="1">
        <f>VLOOKUP((A200+Forudsætninger!$C$60),'Model tilvækst, slagteform, fe'!G:K,2,FALSE)*(1+Forudsætninger!$C$79)</f>
        <v>50.179492999151783</v>
      </c>
      <c r="K200" s="17">
        <f t="shared" si="78"/>
        <v>163.27244871314821</v>
      </c>
      <c r="L200" s="17">
        <f t="shared" si="91"/>
        <v>731.17546025036972</v>
      </c>
      <c r="M200" s="3">
        <f>((K200-(('Model tilvækst, slagteform, fe'!$H$9/100)*'Model tilvækst, slagteform, fe'!$B$9))*1000/(A200+Forudsætninger!$C$60))</f>
        <v>602.63942904953296</v>
      </c>
      <c r="N200" s="17">
        <f t="shared" si="92"/>
        <v>1001.4078217451643</v>
      </c>
      <c r="O200" s="19">
        <f>IF( A200&lt;Forudsætninger!$C$14,(G200/100)*Forudsætninger!$C$13,(Forudsætninger!$C$15/1000)*Forudsætninger!$C$13)</f>
        <v>2.114949460835331</v>
      </c>
      <c r="P200" s="17" cm="1">
        <f t="array" ref="P200">INDEX('Model tilvækst, slagteform, fe'!$N$9:$N$375,MATCH(MIN(ABS('Model tilvækst, slagteform, fe'!$M$9:$M$375-'Vækstfunktion, hol'!G200)),ABS('Model tilvækst, slagteform, fe'!$M$9:$M$375-'Vækstfunktion, hol'!G200),0))*(1+Forudsætninger!$C$80)</f>
        <v>7.2024409644824638</v>
      </c>
      <c r="Q200" s="17">
        <f t="shared" si="93"/>
        <v>9.8504960246015347</v>
      </c>
      <c r="R200" s="17">
        <f t="shared" si="94"/>
        <v>7.6354323131770991</v>
      </c>
      <c r="S200" s="17">
        <f t="shared" si="83"/>
        <v>3.9059995483335959</v>
      </c>
      <c r="T200" s="19">
        <f>(P200)*IF(N200&lt;Forudsætninger!$B$228,IF(N200&lt;Forudsætninger!$B$227,Forudsætninger!$B$225,Forudsætninger!$C$9),Forudsætninger!$C$11)+O200</f>
        <v>18.968661317724294</v>
      </c>
      <c r="U200" s="2">
        <f>Forudsætninger!$C$68+((K200-(Forudsætninger!$C$84)))*0.01</f>
        <v>3.3297773461201223</v>
      </c>
      <c r="V200" s="2">
        <f>U200+Forudsætninger!$C$69</f>
        <v>2.3297773461201223</v>
      </c>
      <c r="W200">
        <f t="shared" si="84"/>
        <v>1</v>
      </c>
      <c r="X200">
        <f>IF(A200+Forudsætninger!$C$60&gt;248,IF(A200+Forudsætninger!$C$60&lt;365,IF(K200&gt;180,IF(K200&lt;260,1,0),0),0),0)</f>
        <v>0</v>
      </c>
      <c r="Y200" s="22">
        <f>IF(X200=0,0,IF('Vækstfunktion, hol'!A200&lt;Forudsætninger!$C$66,Forudsætninger!$C$67+(('Vækstfunktion, hol'!A200-Forudsætninger!$C$66)/7)*Forudsætninger!$C$64,Forudsætninger!$C$67))</f>
        <v>0</v>
      </c>
      <c r="Z200" s="19">
        <f t="shared" si="95"/>
        <v>3106.305658802517</v>
      </c>
      <c r="AA200" s="19">
        <f>Forudsætninger!$C$62+Forudsætninger!$C$16</f>
        <v>1350</v>
      </c>
      <c r="AB200" s="19">
        <f>IF(K200&gt;Forudsætninger!$C$26,IF(K200&gt;Forudsætninger!$C$27,IF(K200&gt;Forudsætninger!$C$28,Forudsætninger!$E$28,Forudsætninger!$E$27+Forudsætninger!$F$28*(K200-Forudsætninger!$C$27)),Forudsætninger!$E$26+Forudsætninger!$F$27*(K200-Forudsætninger!$C$26)),Forudsætninger!$E$26)+IF(K200&gt;Forudsætninger!$C$28,Forudsætninger!$G$28,IF(K200&gt;Forudsætninger!$C$27,Forudsætninger!$G$27+Forudsætninger!$H$28*(K200-Forudsætninger!$C$27),IF(K200&gt;Forudsætninger!$C$26,Forudsætninger!$G$26+Forudsætninger!$H$27*(K200-Forudsætninger!$C$26),Forudsætninger!$G$26)))*(U200-Forudsætninger!$H$26)</f>
        <v>33.847333009590095</v>
      </c>
      <c r="AC200" s="19">
        <f>IF(K200&gt;Forudsætninger!$C$31,IF(K200&gt;Forudsætninger!$C$32,IF(K200&gt;Forudsætninger!$C$33,Forudsætninger!$E$33,Forudsætninger!$E$32+Forudsætninger!$F$33*(K200-Forudsætninger!$C$32)),Forudsætninger!$E$31+Forudsætninger!$F$32*(K200-Forudsætninger!$C$31)),Forudsætninger!$E$31)+IF(K200&gt;Forudsætninger!$C$33,Forudsætninger!$G$33,IF(K200&gt;Forudsætninger!$C$32,Forudsætninger!$G$32+Forudsætninger!$H$33*(K200-Forudsætninger!$C$32),IF(K200&gt;Forudsætninger!$C$31,Forudsætninger!$G$31+Forudsætninger!$H$32*(K200-Forudsætninger!$C$31),Forudsætninger!$G$31)))*(V200-Forudsætninger!$H$31)</f>
        <v>27.428710549956158</v>
      </c>
      <c r="AD200" s="19">
        <f t="shared" si="85"/>
        <v>4478.3527365355039</v>
      </c>
      <c r="AE200" s="19">
        <f t="shared" si="86"/>
        <v>27.428710549956158</v>
      </c>
      <c r="AF200">
        <f>IF(G200&lt;=Forudsætninger!$C$97,Forudsætninger!$C$98,(IF(G200&lt;=Forudsætninger!$D$97,Forudsætninger!$D$98,IF(G200&lt;=Forudsætninger!$E$97,Forudsætninger!$E$98,IF(G200&lt;=Forudsætninger!$F$97,Forudsætninger!$F$98,IF(G200&lt;=Forudsætninger!$G$97,Forudsætninger!$G$98,IF(G200&lt;=Forudsætninger!$H$97,Forudsætninger!$H$98,IF(G200&lt;=Forudsætninger!$I$97,Forudsætninger!$I$98,Forudsætninger!$I$98))))))))</f>
        <v>3.8</v>
      </c>
      <c r="AG200" s="1">
        <f t="shared" si="96"/>
        <v>4.4000000000000004</v>
      </c>
      <c r="AH200" s="1">
        <f t="shared" si="100"/>
        <v>546.39999999999839</v>
      </c>
      <c r="AI200" s="1">
        <f t="shared" si="87"/>
        <v>2.7595959595959516</v>
      </c>
      <c r="AJ200" s="20">
        <f>+(W200*Forudsætninger!$C$12)</f>
        <v>900</v>
      </c>
      <c r="AK200" s="20">
        <f>Forudsætninger!$C$17</f>
        <v>250</v>
      </c>
      <c r="AL200" s="20">
        <f>IF(A200&lt;92,Forudsætninger!$C$20,Forudsætninger!$C$21)</f>
        <v>1.0566762728146013</v>
      </c>
      <c r="AM200" s="20">
        <f t="shared" si="97"/>
        <v>477.72738487058268</v>
      </c>
      <c r="AN200" s="20">
        <f>IFERROR(AD200+AJ200-AA200-Z200-AK200-AM200-Forudsætninger!$C$75,-99999999)</f>
        <v>11.925500313009735</v>
      </c>
      <c r="AO200" s="19">
        <f>IFERROR(AN200/(A200+Forudsætninger!$C$74),-99999999)</f>
        <v>6.0229799560655224E-2</v>
      </c>
      <c r="AP200" s="19">
        <f>IFERROR(((365/(A200+Forudsætninger!$C$74))*AN200)/(AI200+Forudsætninger!$C$73),-9999999)</f>
        <v>7.6609659161684078</v>
      </c>
      <c r="AQ200" s="18">
        <f t="shared" si="88"/>
        <v>198</v>
      </c>
      <c r="AR200" s="18">
        <f t="shared" si="98"/>
        <v>5184.0330436731001</v>
      </c>
      <c r="AS200" s="52">
        <f t="shared" si="79"/>
        <v>7.8</v>
      </c>
      <c r="AT200" s="50">
        <f t="shared" si="101"/>
        <v>1.5748629435436783</v>
      </c>
      <c r="AU200" s="50">
        <f t="shared" si="102"/>
        <v>7.6884931166650919E-3</v>
      </c>
      <c r="AV200" s="2">
        <f t="shared" si="103"/>
        <v>0.95849347687747333</v>
      </c>
      <c r="AW200" s="61">
        <f t="shared" si="99"/>
        <v>2.4729943696141028</v>
      </c>
      <c r="BA200" s="16"/>
      <c r="BB200" s="2"/>
    </row>
    <row r="201" spans="1:54" x14ac:dyDescent="0.25">
      <c r="A201">
        <v>199</v>
      </c>
      <c r="B201" s="1">
        <f>ROUND((A201+Forudsætninger!$C$60)/30.4,1)</f>
        <v>7.8</v>
      </c>
      <c r="C201" s="1">
        <f>VLOOKUP((A201+Forudsætninger!$C$60),'Model tilvækst, slagteform, fe'!A:B,2,FALSE)</f>
        <v>351.03474511054412</v>
      </c>
      <c r="D201" s="3">
        <f t="shared" si="89"/>
        <v>1498.3821581187158</v>
      </c>
      <c r="E201" s="1">
        <f>(1+Forudsætninger!$C$78)*C201</f>
        <v>326.46231295280603</v>
      </c>
      <c r="F201" s="2">
        <f t="shared" si="90"/>
        <v>0.2652116639534447</v>
      </c>
      <c r="G201" s="1">
        <f t="shared" si="80"/>
        <v>326.72752461675947</v>
      </c>
      <c r="H201" s="3">
        <f t="shared" si="81"/>
        <v>1350.6844882469977</v>
      </c>
      <c r="I201" s="3">
        <f t="shared" si="82"/>
        <v>1295.1131890289421</v>
      </c>
      <c r="J201" s="1">
        <f>VLOOKUP((A201+Forudsætninger!$C$60),'Model tilvækst, slagteform, fe'!G:K,2,FALSE)*(1+Forudsætninger!$C$79)</f>
        <v>50.195323199485706</v>
      </c>
      <c r="K201" s="17">
        <f t="shared" si="78"/>
        <v>164.00193696306164</v>
      </c>
      <c r="L201" s="17">
        <f t="shared" si="91"/>
        <v>729.48824991343031</v>
      </c>
      <c r="M201" s="3">
        <f>((K201-(('Model tilvækst, slagteform, fe'!$H$9/100)*'Model tilvækst, slagteform, fe'!$B$9))*1000/(A201+Forudsætninger!$C$60))</f>
        <v>603.17240728845684</v>
      </c>
      <c r="N201" s="17">
        <f t="shared" si="92"/>
        <v>1008.6229368774599</v>
      </c>
      <c r="O201" s="19">
        <f>IF( A201&lt;Forudsætninger!$C$14,(G201/100)*Forudsætninger!$C$13,(Forudsætninger!$C$15/1000)*Forudsætninger!$C$13)</f>
        <v>2.1237289100089365</v>
      </c>
      <c r="P201" s="17" cm="1">
        <f t="array" ref="P201">INDEX('Model tilvækst, slagteform, fe'!$N$9:$N$375,MATCH(MIN(ABS('Model tilvækst, slagteform, fe'!$M$9:$M$375-'Vækstfunktion, hol'!G201)),ABS('Model tilvækst, slagteform, fe'!$M$9:$M$375-'Vækstfunktion, hol'!G201),0))*(1+Forudsætninger!$C$80)</f>
        <v>7.2151151322956517</v>
      </c>
      <c r="Q201" s="17">
        <f t="shared" si="93"/>
        <v>9.8906529791972417</v>
      </c>
      <c r="R201" s="17">
        <f t="shared" si="94"/>
        <v>7.647906754015632</v>
      </c>
      <c r="S201" s="17">
        <f t="shared" si="83"/>
        <v>3.9135243252628178</v>
      </c>
      <c r="T201" s="19">
        <f>(P201)*IF(N201&lt;Forudsætninger!$B$228,IF(N201&lt;Forudsætninger!$B$227,Forudsætninger!$B$225,Forudsætninger!$C$9),Forudsætninger!$C$11)+O201</f>
        <v>19.007098319580759</v>
      </c>
      <c r="U201" s="2">
        <f>Forudsætninger!$C$68+((K201-(Forudsætninger!$C$84)))*0.01</f>
        <v>3.3370722286192569</v>
      </c>
      <c r="V201" s="2">
        <f>U201+Forudsætninger!$C$69</f>
        <v>2.3370722286192569</v>
      </c>
      <c r="W201">
        <f t="shared" si="84"/>
        <v>1</v>
      </c>
      <c r="X201">
        <f>IF(A201+Forudsætninger!$C$60&gt;248,IF(A201+Forudsætninger!$C$60&lt;365,IF(K201&gt;180,IF(K201&lt;260,1,0),0),0),0)</f>
        <v>0</v>
      </c>
      <c r="Y201" s="22">
        <f>IF(X201=0,0,IF('Vækstfunktion, hol'!A201&lt;Forudsætninger!$C$66,Forudsætninger!$C$67+(('Vækstfunktion, hol'!A201-Forudsætninger!$C$66)/7)*Forudsætninger!$C$64,Forudsætninger!$C$67))</f>
        <v>0</v>
      </c>
      <c r="Z201" s="19">
        <f t="shared" si="95"/>
        <v>3125.3127571220975</v>
      </c>
      <c r="AA201" s="19">
        <f>Forudsætninger!$C$62+Forudsætninger!$C$16</f>
        <v>1350</v>
      </c>
      <c r="AB201" s="19">
        <f>IF(K201&gt;Forudsætninger!$C$26,IF(K201&gt;Forudsætninger!$C$27,IF(K201&gt;Forudsætninger!$C$28,Forudsætninger!$E$28,Forudsætninger!$E$27+Forudsætninger!$F$28*(K201-Forudsætninger!$C$27)),Forudsætninger!$E$26+Forudsætninger!$F$27*(K201-Forudsætninger!$C$26)),Forudsætninger!$E$26)+IF(K201&gt;Forudsætninger!$C$28,Forudsætninger!$G$28,IF(K201&gt;Forudsætninger!$C$27,Forudsætninger!$G$27+Forudsætninger!$H$28*(K201-Forudsætninger!$C$27),IF(K201&gt;Forudsætninger!$C$26,Forudsætninger!$G$26+Forudsætninger!$H$27*(K201-Forudsætninger!$C$26),Forudsætninger!$G$26)))*(U201-Forudsætninger!$H$26)</f>
        <v>33.852804171464442</v>
      </c>
      <c r="AC201" s="19">
        <f>IF(K201&gt;Forudsætninger!$C$31,IF(K201&gt;Forudsætninger!$C$32,IF(K201&gt;Forudsætninger!$C$33,Forudsætninger!$E$33,Forudsætninger!$E$32+Forudsætninger!$F$33*(K201-Forudsætninger!$C$32)),Forudsætninger!$E$31+Forudsætninger!$F$32*(K201-Forudsætninger!$C$31)),Forudsætninger!$E$31)+IF(K201&gt;Forudsætninger!$C$33,Forudsætninger!$G$33,IF(K201&gt;Forudsætninger!$C$32,Forudsætninger!$G$32+Forudsætninger!$H$33*(K201-Forudsætninger!$C$32),IF(K201&gt;Forudsætninger!$C$31,Forudsætninger!$G$31+Forudsætninger!$H$32*(K201-Forudsætninger!$C$31),Forudsætninger!$G$31)))*(V201-Forudsætninger!$H$31)</f>
        <v>27.438193897205036</v>
      </c>
      <c r="AD201" s="19">
        <f t="shared" si="85"/>
        <v>4499.9169459096829</v>
      </c>
      <c r="AE201" s="19">
        <f t="shared" si="86"/>
        <v>27.438193897205036</v>
      </c>
      <c r="AF201">
        <f>IF(G201&lt;=Forudsætninger!$C$97,Forudsætninger!$C$98,(IF(G201&lt;=Forudsætninger!$D$97,Forudsætninger!$D$98,IF(G201&lt;=Forudsætninger!$E$97,Forudsætninger!$E$98,IF(G201&lt;=Forudsætninger!$F$97,Forudsætninger!$F$98,IF(G201&lt;=Forudsætninger!$G$97,Forudsætninger!$G$98,IF(G201&lt;=Forudsætninger!$H$97,Forudsætninger!$H$98,IF(G201&lt;=Forudsætninger!$I$97,Forudsætninger!$I$98,Forudsætninger!$I$98))))))))</f>
        <v>3.8</v>
      </c>
      <c r="AG201" s="1">
        <f t="shared" si="96"/>
        <v>4.4000000000000004</v>
      </c>
      <c r="AH201" s="1">
        <f t="shared" si="100"/>
        <v>550.79999999999836</v>
      </c>
      <c r="AI201" s="1">
        <f t="shared" si="87"/>
        <v>2.7678391959798914</v>
      </c>
      <c r="AJ201" s="20">
        <f>+(W201*Forudsætninger!$C$12)</f>
        <v>900</v>
      </c>
      <c r="AK201" s="20">
        <f>Forudsætninger!$C$17</f>
        <v>250</v>
      </c>
      <c r="AL201" s="20">
        <f>IF(A201&lt;92,Forudsætninger!$C$20,Forudsætninger!$C$21)</f>
        <v>1.0566762728146013</v>
      </c>
      <c r="AM201" s="20">
        <f t="shared" si="97"/>
        <v>478.78406114339731</v>
      </c>
      <c r="AN201" s="20">
        <f>IFERROR(AD201+AJ201-AA201-Z201-AK201-AM201-Forudsætninger!$C$75,-99999999)</f>
        <v>13.425935094793516</v>
      </c>
      <c r="AO201" s="19">
        <f>IFERROR(AN201/(A201+Forudsætninger!$C$74),-99999999)</f>
        <v>6.7467010526600577E-2</v>
      </c>
      <c r="AP201" s="19">
        <f>IFERROR(((365/(A201+Forudsætninger!$C$74))*AN201)/(AI201+Forudsætninger!$C$73),-9999999)</f>
        <v>8.5569266262718884</v>
      </c>
      <c r="AQ201" s="18">
        <f t="shared" si="88"/>
        <v>199</v>
      </c>
      <c r="AR201" s="18">
        <f t="shared" si="98"/>
        <v>5204.0968182654951</v>
      </c>
      <c r="AS201" s="52">
        <f t="shared" si="79"/>
        <v>7.8</v>
      </c>
      <c r="AT201" s="50">
        <f t="shared" si="101"/>
        <v>1.5004347817837811</v>
      </c>
      <c r="AU201" s="50">
        <f t="shared" si="102"/>
        <v>7.2372109659453523E-3</v>
      </c>
      <c r="AV201" s="2">
        <f t="shared" si="103"/>
        <v>0.89596071010348055</v>
      </c>
      <c r="AW201" s="61">
        <f t="shared" si="99"/>
        <v>2.473417066523572</v>
      </c>
      <c r="BA201" s="16"/>
      <c r="BB201" s="2"/>
    </row>
    <row r="202" spans="1:54" x14ac:dyDescent="0.25">
      <c r="A202">
        <v>200</v>
      </c>
      <c r="B202" s="1">
        <f>ROUND((A202+Forudsætninger!$C$60)/30.4,1)</f>
        <v>7.9</v>
      </c>
      <c r="C202" s="1">
        <f>VLOOKUP((A202+Forudsætninger!$C$60),'Model tilvækst, slagteform, fe'!A:B,2,FALSE)</f>
        <v>352.52979517262384</v>
      </c>
      <c r="D202" s="3">
        <f t="shared" si="89"/>
        <v>1495.0500620797129</v>
      </c>
      <c r="E202" s="1">
        <f>(1+Forudsætninger!$C$78)*C202</f>
        <v>327.85270951054014</v>
      </c>
      <c r="F202" s="2">
        <f t="shared" si="90"/>
        <v>0.22249594789402433</v>
      </c>
      <c r="G202" s="1">
        <f t="shared" si="80"/>
        <v>328.07520545843414</v>
      </c>
      <c r="H202" s="3">
        <f t="shared" si="81"/>
        <v>1347.6808416746735</v>
      </c>
      <c r="I202" s="3">
        <f t="shared" si="82"/>
        <v>1295.3760272921709</v>
      </c>
      <c r="J202" s="1">
        <f>VLOOKUP((A202+Forudsætninger!$C$60),'Model tilvækst, slagteform, fe'!G:K,2,FALSE)*(1+Forudsætninger!$C$79)</f>
        <v>50.210956361228234</v>
      </c>
      <c r="K202" s="17">
        <f t="shared" si="78"/>
        <v>164.72969824474424</v>
      </c>
      <c r="L202" s="17">
        <f t="shared" si="91"/>
        <v>727.76128168260357</v>
      </c>
      <c r="M202" s="3">
        <f>((K202-(('Model tilvækst, slagteform, fe'!$H$9/100)*'Model tilvækst, slagteform, fe'!$B$9))*1000/(A202+Forudsætninger!$C$60))</f>
        <v>603.69369964993871</v>
      </c>
      <c r="N202" s="17">
        <f t="shared" si="92"/>
        <v>1015.8444090458828</v>
      </c>
      <c r="O202" s="19">
        <f>IF( A202&lt;Forudsætninger!$C$14,(G202/100)*Forudsætninger!$C$13,(Forudsætninger!$C$15/1000)*Forudsætninger!$C$13)</f>
        <v>2.1324888354798222</v>
      </c>
      <c r="P202" s="17" cm="1">
        <f t="array" ref="P202">INDEX('Model tilvækst, slagteform, fe'!$N$9:$N$375,MATCH(MIN(ABS('Model tilvækst, slagteform, fe'!$M$9:$M$375-'Vækstfunktion, hol'!G202)),ABS('Model tilvækst, slagteform, fe'!$M$9:$M$375-'Vækstfunktion, hol'!G202),0))*(1+Forudsætninger!$C$80)</f>
        <v>7.2214721684229</v>
      </c>
      <c r="Q202" s="17">
        <f t="shared" si="93"/>
        <v>9.922858429245732</v>
      </c>
      <c r="R202" s="17">
        <f t="shared" si="94"/>
        <v>7.6603916492333903</v>
      </c>
      <c r="S202" s="17">
        <f t="shared" si="83"/>
        <v>3.9210406385603127</v>
      </c>
      <c r="T202" s="19">
        <f>(P202)*IF(N202&lt;Forudsætninger!$B$228,IF(N202&lt;Forudsætninger!$B$227,Forudsætninger!$B$225,Forudsætninger!$C$9),Forudsætninger!$C$11)+O202</f>
        <v>19.030733709589409</v>
      </c>
      <c r="U202" s="2">
        <f>Forudsætninger!$C$68+((K202-(Forudsætninger!$C$84)))*0.01</f>
        <v>3.3443498414360828</v>
      </c>
      <c r="V202" s="2">
        <f>U202+Forudsætninger!$C$69</f>
        <v>2.3443498414360828</v>
      </c>
      <c r="W202">
        <f t="shared" si="84"/>
        <v>1</v>
      </c>
      <c r="X202">
        <f>IF(A202+Forudsætninger!$C$60&gt;248,IF(A202+Forudsætninger!$C$60&lt;365,IF(K202&gt;180,IF(K202&lt;260,1,0),0),0),0)</f>
        <v>0</v>
      </c>
      <c r="Y202" s="22">
        <f>IF(X202=0,0,IF('Vækstfunktion, hol'!A202&lt;Forudsætninger!$C$66,Forudsætninger!$C$67+(('Vækstfunktion, hol'!A202-Forudsætninger!$C$66)/7)*Forudsætninger!$C$64,Forudsætninger!$C$67))</f>
        <v>0</v>
      </c>
      <c r="Z202" s="19">
        <f t="shared" si="95"/>
        <v>3144.3434908316867</v>
      </c>
      <c r="AA202" s="19">
        <f>Forudsætninger!$C$62+Forudsætninger!$C$16</f>
        <v>1350</v>
      </c>
      <c r="AB202" s="19">
        <f>IF(K202&gt;Forudsætninger!$C$26,IF(K202&gt;Forudsætninger!$C$27,IF(K202&gt;Forudsætninger!$C$28,Forudsætninger!$E$28,Forudsætninger!$E$27+Forudsætninger!$F$28*(K202-Forudsætninger!$C$27)),Forudsætninger!$E$26+Forudsætninger!$F$27*(K202-Forudsætninger!$C$26)),Forudsætninger!$E$26)+IF(K202&gt;Forudsætninger!$C$28,Forudsætninger!$G$28,IF(K202&gt;Forudsætninger!$C$27,Forudsætninger!$G$27+Forudsætninger!$H$28*(K202-Forudsætninger!$C$27),IF(K202&gt;Forudsætninger!$C$26,Forudsætninger!$G$26+Forudsætninger!$H$27*(K202-Forudsætninger!$C$26),Forudsætninger!$G$26)))*(U202-Forudsætninger!$H$26)</f>
        <v>33.858262381077061</v>
      </c>
      <c r="AC202" s="19">
        <f>IF(K202&gt;Forudsætninger!$C$31,IF(K202&gt;Forudsætninger!$C$32,IF(K202&gt;Forudsætninger!$C$33,Forudsætninger!$E$33,Forudsætninger!$E$32+Forudsætninger!$F$33*(K202-Forudsætninger!$C$32)),Forudsætninger!$E$31+Forudsætninger!$F$32*(K202-Forudsætninger!$C$31)),Forudsætninger!$E$31)+IF(K202&gt;Forudsætninger!$C$33,Forudsætninger!$G$33,IF(K202&gt;Forudsætninger!$C$32,Forudsætninger!$G$32+Forudsætninger!$H$33*(K202-Forudsætninger!$C$32),IF(K202&gt;Forudsætninger!$C$31,Forudsætninger!$G$31+Forudsætninger!$H$32*(K202-Forudsætninger!$C$31),Forudsætninger!$G$31)))*(V202-Forudsætninger!$H$31)</f>
        <v>27.447654793866906</v>
      </c>
      <c r="AD202" s="19">
        <f t="shared" si="85"/>
        <v>4521.443891719603</v>
      </c>
      <c r="AE202" s="19">
        <f t="shared" si="86"/>
        <v>27.447654793866906</v>
      </c>
      <c r="AF202">
        <f>IF(G202&lt;=Forudsætninger!$C$97,Forudsætninger!$C$98,(IF(G202&lt;=Forudsætninger!$D$97,Forudsætninger!$D$98,IF(G202&lt;=Forudsætninger!$E$97,Forudsætninger!$E$98,IF(G202&lt;=Forudsætninger!$F$97,Forudsætninger!$F$98,IF(G202&lt;=Forudsætninger!$G$97,Forudsætninger!$G$98,IF(G202&lt;=Forudsætninger!$H$97,Forudsætninger!$H$98,IF(G202&lt;=Forudsætninger!$I$97,Forudsætninger!$I$98,Forudsætninger!$I$98))))))))</f>
        <v>3.8</v>
      </c>
      <c r="AG202" s="1">
        <f t="shared" si="96"/>
        <v>4.4000000000000004</v>
      </c>
      <c r="AH202" s="1">
        <f t="shared" si="100"/>
        <v>555.19999999999834</v>
      </c>
      <c r="AI202" s="1">
        <f t="shared" si="87"/>
        <v>2.7759999999999918</v>
      </c>
      <c r="AJ202" s="20">
        <f>+(W202*Forudsætninger!$C$12)</f>
        <v>900</v>
      </c>
      <c r="AK202" s="20">
        <f>Forudsætninger!$C$17</f>
        <v>250</v>
      </c>
      <c r="AL202" s="20">
        <f>IF(A202&lt;92,Forudsætninger!$C$20,Forudsætninger!$C$21)</f>
        <v>1.0566762728146013</v>
      </c>
      <c r="AM202" s="20">
        <f t="shared" si="97"/>
        <v>479.84073741621194</v>
      </c>
      <c r="AN202" s="20">
        <f>IFERROR(AD202+AJ202-AA202-Z202-AK202-AM202-Forudsætninger!$C$75,-99999999)</f>
        <v>14.865470922309811</v>
      </c>
      <c r="AO202" s="19">
        <f>IFERROR(AN202/(A202+Forudsætninger!$C$74),-99999999)</f>
        <v>7.432735461154906E-2</v>
      </c>
      <c r="AP202" s="19">
        <f>IFERROR(((365/(A202+Forudsætninger!$C$74))*AN202)/(AI202+Forudsætninger!$C$73),-9999999)</f>
        <v>9.4003757564849213</v>
      </c>
      <c r="AQ202" s="18">
        <f t="shared" si="88"/>
        <v>200</v>
      </c>
      <c r="AR202" s="18">
        <f t="shared" si="98"/>
        <v>5224.1842282478983</v>
      </c>
      <c r="AS202" s="52">
        <f t="shared" si="79"/>
        <v>7.9</v>
      </c>
      <c r="AT202" s="50">
        <f t="shared" si="101"/>
        <v>1.4395358275162948</v>
      </c>
      <c r="AU202" s="50">
        <f t="shared" si="102"/>
        <v>6.8603440849484831E-3</v>
      </c>
      <c r="AV202" s="2">
        <f t="shared" si="103"/>
        <v>0.84344913021303292</v>
      </c>
      <c r="AW202" s="61">
        <f t="shared" si="99"/>
        <v>2.4735310416926084</v>
      </c>
      <c r="BA202" s="16"/>
      <c r="BB202" s="2"/>
    </row>
    <row r="203" spans="1:54" x14ac:dyDescent="0.25">
      <c r="A203">
        <v>201</v>
      </c>
      <c r="B203" s="1">
        <f>ROUND((A203+Forudsætninger!$C$60)/30.4,1)</f>
        <v>7.9</v>
      </c>
      <c r="C203" s="1">
        <f>VLOOKUP((A203+Forudsætninger!$C$60),'Model tilvækst, slagteform, fe'!A:B,2,FALSE)</f>
        <v>354.02148066757053</v>
      </c>
      <c r="D203" s="3">
        <f t="shared" si="89"/>
        <v>1491.6854949466938</v>
      </c>
      <c r="E203" s="1">
        <f>(1+Forudsætninger!$C$78)*C203</f>
        <v>329.23997702084057</v>
      </c>
      <c r="F203" s="2">
        <f t="shared" si="90"/>
        <v>0.1798763623241188</v>
      </c>
      <c r="G203" s="1">
        <f t="shared" si="80"/>
        <v>329.41985338316471</v>
      </c>
      <c r="H203" s="3">
        <f t="shared" si="81"/>
        <v>1344.647924730566</v>
      </c>
      <c r="I203" s="3">
        <f t="shared" si="82"/>
        <v>1295.6211611102722</v>
      </c>
      <c r="J203" s="1">
        <f>VLOOKUP((A203+Forudsætninger!$C$60),'Model tilvækst, slagteform, fe'!G:K,2,FALSE)*(1+Forudsætninger!$C$79)</f>
        <v>50.226387724634492</v>
      </c>
      <c r="K203" s="17">
        <f t="shared" si="78"/>
        <v>165.45569280215076</v>
      </c>
      <c r="L203" s="17">
        <f t="shared" si="91"/>
        <v>725.99455740652274</v>
      </c>
      <c r="M203" s="3">
        <f>((K203-(('Model tilvækst, slagteform, fe'!$H$9/100)*'Model tilvækst, slagteform, fe'!$B$9))*1000/(A203+Forudsætninger!$C$60))</f>
        <v>604.2032865572578</v>
      </c>
      <c r="N203" s="17">
        <f t="shared" si="92"/>
        <v>1023.0722537791579</v>
      </c>
      <c r="O203" s="19">
        <f>IF( A203&lt;Forudsætninger!$C$14,(G203/100)*Forudsætninger!$C$13,(Forudsætninger!$C$15/1000)*Forudsætninger!$C$13)</f>
        <v>2.1412290469905706</v>
      </c>
      <c r="P203" s="17" cm="1">
        <f t="array" ref="P203">INDEX('Model tilvækst, slagteform, fe'!$N$9:$N$375,MATCH(MIN(ABS('Model tilvækst, slagteform, fe'!$M$9:$M$375-'Vækstfunktion, hol'!G203)),ABS('Model tilvækst, slagteform, fe'!$M$9:$M$375-'Vækstfunktion, hol'!G203),0))*(1+Forudsætninger!$C$80)</f>
        <v>7.2278447332751234</v>
      </c>
      <c r="Q203" s="17">
        <f t="shared" si="93"/>
        <v>9.955783634377676</v>
      </c>
      <c r="R203" s="17">
        <f t="shared" si="94"/>
        <v>7.6728897170055292</v>
      </c>
      <c r="S203" s="17">
        <f t="shared" si="83"/>
        <v>3.9285493808871648</v>
      </c>
      <c r="T203" s="19">
        <f>(P203)*IF(N203&lt;Forudsætninger!$B$228,IF(N203&lt;Forudsætninger!$B$227,Forudsætninger!$B$225,Forudsætninger!$C$9),Forudsætninger!$C$11)+O203</f>
        <v>19.054385722854359</v>
      </c>
      <c r="U203" s="2">
        <f>Forudsætninger!$C$68+((K203-(Forudsætninger!$C$84)))*0.01</f>
        <v>3.351609787010148</v>
      </c>
      <c r="V203" s="2">
        <f>U203+Forudsætninger!$C$69</f>
        <v>2.351609787010148</v>
      </c>
      <c r="W203">
        <f t="shared" si="84"/>
        <v>1</v>
      </c>
      <c r="X203">
        <f>IF(A203+Forudsætninger!$C$60&gt;248,IF(A203+Forudsætninger!$C$60&lt;365,IF(K203&gt;180,IF(K203&lt;260,1,0),0),0),0)</f>
        <v>0</v>
      </c>
      <c r="Y203" s="22">
        <f>IF(X203=0,0,IF('Vækstfunktion, hol'!A203&lt;Forudsætninger!$C$66,Forudsætninger!$C$67+(('Vækstfunktion, hol'!A203-Forudsætninger!$C$66)/7)*Forudsætninger!$C$64,Forudsætninger!$C$67))</f>
        <v>0</v>
      </c>
      <c r="Z203" s="19">
        <f t="shared" si="95"/>
        <v>3163.3978765545412</v>
      </c>
      <c r="AA203" s="19">
        <f>Forudsætninger!$C$62+Forudsætninger!$C$16</f>
        <v>1350</v>
      </c>
      <c r="AB203" s="19">
        <f>IF(K203&gt;Forudsætninger!$C$26,IF(K203&gt;Forudsætninger!$C$27,IF(K203&gt;Forudsætninger!$C$28,Forudsætninger!$E$28,Forudsætninger!$E$27+Forudsætninger!$F$28*(K203-Forudsætninger!$C$27)),Forudsætninger!$E$26+Forudsætninger!$F$27*(K203-Forudsætninger!$C$26)),Forudsætninger!$E$26)+IF(K203&gt;Forudsætninger!$C$28,Forudsætninger!$G$28,IF(K203&gt;Forudsætninger!$C$27,Forudsætninger!$G$27+Forudsætninger!$H$28*(K203-Forudsætninger!$C$27),IF(K203&gt;Forudsætninger!$C$26,Forudsætninger!$G$26+Forudsætninger!$H$27*(K203-Forudsætninger!$C$26),Forudsætninger!$G$26)))*(U203-Forudsætninger!$H$26)</f>
        <v>33.863707340257612</v>
      </c>
      <c r="AC203" s="19">
        <f>IF(K203&gt;Forudsætninger!$C$31,IF(K203&gt;Forudsætninger!$C$32,IF(K203&gt;Forudsætninger!$C$33,Forudsætninger!$E$33,Forudsætninger!$E$32+Forudsætninger!$F$33*(K203-Forudsætninger!$C$32)),Forudsætninger!$E$31+Forudsætninger!$F$32*(K203-Forudsætninger!$C$31)),Forudsætninger!$E$31)+IF(K203&gt;Forudsætninger!$C$33,Forudsætninger!$G$33,IF(K203&gt;Forudsætninger!$C$32,Forudsætninger!$G$32+Forudsætninger!$H$33*(K203-Forudsætninger!$C$32),IF(K203&gt;Forudsætninger!$C$31,Forudsætninger!$G$31+Forudsætninger!$H$32*(K203-Forudsætninger!$C$31),Forudsætninger!$G$31)))*(V203-Forudsætninger!$H$31)</f>
        <v>27.457092723113192</v>
      </c>
      <c r="AD203" s="19">
        <f t="shared" si="85"/>
        <v>4542.9322988355852</v>
      </c>
      <c r="AE203" s="19">
        <f t="shared" si="86"/>
        <v>27.457092723113192</v>
      </c>
      <c r="AF203">
        <f>IF(G203&lt;=Forudsætninger!$C$97,Forudsætninger!$C$98,(IF(G203&lt;=Forudsætninger!$D$97,Forudsætninger!$D$98,IF(G203&lt;=Forudsætninger!$E$97,Forudsætninger!$E$98,IF(G203&lt;=Forudsætninger!$F$97,Forudsætninger!$F$98,IF(G203&lt;=Forudsætninger!$G$97,Forudsætninger!$G$98,IF(G203&lt;=Forudsætninger!$H$97,Forudsætninger!$H$98,IF(G203&lt;=Forudsætninger!$I$97,Forudsætninger!$I$98,Forudsætninger!$I$98))))))))</f>
        <v>3.8</v>
      </c>
      <c r="AG203" s="1">
        <f t="shared" si="96"/>
        <v>4.4000000000000004</v>
      </c>
      <c r="AH203" s="1">
        <f t="shared" si="100"/>
        <v>559.59999999999832</v>
      </c>
      <c r="AI203" s="1">
        <f t="shared" si="87"/>
        <v>2.7840796019900416</v>
      </c>
      <c r="AJ203" s="20">
        <f>+(W203*Forudsætninger!$C$12)</f>
        <v>900</v>
      </c>
      <c r="AK203" s="20">
        <f>Forudsætninger!$C$17</f>
        <v>250</v>
      </c>
      <c r="AL203" s="20">
        <f>IF(A203&lt;92,Forudsætninger!$C$20,Forudsætninger!$C$21)</f>
        <v>1.0566762728146013</v>
      </c>
      <c r="AM203" s="20">
        <f t="shared" si="97"/>
        <v>480.89741368902656</v>
      </c>
      <c r="AN203" s="20">
        <f>IFERROR(AD203+AJ203-AA203-Z203-AK203-AM203-Forudsætninger!$C$75,-99999999)</f>
        <v>16.242816042622934</v>
      </c>
      <c r="AO203" s="19">
        <f>IFERROR(AN203/(A203+Forudsætninger!$C$74),-99999999)</f>
        <v>8.0810030062800672E-2</v>
      </c>
      <c r="AP203" s="19">
        <f>IFERROR(((365/(A203+Forudsætninger!$C$74))*AN203)/(AI203+Forudsætninger!$C$73),-9999999)</f>
        <v>10.191724150448485</v>
      </c>
      <c r="AQ203" s="18">
        <f t="shared" si="88"/>
        <v>201</v>
      </c>
      <c r="AR203" s="18">
        <f t="shared" si="98"/>
        <v>5244.2952902435682</v>
      </c>
      <c r="AS203" s="52">
        <f t="shared" si="79"/>
        <v>7.9</v>
      </c>
      <c r="AT203" s="50">
        <f t="shared" si="101"/>
        <v>1.3773451203131231</v>
      </c>
      <c r="AU203" s="50">
        <f t="shared" si="102"/>
        <v>6.4826754512516127E-3</v>
      </c>
      <c r="AV203" s="2">
        <f t="shared" si="103"/>
        <v>0.79134839396356327</v>
      </c>
      <c r="AW203" s="61">
        <f t="shared" si="99"/>
        <v>2.4733344762768632</v>
      </c>
      <c r="BA203" s="16"/>
      <c r="BB203" s="2"/>
    </row>
    <row r="204" spans="1:54" x14ac:dyDescent="0.25">
      <c r="A204">
        <v>202</v>
      </c>
      <c r="B204" s="1">
        <f>ROUND((A204+Forudsætninger!$C$60)/30.4,1)</f>
        <v>7.9</v>
      </c>
      <c r="C204" s="1">
        <f>VLOOKUP((A204+Forudsætninger!$C$60),'Model tilvækst, slagteform, fe'!A:B,2,FALSE)</f>
        <v>355.50976965863811</v>
      </c>
      <c r="D204" s="3">
        <f t="shared" si="89"/>
        <v>1488.2889910675772</v>
      </c>
      <c r="E204" s="1">
        <f>(1+Forudsætninger!$C$78)*C204</f>
        <v>330.62408578253343</v>
      </c>
      <c r="F204" s="2">
        <f t="shared" si="90"/>
        <v>0.13735381972218802</v>
      </c>
      <c r="G204" s="1">
        <f t="shared" si="80"/>
        <v>330.76143960225562</v>
      </c>
      <c r="H204" s="3">
        <f t="shared" si="81"/>
        <v>1341.5862190909138</v>
      </c>
      <c r="I204" s="3">
        <f t="shared" si="82"/>
        <v>1295.8487109022556</v>
      </c>
      <c r="J204" s="1">
        <f>VLOOKUP((A204+Forudsætninger!$C$60),'Model tilvækst, slagteform, fe'!G:K,2,FALSE)*(1+Forudsætninger!$C$79)</f>
        <v>50.241612529959639</v>
      </c>
      <c r="K204" s="17">
        <f t="shared" si="78"/>
        <v>166.17988088348173</v>
      </c>
      <c r="L204" s="17">
        <f t="shared" si="91"/>
        <v>724.18808133096491</v>
      </c>
      <c r="M204" s="3">
        <f>((K204-(('Model tilvækst, slagteform, fe'!$H$9/100)*'Model tilvækst, slagteform, fe'!$B$9))*1000/(A204+Forudsætninger!$C$60))</f>
        <v>604.70114877623587</v>
      </c>
      <c r="N204" s="17">
        <f t="shared" si="92"/>
        <v>1030.3064882764436</v>
      </c>
      <c r="O204" s="19">
        <f>IF( A204&lt;Forudsætninger!$C$14,(G204/100)*Forudsætninger!$C$13,(Forudsætninger!$C$15/1000)*Forudsætninger!$C$13)</f>
        <v>2.1499493574146618</v>
      </c>
      <c r="P204" s="17" cm="1">
        <f t="array" ref="P204">INDEX('Model tilvækst, slagteform, fe'!$N$9:$N$375,MATCH(MIN(ABS('Model tilvækst, slagteform, fe'!$M$9:$M$375-'Vækstfunktion, hol'!G204)),ABS('Model tilvækst, slagteform, fe'!$M$9:$M$375-'Vækstfunktion, hol'!G204),0))*(1+Forudsætninger!$C$80)</f>
        <v>7.2342344972857315</v>
      </c>
      <c r="Q204" s="17">
        <f t="shared" si="93"/>
        <v>9.9894415329097033</v>
      </c>
      <c r="R204" s="17">
        <f t="shared" si="94"/>
        <v>7.6854036446328173</v>
      </c>
      <c r="S204" s="17">
        <f t="shared" si="83"/>
        <v>3.9360514285143982</v>
      </c>
      <c r="T204" s="19">
        <f>(P204)*IF(N204&lt;Forudsætninger!$B$228,IF(N204&lt;Forudsætninger!$B$227,Forudsætninger!$B$225,Forudsætninger!$C$9),Forudsætninger!$C$11)+O204</f>
        <v>19.078058081063272</v>
      </c>
      <c r="U204" s="2">
        <f>Forudsætninger!$C$68+((K204-(Forudsætninger!$C$84)))*0.01</f>
        <v>3.3588516678234575</v>
      </c>
      <c r="V204" s="2">
        <f>U204+Forudsætninger!$C$69</f>
        <v>2.3588516678234575</v>
      </c>
      <c r="W204">
        <f t="shared" si="84"/>
        <v>1</v>
      </c>
      <c r="X204">
        <f>IF(A204+Forudsætninger!$C$60&gt;248,IF(A204+Forudsætninger!$C$60&lt;365,IF(K204&gt;180,IF(K204&lt;260,1,0),0),0),0)</f>
        <v>0</v>
      </c>
      <c r="Y204" s="22">
        <f>IF(X204=0,0,IF('Vækstfunktion, hol'!A204&lt;Forudsætninger!$C$66,Forudsætninger!$C$67+(('Vækstfunktion, hol'!A204-Forudsætninger!$C$66)/7)*Forudsætninger!$C$64,Forudsætninger!$C$67))</f>
        <v>0</v>
      </c>
      <c r="Z204" s="19">
        <f t="shared" si="95"/>
        <v>3182.4759346356045</v>
      </c>
      <c r="AA204" s="19">
        <f>Forudsætninger!$C$62+Forudsætninger!$C$16</f>
        <v>1350</v>
      </c>
      <c r="AB204" s="19">
        <f>IF(K204&gt;Forudsætninger!$C$26,IF(K204&gt;Forudsætninger!$C$27,IF(K204&gt;Forudsætninger!$C$28,Forudsætninger!$E$28,Forudsætninger!$E$27+Forudsætninger!$F$28*(K204-Forudsætninger!$C$27)),Forudsætninger!$E$26+Forudsætninger!$F$27*(K204-Forudsætninger!$C$26)),Forudsætninger!$E$26)+IF(K204&gt;Forudsætninger!$C$28,Forudsætninger!$G$28,IF(K204&gt;Forudsætninger!$C$27,Forudsætninger!$G$27+Forudsætninger!$H$28*(K204-Forudsætninger!$C$27),IF(K204&gt;Forudsætninger!$C$26,Forudsætninger!$G$26+Forudsætninger!$H$27*(K204-Forudsætninger!$C$26),Forudsætninger!$G$26)))*(U204-Forudsætninger!$H$26)</f>
        <v>33.869138750867592</v>
      </c>
      <c r="AC204" s="19">
        <f>IF(K204&gt;Forudsætninger!$C$31,IF(K204&gt;Forudsætninger!$C$32,IF(K204&gt;Forudsætninger!$C$33,Forudsætninger!$E$33,Forudsætninger!$E$32+Forudsætninger!$F$33*(K204-Forudsætninger!$C$32)),Forudsætninger!$E$31+Forudsætninger!$F$32*(K204-Forudsætninger!$C$31)),Forudsætninger!$E$31)+IF(K204&gt;Forudsætninger!$C$33,Forudsætninger!$G$33,IF(K204&gt;Forudsætninger!$C$32,Forudsætninger!$G$32+Forudsætninger!$H$33*(K204-Forudsætninger!$C$32),IF(K204&gt;Forudsætninger!$C$31,Forudsætninger!$G$31+Forudsætninger!$H$32*(K204-Forudsætninger!$C$31),Forudsætninger!$G$31)))*(V204-Forudsætninger!$H$31)</f>
        <v>27.466507168170494</v>
      </c>
      <c r="AD204" s="19">
        <f t="shared" si="85"/>
        <v>4564.3808894918702</v>
      </c>
      <c r="AE204" s="19">
        <f t="shared" si="86"/>
        <v>27.466507168170498</v>
      </c>
      <c r="AF204">
        <f>IF(G204&lt;=Forudsætninger!$C$97,Forudsætninger!$C$98,(IF(G204&lt;=Forudsætninger!$D$97,Forudsætninger!$D$98,IF(G204&lt;=Forudsætninger!$E$97,Forudsætninger!$E$98,IF(G204&lt;=Forudsætninger!$F$97,Forudsætninger!$F$98,IF(G204&lt;=Forudsætninger!$G$97,Forudsætninger!$G$98,IF(G204&lt;=Forudsætninger!$H$97,Forudsætninger!$H$98,IF(G204&lt;=Forudsætninger!$I$97,Forudsætninger!$I$98,Forudsætninger!$I$98))))))))</f>
        <v>3.8</v>
      </c>
      <c r="AG204" s="1">
        <f t="shared" si="96"/>
        <v>4.4000000000000004</v>
      </c>
      <c r="AH204" s="1">
        <f t="shared" si="100"/>
        <v>563.99999999999829</v>
      </c>
      <c r="AI204" s="1">
        <f t="shared" si="87"/>
        <v>2.7920792079207835</v>
      </c>
      <c r="AJ204" s="20">
        <f>+(W204*Forudsætninger!$C$12)</f>
        <v>900</v>
      </c>
      <c r="AK204" s="20">
        <f>Forudsætninger!$C$17</f>
        <v>250</v>
      </c>
      <c r="AL204" s="20">
        <f>IF(A204&lt;92,Forudsætninger!$C$20,Forudsætninger!$C$21)</f>
        <v>1.0566762728146013</v>
      </c>
      <c r="AM204" s="20">
        <f t="shared" si="97"/>
        <v>481.95408996184119</v>
      </c>
      <c r="AN204" s="20">
        <f>IFERROR(AD204+AJ204-AA204-Z204-AK204-AM204-Forudsætninger!$C$75,-99999999)</f>
        <v>17.556672345029966</v>
      </c>
      <c r="AO204" s="19">
        <f>IFERROR(AN204/(A204+Forudsætninger!$C$74),-99999999)</f>
        <v>8.6914219529851316E-2</v>
      </c>
      <c r="AP204" s="19">
        <f>IFERROR(((365/(A204+Forudsætninger!$C$74))*AN204)/(AI204+Forudsætninger!$C$73),-9999999)</f>
        <v>10.93136605017904</v>
      </c>
      <c r="AQ204" s="18">
        <f t="shared" si="88"/>
        <v>202</v>
      </c>
      <c r="AR204" s="18">
        <f t="shared" si="98"/>
        <v>5264.4300245974455</v>
      </c>
      <c r="AS204" s="52">
        <f t="shared" si="79"/>
        <v>7.9</v>
      </c>
      <c r="AT204" s="50">
        <f t="shared" si="101"/>
        <v>1.3138563024070322</v>
      </c>
      <c r="AU204" s="50">
        <f t="shared" si="102"/>
        <v>6.1041894670506441E-3</v>
      </c>
      <c r="AV204" s="2">
        <f t="shared" si="103"/>
        <v>0.73964189973055561</v>
      </c>
      <c r="AW204" s="61">
        <f t="shared" si="99"/>
        <v>2.4728255559746097</v>
      </c>
      <c r="BA204" s="16"/>
      <c r="BB204" s="2"/>
    </row>
    <row r="205" spans="1:54" x14ac:dyDescent="0.25">
      <c r="A205">
        <v>203</v>
      </c>
      <c r="B205" s="1">
        <f>ROUND((A205+Forudsætninger!$C$60)/30.4,1)</f>
        <v>8</v>
      </c>
      <c r="C205" s="1">
        <f>VLOOKUP((A205+Forudsætninger!$C$60),'Model tilvækst, slagteform, fe'!A:B,2,FALSE)</f>
        <v>356.99463074342702</v>
      </c>
      <c r="D205" s="3">
        <f t="shared" si="89"/>
        <v>1484.8610847889177</v>
      </c>
      <c r="E205" s="1">
        <f>(1+Forudsætninger!$C$78)*C205</f>
        <v>332.00500659138709</v>
      </c>
      <c r="F205" s="2">
        <f t="shared" si="90"/>
        <v>9.4929217299647511E-2</v>
      </c>
      <c r="G205" s="1">
        <f t="shared" si="80"/>
        <v>332.09993580868672</v>
      </c>
      <c r="H205" s="3">
        <f t="shared" si="81"/>
        <v>1338.4962064311026</v>
      </c>
      <c r="I205" s="3">
        <f t="shared" si="82"/>
        <v>1296.0587970871268</v>
      </c>
      <c r="J205" s="1">
        <f>VLOOKUP((A205+Forudsætninger!$C$60),'Model tilvækst, slagteform, fe'!G:K,2,FALSE)*(1+Forudsætninger!$C$79)</f>
        <v>50.256626017458842</v>
      </c>
      <c r="K205" s="17">
        <f t="shared" si="78"/>
        <v>166.90222274359255</v>
      </c>
      <c r="L205" s="17">
        <f t="shared" si="91"/>
        <v>722.34186011081647</v>
      </c>
      <c r="M205" s="3">
        <f>((K205-(('Model tilvækst, slagteform, fe'!$H$9/100)*'Model tilvækst, slagteform, fe'!$B$9))*1000/(A205+Forudsætninger!$C$60))</f>
        <v>605.18726741811429</v>
      </c>
      <c r="N205" s="17">
        <f t="shared" si="92"/>
        <v>1037.5471314073318</v>
      </c>
      <c r="O205" s="19">
        <f>IF( A205&lt;Forudsætninger!$C$14,(G205/100)*Forudsætninger!$C$13,(Forudsætninger!$C$15/1000)*Forudsætninger!$C$13)</f>
        <v>2.158649582756464</v>
      </c>
      <c r="P205" s="17" cm="1">
        <f t="array" ref="P205">INDEX('Model tilvækst, slagteform, fe'!$N$9:$N$375,MATCH(MIN(ABS('Model tilvækst, slagteform, fe'!$M$9:$M$375-'Vækstfunktion, hol'!G205)),ABS('Model tilvækst, slagteform, fe'!$M$9:$M$375-'Vækstfunktion, hol'!G205),0))*(1+Forudsætninger!$C$80)</f>
        <v>7.2406431308881274</v>
      </c>
      <c r="Q205" s="17">
        <f t="shared" si="93"/>
        <v>10.023845398877091</v>
      </c>
      <c r="R205" s="17">
        <f t="shared" si="94"/>
        <v>7.6979360896325639</v>
      </c>
      <c r="S205" s="17">
        <f t="shared" si="83"/>
        <v>3.9435476417667576</v>
      </c>
      <c r="T205" s="19">
        <f>(P205)*IF(N205&lt;Forudsætninger!$B$228,IF(N205&lt;Forudsætninger!$B$227,Forudsætninger!$B$225,Forudsætninger!$C$9),Forudsætninger!$C$11)+O205</f>
        <v>19.101754509034681</v>
      </c>
      <c r="U205" s="2">
        <f>Forudsætninger!$C$68+((K205-(Forudsætninger!$C$84)))*0.01</f>
        <v>3.3660750864245657</v>
      </c>
      <c r="V205" s="2">
        <f>U205+Forudsætninger!$C$69</f>
        <v>2.3660750864245657</v>
      </c>
      <c r="W205">
        <f t="shared" si="84"/>
        <v>1</v>
      </c>
      <c r="X205">
        <f>IF(A205+Forudsætninger!$C$60&gt;248,IF(A205+Forudsætninger!$C$60&lt;365,IF(K205&gt;180,IF(K205&lt;260,1,0),0),0),0)</f>
        <v>0</v>
      </c>
      <c r="Y205" s="22">
        <f>IF(X205=0,0,IF('Vækstfunktion, hol'!A205&lt;Forudsætninger!$C$66,Forudsætninger!$C$67+(('Vækstfunktion, hol'!A205-Forudsætninger!$C$66)/7)*Forudsætninger!$C$64,Forudsætninger!$C$67))</f>
        <v>0</v>
      </c>
      <c r="Z205" s="19">
        <f t="shared" si="95"/>
        <v>3201.5776891446394</v>
      </c>
      <c r="AA205" s="19">
        <f>Forudsætninger!$C$62+Forudsætninger!$C$16</f>
        <v>1350</v>
      </c>
      <c r="AB205" s="19">
        <f>IF(K205&gt;Forudsætninger!$C$26,IF(K205&gt;Forudsætninger!$C$27,IF(K205&gt;Forudsætninger!$C$28,Forudsætninger!$E$28,Forudsætninger!$E$27+Forudsætninger!$F$28*(K205-Forudsætninger!$C$27)),Forudsætninger!$E$26+Forudsætninger!$F$27*(K205-Forudsætninger!$C$26)),Forudsætninger!$E$26)+IF(K205&gt;Forudsætninger!$C$28,Forudsætninger!$G$28,IF(K205&gt;Forudsætninger!$C$27,Forudsætninger!$G$27+Forudsætninger!$H$28*(K205-Forudsætninger!$C$27),IF(K205&gt;Forudsætninger!$C$26,Forudsætninger!$G$26+Forudsætninger!$H$27*(K205-Forudsætninger!$C$26),Forudsætninger!$G$26)))*(U205-Forudsætninger!$H$26)</f>
        <v>33.874556314818427</v>
      </c>
      <c r="AC205" s="19">
        <f>IF(K205&gt;Forudsætninger!$C$31,IF(K205&gt;Forudsætninger!$C$32,IF(K205&gt;Forudsætninger!$C$33,Forudsætninger!$E$33,Forudsætninger!$E$32+Forudsætninger!$F$33*(K205-Forudsætninger!$C$32)),Forudsætninger!$E$31+Forudsætninger!$F$32*(K205-Forudsætninger!$C$31)),Forudsætninger!$E$31)+IF(K205&gt;Forudsætninger!$C$33,Forudsætninger!$G$33,IF(K205&gt;Forudsætninger!$C$32,Forudsætninger!$G$32+Forudsætninger!$H$33*(K205-Forudsætninger!$C$32),IF(K205&gt;Forudsætninger!$C$31,Forudsætninger!$G$31+Forudsætninger!$H$32*(K205-Forudsætninger!$C$31),Forudsætninger!$G$31)))*(V205-Forudsætninger!$H$31)</f>
        <v>27.475897612351936</v>
      </c>
      <c r="AD205" s="19">
        <f t="shared" si="85"/>
        <v>4585.7883833769056</v>
      </c>
      <c r="AE205" s="19">
        <f t="shared" si="86"/>
        <v>27.475897612351936</v>
      </c>
      <c r="AF205">
        <f>IF(G205&lt;=Forudsætninger!$C$97,Forudsætninger!$C$98,(IF(G205&lt;=Forudsætninger!$D$97,Forudsætninger!$D$98,IF(G205&lt;=Forudsætninger!$E$97,Forudsætninger!$E$98,IF(G205&lt;=Forudsætninger!$F$97,Forudsætninger!$F$98,IF(G205&lt;=Forudsætninger!$G$97,Forudsætninger!$G$98,IF(G205&lt;=Forudsætninger!$H$97,Forudsætninger!$H$98,IF(G205&lt;=Forudsætninger!$I$97,Forudsætninger!$I$98,Forudsætninger!$I$98))))))))</f>
        <v>3.8</v>
      </c>
      <c r="AG205" s="1">
        <f t="shared" si="96"/>
        <v>4.4000000000000004</v>
      </c>
      <c r="AH205" s="1">
        <f t="shared" si="100"/>
        <v>568.39999999999827</v>
      </c>
      <c r="AI205" s="1">
        <f t="shared" si="87"/>
        <v>2.7999999999999914</v>
      </c>
      <c r="AJ205" s="20">
        <f>+(W205*Forudsætninger!$C$12)</f>
        <v>900</v>
      </c>
      <c r="AK205" s="20">
        <f>Forudsætninger!$C$17</f>
        <v>250</v>
      </c>
      <c r="AL205" s="20">
        <f>IF(A205&lt;92,Forudsætninger!$C$20,Forudsætninger!$C$21)</f>
        <v>1.0566762728146013</v>
      </c>
      <c r="AM205" s="20">
        <f t="shared" si="97"/>
        <v>483.01076623465582</v>
      </c>
      <c r="AN205" s="20">
        <f>IFERROR(AD205+AJ205-AA205-Z205-AK205-AM205-Forudsætninger!$C$75,-99999999)</f>
        <v>18.805735448215813</v>
      </c>
      <c r="AO205" s="19">
        <f>IFERROR(AN205/(A205+Forudsætninger!$C$74),-99999999)</f>
        <v>9.2639090877910404E-2</v>
      </c>
      <c r="AP205" s="19">
        <f>IFERROR(((365/(A205+Forudsætninger!$C$74))*AN205)/(AI205+Forudsætninger!$C$73),-9999999)</f>
        <v>11.619679783655464</v>
      </c>
      <c r="AQ205" s="18">
        <f t="shared" si="88"/>
        <v>203</v>
      </c>
      <c r="AR205" s="18">
        <f t="shared" si="98"/>
        <v>5284.5884553792948</v>
      </c>
      <c r="AS205" s="52">
        <f t="shared" si="79"/>
        <v>8</v>
      </c>
      <c r="AT205" s="50">
        <f t="shared" si="101"/>
        <v>1.249063103185847</v>
      </c>
      <c r="AU205" s="50">
        <f t="shared" si="102"/>
        <v>5.7248713480590879E-3</v>
      </c>
      <c r="AV205" s="2">
        <f t="shared" si="103"/>
        <v>0.68831373347642355</v>
      </c>
      <c r="AW205" s="61">
        <f t="shared" si="99"/>
        <v>2.472002471344195</v>
      </c>
      <c r="BA205" s="16"/>
      <c r="BB205" s="2"/>
    </row>
    <row r="206" spans="1:54" x14ac:dyDescent="0.25">
      <c r="A206">
        <v>204</v>
      </c>
      <c r="B206" s="1">
        <f>ROUND((A206+Forudsætninger!$C$60)/30.4,1)</f>
        <v>8</v>
      </c>
      <c r="C206" s="1">
        <f>VLOOKUP((A206+Forudsætninger!$C$60),'Model tilvækst, slagteform, fe'!A:B,2,FALSE)</f>
        <v>358.47603305388589</v>
      </c>
      <c r="D206" s="3">
        <f t="shared" si="89"/>
        <v>1481.4023104588614</v>
      </c>
      <c r="E206" s="1">
        <f>(1+Forudsætninger!$C$78)*C206</f>
        <v>333.38271074011385</v>
      </c>
      <c r="F206" s="2">
        <f t="shared" si="90"/>
        <v>5.26034370008229E-2</v>
      </c>
      <c r="G206" s="1">
        <f t="shared" si="80"/>
        <v>333.43531417711466</v>
      </c>
      <c r="H206" s="3">
        <f t="shared" si="81"/>
        <v>1335.3783684279392</v>
      </c>
      <c r="I206" s="3">
        <f t="shared" si="82"/>
        <v>1296.2515400838956</v>
      </c>
      <c r="J206" s="1">
        <f>VLOOKUP((A206+Forudsætninger!$C$60),'Model tilvækst, slagteform, fe'!G:K,2,FALSE)*(1+Forudsætninger!$C$79)</f>
        <v>50.271423427387248</v>
      </c>
      <c r="K206" s="17">
        <f t="shared" si="78"/>
        <v>167.62267864641632</v>
      </c>
      <c r="L206" s="17">
        <f t="shared" si="91"/>
        <v>720.45590282377248</v>
      </c>
      <c r="M206" s="3">
        <f>((K206-(('Model tilvækst, slagteform, fe'!$H$9/100)*'Model tilvækst, slagteform, fe'!$B$9))*1000/(A206+Forudsætninger!$C$60))</f>
        <v>605.66162394241746</v>
      </c>
      <c r="N206" s="17">
        <f t="shared" si="92"/>
        <v>1044.7942037118476</v>
      </c>
      <c r="O206" s="19">
        <f>IF( A206&lt;Forudsætninger!$C$14,(G206/100)*Forudsætninger!$C$13,(Forudsætninger!$C$15/1000)*Forudsætninger!$C$13)</f>
        <v>2.1673295421512453</v>
      </c>
      <c r="P206" s="17" cm="1">
        <f t="array" ref="P206">INDEX('Model tilvækst, slagteform, fe'!$N$9:$N$375,MATCH(MIN(ABS('Model tilvækst, slagteform, fe'!$M$9:$M$375-'Vækstfunktion, hol'!G206)),ABS('Model tilvækst, slagteform, fe'!$M$9:$M$375-'Vækstfunktion, hol'!G206),0))*(1+Forudsætninger!$C$80)</f>
        <v>7.2470723045157177</v>
      </c>
      <c r="Q206" s="17">
        <f t="shared" si="93"/>
        <v>10.059008852743611</v>
      </c>
      <c r="R206" s="17">
        <f t="shared" si="94"/>
        <v>7.7104896808021222</v>
      </c>
      <c r="S206" s="17">
        <f t="shared" si="83"/>
        <v>3.9510388654522166</v>
      </c>
      <c r="T206" s="19">
        <f>(P206)*IF(N206&lt;Forudsætninger!$B$228,IF(N206&lt;Forudsætninger!$B$227,Forudsætninger!$B$225,Forudsætninger!$C$9),Forudsætninger!$C$11)+O206</f>
        <v>19.125478734718023</v>
      </c>
      <c r="U206" s="2">
        <f>Forudsætninger!$C$68+((K206-(Forudsætninger!$C$84)))*0.01</f>
        <v>3.3732796454528033</v>
      </c>
      <c r="V206" s="2">
        <f>U206+Forudsætninger!$C$69</f>
        <v>2.3732796454528033</v>
      </c>
      <c r="W206">
        <f t="shared" si="84"/>
        <v>1</v>
      </c>
      <c r="X206">
        <f>IF(A206+Forudsætninger!$C$60&gt;248,IF(A206+Forudsætninger!$C$60&lt;365,IF(K206&gt;180,IF(K206&lt;260,1,0),0),0),0)</f>
        <v>0</v>
      </c>
      <c r="Y206" s="22">
        <f>IF(X206=0,0,IF('Vækstfunktion, hol'!A206&lt;Forudsætninger!$C$66,Forudsætninger!$C$67+(('Vækstfunktion, hol'!A206-Forudsætninger!$C$66)/7)*Forudsætninger!$C$64,Forudsætninger!$C$67))</f>
        <v>0</v>
      </c>
      <c r="Z206" s="19">
        <f t="shared" si="95"/>
        <v>3220.7031678793574</v>
      </c>
      <c r="AA206" s="19">
        <f>Forudsætninger!$C$62+Forudsætninger!$C$16</f>
        <v>1350</v>
      </c>
      <c r="AB206" s="19">
        <f>IF(K206&gt;Forudsætninger!$C$26,IF(K206&gt;Forudsætninger!$C$27,IF(K206&gt;Forudsætninger!$C$28,Forudsætninger!$E$28,Forudsætninger!$E$27+Forudsætninger!$F$28*(K206-Forudsætninger!$C$27)),Forudsætninger!$E$26+Forudsætninger!$F$27*(K206-Forudsætninger!$C$26)),Forudsætninger!$E$26)+IF(K206&gt;Forudsætninger!$C$28,Forudsætninger!$G$28,IF(K206&gt;Forudsætninger!$C$27,Forudsætninger!$G$27+Forudsætninger!$H$28*(K206-Forudsætninger!$C$27),IF(K206&gt;Forudsætninger!$C$26,Forudsætninger!$G$26+Forudsætninger!$H$27*(K206-Forudsætninger!$C$26),Forudsætninger!$G$26)))*(U206-Forudsætninger!$H$26)</f>
        <v>33.879959734089603</v>
      </c>
      <c r="AC206" s="19">
        <f>IF(K206&gt;Forudsætninger!$C$31,IF(K206&gt;Forudsætninger!$C$32,IF(K206&gt;Forudsætninger!$C$33,Forudsætninger!$E$33,Forudsætninger!$E$32+Forudsætninger!$F$33*(K206-Forudsætninger!$C$32)),Forudsætninger!$E$31+Forudsætninger!$F$32*(K206-Forudsætninger!$C$31)),Forudsætninger!$E$31)+IF(K206&gt;Forudsætninger!$C$33,Forudsætninger!$G$33,IF(K206&gt;Forudsætninger!$C$32,Forudsætninger!$G$32+Forudsætninger!$H$33*(K206-Forudsætninger!$C$32),IF(K206&gt;Forudsætninger!$C$31,Forudsætninger!$G$31+Forudsætninger!$H$32*(K206-Forudsætninger!$C$31),Forudsætninger!$G$31)))*(V206-Forudsætninger!$H$31)</f>
        <v>27.485263539088646</v>
      </c>
      <c r="AD206" s="19">
        <f t="shared" si="85"/>
        <v>4607.1534977247193</v>
      </c>
      <c r="AE206" s="19">
        <f t="shared" si="86"/>
        <v>27.485263539088646</v>
      </c>
      <c r="AF206">
        <f>IF(G206&lt;=Forudsætninger!$C$97,Forudsætninger!$C$98,(IF(G206&lt;=Forudsætninger!$D$97,Forudsætninger!$D$98,IF(G206&lt;=Forudsætninger!$E$97,Forudsætninger!$E$98,IF(G206&lt;=Forudsætninger!$F$97,Forudsætninger!$F$98,IF(G206&lt;=Forudsætninger!$G$97,Forudsætninger!$G$98,IF(G206&lt;=Forudsætninger!$H$97,Forudsætninger!$H$98,IF(G206&lt;=Forudsætninger!$I$97,Forudsætninger!$I$98,Forudsætninger!$I$98))))))))</f>
        <v>3.8</v>
      </c>
      <c r="AG206" s="1">
        <f t="shared" si="96"/>
        <v>4.4000000000000004</v>
      </c>
      <c r="AH206" s="1">
        <f t="shared" si="100"/>
        <v>572.79999999999825</v>
      </c>
      <c r="AI206" s="1">
        <f t="shared" si="87"/>
        <v>2.8078431372548933</v>
      </c>
      <c r="AJ206" s="20">
        <f>+(W206*Forudsætninger!$C$12)</f>
        <v>900</v>
      </c>
      <c r="AK206" s="20">
        <f>Forudsætninger!$C$17</f>
        <v>250</v>
      </c>
      <c r="AL206" s="20">
        <f>IF(A206&lt;92,Forudsætninger!$C$20,Forudsætninger!$C$21)</f>
        <v>1.0566762728146013</v>
      </c>
      <c r="AM206" s="20">
        <f t="shared" si="97"/>
        <v>484.06744250747045</v>
      </c>
      <c r="AN206" s="20">
        <f>IFERROR(AD206+AJ206-AA206-Z206-AK206-AM206-Forudsætninger!$C$75,-99999999)</f>
        <v>19.988694788496929</v>
      </c>
      <c r="AO206" s="19">
        <f>IFERROR(AN206/(A206+Forudsætninger!$C$74),-99999999)</f>
        <v>9.798379798282808E-2</v>
      </c>
      <c r="AP206" s="19">
        <f>IFERROR(((365/(A206+Forudsætninger!$C$74))*AN206)/(AI206+Forudsætninger!$C$73),-9999999)</f>
        <v>12.257028421815404</v>
      </c>
      <c r="AQ206" s="18">
        <f t="shared" si="88"/>
        <v>204</v>
      </c>
      <c r="AR206" s="18">
        <f t="shared" si="98"/>
        <v>5304.7706103868277</v>
      </c>
      <c r="AS206" s="52">
        <f t="shared" si="79"/>
        <v>8</v>
      </c>
      <c r="AT206" s="50">
        <f t="shared" si="101"/>
        <v>1.1829593402811156</v>
      </c>
      <c r="AU206" s="50">
        <f t="shared" si="102"/>
        <v>5.3447071049176759E-3</v>
      </c>
      <c r="AV206" s="2">
        <f t="shared" si="103"/>
        <v>0.63734863815994025</v>
      </c>
      <c r="AW206" s="61">
        <f t="shared" si="99"/>
        <v>2.4708634181174869</v>
      </c>
      <c r="BA206" s="16"/>
      <c r="BB206" s="2"/>
    </row>
    <row r="207" spans="1:54" x14ac:dyDescent="0.25">
      <c r="A207">
        <v>205</v>
      </c>
      <c r="B207" s="1">
        <f>ROUND((A207+Forudsætninger!$C$60)/30.4,1)</f>
        <v>8</v>
      </c>
      <c r="C207" s="1">
        <f>VLOOKUP((A207+Forudsætninger!$C$60),'Model tilvækst, slagteform, fe'!A:B,2,FALSE)</f>
        <v>359.9539462563103</v>
      </c>
      <c r="D207" s="3">
        <f t="shared" si="89"/>
        <v>1477.9132024244177</v>
      </c>
      <c r="E207" s="1">
        <f>(1+Forudsætninger!$C$78)*C207</f>
        <v>334.75717001836858</v>
      </c>
      <c r="F207" s="2">
        <f t="shared" si="90"/>
        <v>1.0377345502982395E-2</v>
      </c>
      <c r="G207" s="1">
        <f t="shared" si="80"/>
        <v>334.76754736387159</v>
      </c>
      <c r="H207" s="3">
        <f t="shared" si="81"/>
        <v>1332.2331867569233</v>
      </c>
      <c r="I207" s="3">
        <f t="shared" si="82"/>
        <v>1296.4270603115688</v>
      </c>
      <c r="J207" s="1">
        <f>VLOOKUP((A207+Forudsætninger!$C$60),'Model tilvækst, slagteform, fe'!G:K,2,FALSE)*(1+Forudsætninger!$C$79)</f>
        <v>50.286000000000016</v>
      </c>
      <c r="K207" s="17">
        <f t="shared" si="78"/>
        <v>168.34120886739652</v>
      </c>
      <c r="L207" s="17">
        <f t="shared" si="91"/>
        <v>718.53022098019892</v>
      </c>
      <c r="M207" s="3">
        <f>((K207-(('Model tilvækst, slagteform, fe'!$H$9/100)*'Model tilvækst, slagteform, fe'!$B$9))*1000/(A207+Forudsætninger!$C$60))</f>
        <v>606.12420015978546</v>
      </c>
      <c r="N207" s="17">
        <f t="shared" si="92"/>
        <v>1052.0542026654277</v>
      </c>
      <c r="O207" s="19">
        <f>IF( A207&lt;Forudsætninger!$C$14,(G207/100)*Forudsætninger!$C$13,(Forudsætninger!$C$15/1000)*Forudsætninger!$C$13)</f>
        <v>2.1759890578651655</v>
      </c>
      <c r="P207" s="17" cm="1">
        <f t="array" ref="P207">INDEX('Model tilvækst, slagteform, fe'!$N$9:$N$375,MATCH(MIN(ABS('Model tilvækst, slagteform, fe'!$M$9:$M$375-'Vækstfunktion, hol'!G207)),ABS('Model tilvækst, slagteform, fe'!$M$9:$M$375-'Vækstfunktion, hol'!G207),0))*(1+Forudsætninger!$C$80)</f>
        <v>7.2599989535801068</v>
      </c>
      <c r="Q207" s="17">
        <f t="shared" si="93"/>
        <v>10.10395769251879</v>
      </c>
      <c r="R207" s="17">
        <f t="shared" si="94"/>
        <v>7.7231145540819233</v>
      </c>
      <c r="S207" s="17">
        <f t="shared" si="83"/>
        <v>3.9585502936708212</v>
      </c>
      <c r="T207" s="19">
        <f>(P207)*IF(N207&lt;Forudsætninger!$B$228,IF(N207&lt;Forudsætninger!$B$227,Forudsætninger!$B$225,Forudsætninger!$C$9),Forudsætninger!$C$11)+O207</f>
        <v>19.164386609242616</v>
      </c>
      <c r="U207" s="2">
        <f>Forudsætninger!$C$68+((K207-(Forudsætninger!$C$84)))*0.01</f>
        <v>3.3804649476626056</v>
      </c>
      <c r="V207" s="2">
        <f>U207+Forudsætninger!$C$69</f>
        <v>2.3804649476626056</v>
      </c>
      <c r="W207">
        <f t="shared" si="84"/>
        <v>1</v>
      </c>
      <c r="X207">
        <f>IF(A207+Forudsætninger!$C$60&gt;248,IF(A207+Forudsætninger!$C$60&lt;365,IF(K207&gt;180,IF(K207&lt;260,1,0),0),0),0)</f>
        <v>0</v>
      </c>
      <c r="Y207" s="22">
        <f>IF(X207=0,0,IF('Vækstfunktion, hol'!A207&lt;Forudsætninger!$C$66,Forudsætninger!$C$67+(('Vækstfunktion, hol'!A207-Forudsætninger!$C$66)/7)*Forudsætninger!$C$64,Forudsætninger!$C$67))</f>
        <v>0</v>
      </c>
      <c r="Z207" s="19">
        <f t="shared" si="95"/>
        <v>3239.8675544886</v>
      </c>
      <c r="AA207" s="19">
        <f>Forudsætninger!$C$62+Forudsætninger!$C$16</f>
        <v>1350</v>
      </c>
      <c r="AB207" s="19">
        <f>IF(K207&gt;Forudsætninger!$C$26,IF(K207&gt;Forudsætninger!$C$27,IF(K207&gt;Forudsætninger!$C$28,Forudsætninger!$E$28,Forudsætninger!$E$27+Forudsætninger!$F$28*(K207-Forudsætninger!$C$27)),Forudsætninger!$E$26+Forudsætninger!$F$27*(K207-Forudsætninger!$C$26)),Forudsætninger!$E$26)+IF(K207&gt;Forudsætninger!$C$28,Forudsætninger!$G$28,IF(K207&gt;Forudsætninger!$C$27,Forudsætninger!$G$27+Forudsætninger!$H$28*(K207-Forudsætninger!$C$27),IF(K207&gt;Forudsætninger!$C$26,Forudsætninger!$G$26+Forudsætninger!$H$27*(K207-Forudsætninger!$C$26),Forudsætninger!$G$26)))*(U207-Forudsætninger!$H$26)</f>
        <v>33.885348710746953</v>
      </c>
      <c r="AC207" s="19">
        <f>IF(K207&gt;Forudsætninger!$C$31,IF(K207&gt;Forudsætninger!$C$32,IF(K207&gt;Forudsætninger!$C$33,Forudsætninger!$E$33,Forudsætninger!$E$32+Forudsætninger!$F$33*(K207-Forudsætninger!$C$32)),Forudsætninger!$E$31+Forudsætninger!$F$32*(K207-Forudsætninger!$C$31)),Forudsætninger!$E$31)+IF(K207&gt;Forudsætninger!$C$33,Forudsætninger!$G$33,IF(K207&gt;Forudsætninger!$C$32,Forudsætninger!$G$32+Forudsætninger!$H$33*(K207-Forudsætninger!$C$32),IF(K207&gt;Forudsætninger!$C$31,Forudsætninger!$G$31+Forudsætninger!$H$32*(K207-Forudsætninger!$C$31),Forudsætninger!$G$31)))*(V207-Forudsætninger!$H$31)</f>
        <v>27.494604431961388</v>
      </c>
      <c r="AD207" s="19">
        <f t="shared" si="85"/>
        <v>4628.4749474072578</v>
      </c>
      <c r="AE207" s="19">
        <f t="shared" si="86"/>
        <v>27.494604431961388</v>
      </c>
      <c r="AF207">
        <f>IF(G207&lt;=Forudsætninger!$C$97,Forudsætninger!$C$98,(IF(G207&lt;=Forudsætninger!$D$97,Forudsætninger!$D$98,IF(G207&lt;=Forudsætninger!$E$97,Forudsætninger!$E$98,IF(G207&lt;=Forudsætninger!$F$97,Forudsætninger!$F$98,IF(G207&lt;=Forudsætninger!$G$97,Forudsætninger!$G$98,IF(G207&lt;=Forudsætninger!$H$97,Forudsætninger!$H$98,IF(G207&lt;=Forudsætninger!$I$97,Forudsætninger!$I$98,Forudsætninger!$I$98))))))))</f>
        <v>3.8</v>
      </c>
      <c r="AG207" s="1">
        <f t="shared" si="96"/>
        <v>4.4000000000000004</v>
      </c>
      <c r="AH207" s="1">
        <f t="shared" si="100"/>
        <v>577.19999999999823</v>
      </c>
      <c r="AI207" s="1">
        <f t="shared" si="87"/>
        <v>2.8156097560975524</v>
      </c>
      <c r="AJ207" s="20">
        <f>+(W207*Forudsætninger!$C$12)</f>
        <v>900</v>
      </c>
      <c r="AK207" s="20">
        <f>Forudsætninger!$C$17</f>
        <v>250</v>
      </c>
      <c r="AL207" s="20">
        <f>IF(A207&lt;92,Forudsætninger!$C$20,Forudsætninger!$C$21)</f>
        <v>1.0566762728146013</v>
      </c>
      <c r="AM207" s="20">
        <f t="shared" si="97"/>
        <v>485.12411878028507</v>
      </c>
      <c r="AN207" s="20">
        <f>IFERROR(AD207+AJ207-AA207-Z207-AK207-AM207-Forudsætninger!$C$75,-99999999)</f>
        <v>21.089081588978132</v>
      </c>
      <c r="AO207" s="19">
        <f>IFERROR(AN207/(A207+Forudsætninger!$C$74),-99999999)</f>
        <v>0.1028735687267226</v>
      </c>
      <c r="AP207" s="19">
        <f>IFERROR(((365/(A207+Forudsætninger!$C$74))*AN207)/(AI207+Forudsætninger!$C$73),-9999999)</f>
        <v>12.834539024555299</v>
      </c>
      <c r="AQ207" s="18">
        <f t="shared" si="88"/>
        <v>205</v>
      </c>
      <c r="AR207" s="18">
        <f t="shared" si="98"/>
        <v>5324.9916732688853</v>
      </c>
      <c r="AS207" s="52">
        <f t="shared" si="79"/>
        <v>8</v>
      </c>
      <c r="AT207" s="50">
        <f t="shared" si="101"/>
        <v>1.1003868004812034</v>
      </c>
      <c r="AU207" s="50">
        <f t="shared" si="102"/>
        <v>4.889770743894517E-3</v>
      </c>
      <c r="AV207" s="2">
        <f t="shared" si="103"/>
        <v>0.57751060273989552</v>
      </c>
      <c r="AW207" s="61">
        <f t="shared" si="99"/>
        <v>2.469332684728113</v>
      </c>
      <c r="BA207" s="16"/>
      <c r="BB207" s="2"/>
    </row>
    <row r="208" spans="1:54" x14ac:dyDescent="0.25">
      <c r="A208">
        <v>206</v>
      </c>
      <c r="B208" s="1">
        <f>ROUND((A208+Forudsætninger!$C$60)/30.4,1)</f>
        <v>8.1</v>
      </c>
      <c r="C208" s="1">
        <f>VLOOKUP((A208+Forudsætninger!$C$60),'Model tilvækst, slagteform, fe'!A:B,2,FALSE)</f>
        <v>361.42834055134375</v>
      </c>
      <c r="D208" s="3">
        <f t="shared" si="89"/>
        <v>1474.3942950334485</v>
      </c>
      <c r="E208" s="1">
        <f>(1+Forudsætninger!$C$78)*C208</f>
        <v>336.12835671274968</v>
      </c>
      <c r="F208" s="2">
        <f t="shared" si="90"/>
        <v>0</v>
      </c>
      <c r="G208" s="1">
        <f t="shared" si="80"/>
        <v>336.12835671274968</v>
      </c>
      <c r="H208" s="3">
        <f t="shared" si="81"/>
        <v>1360.8093488780924</v>
      </c>
      <c r="I208" s="3">
        <f t="shared" si="82"/>
        <v>1296.7395956929597</v>
      </c>
      <c r="J208" s="1">
        <f>VLOOKUP((A208+Forudsætninger!$C$60),'Model tilvækst, slagteform, fe'!G:K,2,FALSE)*(1+Forudsætninger!$C$79)</f>
        <v>50.300352426980638</v>
      </c>
      <c r="K208" s="17">
        <f t="shared" si="78"/>
        <v>169.0737480335317</v>
      </c>
      <c r="L208" s="17">
        <f t="shared" si="91"/>
        <v>732.539166135183</v>
      </c>
      <c r="M208" s="3">
        <f>((K208-(('Model tilvækst, slagteform, fe'!$H$9/100)*'Model tilvækst, slagteform, fe'!$B$9))*1000/(A208+Forudsætninger!$C$60))</f>
        <v>606.64017961274601</v>
      </c>
      <c r="N208" s="17">
        <f t="shared" si="92"/>
        <v>1059.3207024353114</v>
      </c>
      <c r="O208" s="19">
        <f>IF( A208&lt;Forudsætninger!$C$14,(G208/100)*Forudsætninger!$C$13,(Forudsætninger!$C$15/1000)*Forudsætninger!$C$13)</f>
        <v>2.1848343186328729</v>
      </c>
      <c r="P208" s="17" cm="1">
        <f t="array" ref="P208">INDEX('Model tilvækst, slagteform, fe'!$N$9:$N$375,MATCH(MIN(ABS('Model tilvækst, slagteform, fe'!$M$9:$M$375-'Vækstfunktion, hol'!G208)),ABS('Model tilvækst, slagteform, fe'!$M$9:$M$375-'Vækstfunktion, hol'!G208),0))*(1+Forudsætninger!$C$80)</f>
        <v>7.2664997698837173</v>
      </c>
      <c r="Q208" s="17">
        <f t="shared" si="93"/>
        <v>9.9196058119611248</v>
      </c>
      <c r="R208" s="17">
        <f t="shared" si="94"/>
        <v>7.7348631374395245</v>
      </c>
      <c r="S208" s="17">
        <f t="shared" si="83"/>
        <v>3.9655868641996235</v>
      </c>
      <c r="T208" s="19">
        <f>(P208)*IF(N208&lt;Forudsætninger!$B$228,IF(N208&lt;Forudsætninger!$B$227,Forudsætninger!$B$225,Forudsætninger!$C$9),Forudsætninger!$C$11)+O208</f>
        <v>19.188443780160771</v>
      </c>
      <c r="U208" s="2">
        <f>Forudsætninger!$C$68+((K208-(Forudsætninger!$C$84)))*0.01</f>
        <v>3.3877903393239572</v>
      </c>
      <c r="V208" s="2">
        <f>U208+Forudsætninger!$C$69</f>
        <v>2.3877903393239572</v>
      </c>
      <c r="W208">
        <f t="shared" si="84"/>
        <v>1</v>
      </c>
      <c r="X208">
        <f>IF(A208+Forudsætninger!$C$60&gt;248,IF(A208+Forudsætninger!$C$60&lt;365,IF(K208&gt;180,IF(K208&lt;260,1,0),0),0),0)</f>
        <v>0</v>
      </c>
      <c r="Y208" s="22">
        <f>IF(X208=0,0,IF('Vækstfunktion, hol'!A208&lt;Forudsætninger!$C$66,Forudsætninger!$C$67+(('Vækstfunktion, hol'!A208-Forudsætninger!$C$66)/7)*Forudsætninger!$C$64,Forudsætninger!$C$67))</f>
        <v>0</v>
      </c>
      <c r="Z208" s="19">
        <f t="shared" si="95"/>
        <v>3259.055998268761</v>
      </c>
      <c r="AA208" s="19">
        <f>Forudsætninger!$C$62+Forudsætninger!$C$16</f>
        <v>1350</v>
      </c>
      <c r="AB208" s="19">
        <f>IF(K208&gt;Forudsætninger!$C$26,IF(K208&gt;Forudsætninger!$C$27,IF(K208&gt;Forudsætninger!$C$28,Forudsætninger!$E$28,Forudsætninger!$E$27+Forudsætninger!$F$28*(K208-Forudsætninger!$C$27)),Forudsætninger!$E$26+Forudsætninger!$F$27*(K208-Forudsætninger!$C$26)),Forudsætninger!$E$26)+IF(K208&gt;Forudsætninger!$C$28,Forudsætninger!$G$28,IF(K208&gt;Forudsætninger!$C$27,Forudsætninger!$G$27+Forudsætninger!$H$28*(K208-Forudsætninger!$C$27),IF(K208&gt;Forudsætninger!$C$26,Forudsætninger!$G$26+Forudsætninger!$H$27*(K208-Forudsætninger!$C$26),Forudsætninger!$G$26)))*(U208-Forudsætninger!$H$26)</f>
        <v>33.890842754492972</v>
      </c>
      <c r="AC208" s="19">
        <f>IF(K208&gt;Forudsætninger!$C$31,IF(K208&gt;Forudsætninger!$C$32,IF(K208&gt;Forudsætninger!$C$33,Forudsætninger!$E$33,Forudsætninger!$E$32+Forudsætninger!$F$33*(K208-Forudsætninger!$C$32)),Forudsætninger!$E$31+Forudsætninger!$F$32*(K208-Forudsætninger!$C$31)),Forudsætninger!$E$31)+IF(K208&gt;Forudsætninger!$C$33,Forudsætninger!$G$33,IF(K208&gt;Forudsætninger!$C$32,Forudsætninger!$G$32+Forudsætninger!$H$33*(K208-Forudsætninger!$C$32),IF(K208&gt;Forudsætninger!$C$31,Forudsætninger!$G$31+Forudsætninger!$H$32*(K208-Forudsætninger!$C$31),Forudsætninger!$G$31)))*(V208-Forudsætninger!$H$31)</f>
        <v>27.504127441121145</v>
      </c>
      <c r="AD208" s="19">
        <f t="shared" si="85"/>
        <v>4650.2259128622618</v>
      </c>
      <c r="AE208" s="19">
        <f t="shared" si="86"/>
        <v>27.504127441121145</v>
      </c>
      <c r="AF208">
        <f>IF(G208&lt;=Forudsætninger!$C$97,Forudsætninger!$C$98,(IF(G208&lt;=Forudsætninger!$D$97,Forudsætninger!$D$98,IF(G208&lt;=Forudsætninger!$E$97,Forudsætninger!$E$98,IF(G208&lt;=Forudsætninger!$F$97,Forudsætninger!$F$98,IF(G208&lt;=Forudsætninger!$G$97,Forudsætninger!$G$98,IF(G208&lt;=Forudsætninger!$H$97,Forudsætninger!$H$98,IF(G208&lt;=Forudsætninger!$I$97,Forudsætninger!$I$98,Forudsætninger!$I$98))))))))</f>
        <v>3.8</v>
      </c>
      <c r="AG208" s="1">
        <f t="shared" si="96"/>
        <v>4.4000000000000004</v>
      </c>
      <c r="AH208" s="1">
        <f t="shared" si="100"/>
        <v>581.5999999999982</v>
      </c>
      <c r="AI208" s="1">
        <f t="shared" si="87"/>
        <v>2.8233009708737775</v>
      </c>
      <c r="AJ208" s="20">
        <f>+(W208*Forudsætninger!$C$12)</f>
        <v>900</v>
      </c>
      <c r="AK208" s="20">
        <f>Forudsætninger!$C$17</f>
        <v>250</v>
      </c>
      <c r="AL208" s="20">
        <f>IF(A208&lt;92,Forudsætninger!$C$20,Forudsætninger!$C$21)</f>
        <v>1.0566762728146013</v>
      </c>
      <c r="AM208" s="20">
        <f t="shared" si="97"/>
        <v>486.1807950530997</v>
      </c>
      <c r="AN208" s="20">
        <f>IFERROR(AD208+AJ208-AA208-Z208-AK208-AM208-Forudsætninger!$C$75,-99999999)</f>
        <v>22.594926991006588</v>
      </c>
      <c r="AO208" s="19">
        <f>IFERROR(AN208/(A208+Forudsætninger!$C$74),-99999999)</f>
        <v>0.1096841116068281</v>
      </c>
      <c r="AP208" s="19">
        <f>IFERROR(((365/(A208+Forudsætninger!$C$74))*AN208)/(AI208+Forudsætninger!$C$73),-9999999)</f>
        <v>13.648344010388623</v>
      </c>
      <c r="AQ208" s="18">
        <f t="shared" si="88"/>
        <v>206</v>
      </c>
      <c r="AR208" s="18">
        <f t="shared" si="98"/>
        <v>5345.2367933218611</v>
      </c>
      <c r="AS208" s="52">
        <f t="shared" si="79"/>
        <v>8.1</v>
      </c>
      <c r="AT208" s="50">
        <f t="shared" si="101"/>
        <v>1.5058454020284557</v>
      </c>
      <c r="AU208" s="50">
        <f t="shared" si="102"/>
        <v>6.8105428801055051E-3</v>
      </c>
      <c r="AV208" s="2">
        <f t="shared" si="103"/>
        <v>0.81380498583332361</v>
      </c>
      <c r="AW208" s="61">
        <f t="shared" si="99"/>
        <v>2.4697850584665351</v>
      </c>
      <c r="BA208" s="16"/>
      <c r="BB208" s="2"/>
    </row>
    <row r="209" spans="1:54" x14ac:dyDescent="0.25">
      <c r="A209">
        <v>207</v>
      </c>
      <c r="B209" s="1">
        <f>ROUND((A209+Forudsætninger!$C$60)/30.4,1)</f>
        <v>8.1</v>
      </c>
      <c r="C209" s="1">
        <f>VLOOKUP((A209+Forudsætninger!$C$60),'Model tilvækst, slagteform, fe'!A:B,2,FALSE)</f>
        <v>362.89918667397632</v>
      </c>
      <c r="D209" s="3">
        <f t="shared" si="89"/>
        <v>1470.8461226325653</v>
      </c>
      <c r="E209" s="1">
        <f>(1+Forudsætninger!$C$78)*C209</f>
        <v>337.49624360679798</v>
      </c>
      <c r="F209" s="2">
        <f t="shared" si="90"/>
        <v>0</v>
      </c>
      <c r="G209" s="1">
        <f t="shared" si="80"/>
        <v>337.49624360679798</v>
      </c>
      <c r="H209" s="3">
        <f t="shared" si="81"/>
        <v>1367.8868940482971</v>
      </c>
      <c r="I209" s="3">
        <f t="shared" si="82"/>
        <v>1297.0833024482995</v>
      </c>
      <c r="J209" s="1">
        <f>VLOOKUP((A209+Forudsætninger!$C$60),'Model tilvækst, slagteform, fe'!G:K,2,FALSE)*(1+Forudsætninger!$C$79)</f>
        <v>50.314483205726148</v>
      </c>
      <c r="K209" s="17">
        <f t="shared" si="78"/>
        <v>169.80949080949898</v>
      </c>
      <c r="L209" s="17">
        <f t="shared" si="91"/>
        <v>735.74277596728166</v>
      </c>
      <c r="M209" s="3">
        <f>((K209-(('Model tilvækst, slagteform, fe'!$H$9/100)*'Model tilvækst, slagteform, fe'!$B$9))*1000/(A209+Forudsætninger!$C$60))</f>
        <v>607.16498691500044</v>
      </c>
      <c r="N209" s="17">
        <f t="shared" si="92"/>
        <v>1066.5937302432576</v>
      </c>
      <c r="O209" s="19">
        <f>IF( A209&lt;Forudsætninger!$C$14,(G209/100)*Forudsætninger!$C$13,(Forudsætninger!$C$15/1000)*Forudsætninger!$C$13)</f>
        <v>2.1937255834441869</v>
      </c>
      <c r="P209" s="17" cm="1">
        <f t="array" ref="P209">INDEX('Model tilvækst, slagteform, fe'!$N$9:$N$375,MATCH(MIN(ABS('Model tilvækst, slagteform, fe'!$M$9:$M$375-'Vækstfunktion, hol'!G209)),ABS('Model tilvækst, slagteform, fe'!$M$9:$M$375-'Vækstfunktion, hol'!G209),0))*(1+Forudsætninger!$C$80)</f>
        <v>7.2730278079461463</v>
      </c>
      <c r="Q209" s="17">
        <f t="shared" si="93"/>
        <v>9.8852860612654876</v>
      </c>
      <c r="R209" s="17">
        <f t="shared" si="94"/>
        <v>7.7463538826382026</v>
      </c>
      <c r="S209" s="17">
        <f t="shared" si="83"/>
        <v>3.972471703571546</v>
      </c>
      <c r="T209" s="19">
        <f>(P209)*IF(N209&lt;Forudsætninger!$B$228,IF(N209&lt;Forudsætninger!$B$227,Forudsætninger!$B$225,Forudsætninger!$C$9),Forudsætninger!$C$11)+O209</f>
        <v>19.212610654038169</v>
      </c>
      <c r="U209" s="2">
        <f>Forudsætninger!$C$68+((K209-(Forudsætninger!$C$84)))*0.01</f>
        <v>3.3951477670836301</v>
      </c>
      <c r="V209" s="2">
        <f>U209+Forudsætninger!$C$69</f>
        <v>2.3951477670836301</v>
      </c>
      <c r="W209">
        <f t="shared" si="84"/>
        <v>1</v>
      </c>
      <c r="X209">
        <f>IF(A209+Forudsætninger!$C$60&gt;248,IF(A209+Forudsætninger!$C$60&lt;365,IF(K209&gt;180,IF(K209&lt;260,1,0),0),0),0)</f>
        <v>0</v>
      </c>
      <c r="Y209" s="22">
        <f>IF(X209=0,0,IF('Vækstfunktion, hol'!A209&lt;Forudsætninger!$C$66,Forudsætninger!$C$67+(('Vækstfunktion, hol'!A209-Forudsætninger!$C$66)/7)*Forudsætninger!$C$64,Forudsætninger!$C$67))</f>
        <v>0</v>
      </c>
      <c r="Z209" s="19">
        <f t="shared" si="95"/>
        <v>3278.2686089227991</v>
      </c>
      <c r="AA209" s="19">
        <f>Forudsætninger!$C$62+Forudsætninger!$C$16</f>
        <v>1350</v>
      </c>
      <c r="AB209" s="19">
        <f>IF(K209&gt;Forudsætninger!$C$26,IF(K209&gt;Forudsætninger!$C$27,IF(K209&gt;Forudsætninger!$C$28,Forudsætninger!$E$28,Forudsætninger!$E$27+Forudsætninger!$F$28*(K209-Forudsætninger!$C$27)),Forudsætninger!$E$26+Forudsætninger!$F$27*(K209-Forudsætninger!$C$26)),Forudsætninger!$E$26)+IF(K209&gt;Forudsætninger!$C$28,Forudsætninger!$G$28,IF(K209&gt;Forudsætninger!$C$27,Forudsætninger!$G$27+Forudsætninger!$H$28*(K209-Forudsætninger!$C$27),IF(K209&gt;Forudsætninger!$C$26,Forudsætninger!$G$26+Forudsætninger!$H$27*(K209-Forudsætninger!$C$26),Forudsætninger!$G$26)))*(U209-Forudsætninger!$H$26)</f>
        <v>33.896360825312726</v>
      </c>
      <c r="AC209" s="19">
        <f>IF(K209&gt;Forudsætninger!$C$31,IF(K209&gt;Forudsætninger!$C$32,IF(K209&gt;Forudsætninger!$C$33,Forudsætninger!$E$33,Forudsætninger!$E$32+Forudsætninger!$F$33*(K209-Forudsætninger!$C$32)),Forudsætninger!$E$31+Forudsætninger!$F$32*(K209-Forudsætninger!$C$31)),Forudsætninger!$E$31)+IF(K209&gt;Forudsætninger!$C$33,Forudsætninger!$G$33,IF(K209&gt;Forudsætninger!$C$32,Forudsætninger!$G$32+Forudsætninger!$H$33*(K209-Forudsætninger!$C$32),IF(K209&gt;Forudsætninger!$C$31,Forudsætninger!$G$31+Forudsætninger!$H$32*(K209-Forudsætninger!$C$31),Forudsætninger!$G$31)))*(V209-Forudsætninger!$H$31)</f>
        <v>27.513692097208718</v>
      </c>
      <c r="AD209" s="19">
        <f t="shared" si="85"/>
        <v>4672.0860453163486</v>
      </c>
      <c r="AE209" s="19">
        <f t="shared" si="86"/>
        <v>27.513692097208718</v>
      </c>
      <c r="AF209">
        <f>IF(G209&lt;=Forudsætninger!$C$97,Forudsætninger!$C$98,(IF(G209&lt;=Forudsætninger!$D$97,Forudsætninger!$D$98,IF(G209&lt;=Forudsætninger!$E$97,Forudsætninger!$E$98,IF(G209&lt;=Forudsætninger!$F$97,Forudsætninger!$F$98,IF(G209&lt;=Forudsætninger!$G$97,Forudsætninger!$G$98,IF(G209&lt;=Forudsætninger!$H$97,Forudsætninger!$H$98,IF(G209&lt;=Forudsætninger!$I$97,Forudsætninger!$I$98,Forudsætninger!$I$98))))))))</f>
        <v>3.8</v>
      </c>
      <c r="AG209" s="1">
        <f t="shared" si="96"/>
        <v>4.4000000000000004</v>
      </c>
      <c r="AH209" s="1">
        <f t="shared" si="100"/>
        <v>585.99999999999818</v>
      </c>
      <c r="AI209" s="1">
        <f t="shared" si="87"/>
        <v>2.8309178743961265</v>
      </c>
      <c r="AJ209" s="20">
        <f>+(W209*Forudsætninger!$C$12)</f>
        <v>900</v>
      </c>
      <c r="AK209" s="20">
        <f>Forudsætninger!$C$17</f>
        <v>250</v>
      </c>
      <c r="AL209" s="20">
        <f>IF(A209&lt;92,Forudsætninger!$C$20,Forudsætninger!$C$21)</f>
        <v>1.0566762728146013</v>
      </c>
      <c r="AM209" s="20">
        <f t="shared" si="97"/>
        <v>487.23747132591433</v>
      </c>
      <c r="AN209" s="20">
        <f>IFERROR(AD209+AJ209-AA209-Z209-AK209-AM209-Forudsætninger!$C$75,-99999999)</f>
        <v>24.185772518240668</v>
      </c>
      <c r="AO209" s="19">
        <f>IFERROR(AN209/(A209+Forudsætninger!$C$74),-99999999)</f>
        <v>0.11683948076444767</v>
      </c>
      <c r="AP209" s="19">
        <f>IFERROR(((365/(A209+Forudsætninger!$C$74))*AN209)/(AI209+Forudsætninger!$C$73),-9999999)</f>
        <v>14.501054534812607</v>
      </c>
      <c r="AQ209" s="18">
        <f t="shared" si="88"/>
        <v>207</v>
      </c>
      <c r="AR209" s="18">
        <f t="shared" si="98"/>
        <v>5365.5060802487133</v>
      </c>
      <c r="AS209" s="52">
        <f t="shared" si="79"/>
        <v>8.1</v>
      </c>
      <c r="AT209" s="50">
        <f t="shared" si="101"/>
        <v>1.5908455272340802</v>
      </c>
      <c r="AU209" s="50">
        <f t="shared" si="102"/>
        <v>7.1553691576195649E-3</v>
      </c>
      <c r="AV209" s="2">
        <f t="shared" si="103"/>
        <v>0.85271052442398343</v>
      </c>
      <c r="AW209" s="61">
        <f t="shared" si="99"/>
        <v>2.4706436900683815</v>
      </c>
      <c r="BA209" s="16"/>
      <c r="BB209" s="2"/>
    </row>
    <row r="210" spans="1:54" x14ac:dyDescent="0.25">
      <c r="A210">
        <v>208</v>
      </c>
      <c r="B210" s="1">
        <f>ROUND((A210+Forudsætninger!$C$60)/30.4,1)</f>
        <v>8.1</v>
      </c>
      <c r="C210" s="1">
        <f>VLOOKUP((A210+Forudsætninger!$C$60),'Model tilvækst, slagteform, fe'!A:B,2,FALSE)</f>
        <v>364.36645589354657</v>
      </c>
      <c r="D210" s="3">
        <f t="shared" si="89"/>
        <v>1467.2692195702552</v>
      </c>
      <c r="E210" s="1">
        <f>(1+Forudsætninger!$C$78)*C210</f>
        <v>338.8608039809983</v>
      </c>
      <c r="F210" s="2">
        <f t="shared" si="90"/>
        <v>0</v>
      </c>
      <c r="G210" s="1">
        <f t="shared" si="80"/>
        <v>338.8608039809983</v>
      </c>
      <c r="H210" s="3">
        <f t="shared" si="81"/>
        <v>1364.5603742003232</v>
      </c>
      <c r="I210" s="3">
        <f t="shared" si="82"/>
        <v>1297.4077114471072</v>
      </c>
      <c r="J210" s="1">
        <f>VLOOKUP((A210+Forudsætninger!$C$60),'Model tilvækst, slagteform, fe'!G:K,2,FALSE)*(1+Forudsætninger!$C$79)</f>
        <v>50.328396285061871</v>
      </c>
      <c r="K210" s="17">
        <f t="shared" si="78"/>
        <v>170.54320828230354</v>
      </c>
      <c r="L210" s="17">
        <f t="shared" si="91"/>
        <v>733.71747280455679</v>
      </c>
      <c r="M210" s="3">
        <f>((K210-(('Model tilvækst, slagteform, fe'!$H$9/100)*'Model tilvækst, slagteform, fe'!$B$9))*1000/(A210+Forudsætninger!$C$60))</f>
        <v>607.67734515746815</v>
      </c>
      <c r="N210" s="17">
        <f t="shared" si="92"/>
        <v>1073.8733149814584</v>
      </c>
      <c r="O210" s="19">
        <f>IF( A210&lt;Forudsætninger!$C$14,(G210/100)*Forudsætninger!$C$13,(Forudsætninger!$C$15/1000)*Forudsætninger!$C$13)</f>
        <v>2.2025952258764891</v>
      </c>
      <c r="P210" s="17" cm="1">
        <f t="array" ref="P210">INDEX('Model tilvækst, slagteform, fe'!$N$9:$N$375,MATCH(MIN(ABS('Model tilvækst, slagteform, fe'!$M$9:$M$375-'Vækstfunktion, hol'!G210)),ABS('Model tilvækst, slagteform, fe'!$M$9:$M$375-'Vækstfunktion, hol'!G210),0))*(1+Forudsætninger!$C$80)</f>
        <v>7.2795847382007981</v>
      </c>
      <c r="Q210" s="17">
        <f t="shared" si="93"/>
        <v>9.9215093111730894</v>
      </c>
      <c r="R210" s="17">
        <f t="shared" si="94"/>
        <v>7.7578833528527245</v>
      </c>
      <c r="S210" s="17">
        <f t="shared" si="83"/>
        <v>3.9793600965372988</v>
      </c>
      <c r="T210" s="19">
        <f>(P210)*IF(N210&lt;Forudsætninger!$B$228,IF(N210&lt;Forudsætninger!$B$227,Forudsætninger!$B$225,Forudsætninger!$C$9),Forudsætninger!$C$11)+O210</f>
        <v>19.236823513266355</v>
      </c>
      <c r="U210" s="2">
        <f>Forudsætninger!$C$68+((K210-(Forudsætninger!$C$84)))*0.01</f>
        <v>3.4024849418116756</v>
      </c>
      <c r="V210" s="2">
        <f>U210+Forudsætninger!$C$69</f>
        <v>2.4024849418116756</v>
      </c>
      <c r="W210">
        <f t="shared" si="84"/>
        <v>1</v>
      </c>
      <c r="X210">
        <f>IF(A210+Forudsætninger!$C$60&gt;248,IF(A210+Forudsætninger!$C$60&lt;365,IF(K210&gt;180,IF(K210&lt;260,1,0),0),0),0)</f>
        <v>0</v>
      </c>
      <c r="Y210" s="22">
        <f>IF(X210=0,0,IF('Vækstfunktion, hol'!A210&lt;Forudsætninger!$C$66,Forudsætninger!$C$67+(('Vækstfunktion, hol'!A210-Forudsætninger!$C$66)/7)*Forudsætninger!$C$64,Forudsætninger!$C$67))</f>
        <v>0</v>
      </c>
      <c r="Z210" s="19">
        <f t="shared" si="95"/>
        <v>3297.5054324360653</v>
      </c>
      <c r="AA210" s="19">
        <f>Forudsætninger!$C$62+Forudsætninger!$C$16</f>
        <v>1350</v>
      </c>
      <c r="AB210" s="19">
        <f>IF(K210&gt;Forudsætninger!$C$26,IF(K210&gt;Forudsætninger!$C$27,IF(K210&gt;Forudsætninger!$C$28,Forudsætninger!$E$28,Forudsætninger!$E$27+Forudsætninger!$F$28*(K210-Forudsætninger!$C$27)),Forudsætninger!$E$26+Forudsætninger!$F$27*(K210-Forudsætninger!$C$26)),Forudsætninger!$E$26)+IF(K210&gt;Forudsætninger!$C$28,Forudsætninger!$G$28,IF(K210&gt;Forudsætninger!$C$27,Forudsætninger!$G$27+Forudsætninger!$H$28*(K210-Forudsætninger!$C$27),IF(K210&gt;Forudsætninger!$C$26,Forudsætninger!$G$26+Forudsætninger!$H$27*(K210-Forudsætninger!$C$26),Forudsætninger!$G$26)))*(U210-Forudsætninger!$H$26)</f>
        <v>33.90186370635876</v>
      </c>
      <c r="AC210" s="19">
        <f>IF(K210&gt;Forudsætninger!$C$31,IF(K210&gt;Forudsætninger!$C$32,IF(K210&gt;Forudsætninger!$C$33,Forudsætninger!$E$33,Forudsætninger!$E$32+Forudsætninger!$F$33*(K210-Forudsætninger!$C$32)),Forudsætninger!$E$31+Forudsætninger!$F$32*(K210-Forudsætninger!$C$31)),Forudsætninger!$E$31)+IF(K210&gt;Forudsætninger!$C$33,Forudsætninger!$G$33,IF(K210&gt;Forudsætninger!$C$32,Forudsætninger!$G$32+Forudsætninger!$H$33*(K210-Forudsætninger!$C$32),IF(K210&gt;Forudsætninger!$C$31,Forudsætninger!$G$31+Forudsætninger!$H$32*(K210-Forudsætninger!$C$31),Forudsætninger!$G$31)))*(V210-Forudsætninger!$H$31)</f>
        <v>27.52323042435518</v>
      </c>
      <c r="AD210" s="19">
        <f t="shared" si="85"/>
        <v>4693.9000188626387</v>
      </c>
      <c r="AE210" s="19">
        <f t="shared" si="86"/>
        <v>27.523230424355177</v>
      </c>
      <c r="AF210">
        <f>IF(G210&lt;=Forudsætninger!$C$97,Forudsætninger!$C$98,(IF(G210&lt;=Forudsætninger!$D$97,Forudsætninger!$D$98,IF(G210&lt;=Forudsætninger!$E$97,Forudsætninger!$E$98,IF(G210&lt;=Forudsætninger!$F$97,Forudsætninger!$F$98,IF(G210&lt;=Forudsætninger!$G$97,Forudsætninger!$G$98,IF(G210&lt;=Forudsætninger!$H$97,Forudsætninger!$H$98,IF(G210&lt;=Forudsætninger!$I$97,Forudsætninger!$I$98,Forudsætninger!$I$98))))))))</f>
        <v>3.8</v>
      </c>
      <c r="AG210" s="1">
        <f t="shared" si="96"/>
        <v>4.4000000000000004</v>
      </c>
      <c r="AH210" s="1">
        <f t="shared" si="100"/>
        <v>590.39999999999816</v>
      </c>
      <c r="AI210" s="1">
        <f t="shared" si="87"/>
        <v>2.8384615384615297</v>
      </c>
      <c r="AJ210" s="20">
        <f>+(W210*Forudsætninger!$C$12)</f>
        <v>900</v>
      </c>
      <c r="AK210" s="20">
        <f>Forudsætninger!$C$17</f>
        <v>250</v>
      </c>
      <c r="AL210" s="20">
        <f>IF(A210&lt;92,Forudsætninger!$C$20,Forudsætninger!$C$21)</f>
        <v>1.0566762728146013</v>
      </c>
      <c r="AM210" s="20">
        <f t="shared" si="97"/>
        <v>488.29414759872896</v>
      </c>
      <c r="AN210" s="20">
        <f>IFERROR(AD210+AJ210-AA210-Z210-AK210-AM210-Forudsætninger!$C$75,-99999999)</f>
        <v>25.706246278449868</v>
      </c>
      <c r="AO210" s="19">
        <f>IFERROR(AN210/(A210+Forudsætninger!$C$74),-99999999)</f>
        <v>0.12358772249254744</v>
      </c>
      <c r="AP210" s="19">
        <f>IFERROR(((365/(A210+Forudsætninger!$C$74))*AN210)/(AI210+Forudsætninger!$C$73),-9999999)</f>
        <v>15.299341070366275</v>
      </c>
      <c r="AQ210" s="18">
        <f t="shared" si="88"/>
        <v>208</v>
      </c>
      <c r="AR210" s="18">
        <f t="shared" si="98"/>
        <v>5385.7995800347944</v>
      </c>
      <c r="AS210" s="52">
        <f t="shared" si="79"/>
        <v>8.1</v>
      </c>
      <c r="AT210" s="50">
        <f t="shared" si="101"/>
        <v>1.5204737602091996</v>
      </c>
      <c r="AU210" s="50">
        <f t="shared" si="102"/>
        <v>6.748241728099777E-3</v>
      </c>
      <c r="AV210" s="2">
        <f t="shared" si="103"/>
        <v>0.79828653555366813</v>
      </c>
      <c r="AW210" s="61">
        <f t="shared" si="99"/>
        <v>2.4711557397941286</v>
      </c>
      <c r="BA210" s="16"/>
      <c r="BB210" s="2"/>
    </row>
    <row r="211" spans="1:54" x14ac:dyDescent="0.25">
      <c r="A211">
        <v>209</v>
      </c>
      <c r="B211" s="1">
        <f>ROUND((A211+Forudsætninger!$C$60)/30.4,1)</f>
        <v>8.1999999999999993</v>
      </c>
      <c r="C211" s="1">
        <f>VLOOKUP((A211+Forudsætninger!$C$60),'Model tilvækst, slagteform, fe'!A:B,2,FALSE)</f>
        <v>365.83012001373959</v>
      </c>
      <c r="D211" s="3">
        <f t="shared" si="89"/>
        <v>1463.6641201930161</v>
      </c>
      <c r="E211" s="1">
        <f>(1+Forudsætninger!$C$78)*C211</f>
        <v>340.22201161277781</v>
      </c>
      <c r="F211" s="2">
        <f t="shared" si="90"/>
        <v>0</v>
      </c>
      <c r="G211" s="1">
        <f t="shared" si="80"/>
        <v>340.22201161277781</v>
      </c>
      <c r="H211" s="3">
        <f t="shared" si="81"/>
        <v>1361.2076317795072</v>
      </c>
      <c r="I211" s="3">
        <f t="shared" si="82"/>
        <v>1297.7129742238174</v>
      </c>
      <c r="J211" s="1">
        <f>VLOOKUP((A211+Forudsætninger!$C$60),'Model tilvækst, slagteform, fe'!G:K,2,FALSE)*(1+Forudsætninger!$C$79)</f>
        <v>50.342095613813171</v>
      </c>
      <c r="K211" s="17">
        <f t="shared" si="78"/>
        <v>171.27489038534316</v>
      </c>
      <c r="L211" s="17">
        <f t="shared" si="91"/>
        <v>731.682103039617</v>
      </c>
      <c r="M211" s="3">
        <f>((K211-(('Model tilvækst, slagteform, fe'!$H$9/100)*'Model tilvækst, slagteform, fe'!$B$9))*1000/(A211+Forudsætninger!$C$60))</f>
        <v>608.17736434247695</v>
      </c>
      <c r="N211" s="17">
        <f t="shared" si="92"/>
        <v>1081.1594872125395</v>
      </c>
      <c r="O211" s="19">
        <f>IF( A211&lt;Forudsætninger!$C$14,(G211/100)*Forudsætninger!$C$13,(Forudsætninger!$C$15/1000)*Forudsætninger!$C$13)</f>
        <v>2.2114430754830559</v>
      </c>
      <c r="P211" s="17" cm="1">
        <f t="array" ref="P211">INDEX('Model tilvækst, slagteform, fe'!$N$9:$N$375,MATCH(MIN(ABS('Model tilvækst, slagteform, fe'!$M$9:$M$375-'Vækstfunktion, hol'!G211)),ABS('Model tilvækst, slagteform, fe'!$M$9:$M$375-'Vækstfunktion, hol'!G211),0))*(1+Forudsætninger!$C$80)</f>
        <v>7.2861722310810819</v>
      </c>
      <c r="Q211" s="17">
        <f t="shared" si="93"/>
        <v>9.9581118641719346</v>
      </c>
      <c r="R211" s="17">
        <f t="shared" si="94"/>
        <v>7.7694522206197654</v>
      </c>
      <c r="S211" s="17">
        <f t="shared" si="83"/>
        <v>3.9862527410057891</v>
      </c>
      <c r="T211" s="19">
        <f>(P211)*IF(N211&lt;Forudsætninger!$B$228,IF(N211&lt;Forudsætninger!$B$227,Forudsætninger!$B$225,Forudsætninger!$C$9),Forudsætninger!$C$11)+O211</f>
        <v>19.261086096212789</v>
      </c>
      <c r="U211" s="2">
        <f>Forudsætninger!$C$68+((K211-(Forudsætninger!$C$84)))*0.01</f>
        <v>3.409801762842072</v>
      </c>
      <c r="V211" s="2">
        <f>U211+Forudsætninger!$C$69</f>
        <v>2.409801762842072</v>
      </c>
      <c r="W211">
        <f t="shared" si="84"/>
        <v>1</v>
      </c>
      <c r="X211">
        <f>IF(A211+Forudsætninger!$C$60&gt;248,IF(A211+Forudsætninger!$C$60&lt;365,IF(K211&gt;180,IF(K211&lt;260,1,0),0),0),0)</f>
        <v>0</v>
      </c>
      <c r="Y211" s="22">
        <f>IF(X211=0,0,IF('Vækstfunktion, hol'!A211&lt;Forudsætninger!$C$66,Forudsætninger!$C$67+(('Vækstfunktion, hol'!A211-Forudsætninger!$C$66)/7)*Forudsætninger!$C$64,Forudsætninger!$C$67))</f>
        <v>0</v>
      </c>
      <c r="Z211" s="19">
        <f t="shared" si="95"/>
        <v>3316.766518532278</v>
      </c>
      <c r="AA211" s="19">
        <f>Forudsætninger!$C$62+Forudsætninger!$C$16</f>
        <v>1350</v>
      </c>
      <c r="AB211" s="19">
        <f>IF(K211&gt;Forudsætninger!$C$26,IF(K211&gt;Forudsætninger!$C$27,IF(K211&gt;Forudsætninger!$C$28,Forudsætninger!$E$28,Forudsætninger!$E$27+Forudsætninger!$F$28*(K211-Forudsætninger!$C$27)),Forudsætninger!$E$26+Forudsætninger!$F$27*(K211-Forudsætninger!$C$26)),Forudsætninger!$E$26)+IF(K211&gt;Forudsætninger!$C$28,Forudsætninger!$G$28,IF(K211&gt;Forudsætninger!$C$27,Forudsætninger!$G$27+Forudsætninger!$H$28*(K211-Forudsætninger!$C$27),IF(K211&gt;Forudsætninger!$C$26,Forudsætninger!$G$26+Forudsætninger!$H$27*(K211-Forudsætninger!$C$26),Forudsætninger!$G$26)))*(U211-Forudsætninger!$H$26)</f>
        <v>33.907351322131554</v>
      </c>
      <c r="AC211" s="19">
        <f>IF(K211&gt;Forudsætninger!$C$31,IF(K211&gt;Forudsætninger!$C$32,IF(K211&gt;Forudsætninger!$C$33,Forudsætninger!$E$33,Forudsætninger!$E$32+Forudsætninger!$F$33*(K211-Forudsætninger!$C$32)),Forudsætninger!$E$31+Forudsætninger!$F$32*(K211-Forudsætninger!$C$31)),Forudsætninger!$E$31)+IF(K211&gt;Forudsætninger!$C$33,Forudsætninger!$G$33,IF(K211&gt;Forudsætninger!$C$32,Forudsætninger!$G$32+Forudsætninger!$H$33*(K211-Forudsætninger!$C$32),IF(K211&gt;Forudsætninger!$C$31,Forudsætninger!$G$31+Forudsætninger!$H$32*(K211-Forudsætninger!$C$31),Forudsætninger!$G$31)))*(V211-Forudsætninger!$H$31)</f>
        <v>27.532742291694692</v>
      </c>
      <c r="AD211" s="19">
        <f t="shared" si="85"/>
        <v>4715.6674180179098</v>
      </c>
      <c r="AE211" s="19">
        <f t="shared" si="86"/>
        <v>27.532742291694689</v>
      </c>
      <c r="AF211">
        <f>IF(G211&lt;=Forudsætninger!$C$97,Forudsætninger!$C$98,(IF(G211&lt;=Forudsætninger!$D$97,Forudsætninger!$D$98,IF(G211&lt;=Forudsætninger!$E$97,Forudsætninger!$E$98,IF(G211&lt;=Forudsætninger!$F$97,Forudsætninger!$F$98,IF(G211&lt;=Forudsætninger!$G$97,Forudsætninger!$G$98,IF(G211&lt;=Forudsætninger!$H$97,Forudsætninger!$H$98,IF(G211&lt;=Forudsætninger!$I$97,Forudsætninger!$I$98,Forudsætninger!$I$98))))))))</f>
        <v>3.8</v>
      </c>
      <c r="AG211" s="1">
        <f t="shared" si="96"/>
        <v>4.4000000000000004</v>
      </c>
      <c r="AH211" s="1">
        <f t="shared" si="100"/>
        <v>594.79999999999814</v>
      </c>
      <c r="AI211" s="1">
        <f t="shared" si="87"/>
        <v>2.845933014354058</v>
      </c>
      <c r="AJ211" s="20">
        <f>+(W211*Forudsætninger!$C$12)</f>
        <v>900</v>
      </c>
      <c r="AK211" s="20">
        <f>Forudsætninger!$C$17</f>
        <v>250</v>
      </c>
      <c r="AL211" s="20">
        <f>IF(A211&lt;92,Forudsætninger!$C$20,Forudsætninger!$C$21)</f>
        <v>1.0566762728146013</v>
      </c>
      <c r="AM211" s="20">
        <f t="shared" si="97"/>
        <v>489.35082387154358</v>
      </c>
      <c r="AN211" s="20">
        <f>IFERROR(AD211+AJ211-AA211-Z211-AK211-AM211-Forudsætninger!$C$75,-99999999)</f>
        <v>27.155883064693597</v>
      </c>
      <c r="AO211" s="19">
        <f>IFERROR(AN211/(A211+Forudsætninger!$C$74),-99999999)</f>
        <v>0.1299324548549933</v>
      </c>
      <c r="AP211" s="19">
        <f>IFERROR(((365/(A211+Forudsætninger!$C$74))*AN211)/(AI211+Forudsætninger!$C$73),-9999999)</f>
        <v>16.044120686014978</v>
      </c>
      <c r="AQ211" s="18">
        <f t="shared" si="88"/>
        <v>209</v>
      </c>
      <c r="AR211" s="18">
        <f t="shared" si="98"/>
        <v>5406.1173424038225</v>
      </c>
      <c r="AS211" s="52">
        <f t="shared" si="79"/>
        <v>8.1999999999999993</v>
      </c>
      <c r="AT211" s="50">
        <f t="shared" si="101"/>
        <v>1.4496367862437296</v>
      </c>
      <c r="AU211" s="50">
        <f t="shared" si="102"/>
        <v>6.3447323624458568E-3</v>
      </c>
      <c r="AV211" s="2">
        <f t="shared" si="103"/>
        <v>0.74477961564870299</v>
      </c>
      <c r="AW211" s="61">
        <f t="shared" si="99"/>
        <v>2.4713239566327134</v>
      </c>
      <c r="BA211" s="16"/>
      <c r="BB211" s="2"/>
    </row>
    <row r="212" spans="1:54" x14ac:dyDescent="0.25">
      <c r="A212">
        <v>210</v>
      </c>
      <c r="B212" s="1">
        <f>ROUND((A212+Forudsætninger!$C$60)/30.4,1)</f>
        <v>8.1999999999999993</v>
      </c>
      <c r="C212" s="1">
        <f>VLOOKUP((A212+Forudsætninger!$C$60),'Model tilvækst, slagteform, fe'!A:B,2,FALSE)</f>
        <v>367.29015137258835</v>
      </c>
      <c r="D212" s="3">
        <f t="shared" si="89"/>
        <v>1460.0313588487666</v>
      </c>
      <c r="E212" s="1">
        <f>(1+Forudsætninger!$C$78)*C212</f>
        <v>341.57984077650713</v>
      </c>
      <c r="F212" s="2">
        <f t="shared" si="90"/>
        <v>0</v>
      </c>
      <c r="G212" s="1">
        <f t="shared" si="80"/>
        <v>341.57984077650713</v>
      </c>
      <c r="H212" s="3">
        <f t="shared" si="81"/>
        <v>1357.8291637293205</v>
      </c>
      <c r="I212" s="3">
        <f t="shared" si="82"/>
        <v>1297.9992417928909</v>
      </c>
      <c r="J212" s="1">
        <f>VLOOKUP((A212+Forudsætninger!$C$60),'Model tilvækst, slagteform, fe'!G:K,2,FALSE)*(1+Forudsætninger!$C$79)</f>
        <v>50.355585140805381</v>
      </c>
      <c r="K212" s="17">
        <f t="shared" si="78"/>
        <v>172.00452754604152</v>
      </c>
      <c r="L212" s="17">
        <f t="shared" si="91"/>
        <v>729.63716069835982</v>
      </c>
      <c r="M212" s="3">
        <f>((K212-(('Model tilvækst, slagteform, fe'!$H$9/100)*'Model tilvækst, slagteform, fe'!$B$9))*1000/(A212+Forudsætninger!$C$60))</f>
        <v>608.66515468928765</v>
      </c>
      <c r="N212" s="17">
        <f t="shared" si="92"/>
        <v>1088.4589327989916</v>
      </c>
      <c r="O212" s="19">
        <f>IF( A212&lt;Forudsætninger!$C$14,(G212/100)*Forudsætninger!$C$13,(Forudsætninger!$C$15/1000)*Forudsætninger!$C$13)</f>
        <v>2.2202689650472962</v>
      </c>
      <c r="P212" s="17" cm="1">
        <f t="array" ref="P212">INDEX('Model tilvækst, slagteform, fe'!$N$9:$N$375,MATCH(MIN(ABS('Model tilvækst, slagteform, fe'!$M$9:$M$375-'Vækstfunktion, hol'!G212)),ABS('Model tilvækst, slagteform, fe'!$M$9:$M$375-'Vækstfunktion, hol'!G212),0))*(1+Forudsætninger!$C$80)</f>
        <v>7.299445586452161</v>
      </c>
      <c r="Q212" s="17">
        <f t="shared" si="93"/>
        <v>10.004213024821297</v>
      </c>
      <c r="R212" s="17">
        <f t="shared" si="94"/>
        <v>7.7811087006702664</v>
      </c>
      <c r="S212" s="17">
        <f t="shared" si="83"/>
        <v>3.9931747325783995</v>
      </c>
      <c r="T212" s="19">
        <f>(P212)*IF(N212&lt;Forudsætninger!$B$228,IF(N212&lt;Forudsætninger!$B$227,Forudsætninger!$B$225,Forudsætninger!$C$9),Forudsætninger!$C$11)+O212</f>
        <v>19.300971637345352</v>
      </c>
      <c r="U212" s="2">
        <f>Forudsætninger!$C$68+((K212-(Forudsætninger!$C$84)))*0.01</f>
        <v>3.4170981344490556</v>
      </c>
      <c r="V212" s="2">
        <f>U212+Forudsætninger!$C$69</f>
        <v>2.4170981344490556</v>
      </c>
      <c r="W212">
        <f t="shared" si="84"/>
        <v>1</v>
      </c>
      <c r="X212">
        <f>IF(A212+Forudsætninger!$C$60&gt;248,IF(A212+Forudsætninger!$C$60&lt;365,IF(K212&gt;180,IF(K212&lt;260,1,0),0),0),0)</f>
        <v>0</v>
      </c>
      <c r="Y212" s="22">
        <f>IF(X212=0,0,IF('Vækstfunktion, hol'!A212&lt;Forudsætninger!$C$66,Forudsætninger!$C$67+(('Vækstfunktion, hol'!A212-Forudsætninger!$C$66)/7)*Forudsætninger!$C$64,Forudsætninger!$C$67))</f>
        <v>0</v>
      </c>
      <c r="Z212" s="19">
        <f t="shared" si="95"/>
        <v>3336.0674901696234</v>
      </c>
      <c r="AA212" s="19">
        <f>Forudsætninger!$C$62+Forudsætninger!$C$16</f>
        <v>1350</v>
      </c>
      <c r="AB212" s="19">
        <f>IF(K212&gt;Forudsætninger!$C$26,IF(K212&gt;Forudsætninger!$C$27,IF(K212&gt;Forudsætninger!$C$28,Forudsætninger!$E$28,Forudsætninger!$E$27+Forudsætninger!$F$28*(K212-Forudsætninger!$C$27)),Forudsætninger!$E$26+Forudsætninger!$F$27*(K212-Forudsætninger!$C$26)),Forudsætninger!$E$26)+IF(K212&gt;Forudsætninger!$C$28,Forudsætninger!$G$28,IF(K212&gt;Forudsætninger!$C$27,Forudsætninger!$G$27+Forudsætninger!$H$28*(K212-Forudsætninger!$C$27),IF(K212&gt;Forudsætninger!$C$26,Forudsætninger!$G$26+Forudsætninger!$H$27*(K212-Forudsætninger!$C$26),Forudsætninger!$G$26)))*(U212-Forudsætninger!$H$26)</f>
        <v>33.912823600836795</v>
      </c>
      <c r="AC212" s="19">
        <f>IF(K212&gt;Forudsætninger!$C$31,IF(K212&gt;Forudsætninger!$C$32,IF(K212&gt;Forudsætninger!$C$33,Forudsætninger!$E$33,Forudsætninger!$E$32+Forudsætninger!$F$33*(K212-Forudsætninger!$C$32)),Forudsætninger!$E$31+Forudsætninger!$F$32*(K212-Forudsætninger!$C$31)),Forudsætninger!$E$31)+IF(K212&gt;Forudsætninger!$C$33,Forudsætninger!$G$33,IF(K212&gt;Forudsætninger!$C$32,Forudsætninger!$G$32+Forudsætninger!$H$33*(K212-Forudsætninger!$C$32),IF(K212&gt;Forudsætninger!$C$31,Forudsætninger!$G$31+Forudsætninger!$H$32*(K212-Forudsætninger!$C$31),Forudsætninger!$G$31)))*(V212-Forudsætninger!$H$31)</f>
        <v>27.542227574783773</v>
      </c>
      <c r="AD212" s="19">
        <f t="shared" si="85"/>
        <v>4737.3878415662393</v>
      </c>
      <c r="AE212" s="19">
        <f t="shared" si="86"/>
        <v>27.542227574783769</v>
      </c>
      <c r="AF212">
        <f>IF(G212&lt;=Forudsætninger!$C$97,Forudsætninger!$C$98,(IF(G212&lt;=Forudsætninger!$D$97,Forudsætninger!$D$98,IF(G212&lt;=Forudsætninger!$E$97,Forudsætninger!$E$98,IF(G212&lt;=Forudsætninger!$F$97,Forudsætninger!$F$98,IF(G212&lt;=Forudsætninger!$G$97,Forudsætninger!$G$98,IF(G212&lt;=Forudsætninger!$H$97,Forudsætninger!$H$98,IF(G212&lt;=Forudsætninger!$I$97,Forudsætninger!$I$98,Forudsætninger!$I$98))))))))</f>
        <v>3.8</v>
      </c>
      <c r="AG212" s="1">
        <f t="shared" si="96"/>
        <v>4.4000000000000004</v>
      </c>
      <c r="AH212" s="1">
        <f t="shared" si="100"/>
        <v>599.19999999999811</v>
      </c>
      <c r="AI212" s="1">
        <f t="shared" si="87"/>
        <v>2.8533333333333242</v>
      </c>
      <c r="AJ212" s="20">
        <f>+(W212*Forudsætninger!$C$12)</f>
        <v>900</v>
      </c>
      <c r="AK212" s="20">
        <f>Forudsætninger!$C$17</f>
        <v>250</v>
      </c>
      <c r="AL212" s="20">
        <f>IF(A212&lt;92,Forudsætninger!$C$20,Forudsætninger!$C$21)</f>
        <v>1.0566762728146013</v>
      </c>
      <c r="AM212" s="20">
        <f t="shared" si="97"/>
        <v>490.40750014435821</v>
      </c>
      <c r="AN212" s="20">
        <f>IFERROR(AD212+AJ212-AA212-Z212-AK212-AM212-Forudsætninger!$C$75,-99999999)</f>
        <v>28.518658702863178</v>
      </c>
      <c r="AO212" s="19">
        <f>IFERROR(AN212/(A212+Forudsætninger!$C$74),-99999999)</f>
        <v>0.13580313668030083</v>
      </c>
      <c r="AP212" s="19">
        <f>IFERROR(((365/(A212+Forudsætninger!$C$74))*AN212)/(AI212+Forudsætninger!$C$73),-9999999)</f>
        <v>16.727158005053983</v>
      </c>
      <c r="AQ212" s="18">
        <f t="shared" si="88"/>
        <v>210</v>
      </c>
      <c r="AR212" s="18">
        <f t="shared" si="98"/>
        <v>5426.4749903139818</v>
      </c>
      <c r="AS212" s="52">
        <f t="shared" si="79"/>
        <v>8.1999999999999993</v>
      </c>
      <c r="AT212" s="50">
        <f t="shared" si="101"/>
        <v>1.3627756381695804</v>
      </c>
      <c r="AU212" s="50">
        <f t="shared" si="102"/>
        <v>5.8706818253075332E-3</v>
      </c>
      <c r="AV212" s="2">
        <f t="shared" si="103"/>
        <v>0.68303731903900555</v>
      </c>
      <c r="AW212" s="61">
        <f t="shared" si="99"/>
        <v>2.4710769468915301</v>
      </c>
      <c r="BA212" s="16"/>
      <c r="BB212" s="2"/>
    </row>
    <row r="213" spans="1:54" x14ac:dyDescent="0.25">
      <c r="A213">
        <v>211</v>
      </c>
      <c r="B213" s="1">
        <f>ROUND((A213+Forudsætninger!$C$60)/30.4,1)</f>
        <v>8.1999999999999993</v>
      </c>
      <c r="C213" s="1">
        <f>VLOOKUP((A213+Forudsætninger!$C$60),'Model tilvækst, slagteform, fe'!A:B,2,FALSE)</f>
        <v>368.74652284247293</v>
      </c>
      <c r="D213" s="3">
        <f t="shared" si="89"/>
        <v>1456.3714698845729</v>
      </c>
      <c r="E213" s="1">
        <f>(1+Forudsætninger!$C$78)*C213</f>
        <v>342.93426624349979</v>
      </c>
      <c r="F213" s="2">
        <f t="shared" si="90"/>
        <v>0</v>
      </c>
      <c r="G213" s="1">
        <f t="shared" si="80"/>
        <v>342.93426624349979</v>
      </c>
      <c r="H213" s="3">
        <f t="shared" si="81"/>
        <v>1354.4254669926659</v>
      </c>
      <c r="I213" s="3">
        <f t="shared" si="82"/>
        <v>1298.2666646611367</v>
      </c>
      <c r="J213" s="1">
        <f>VLOOKUP((A213+Forudsætninger!$C$60),'Model tilvækst, slagteform, fe'!G:K,2,FALSE)*(1+Forudsætninger!$C$79)</f>
        <v>50.368868814863887</v>
      </c>
      <c r="K213" s="17">
        <f t="shared" si="78"/>
        <v>172.73211068540445</v>
      </c>
      <c r="L213" s="17">
        <f t="shared" si="91"/>
        <v>727.58313936293462</v>
      </c>
      <c r="M213" s="3">
        <f>((K213-(('Model tilvækst, slagteform, fe'!$H$9/100)*'Model tilvækst, slagteform, fe'!$B$9))*1000/(A213+Forudsætninger!$C$60))</f>
        <v>609.14082662798228</v>
      </c>
      <c r="N213" s="17">
        <f t="shared" si="92"/>
        <v>1095.7650675888012</v>
      </c>
      <c r="O213" s="19">
        <f>IF( A213&lt;Forudsætninger!$C$14,(G213/100)*Forudsætninger!$C$13,(Forudsætninger!$C$15/1000)*Forudsætninger!$C$13)</f>
        <v>2.2290727305827489</v>
      </c>
      <c r="P213" s="17" cm="1">
        <f t="array" ref="P213">INDEX('Model tilvækst, slagteform, fe'!$N$9:$N$375,MATCH(MIN(ABS('Model tilvækst, slagteform, fe'!$M$9:$M$375-'Vækstfunktion, hol'!G213)),ABS('Model tilvækst, slagteform, fe'!$M$9:$M$375-'Vækstfunktion, hol'!G213),0))*(1+Forudsætninger!$C$80)</f>
        <v>7.3061347898097688</v>
      </c>
      <c r="Q213" s="17">
        <f t="shared" si="93"/>
        <v>10.041649393094728</v>
      </c>
      <c r="R213" s="17">
        <f t="shared" si="94"/>
        <v>7.7928056160412336</v>
      </c>
      <c r="S213" s="17">
        <f t="shared" si="83"/>
        <v>4.0001022238480282</v>
      </c>
      <c r="T213" s="19">
        <f>(P213)*IF(N213&lt;Forudsætninger!$B$228,IF(N213&lt;Forudsætninger!$B$227,Forudsætninger!$B$225,Forudsætninger!$C$9),Forudsætninger!$C$11)+O213</f>
        <v>19.325428138737607</v>
      </c>
      <c r="U213" s="2">
        <f>Forudsætninger!$C$68+((K213-(Forudsætninger!$C$84)))*0.01</f>
        <v>3.4243739658426846</v>
      </c>
      <c r="V213" s="2">
        <f>U213+Forudsætninger!$C$69</f>
        <v>2.4243739658426846</v>
      </c>
      <c r="W213">
        <f t="shared" si="84"/>
        <v>1</v>
      </c>
      <c r="X213">
        <f>IF(A213+Forudsætninger!$C$60&gt;248,IF(A213+Forudsætninger!$C$60&lt;365,IF(K213&gt;180,IF(K213&lt;260,1,0),0),0),0)</f>
        <v>0</v>
      </c>
      <c r="Y213" s="22">
        <f>IF(X213=0,0,IF('Vækstfunktion, hol'!A213&lt;Forudsætninger!$C$66,Forudsætninger!$C$67+(('Vækstfunktion, hol'!A213-Forudsætninger!$C$66)/7)*Forudsætninger!$C$64,Forudsætninger!$C$67))</f>
        <v>0</v>
      </c>
      <c r="Z213" s="19">
        <f t="shared" si="95"/>
        <v>3355.392918308361</v>
      </c>
      <c r="AA213" s="19">
        <f>Forudsætninger!$C$62+Forudsætninger!$C$16</f>
        <v>1350</v>
      </c>
      <c r="AB213" s="19">
        <f>IF(K213&gt;Forudsætninger!$C$26,IF(K213&gt;Forudsætninger!$C$27,IF(K213&gt;Forudsætninger!$C$28,Forudsætninger!$E$28,Forudsætninger!$E$27+Forudsætninger!$F$28*(K213-Forudsætninger!$C$27)),Forudsætninger!$E$26+Forudsætninger!$F$27*(K213-Forudsætninger!$C$26)),Forudsætninger!$E$26)+IF(K213&gt;Forudsætninger!$C$28,Forudsætninger!$G$28,IF(K213&gt;Forudsætninger!$C$27,Forudsætninger!$G$27+Forudsætninger!$H$28*(K213-Forudsætninger!$C$27),IF(K213&gt;Forudsætninger!$C$26,Forudsætninger!$G$26+Forudsætninger!$H$27*(K213-Forudsætninger!$C$26),Forudsætninger!$G$26)))*(U213-Forudsætninger!$H$26)</f>
        <v>33.918280474382016</v>
      </c>
      <c r="AC213" s="19">
        <f>IF(K213&gt;Forudsætninger!$C$31,IF(K213&gt;Forudsætninger!$C$32,IF(K213&gt;Forudsætninger!$C$33,Forudsætninger!$E$33,Forudsætninger!$E$32+Forudsætninger!$F$33*(K213-Forudsætninger!$C$32)),Forudsætninger!$E$31+Forudsætninger!$F$32*(K213-Forudsætninger!$C$31)),Forudsætninger!$E$31)+IF(K213&gt;Forudsætninger!$C$33,Forudsætninger!$G$33,IF(K213&gt;Forudsætninger!$C$32,Forudsætninger!$G$32+Forudsætninger!$H$33*(K213-Forudsætninger!$C$32),IF(K213&gt;Forudsætninger!$C$31,Forudsætninger!$G$31+Forudsætninger!$H$32*(K213-Forudsætninger!$C$31),Forudsætninger!$G$31)))*(V213-Forudsætninger!$H$31)</f>
        <v>27.55168615559549</v>
      </c>
      <c r="AD213" s="19">
        <f t="shared" si="85"/>
        <v>4759.0609025978456</v>
      </c>
      <c r="AE213" s="19">
        <f t="shared" si="86"/>
        <v>27.55168615559549</v>
      </c>
      <c r="AF213">
        <f>IF(G213&lt;=Forudsætninger!$C$97,Forudsætninger!$C$98,(IF(G213&lt;=Forudsætninger!$D$97,Forudsætninger!$D$98,IF(G213&lt;=Forudsætninger!$E$97,Forudsætninger!$E$98,IF(G213&lt;=Forudsætninger!$F$97,Forudsætninger!$F$98,IF(G213&lt;=Forudsætninger!$G$97,Forudsætninger!$G$98,IF(G213&lt;=Forudsætninger!$H$97,Forudsætninger!$H$98,IF(G213&lt;=Forudsætninger!$I$97,Forudsætninger!$I$98,Forudsætninger!$I$98))))))))</f>
        <v>3.8</v>
      </c>
      <c r="AG213" s="1">
        <f t="shared" si="96"/>
        <v>4.4000000000000004</v>
      </c>
      <c r="AH213" s="1">
        <f t="shared" si="100"/>
        <v>603.59999999999809</v>
      </c>
      <c r="AI213" s="1">
        <f t="shared" si="87"/>
        <v>2.8606635071089959</v>
      </c>
      <c r="AJ213" s="20">
        <f>+(W213*Forudsætninger!$C$12)</f>
        <v>900</v>
      </c>
      <c r="AK213" s="20">
        <f>Forudsætninger!$C$17</f>
        <v>250</v>
      </c>
      <c r="AL213" s="20">
        <f>IF(A213&lt;92,Forudsætninger!$C$20,Forudsætninger!$C$21)</f>
        <v>1.0566762728146013</v>
      </c>
      <c r="AM213" s="20">
        <f t="shared" si="97"/>
        <v>491.46417641717284</v>
      </c>
      <c r="AN213" s="20">
        <f>IFERROR(AD213+AJ213-AA213-Z213-AK213-AM213-Forudsætninger!$C$75,-99999999)</f>
        <v>29.80961532291721</v>
      </c>
      <c r="AO213" s="19">
        <f>IFERROR(AN213/(A213+Forudsætninger!$C$74),-99999999)</f>
        <v>0.14127779773894411</v>
      </c>
      <c r="AP213" s="19">
        <f>IFERROR(((365/(A213+Forudsætninger!$C$74))*AN213)/(AI213+Forudsætninger!$C$73),-9999999)</f>
        <v>17.358545002257166</v>
      </c>
      <c r="AQ213" s="18">
        <f t="shared" si="88"/>
        <v>211</v>
      </c>
      <c r="AR213" s="18">
        <f t="shared" si="98"/>
        <v>5446.8570947255339</v>
      </c>
      <c r="AS213" s="52">
        <f t="shared" si="79"/>
        <v>8.1999999999999993</v>
      </c>
      <c r="AT213" s="50">
        <f t="shared" si="101"/>
        <v>1.2909566200540326</v>
      </c>
      <c r="AU213" s="50">
        <f t="shared" si="102"/>
        <v>5.4746610586432765E-3</v>
      </c>
      <c r="AV213" s="2">
        <f t="shared" si="103"/>
        <v>0.63138699720318314</v>
      </c>
      <c r="AW213" s="61">
        <f t="shared" si="99"/>
        <v>2.4704919039814692</v>
      </c>
      <c r="BA213" s="16"/>
      <c r="BB213" s="2"/>
    </row>
    <row r="214" spans="1:54" x14ac:dyDescent="0.25">
      <c r="A214">
        <v>212</v>
      </c>
      <c r="B214" s="1">
        <f>ROUND((A214+Forudsætninger!$C$60)/30.4,1)</f>
        <v>8.3000000000000007</v>
      </c>
      <c r="C214" s="1">
        <f>VLOOKUP((A214+Forudsætninger!$C$60),'Model tilvækst, slagteform, fe'!A:B,2,FALSE)</f>
        <v>370.19920783012157</v>
      </c>
      <c r="D214" s="3">
        <f t="shared" si="89"/>
        <v>1452.6849876486381</v>
      </c>
      <c r="E214" s="1">
        <f>(1+Forudsætninger!$C$78)*C214</f>
        <v>344.28526328201303</v>
      </c>
      <c r="F214" s="2">
        <f t="shared" si="90"/>
        <v>0</v>
      </c>
      <c r="G214" s="1">
        <f t="shared" si="80"/>
        <v>344.28526328201303</v>
      </c>
      <c r="H214" s="3">
        <f t="shared" si="81"/>
        <v>1350.9970385132419</v>
      </c>
      <c r="I214" s="3">
        <f t="shared" si="82"/>
        <v>1298.515392839684</v>
      </c>
      <c r="J214" s="1">
        <f>VLOOKUP((A214+Forudsætninger!$C$60),'Model tilvækst, slagteform, fe'!G:K,2,FALSE)*(1+Forudsætninger!$C$79)</f>
        <v>50.381950584814021</v>
      </c>
      <c r="K214" s="17">
        <f t="shared" si="78"/>
        <v>173.45763121754064</v>
      </c>
      <c r="L214" s="17">
        <f t="shared" si="91"/>
        <v>725.52053213618706</v>
      </c>
      <c r="M214" s="3">
        <f>((K214-(('Model tilvækst, slagteform, fe'!$H$9/100)*'Model tilvækst, slagteform, fe'!$B$9))*1000/(A214+Forudsætninger!$C$60))</f>
        <v>609.60449079335342</v>
      </c>
      <c r="N214" s="17">
        <f t="shared" si="92"/>
        <v>1103.0779288263279</v>
      </c>
      <c r="O214" s="19">
        <f>IF( A214&lt;Forudsætninger!$C$14,(G214/100)*Forudsætninger!$C$13,(Forudsætninger!$C$15/1000)*Forudsætninger!$C$13)</f>
        <v>2.2378542113330848</v>
      </c>
      <c r="P214" s="17" cm="1">
        <f t="array" ref="P214">INDEX('Model tilvækst, slagteform, fe'!$N$9:$N$375,MATCH(MIN(ABS('Model tilvækst, slagteform, fe'!$M$9:$M$375-'Vækstfunktion, hol'!G214)),ABS('Model tilvækst, slagteform, fe'!$M$9:$M$375-'Vækstfunktion, hol'!G214),0))*(1+Forudsætninger!$C$80)</f>
        <v>7.3128612375266311</v>
      </c>
      <c r="Q214" s="17">
        <f t="shared" si="93"/>
        <v>10.079468345292726</v>
      </c>
      <c r="R214" s="17">
        <f t="shared" si="94"/>
        <v>7.8045435898512778</v>
      </c>
      <c r="S214" s="17">
        <f t="shared" si="83"/>
        <v>4.0070358858850046</v>
      </c>
      <c r="T214" s="19">
        <f>(P214)*IF(N214&lt;Forudsætninger!$B$228,IF(N214&lt;Forudsætninger!$B$227,Forudsætninger!$B$225,Forudsætninger!$C$9),Forudsætninger!$C$11)+O214</f>
        <v>19.349949507145404</v>
      </c>
      <c r="U214" s="2">
        <f>Forudsætninger!$C$68+((K214-(Forudsætninger!$C$84)))*0.01</f>
        <v>3.4316291711640465</v>
      </c>
      <c r="V214" s="2">
        <f>U214+Forudsætninger!$C$69</f>
        <v>2.4316291711640465</v>
      </c>
      <c r="W214">
        <f t="shared" si="84"/>
        <v>1</v>
      </c>
      <c r="X214">
        <f>IF(A214+Forudsætninger!$C$60&gt;248,IF(A214+Forudsætninger!$C$60&lt;365,IF(K214&gt;180,IF(K214&lt;260,1,0),0),0),0)</f>
        <v>0</v>
      </c>
      <c r="Y214" s="22">
        <f>IF(X214=0,0,IF('Vækstfunktion, hol'!A214&lt;Forudsætninger!$C$66,Forudsætninger!$C$67+(('Vækstfunktion, hol'!A214-Forudsætninger!$C$66)/7)*Forudsætninger!$C$64,Forudsætninger!$C$67))</f>
        <v>0</v>
      </c>
      <c r="Z214" s="19">
        <f t="shared" si="95"/>
        <v>3374.7428678155065</v>
      </c>
      <c r="AA214" s="19">
        <f>Forudsætninger!$C$62+Forudsætninger!$C$16</f>
        <v>1350</v>
      </c>
      <c r="AB214" s="19">
        <f>IF(K214&gt;Forudsætninger!$C$26,IF(K214&gt;Forudsætninger!$C$27,IF(K214&gt;Forudsætninger!$C$28,Forudsætninger!$E$28,Forudsætninger!$E$27+Forudsætninger!$F$28*(K214-Forudsætninger!$C$27)),Forudsætninger!$E$26+Forudsætninger!$F$27*(K214-Forudsætninger!$C$26)),Forudsætninger!$E$26)+IF(K214&gt;Forudsætninger!$C$28,Forudsætninger!$G$28,IF(K214&gt;Forudsætninger!$C$27,Forudsætninger!$G$27+Forudsætninger!$H$28*(K214-Forudsætninger!$C$27),IF(K214&gt;Forudsætninger!$C$26,Forudsætninger!$G$26+Forudsætninger!$H$27*(K214-Forudsætninger!$C$26),Forudsætninger!$G$26)))*(U214-Forudsætninger!$H$26)</f>
        <v>33.923721878373037</v>
      </c>
      <c r="AC214" s="19">
        <f>IF(K214&gt;Forudsætninger!$C$31,IF(K214&gt;Forudsætninger!$C$32,IF(K214&gt;Forudsætninger!$C$33,Forudsætninger!$E$33,Forudsætninger!$E$32+Forudsætninger!$F$33*(K214-Forudsætninger!$C$32)),Forudsætninger!$E$31+Forudsætninger!$F$32*(K214-Forudsætninger!$C$31)),Forudsætninger!$E$31)+IF(K214&gt;Forudsætninger!$C$33,Forudsætninger!$G$33,IF(K214&gt;Forudsætninger!$C$32,Forudsætninger!$G$32+Forudsætninger!$H$33*(K214-Forudsætninger!$C$32),IF(K214&gt;Forudsætninger!$C$31,Forudsætninger!$G$31+Forudsætninger!$H$32*(K214-Forudsætninger!$C$31),Forudsætninger!$G$31)))*(V214-Forudsætninger!$H$31)</f>
        <v>27.561117922513262</v>
      </c>
      <c r="AD214" s="19">
        <f t="shared" si="85"/>
        <v>4780.6862285464549</v>
      </c>
      <c r="AE214" s="19">
        <f t="shared" si="86"/>
        <v>27.561117922513262</v>
      </c>
      <c r="AF214">
        <f>IF(G214&lt;=Forudsætninger!$C$97,Forudsætninger!$C$98,(IF(G214&lt;=Forudsætninger!$D$97,Forudsætninger!$D$98,IF(G214&lt;=Forudsætninger!$E$97,Forudsætninger!$E$98,IF(G214&lt;=Forudsætninger!$F$97,Forudsætninger!$F$98,IF(G214&lt;=Forudsætninger!$G$97,Forudsætninger!$G$98,IF(G214&lt;=Forudsætninger!$H$97,Forudsætninger!$H$98,IF(G214&lt;=Forudsætninger!$I$97,Forudsætninger!$I$98,Forudsætninger!$I$98))))))))</f>
        <v>3.8</v>
      </c>
      <c r="AG214" s="1">
        <f t="shared" si="96"/>
        <v>4.4000000000000004</v>
      </c>
      <c r="AH214" s="1">
        <f t="shared" si="100"/>
        <v>607.99999999999807</v>
      </c>
      <c r="AI214" s="1">
        <f t="shared" si="87"/>
        <v>2.8679245283018777</v>
      </c>
      <c r="AJ214" s="20">
        <f>+(W214*Forudsætninger!$C$12)</f>
        <v>900</v>
      </c>
      <c r="AK214" s="20">
        <f>Forudsætninger!$C$17</f>
        <v>250</v>
      </c>
      <c r="AL214" s="20">
        <f>IF(A214&lt;92,Forudsætninger!$C$20,Forudsætninger!$C$21)</f>
        <v>1.0566762728146013</v>
      </c>
      <c r="AM214" s="20">
        <f t="shared" si="97"/>
        <v>492.52085268998746</v>
      </c>
      <c r="AN214" s="20">
        <f>IFERROR(AD214+AJ214-AA214-Z214-AK214-AM214-Forudsætninger!$C$75,-99999999)</f>
        <v>31.02831549156636</v>
      </c>
      <c r="AO214" s="19">
        <f>IFERROR(AN214/(A214+Forudsætninger!$C$74),-99999999)</f>
        <v>0.14635997873380358</v>
      </c>
      <c r="AP214" s="19">
        <f>IFERROR(((365/(A214+Forudsætninger!$C$74))*AN214)/(AI214+Forudsætninger!$C$73),-9999999)</f>
        <v>17.939135706807569</v>
      </c>
      <c r="AQ214" s="18">
        <f t="shared" si="88"/>
        <v>212</v>
      </c>
      <c r="AR214" s="18">
        <f t="shared" si="98"/>
        <v>5467.2637205054943</v>
      </c>
      <c r="AS214" s="52">
        <f t="shared" si="79"/>
        <v>8.3000000000000007</v>
      </c>
      <c r="AT214" s="50">
        <f t="shared" si="101"/>
        <v>1.2187001686491499</v>
      </c>
      <c r="AU214" s="50">
        <f t="shared" si="102"/>
        <v>5.0821809948594643E-3</v>
      </c>
      <c r="AV214" s="2">
        <f t="shared" si="103"/>
        <v>0.58059070455040285</v>
      </c>
      <c r="AW214" s="61">
        <f t="shared" si="99"/>
        <v>2.469571548026197</v>
      </c>
      <c r="BA214" s="16"/>
      <c r="BB214" s="2"/>
    </row>
    <row r="215" spans="1:54" x14ac:dyDescent="0.25">
      <c r="A215">
        <v>213</v>
      </c>
      <c r="B215" s="1">
        <f>ROUND((A215+Forudsætninger!$C$60)/30.4,1)</f>
        <v>8.3000000000000007</v>
      </c>
      <c r="C215" s="1">
        <f>VLOOKUP((A215+Forudsætninger!$C$60),'Model tilvækst, slagteform, fe'!A:B,2,FALSE)</f>
        <v>371.64818027660874</v>
      </c>
      <c r="D215" s="3">
        <f t="shared" si="89"/>
        <v>1448.9724464871756</v>
      </c>
      <c r="E215" s="1">
        <f>(1+Forudsætninger!$C$78)*C215</f>
        <v>345.63280765724613</v>
      </c>
      <c r="F215" s="2">
        <f t="shared" si="90"/>
        <v>0</v>
      </c>
      <c r="G215" s="1">
        <f t="shared" si="80"/>
        <v>345.63280765724613</v>
      </c>
      <c r="H215" s="3">
        <f t="shared" si="81"/>
        <v>1347.5443752330989</v>
      </c>
      <c r="I215" s="3">
        <f t="shared" si="82"/>
        <v>1298.7455758556157</v>
      </c>
      <c r="J215" s="1">
        <f>VLOOKUP((A215+Forudsætninger!$C$60),'Model tilvækst, slagteform, fe'!G:K,2,FALSE)*(1+Forudsætninger!$C$79)</f>
        <v>50.394834399481141</v>
      </c>
      <c r="K215" s="17">
        <f t="shared" si="78"/>
        <v>174.18108104914634</v>
      </c>
      <c r="L215" s="17">
        <f t="shared" si="91"/>
        <v>723.44983160570564</v>
      </c>
      <c r="M215" s="3">
        <f>((K215-(('Model tilvækst, slagteform, fe'!$H$9/100)*'Model tilvækst, slagteform, fe'!$B$9))*1000/(A215+Forudsætninger!$C$60))</f>
        <v>610.05625801879933</v>
      </c>
      <c r="N215" s="17">
        <f t="shared" si="92"/>
        <v>1110.3975554263641</v>
      </c>
      <c r="O215" s="19">
        <f>IF( A215&lt;Forudsætninger!$C$14,(G215/100)*Forudsætninger!$C$13,(Forudsætninger!$C$15/1000)*Forudsætninger!$C$13)</f>
        <v>2.2466132497720999</v>
      </c>
      <c r="P215" s="17" cm="1">
        <f t="array" ref="P215">INDEX('Model tilvækst, slagteform, fe'!$N$9:$N$375,MATCH(MIN(ABS('Model tilvækst, slagteform, fe'!$M$9:$M$375-'Vækstfunktion, hol'!G215)),ABS('Model tilvækst, slagteform, fe'!$M$9:$M$375-'Vækstfunktion, hol'!G215),0))*(1+Forudsætninger!$C$80)</f>
        <v>7.3196266000361527</v>
      </c>
      <c r="Q215" s="17">
        <f t="shared" si="93"/>
        <v>10.11766992023504</v>
      </c>
      <c r="R215" s="17">
        <f t="shared" si="94"/>
        <v>7.8163232235371929</v>
      </c>
      <c r="S215" s="17">
        <f t="shared" si="83"/>
        <v>4.0139763783989428</v>
      </c>
      <c r="T215" s="19">
        <f>(P215)*IF(N215&lt;Forudsætninger!$B$228,IF(N215&lt;Forudsætninger!$B$227,Forudsætninger!$B$225,Forudsætninger!$C$9),Forudsætninger!$C$11)+O215</f>
        <v>19.374539493856695</v>
      </c>
      <c r="U215" s="2">
        <f>Forudsætninger!$C$68+((K215-(Forudsætninger!$C$84)))*0.01</f>
        <v>3.4388636694801038</v>
      </c>
      <c r="V215" s="2">
        <f>U215+Forudsætninger!$C$69</f>
        <v>2.4388636694801038</v>
      </c>
      <c r="W215">
        <f t="shared" si="84"/>
        <v>1</v>
      </c>
      <c r="X215">
        <f>IF(A215+Forudsætninger!$C$60&gt;248,IF(A215+Forudsætninger!$C$60&lt;365,IF(K215&gt;180,IF(K215&lt;260,1,0),0),0),0)</f>
        <v>0</v>
      </c>
      <c r="Y215" s="22">
        <f>IF(X215=0,0,IF('Vækstfunktion, hol'!A215&lt;Forudsætninger!$C$66,Forudsætninger!$C$67+(('Vækstfunktion, hol'!A215-Forudsætninger!$C$66)/7)*Forudsætninger!$C$64,Forudsætninger!$C$67))</f>
        <v>0</v>
      </c>
      <c r="Z215" s="19">
        <f t="shared" si="95"/>
        <v>3394.1174073093634</v>
      </c>
      <c r="AA215" s="19">
        <f>Forudsætninger!$C$62+Forudsætninger!$C$16</f>
        <v>1350</v>
      </c>
      <c r="AB215" s="19">
        <f>IF(K215&gt;Forudsætninger!$C$26,IF(K215&gt;Forudsætninger!$C$27,IF(K215&gt;Forudsætninger!$C$28,Forudsætninger!$E$28,Forudsætninger!$E$27+Forudsætninger!$F$28*(K215-Forudsætninger!$C$27)),Forudsætninger!$E$26+Forudsætninger!$F$27*(K215-Forudsætninger!$C$26)),Forudsætninger!$E$26)+IF(K215&gt;Forudsætninger!$C$28,Forudsætninger!$G$28,IF(K215&gt;Forudsætninger!$C$27,Forudsætninger!$G$27+Forudsætninger!$H$28*(K215-Forudsætninger!$C$27),IF(K215&gt;Forudsætninger!$C$26,Forudsætninger!$G$26+Forudsætninger!$H$27*(K215-Forudsætninger!$C$26),Forudsætninger!$G$26)))*(U215-Forudsætninger!$H$26)</f>
        <v>33.929147752110076</v>
      </c>
      <c r="AC215" s="19">
        <f>IF(K215&gt;Forudsætninger!$C$31,IF(K215&gt;Forudsætninger!$C$32,IF(K215&gt;Forudsætninger!$C$33,Forudsætninger!$E$33,Forudsætninger!$E$32+Forudsætninger!$F$33*(K215-Forudsætninger!$C$32)),Forudsætninger!$E$31+Forudsætninger!$F$32*(K215-Forudsætninger!$C$31)),Forudsætninger!$E$31)+IF(K215&gt;Forudsætninger!$C$33,Forudsætninger!$G$33,IF(K215&gt;Forudsætninger!$C$32,Forudsætninger!$G$32+Forudsætninger!$H$33*(K215-Forudsætninger!$C$32),IF(K215&gt;Forudsætninger!$C$31,Forudsætninger!$G$31+Forudsætninger!$H$32*(K215-Forudsætninger!$C$31),Forudsætninger!$G$31)))*(V215-Forudsætninger!$H$31)</f>
        <v>27.570522770324136</v>
      </c>
      <c r="AD215" s="19">
        <f t="shared" si="85"/>
        <v>4802.2634612251632</v>
      </c>
      <c r="AE215" s="19">
        <f t="shared" si="86"/>
        <v>27.570522770324136</v>
      </c>
      <c r="AF215">
        <f>IF(G215&lt;=Forudsætninger!$C$97,Forudsætninger!$C$98,(IF(G215&lt;=Forudsætninger!$D$97,Forudsætninger!$D$98,IF(G215&lt;=Forudsætninger!$E$97,Forudsætninger!$E$98,IF(G215&lt;=Forudsætninger!$F$97,Forudsætninger!$F$98,IF(G215&lt;=Forudsætninger!$G$97,Forudsætninger!$G$98,IF(G215&lt;=Forudsætninger!$H$97,Forudsætninger!$H$98,IF(G215&lt;=Forudsætninger!$I$97,Forudsætninger!$I$98,Forudsætninger!$I$98))))))))</f>
        <v>3.8</v>
      </c>
      <c r="AG215" s="1">
        <f t="shared" si="96"/>
        <v>4.4000000000000004</v>
      </c>
      <c r="AH215" s="1">
        <f t="shared" si="100"/>
        <v>612.39999999999804</v>
      </c>
      <c r="AI215" s="1">
        <f t="shared" si="87"/>
        <v>2.8751173708920095</v>
      </c>
      <c r="AJ215" s="20">
        <f>+(W215*Forudsætninger!$C$12)</f>
        <v>900</v>
      </c>
      <c r="AK215" s="20">
        <f>Forudsætninger!$C$17</f>
        <v>250</v>
      </c>
      <c r="AL215" s="20">
        <f>IF(A215&lt;92,Forudsætninger!$C$20,Forudsætninger!$C$21)</f>
        <v>1.0566762728146013</v>
      </c>
      <c r="AM215" s="20">
        <f t="shared" si="97"/>
        <v>493.57752896280209</v>
      </c>
      <c r="AN215" s="20">
        <f>IFERROR(AD215+AJ215-AA215-Z215-AK215-AM215-Forudsætninger!$C$75,-99999999)</f>
        <v>32.174332403603074</v>
      </c>
      <c r="AO215" s="19">
        <f>IFERROR(AN215/(A215+Forudsætninger!$C$74),-99999999)</f>
        <v>0.15105320377278439</v>
      </c>
      <c r="AP215" s="19">
        <f>IFERROR(((365/(A215+Forudsætninger!$C$74))*AN215)/(AI215+Forudsætninger!$C$73),-9999999)</f>
        <v>18.469766018141893</v>
      </c>
      <c r="AQ215" s="18">
        <f t="shared" si="88"/>
        <v>213</v>
      </c>
      <c r="AR215" s="18">
        <f t="shared" si="98"/>
        <v>5487.6949362721653</v>
      </c>
      <c r="AS215" s="52">
        <f t="shared" si="79"/>
        <v>8.3000000000000007</v>
      </c>
      <c r="AT215" s="50">
        <f t="shared" si="101"/>
        <v>1.1460169120367141</v>
      </c>
      <c r="AU215" s="50">
        <f t="shared" si="102"/>
        <v>4.6932250389808139E-3</v>
      </c>
      <c r="AV215" s="2">
        <f t="shared" si="103"/>
        <v>0.53063031133432403</v>
      </c>
      <c r="AW215" s="61">
        <f t="shared" si="99"/>
        <v>2.4683185979643434</v>
      </c>
      <c r="BA215" s="16"/>
      <c r="BB215" s="2"/>
    </row>
    <row r="216" spans="1:54" x14ac:dyDescent="0.25">
      <c r="A216">
        <v>214</v>
      </c>
      <c r="B216" s="1">
        <f>ROUND((A216+Forudsætninger!$C$60)/30.4,1)</f>
        <v>8.3000000000000007</v>
      </c>
      <c r="C216" s="1">
        <f>VLOOKUP((A216+Forudsætninger!$C$60),'Model tilvækst, slagteform, fe'!A:B,2,FALSE)</f>
        <v>373.09341465735736</v>
      </c>
      <c r="D216" s="3">
        <f t="shared" si="89"/>
        <v>1445.2343807486159</v>
      </c>
      <c r="E216" s="1">
        <f>(1+Forudsætninger!$C$78)*C216</f>
        <v>346.9768756313423</v>
      </c>
      <c r="F216" s="2">
        <f t="shared" si="90"/>
        <v>0</v>
      </c>
      <c r="G216" s="1">
        <f t="shared" si="80"/>
        <v>346.9768756313423</v>
      </c>
      <c r="H216" s="3">
        <f t="shared" si="81"/>
        <v>1344.0679740961627</v>
      </c>
      <c r="I216" s="3">
        <f t="shared" si="82"/>
        <v>1298.9573627632817</v>
      </c>
      <c r="J216" s="1">
        <f>VLOOKUP((A216+Forudsætninger!$C$60),'Model tilvækst, slagteform, fe'!G:K,2,FALSE)*(1+Forudsætninger!$C$79)</f>
        <v>50.407524207690606</v>
      </c>
      <c r="K216" s="17">
        <f t="shared" si="78"/>
        <v>174.90245257895737</v>
      </c>
      <c r="L216" s="17">
        <f t="shared" si="91"/>
        <v>721.37152981102304</v>
      </c>
      <c r="M216" s="3">
        <f>((K216-(('Model tilvækst, slagteform, fe'!$H$9/100)*'Model tilvækst, slagteform, fe'!$B$9))*1000/(A216+Forudsætninger!$C$60))</f>
        <v>610.49623933023122</v>
      </c>
      <c r="N216" s="17">
        <f t="shared" si="92"/>
        <v>1117.7239879741358</v>
      </c>
      <c r="O216" s="19">
        <f>IF( A216&lt;Forudsætninger!$C$14,(G216/100)*Forudsætninger!$C$13,(Forudsætninger!$C$15/1000)*Forudsætninger!$C$13)</f>
        <v>2.2553496916037248</v>
      </c>
      <c r="P216" s="17" cm="1">
        <f t="array" ref="P216">INDEX('Model tilvækst, slagteform, fe'!$N$9:$N$375,MATCH(MIN(ABS('Model tilvækst, slagteform, fe'!$M$9:$M$375-'Vækstfunktion, hol'!G216)),ABS('Model tilvækst, slagteform, fe'!$M$9:$M$375-'Vækstfunktion, hol'!G216),0))*(1+Forudsætninger!$C$80)</f>
        <v>7.3264325477717405</v>
      </c>
      <c r="Q216" s="17">
        <f t="shared" si="93"/>
        <v>10.156254086837942</v>
      </c>
      <c r="R216" s="17">
        <f t="shared" si="94"/>
        <v>7.8281450973428699</v>
      </c>
      <c r="S216" s="17">
        <f t="shared" si="83"/>
        <v>4.0209243500401106</v>
      </c>
      <c r="T216" s="19">
        <f>(P216)*IF(N216&lt;Forudsætninger!$B$228,IF(N216&lt;Forudsætninger!$B$227,Forudsætninger!$B$225,Forudsætninger!$C$9),Forudsætninger!$C$11)+O216</f>
        <v>19.399201853389599</v>
      </c>
      <c r="U216" s="2">
        <f>Forudsætninger!$C$68+((K216-(Forudsætninger!$C$84)))*0.01</f>
        <v>3.446077384778214</v>
      </c>
      <c r="V216" s="2">
        <f>U216+Forudsætninger!$C$69</f>
        <v>2.446077384778214</v>
      </c>
      <c r="W216">
        <f t="shared" si="84"/>
        <v>1</v>
      </c>
      <c r="X216">
        <f>IF(A216+Forudsætninger!$C$60&gt;248,IF(A216+Forudsætninger!$C$60&lt;365,IF(K216&gt;180,IF(K216&lt;260,1,0),0),0),0)</f>
        <v>0</v>
      </c>
      <c r="Y216" s="22">
        <f>IF(X216=0,0,IF('Vækstfunktion, hol'!A216&lt;Forudsætninger!$C$66,Forudsætninger!$C$67+(('Vækstfunktion, hol'!A216-Forudsætninger!$C$66)/7)*Forudsætninger!$C$64,Forudsætninger!$C$67))</f>
        <v>0</v>
      </c>
      <c r="Z216" s="19">
        <f t="shared" si="95"/>
        <v>3413.516609162753</v>
      </c>
      <c r="AA216" s="19">
        <f>Forudsætninger!$C$62+Forudsætninger!$C$16</f>
        <v>1350</v>
      </c>
      <c r="AB216" s="19">
        <f>IF(K216&gt;Forudsætninger!$C$26,IF(K216&gt;Forudsætninger!$C$27,IF(K216&gt;Forudsætninger!$C$28,Forudsætninger!$E$28,Forudsætninger!$E$27+Forudsætninger!$F$28*(K216-Forudsætninger!$C$27)),Forudsætninger!$E$26+Forudsætninger!$F$27*(K216-Forudsætninger!$C$26)),Forudsætninger!$E$26)+IF(K216&gt;Forudsætninger!$C$28,Forudsætninger!$G$28,IF(K216&gt;Forudsætninger!$C$27,Forudsætninger!$G$27+Forudsætninger!$H$28*(K216-Forudsætninger!$C$27),IF(K216&gt;Forudsætninger!$C$26,Forudsætninger!$G$26+Forudsætninger!$H$27*(K216-Forudsætninger!$C$26),Forudsætninger!$G$26)))*(U216-Forudsætninger!$H$26)</f>
        <v>33.93455803858366</v>
      </c>
      <c r="AC216" s="19">
        <f>IF(K216&gt;Forudsætninger!$C$31,IF(K216&gt;Forudsætninger!$C$32,IF(K216&gt;Forudsætninger!$C$33,Forudsætninger!$E$33,Forudsætninger!$E$32+Forudsætninger!$F$33*(K216-Forudsætninger!$C$32)),Forudsætninger!$E$31+Forudsætninger!$F$32*(K216-Forudsætninger!$C$31)),Forudsætninger!$E$31)+IF(K216&gt;Forudsætninger!$C$33,Forudsætninger!$G$33,IF(K216&gt;Forudsætninger!$C$32,Forudsætninger!$G$32+Forudsætninger!$H$33*(K216-Forudsætninger!$C$32),IF(K216&gt;Forudsætninger!$C$31,Forudsætninger!$G$31+Forudsætninger!$H$32*(K216-Forudsætninger!$C$31),Forudsætninger!$G$31)))*(V216-Forudsætninger!$H$31)</f>
        <v>27.57990060021168</v>
      </c>
      <c r="AD216" s="19">
        <f t="shared" si="85"/>
        <v>4823.792256860881</v>
      </c>
      <c r="AE216" s="19">
        <f t="shared" si="86"/>
        <v>27.57990060021168</v>
      </c>
      <c r="AF216">
        <f>IF(G216&lt;=Forudsætninger!$C$97,Forudsætninger!$C$98,(IF(G216&lt;=Forudsætninger!$D$97,Forudsætninger!$D$98,IF(G216&lt;=Forudsætninger!$E$97,Forudsætninger!$E$98,IF(G216&lt;=Forudsætninger!$F$97,Forudsætninger!$F$98,IF(G216&lt;=Forudsætninger!$G$97,Forudsætninger!$G$98,IF(G216&lt;=Forudsætninger!$H$97,Forudsætninger!$H$98,IF(G216&lt;=Forudsætninger!$I$97,Forudsætninger!$I$98,Forudsætninger!$I$98))))))))</f>
        <v>3.8</v>
      </c>
      <c r="AG216" s="1">
        <f t="shared" si="96"/>
        <v>4.4000000000000004</v>
      </c>
      <c r="AH216" s="1">
        <f t="shared" si="100"/>
        <v>616.79999999999802</v>
      </c>
      <c r="AI216" s="1">
        <f t="shared" si="87"/>
        <v>2.8822429906541962</v>
      </c>
      <c r="AJ216" s="20">
        <f>+(W216*Forudsætninger!$C$12)</f>
        <v>900</v>
      </c>
      <c r="AK216" s="20">
        <f>Forudsætninger!$C$17</f>
        <v>250</v>
      </c>
      <c r="AL216" s="20">
        <f>IF(A216&lt;92,Forudsætninger!$C$20,Forudsætninger!$C$21)</f>
        <v>1.0566762728146013</v>
      </c>
      <c r="AM216" s="20">
        <f t="shared" si="97"/>
        <v>494.63420523561672</v>
      </c>
      <c r="AN216" s="20">
        <f>IFERROR(AD216+AJ216-AA216-Z216-AK216-AM216-Forudsætninger!$C$75,-99999999)</f>
        <v>33.247249913116804</v>
      </c>
      <c r="AO216" s="19">
        <f>IFERROR(AN216/(A216+Forudsætninger!$C$74),-99999999)</f>
        <v>0.15536098090241496</v>
      </c>
      <c r="AP216" s="19">
        <f>IFERROR(((365/(A216+Forudsætninger!$C$74))*AN216)/(AI216+Forudsætninger!$C$73),-9999999)</f>
        <v>18.951254362194572</v>
      </c>
      <c r="AQ216" s="18">
        <f t="shared" si="88"/>
        <v>214</v>
      </c>
      <c r="AR216" s="18">
        <f t="shared" si="98"/>
        <v>5508.1508143983692</v>
      </c>
      <c r="AS216" s="52">
        <f t="shared" si="79"/>
        <v>8.3000000000000007</v>
      </c>
      <c r="AT216" s="50">
        <f t="shared" si="101"/>
        <v>1.0729175095137293</v>
      </c>
      <c r="AU216" s="50">
        <f t="shared" si="102"/>
        <v>4.3077771296305689E-3</v>
      </c>
      <c r="AV216" s="2">
        <f t="shared" si="103"/>
        <v>0.48148834405267849</v>
      </c>
      <c r="AW216" s="61">
        <f t="shared" si="99"/>
        <v>2.4667357717230538</v>
      </c>
      <c r="BA216" s="16"/>
      <c r="BB216" s="2"/>
    </row>
    <row r="217" spans="1:54" x14ac:dyDescent="0.25">
      <c r="A217">
        <v>215</v>
      </c>
      <c r="B217" s="1">
        <f>ROUND((A217+Forudsætninger!$C$60)/30.4,1)</f>
        <v>8.4</v>
      </c>
      <c r="C217" s="1">
        <f>VLOOKUP((A217+Forudsætninger!$C$60),'Model tilvækst, slagteform, fe'!A:B,2,FALSE)</f>
        <v>374.5348859821375</v>
      </c>
      <c r="D217" s="3">
        <f t="shared" si="89"/>
        <v>1441.4713247801387</v>
      </c>
      <c r="E217" s="1">
        <f>(1+Forudsætninger!$C$78)*C217</f>
        <v>348.31744396338786</v>
      </c>
      <c r="F217" s="2">
        <f t="shared" si="90"/>
        <v>0</v>
      </c>
      <c r="G217" s="1">
        <f t="shared" si="80"/>
        <v>348.31744396338786</v>
      </c>
      <c r="H217" s="3">
        <f t="shared" si="81"/>
        <v>1340.5683320455637</v>
      </c>
      <c r="I217" s="3">
        <f t="shared" si="82"/>
        <v>1299.1509021552924</v>
      </c>
      <c r="J217" s="1">
        <f>VLOOKUP((A217+Forudsætninger!$C$60),'Model tilvækst, slagteform, fe'!G:K,2,FALSE)*(1+Forudsætninger!$C$79)</f>
        <v>50.42002395826777</v>
      </c>
      <c r="K217" s="17">
        <f t="shared" si="78"/>
        <v>175.62173869716605</v>
      </c>
      <c r="L217" s="17">
        <f t="shared" si="91"/>
        <v>719.28611820868582</v>
      </c>
      <c r="M217" s="3">
        <f>((K217-(('Model tilvækst, slagteform, fe'!$H$9/100)*'Model tilvækst, slagteform, fe'!$B$9))*1000/(A217+Forudsætninger!$C$60))</f>
        <v>610.92454593998877</v>
      </c>
      <c r="N217" s="17">
        <f t="shared" si="92"/>
        <v>1125.0572687253025</v>
      </c>
      <c r="O217" s="19">
        <f>IF( A217&lt;Forudsætninger!$C$14,(G217/100)*Forudsætninger!$C$13,(Forudsætninger!$C$15/1000)*Forudsætninger!$C$13)</f>
        <v>2.2640633857620212</v>
      </c>
      <c r="P217" s="17" cm="1">
        <f t="array" ref="P217">INDEX('Model tilvækst, slagteform, fe'!$N$9:$N$375,MATCH(MIN(ABS('Model tilvækst, slagteform, fe'!$M$9:$M$375-'Vækstfunktion, hol'!G217)),ABS('Model tilvækst, slagteform, fe'!$M$9:$M$375-'Vækstfunktion, hol'!G217),0))*(1+Forudsætninger!$C$80)</f>
        <v>7.3332807511667983</v>
      </c>
      <c r="Q217" s="17">
        <f t="shared" si="93"/>
        <v>10.195220741128219</v>
      </c>
      <c r="R217" s="17">
        <f t="shared" si="94"/>
        <v>7.8400097707894947</v>
      </c>
      <c r="S217" s="17">
        <f t="shared" si="83"/>
        <v>4.0278804386910103</v>
      </c>
      <c r="T217" s="19">
        <f>(P217)*IF(N217&lt;Forudsætninger!$B$228,IF(N217&lt;Forudsætninger!$B$227,Forudsætninger!$B$225,Forudsætninger!$C$9),Forudsætninger!$C$11)+O217</f>
        <v>19.42394034349233</v>
      </c>
      <c r="U217" s="2">
        <f>Forudsætninger!$C$68+((K217-(Forudsætninger!$C$84)))*0.01</f>
        <v>3.4532702459603009</v>
      </c>
      <c r="V217" s="2">
        <f>U217+Forudsætninger!$C$69</f>
        <v>2.4532702459603009</v>
      </c>
      <c r="W217">
        <f t="shared" si="84"/>
        <v>1</v>
      </c>
      <c r="X217">
        <f>IF(A217+Forudsætninger!$C$60&gt;248,IF(A217+Forudsætninger!$C$60&lt;365,IF(K217&gt;180,IF(K217&lt;260,1,0),0),0),0)</f>
        <v>0</v>
      </c>
      <c r="Y217" s="22">
        <f>IF(X217=0,0,IF('Vækstfunktion, hol'!A217&lt;Forudsætninger!$C$66,Forudsætninger!$C$67+(('Vækstfunktion, hol'!A217-Forudsætninger!$C$66)/7)*Forudsætninger!$C$64,Forudsætninger!$C$67))</f>
        <v>0</v>
      </c>
      <c r="Z217" s="19">
        <f t="shared" si="95"/>
        <v>3432.9405495062451</v>
      </c>
      <c r="AA217" s="19">
        <f>Forudsætninger!$C$62+Forudsætninger!$C$16</f>
        <v>1350</v>
      </c>
      <c r="AB217" s="19">
        <f>IF(K217&gt;Forudsætninger!$C$26,IF(K217&gt;Forudsætninger!$C$27,IF(K217&gt;Forudsætninger!$C$28,Forudsætninger!$E$28,Forudsætninger!$E$27+Forudsætninger!$F$28*(K217-Forudsætninger!$C$27)),Forudsætninger!$E$26+Forudsætninger!$F$27*(K217-Forudsætninger!$C$26)),Forudsætninger!$E$26)+IF(K217&gt;Forudsætninger!$C$28,Forudsætninger!$G$28,IF(K217&gt;Forudsætninger!$C$27,Forudsætninger!$G$27+Forudsætninger!$H$28*(K217-Forudsætninger!$C$27),IF(K217&gt;Forudsætninger!$C$26,Forudsætninger!$G$26+Forudsætninger!$H$27*(K217-Forudsætninger!$C$26),Forudsætninger!$G$26)))*(U217-Forudsætninger!$H$26)</f>
        <v>33.939952684470228</v>
      </c>
      <c r="AC217" s="19">
        <f>IF(K217&gt;Forudsætninger!$C$31,IF(K217&gt;Forudsætninger!$C$32,IF(K217&gt;Forudsætninger!$C$33,Forudsætninger!$E$33,Forudsætninger!$E$32+Forudsætninger!$F$33*(K217-Forudsætninger!$C$32)),Forudsætninger!$E$31+Forudsætninger!$F$32*(K217-Forudsætninger!$C$31)),Forudsætninger!$E$31)+IF(K217&gt;Forudsætninger!$C$33,Forudsætninger!$G$33,IF(K217&gt;Forudsætninger!$C$32,Forudsætninger!$G$32+Forudsætninger!$H$33*(K217-Forudsætninger!$C$32),IF(K217&gt;Forudsætninger!$C$31,Forudsætninger!$G$31+Forudsætninger!$H$32*(K217-Forudsætninger!$C$31),Forudsætninger!$G$31)))*(V217-Forudsætninger!$H$31)</f>
        <v>27.589251319748392</v>
      </c>
      <c r="AD217" s="19">
        <f t="shared" si="85"/>
        <v>4845.272286127296</v>
      </c>
      <c r="AE217" s="19">
        <f t="shared" si="86"/>
        <v>27.589251319748392</v>
      </c>
      <c r="AF217">
        <f>IF(G217&lt;=Forudsætninger!$C$97,Forudsætninger!$C$98,(IF(G217&lt;=Forudsætninger!$D$97,Forudsætninger!$D$98,IF(G217&lt;=Forudsætninger!$E$97,Forudsætninger!$E$98,IF(G217&lt;=Forudsætninger!$F$97,Forudsætninger!$F$98,IF(G217&lt;=Forudsætninger!$G$97,Forudsætninger!$G$98,IF(G217&lt;=Forudsætninger!$H$97,Forudsætninger!$H$98,IF(G217&lt;=Forudsætninger!$I$97,Forudsætninger!$I$98,Forudsætninger!$I$98))))))))</f>
        <v>3.8</v>
      </c>
      <c r="AG217" s="1">
        <f t="shared" si="96"/>
        <v>4.4000000000000004</v>
      </c>
      <c r="AH217" s="1">
        <f t="shared" si="100"/>
        <v>621.199999999998</v>
      </c>
      <c r="AI217" s="1">
        <f t="shared" si="87"/>
        <v>2.8893023255813861</v>
      </c>
      <c r="AJ217" s="20">
        <f>+(W217*Forudsætninger!$C$12)</f>
        <v>900</v>
      </c>
      <c r="AK217" s="20">
        <f>Forudsætninger!$C$17</f>
        <v>250</v>
      </c>
      <c r="AL217" s="20">
        <f>IF(A217&lt;92,Forudsætninger!$C$20,Forudsætninger!$C$21)</f>
        <v>1.0566762728146013</v>
      </c>
      <c r="AM217" s="20">
        <f t="shared" si="97"/>
        <v>495.69088150843135</v>
      </c>
      <c r="AN217" s="20">
        <f>IFERROR(AD217+AJ217-AA217-Z217-AK217-AM217-Forudsætninger!$C$75,-99999999)</f>
        <v>34.24666256322493</v>
      </c>
      <c r="AO217" s="19">
        <f>IFERROR(AN217/(A217+Forudsætninger!$C$74),-99999999)</f>
        <v>0.15928680261965084</v>
      </c>
      <c r="AP217" s="19">
        <f>IFERROR(((365/(A217+Forudsætninger!$C$74))*AN217)/(AI217+Forudsætninger!$C$73),-9999999)</f>
        <v>19.384402319263607</v>
      </c>
      <c r="AQ217" s="18">
        <f t="shared" si="88"/>
        <v>215</v>
      </c>
      <c r="AR217" s="18">
        <f t="shared" si="98"/>
        <v>5528.6314310146772</v>
      </c>
      <c r="AS217" s="52">
        <f t="shared" si="79"/>
        <v>8.4</v>
      </c>
      <c r="AT217" s="50">
        <f t="shared" si="101"/>
        <v>0.99941265010812685</v>
      </c>
      <c r="AU217" s="50">
        <f t="shared" si="102"/>
        <v>3.9258217172358778E-3</v>
      </c>
      <c r="AV217" s="2">
        <f t="shared" si="103"/>
        <v>0.43314795706903553</v>
      </c>
      <c r="AW217" s="61">
        <f t="shared" si="99"/>
        <v>2.4648257863797967</v>
      </c>
      <c r="BA217" s="16"/>
      <c r="BB217" s="2"/>
    </row>
    <row r="218" spans="1:54" x14ac:dyDescent="0.25">
      <c r="A218">
        <v>216</v>
      </c>
      <c r="B218" s="1">
        <f>ROUND((A218+Forudsætninger!$C$60)/30.4,1)</f>
        <v>8.4</v>
      </c>
      <c r="C218" s="1">
        <f>VLOOKUP((A218+Forudsætninger!$C$60),'Model tilvækst, slagteform, fe'!A:B,2,FALSE)</f>
        <v>375.97256979506619</v>
      </c>
      <c r="D218" s="3">
        <f t="shared" si="89"/>
        <v>1437.6838129286966</v>
      </c>
      <c r="E218" s="1">
        <f>(1+Forudsætninger!$C$78)*C218</f>
        <v>349.65448990941155</v>
      </c>
      <c r="F218" s="2">
        <f t="shared" si="90"/>
        <v>0</v>
      </c>
      <c r="G218" s="1">
        <f t="shared" si="80"/>
        <v>349.65448990941155</v>
      </c>
      <c r="H218" s="3">
        <f t="shared" si="81"/>
        <v>1337.045946023693</v>
      </c>
      <c r="I218" s="3">
        <f t="shared" si="82"/>
        <v>1299.3263421732015</v>
      </c>
      <c r="J218" s="1">
        <f>VLOOKUP((A218+Forudsætninger!$C$60),'Model tilvækst, slagteform, fe'!G:K,2,FALSE)*(1+Forudsætninger!$C$79)</f>
        <v>50.432337600037982</v>
      </c>
      <c r="K218" s="17">
        <f t="shared" si="78"/>
        <v>176.33893278480517</v>
      </c>
      <c r="L218" s="17">
        <f t="shared" si="91"/>
        <v>717.19408763911474</v>
      </c>
      <c r="M218" s="3">
        <f>((K218-(('Model tilvækst, slagteform, fe'!$H$9/100)*'Model tilvækst, slagteform, fe'!$B$9))*1000/(A218+Forudsætninger!$C$60))</f>
        <v>611.3412892407697</v>
      </c>
      <c r="N218" s="17">
        <f t="shared" si="92"/>
        <v>1132.4043793319715</v>
      </c>
      <c r="O218" s="19">
        <f>IF( A218&lt;Forudsætninger!$C$14,(G218/100)*Forudsætninger!$C$13,(Forudsætninger!$C$15/1000)*Forudsætninger!$C$13)</f>
        <v>2.2727541844111752</v>
      </c>
      <c r="P218" s="17" cm="1">
        <f t="array" ref="P218">INDEX('Model tilvækst, slagteform, fe'!$N$9:$N$375,MATCH(MIN(ABS('Model tilvækst, slagteform, fe'!$M$9:$M$375-'Vækstfunktion, hol'!G218)),ABS('Model tilvækst, slagteform, fe'!$M$9:$M$375-'Vækstfunktion, hol'!G218),0))*(1+Forudsætninger!$C$80)</f>
        <v>7.3471106066689522</v>
      </c>
      <c r="Q218" s="17">
        <f t="shared" si="93"/>
        <v>10.244243132084977</v>
      </c>
      <c r="R218" s="17">
        <f t="shared" si="94"/>
        <v>7.8519658885474026</v>
      </c>
      <c r="S218" s="17">
        <f t="shared" si="83"/>
        <v>4.0348699915596722</v>
      </c>
      <c r="T218" s="19">
        <f>(P218)*IF(N218&lt;Forudsætninger!$B$228,IF(N218&lt;Forudsætninger!$B$227,Forudsætninger!$B$225,Forudsætninger!$C$9),Forudsætninger!$C$11)+O218</f>
        <v>19.46499300401652</v>
      </c>
      <c r="U218" s="2">
        <f>Forudsætninger!$C$68+((K218-(Forudsætninger!$C$84)))*0.01</f>
        <v>3.4604421868366919</v>
      </c>
      <c r="V218" s="2">
        <f>U218+Forudsætninger!$C$69</f>
        <v>2.4604421868366919</v>
      </c>
      <c r="W218">
        <f t="shared" si="84"/>
        <v>1</v>
      </c>
      <c r="X218">
        <f>IF(A218+Forudsætninger!$C$60&gt;248,IF(A218+Forudsætninger!$C$60&lt;365,IF(K218&gt;180,IF(K218&lt;260,1,0),0),0),0)</f>
        <v>0</v>
      </c>
      <c r="Y218" s="22">
        <f>IF(X218=0,0,IF('Vækstfunktion, hol'!A218&lt;Forudsætninger!$C$66,Forudsætninger!$C$67+(('Vækstfunktion, hol'!A218-Forudsætninger!$C$66)/7)*Forudsætninger!$C$64,Forudsætninger!$C$67))</f>
        <v>0</v>
      </c>
      <c r="Z218" s="19">
        <f t="shared" si="95"/>
        <v>3452.4055425102615</v>
      </c>
      <c r="AA218" s="19">
        <f>Forudsætninger!$C$62+Forudsætninger!$C$16</f>
        <v>1350</v>
      </c>
      <c r="AB218" s="19">
        <f>IF(K218&gt;Forudsætninger!$C$26,IF(K218&gt;Forudsætninger!$C$27,IF(K218&gt;Forudsætninger!$C$28,Forudsætninger!$E$28,Forudsætninger!$E$27+Forudsætninger!$F$28*(K218-Forudsætninger!$C$27)),Forudsætninger!$E$26+Forudsætninger!$F$27*(K218-Forudsætninger!$C$26)),Forudsætninger!$E$26)+IF(K218&gt;Forudsætninger!$C$28,Forudsætninger!$G$28,IF(K218&gt;Forudsætninger!$C$27,Forudsætninger!$G$27+Forudsætninger!$H$28*(K218-Forudsætninger!$C$27),IF(K218&gt;Forudsætninger!$C$26,Forudsætninger!$G$26+Forudsætninger!$H$27*(K218-Forudsætninger!$C$26),Forudsætninger!$G$26)))*(U218-Forudsætninger!$H$26)</f>
        <v>33.94533164012752</v>
      </c>
      <c r="AC218" s="19">
        <f>IF(K218&gt;Forudsætninger!$C$31,IF(K218&gt;Forudsætninger!$C$32,IF(K218&gt;Forudsætninger!$C$33,Forudsætninger!$E$33,Forudsætninger!$E$32+Forudsætninger!$F$33*(K218-Forudsætninger!$C$32)),Forudsætninger!$E$31+Forudsætninger!$F$32*(K218-Forudsætninger!$C$31)),Forudsætninger!$E$31)+IF(K218&gt;Forudsætninger!$C$33,Forudsætninger!$G$33,IF(K218&gt;Forudsætninger!$C$32,Forudsætninger!$G$32+Forudsætninger!$H$33*(K218-Forudsætninger!$C$32),IF(K218&gt;Forudsætninger!$C$31,Forudsætninger!$G$31+Forudsætninger!$H$32*(K218-Forudsætninger!$C$31),Forudsætninger!$G$31)))*(V218-Forudsætninger!$H$31)</f>
        <v>27.5985748428877</v>
      </c>
      <c r="AD218" s="19">
        <f t="shared" si="85"/>
        <v>4866.7032341763888</v>
      </c>
      <c r="AE218" s="19">
        <f t="shared" si="86"/>
        <v>27.5985748428877</v>
      </c>
      <c r="AF218">
        <f>IF(G218&lt;=Forudsætninger!$C$97,Forudsætninger!$C$98,(IF(G218&lt;=Forudsætninger!$D$97,Forudsætninger!$D$98,IF(G218&lt;=Forudsætninger!$E$97,Forudsætninger!$E$98,IF(G218&lt;=Forudsætninger!$F$97,Forudsætninger!$F$98,IF(G218&lt;=Forudsætninger!$G$97,Forudsætninger!$G$98,IF(G218&lt;=Forudsætninger!$H$97,Forudsætninger!$H$98,IF(G218&lt;=Forudsætninger!$I$97,Forudsætninger!$I$98,Forudsætninger!$I$98))))))))</f>
        <v>3.8</v>
      </c>
      <c r="AG218" s="1">
        <f t="shared" si="96"/>
        <v>4.4000000000000004</v>
      </c>
      <c r="AH218" s="1">
        <f t="shared" si="100"/>
        <v>625.59999999999798</v>
      </c>
      <c r="AI218" s="1">
        <f t="shared" si="87"/>
        <v>2.896296296296287</v>
      </c>
      <c r="AJ218" s="20">
        <f>+(W218*Forudsætninger!$C$12)</f>
        <v>900</v>
      </c>
      <c r="AK218" s="20">
        <f>Forudsætninger!$C$17</f>
        <v>250</v>
      </c>
      <c r="AL218" s="20">
        <f>IF(A218&lt;92,Forudsætninger!$C$20,Forudsætninger!$C$21)</f>
        <v>1.0566762728146013</v>
      </c>
      <c r="AM218" s="20">
        <f t="shared" si="97"/>
        <v>496.74755778124597</v>
      </c>
      <c r="AN218" s="20">
        <f>IFERROR(AD218+AJ218-AA218-Z218-AK218-AM218-Forudsætninger!$C$75,-99999999)</f>
        <v>35.155941335486801</v>
      </c>
      <c r="AO218" s="19">
        <f>IFERROR(AN218/(A218+Forudsætninger!$C$74),-99999999)</f>
        <v>0.16275898766429076</v>
      </c>
      <c r="AP218" s="19">
        <f>IFERROR(((365/(A218+Forudsætninger!$C$74))*AN218)/(AI218+Forudsætninger!$C$73),-9999999)</f>
        <v>19.760870068148211</v>
      </c>
      <c r="AQ218" s="18">
        <f t="shared" si="88"/>
        <v>216</v>
      </c>
      <c r="AR218" s="18">
        <f t="shared" si="98"/>
        <v>5549.1531002915071</v>
      </c>
      <c r="AS218" s="52">
        <f t="shared" si="79"/>
        <v>8.4</v>
      </c>
      <c r="AT218" s="50">
        <f t="shared" si="101"/>
        <v>0.90927877226187093</v>
      </c>
      <c r="AU218" s="50">
        <f t="shared" si="102"/>
        <v>3.4721850446399194E-3</v>
      </c>
      <c r="AV218" s="2">
        <f t="shared" si="103"/>
        <v>0.37646774888460399</v>
      </c>
      <c r="AW218" s="61">
        <f t="shared" si="99"/>
        <v>2.4625161996145035</v>
      </c>
      <c r="BA218" s="16"/>
      <c r="BB218" s="2"/>
    </row>
    <row r="219" spans="1:54" x14ac:dyDescent="0.25">
      <c r="A219">
        <v>217</v>
      </c>
      <c r="B219" s="1">
        <f>ROUND((A219+Forudsætninger!$C$60)/30.4,1)</f>
        <v>8.4</v>
      </c>
      <c r="C219" s="1">
        <f>VLOOKUP((A219+Forudsætninger!$C$60),'Model tilvækst, slagteform, fe'!A:B,2,FALSE)</f>
        <v>377.40644217460846</v>
      </c>
      <c r="D219" s="3">
        <f t="shared" si="89"/>
        <v>1433.8723795422652</v>
      </c>
      <c r="E219" s="1">
        <f>(1+Forudsætninger!$C$78)*C219</f>
        <v>350.98799122238586</v>
      </c>
      <c r="F219" s="2">
        <f t="shared" si="90"/>
        <v>0</v>
      </c>
      <c r="G219" s="1">
        <f t="shared" si="80"/>
        <v>350.98799122238586</v>
      </c>
      <c r="H219" s="3">
        <f t="shared" si="81"/>
        <v>1333.5013129743061</v>
      </c>
      <c r="I219" s="3">
        <f t="shared" si="82"/>
        <v>1299.4838305179071</v>
      </c>
      <c r="J219" s="1">
        <f>VLOOKUP((A219+Forudsætninger!$C$60),'Model tilvækst, slagteform, fe'!G:K,2,FALSE)*(1+Forudsætninger!$C$79)</f>
        <v>50.444469081826568</v>
      </c>
      <c r="K219" s="17">
        <f t="shared" si="78"/>
        <v>177.05402871310059</v>
      </c>
      <c r="L219" s="17">
        <f t="shared" si="91"/>
        <v>715.09592829542612</v>
      </c>
      <c r="M219" s="3">
        <f>((K219-(('Model tilvækst, slagteform, fe'!$H$9/100)*'Model tilvækst, slagteform, fe'!$B$9))*1000/(A219+Forudsætninger!$C$60))</f>
        <v>611.74658079957703</v>
      </c>
      <c r="N219" s="17">
        <f t="shared" si="92"/>
        <v>1139.7584749316145</v>
      </c>
      <c r="O219" s="19">
        <f>IF( A219&lt;Forudsætninger!$C$14,(G219/100)*Forudsætninger!$C$13,(Forudsætninger!$C$15/1000)*Forudsætninger!$C$13)</f>
        <v>2.2814219429455083</v>
      </c>
      <c r="P219" s="17" cm="1">
        <f t="array" ref="P219">INDEX('Model tilvækst, slagteform, fe'!$N$9:$N$375,MATCH(MIN(ABS('Model tilvækst, slagteform, fe'!$M$9:$M$375-'Vækstfunktion, hol'!G219)),ABS('Model tilvækst, slagteform, fe'!$M$9:$M$375-'Vækstfunktion, hol'!G219),0))*(1+Forudsætninger!$C$80)</f>
        <v>7.3540955996428616</v>
      </c>
      <c r="Q219" s="17">
        <f t="shared" si="93"/>
        <v>10.284068624433111</v>
      </c>
      <c r="R219" s="17">
        <f t="shared" si="94"/>
        <v>7.8639657160404894</v>
      </c>
      <c r="S219" s="17">
        <f t="shared" si="83"/>
        <v>4.041868839842758</v>
      </c>
      <c r="T219" s="19">
        <f>(P219)*IF(N219&lt;Forudsætninger!$B$228,IF(N219&lt;Forudsætninger!$B$227,Forudsætninger!$B$225,Forudsætninger!$C$9),Forudsætninger!$C$11)+O219</f>
        <v>19.4900056461098</v>
      </c>
      <c r="U219" s="2">
        <f>Forudsætninger!$C$68+((K219-(Forudsætninger!$C$84)))*0.01</f>
        <v>3.4675931461196461</v>
      </c>
      <c r="V219" s="2">
        <f>U219+Forudsætninger!$C$69</f>
        <v>2.4675931461196461</v>
      </c>
      <c r="W219">
        <f t="shared" si="84"/>
        <v>1</v>
      </c>
      <c r="X219">
        <f>IF(A219+Forudsætninger!$C$60&gt;248,IF(A219+Forudsætninger!$C$60&lt;365,IF(K219&gt;180,IF(K219&lt;260,1,0),0),0),0)</f>
        <v>0</v>
      </c>
      <c r="Y219" s="22">
        <f>IF(X219=0,0,IF('Vækstfunktion, hol'!A219&lt;Forudsætninger!$C$66,Forudsætninger!$C$67+(('Vækstfunktion, hol'!A219-Forudsætninger!$C$66)/7)*Forudsætninger!$C$64,Forudsætninger!$C$67))</f>
        <v>0</v>
      </c>
      <c r="Z219" s="19">
        <f t="shared" si="95"/>
        <v>3471.8955481563712</v>
      </c>
      <c r="AA219" s="19">
        <f>Forudsætninger!$C$62+Forudsætninger!$C$16</f>
        <v>1350</v>
      </c>
      <c r="AB219" s="19">
        <f>IF(K219&gt;Forudsætninger!$C$26,IF(K219&gt;Forudsætninger!$C$27,IF(K219&gt;Forudsætninger!$C$28,Forudsætninger!$E$28,Forudsætninger!$E$27+Forudsætninger!$F$28*(K219-Forudsætninger!$C$27)),Forudsætninger!$E$26+Forudsætninger!$F$27*(K219-Forudsætninger!$C$26)),Forudsætninger!$E$26)+IF(K219&gt;Forudsætninger!$C$28,Forudsætninger!$G$28,IF(K219&gt;Forudsætninger!$C$27,Forudsætninger!$G$27+Forudsætninger!$H$28*(K219-Forudsætninger!$C$27),IF(K219&gt;Forudsætninger!$C$26,Forudsætninger!$G$26+Forudsætninger!$H$27*(K219-Forudsætninger!$C$26),Forudsætninger!$G$26)))*(U219-Forudsætninger!$H$26)</f>
        <v>33.950694859589738</v>
      </c>
      <c r="AC219" s="19">
        <f>IF(K219&gt;Forudsætninger!$C$31,IF(K219&gt;Forudsætninger!$C$32,IF(K219&gt;Forudsætninger!$C$33,Forudsætninger!$E$33,Forudsætninger!$E$32+Forudsætninger!$F$33*(K219-Forudsætninger!$C$32)),Forudsætninger!$E$31+Forudsætninger!$F$32*(K219-Forudsætninger!$C$31)),Forudsætninger!$E$31)+IF(K219&gt;Forudsætninger!$C$33,Forudsætninger!$G$33,IF(K219&gt;Forudsætninger!$C$32,Forudsætninger!$G$32+Forudsætninger!$H$33*(K219-Forudsætninger!$C$32),IF(K219&gt;Forudsætninger!$C$31,Forudsætninger!$G$31+Forudsætninger!$H$32*(K219-Forudsætninger!$C$31),Forudsætninger!$G$31)))*(V219-Forudsætninger!$H$31)</f>
        <v>27.607871089955541</v>
      </c>
      <c r="AD219" s="19">
        <f t="shared" si="85"/>
        <v>4888.0848006685683</v>
      </c>
      <c r="AE219" s="19">
        <f t="shared" si="86"/>
        <v>27.607871089955541</v>
      </c>
      <c r="AF219">
        <f>IF(G219&lt;=Forudsætninger!$C$97,Forudsætninger!$C$98,(IF(G219&lt;=Forudsætninger!$D$97,Forudsætninger!$D$98,IF(G219&lt;=Forudsætninger!$E$97,Forudsætninger!$E$98,IF(G219&lt;=Forudsætninger!$F$97,Forudsætninger!$F$98,IF(G219&lt;=Forudsætninger!$G$97,Forudsætninger!$G$98,IF(G219&lt;=Forudsætninger!$H$97,Forudsætninger!$H$98,IF(G219&lt;=Forudsætninger!$I$97,Forudsætninger!$I$98,Forudsætninger!$I$98))))))))</f>
        <v>3.8</v>
      </c>
      <c r="AG219" s="1">
        <f t="shared" si="96"/>
        <v>4.4000000000000004</v>
      </c>
      <c r="AH219" s="1">
        <f t="shared" si="100"/>
        <v>629.99999999999795</v>
      </c>
      <c r="AI219" s="1">
        <f t="shared" si="87"/>
        <v>2.9032258064516037</v>
      </c>
      <c r="AJ219" s="20">
        <f>+(W219*Forudsætninger!$C$12)</f>
        <v>900</v>
      </c>
      <c r="AK219" s="20">
        <f>Forudsætninger!$C$17</f>
        <v>250</v>
      </c>
      <c r="AL219" s="20">
        <f>IF(A219&lt;92,Forudsætninger!$C$20,Forudsætninger!$C$21)</f>
        <v>1.0566762728146013</v>
      </c>
      <c r="AM219" s="20">
        <f t="shared" si="97"/>
        <v>497.8042340540606</v>
      </c>
      <c r="AN219" s="20">
        <f>IFERROR(AD219+AJ219-AA219-Z219-AK219-AM219-Forudsætninger!$C$75,-99999999)</f>
        <v>35.990825908741925</v>
      </c>
      <c r="AO219" s="19">
        <f>IFERROR(AN219/(A219+Forudsætninger!$C$74),-99999999)</f>
        <v>0.16585634059328075</v>
      </c>
      <c r="AP219" s="19">
        <f>IFERROR(((365/(A219+Forudsætninger!$C$74))*AN219)/(AI219+Forudsætninger!$C$73),-9999999)</f>
        <v>20.090616570099321</v>
      </c>
      <c r="AQ219" s="18">
        <f t="shared" si="88"/>
        <v>217</v>
      </c>
      <c r="AR219" s="18">
        <f t="shared" si="98"/>
        <v>5569.6997822104322</v>
      </c>
      <c r="AS219" s="52">
        <f t="shared" si="79"/>
        <v>8.4</v>
      </c>
      <c r="AT219" s="50">
        <f t="shared" si="101"/>
        <v>0.834884573255124</v>
      </c>
      <c r="AU219" s="50">
        <f t="shared" si="102"/>
        <v>3.0973529289899937E-3</v>
      </c>
      <c r="AV219" s="2">
        <f t="shared" si="103"/>
        <v>0.3297465019511101</v>
      </c>
      <c r="AW219" s="61">
        <f t="shared" si="99"/>
        <v>2.4598850689530067</v>
      </c>
      <c r="BA219" s="16"/>
      <c r="BB219" s="2"/>
    </row>
    <row r="220" spans="1:54" x14ac:dyDescent="0.25">
      <c r="A220">
        <v>218</v>
      </c>
      <c r="B220" s="1">
        <f>ROUND((A220+Forudsætninger!$C$60)/30.4,1)</f>
        <v>8.5</v>
      </c>
      <c r="C220" s="1">
        <f>VLOOKUP((A220+Forudsætninger!$C$60),'Model tilvækst, slagteform, fe'!A:B,2,FALSE)</f>
        <v>378.83647973357654</v>
      </c>
      <c r="D220" s="3">
        <f t="shared" si="89"/>
        <v>1430.0375589680812</v>
      </c>
      <c r="E220" s="1">
        <f>(1+Forudsætninger!$C$78)*C220</f>
        <v>352.31792615222616</v>
      </c>
      <c r="F220" s="2">
        <f t="shared" si="90"/>
        <v>0</v>
      </c>
      <c r="G220" s="1">
        <f t="shared" si="80"/>
        <v>352.31792615222616</v>
      </c>
      <c r="H220" s="3">
        <f t="shared" si="81"/>
        <v>1329.9349298403058</v>
      </c>
      <c r="I220" s="3">
        <f t="shared" si="82"/>
        <v>1299.6235144597531</v>
      </c>
      <c r="J220" s="1">
        <f>VLOOKUP((A220+Forudsætninger!$C$60),'Model tilvækst, slagteform, fe'!G:K,2,FALSE)*(1+Forudsætninger!$C$79)</f>
        <v>50.456422352458937</v>
      </c>
      <c r="K220" s="17">
        <f t="shared" si="78"/>
        <v>177.76702084279162</v>
      </c>
      <c r="L220" s="17">
        <f t="shared" si="91"/>
        <v>712.9921296910311</v>
      </c>
      <c r="M220" s="3">
        <f>((K220-(('Model tilvækst, slagteform, fe'!$H$9/100)*'Model tilvækst, slagteform, fe'!$B$9))*1000/(A220+Forudsætninger!$C$60))</f>
        <v>612.14053235168387</v>
      </c>
      <c r="N220" s="17">
        <f t="shared" si="92"/>
        <v>1147.1196044616245</v>
      </c>
      <c r="O220" s="19">
        <f>IF( A220&lt;Forudsætninger!$C$14,(G220/100)*Forudsætninger!$C$13,(Forudsætninger!$C$15/1000)*Forudsætninger!$C$13)</f>
        <v>2.2900665199894701</v>
      </c>
      <c r="P220" s="17" cm="1">
        <f t="array" ref="P220">INDEX('Model tilvækst, slagteform, fe'!$N$9:$N$375,MATCH(MIN(ABS('Model tilvækst, slagteform, fe'!$M$9:$M$375-'Vækstfunktion, hol'!G220)),ABS('Model tilvækst, slagteform, fe'!$M$9:$M$375-'Vækstfunktion, hol'!G220),0))*(1+Forudsætninger!$C$80)</f>
        <v>7.3611295300098636</v>
      </c>
      <c r="Q220" s="17">
        <f t="shared" si="93"/>
        <v>10.324278801225681</v>
      </c>
      <c r="R220" s="17">
        <f t="shared" si="94"/>
        <v>7.8760097690005884</v>
      </c>
      <c r="S220" s="17">
        <f t="shared" si="83"/>
        <v>4.0488775985367029</v>
      </c>
      <c r="T220" s="19">
        <f>(P220)*IF(N220&lt;Forudsætninger!$B$228,IF(N220&lt;Forudsætninger!$B$227,Forudsætninger!$B$225,Forudsætninger!$C$9),Forudsætninger!$C$11)+O220</f>
        <v>19.515109620212549</v>
      </c>
      <c r="U220" s="2">
        <f>Forudsætninger!$C$68+((K220-(Forudsætninger!$C$84)))*0.01</f>
        <v>3.4747230674165563</v>
      </c>
      <c r="V220" s="2">
        <f>U220+Forudsætninger!$C$69</f>
        <v>2.4747230674165563</v>
      </c>
      <c r="W220">
        <f t="shared" si="84"/>
        <v>1</v>
      </c>
      <c r="X220">
        <f>IF(A220+Forudsætninger!$C$60&gt;248,IF(A220+Forudsætninger!$C$60&lt;365,IF(K220&gt;180,IF(K220&lt;260,1,0),0),0),0)</f>
        <v>0</v>
      </c>
      <c r="Y220" s="22">
        <f>IF(X220=0,0,IF('Vækstfunktion, hol'!A220&lt;Forudsætninger!$C$66,Forudsætninger!$C$67+(('Vækstfunktion, hol'!A220-Forudsætninger!$C$66)/7)*Forudsætninger!$C$64,Forudsætninger!$C$67))</f>
        <v>0</v>
      </c>
      <c r="Z220" s="19">
        <f t="shared" si="95"/>
        <v>3491.4106577765838</v>
      </c>
      <c r="AA220" s="19">
        <f>Forudsætninger!$C$62+Forudsætninger!$C$16</f>
        <v>1350</v>
      </c>
      <c r="AB220" s="19">
        <f>IF(K220&gt;Forudsætninger!$C$26,IF(K220&gt;Forudsætninger!$C$27,IF(K220&gt;Forudsætninger!$C$28,Forudsætninger!$E$28,Forudsætninger!$E$27+Forudsætninger!$F$28*(K220-Forudsætninger!$C$27)),Forudsætninger!$E$26+Forudsætninger!$F$27*(K220-Forudsætninger!$C$26)),Forudsætninger!$E$26)+IF(K220&gt;Forudsætninger!$C$28,Forudsætninger!$G$28,IF(K220&gt;Forudsætninger!$C$27,Forudsætninger!$G$27+Forudsætninger!$H$28*(K220-Forudsætninger!$C$27),IF(K220&gt;Forudsætninger!$C$26,Forudsætninger!$G$26+Forudsætninger!$H$27*(K220-Forudsætninger!$C$26),Forudsætninger!$G$26)))*(U220-Forudsætninger!$H$26)</f>
        <v>33.956042300562416</v>
      </c>
      <c r="AC220" s="19">
        <f>IF(K220&gt;Forudsætninger!$C$31,IF(K220&gt;Forudsætninger!$C$32,IF(K220&gt;Forudsætninger!$C$33,Forudsætninger!$E$33,Forudsætninger!$E$32+Forudsætninger!$F$33*(K220-Forudsætninger!$C$32)),Forudsætninger!$E$31+Forudsætninger!$F$32*(K220-Forudsætninger!$C$31)),Forudsætninger!$E$31)+IF(K220&gt;Forudsætninger!$C$33,Forudsætninger!$G$33,IF(K220&gt;Forudsætninger!$C$32,Forudsætninger!$G$32+Forudsætninger!$H$33*(K220-Forudsætninger!$C$32),IF(K220&gt;Forudsætninger!$C$31,Forudsætninger!$G$31+Forudsætninger!$H$32*(K220-Forudsætninger!$C$31),Forudsætninger!$G$31)))*(V220-Forudsætninger!$H$31)</f>
        <v>27.617139987641522</v>
      </c>
      <c r="AD220" s="19">
        <f t="shared" si="85"/>
        <v>4909.4166998013643</v>
      </c>
      <c r="AE220" s="19">
        <f t="shared" si="86"/>
        <v>27.617139987641522</v>
      </c>
      <c r="AF220">
        <f>IF(G220&lt;=Forudsætninger!$C$97,Forudsætninger!$C$98,(IF(G220&lt;=Forudsætninger!$D$97,Forudsætninger!$D$98,IF(G220&lt;=Forudsætninger!$E$97,Forudsætninger!$E$98,IF(G220&lt;=Forudsætninger!$F$97,Forudsætninger!$F$98,IF(G220&lt;=Forudsætninger!$G$97,Forudsætninger!$G$98,IF(G220&lt;=Forudsætninger!$H$97,Forudsætninger!$H$98,IF(G220&lt;=Forudsætninger!$I$97,Forudsætninger!$I$98,Forudsætninger!$I$98))))))))</f>
        <v>3.8</v>
      </c>
      <c r="AG220" s="1">
        <f t="shared" si="96"/>
        <v>4.4000000000000004</v>
      </c>
      <c r="AH220" s="1">
        <f t="shared" si="100"/>
        <v>634.39999999999793</v>
      </c>
      <c r="AI220" s="1">
        <f t="shared" si="87"/>
        <v>2.9100917431192568</v>
      </c>
      <c r="AJ220" s="20">
        <f>+(W220*Forudsætninger!$C$12)</f>
        <v>900</v>
      </c>
      <c r="AK220" s="20">
        <f>Forudsætninger!$C$17</f>
        <v>250</v>
      </c>
      <c r="AL220" s="20">
        <f>IF(A220&lt;92,Forudsætninger!$C$20,Forudsætninger!$C$21)</f>
        <v>1.0566762728146013</v>
      </c>
      <c r="AM220" s="20">
        <f t="shared" si="97"/>
        <v>498.86091032687523</v>
      </c>
      <c r="AN220" s="20">
        <f>IFERROR(AD220+AJ220-AA220-Z220-AK220-AM220-Forudsætninger!$C$75,-99999999)</f>
        <v>36.750939148510753</v>
      </c>
      <c r="AO220" s="19">
        <f>IFERROR(AN220/(A220+Forudsætninger!$C$74),-99999999)</f>
        <v>0.16858228967206768</v>
      </c>
      <c r="AP220" s="19">
        <f>IFERROR(((365/(A220+Forudsætninger!$C$74))*AN220)/(AI220+Forudsætninger!$C$73),-9999999)</f>
        <v>20.374392887400084</v>
      </c>
      <c r="AQ220" s="18">
        <f t="shared" si="88"/>
        <v>218</v>
      </c>
      <c r="AR220" s="18">
        <f t="shared" si="98"/>
        <v>5590.2715681034588</v>
      </c>
      <c r="AS220" s="52">
        <f t="shared" si="79"/>
        <v>8.5</v>
      </c>
      <c r="AT220" s="50">
        <f t="shared" si="101"/>
        <v>0.7601132397688275</v>
      </c>
      <c r="AU220" s="50">
        <f t="shared" si="102"/>
        <v>2.7259490787869267E-3</v>
      </c>
      <c r="AV220" s="2">
        <f t="shared" si="103"/>
        <v>0.28377631730076303</v>
      </c>
      <c r="AW220" s="61">
        <f t="shared" si="99"/>
        <v>2.4569350893366328</v>
      </c>
      <c r="BA220" s="16"/>
      <c r="BB220" s="2"/>
    </row>
    <row r="221" spans="1:54" x14ac:dyDescent="0.25">
      <c r="A221">
        <v>219</v>
      </c>
      <c r="B221" s="1">
        <f>ROUND((A221+Forudsætninger!$C$60)/30.4,1)</f>
        <v>8.5</v>
      </c>
      <c r="C221" s="1">
        <f>VLOOKUP((A221+Forudsætninger!$C$60),'Model tilvækst, slagteform, fe'!A:B,2,FALSE)</f>
        <v>380.26265961912986</v>
      </c>
      <c r="D221" s="3">
        <f t="shared" si="89"/>
        <v>1426.1798855533243</v>
      </c>
      <c r="E221" s="1">
        <f>(1+Forudsætninger!$C$78)*C221</f>
        <v>353.64427344579076</v>
      </c>
      <c r="F221" s="2">
        <f t="shared" si="90"/>
        <v>0</v>
      </c>
      <c r="G221" s="1">
        <f t="shared" si="80"/>
        <v>353.64427344579076</v>
      </c>
      <c r="H221" s="3">
        <f t="shared" si="81"/>
        <v>1326.347293564595</v>
      </c>
      <c r="I221" s="3">
        <f t="shared" si="82"/>
        <v>1299.7455408483595</v>
      </c>
      <c r="J221" s="1">
        <f>VLOOKUP((A221+Forudsætninger!$C$60),'Model tilvækst, slagteform, fe'!G:K,2,FALSE)*(1+Forudsætninger!$C$79)</f>
        <v>50.468201360760411</v>
      </c>
      <c r="K221" s="17">
        <f t="shared" si="78"/>
        <v>178.47790402341985</v>
      </c>
      <c r="L221" s="17">
        <f t="shared" si="91"/>
        <v>710.88318062822964</v>
      </c>
      <c r="M221" s="3">
        <f>((K221-(('Model tilvækst, slagteform, fe'!$H$9/100)*'Model tilvækst, slagteform, fe'!$B$9))*1000/(A221+Forudsætninger!$C$60))</f>
        <v>612.52325579461615</v>
      </c>
      <c r="N221" s="17">
        <f t="shared" si="92"/>
        <v>1154.4878185298278</v>
      </c>
      <c r="O221" s="19">
        <f>IF( A221&lt;Forudsætninger!$C$14,(G221/100)*Forudsætninger!$C$13,(Forudsætninger!$C$15/1000)*Forudsætninger!$C$13)</f>
        <v>2.2986877773976397</v>
      </c>
      <c r="P221" s="17" cm="1">
        <f t="array" ref="P221">INDEX('Model tilvækst, slagteform, fe'!$N$9:$N$375,MATCH(MIN(ABS('Model tilvækst, slagteform, fe'!$M$9:$M$375-'Vækstfunktion, hol'!G221)),ABS('Model tilvækst, slagteform, fe'!$M$9:$M$375-'Vækstfunktion, hol'!G221),0))*(1+Forudsætninger!$C$80)</f>
        <v>7.3682140682033674</v>
      </c>
      <c r="Q221" s="17">
        <f t="shared" si="93"/>
        <v>10.364873257645295</v>
      </c>
      <c r="R221" s="17">
        <f t="shared" si="94"/>
        <v>7.8880985438311031</v>
      </c>
      <c r="S221" s="17">
        <f t="shared" si="83"/>
        <v>4.0558968728021672</v>
      </c>
      <c r="T221" s="19">
        <f>(P221)*IF(N221&lt;Forudsætninger!$B$228,IF(N221&lt;Forudsætninger!$B$227,Forudsætninger!$B$225,Forudsætninger!$C$9),Forudsætninger!$C$11)+O221</f>
        <v>19.540308696993517</v>
      </c>
      <c r="U221" s="2">
        <f>Forudsætninger!$C$68+((K221-(Forudsætninger!$C$84)))*0.01</f>
        <v>3.481831899222839</v>
      </c>
      <c r="V221" s="2">
        <f>U221+Forudsætninger!$C$69</f>
        <v>2.481831899222839</v>
      </c>
      <c r="W221">
        <f t="shared" si="84"/>
        <v>1</v>
      </c>
      <c r="X221">
        <f>IF(A221+Forudsætninger!$C$60&gt;248,IF(A221+Forudsætninger!$C$60&lt;365,IF(K221&gt;180,IF(K221&lt;260,1,0),0),0),0)</f>
        <v>0</v>
      </c>
      <c r="Y221" s="22">
        <f>IF(X221=0,0,IF('Vækstfunktion, hol'!A221&lt;Forudsætninger!$C$66,Forudsætninger!$C$67+(('Vækstfunktion, hol'!A221-Forudsætninger!$C$66)/7)*Forudsætninger!$C$64,Forudsætninger!$C$67))</f>
        <v>0</v>
      </c>
      <c r="Z221" s="19">
        <f t="shared" si="95"/>
        <v>3510.9509664735774</v>
      </c>
      <c r="AA221" s="19">
        <f>Forudsætninger!$C$62+Forudsætninger!$C$16</f>
        <v>1350</v>
      </c>
      <c r="AB221" s="19">
        <f>IF(K221&gt;Forudsætninger!$C$26,IF(K221&gt;Forudsætninger!$C$27,IF(K221&gt;Forudsætninger!$C$28,Forudsætninger!$E$28,Forudsætninger!$E$27+Forudsætninger!$F$28*(K221-Forudsætninger!$C$27)),Forudsætninger!$E$26+Forudsætninger!$F$27*(K221-Forudsætninger!$C$26)),Forudsætninger!$E$26)+IF(K221&gt;Forudsætninger!$C$28,Forudsætninger!$G$28,IF(K221&gt;Forudsætninger!$C$27,Forudsætninger!$G$27+Forudsætninger!$H$28*(K221-Forudsætninger!$C$27),IF(K221&gt;Forudsætninger!$C$26,Forudsætninger!$G$26+Forudsætninger!$H$27*(K221-Forudsætninger!$C$26),Forudsætninger!$G$26)))*(U221-Forudsætninger!$H$26)</f>
        <v>33.961373924417131</v>
      </c>
      <c r="AC221" s="19">
        <f>IF(K221&gt;Forudsætninger!$C$31,IF(K221&gt;Forudsætninger!$C$32,IF(K221&gt;Forudsætninger!$C$33,Forudsætninger!$E$33,Forudsætninger!$E$32+Forudsætninger!$F$33*(K221-Forudsætninger!$C$32)),Forudsætninger!$E$31+Forudsætninger!$F$32*(K221-Forudsætninger!$C$31)),Forudsætninger!$E$31)+IF(K221&gt;Forudsætninger!$C$33,Forudsætninger!$G$33,IF(K221&gt;Forudsætninger!$C$32,Forudsætninger!$G$32+Forudsætninger!$H$33*(K221-Forudsætninger!$C$32),IF(K221&gt;Forudsætninger!$C$31,Forudsætninger!$G$31+Forudsætninger!$H$32*(K221-Forudsætninger!$C$31),Forudsætninger!$G$31)))*(V221-Forudsætninger!$H$31)</f>
        <v>27.626381468989692</v>
      </c>
      <c r="AD221" s="19">
        <f t="shared" si="85"/>
        <v>4930.6986603367268</v>
      </c>
      <c r="AE221" s="19">
        <f t="shared" si="86"/>
        <v>27.626381468989692</v>
      </c>
      <c r="AF221">
        <f>IF(G221&lt;=Forudsætninger!$C$97,Forudsætninger!$C$98,(IF(G221&lt;=Forudsætninger!$D$97,Forudsætninger!$D$98,IF(G221&lt;=Forudsætninger!$E$97,Forudsætninger!$E$98,IF(G221&lt;=Forudsætninger!$F$97,Forudsætninger!$F$98,IF(G221&lt;=Forudsætninger!$G$97,Forudsætninger!$G$98,IF(G221&lt;=Forudsætninger!$H$97,Forudsætninger!$H$98,IF(G221&lt;=Forudsætninger!$I$97,Forudsætninger!$I$98,Forudsætninger!$I$98))))))))</f>
        <v>3.8</v>
      </c>
      <c r="AG221" s="1">
        <f t="shared" si="96"/>
        <v>4.4000000000000004</v>
      </c>
      <c r="AH221" s="1">
        <f t="shared" si="100"/>
        <v>638.79999999999791</v>
      </c>
      <c r="AI221" s="1">
        <f t="shared" si="87"/>
        <v>2.9168949771689401</v>
      </c>
      <c r="AJ221" s="20">
        <f>+(W221*Forudsætninger!$C$12)</f>
        <v>900</v>
      </c>
      <c r="AK221" s="20">
        <f>Forudsætninger!$C$17</f>
        <v>250</v>
      </c>
      <c r="AL221" s="20">
        <f>IF(A221&lt;92,Forudsætninger!$C$20,Forudsætninger!$C$21)</f>
        <v>1.0566762728146013</v>
      </c>
      <c r="AM221" s="20">
        <f t="shared" si="97"/>
        <v>499.91758659968986</v>
      </c>
      <c r="AN221" s="20">
        <f>IFERROR(AD221+AJ221-AA221-Z221-AK221-AM221-Forudsætninger!$C$75,-99999999)</f>
        <v>37.435914714064978</v>
      </c>
      <c r="AO221" s="19">
        <f>IFERROR(AN221/(A221+Forudsætninger!$C$74),-99999999)</f>
        <v>0.17094024983591313</v>
      </c>
      <c r="AP221" s="19">
        <f>IFERROR(((365/(A221+Forudsætninger!$C$74))*AN221)/(AI221+Forudsætninger!$C$73),-9999999)</f>
        <v>20.612935586045591</v>
      </c>
      <c r="AQ221" s="18">
        <f t="shared" si="88"/>
        <v>219</v>
      </c>
      <c r="AR221" s="18">
        <f t="shared" si="98"/>
        <v>5610.8685530732673</v>
      </c>
      <c r="AS221" s="52">
        <f t="shared" si="79"/>
        <v>8.5</v>
      </c>
      <c r="AT221" s="50">
        <f t="shared" si="101"/>
        <v>0.68497556555422534</v>
      </c>
      <c r="AU221" s="50">
        <f t="shared" si="102"/>
        <v>2.3579601638454573E-3</v>
      </c>
      <c r="AV221" s="2">
        <f t="shared" si="103"/>
        <v>0.23854269864550659</v>
      </c>
      <c r="AW221" s="61">
        <f t="shared" si="99"/>
        <v>2.4536689557705698</v>
      </c>
      <c r="BA221" s="16"/>
      <c r="BB221" s="2"/>
    </row>
    <row r="222" spans="1:54" x14ac:dyDescent="0.25">
      <c r="A222">
        <v>220</v>
      </c>
      <c r="B222" s="1">
        <f>ROUND((A222+Forudsætninger!$C$60)/30.4,1)</f>
        <v>8.5</v>
      </c>
      <c r="C222" s="1">
        <f>VLOOKUP((A222+Forudsætninger!$C$60),'Model tilvækst, slagteform, fe'!A:B,2,FALSE)</f>
        <v>381.68495951277566</v>
      </c>
      <c r="D222" s="3">
        <f t="shared" si="89"/>
        <v>1422.2998936457998</v>
      </c>
      <c r="E222" s="1">
        <f>(1+Forudsætninger!$C$78)*C222</f>
        <v>354.96701234688135</v>
      </c>
      <c r="F222" s="2">
        <f t="shared" si="90"/>
        <v>0</v>
      </c>
      <c r="G222" s="1">
        <f t="shared" si="80"/>
        <v>354.96701234688135</v>
      </c>
      <c r="H222" s="3">
        <f t="shared" si="81"/>
        <v>1322.7389010905881</v>
      </c>
      <c r="I222" s="3">
        <f t="shared" si="82"/>
        <v>1299.8500561221879</v>
      </c>
      <c r="J222" s="1">
        <f>VLOOKUP((A222+Forudsætninger!$C$60),'Model tilvækst, slagteform, fe'!G:K,2,FALSE)*(1+Forudsætninger!$C$79)</f>
        <v>50.479810055556342</v>
      </c>
      <c r="K222" s="17">
        <f t="shared" si="78"/>
        <v>179.18667359258893</v>
      </c>
      <c r="L222" s="17">
        <f t="shared" si="91"/>
        <v>708.7695691690783</v>
      </c>
      <c r="M222" s="3">
        <f>((K222-(('Model tilvækst, slagteform, fe'!$H$9/100)*'Model tilvækst, slagteform, fe'!$B$9))*1000/(A222+Forudsætninger!$C$60))</f>
        <v>612.89486318216234</v>
      </c>
      <c r="N222" s="17">
        <f t="shared" si="92"/>
        <v>1161.8631694144847</v>
      </c>
      <c r="O222" s="19">
        <f>IF( A222&lt;Forudsætninger!$C$14,(G222/100)*Forudsætninger!$C$13,(Forudsætninger!$C$15/1000)*Forudsætninger!$C$13)</f>
        <v>2.3072855802547285</v>
      </c>
      <c r="P222" s="17" cm="1">
        <f t="array" ref="P222">INDEX('Model tilvækst, slagteform, fe'!$N$9:$N$375,MATCH(MIN(ABS('Model tilvækst, slagteform, fe'!$M$9:$M$375-'Vækstfunktion, hol'!G222)),ABS('Model tilvækst, slagteform, fe'!$M$9:$M$375-'Vækstfunktion, hol'!G222),0))*(1+Forudsætninger!$C$80)</f>
        <v>7.3753508846567772</v>
      </c>
      <c r="Q222" s="17">
        <f t="shared" si="93"/>
        <v>10.405851500231909</v>
      </c>
      <c r="R222" s="17">
        <f t="shared" si="94"/>
        <v>7.9002325180018076</v>
      </c>
      <c r="S222" s="17">
        <f t="shared" si="83"/>
        <v>4.0629272582151224</v>
      </c>
      <c r="T222" s="19">
        <f>(P222)*IF(N222&lt;Forudsætninger!$B$228,IF(N222&lt;Forudsætninger!$B$227,Forudsætninger!$B$225,Forudsætninger!$C$9),Forudsætninger!$C$11)+O222</f>
        <v>19.565606650351587</v>
      </c>
      <c r="U222" s="2">
        <f>Forudsætninger!$C$68+((K222-(Forudsætninger!$C$84)))*0.01</f>
        <v>3.4889195949145297</v>
      </c>
      <c r="V222" s="2">
        <f>U222+Forudsætninger!$C$69</f>
        <v>2.4889195949145297</v>
      </c>
      <c r="W222">
        <f t="shared" si="84"/>
        <v>1</v>
      </c>
      <c r="X222">
        <f>IF(A222+Forudsætninger!$C$60&gt;248,IF(A222+Forudsætninger!$C$60&lt;365,IF(K222&gt;180,IF(K222&lt;260,1,0),0),0),0)</f>
        <v>0</v>
      </c>
      <c r="Y222" s="22">
        <f>IF(X222=0,0,IF('Vækstfunktion, hol'!A222&lt;Forudsætninger!$C$66,Forudsætninger!$C$67+(('Vækstfunktion, hol'!A222-Forudsætninger!$C$66)/7)*Forudsætninger!$C$64,Forudsætninger!$C$67))</f>
        <v>0</v>
      </c>
      <c r="Z222" s="19">
        <f t="shared" si="95"/>
        <v>3530.516573123929</v>
      </c>
      <c r="AA222" s="19">
        <f>Forudsætninger!$C$62+Forudsætninger!$C$16</f>
        <v>1350</v>
      </c>
      <c r="AB222" s="19">
        <f>IF(K222&gt;Forudsætninger!$C$26,IF(K222&gt;Forudsætninger!$C$27,IF(K222&gt;Forudsætninger!$C$28,Forudsætninger!$E$28,Forudsætninger!$E$27+Forudsætninger!$F$28*(K222-Forudsætninger!$C$27)),Forudsætninger!$E$26+Forudsætninger!$F$27*(K222-Forudsætninger!$C$26)),Forudsætninger!$E$26)+IF(K222&gt;Forudsætninger!$C$28,Forudsætninger!$G$28,IF(K222&gt;Forudsætninger!$C$27,Forudsætninger!$G$27+Forudsætninger!$H$28*(K222-Forudsætninger!$C$27),IF(K222&gt;Forudsætninger!$C$26,Forudsætninger!$G$26+Forudsætninger!$H$27*(K222-Forudsætninger!$C$26),Forudsætninger!$G$26)))*(U222-Forudsætninger!$H$26)</f>
        <v>33.966689696185895</v>
      </c>
      <c r="AC222" s="19">
        <f>IF(K222&gt;Forudsætninger!$C$31,IF(K222&gt;Forudsætninger!$C$32,IF(K222&gt;Forudsætninger!$C$33,Forudsætninger!$E$33,Forudsætninger!$E$32+Forudsætninger!$F$33*(K222-Forudsætninger!$C$32)),Forudsætninger!$E$31+Forudsætninger!$F$32*(K222-Forudsætninger!$C$31)),Forudsætninger!$E$31)+IF(K222&gt;Forudsætninger!$C$33,Forudsætninger!$G$33,IF(K222&gt;Forudsætninger!$C$32,Forudsætninger!$G$32+Forudsætninger!$H$33*(K222-Forudsætninger!$C$32),IF(K222&gt;Forudsætninger!$C$31,Forudsætninger!$G$31+Forudsætninger!$H$32*(K222-Forudsætninger!$C$31),Forudsætninger!$G$31)))*(V222-Forudsætninger!$H$31)</f>
        <v>27.635595473388889</v>
      </c>
      <c r="AD222" s="19">
        <f t="shared" si="85"/>
        <v>4951.9304256269634</v>
      </c>
      <c r="AE222" s="19">
        <f t="shared" si="86"/>
        <v>27.635595473388889</v>
      </c>
      <c r="AF222">
        <f>IF(G222&lt;=Forudsætninger!$C$97,Forudsætninger!$C$98,(IF(G222&lt;=Forudsætninger!$D$97,Forudsætninger!$D$98,IF(G222&lt;=Forudsætninger!$E$97,Forudsætninger!$E$98,IF(G222&lt;=Forudsætninger!$F$97,Forudsætninger!$F$98,IF(G222&lt;=Forudsætninger!$G$97,Forudsætninger!$G$98,IF(G222&lt;=Forudsætninger!$H$97,Forudsætninger!$H$98,IF(G222&lt;=Forudsætninger!$I$97,Forudsætninger!$I$98,Forudsætninger!$I$98))))))))</f>
        <v>3.8</v>
      </c>
      <c r="AG222" s="1">
        <f t="shared" si="96"/>
        <v>4.4000000000000004</v>
      </c>
      <c r="AH222" s="1">
        <f t="shared" si="100"/>
        <v>643.19999999999789</v>
      </c>
      <c r="AI222" s="1">
        <f t="shared" si="87"/>
        <v>2.923636363636354</v>
      </c>
      <c r="AJ222" s="20">
        <f>+(W222*Forudsætninger!$C$12)</f>
        <v>900</v>
      </c>
      <c r="AK222" s="20">
        <f>Forudsætninger!$C$17</f>
        <v>250</v>
      </c>
      <c r="AL222" s="20">
        <f>IF(A222&lt;92,Forudsætninger!$C$20,Forudsætninger!$C$21)</f>
        <v>1.0566762728146013</v>
      </c>
      <c r="AM222" s="20">
        <f t="shared" si="97"/>
        <v>500.97426287250448</v>
      </c>
      <c r="AN222" s="20">
        <f>IFERROR(AD222+AJ222-AA222-Z222-AK222-AM222-Forudsætninger!$C$75,-99999999)</f>
        <v>38.045397081135349</v>
      </c>
      <c r="AO222" s="19">
        <f>IFERROR(AN222/(A222+Forudsætninger!$C$74),-99999999)</f>
        <v>0.17293362309606977</v>
      </c>
      <c r="AP222" s="19">
        <f>IFERROR(((365/(A222+Forudsætninger!$C$74))*AN222)/(AI222+Forudsætninger!$C$73),-9999999)</f>
        <v>20.806967237959913</v>
      </c>
      <c r="AQ222" s="18">
        <f t="shared" si="88"/>
        <v>220</v>
      </c>
      <c r="AR222" s="18">
        <f t="shared" si="98"/>
        <v>5631.4908359964329</v>
      </c>
      <c r="AS222" s="52">
        <f t="shared" si="79"/>
        <v>8.5</v>
      </c>
      <c r="AT222" s="50">
        <f t="shared" si="101"/>
        <v>0.6094823670703704</v>
      </c>
      <c r="AU222" s="50">
        <f t="shared" si="102"/>
        <v>1.993373260156639E-3</v>
      </c>
      <c r="AV222" s="2">
        <f t="shared" si="103"/>
        <v>0.19403165191432237</v>
      </c>
      <c r="AW222" s="61">
        <f t="shared" si="99"/>
        <v>2.4500893634256355</v>
      </c>
      <c r="BA222" s="16"/>
      <c r="BB222" s="2"/>
    </row>
    <row r="223" spans="1:54" x14ac:dyDescent="0.25">
      <c r="A223">
        <v>221</v>
      </c>
      <c r="B223" s="1">
        <f>ROUND((A223+Forudsætninger!$C$60)/30.4,1)</f>
        <v>8.6</v>
      </c>
      <c r="C223" s="1">
        <f>VLOOKUP((A223+Forudsætninger!$C$60),'Model tilvækst, slagteform, fe'!A:B,2,FALSE)</f>
        <v>383.10335763036846</v>
      </c>
      <c r="D223" s="3">
        <f t="shared" si="89"/>
        <v>1418.3981175928011</v>
      </c>
      <c r="E223" s="1">
        <f>(1+Forudsætninger!$C$78)*C223</f>
        <v>356.28612259624265</v>
      </c>
      <c r="F223" s="2">
        <f t="shared" si="90"/>
        <v>0</v>
      </c>
      <c r="G223" s="1">
        <f t="shared" si="80"/>
        <v>356.28612259624265</v>
      </c>
      <c r="H223" s="3">
        <f t="shared" si="81"/>
        <v>1319.1102493613016</v>
      </c>
      <c r="I223" s="3">
        <f t="shared" si="82"/>
        <v>1299.93720631784</v>
      </c>
      <c r="J223" s="1">
        <f>VLOOKUP((A223+Forudsætninger!$C$60),'Model tilvækst, slagteform, fe'!G:K,2,FALSE)*(1+Forudsætninger!$C$79)</f>
        <v>50.491252385672091</v>
      </c>
      <c r="K223" s="17">
        <f t="shared" si="78"/>
        <v>179.89332537519397</v>
      </c>
      <c r="L223" s="17">
        <f t="shared" si="91"/>
        <v>706.65178260503581</v>
      </c>
      <c r="M223" s="3">
        <f>((K223-(('Model tilvækst, slagteform, fe'!$H$9/100)*'Model tilvækst, slagteform, fe'!$B$9))*1000/(A223+Forudsætninger!$C$60))</f>
        <v>613.25546671840425</v>
      </c>
      <c r="N223" s="17">
        <f t="shared" si="92"/>
        <v>1169.2457110642881</v>
      </c>
      <c r="O223" s="19">
        <f>IF( A223&lt;Forudsætninger!$C$14,(G223/100)*Forudsætninger!$C$13,(Forudsætninger!$C$15/1000)*Forudsætninger!$C$13)</f>
        <v>2.3158597968755772</v>
      </c>
      <c r="P223" s="17" cm="1">
        <f t="array" ref="P223">INDEX('Model tilvækst, slagteform, fe'!$N$9:$N$375,MATCH(MIN(ABS('Model tilvækst, slagteform, fe'!$M$9:$M$375-'Vækstfunktion, hol'!G223)),ABS('Model tilvækst, slagteform, fe'!$M$9:$M$375-'Vækstfunktion, hol'!G223),0))*(1+Forudsætninger!$C$80)</f>
        <v>7.3825416498035015</v>
      </c>
      <c r="Q223" s="17">
        <f t="shared" si="93"/>
        <v>10.447212943535128</v>
      </c>
      <c r="R223" s="17">
        <f t="shared" si="94"/>
        <v>7.9124121504282803</v>
      </c>
      <c r="S223" s="17">
        <f t="shared" si="83"/>
        <v>4.0699693410097924</v>
      </c>
      <c r="T223" s="19">
        <f>(P223)*IF(N223&lt;Forudsætninger!$B$228,IF(N223&lt;Forudsætninger!$B$227,Forudsætninger!$B$225,Forudsætninger!$C$9),Forudsætninger!$C$11)+O223</f>
        <v>19.591007257415772</v>
      </c>
      <c r="U223" s="2">
        <f>Forudsætninger!$C$68+((K223-(Forudsætninger!$C$84)))*0.01</f>
        <v>3.4959861127405798</v>
      </c>
      <c r="V223" s="2">
        <f>U223+Forudsætninger!$C$69</f>
        <v>2.4959861127405798</v>
      </c>
      <c r="W223">
        <f t="shared" si="84"/>
        <v>1</v>
      </c>
      <c r="X223">
        <f>IF(A223+Forudsætninger!$C$60&gt;248,IF(A223+Forudsætninger!$C$60&lt;365,IF(K223&gt;180,IF(K223&lt;260,1,0),0),0),0)</f>
        <v>0</v>
      </c>
      <c r="Y223" s="22">
        <f>IF(X223=0,0,IF('Vækstfunktion, hol'!A223&lt;Forudsætninger!$C$66,Forudsætninger!$C$67+(('Vækstfunktion, hol'!A223-Forudsætninger!$C$66)/7)*Forudsætninger!$C$64,Forudsætninger!$C$67))</f>
        <v>0</v>
      </c>
      <c r="Z223" s="19">
        <f t="shared" si="95"/>
        <v>3550.1075803813446</v>
      </c>
      <c r="AA223" s="19">
        <f>Forudsætninger!$C$62+Forudsætninger!$C$16</f>
        <v>1350</v>
      </c>
      <c r="AB223" s="19">
        <f>IF(K223&gt;Forudsætninger!$C$26,IF(K223&gt;Forudsætninger!$C$27,IF(K223&gt;Forudsætninger!$C$28,Forudsætninger!$E$28,Forudsætninger!$E$27+Forudsætninger!$F$28*(K223-Forudsætninger!$C$27)),Forudsætninger!$E$26+Forudsætninger!$F$27*(K223-Forudsætninger!$C$26)),Forudsætninger!$E$26)+IF(K223&gt;Forudsætninger!$C$28,Forudsætninger!$G$28,IF(K223&gt;Forudsætninger!$C$27,Forudsætninger!$G$27+Forudsætninger!$H$28*(K223-Forudsætninger!$C$27),IF(K223&gt;Forudsætninger!$C$26,Forudsætninger!$G$26+Forudsætninger!$H$27*(K223-Forudsætninger!$C$26),Forudsætninger!$G$26)))*(U223-Forudsætninger!$H$26)</f>
        <v>33.971989584555438</v>
      </c>
      <c r="AC223" s="19">
        <f>IF(K223&gt;Forudsætninger!$C$31,IF(K223&gt;Forudsætninger!$C$32,IF(K223&gt;Forudsætninger!$C$33,Forudsætninger!$E$33,Forudsætninger!$E$32+Forudsætninger!$F$33*(K223-Forudsætninger!$C$32)),Forudsætninger!$E$31+Forudsætninger!$F$32*(K223-Forudsætninger!$C$31)),Forudsætninger!$E$31)+IF(K223&gt;Forudsætninger!$C$33,Forudsætninger!$G$33,IF(K223&gt;Forudsætninger!$C$32,Forudsætninger!$G$32+Forudsætninger!$H$33*(K223-Forudsætninger!$C$32),IF(K223&gt;Forudsætninger!$C$31,Forudsætninger!$G$31+Forudsætninger!$H$32*(K223-Forudsætninger!$C$31),Forudsætninger!$G$31)))*(V223-Forudsætninger!$H$31)</f>
        <v>27.644781946562755</v>
      </c>
      <c r="AD223" s="19">
        <f t="shared" si="85"/>
        <v>4973.1117536393022</v>
      </c>
      <c r="AE223" s="19">
        <f t="shared" si="86"/>
        <v>27.644781946562759</v>
      </c>
      <c r="AF223">
        <f>IF(G223&lt;=Forudsætninger!$C$97,Forudsætninger!$C$98,(IF(G223&lt;=Forudsætninger!$D$97,Forudsætninger!$D$98,IF(G223&lt;=Forudsætninger!$E$97,Forudsætninger!$E$98,IF(G223&lt;=Forudsætninger!$F$97,Forudsætninger!$F$98,IF(G223&lt;=Forudsætninger!$G$97,Forudsætninger!$G$98,IF(G223&lt;=Forudsætninger!$H$97,Forudsætninger!$H$98,IF(G223&lt;=Forudsætninger!$I$97,Forudsætninger!$I$98,Forudsætninger!$I$98))))))))</f>
        <v>3.8</v>
      </c>
      <c r="AG223" s="1">
        <f t="shared" si="96"/>
        <v>4.4000000000000004</v>
      </c>
      <c r="AH223" s="1">
        <f t="shared" si="100"/>
        <v>647.59999999999786</v>
      </c>
      <c r="AI223" s="1">
        <f t="shared" si="87"/>
        <v>2.9303167420814384</v>
      </c>
      <c r="AJ223" s="20">
        <f>+(W223*Forudsætninger!$C$12)</f>
        <v>900</v>
      </c>
      <c r="AK223" s="20">
        <f>Forudsætninger!$C$17</f>
        <v>250</v>
      </c>
      <c r="AL223" s="20">
        <f>IF(A223&lt;92,Forudsætninger!$C$20,Forudsætninger!$C$21)</f>
        <v>1.0566762728146013</v>
      </c>
      <c r="AM223" s="20">
        <f t="shared" si="97"/>
        <v>502.03093914531911</v>
      </c>
      <c r="AN223" s="20">
        <f>IFERROR(AD223+AJ223-AA223-Z223-AK223-AM223-Forudsætninger!$C$75,-99999999)</f>
        <v>38.579041563243862</v>
      </c>
      <c r="AO223" s="19">
        <f>IFERROR(AN223/(A223+Forudsætninger!$C$74),-99999999)</f>
        <v>0.17456579892870525</v>
      </c>
      <c r="AP223" s="19">
        <f>IFERROR(((365/(A223+Forudsætninger!$C$74))*AN223)/(AI223+Forudsætninger!$C$73),-9999999)</f>
        <v>20.957196902239964</v>
      </c>
      <c r="AQ223" s="18">
        <f t="shared" si="88"/>
        <v>221</v>
      </c>
      <c r="AR223" s="18">
        <f t="shared" si="98"/>
        <v>5652.1385195266639</v>
      </c>
      <c r="AS223" s="52">
        <f t="shared" si="79"/>
        <v>8.6</v>
      </c>
      <c r="AT223" s="50">
        <f t="shared" si="101"/>
        <v>0.53364448210851378</v>
      </c>
      <c r="AU223" s="50">
        <f t="shared" si="102"/>
        <v>1.6321758326354741E-3</v>
      </c>
      <c r="AV223" s="2">
        <f t="shared" si="103"/>
        <v>0.15022966428005091</v>
      </c>
      <c r="AW223" s="61">
        <f t="shared" si="99"/>
        <v>2.446199007731054</v>
      </c>
      <c r="BA223" s="16"/>
      <c r="BB223" s="2"/>
    </row>
    <row r="224" spans="1:54" x14ac:dyDescent="0.25">
      <c r="A224">
        <v>222</v>
      </c>
      <c r="B224" s="1">
        <f>ROUND((A224+Forudsætninger!$C$60)/30.4,1)</f>
        <v>8.6</v>
      </c>
      <c r="C224" s="1">
        <f>VLOOKUP((A224+Forudsætninger!$C$60),'Model tilvækst, slagteform, fe'!A:B,2,FALSE)</f>
        <v>384.51783272211014</v>
      </c>
      <c r="D224" s="3">
        <f t="shared" si="89"/>
        <v>1414.4750917416786</v>
      </c>
      <c r="E224" s="1">
        <f>(1+Forudsætninger!$C$78)*C224</f>
        <v>357.6015844315624</v>
      </c>
      <c r="F224" s="2">
        <f t="shared" si="90"/>
        <v>0</v>
      </c>
      <c r="G224" s="1">
        <f t="shared" si="80"/>
        <v>357.6015844315624</v>
      </c>
      <c r="H224" s="3">
        <f t="shared" si="81"/>
        <v>1315.461835319752</v>
      </c>
      <c r="I224" s="3">
        <f t="shared" si="82"/>
        <v>1300.00713707911</v>
      </c>
      <c r="J224" s="1">
        <f>VLOOKUP((A224+Forudsætninger!$C$60),'Model tilvækst, slagteform, fe'!G:K,2,FALSE)*(1+Forudsætninger!$C$79)</f>
        <v>50.502532299933009</v>
      </c>
      <c r="K224" s="17">
        <f t="shared" si="78"/>
        <v>180.59785568262203</v>
      </c>
      <c r="L224" s="17">
        <f t="shared" si="91"/>
        <v>704.53030742805822</v>
      </c>
      <c r="M224" s="3">
        <f>((K224-(('Model tilvækst, slagteform, fe'!$H$9/100)*'Model tilvækst, slagteform, fe'!$B$9))*1000/(A224+Forudsætninger!$C$60))</f>
        <v>613.60517875177447</v>
      </c>
      <c r="N224" s="17">
        <f t="shared" si="92"/>
        <v>1176.635499098365</v>
      </c>
      <c r="O224" s="19">
        <f>IF( A224&lt;Forudsætninger!$C$14,(G224/100)*Forudsætninger!$C$13,(Forudsætninger!$C$15/1000)*Forudsætninger!$C$13)</f>
        <v>2.3244102988051556</v>
      </c>
      <c r="P224" s="17" cm="1">
        <f t="array" ref="P224">INDEX('Model tilvækst, slagteform, fe'!$N$9:$N$375,MATCH(MIN(ABS('Model tilvækst, slagteform, fe'!$M$9:$M$375-'Vækstfunktion, hol'!G224)),ABS('Model tilvækst, slagteform, fe'!$M$9:$M$375-'Vækstfunktion, hol'!G224),0))*(1+Forudsætninger!$C$80)</f>
        <v>7.3897880340769442</v>
      </c>
      <c r="Q224" s="17">
        <f t="shared" si="93"/>
        <v>10.488956906699913</v>
      </c>
      <c r="R224" s="17">
        <f t="shared" si="94"/>
        <v>7.9246378818364676</v>
      </c>
      <c r="S224" s="17">
        <f t="shared" si="83"/>
        <v>4.0770236983137105</v>
      </c>
      <c r="T224" s="19">
        <f>(P224)*IF(N224&lt;Forudsætninger!$B$228,IF(N224&lt;Forudsætninger!$B$227,Forudsætninger!$B$225,Forudsætninger!$C$9),Forudsætninger!$C$11)+O224</f>
        <v>19.616514298545205</v>
      </c>
      <c r="U224" s="2">
        <f>Forudsætninger!$C$68+((K224-(Forudsætninger!$C$84)))*0.01</f>
        <v>3.5030314158148608</v>
      </c>
      <c r="V224" s="2">
        <f>U224+Forudsætninger!$C$69</f>
        <v>2.5030314158148608</v>
      </c>
      <c r="W224">
        <f t="shared" si="84"/>
        <v>1</v>
      </c>
      <c r="X224">
        <f>IF(A224+Forudsætninger!$C$60&gt;248,IF(A224+Forudsætninger!$C$60&lt;365,IF(K224&gt;180,IF(K224&lt;260,1,0),0),0),0)</f>
        <v>1</v>
      </c>
      <c r="Y224" s="22">
        <f>IF(X224=0,0,IF('Vækstfunktion, hol'!A224&lt;Forudsætninger!$C$66,Forudsætninger!$C$67+(('Vækstfunktion, hol'!A224-Forudsætninger!$C$66)/7)*Forudsætninger!$C$64,Forudsætninger!$C$67))</f>
        <v>0.83085714285714274</v>
      </c>
      <c r="Z224" s="19">
        <f t="shared" si="95"/>
        <v>3569.7240946798897</v>
      </c>
      <c r="AA224" s="19">
        <f>Forudsætninger!$C$62+Forudsætninger!$C$16</f>
        <v>1350</v>
      </c>
      <c r="AB224" s="19">
        <f>IF(K224&gt;Forudsætninger!$C$26,IF(K224&gt;Forudsætninger!$C$27,IF(K224&gt;Forudsætninger!$C$28,Forudsætninger!$E$28,Forudsætninger!$E$27+Forudsætninger!$F$28*(K224-Forudsætninger!$C$27)),Forudsætninger!$E$26+Forudsætninger!$F$27*(K224-Forudsætninger!$C$26)),Forudsætninger!$E$26)+IF(K224&gt;Forudsætninger!$C$28,Forudsætninger!$G$28,IF(K224&gt;Forudsætninger!$C$27,Forudsætninger!$G$27+Forudsætninger!$H$28*(K224-Forudsætninger!$C$27),IF(K224&gt;Forudsætninger!$C$26,Forudsætninger!$G$26+Forudsætninger!$H$27*(K224-Forudsætninger!$C$26),Forudsætninger!$G$26)))*(U224-Forudsætninger!$H$26)</f>
        <v>33.999194936890618</v>
      </c>
      <c r="AC224" s="19">
        <f>IF(K224&gt;Forudsætninger!$C$31,IF(K224&gt;Forudsætninger!$C$32,IF(K224&gt;Forudsætninger!$C$33,Forudsætninger!$E$33,Forudsætninger!$E$32+Forudsætninger!$F$33*(K224-Forudsætninger!$C$32)),Forudsætninger!$E$31+Forudsætninger!$F$32*(K224-Forudsætninger!$C$31)),Forudsætninger!$E$31)+IF(K224&gt;Forudsætninger!$C$33,Forudsætninger!$G$33,IF(K224&gt;Forudsætninger!$C$32,Forudsætninger!$G$32+Forudsætninger!$H$33*(K224-Forudsætninger!$C$32),IF(K224&gt;Forudsætninger!$C$31,Forudsætninger!$G$31+Forudsætninger!$H$32*(K224-Forudsætninger!$C$31),Forudsætninger!$G$31)))*(V224-Forudsætninger!$H$31)</f>
        <v>27.653940840559319</v>
      </c>
      <c r="AD224" s="19">
        <f t="shared" si="85"/>
        <v>5946.3542560045307</v>
      </c>
      <c r="AE224" s="19">
        <f t="shared" si="86"/>
        <v>32.925940529739727</v>
      </c>
      <c r="AF224">
        <f>IF(G224&lt;=Forudsætninger!$C$97,Forudsætninger!$C$98,(IF(G224&lt;=Forudsætninger!$D$97,Forudsætninger!$D$98,IF(G224&lt;=Forudsætninger!$E$97,Forudsætninger!$E$98,IF(G224&lt;=Forudsætninger!$F$97,Forudsætninger!$F$98,IF(G224&lt;=Forudsætninger!$G$97,Forudsætninger!$G$98,IF(G224&lt;=Forudsætninger!$H$97,Forudsætninger!$H$98,IF(G224&lt;=Forudsætninger!$I$97,Forudsætninger!$I$98,Forudsætninger!$I$98))))))))</f>
        <v>3.8</v>
      </c>
      <c r="AG224" s="1">
        <f t="shared" si="96"/>
        <v>4.4000000000000004</v>
      </c>
      <c r="AH224" s="1">
        <f t="shared" si="100"/>
        <v>651.99999999999784</v>
      </c>
      <c r="AI224" s="1">
        <f t="shared" si="87"/>
        <v>2.9369369369369274</v>
      </c>
      <c r="AJ224" s="20">
        <f>+(W224*Forudsætninger!$C$12)</f>
        <v>900</v>
      </c>
      <c r="AK224" s="20">
        <f>Forudsætninger!$C$17</f>
        <v>250</v>
      </c>
      <c r="AL224" s="20">
        <f>IF(A224&lt;92,Forudsætninger!$C$20,Forudsætninger!$C$21)</f>
        <v>1.0566762728146013</v>
      </c>
      <c r="AM224" s="20">
        <f t="shared" si="97"/>
        <v>503.08761541813374</v>
      </c>
      <c r="AN224" s="20">
        <f>IFERROR(AD224+AJ224-AA224-Z224-AK224-AM224-Forudsætninger!$C$75,-99999999)</f>
        <v>991.14835335711268</v>
      </c>
      <c r="AO224" s="19">
        <f>IFERROR(AN224/(A224+Forudsætninger!$C$74),-99999999)</f>
        <v>4.4646322223293362</v>
      </c>
      <c r="AP224" s="19">
        <f>IFERROR(((365/(A224+Forudsætninger!$C$74))*AN224)/(AI224+Forudsætninger!$C$73),-9999999)</f>
        <v>534.82917266690413</v>
      </c>
      <c r="AQ224" s="18">
        <f t="shared" si="88"/>
        <v>222</v>
      </c>
      <c r="AR224" s="18">
        <f t="shared" si="98"/>
        <v>5672.8117100980235</v>
      </c>
      <c r="AS224" s="52">
        <f t="shared" si="79"/>
        <v>8.6</v>
      </c>
      <c r="AT224" s="50">
        <f t="shared" si="101"/>
        <v>952.56931179386879</v>
      </c>
      <c r="AU224" s="50">
        <f t="shared" si="102"/>
        <v>4.2900664234006314</v>
      </c>
      <c r="AV224" s="2">
        <f t="shared" si="103"/>
        <v>513.87197576466417</v>
      </c>
      <c r="AW224" s="61">
        <f t="shared" si="99"/>
        <v>6.7307926521407495</v>
      </c>
      <c r="BA224" s="16"/>
      <c r="BB224" s="2"/>
    </row>
    <row r="225" spans="1:54" x14ac:dyDescent="0.25">
      <c r="A225">
        <v>223</v>
      </c>
      <c r="B225" s="1">
        <f>ROUND((A225+Forudsætninger!$C$60)/30.4,1)</f>
        <v>8.6</v>
      </c>
      <c r="C225" s="1">
        <f>VLOOKUP((A225+Forudsætninger!$C$60),'Model tilvækst, slagteform, fe'!A:B,2,FALSE)</f>
        <v>385.92836407254998</v>
      </c>
      <c r="D225" s="3">
        <f t="shared" si="89"/>
        <v>1410.5313504398396</v>
      </c>
      <c r="E225" s="1">
        <f>(1+Forudsætninger!$C$78)*C225</f>
        <v>358.91337858747147</v>
      </c>
      <c r="F225" s="2">
        <f t="shared" si="90"/>
        <v>0</v>
      </c>
      <c r="G225" s="1">
        <f t="shared" si="80"/>
        <v>358.91337858747147</v>
      </c>
      <c r="H225" s="3">
        <f t="shared" si="81"/>
        <v>1311.7941559090696</v>
      </c>
      <c r="I225" s="3">
        <f t="shared" si="82"/>
        <v>1300.0599936657914</v>
      </c>
      <c r="J225" s="1">
        <f>VLOOKUP((A225+Forudsætninger!$C$60),'Model tilvækst, slagteform, fe'!G:K,2,FALSE)*(1+Forudsætninger!$C$79)</f>
        <v>50.513653747164447</v>
      </c>
      <c r="K225" s="17">
        <f t="shared" si="78"/>
        <v>181.3002613119248</v>
      </c>
      <c r="L225" s="17">
        <f t="shared" si="91"/>
        <v>702.40562930277406</v>
      </c>
      <c r="M225" s="3">
        <f>((K225-(('Model tilvækst, slagteform, fe'!$H$9/100)*'Model tilvækst, slagteform, fe'!$B$9))*1000/(A225+Forudsætninger!$C$60))</f>
        <v>613.94411176914457</v>
      </c>
      <c r="N225" s="17">
        <f t="shared" si="92"/>
        <v>1184.0399534401026</v>
      </c>
      <c r="O225" s="19">
        <f>IF( A225&lt;Forudsætninger!$C$14,(G225/100)*Forudsætninger!$C$13,(Forudsætninger!$C$15/1000)*Forudsætninger!$C$13)</f>
        <v>2.3329369608185644</v>
      </c>
      <c r="P225" s="17" cm="1">
        <f t="array" ref="P225">INDEX('Model tilvækst, slagteform, fe'!$N$9:$N$375,MATCH(MIN(ABS('Model tilvækst, slagteform, fe'!$M$9:$M$375-'Vækstfunktion, hol'!G225)),ABS('Model tilvækst, slagteform, fe'!$M$9:$M$375-'Vækstfunktion, hol'!G225),0))*(1+Forudsætninger!$C$80)</f>
        <v>7.4044543417376065</v>
      </c>
      <c r="Q225" s="17">
        <f t="shared" si="93"/>
        <v>10.541564635647152</v>
      </c>
      <c r="R225" s="17">
        <f t="shared" si="94"/>
        <v>7.93695948895963</v>
      </c>
      <c r="S225" s="17">
        <f t="shared" si="83"/>
        <v>4.0841162943532767</v>
      </c>
      <c r="T225" s="19">
        <f>(P225)*IF(N225&lt;Forudsætninger!$B$228,IF(N225&lt;Forudsætninger!$B$227,Forudsætninger!$B$225,Forudsætninger!$C$9),Forudsætninger!$C$11)+O225</f>
        <v>19.659360120484564</v>
      </c>
      <c r="U225" s="2">
        <f>Forudsætninger!$C$68+((K225-(Forudsætninger!$C$84)))*0.01</f>
        <v>3.5100554721078883</v>
      </c>
      <c r="V225" s="2">
        <f>U225+Forudsætninger!$C$69</f>
        <v>2.5100554721078883</v>
      </c>
      <c r="W225">
        <f t="shared" si="84"/>
        <v>1</v>
      </c>
      <c r="X225">
        <f>IF(A225+Forudsætninger!$C$60&gt;248,IF(A225+Forudsætninger!$C$60&lt;365,IF(K225&gt;180,IF(K225&lt;260,1,0),0),0),0)</f>
        <v>1</v>
      </c>
      <c r="Y225" s="22">
        <f>IF(X225=0,0,IF('Vækstfunktion, hol'!A225&lt;Forudsætninger!$C$66,Forudsætninger!$C$67+(('Vækstfunktion, hol'!A225-Forudsætninger!$C$66)/7)*Forudsætninger!$C$64,Forudsætninger!$C$67))</f>
        <v>0.83514285714285708</v>
      </c>
      <c r="Z225" s="19">
        <f t="shared" si="95"/>
        <v>3589.3834548003742</v>
      </c>
      <c r="AA225" s="19">
        <f>Forudsætninger!$C$62+Forudsætninger!$C$16</f>
        <v>1350</v>
      </c>
      <c r="AB225" s="19">
        <f>IF(K225&gt;Forudsætninger!$C$26,IF(K225&gt;Forudsætninger!$C$27,IF(K225&gt;Forudsætninger!$C$28,Forudsætninger!$E$28,Forudsætninger!$E$27+Forudsætninger!$F$28*(K225-Forudsætninger!$C$27)),Forudsætninger!$E$26+Forudsætninger!$F$27*(K225-Forudsætninger!$C$26)),Forudsætninger!$E$26)+IF(K225&gt;Forudsætninger!$C$28,Forudsætninger!$G$28,IF(K225&gt;Forudsætninger!$C$27,Forudsætninger!$G$27+Forudsætninger!$H$28*(K225-Forudsætninger!$C$27),IF(K225&gt;Forudsætninger!$C$26,Forudsætninger!$G$26+Forudsætninger!$H$27*(K225-Forudsætninger!$C$26),Forudsætninger!$G$26)))*(U225-Forudsætninger!$H$26)</f>
        <v>34.030217852184826</v>
      </c>
      <c r="AC225" s="19">
        <f>IF(K225&gt;Forudsætninger!$C$31,IF(K225&gt;Forudsætninger!$C$32,IF(K225&gt;Forudsætninger!$C$33,Forudsætninger!$E$33,Forudsætninger!$E$32+Forudsætninger!$F$33*(K225-Forudsætninger!$C$32)),Forudsætninger!$E$31+Forudsætninger!$F$32*(K225-Forudsætninger!$C$31)),Forudsætninger!$E$31)+IF(K225&gt;Forudsætninger!$C$33,Forudsætninger!$G$33,IF(K225&gt;Forudsætninger!$C$32,Forudsætninger!$G$32+Forudsætninger!$H$33*(K225-Forudsætninger!$C$32),IF(K225&gt;Forudsætninger!$C$31,Forudsætninger!$G$31+Forudsætninger!$H$32*(K225-Forudsætninger!$C$31),Forudsætninger!$G$31)))*(V225-Forudsætninger!$H$31)</f>
        <v>27.663072113740256</v>
      </c>
      <c r="AD225" s="19">
        <f t="shared" si="85"/>
        <v>5979.3820426936172</v>
      </c>
      <c r="AE225" s="19">
        <f t="shared" si="86"/>
        <v>32.980548397589821</v>
      </c>
      <c r="AF225">
        <f>IF(G225&lt;=Forudsætninger!$C$97,Forudsætninger!$C$98,(IF(G225&lt;=Forudsætninger!$D$97,Forudsætninger!$D$98,IF(G225&lt;=Forudsætninger!$E$97,Forudsætninger!$E$98,IF(G225&lt;=Forudsætninger!$F$97,Forudsætninger!$F$98,IF(G225&lt;=Forudsætninger!$G$97,Forudsætninger!$G$98,IF(G225&lt;=Forudsætninger!$H$97,Forudsætninger!$H$98,IF(G225&lt;=Forudsætninger!$I$97,Forudsætninger!$I$98,Forudsætninger!$I$98))))))))</f>
        <v>3.8</v>
      </c>
      <c r="AG225" s="1">
        <f t="shared" si="96"/>
        <v>4.4000000000000004</v>
      </c>
      <c r="AH225" s="1">
        <f t="shared" si="100"/>
        <v>656.39999999999782</v>
      </c>
      <c r="AI225" s="1">
        <f t="shared" si="87"/>
        <v>2.9434977578475237</v>
      </c>
      <c r="AJ225" s="20">
        <f>+(W225*Forudsætninger!$C$12)</f>
        <v>900</v>
      </c>
      <c r="AK225" s="20">
        <f>Forudsætninger!$C$17</f>
        <v>250</v>
      </c>
      <c r="AL225" s="20">
        <f>IF(A225&lt;92,Forudsætninger!$C$20,Forudsætninger!$C$21)</f>
        <v>1.0566762728146013</v>
      </c>
      <c r="AM225" s="20">
        <f t="shared" si="97"/>
        <v>504.14429169094836</v>
      </c>
      <c r="AN225" s="20">
        <f>IFERROR(AD225+AJ225-AA225-Z225-AK225-AM225-Forudsætninger!$C$75,-99999999)</f>
        <v>1003.4601036529</v>
      </c>
      <c r="AO225" s="19">
        <f>IFERROR(AN225/(A225+Forudsætninger!$C$74),-99999999)</f>
        <v>4.4998210926139013</v>
      </c>
      <c r="AP225" s="19">
        <f>IFERROR(((365/(A225+Forudsætninger!$C$74))*AN225)/(AI225+Forudsætninger!$C$73),-9999999)</f>
        <v>537.88632874643463</v>
      </c>
      <c r="AQ225" s="18">
        <f t="shared" si="88"/>
        <v>223</v>
      </c>
      <c r="AR225" s="18">
        <f t="shared" si="98"/>
        <v>5693.5277464913224</v>
      </c>
      <c r="AS225" s="52">
        <f t="shared" si="79"/>
        <v>8.6</v>
      </c>
      <c r="AT225" s="50">
        <f t="shared" si="101"/>
        <v>12.311750295787306</v>
      </c>
      <c r="AU225" s="50">
        <f t="shared" si="102"/>
        <v>3.5188870284565077E-2</v>
      </c>
      <c r="AV225" s="2">
        <f t="shared" si="103"/>
        <v>3.0571560795305004</v>
      </c>
      <c r="AW225" s="61">
        <f t="shared" si="99"/>
        <v>6.7605578266540292</v>
      </c>
      <c r="BA225" s="16"/>
      <c r="BB225" s="2"/>
    </row>
    <row r="226" spans="1:54" x14ac:dyDescent="0.25">
      <c r="A226">
        <v>224</v>
      </c>
      <c r="B226" s="1">
        <f>ROUND((A226+Forudsætninger!$C$60)/30.4,1)</f>
        <v>8.6999999999999993</v>
      </c>
      <c r="C226" s="1">
        <f>VLOOKUP((A226+Forudsætninger!$C$60),'Model tilvækst, slagteform, fe'!A:B,2,FALSE)</f>
        <v>387.33493150058462</v>
      </c>
      <c r="D226" s="3">
        <f t="shared" si="89"/>
        <v>1406.5674280346343</v>
      </c>
      <c r="E226" s="1">
        <f>(1+Forudsætninger!$C$78)*C226</f>
        <v>360.22148629554368</v>
      </c>
      <c r="F226" s="2">
        <f t="shared" si="90"/>
        <v>0</v>
      </c>
      <c r="G226" s="1">
        <f t="shared" si="80"/>
        <v>360.22148629554368</v>
      </c>
      <c r="H226" s="3">
        <f t="shared" si="81"/>
        <v>1308.1077080722139</v>
      </c>
      <c r="I226" s="3">
        <f t="shared" si="82"/>
        <v>1300.0959209622486</v>
      </c>
      <c r="J226" s="1">
        <f>VLOOKUP((A226+Forudsætninger!$C$60),'Model tilvækst, slagteform, fe'!G:K,2,FALSE)*(1+Forudsætninger!$C$79)</f>
        <v>50.52462067619178</v>
      </c>
      <c r="K226" s="17">
        <f t="shared" si="78"/>
        <v>182.0005395449636</v>
      </c>
      <c r="L226" s="17">
        <f t="shared" si="91"/>
        <v>700.27823303880155</v>
      </c>
      <c r="M226" s="3">
        <f>((K226-(('Model tilvækst, slagteform, fe'!$H$9/100)*'Model tilvækst, slagteform, fe'!$B$9))*1000/(A226+Forudsætninger!$C$60))</f>
        <v>614.27237838994188</v>
      </c>
      <c r="N226" s="17">
        <f t="shared" si="92"/>
        <v>1191.4518310460942</v>
      </c>
      <c r="O226" s="19">
        <f>IF( A226&lt;Forudsætninger!$C$14,(G226/100)*Forudsætninger!$C$13,(Forudsætninger!$C$15/1000)*Forudsætninger!$C$13)</f>
        <v>2.3414396609210342</v>
      </c>
      <c r="P226" s="17" cm="1">
        <f t="array" ref="P226">INDEX('Model tilvækst, slagteform, fe'!$N$9:$N$375,MATCH(MIN(ABS('Model tilvækst, slagteform, fe'!$M$9:$M$375-'Vækstfunktion, hol'!G226)),ABS('Model tilvækst, slagteform, fe'!$M$9:$M$375-'Vækstfunktion, hol'!G226),0))*(1+Forudsætninger!$C$80)</f>
        <v>7.4118776059916387</v>
      </c>
      <c r="Q226" s="17">
        <f t="shared" si="93"/>
        <v>10.584189621071594</v>
      </c>
      <c r="R226" s="17">
        <f t="shared" si="94"/>
        <v>7.9493279666732422</v>
      </c>
      <c r="S226" s="17">
        <f t="shared" si="83"/>
        <v>4.0912222727857355</v>
      </c>
      <c r="T226" s="19">
        <f>(P226)*IF(N226&lt;Forudsætninger!$B$228,IF(N226&lt;Forudsætninger!$B$227,Forudsætninger!$B$225,Forudsætninger!$C$9),Forudsætninger!$C$11)+O226</f>
        <v>19.685233258941466</v>
      </c>
      <c r="U226" s="2">
        <f>Forudsætninger!$C$68+((K226-(Forudsætninger!$C$84)))*0.01</f>
        <v>3.5170582544382762</v>
      </c>
      <c r="V226" s="2">
        <f>U226+Forudsætninger!$C$69</f>
        <v>2.5170582544382762</v>
      </c>
      <c r="W226">
        <f t="shared" si="84"/>
        <v>1</v>
      </c>
      <c r="X226">
        <f>IF(A226+Forudsætninger!$C$60&gt;248,IF(A226+Forudsætninger!$C$60&lt;365,IF(K226&gt;180,IF(K226&lt;260,1,0),0),0),0)</f>
        <v>1</v>
      </c>
      <c r="Y226" s="22">
        <f>IF(X226=0,0,IF('Vækstfunktion, hol'!A226&lt;Forudsætninger!$C$66,Forudsætninger!$C$67+(('Vækstfunktion, hol'!A226-Forudsætninger!$C$66)/7)*Forudsætninger!$C$64,Forudsætninger!$C$67))</f>
        <v>0.8394285714285713</v>
      </c>
      <c r="Z226" s="19">
        <f t="shared" si="95"/>
        <v>3609.0686880593157</v>
      </c>
      <c r="AA226" s="19">
        <f>Forudsætninger!$C$62+Forudsætninger!$C$16</f>
        <v>1350</v>
      </c>
      <c r="AB226" s="19">
        <f>IF(K226&gt;Forudsætninger!$C$26,IF(K226&gt;Forudsætninger!$C$27,IF(K226&gt;Forudsætninger!$C$28,Forudsætninger!$E$28,Forudsætninger!$E$27+Forudsætninger!$F$28*(K226-Forudsætninger!$C$27)),Forudsætninger!$E$26+Forudsætninger!$F$27*(K226-Forudsætninger!$C$26)),Forudsætninger!$E$26)+IF(K226&gt;Forudsætninger!$C$28,Forudsætninger!$G$28,IF(K226&gt;Forudsætninger!$C$27,Forudsætninger!$G$27+Forudsætninger!$H$28*(K226-Forudsætninger!$C$27),IF(K226&gt;Forudsætninger!$C$26,Forudsætninger!$G$26+Forudsætninger!$H$27*(K226-Forudsætninger!$C$26),Forudsætninger!$G$26)))*(U226-Forudsætninger!$H$26)</f>
        <v>34.061146807477378</v>
      </c>
      <c r="AC226" s="19">
        <f>IF(K226&gt;Forudsætninger!$C$31,IF(K226&gt;Forudsætninger!$C$32,IF(K226&gt;Forudsætninger!$C$33,Forudsætninger!$E$33,Forudsætninger!$E$32+Forudsætninger!$F$33*(K226-Forudsætninger!$C$32)),Forudsætninger!$E$31+Forudsætninger!$F$32*(K226-Forudsætninger!$C$31)),Forudsætninger!$E$31)+IF(K226&gt;Forudsætninger!$C$33,Forudsætninger!$G$33,IF(K226&gt;Forudsætninger!$C$32,Forudsætninger!$G$32+Forudsætninger!$H$33*(K226-Forudsætninger!$C$32),IF(K226&gt;Forudsætninger!$C$31,Forudsætninger!$G$31+Forudsætninger!$H$32*(K226-Forudsætninger!$C$31),Forudsætninger!$G$31)))*(V226-Forudsætninger!$H$31)</f>
        <v>27.672175730769759</v>
      </c>
      <c r="AD226" s="19">
        <f t="shared" si="85"/>
        <v>6012.435252223655</v>
      </c>
      <c r="AE226" s="19">
        <f t="shared" si="86"/>
        <v>33.035260594588898</v>
      </c>
      <c r="AF226">
        <f>IF(G226&lt;=Forudsætninger!$C$97,Forudsætninger!$C$98,(IF(G226&lt;=Forudsætninger!$D$97,Forudsætninger!$D$98,IF(G226&lt;=Forudsætninger!$E$97,Forudsætninger!$E$98,IF(G226&lt;=Forudsætninger!$F$97,Forudsætninger!$F$98,IF(G226&lt;=Forudsætninger!$G$97,Forudsætninger!$G$98,IF(G226&lt;=Forudsætninger!$H$97,Forudsætninger!$H$98,IF(G226&lt;=Forudsætninger!$I$97,Forudsætninger!$I$98,Forudsætninger!$I$98))))))))</f>
        <v>3.8</v>
      </c>
      <c r="AG226" s="1">
        <f t="shared" si="96"/>
        <v>4.4000000000000004</v>
      </c>
      <c r="AH226" s="1">
        <f t="shared" si="100"/>
        <v>660.79999999999779</v>
      </c>
      <c r="AI226" s="1">
        <f t="shared" si="87"/>
        <v>2.94999999999999</v>
      </c>
      <c r="AJ226" s="20">
        <f>+(W226*Forudsætninger!$C$12)</f>
        <v>900</v>
      </c>
      <c r="AK226" s="20">
        <f>Forudsætninger!$C$17</f>
        <v>250</v>
      </c>
      <c r="AL226" s="20">
        <f>IF(A226&lt;92,Forudsætninger!$C$20,Forudsætninger!$C$21)</f>
        <v>1.0566762728146013</v>
      </c>
      <c r="AM226" s="20">
        <f t="shared" si="97"/>
        <v>505.20096796376299</v>
      </c>
      <c r="AN226" s="20">
        <f>IFERROR(AD226+AJ226-AA226-Z226-AK226-AM226-Forudsætninger!$C$75,-99999999)</f>
        <v>1015.7714036511816</v>
      </c>
      <c r="AO226" s="19">
        <f>IFERROR(AN226/(A226+Forudsætninger!$C$74),-99999999)</f>
        <v>4.5346937662999176</v>
      </c>
      <c r="AP226" s="19">
        <f>IFERROR(((365/(A226+Forudsætninger!$C$74))*AN226)/(AI226+Forudsætninger!$C$73),-9999999)</f>
        <v>540.90301460767171</v>
      </c>
      <c r="AQ226" s="18">
        <f t="shared" si="88"/>
        <v>224</v>
      </c>
      <c r="AR226" s="18">
        <f t="shared" si="98"/>
        <v>5714.2696560230788</v>
      </c>
      <c r="AS226" s="52">
        <f t="shared" si="79"/>
        <v>8.6999999999999993</v>
      </c>
      <c r="AT226" s="50">
        <f t="shared" si="101"/>
        <v>12.311299998281584</v>
      </c>
      <c r="AU226" s="50">
        <f t="shared" si="102"/>
        <v>3.487267368601632E-2</v>
      </c>
      <c r="AV226" s="2">
        <f t="shared" si="103"/>
        <v>3.0166858612370788</v>
      </c>
      <c r="AW226" s="61">
        <f t="shared" si="99"/>
        <v>6.7900552304238602</v>
      </c>
      <c r="BA226" s="16"/>
      <c r="BB226" s="2"/>
    </row>
    <row r="227" spans="1:54" x14ac:dyDescent="0.25">
      <c r="A227">
        <v>225</v>
      </c>
      <c r="B227" s="1">
        <f>ROUND((A227+Forudsætninger!$C$60)/30.4,1)</f>
        <v>8.6999999999999993</v>
      </c>
      <c r="C227" s="1">
        <f>VLOOKUP((A227+Forudsætninger!$C$60),'Model tilvækst, slagteform, fe'!A:B,2,FALSE)</f>
        <v>388.73751535945854</v>
      </c>
      <c r="D227" s="3">
        <f t="shared" si="89"/>
        <v>1402.5838588739248</v>
      </c>
      <c r="E227" s="1">
        <f>(1+Forudsætninger!$C$78)*C227</f>
        <v>361.5258892842964</v>
      </c>
      <c r="F227" s="2">
        <f t="shared" si="90"/>
        <v>0</v>
      </c>
      <c r="G227" s="1">
        <f t="shared" si="80"/>
        <v>361.5258892842964</v>
      </c>
      <c r="H227" s="3">
        <f t="shared" si="81"/>
        <v>1304.4029887527131</v>
      </c>
      <c r="I227" s="3">
        <f t="shared" si="82"/>
        <v>1300.1150634857615</v>
      </c>
      <c r="J227" s="1">
        <f>VLOOKUP((A227+Forudsætninger!$C$60),'Model tilvækst, slagteform, fe'!G:K,2,FALSE)*(1+Forudsætninger!$C$79)</f>
        <v>50.535437035840303</v>
      </c>
      <c r="K227" s="17">
        <f t="shared" si="78"/>
        <v>182.69868814752732</v>
      </c>
      <c r="L227" s="17">
        <f t="shared" si="91"/>
        <v>698.14860256371958</v>
      </c>
      <c r="M227" s="3">
        <f>((K227-(('Model tilvækst, slagteform, fe'!$H$9/100)*'Model tilvækst, slagteform, fe'!$B$9))*1000/(A227+Forudsætninger!$C$60))</f>
        <v>614.59009136029715</v>
      </c>
      <c r="N227" s="17">
        <f t="shared" si="92"/>
        <v>1198.8711942172001</v>
      </c>
      <c r="O227" s="19">
        <f>IF( A227&lt;Forudsætninger!$C$14,(G227/100)*Forudsætninger!$C$13,(Forudsætninger!$C$15/1000)*Forudsætninger!$C$13)</f>
        <v>2.3499182803479264</v>
      </c>
      <c r="P227" s="17" cm="1">
        <f t="array" ref="P227">INDEX('Model tilvækst, slagteform, fe'!$N$9:$N$375,MATCH(MIN(ABS('Model tilvækst, slagteform, fe'!$M$9:$M$375-'Vækstfunktion, hol'!G227)),ABS('Model tilvækst, slagteform, fe'!$M$9:$M$375-'Vækstfunktion, hol'!G227),0))*(1+Forudsætninger!$C$80)</f>
        <v>7.4193631711060153</v>
      </c>
      <c r="Q227" s="17">
        <f t="shared" si="93"/>
        <v>10.627197625062717</v>
      </c>
      <c r="R227" s="17">
        <f t="shared" si="94"/>
        <v>7.9617437171561178</v>
      </c>
      <c r="S227" s="17">
        <f t="shared" si="83"/>
        <v>4.0983421916959157</v>
      </c>
      <c r="T227" s="19">
        <f>(P227)*IF(N227&lt;Forudsætninger!$B$228,IF(N227&lt;Forudsætninger!$B$227,Forudsætninger!$B$225,Forudsætninger!$C$9),Forudsætninger!$C$11)+O227</f>
        <v>19.711228100736001</v>
      </c>
      <c r="U227" s="2">
        <f>Forudsætninger!$C$68+((K227-(Forudsætninger!$C$84)))*0.01</f>
        <v>3.5240397404639134</v>
      </c>
      <c r="V227" s="2">
        <f>U227+Forudsætninger!$C$69</f>
        <v>2.5240397404639134</v>
      </c>
      <c r="W227">
        <f t="shared" si="84"/>
        <v>1</v>
      </c>
      <c r="X227">
        <f>IF(A227+Forudsætninger!$C$60&gt;248,IF(A227+Forudsætninger!$C$60&lt;365,IF(K227&gt;180,IF(K227&lt;260,1,0),0),0),0)</f>
        <v>1</v>
      </c>
      <c r="Y227" s="22">
        <f>IF(X227=0,0,IF('Vækstfunktion, hol'!A227&lt;Forudsætninger!$C$66,Forudsætninger!$C$67+(('Vækstfunktion, hol'!A227-Forudsætninger!$C$66)/7)*Forudsætninger!$C$64,Forudsætninger!$C$67))</f>
        <v>0.84371428571428564</v>
      </c>
      <c r="Z227" s="19">
        <f t="shared" si="95"/>
        <v>3628.7799161600519</v>
      </c>
      <c r="AA227" s="19">
        <f>Forudsætninger!$C$62+Forudsætninger!$C$16</f>
        <v>1350</v>
      </c>
      <c r="AB227" s="19">
        <f>IF(K227&gt;Forudsætninger!$C$26,IF(K227&gt;Forudsætninger!$C$27,IF(K227&gt;Forudsætninger!$C$28,Forudsætninger!$E$28,Forudsætninger!$E$27+Forudsætninger!$F$28*(K227-Forudsætninger!$C$27)),Forudsætninger!$E$26+Forudsætninger!$F$27*(K227-Forudsætninger!$C$26)),Forudsætninger!$E$26)+IF(K227&gt;Forudsætninger!$C$28,Forudsætninger!$G$28,IF(K227&gt;Forudsætninger!$C$27,Forudsætninger!$G$27+Forudsætninger!$H$28*(K227-Forudsætninger!$C$27),IF(K227&gt;Forudsætninger!$C$26,Forudsætninger!$G$26+Forudsætninger!$H$27*(K227-Forudsætninger!$C$26),Forudsætninger!$G$26)))*(U227-Forudsætninger!$H$26)</f>
        <v>34.091981704090607</v>
      </c>
      <c r="AC227" s="19">
        <f>IF(K227&gt;Forudsætninger!$C$31,IF(K227&gt;Forudsætninger!$C$32,IF(K227&gt;Forudsætninger!$C$33,Forudsætninger!$E$33,Forudsætninger!$E$32+Forudsætninger!$F$33*(K227-Forudsætninger!$C$32)),Forudsætninger!$E$31+Forudsætninger!$F$32*(K227-Forudsætninger!$C$31)),Forudsætninger!$E$31)+IF(K227&gt;Forudsætninger!$C$33,Forudsætninger!$G$33,IF(K227&gt;Forudsætninger!$C$32,Forudsætninger!$G$32+Forudsætninger!$H$33*(K227-Forudsætninger!$C$32),IF(K227&gt;Forudsætninger!$C$31,Forudsætninger!$G$31+Forudsætninger!$H$32*(K227-Forudsætninger!$C$31),Forudsætninger!$G$31)))*(V227-Forudsætninger!$H$31)</f>
        <v>27.681251662603088</v>
      </c>
      <c r="AD227" s="19">
        <f t="shared" si="85"/>
        <v>6045.5135088724865</v>
      </c>
      <c r="AE227" s="19">
        <f t="shared" si="86"/>
        <v>33.090076180463846</v>
      </c>
      <c r="AF227">
        <f>IF(G227&lt;=Forudsætninger!$C$97,Forudsætninger!$C$98,(IF(G227&lt;=Forudsætninger!$D$97,Forudsætninger!$D$98,IF(G227&lt;=Forudsætninger!$E$97,Forudsætninger!$E$98,IF(G227&lt;=Forudsætninger!$F$97,Forudsætninger!$F$98,IF(G227&lt;=Forudsætninger!$G$97,Forudsætninger!$G$98,IF(G227&lt;=Forudsætninger!$H$97,Forudsætninger!$H$98,IF(G227&lt;=Forudsætninger!$I$97,Forudsætninger!$I$98,Forudsætninger!$I$98))))))))</f>
        <v>3.8</v>
      </c>
      <c r="AG227" s="1">
        <f t="shared" si="96"/>
        <v>4.4000000000000004</v>
      </c>
      <c r="AH227" s="1">
        <f t="shared" si="100"/>
        <v>665.19999999999777</v>
      </c>
      <c r="AI227" s="1">
        <f t="shared" si="87"/>
        <v>2.9564444444444344</v>
      </c>
      <c r="AJ227" s="20">
        <f>+(W227*Forudsætninger!$C$12)</f>
        <v>900</v>
      </c>
      <c r="AK227" s="20">
        <f>Forudsætninger!$C$17</f>
        <v>250</v>
      </c>
      <c r="AL227" s="20">
        <f>IF(A227&lt;92,Forudsætninger!$C$20,Forudsætninger!$C$21)</f>
        <v>1.0566762728146013</v>
      </c>
      <c r="AM227" s="20">
        <f t="shared" si="97"/>
        <v>506.25764423657762</v>
      </c>
      <c r="AN227" s="20">
        <f>IFERROR(AD227+AJ227-AA227-Z227-AK227-AM227-Forudsætninger!$C$75,-99999999)</f>
        <v>1028.0817559264624</v>
      </c>
      <c r="AO227" s="19">
        <f>IFERROR(AN227/(A227+Forudsætninger!$C$74),-99999999)</f>
        <v>4.569252248562055</v>
      </c>
      <c r="AP227" s="19">
        <f>IFERROR(((365/(A227+Forudsætninger!$C$74))*AN227)/(AI227+Forudsætninger!$C$73),-9999999)</f>
        <v>543.8797607263715</v>
      </c>
      <c r="AQ227" s="18">
        <f t="shared" si="88"/>
        <v>225</v>
      </c>
      <c r="AR227" s="18">
        <f t="shared" si="98"/>
        <v>5735.0375603966304</v>
      </c>
      <c r="AS227" s="52">
        <f t="shared" si="79"/>
        <v>8.6999999999999993</v>
      </c>
      <c r="AT227" s="50">
        <f t="shared" si="101"/>
        <v>12.31035227528082</v>
      </c>
      <c r="AU227" s="50">
        <f t="shared" si="102"/>
        <v>3.4558482262137424E-2</v>
      </c>
      <c r="AV227" s="2">
        <f t="shared" si="103"/>
        <v>2.9767461186997934</v>
      </c>
      <c r="AW227" s="61">
        <f t="shared" si="99"/>
        <v>6.8192862229468441</v>
      </c>
      <c r="BA227" s="16"/>
      <c r="BB227" s="2"/>
    </row>
    <row r="228" spans="1:54" x14ac:dyDescent="0.25">
      <c r="A228">
        <v>226</v>
      </c>
      <c r="B228" s="1">
        <f>ROUND((A228+Forudsætninger!$C$60)/30.4,1)</f>
        <v>8.6999999999999993</v>
      </c>
      <c r="C228" s="1">
        <f>VLOOKUP((A228+Forudsætninger!$C$60),'Model tilvækst, slagteform, fe'!A:B,2,FALSE)</f>
        <v>390.13609653676292</v>
      </c>
      <c r="D228" s="3">
        <f t="shared" si="89"/>
        <v>1398.5811773043793</v>
      </c>
      <c r="E228" s="1">
        <f>(1+Forudsætninger!$C$78)*C228</f>
        <v>362.82656977918947</v>
      </c>
      <c r="F228" s="2">
        <f t="shared" si="90"/>
        <v>0</v>
      </c>
      <c r="G228" s="1">
        <f t="shared" si="80"/>
        <v>362.82656977918947</v>
      </c>
      <c r="H228" s="3">
        <f t="shared" si="81"/>
        <v>1300.6804948930721</v>
      </c>
      <c r="I228" s="3">
        <f t="shared" si="82"/>
        <v>1300.1175653946436</v>
      </c>
      <c r="J228" s="1">
        <f>VLOOKUP((A228+Forudsætninger!$C$60),'Model tilvækst, slagteform, fe'!G:K,2,FALSE)*(1+Forudsætninger!$C$79)</f>
        <v>50.546106774935453</v>
      </c>
      <c r="K228" s="17">
        <f t="shared" si="78"/>
        <v>183.39470536842478</v>
      </c>
      <c r="L228" s="17">
        <f t="shared" si="91"/>
        <v>696.01722089745977</v>
      </c>
      <c r="M228" s="3">
        <f>((K228-(('Model tilvækst, slagteform, fe'!$H$9/100)*'Model tilvækst, slagteform, fe'!$B$9))*1000/(A228+Forudsætninger!$C$60))</f>
        <v>614.8973635472297</v>
      </c>
      <c r="N228" s="17">
        <f t="shared" si="92"/>
        <v>1206.2981069247144</v>
      </c>
      <c r="O228" s="19">
        <f>IF( A228&lt;Forudsætninger!$C$14,(G228/100)*Forudsætninger!$C$13,(Forudsætninger!$C$15/1000)*Forudsætninger!$C$13)</f>
        <v>2.3583727035647315</v>
      </c>
      <c r="P228" s="17" cm="1">
        <f t="array" ref="P228">INDEX('Model tilvækst, slagteform, fe'!$N$9:$N$375,MATCH(MIN(ABS('Model tilvækst, slagteform, fe'!$M$9:$M$375-'Vækstfunktion, hol'!G228)),ABS('Model tilvækst, slagteform, fe'!$M$9:$M$375-'Vækstfunktion, hol'!G228),0))*(1+Forudsætninger!$C$80)</f>
        <v>7.4269127075141377</v>
      </c>
      <c r="Q228" s="17">
        <f t="shared" si="93"/>
        <v>10.670587572442123</v>
      </c>
      <c r="R228" s="17">
        <f t="shared" si="94"/>
        <v>7.9742071254572497</v>
      </c>
      <c r="S228" s="17">
        <f t="shared" si="83"/>
        <v>4.1054766008099497</v>
      </c>
      <c r="T228" s="19">
        <f>(P228)*IF(N228&lt;Forudsætninger!$B$228,IF(N228&lt;Forudsætninger!$B$227,Forudsætninger!$B$225,Forudsætninger!$C$9),Forudsætninger!$C$11)+O228</f>
        <v>19.737348439147812</v>
      </c>
      <c r="U228" s="2">
        <f>Forudsætninger!$C$68+((K228-(Forudsætninger!$C$84)))*0.01</f>
        <v>3.5309999126728879</v>
      </c>
      <c r="V228" s="2">
        <f>U228+Forudsætninger!$C$69</f>
        <v>2.5309999126728879</v>
      </c>
      <c r="W228">
        <f t="shared" si="84"/>
        <v>1</v>
      </c>
      <c r="X228">
        <f>IF(A228+Forudsætninger!$C$60&gt;248,IF(A228+Forudsætninger!$C$60&lt;365,IF(K228&gt;180,IF(K228&lt;260,1,0),0),0),0)</f>
        <v>1</v>
      </c>
      <c r="Y228" s="22">
        <f>IF(X228=0,0,IF('Vækstfunktion, hol'!A228&lt;Forudsætninger!$C$66,Forudsætninger!$C$67+(('Vækstfunktion, hol'!A228-Forudsætninger!$C$66)/7)*Forudsætninger!$C$64,Forudsætninger!$C$67))</f>
        <v>0.84799999999999986</v>
      </c>
      <c r="Z228" s="19">
        <f t="shared" si="95"/>
        <v>3648.5172645991997</v>
      </c>
      <c r="AA228" s="19">
        <f>Forudsætninger!$C$62+Forudsætninger!$C$16</f>
        <v>1350</v>
      </c>
      <c r="AB228" s="19">
        <f>IF(K228&gt;Forudsætninger!$C$26,IF(K228&gt;Forudsætninger!$C$27,IF(K228&gt;Forudsætninger!$C$28,Forudsætninger!$E$28,Forudsætninger!$E$27+Forudsætninger!$F$28*(K228-Forudsætninger!$C$27)),Forudsætninger!$E$26+Forudsætninger!$F$27*(K228-Forudsætninger!$C$26)),Forudsætninger!$E$26)+IF(K228&gt;Forudsætninger!$C$28,Forudsætninger!$G$28,IF(K228&gt;Forudsætninger!$C$27,Forudsætninger!$G$27+Forudsætninger!$H$28*(K228-Forudsætninger!$C$27),IF(K228&gt;Forudsætninger!$C$26,Forudsætninger!$G$26+Forudsætninger!$H$27*(K228-Forudsætninger!$C$26),Forudsætninger!$G$26)))*(U228-Forudsætninger!$H$26)</f>
        <v>34.122722464680244</v>
      </c>
      <c r="AC228" s="19">
        <f>IF(K228&gt;Forudsætninger!$C$31,IF(K228&gt;Forudsætninger!$C$32,IF(K228&gt;Forudsætninger!$C$33,Forudsætninger!$E$33,Forudsætninger!$E$32+Forudsætninger!$F$33*(K228-Forudsætninger!$C$32)),Forudsætninger!$E$31+Forudsætninger!$F$32*(K228-Forudsætninger!$C$31)),Forudsætninger!$E$31)+IF(K228&gt;Forudsætninger!$C$33,Forudsætninger!$G$33,IF(K228&gt;Forudsætninger!$C$32,Forudsætninger!$G$32+Forudsætninger!$H$33*(K228-Forudsætninger!$C$32),IF(K228&gt;Forudsætninger!$C$31,Forudsætninger!$G$31+Forudsætninger!$H$32*(K228-Forudsætninger!$C$31),Forudsætninger!$G$31)))*(V228-Forudsætninger!$H$31)</f>
        <v>27.690299886474754</v>
      </c>
      <c r="AD228" s="19">
        <f t="shared" si="85"/>
        <v>6078.6164517612124</v>
      </c>
      <c r="AE228" s="19">
        <f t="shared" si="86"/>
        <v>33.14499423279301</v>
      </c>
      <c r="AF228">
        <f>IF(G228&lt;=Forudsætninger!$C$97,Forudsætninger!$C$98,(IF(G228&lt;=Forudsætninger!$D$97,Forudsætninger!$D$98,IF(G228&lt;=Forudsætninger!$E$97,Forudsætninger!$E$98,IF(G228&lt;=Forudsætninger!$F$97,Forudsætninger!$F$98,IF(G228&lt;=Forudsætninger!$G$97,Forudsætninger!$G$98,IF(G228&lt;=Forudsætninger!$H$97,Forudsætninger!$H$98,IF(G228&lt;=Forudsætninger!$I$97,Forudsætninger!$I$98,Forudsætninger!$I$98))))))))</f>
        <v>3.8</v>
      </c>
      <c r="AG228" s="1">
        <f t="shared" si="96"/>
        <v>4.4000000000000004</v>
      </c>
      <c r="AH228" s="1">
        <f t="shared" si="100"/>
        <v>669.59999999999775</v>
      </c>
      <c r="AI228" s="1">
        <f t="shared" si="87"/>
        <v>2.9628318584070699</v>
      </c>
      <c r="AJ228" s="20">
        <f>+(W228*Forudsætninger!$C$12)</f>
        <v>900</v>
      </c>
      <c r="AK228" s="20">
        <f>Forudsætninger!$C$17</f>
        <v>250</v>
      </c>
      <c r="AL228" s="20">
        <f>IF(A228&lt;92,Forudsætninger!$C$20,Forudsætninger!$C$21)</f>
        <v>1.0566762728146013</v>
      </c>
      <c r="AM228" s="20">
        <f t="shared" si="97"/>
        <v>507.31432050939225</v>
      </c>
      <c r="AN228" s="20">
        <f>IFERROR(AD228+AJ228-AA228-Z228-AK228-AM228-Forudsætninger!$C$75,-99999999)</f>
        <v>1040.3906741032258</v>
      </c>
      <c r="AO228" s="19">
        <f>IFERROR(AN228/(A228+Forudsætninger!$C$74),-99999999)</f>
        <v>4.6034985579788756</v>
      </c>
      <c r="AP228" s="19">
        <f>IFERROR(((365/(A228+Forudsætninger!$C$74))*AN228)/(AI228+Forudsætninger!$C$73),-9999999)</f>
        <v>546.81708960585013</v>
      </c>
      <c r="AQ228" s="18">
        <f t="shared" si="88"/>
        <v>226</v>
      </c>
      <c r="AR228" s="18">
        <f t="shared" si="98"/>
        <v>5755.8315851085918</v>
      </c>
      <c r="AS228" s="52">
        <f t="shared" si="79"/>
        <v>8.6999999999999993</v>
      </c>
      <c r="AT228" s="50">
        <f t="shared" si="101"/>
        <v>12.308918176763427</v>
      </c>
      <c r="AU228" s="50">
        <f t="shared" si="102"/>
        <v>3.4246309416820608E-2</v>
      </c>
      <c r="AV228" s="2">
        <f t="shared" si="103"/>
        <v>2.9373288794786276</v>
      </c>
      <c r="AW228" s="61">
        <f t="shared" si="99"/>
        <v>6.8482521885514069</v>
      </c>
      <c r="BA228" s="16"/>
      <c r="BB228" s="2"/>
    </row>
    <row r="229" spans="1:54" x14ac:dyDescent="0.25">
      <c r="A229">
        <v>227</v>
      </c>
      <c r="B229" s="1">
        <f>ROUND((A229+Forudsætninger!$C$60)/30.4,1)</f>
        <v>8.8000000000000007</v>
      </c>
      <c r="C229" s="1">
        <f>VLOOKUP((A229+Forudsætninger!$C$60),'Model tilvækst, slagteform, fe'!A:B,2,FALSE)</f>
        <v>391.53065645443712</v>
      </c>
      <c r="D229" s="3">
        <f t="shared" si="89"/>
        <v>1394.5599176742007</v>
      </c>
      <c r="E229" s="1">
        <f>(1+Forudsætninger!$C$78)*C229</f>
        <v>364.12351050262652</v>
      </c>
      <c r="F229" s="2">
        <f t="shared" si="90"/>
        <v>0</v>
      </c>
      <c r="G229" s="1">
        <f t="shared" si="80"/>
        <v>364.12351050262652</v>
      </c>
      <c r="H229" s="3">
        <f t="shared" si="81"/>
        <v>1296.9407234370465</v>
      </c>
      <c r="I229" s="3">
        <f t="shared" si="82"/>
        <v>1300.1035704961521</v>
      </c>
      <c r="J229" s="1">
        <f>VLOOKUP((A229+Forudsætninger!$C$60),'Model tilvækst, slagteform, fe'!G:K,2,FALSE)*(1+Forudsætninger!$C$79)</f>
        <v>50.556633842302517</v>
      </c>
      <c r="K229" s="17">
        <f t="shared" si="78"/>
        <v>184.08858993855083</v>
      </c>
      <c r="L229" s="17">
        <f t="shared" si="91"/>
        <v>693.88457012604476</v>
      </c>
      <c r="M229" s="3">
        <f>((K229-(('Model tilvækst, slagteform, fe'!$H$9/100)*'Model tilvækst, slagteform, fe'!$B$9))*1000/(A229+Forudsætninger!$C$60))</f>
        <v>615.19430793286438</v>
      </c>
      <c r="N229" s="17">
        <f t="shared" si="92"/>
        <v>1213.7326348103638</v>
      </c>
      <c r="O229" s="19">
        <f>IF( A229&lt;Forudsætninger!$C$14,(G229/100)*Forudsætninger!$C$13,(Forudsætninger!$C$15/1000)*Forudsætninger!$C$13)</f>
        <v>2.3668028182670722</v>
      </c>
      <c r="P229" s="17" cm="1">
        <f t="array" ref="P229">INDEX('Model tilvækst, slagteform, fe'!$N$9:$N$375,MATCH(MIN(ABS('Model tilvækst, slagteform, fe'!$M$9:$M$375-'Vækstfunktion, hol'!G229)),ABS('Model tilvækst, slagteform, fe'!$M$9:$M$375-'Vækstfunktion, hol'!G229),0))*(1+Forudsætninger!$C$80)</f>
        <v>7.4345278856494161</v>
      </c>
      <c r="Q229" s="17">
        <f t="shared" si="93"/>
        <v>10.714358274747235</v>
      </c>
      <c r="R229" s="17">
        <f t="shared" si="94"/>
        <v>7.9867185598004946</v>
      </c>
      <c r="S229" s="17">
        <f t="shared" si="83"/>
        <v>4.1126260416977587</v>
      </c>
      <c r="T229" s="19">
        <f>(P229)*IF(N229&lt;Forudsætninger!$B$228,IF(N229&lt;Forudsætninger!$B$227,Forudsætninger!$B$225,Forudsætninger!$C$9),Forudsætninger!$C$11)+O229</f>
        <v>19.763598070686704</v>
      </c>
      <c r="U229" s="2">
        <f>Forudsætninger!$C$68+((K229-(Forudsætninger!$C$84)))*0.01</f>
        <v>3.5379387583741484</v>
      </c>
      <c r="V229" s="2">
        <f>U229+Forudsætninger!$C$69</f>
        <v>2.5379387583741484</v>
      </c>
      <c r="W229">
        <f t="shared" si="84"/>
        <v>1</v>
      </c>
      <c r="X229">
        <f>IF(A229+Forudsætninger!$C$60&gt;248,IF(A229+Forudsætninger!$C$60&lt;365,IF(K229&gt;180,IF(K229&lt;260,1,0),0),0),0)</f>
        <v>1</v>
      </c>
      <c r="Y229" s="22">
        <f>IF(X229=0,0,IF('Vækstfunktion, hol'!A229&lt;Forudsætninger!$C$66,Forudsætninger!$C$67+(('Vækstfunktion, hol'!A229-Forudsætninger!$C$66)/7)*Forudsætninger!$C$64,Forudsætninger!$C$67))</f>
        <v>0.8522857142857142</v>
      </c>
      <c r="Z229" s="19">
        <f t="shared" si="95"/>
        <v>3668.2808626698866</v>
      </c>
      <c r="AA229" s="19">
        <f>Forudsætninger!$C$62+Forudsætninger!$C$16</f>
        <v>1350</v>
      </c>
      <c r="AB229" s="19">
        <f>IF(K229&gt;Forudsætninger!$C$26,IF(K229&gt;Forudsætninger!$C$27,IF(K229&gt;Forudsætninger!$C$28,Forudsætninger!$E$28,Forudsætninger!$E$27+Forudsætninger!$F$28*(K229-Forudsætninger!$C$27)),Forudsætninger!$E$26+Forudsætninger!$F$27*(K229-Forudsætninger!$C$26)),Forudsætninger!$E$26)+IF(K229&gt;Forudsætninger!$C$28,Forudsætninger!$G$28,IF(K229&gt;Forudsætninger!$C$27,Forudsætninger!$G$27+Forudsætninger!$H$28*(K229-Forudsætninger!$C$27),IF(K229&gt;Forudsætninger!$C$26,Forudsætninger!$G$26+Forudsætninger!$H$27*(K229-Forudsætninger!$C$26),Forudsætninger!$G$26)))*(U229-Forudsætninger!$H$26)</f>
        <v>34.153369033194146</v>
      </c>
      <c r="AC229" s="19">
        <f>IF(K229&gt;Forudsætninger!$C$31,IF(K229&gt;Forudsætninger!$C$32,IF(K229&gt;Forudsætninger!$C$33,Forudsætninger!$E$33,Forudsætninger!$E$32+Forudsætninger!$F$33*(K229-Forudsætninger!$C$32)),Forudsætninger!$E$31+Forudsætninger!$F$32*(K229-Forudsætninger!$C$31)),Forudsætninger!$E$31)+IF(K229&gt;Forudsætninger!$C$33,Forudsætninger!$G$33,IF(K229&gt;Forudsætninger!$C$32,Forudsætninger!$G$32+Forudsætninger!$H$33*(K229-Forudsætninger!$C$32),IF(K229&gt;Forudsætninger!$C$31,Forudsætninger!$G$31+Forudsætninger!$H$32*(K229-Forudsætninger!$C$31),Forudsætninger!$G$31)))*(V229-Forudsætninger!$H$31)</f>
        <v>27.699320385886395</v>
      </c>
      <c r="AD229" s="19">
        <f t="shared" si="85"/>
        <v>6111.7437350883147</v>
      </c>
      <c r="AE229" s="19">
        <f t="shared" si="86"/>
        <v>33.200013847291828</v>
      </c>
      <c r="AF229">
        <f>IF(G229&lt;=Forudsætninger!$C$97,Forudsætninger!$C$98,(IF(G229&lt;=Forudsætninger!$D$97,Forudsætninger!$D$98,IF(G229&lt;=Forudsætninger!$E$97,Forudsætninger!$E$98,IF(G229&lt;=Forudsætninger!$F$97,Forudsætninger!$F$98,IF(G229&lt;=Forudsætninger!$G$97,Forudsætninger!$G$98,IF(G229&lt;=Forudsætninger!$H$97,Forudsætninger!$H$98,IF(G229&lt;=Forudsætninger!$I$97,Forudsætninger!$I$98,Forudsætninger!$I$98))))))))</f>
        <v>3.8</v>
      </c>
      <c r="AG229" s="1">
        <f t="shared" si="96"/>
        <v>4.4000000000000004</v>
      </c>
      <c r="AH229" s="1">
        <f t="shared" si="100"/>
        <v>673.99999999999773</v>
      </c>
      <c r="AI229" s="1">
        <f t="shared" si="87"/>
        <v>2.9691629955947034</v>
      </c>
      <c r="AJ229" s="20">
        <f>+(W229*Forudsætninger!$C$12)</f>
        <v>900</v>
      </c>
      <c r="AK229" s="20">
        <f>Forudsætninger!$C$17</f>
        <v>250</v>
      </c>
      <c r="AL229" s="20">
        <f>IF(A229&lt;92,Forudsætninger!$C$20,Forudsætninger!$C$21)</f>
        <v>1.0566762728146013</v>
      </c>
      <c r="AM229" s="20">
        <f t="shared" si="97"/>
        <v>508.37099678220687</v>
      </c>
      <c r="AN229" s="20">
        <f>IFERROR(AD229+AJ229-AA229-Z229-AK229-AM229-Forudsætninger!$C$75,-99999999)</f>
        <v>1052.6976830868266</v>
      </c>
      <c r="AO229" s="19">
        <f>IFERROR(AN229/(A229+Forudsætninger!$C$74),-99999999)</f>
        <v>4.6374347272547425</v>
      </c>
      <c r="AP229" s="19">
        <f>IFERROR(((365/(A229+Forudsætninger!$C$74))*AN229)/(AI229+Forudsætninger!$C$73),-9999999)</f>
        <v>549.71551615476062</v>
      </c>
      <c r="AQ229" s="18">
        <f t="shared" si="88"/>
        <v>227</v>
      </c>
      <c r="AR229" s="18">
        <f t="shared" si="98"/>
        <v>5776.651859452093</v>
      </c>
      <c r="AS229" s="52">
        <f t="shared" si="79"/>
        <v>8.8000000000000007</v>
      </c>
      <c r="AT229" s="50">
        <f t="shared" si="101"/>
        <v>12.307008983600781</v>
      </c>
      <c r="AU229" s="50">
        <f t="shared" si="102"/>
        <v>3.3936169275866845E-2</v>
      </c>
      <c r="AV229" s="2">
        <f t="shared" si="103"/>
        <v>2.8984265489104928</v>
      </c>
      <c r="AW229" s="61">
        <f t="shared" si="99"/>
        <v>6.8769545368679887</v>
      </c>
      <c r="BA229" s="16"/>
      <c r="BB229" s="2"/>
    </row>
    <row r="230" spans="1:54" x14ac:dyDescent="0.25">
      <c r="A230">
        <v>228</v>
      </c>
      <c r="B230" s="1">
        <f>ROUND((A230+Forudsætninger!$C$60)/30.4,1)</f>
        <v>8.8000000000000007</v>
      </c>
      <c r="C230" s="1">
        <f>VLOOKUP((A230+Forudsætninger!$C$60),'Model tilvækst, slagteform, fe'!A:B,2,FALSE)</f>
        <v>392.92117706876729</v>
      </c>
      <c r="D230" s="3">
        <f t="shared" si="89"/>
        <v>1390.5206143301712</v>
      </c>
      <c r="E230" s="1">
        <f>(1+Forudsætninger!$C$78)*C230</f>
        <v>365.41669467395354</v>
      </c>
      <c r="F230" s="2">
        <f t="shared" si="90"/>
        <v>0</v>
      </c>
      <c r="G230" s="1">
        <f t="shared" si="80"/>
        <v>365.41669467395354</v>
      </c>
      <c r="H230" s="3">
        <f t="shared" si="81"/>
        <v>1293.1841713270273</v>
      </c>
      <c r="I230" s="3">
        <f t="shared" si="82"/>
        <v>1300.0732222541822</v>
      </c>
      <c r="J230" s="1">
        <f>VLOOKUP((A230+Forudsætninger!$C$60),'Model tilvækst, slagteform, fe'!G:K,2,FALSE)*(1+Forudsætninger!$C$79)</f>
        <v>50.567022186766899</v>
      </c>
      <c r="K230" s="17">
        <f t="shared" si="78"/>
        <v>184.78034106992834</v>
      </c>
      <c r="L230" s="17">
        <f t="shared" si="91"/>
        <v>691.75113137751509</v>
      </c>
      <c r="M230" s="3">
        <f>((K230-(('Model tilvækst, slagteform, fe'!$H$9/100)*'Model tilvækst, slagteform, fe'!$B$9))*1000/(A230+Forudsætninger!$C$60))</f>
        <v>615.48103760868719</v>
      </c>
      <c r="N230" s="17">
        <f t="shared" si="92"/>
        <v>1221.1748451863091</v>
      </c>
      <c r="O230" s="19">
        <f>IF( A230&lt;Forudsætninger!$C$14,(G230/100)*Forudsætninger!$C$13,(Forudsætninger!$C$15/1000)*Forudsætninger!$C$13)</f>
        <v>2.3752085153806979</v>
      </c>
      <c r="P230" s="17" cm="1">
        <f t="array" ref="P230">INDEX('Model tilvækst, slagteform, fe'!$N$9:$N$375,MATCH(MIN(ABS('Model tilvækst, slagteform, fe'!$M$9:$M$375-'Vækstfunktion, hol'!G230)),ABS('Model tilvækst, slagteform, fe'!$M$9:$M$375-'Vækstfunktion, hol'!G230),0))*(1+Forudsætninger!$C$80)</f>
        <v>7.442210375945252</v>
      </c>
      <c r="Q230" s="17">
        <f t="shared" si="93"/>
        <v>10.758508426470144</v>
      </c>
      <c r="R230" s="17">
        <f t="shared" si="94"/>
        <v>7.9992783718769314</v>
      </c>
      <c r="S230" s="17">
        <f t="shared" si="83"/>
        <v>4.1197910479689828</v>
      </c>
      <c r="T230" s="19">
        <f>(P230)*IF(N230&lt;Forudsætninger!$B$228,IF(N230&lt;Forudsætninger!$B$227,Forudsætninger!$B$225,Forudsætninger!$C$9),Forudsætninger!$C$11)+O230</f>
        <v>19.789980795092589</v>
      </c>
      <c r="U230" s="2">
        <f>Forudsætninger!$C$68+((K230-(Forudsætninger!$C$84)))*0.01</f>
        <v>3.5448562696879238</v>
      </c>
      <c r="V230" s="2">
        <f>U230+Forudsætninger!$C$69</f>
        <v>2.5448562696879238</v>
      </c>
      <c r="W230">
        <f t="shared" si="84"/>
        <v>1</v>
      </c>
      <c r="X230">
        <f>IF(A230+Forudsætninger!$C$60&gt;248,IF(A230+Forudsætninger!$C$60&lt;365,IF(K230&gt;180,IF(K230&lt;260,1,0),0),0),0)</f>
        <v>1</v>
      </c>
      <c r="Y230" s="22">
        <f>IF(X230=0,0,IF('Vækstfunktion, hol'!A230&lt;Forudsætninger!$C$66,Forudsætninger!$C$67+(('Vækstfunktion, hol'!A230-Forudsætninger!$C$66)/7)*Forudsætninger!$C$64,Forudsætninger!$C$67))</f>
        <v>0.85657142857142843</v>
      </c>
      <c r="Z230" s="19">
        <f t="shared" si="95"/>
        <v>3688.0708434649791</v>
      </c>
      <c r="AA230" s="19">
        <f>Forudsætninger!$C$62+Forudsætninger!$C$16</f>
        <v>1350</v>
      </c>
      <c r="AB230" s="19">
        <f>IF(K230&gt;Forudsætninger!$C$26,IF(K230&gt;Forudsætninger!$C$27,IF(K230&gt;Forudsætninger!$C$28,Forudsætninger!$E$28,Forudsætninger!$E$27+Forudsætninger!$F$28*(K230-Forudsætninger!$C$27)),Forudsætninger!$E$26+Forudsætninger!$F$27*(K230-Forudsætninger!$C$26)),Forudsætninger!$E$26)+IF(K230&gt;Forudsætninger!$C$28,Forudsætninger!$G$28,IF(K230&gt;Forudsætninger!$C$27,Forudsætninger!$G$27+Forudsætninger!$H$28*(K230-Forudsætninger!$C$27),IF(K230&gt;Forudsætninger!$C$26,Forudsætninger!$G$26+Forudsætninger!$H$27*(K230-Forudsætninger!$C$26),Forudsætninger!$G$26)))*(U230-Forudsætninger!$H$26)</f>
        <v>34.183921374829985</v>
      </c>
      <c r="AC230" s="19">
        <f>IF(K230&gt;Forudsætninger!$C$31,IF(K230&gt;Forudsætninger!$C$32,IF(K230&gt;Forudsætninger!$C$33,Forudsætninger!$E$33,Forudsætninger!$E$32+Forudsætninger!$F$33*(K230-Forudsætninger!$C$32)),Forudsætninger!$E$31+Forudsætninger!$F$32*(K230-Forudsætninger!$C$31)),Forudsætninger!$E$31)+IF(K230&gt;Forudsætninger!$C$33,Forudsætninger!$G$33,IF(K230&gt;Forudsætninger!$C$32,Forudsætninger!$G$32+Forudsætninger!$H$33*(K230-Forudsætninger!$C$32),IF(K230&gt;Forudsætninger!$C$31,Forudsætninger!$G$31+Forudsætninger!$H$32*(K230-Forudsætninger!$C$31),Forudsætninger!$G$31)))*(V230-Forudsætninger!$H$31)</f>
        <v>27.7083131505943</v>
      </c>
      <c r="AD230" s="19">
        <f t="shared" si="85"/>
        <v>6144.895028363735</v>
      </c>
      <c r="AE230" s="19">
        <f t="shared" si="86"/>
        <v>33.25513413809675</v>
      </c>
      <c r="AF230">
        <f>IF(G230&lt;=Forudsætninger!$C$97,Forudsætninger!$C$98,(IF(G230&lt;=Forudsætninger!$D$97,Forudsætninger!$D$98,IF(G230&lt;=Forudsætninger!$E$97,Forudsætninger!$E$98,IF(G230&lt;=Forudsætninger!$F$97,Forudsætninger!$F$98,IF(G230&lt;=Forudsætninger!$G$97,Forudsætninger!$G$98,IF(G230&lt;=Forudsætninger!$H$97,Forudsætninger!$H$98,IF(G230&lt;=Forudsætninger!$I$97,Forudsætninger!$I$98,Forudsætninger!$I$98))))))))</f>
        <v>3.8</v>
      </c>
      <c r="AG230" s="1">
        <f t="shared" si="96"/>
        <v>4.4000000000000004</v>
      </c>
      <c r="AH230" s="1">
        <f t="shared" si="100"/>
        <v>678.3999999999977</v>
      </c>
      <c r="AI230" s="1">
        <f t="shared" si="87"/>
        <v>2.9754385964912178</v>
      </c>
      <c r="AJ230" s="20">
        <f>+(W230*Forudsætninger!$C$12)</f>
        <v>900</v>
      </c>
      <c r="AK230" s="20">
        <f>Forudsætninger!$C$17</f>
        <v>250</v>
      </c>
      <c r="AL230" s="20">
        <f>IF(A230&lt;92,Forudsætninger!$C$20,Forudsætninger!$C$21)</f>
        <v>1.0566762728146013</v>
      </c>
      <c r="AM230" s="20">
        <f t="shared" si="97"/>
        <v>509.4276730550215</v>
      </c>
      <c r="AN230" s="20">
        <f>IFERROR(AD230+AJ230-AA230-Z230-AK230-AM230-Forudsætninger!$C$75,-99999999)</f>
        <v>1065.0023192943399</v>
      </c>
      <c r="AO230" s="19">
        <f>IFERROR(AN230/(A230+Forudsætninger!$C$74),-99999999)</f>
        <v>4.6710628039225437</v>
      </c>
      <c r="AP230" s="19">
        <f>IFERROR(((365/(A230+Forudsætninger!$C$74))*AN230)/(AI230+Forudsætninger!$C$73),-9999999)</f>
        <v>552.57554805031475</v>
      </c>
      <c r="AQ230" s="18">
        <f t="shared" si="88"/>
        <v>228</v>
      </c>
      <c r="AR230" s="18">
        <f t="shared" si="98"/>
        <v>5797.4985165200005</v>
      </c>
      <c r="AS230" s="52">
        <f t="shared" si="79"/>
        <v>8.8000000000000007</v>
      </c>
      <c r="AT230" s="50">
        <f t="shared" si="101"/>
        <v>12.30463620751334</v>
      </c>
      <c r="AU230" s="50">
        <f t="shared" si="102"/>
        <v>3.362807666780121E-2</v>
      </c>
      <c r="AV230" s="2">
        <f t="shared" si="103"/>
        <v>2.8600318955541297</v>
      </c>
      <c r="AW230" s="61">
        <f t="shared" si="99"/>
        <v>6.9053947032866727</v>
      </c>
      <c r="BA230" s="16"/>
      <c r="BB230" s="2"/>
    </row>
    <row r="231" spans="1:54" x14ac:dyDescent="0.25">
      <c r="A231">
        <v>229</v>
      </c>
      <c r="B231" s="1">
        <f>ROUND((A231+Forudsætninger!$C$60)/30.4,1)</f>
        <v>8.8000000000000007</v>
      </c>
      <c r="C231" s="1">
        <f>VLOOKUP((A231+Forudsætninger!$C$60),'Model tilvækst, slagteform, fe'!A:B,2,FALSE)</f>
        <v>394.30764087038756</v>
      </c>
      <c r="D231" s="3">
        <f t="shared" si="89"/>
        <v>1386.4638016202662</v>
      </c>
      <c r="E231" s="1">
        <f>(1+Forudsætninger!$C$78)*C231</f>
        <v>366.70610600946043</v>
      </c>
      <c r="F231" s="2">
        <f t="shared" si="90"/>
        <v>0</v>
      </c>
      <c r="G231" s="1">
        <f t="shared" si="80"/>
        <v>366.70610600946043</v>
      </c>
      <c r="H231" s="3">
        <f t="shared" si="81"/>
        <v>1289.4113355068839</v>
      </c>
      <c r="I231" s="3">
        <f t="shared" si="82"/>
        <v>1300.0266637967702</v>
      </c>
      <c r="J231" s="1">
        <f>VLOOKUP((A231+Forudsætninger!$C$60),'Model tilvækst, slagteform, fe'!G:K,2,FALSE)*(1+Forudsætninger!$C$79)</f>
        <v>50.577275757153899</v>
      </c>
      <c r="K231" s="17">
        <f t="shared" si="78"/>
        <v>185.46995845472588</v>
      </c>
      <c r="L231" s="17">
        <f t="shared" si="91"/>
        <v>689.61738479754331</v>
      </c>
      <c r="M231" s="3">
        <f>((K231-(('Model tilvækst, slagteform, fe'!$H$9/100)*'Model tilvækst, slagteform, fe'!$B$9))*1000/(A231+Forudsætninger!$C$60))</f>
        <v>615.7576657698396</v>
      </c>
      <c r="N231" s="17">
        <f t="shared" si="92"/>
        <v>1228.6248070351442</v>
      </c>
      <c r="O231" s="19">
        <f>IF( A231&lt;Forudsætninger!$C$14,(G231/100)*Forudsætninger!$C$13,(Forudsætninger!$C$15/1000)*Forudsætninger!$C$13)</f>
        <v>2.3835896890614929</v>
      </c>
      <c r="P231" s="17" cm="1">
        <f t="array" ref="P231">INDEX('Model tilvækst, slagteform, fe'!$N$9:$N$375,MATCH(MIN(ABS('Model tilvækst, slagteform, fe'!$M$9:$M$375-'Vækstfunktion, hol'!G231)),ABS('Model tilvækst, slagteform, fe'!$M$9:$M$375-'Vækstfunktion, hol'!G231),0))*(1+Forudsætninger!$C$80)</f>
        <v>7.4499618488350556</v>
      </c>
      <c r="Q231" s="17">
        <f t="shared" si="93"/>
        <v>10.803036601262891</v>
      </c>
      <c r="R231" s="17">
        <f t="shared" si="94"/>
        <v>8.0118868971253416</v>
      </c>
      <c r="S231" s="17">
        <f t="shared" si="83"/>
        <v>4.1269721454624824</v>
      </c>
      <c r="T231" s="19">
        <f>(P231)*IF(N231&lt;Forudsætninger!$B$228,IF(N231&lt;Forudsætninger!$B$227,Forudsætninger!$B$225,Forudsætninger!$C$9),Forudsætninger!$C$11)+O231</f>
        <v>19.816500415335526</v>
      </c>
      <c r="U231" s="2">
        <f>Forudsætninger!$C$68+((K231-(Forudsætninger!$C$84)))*0.01</f>
        <v>3.5517524435358991</v>
      </c>
      <c r="V231" s="2">
        <f>U231+Forudsætninger!$C$69</f>
        <v>2.5517524435358991</v>
      </c>
      <c r="W231">
        <f t="shared" si="84"/>
        <v>1</v>
      </c>
      <c r="X231">
        <f>IF(A231+Forudsætninger!$C$60&gt;248,IF(A231+Forudsætninger!$C$60&lt;365,IF(K231&gt;180,IF(K231&lt;260,1,0),0),0),0)</f>
        <v>1</v>
      </c>
      <c r="Y231" s="22">
        <f>IF(X231=0,0,IF('Vækstfunktion, hol'!A231&lt;Forudsætninger!$C$66,Forudsætninger!$C$67+(('Vækstfunktion, hol'!A231-Forudsætninger!$C$66)/7)*Forudsætninger!$C$64,Forudsætninger!$C$67))</f>
        <v>0.86085714285714277</v>
      </c>
      <c r="Z231" s="19">
        <f t="shared" si="95"/>
        <v>3707.8873438803148</v>
      </c>
      <c r="AA231" s="19">
        <f>Forudsætninger!$C$62+Forudsætninger!$C$16</f>
        <v>1350</v>
      </c>
      <c r="AB231" s="19">
        <f>IF(K231&gt;Forudsætninger!$C$26,IF(K231&gt;Forudsætninger!$C$27,IF(K231&gt;Forudsætninger!$C$28,Forudsætninger!$E$28,Forudsætninger!$E$27+Forudsætninger!$F$28*(K231-Forudsætninger!$C$27)),Forudsætninger!$E$26+Forudsætninger!$F$27*(K231-Forudsætninger!$C$26)),Forudsætninger!$E$26)+IF(K231&gt;Forudsætninger!$C$28,Forudsætninger!$G$28,IF(K231&gt;Forudsætninger!$C$27,Forudsætninger!$G$27+Forudsætninger!$H$28*(K231-Forudsætninger!$C$27),IF(K231&gt;Forudsætninger!$C$26,Forudsætninger!$G$26+Forudsætninger!$H$27*(K231-Forudsætninger!$C$26),Forudsætninger!$G$26)))*(U231-Forudsætninger!$H$26)</f>
        <v>34.214379475991876</v>
      </c>
      <c r="AC231" s="19">
        <f>IF(K231&gt;Forudsætninger!$C$31,IF(K231&gt;Forudsætninger!$C$32,IF(K231&gt;Forudsætninger!$C$33,Forudsætninger!$E$33,Forudsætninger!$E$32+Forudsætninger!$F$33*(K231-Forudsætninger!$C$32)),Forudsætninger!$E$31+Forudsætninger!$F$32*(K231-Forudsætninger!$C$31)),Forudsætninger!$E$31)+IF(K231&gt;Forudsætninger!$C$33,Forudsætninger!$G$33,IF(K231&gt;Forudsætninger!$C$32,Forudsætninger!$G$32+Forudsætninger!$H$33*(K231-Forudsætninger!$C$32),IF(K231&gt;Forudsætninger!$C$31,Forudsætninger!$G$31+Forudsætninger!$H$32*(K231-Forudsætninger!$C$31),Forudsætninger!$G$31)))*(V231-Forudsætninger!$H$31)</f>
        <v>27.717278176596668</v>
      </c>
      <c r="AD231" s="19">
        <f t="shared" si="85"/>
        <v>6178.0700166428642</v>
      </c>
      <c r="AE231" s="19">
        <f t="shared" si="86"/>
        <v>33.310354238047459</v>
      </c>
      <c r="AF231">
        <f>IF(G231&lt;=Forudsætninger!$C$97,Forudsætninger!$C$98,(IF(G231&lt;=Forudsætninger!$D$97,Forudsætninger!$D$98,IF(G231&lt;=Forudsætninger!$E$97,Forudsætninger!$E$98,IF(G231&lt;=Forudsætninger!$F$97,Forudsætninger!$F$98,IF(G231&lt;=Forudsætninger!$G$97,Forudsætninger!$G$98,IF(G231&lt;=Forudsætninger!$H$97,Forudsætninger!$H$98,IF(G231&lt;=Forudsætninger!$I$97,Forudsætninger!$I$98,Forudsætninger!$I$98))))))))</f>
        <v>3.8</v>
      </c>
      <c r="AG231" s="1">
        <f t="shared" si="96"/>
        <v>4.4000000000000004</v>
      </c>
      <c r="AH231" s="1">
        <f t="shared" si="100"/>
        <v>682.79999999999768</v>
      </c>
      <c r="AI231" s="1">
        <f t="shared" si="87"/>
        <v>2.9816593886462779</v>
      </c>
      <c r="AJ231" s="20">
        <f>+(W231*Forudsætninger!$C$12)</f>
        <v>900</v>
      </c>
      <c r="AK231" s="20">
        <f>Forudsætninger!$C$17</f>
        <v>250</v>
      </c>
      <c r="AL231" s="20">
        <f>IF(A231&lt;92,Forudsætninger!$C$20,Forudsætninger!$C$21)</f>
        <v>1.0566762728146013</v>
      </c>
      <c r="AM231" s="20">
        <f t="shared" si="97"/>
        <v>510.48434932783613</v>
      </c>
      <c r="AN231" s="20">
        <f>IFERROR(AD231+AJ231-AA231-Z231-AK231-AM231-Forudsætninger!$C$75,-99999999)</f>
        <v>1077.3041308853187</v>
      </c>
      <c r="AO231" s="19">
        <f>IFERROR(AN231/(A231+Forudsætninger!$C$74),-99999999)</f>
        <v>4.7043848510275925</v>
      </c>
      <c r="AP231" s="19">
        <f>IFERROR(((365/(A231+Forudsætninger!$C$74))*AN231)/(AI231+Forudsætninger!$C$73),-9999999)</f>
        <v>555.39768608757572</v>
      </c>
      <c r="AQ231" s="18">
        <f t="shared" si="88"/>
        <v>229</v>
      </c>
      <c r="AR231" s="18">
        <f t="shared" si="98"/>
        <v>5818.3716932081506</v>
      </c>
      <c r="AS231" s="52">
        <f t="shared" si="79"/>
        <v>8.8000000000000007</v>
      </c>
      <c r="AT231" s="50">
        <f t="shared" si="101"/>
        <v>12.301811590978787</v>
      </c>
      <c r="AU231" s="50">
        <f t="shared" si="102"/>
        <v>3.3322047105048824E-2</v>
      </c>
      <c r="AV231" s="2">
        <f t="shared" si="103"/>
        <v>2.8221380372609701</v>
      </c>
      <c r="AW231" s="61">
        <f t="shared" si="99"/>
        <v>6.933574149402423</v>
      </c>
      <c r="BA231" s="16"/>
      <c r="BB231" s="2"/>
    </row>
    <row r="232" spans="1:54" x14ac:dyDescent="0.25">
      <c r="A232">
        <v>230</v>
      </c>
      <c r="B232" s="1">
        <f>ROUND((A232+Forudsætninger!$C$60)/30.4,1)</f>
        <v>8.8000000000000007</v>
      </c>
      <c r="C232" s="1">
        <f>VLOOKUP((A232+Forudsætninger!$C$60),'Model tilvækst, slagteform, fe'!A:B,2,FALSE)</f>
        <v>395.69003088427894</v>
      </c>
      <c r="D232" s="3">
        <f t="shared" si="89"/>
        <v>1382.3900138913814</v>
      </c>
      <c r="E232" s="1">
        <f>(1+Forudsætninger!$C$78)*C232</f>
        <v>367.99172872237938</v>
      </c>
      <c r="F232" s="2">
        <f t="shared" si="90"/>
        <v>0</v>
      </c>
      <c r="G232" s="1">
        <f t="shared" si="80"/>
        <v>367.99172872237938</v>
      </c>
      <c r="H232" s="3">
        <f t="shared" si="81"/>
        <v>1285.6227129189506</v>
      </c>
      <c r="I232" s="3">
        <f t="shared" si="82"/>
        <v>1299.9640379233886</v>
      </c>
      <c r="J232" s="1">
        <f>VLOOKUP((A232+Forudsætninger!$C$60),'Model tilvækst, slagteform, fe'!G:K,2,FALSE)*(1+Forudsætninger!$C$79)</f>
        <v>50.587398502288906</v>
      </c>
      <c r="K232" s="17">
        <f t="shared" si="78"/>
        <v>186.15744226425198</v>
      </c>
      <c r="L232" s="17">
        <f t="shared" si="91"/>
        <v>687.48380952609978</v>
      </c>
      <c r="M232" s="3">
        <f>((K232-(('Model tilvækst, slagteform, fe'!$H$9/100)*'Model tilvækst, slagteform, fe'!$B$9))*1000/(A232+Forudsætninger!$C$60))</f>
        <v>616.02430570945387</v>
      </c>
      <c r="N232" s="17">
        <f t="shared" si="92"/>
        <v>1236.0825910098963</v>
      </c>
      <c r="O232" s="19">
        <f>IF( A232&lt;Forudsætninger!$C$14,(G232/100)*Forudsætninger!$C$13,(Forudsætninger!$C$15/1000)*Forudsætninger!$C$13)</f>
        <v>2.3919462366954658</v>
      </c>
      <c r="P232" s="17" cm="1">
        <f t="array" ref="P232">INDEX('Model tilvækst, slagteform, fe'!$N$9:$N$375,MATCH(MIN(ABS('Model tilvækst, slagteform, fe'!$M$9:$M$375-'Vækstfunktion, hol'!G232)),ABS('Model tilvækst, slagteform, fe'!$M$9:$M$375-'Vækstfunktion, hol'!G232),0))*(1+Forudsætninger!$C$80)</f>
        <v>7.4577839747522301</v>
      </c>
      <c r="Q232" s="17">
        <f t="shared" si="93"/>
        <v>10.847941248090004</v>
      </c>
      <c r="R232" s="17">
        <f t="shared" si="94"/>
        <v>8.0245444550012071</v>
      </c>
      <c r="S232" s="17">
        <f t="shared" si="83"/>
        <v>4.1341698524296877</v>
      </c>
      <c r="T232" s="19">
        <f>(P232)*IF(N232&lt;Forudsætninger!$B$228,IF(N232&lt;Forudsætninger!$B$227,Forudsætninger!$B$225,Forudsætninger!$C$9),Forudsætninger!$C$11)+O232</f>
        <v>19.843160737615683</v>
      </c>
      <c r="U232" s="2">
        <f>Forudsætninger!$C$68+((K232-(Forudsætninger!$C$84)))*0.01</f>
        <v>3.5586272816311602</v>
      </c>
      <c r="V232" s="2">
        <f>U232+Forudsætninger!$C$69</f>
        <v>2.5586272816311602</v>
      </c>
      <c r="W232">
        <f t="shared" si="84"/>
        <v>1</v>
      </c>
      <c r="X232">
        <f>IF(A232+Forudsætninger!$C$60&gt;248,IF(A232+Forudsætninger!$C$60&lt;365,IF(K232&gt;180,IF(K232&lt;260,1,0),0),0),0)</f>
        <v>1</v>
      </c>
      <c r="Y232" s="22">
        <f>IF(X232=0,0,IF('Vækstfunktion, hol'!A232&lt;Forudsætninger!$C$66,Forudsætninger!$C$67+(('Vækstfunktion, hol'!A232-Forudsætninger!$C$66)/7)*Forudsætninger!$C$64,Forudsætninger!$C$67))</f>
        <v>0.8651428571428571</v>
      </c>
      <c r="Z232" s="19">
        <f t="shared" si="95"/>
        <v>3727.7305046179304</v>
      </c>
      <c r="AA232" s="19">
        <f>Forudsætninger!$C$62+Forudsætninger!$C$16</f>
        <v>1350</v>
      </c>
      <c r="AB232" s="19">
        <f>IF(K232&gt;Forudsætninger!$C$26,IF(K232&gt;Forudsætninger!$C$27,IF(K232&gt;Forudsætninger!$C$28,Forudsætninger!$E$28,Forudsætninger!$E$27+Forudsætninger!$F$28*(K232-Forudsætninger!$C$27)),Forudsætninger!$E$26+Forudsætninger!$F$27*(K232-Forudsætninger!$C$26)),Forudsætninger!$E$26)+IF(K232&gt;Forudsætninger!$C$28,Forudsætninger!$G$28,IF(K232&gt;Forudsætninger!$C$27,Forudsætninger!$G$27+Forudsætninger!$H$28*(K232-Forudsætninger!$C$27),IF(K232&gt;Forudsætninger!$C$26,Forudsætninger!$G$26+Forudsætninger!$H$27*(K232-Forudsætninger!$C$26),Forudsætninger!$G$26)))*(U232-Forudsætninger!$H$26)</f>
        <v>34.24474334424594</v>
      </c>
      <c r="AC232" s="19">
        <f>IF(K232&gt;Forudsætninger!$C$31,IF(K232&gt;Forudsætninger!$C$32,IF(K232&gt;Forudsætninger!$C$33,Forudsætninger!$E$33,Forudsætninger!$E$32+Forudsætninger!$F$33*(K232-Forudsætninger!$C$32)),Forudsætninger!$E$31+Forudsætninger!$F$32*(K232-Forudsætninger!$C$31)),Forudsætninger!$E$31)+IF(K232&gt;Forudsætninger!$C$33,Forudsætninger!$G$33,IF(K232&gt;Forudsætninger!$C$32,Forudsætninger!$G$32+Forudsætninger!$H$33*(K232-Forudsætninger!$C$32),IF(K232&gt;Forudsætninger!$C$31,Forudsætninger!$G$31+Forudsætninger!$H$32*(K232-Forudsætninger!$C$31),Forudsætninger!$G$31)))*(V232-Forudsætninger!$H$31)</f>
        <v>27.726215466120507</v>
      </c>
      <c r="AD232" s="19">
        <f t="shared" si="85"/>
        <v>6211.2684007604012</v>
      </c>
      <c r="AE232" s="19">
        <f t="shared" si="86"/>
        <v>33.365673298967309</v>
      </c>
      <c r="AF232">
        <f>IF(G232&lt;=Forudsætninger!$C$97,Forudsætninger!$C$98,(IF(G232&lt;=Forudsætninger!$D$97,Forudsætninger!$D$98,IF(G232&lt;=Forudsætninger!$E$97,Forudsætninger!$E$98,IF(G232&lt;=Forudsætninger!$F$97,Forudsætninger!$F$98,IF(G232&lt;=Forudsætninger!$G$97,Forudsætninger!$G$98,IF(G232&lt;=Forudsætninger!$H$97,Forudsætninger!$H$98,IF(G232&lt;=Forudsætninger!$I$97,Forudsætninger!$I$98,Forudsætninger!$I$98))))))))</f>
        <v>3.8</v>
      </c>
      <c r="AG232" s="1">
        <f t="shared" si="96"/>
        <v>4.4000000000000004</v>
      </c>
      <c r="AH232" s="1">
        <f t="shared" si="100"/>
        <v>687.19999999999766</v>
      </c>
      <c r="AI232" s="1">
        <f t="shared" si="87"/>
        <v>2.9878260869565114</v>
      </c>
      <c r="AJ232" s="20">
        <f>+(W232*Forudsætninger!$C$12)</f>
        <v>900</v>
      </c>
      <c r="AK232" s="20">
        <f>Forudsætninger!$C$17</f>
        <v>250</v>
      </c>
      <c r="AL232" s="20">
        <f>IF(A232&lt;92,Forudsætninger!$C$20,Forudsætninger!$C$21)</f>
        <v>1.0566762728146013</v>
      </c>
      <c r="AM232" s="20">
        <f t="shared" si="97"/>
        <v>511.54102560065076</v>
      </c>
      <c r="AN232" s="20">
        <f>IFERROR(AD232+AJ232-AA232-Z232-AK232-AM232-Forudsætninger!$C$75,-99999999)</f>
        <v>1089.6026779924255</v>
      </c>
      <c r="AO232" s="19">
        <f>IFERROR(AN232/(A232+Forudsætninger!$C$74),-99999999)</f>
        <v>4.7374029477931545</v>
      </c>
      <c r="AP232" s="19">
        <f>IFERROR(((365/(A232+Forudsætninger!$C$74))*AN232)/(AI232+Forudsætninger!$C$73),-9999999)</f>
        <v>558.18242451541983</v>
      </c>
      <c r="AQ232" s="18">
        <f t="shared" si="88"/>
        <v>230</v>
      </c>
      <c r="AR232" s="18">
        <f t="shared" si="98"/>
        <v>5839.2715302185807</v>
      </c>
      <c r="AS232" s="52">
        <f t="shared" si="79"/>
        <v>8.8000000000000007</v>
      </c>
      <c r="AT232" s="50">
        <f t="shared" si="101"/>
        <v>12.298547107106742</v>
      </c>
      <c r="AU232" s="50">
        <f t="shared" si="102"/>
        <v>3.3018096765561999E-2</v>
      </c>
      <c r="AV232" s="2">
        <f t="shared" si="103"/>
        <v>2.7847384278441041</v>
      </c>
      <c r="AW232" s="61">
        <f t="shared" si="99"/>
        <v>6.9614943634481579</v>
      </c>
      <c r="BA232" s="16"/>
      <c r="BB232" s="2"/>
    </row>
    <row r="233" spans="1:54" x14ac:dyDescent="0.25">
      <c r="A233">
        <v>231</v>
      </c>
      <c r="B233" s="1">
        <f>ROUND((A233+Forudsætninger!$C$60)/30.4,1)</f>
        <v>8.9</v>
      </c>
      <c r="C233" s="1">
        <f>VLOOKUP((A233+Forudsætninger!$C$60),'Model tilvækst, slagteform, fe'!A:B,2,FALSE)</f>
        <v>397.06833066977038</v>
      </c>
      <c r="D233" s="3">
        <f t="shared" si="89"/>
        <v>1378.2997854914356</v>
      </c>
      <c r="E233" s="1">
        <f>(1+Forudsætninger!$C$78)*C233</f>
        <v>369.27354752288642</v>
      </c>
      <c r="F233" s="2">
        <f t="shared" si="90"/>
        <v>0</v>
      </c>
      <c r="G233" s="1">
        <f t="shared" si="80"/>
        <v>369.27354752288642</v>
      </c>
      <c r="H233" s="3">
        <f t="shared" si="81"/>
        <v>1281.8188005070397</v>
      </c>
      <c r="I233" s="3">
        <f t="shared" si="82"/>
        <v>1299.8854871120625</v>
      </c>
      <c r="J233" s="1">
        <f>VLOOKUP((A233+Forudsætninger!$C$60),'Model tilvækst, slagteform, fe'!G:K,2,FALSE)*(1+Forudsætninger!$C$79)</f>
        <v>50.597394370997264</v>
      </c>
      <c r="K233" s="17">
        <f t="shared" si="78"/>
        <v>186.84279314792684</v>
      </c>
      <c r="L233" s="17">
        <f t="shared" si="91"/>
        <v>685.35088367485741</v>
      </c>
      <c r="M233" s="3">
        <f>((K233-(('Model tilvækst, slagteform, fe'!$H$9/100)*'Model tilvækst, slagteform, fe'!$B$9))*1000/(A233+Forudsætninger!$C$60))</f>
        <v>616.28107081302949</v>
      </c>
      <c r="N233" s="17">
        <f t="shared" si="92"/>
        <v>1243.5562378772986</v>
      </c>
      <c r="O233" s="19">
        <f>IF( A233&lt;Forudsætninger!$C$14,(G233/100)*Forudsætninger!$C$13,(Forudsætninger!$C$15/1000)*Forudsætninger!$C$13)</f>
        <v>2.4002780588987616</v>
      </c>
      <c r="P233" s="17" cm="1">
        <f t="array" ref="P233">INDEX('Model tilvækst, slagteform, fe'!$N$9:$N$375,MATCH(MIN(ABS('Model tilvækst, slagteform, fe'!$M$9:$M$375-'Vækstfunktion, hol'!G233)),ABS('Model tilvækst, slagteform, fe'!$M$9:$M$375-'Vækstfunktion, hol'!G233),0))*(1+Forudsætninger!$C$80)</f>
        <v>7.4736468674023184</v>
      </c>
      <c r="Q233" s="17">
        <f t="shared" si="93"/>
        <v>10.904847495531863</v>
      </c>
      <c r="R233" s="17">
        <f t="shared" si="94"/>
        <v>8.0373028505578894</v>
      </c>
      <c r="S233" s="17">
        <f t="shared" si="83"/>
        <v>4.1414112169921209</v>
      </c>
      <c r="T233" s="19">
        <f>(P233)*IF(N233&lt;Forudsætninger!$B$228,IF(N233&lt;Forudsætninger!$B$227,Forudsætninger!$B$225,Forudsætninger!$C$9),Forudsætninger!$C$11)+O233</f>
        <v>19.888611728620184</v>
      </c>
      <c r="U233" s="2">
        <f>Forudsætninger!$C$68+((K233-(Forudsætninger!$C$84)))*0.01</f>
        <v>3.5654807904679089</v>
      </c>
      <c r="V233" s="2">
        <f>U233+Forudsætninger!$C$69</f>
        <v>2.5654807904679089</v>
      </c>
      <c r="W233">
        <f t="shared" si="84"/>
        <v>1</v>
      </c>
      <c r="X233">
        <f>IF(A233+Forudsætninger!$C$60&gt;248,IF(A233+Forudsætninger!$C$60&lt;365,IF(K233&gt;180,IF(K233&lt;260,1,0),0),0),0)</f>
        <v>1</v>
      </c>
      <c r="Y233" s="22">
        <f>IF(X233=0,0,IF('Vækstfunktion, hol'!A233&lt;Forudsætninger!$C$66,Forudsætninger!$C$67+(('Vækstfunktion, hol'!A233-Forudsætninger!$C$66)/7)*Forudsætninger!$C$64,Forudsætninger!$C$67))</f>
        <v>0.86942857142857133</v>
      </c>
      <c r="Z233" s="19">
        <f t="shared" si="95"/>
        <v>3747.6191163465505</v>
      </c>
      <c r="AA233" s="19">
        <f>Forudsætninger!$C$62+Forudsætninger!$C$16</f>
        <v>1350</v>
      </c>
      <c r="AB233" s="19">
        <f>IF(K233&gt;Forudsætninger!$C$26,IF(K233&gt;Forudsætninger!$C$27,IF(K233&gt;Forudsætninger!$C$28,Forudsætninger!$E$28,Forudsætninger!$E$27+Forudsætninger!$F$28*(K233-Forudsætninger!$C$27)),Forudsætninger!$E$26+Forudsætninger!$F$27*(K233-Forudsætninger!$C$26)),Forudsætninger!$E$26)+IF(K233&gt;Forudsætninger!$C$28,Forudsætninger!$G$28,IF(K233&gt;Forudsætninger!$C$27,Forudsætninger!$G$27+Forudsætninger!$H$28*(K233-Forudsætninger!$C$27),IF(K233&gt;Forudsætninger!$C$26,Forudsætninger!$G$26+Forudsætninger!$H$27*(K233-Forudsætninger!$C$26),Forudsætninger!$G$26)))*(U233-Forudsætninger!$H$26)</f>
        <v>34.275013008274918</v>
      </c>
      <c r="AC233" s="19">
        <f>IF(K233&gt;Forudsætninger!$C$31,IF(K233&gt;Forudsætninger!$C$32,IF(K233&gt;Forudsætninger!$C$33,Forudsætninger!$E$33,Forudsætninger!$E$32+Forudsætninger!$F$33*(K233-Forudsætninger!$C$32)),Forudsætninger!$E$31+Forudsætninger!$F$32*(K233-Forudsætninger!$C$31)),Forudsætninger!$E$31)+IF(K233&gt;Forudsætninger!$C$33,Forudsætninger!$G$33,IF(K233&gt;Forudsætninger!$C$32,Forudsætninger!$G$32+Forudsætninger!$H$33*(K233-Forudsætninger!$C$32),IF(K233&gt;Forudsætninger!$C$31,Forudsætninger!$G$31+Forudsætninger!$H$32*(K233-Forudsætninger!$C$31),Forudsætninger!$G$31)))*(V233-Forudsætninger!$H$31)</f>
        <v>27.735125027608284</v>
      </c>
      <c r="AD233" s="19">
        <f t="shared" si="85"/>
        <v>6244.4898975640936</v>
      </c>
      <c r="AE233" s="19">
        <f t="shared" si="86"/>
        <v>33.421090491942159</v>
      </c>
      <c r="AF233">
        <f>IF(G233&lt;=Forudsætninger!$C$97,Forudsætninger!$C$98,(IF(G233&lt;=Forudsætninger!$D$97,Forudsætninger!$D$98,IF(G233&lt;=Forudsætninger!$E$97,Forudsætninger!$E$98,IF(G233&lt;=Forudsætninger!$F$97,Forudsætninger!$F$98,IF(G233&lt;=Forudsætninger!$G$97,Forudsætninger!$G$98,IF(G233&lt;=Forudsætninger!$H$97,Forudsætninger!$H$98,IF(G233&lt;=Forudsætninger!$I$97,Forudsætninger!$I$98,Forudsætninger!$I$98))))))))</f>
        <v>3.8</v>
      </c>
      <c r="AG233" s="1">
        <f t="shared" si="96"/>
        <v>4.4000000000000004</v>
      </c>
      <c r="AH233" s="1">
        <f t="shared" si="100"/>
        <v>691.59999999999764</v>
      </c>
      <c r="AI233" s="1">
        <f t="shared" si="87"/>
        <v>2.9939393939393839</v>
      </c>
      <c r="AJ233" s="20">
        <f>+(W233*Forudsætninger!$C$12)</f>
        <v>900</v>
      </c>
      <c r="AK233" s="20">
        <f>Forudsætninger!$C$17</f>
        <v>250</v>
      </c>
      <c r="AL233" s="20">
        <f>IF(A233&lt;92,Forudsætninger!$C$20,Forudsætninger!$C$21)</f>
        <v>1.0566762728146013</v>
      </c>
      <c r="AM233" s="20">
        <f t="shared" si="97"/>
        <v>512.59770187346533</v>
      </c>
      <c r="AN233" s="20">
        <f>IFERROR(AD233+AJ233-AA233-Z233-AK233-AM233-Forudsætninger!$C$75,-99999999)</f>
        <v>1101.8788867946832</v>
      </c>
      <c r="AO233" s="19">
        <f>IFERROR(AN233/(A233+Forudsætninger!$C$74),-99999999)</f>
        <v>4.7700384709726551</v>
      </c>
      <c r="AP233" s="19">
        <f>IFERROR(((365/(A233+Forudsætninger!$C$74))*AN233)/(AI233+Forudsætninger!$C$73),-9999999)</f>
        <v>560.92075937582558</v>
      </c>
      <c r="AQ233" s="18">
        <f t="shared" si="88"/>
        <v>231</v>
      </c>
      <c r="AR233" s="18">
        <f t="shared" si="98"/>
        <v>5860.2168182200157</v>
      </c>
      <c r="AS233" s="52">
        <f t="shared" si="79"/>
        <v>8.9</v>
      </c>
      <c r="AT233" s="50">
        <f t="shared" si="101"/>
        <v>12.27620880225777</v>
      </c>
      <c r="AU233" s="50">
        <f t="shared" si="102"/>
        <v>3.2635523179500581E-2</v>
      </c>
      <c r="AV233" s="2">
        <f t="shared" si="103"/>
        <v>2.7383348604057574</v>
      </c>
      <c r="AW233" s="61">
        <f t="shared" si="99"/>
        <v>6.989076141420556</v>
      </c>
      <c r="BA233" s="16"/>
      <c r="BB233" s="2"/>
    </row>
    <row r="234" spans="1:54" x14ac:dyDescent="0.25">
      <c r="A234">
        <v>232</v>
      </c>
      <c r="B234" s="1">
        <f>ROUND((A234+Forudsætninger!$C$60)/30.4,1)</f>
        <v>8.9</v>
      </c>
      <c r="C234" s="1">
        <f>VLOOKUP((A234+Forudsætninger!$C$60),'Model tilvækst, slagteform, fe'!A:B,2,FALSE)</f>
        <v>398.44252432053759</v>
      </c>
      <c r="D234" s="3">
        <f t="shared" si="89"/>
        <v>1374.1936507672108</v>
      </c>
      <c r="E234" s="1">
        <f>(1+Forudsætninger!$C$78)*C234</f>
        <v>370.5515476180999</v>
      </c>
      <c r="F234" s="2">
        <f t="shared" si="90"/>
        <v>0</v>
      </c>
      <c r="G234" s="1">
        <f t="shared" si="80"/>
        <v>370.5515476180999</v>
      </c>
      <c r="H234" s="3">
        <f t="shared" si="81"/>
        <v>1278.0000952134856</v>
      </c>
      <c r="I234" s="3">
        <f t="shared" si="82"/>
        <v>1299.7911535262926</v>
      </c>
      <c r="J234" s="1">
        <f>VLOOKUP((A234+Forudsætninger!$C$60),'Model tilvækst, slagteform, fe'!G:K,2,FALSE)*(1+Forudsætninger!$C$79)</f>
        <v>50.607267312104334</v>
      </c>
      <c r="K234" s="17">
        <f t="shared" si="78"/>
        <v>187.52601223223138</v>
      </c>
      <c r="L234" s="17">
        <f t="shared" si="91"/>
        <v>683.21908430453959</v>
      </c>
      <c r="M234" s="3">
        <f>((K234-(('Model tilvækst, slagteform, fe'!$H$9/100)*'Model tilvækst, slagteform, fe'!$B$9))*1000/(A234+Forudsætninger!$C$60))</f>
        <v>616.52807455285063</v>
      </c>
      <c r="N234" s="17">
        <f t="shared" si="92"/>
        <v>1251.0379288523006</v>
      </c>
      <c r="O234" s="19">
        <f>IF( A234&lt;Forudsætninger!$C$14,(G234/100)*Forudsætninger!$C$13,(Forudsætninger!$C$15/1000)*Forudsætninger!$C$13)</f>
        <v>2.4085850595176495</v>
      </c>
      <c r="P234" s="17" cm="1">
        <f t="array" ref="P234">INDEX('Model tilvækst, slagteform, fe'!$N$9:$N$375,MATCH(MIN(ABS('Model tilvækst, slagteform, fe'!$M$9:$M$375-'Vækstfunktion, hol'!G234)),ABS('Model tilvækst, slagteform, fe'!$M$9:$M$375-'Vækstfunktion, hol'!G234),0))*(1+Forudsætninger!$C$80)</f>
        <v>7.4816909750020431</v>
      </c>
      <c r="Q234" s="17">
        <f t="shared" si="93"/>
        <v>10.950646940165297</v>
      </c>
      <c r="R234" s="17">
        <f t="shared" si="94"/>
        <v>8.0501109047699106</v>
      </c>
      <c r="S234" s="17">
        <f t="shared" si="83"/>
        <v>4.1486702314546839</v>
      </c>
      <c r="T234" s="19">
        <f>(P234)*IF(N234&lt;Forudsætninger!$B$228,IF(N234&lt;Forudsætninger!$B$227,Forudsætninger!$B$225,Forudsætninger!$C$9),Forudsætninger!$C$11)+O234</f>
        <v>19.915741941022429</v>
      </c>
      <c r="U234" s="2">
        <f>Forudsætninger!$C$68+((K234-(Forudsætninger!$C$84)))*0.01</f>
        <v>3.572312981310954</v>
      </c>
      <c r="V234" s="2">
        <f>U234+Forudsætninger!$C$69</f>
        <v>2.572312981310954</v>
      </c>
      <c r="W234">
        <f t="shared" si="84"/>
        <v>1</v>
      </c>
      <c r="X234">
        <f>IF(A234+Forudsætninger!$C$60&gt;248,IF(A234+Forudsætninger!$C$60&lt;365,IF(K234&gt;180,IF(K234&lt;260,1,0),0),0),0)</f>
        <v>1</v>
      </c>
      <c r="Y234" s="22">
        <f>IF(X234=0,0,IF('Vækstfunktion, hol'!A234&lt;Forudsætninger!$C$66,Forudsætninger!$C$67+(('Vækstfunktion, hol'!A234-Forudsætninger!$C$66)/7)*Forudsætninger!$C$64,Forudsætninger!$C$67))</f>
        <v>0.87371428571428567</v>
      </c>
      <c r="Z234" s="19">
        <f t="shared" si="95"/>
        <v>3767.5348582875731</v>
      </c>
      <c r="AA234" s="19">
        <f>Forudsætninger!$C$62+Forudsætninger!$C$16</f>
        <v>1350</v>
      </c>
      <c r="AB234" s="19">
        <f>IF(K234&gt;Forudsætninger!$C$26,IF(K234&gt;Forudsætninger!$C$27,IF(K234&gt;Forudsætninger!$C$28,Forudsætninger!$E$28,Forudsætninger!$E$27+Forudsætninger!$F$28*(K234-Forudsætninger!$C$27)),Forudsætninger!$E$26+Forudsætninger!$F$27*(K234-Forudsætninger!$C$26)),Forudsætninger!$E$26)+IF(K234&gt;Forudsætninger!$C$28,Forudsætninger!$G$28,IF(K234&gt;Forudsætninger!$C$27,Forudsætninger!$G$27+Forudsætninger!$H$28*(K234-Forudsætninger!$C$27),IF(K234&gt;Forudsætninger!$C$26,Forudsætninger!$G$26+Forudsætninger!$H$27*(K234-Forudsætninger!$C$26),Forudsætninger!$G$26)))*(U234-Forudsætninger!$H$26)</f>
        <v>34.305188517831702</v>
      </c>
      <c r="AC234" s="19">
        <f>IF(K234&gt;Forudsætninger!$C$31,IF(K234&gt;Forudsætninger!$C$32,IF(K234&gt;Forudsætninger!$C$33,Forudsætninger!$E$33,Forudsætninger!$E$32+Forudsætninger!$F$33*(K234-Forudsætninger!$C$32)),Forudsætninger!$E$31+Forudsætninger!$F$32*(K234-Forudsætninger!$C$31)),Forudsætninger!$E$31)+IF(K234&gt;Forudsætninger!$C$33,Forudsætninger!$G$33,IF(K234&gt;Forudsætninger!$C$32,Forudsætninger!$G$32+Forudsætninger!$H$33*(K234-Forudsætninger!$C$32),IF(K234&gt;Forudsætninger!$C$31,Forudsætninger!$G$31+Forudsætninger!$H$32*(K234-Forudsætninger!$C$31),Forudsætninger!$G$31)))*(V234-Forudsætninger!$H$31)</f>
        <v>27.74400687570424</v>
      </c>
      <c r="AD234" s="19">
        <f t="shared" si="85"/>
        <v>6277.7342401482738</v>
      </c>
      <c r="AE234" s="19">
        <f t="shared" si="86"/>
        <v>33.476605007597321</v>
      </c>
      <c r="AF234">
        <f>IF(G234&lt;=Forudsætninger!$C$97,Forudsætninger!$C$98,(IF(G234&lt;=Forudsætninger!$D$97,Forudsætninger!$D$98,IF(G234&lt;=Forudsætninger!$E$97,Forudsætninger!$E$98,IF(G234&lt;=Forudsætninger!$F$97,Forudsætninger!$F$98,IF(G234&lt;=Forudsætninger!$G$97,Forudsætninger!$G$98,IF(G234&lt;=Forudsætninger!$H$97,Forudsætninger!$H$98,IF(G234&lt;=Forudsætninger!$I$97,Forudsætninger!$I$98,Forudsætninger!$I$98))))))))</f>
        <v>3.8</v>
      </c>
      <c r="AG234" s="1">
        <f t="shared" si="96"/>
        <v>4.4000000000000004</v>
      </c>
      <c r="AH234" s="1">
        <f t="shared" si="100"/>
        <v>695.99999999999761</v>
      </c>
      <c r="AI234" s="1">
        <f t="shared" si="87"/>
        <v>2.9999999999999898</v>
      </c>
      <c r="AJ234" s="20">
        <f>+(W234*Forudsætninger!$C$12)</f>
        <v>900</v>
      </c>
      <c r="AK234" s="20">
        <f>Forudsætninger!$C$17</f>
        <v>250</v>
      </c>
      <c r="AL234" s="20">
        <f>IF(A234&lt;92,Forudsætninger!$C$20,Forudsætninger!$C$21)</f>
        <v>1.0566762728146013</v>
      </c>
      <c r="AM234" s="20">
        <f t="shared" si="97"/>
        <v>513.6543781462799</v>
      </c>
      <c r="AN234" s="20">
        <f>IFERROR(AD234+AJ234-AA234-Z234-AK234-AM234-Forudsætninger!$C$75,-99999999)</f>
        <v>1114.1508111650262</v>
      </c>
      <c r="AO234" s="19">
        <f>IFERROR(AN234/(A234+Forudsætninger!$C$74),-99999999)</f>
        <v>4.8023741860561477</v>
      </c>
      <c r="AP234" s="19">
        <f>IFERROR(((365/(A234+Forudsætninger!$C$74))*AN234)/(AI234+Forudsætninger!$C$73),-9999999)</f>
        <v>563.62269386189701</v>
      </c>
      <c r="AQ234" s="18">
        <f t="shared" si="88"/>
        <v>232</v>
      </c>
      <c r="AR234" s="18">
        <f t="shared" si="98"/>
        <v>5881.1892364338528</v>
      </c>
      <c r="AS234" s="52">
        <f t="shared" si="79"/>
        <v>8.9</v>
      </c>
      <c r="AT234" s="50">
        <f t="shared" si="101"/>
        <v>12.271924370342958</v>
      </c>
      <c r="AU234" s="50">
        <f t="shared" si="102"/>
        <v>3.2335715083492644E-2</v>
      </c>
      <c r="AV234" s="2">
        <f t="shared" si="103"/>
        <v>2.7019344860714227</v>
      </c>
      <c r="AW234" s="61">
        <f t="shared" si="99"/>
        <v>7.0164016780659741</v>
      </c>
      <c r="BA234" s="16"/>
      <c r="BB234" s="2"/>
    </row>
    <row r="235" spans="1:54" x14ac:dyDescent="0.25">
      <c r="A235">
        <v>233</v>
      </c>
      <c r="B235" s="1">
        <f>ROUND((A235+Forudsætninger!$C$60)/30.4,1)</f>
        <v>8.9</v>
      </c>
      <c r="C235" s="1">
        <f>VLOOKUP((A235+Forudsætninger!$C$60),'Model tilvækst, slagteform, fe'!A:B,2,FALSE)</f>
        <v>399.81259646460461</v>
      </c>
      <c r="D235" s="3">
        <f t="shared" si="89"/>
        <v>1370.0721440670236</v>
      </c>
      <c r="E235" s="1">
        <f>(1+Forudsætninger!$C$78)*C235</f>
        <v>371.82571471208229</v>
      </c>
      <c r="F235" s="2">
        <f t="shared" si="90"/>
        <v>0</v>
      </c>
      <c r="G235" s="1">
        <f t="shared" si="80"/>
        <v>371.82571471208229</v>
      </c>
      <c r="H235" s="3">
        <f t="shared" si="81"/>
        <v>1274.1670939823848</v>
      </c>
      <c r="I235" s="3">
        <f t="shared" si="82"/>
        <v>1299.6811790218123</v>
      </c>
      <c r="J235" s="1">
        <f>VLOOKUP((A235+Forudsætninger!$C$60),'Model tilvækst, slagteform, fe'!G:K,2,FALSE)*(1+Forudsætninger!$C$79)</f>
        <v>50.617021274435459</v>
      </c>
      <c r="K235" s="17">
        <f t="shared" si="78"/>
        <v>188.20710111963638</v>
      </c>
      <c r="L235" s="17">
        <f t="shared" si="91"/>
        <v>681.08888740499651</v>
      </c>
      <c r="M235" s="3">
        <f>((K235-(('Model tilvækst, slagteform, fe'!$H$9/100)*'Model tilvækst, slagteform, fe'!$B$9))*1000/(A235+Forudsætninger!$C$60))</f>
        <v>616.76543048245401</v>
      </c>
      <c r="N235" s="17">
        <f t="shared" si="92"/>
        <v>1258.5277412696635</v>
      </c>
      <c r="O235" s="19">
        <f>IF( A235&lt;Forudsætninger!$C$14,(G235/100)*Forudsætninger!$C$13,(Forudsætninger!$C$15/1000)*Forudsætninger!$C$13)</f>
        <v>2.4168671456285349</v>
      </c>
      <c r="P235" s="17" cm="1">
        <f t="array" ref="P235">INDEX('Model tilvækst, slagteform, fe'!$N$9:$N$375,MATCH(MIN(ABS('Model tilvækst, slagteform, fe'!$M$9:$M$375-'Vækstfunktion, hol'!G235)),ABS('Model tilvækst, slagteform, fe'!$M$9:$M$375-'Vækstfunktion, hol'!G235),0))*(1+Forudsætninger!$C$80)</f>
        <v>7.4898124173627636</v>
      </c>
      <c r="Q235" s="17">
        <f t="shared" si="93"/>
        <v>10.996820761383367</v>
      </c>
      <c r="R235" s="17">
        <f t="shared" si="94"/>
        <v>8.0629689030124911</v>
      </c>
      <c r="S235" s="17">
        <f t="shared" si="83"/>
        <v>4.1559473985431996</v>
      </c>
      <c r="T235" s="19">
        <f>(P235)*IF(N235&lt;Forudsætninger!$B$228,IF(N235&lt;Forudsætninger!$B$227,Forudsætninger!$B$225,Forudsætninger!$C$9),Forudsætninger!$C$11)+O235</f>
        <v>19.943028202257402</v>
      </c>
      <c r="U235" s="2">
        <f>Forudsætninger!$C$68+((K235-(Forudsætninger!$C$84)))*0.01</f>
        <v>3.5791238701850041</v>
      </c>
      <c r="V235" s="2">
        <f>U235+Forudsætninger!$C$69</f>
        <v>2.5791238701850041</v>
      </c>
      <c r="W235">
        <f t="shared" si="84"/>
        <v>1</v>
      </c>
      <c r="X235">
        <f>IF(A235+Forudsætninger!$C$60&gt;248,IF(A235+Forudsætninger!$C$60&lt;365,IF(K235&gt;180,IF(K235&lt;260,1,0),0),0),0)</f>
        <v>1</v>
      </c>
      <c r="Y235" s="22">
        <f>IF(X235=0,0,IF('Vækstfunktion, hol'!A235&lt;Forudsætninger!$C$66,Forudsætninger!$C$67+(('Vækstfunktion, hol'!A235-Forudsætninger!$C$66)/7)*Forudsætninger!$C$64,Forudsætninger!$C$67))</f>
        <v>0.87799999999999989</v>
      </c>
      <c r="Z235" s="19">
        <f t="shared" si="95"/>
        <v>3787.4778864898303</v>
      </c>
      <c r="AA235" s="19">
        <f>Forudsætninger!$C$62+Forudsætninger!$C$16</f>
        <v>1350</v>
      </c>
      <c r="AB235" s="19">
        <f>IF(K235&gt;Forudsætninger!$C$26,IF(K235&gt;Forudsætninger!$C$27,IF(K235&gt;Forudsætninger!$C$28,Forudsætninger!$E$28,Forudsætninger!$E$27+Forudsætninger!$F$28*(K235-Forudsætninger!$C$27)),Forudsætninger!$E$26+Forudsætninger!$F$27*(K235-Forudsætninger!$C$26)),Forudsætninger!$E$26)+IF(K235&gt;Forudsætninger!$C$28,Forudsætninger!$G$28,IF(K235&gt;Forudsætninger!$C$27,Forudsætninger!$G$27+Forudsætninger!$H$28*(K235-Forudsætninger!$C$27),IF(K235&gt;Forudsætninger!$C$26,Forudsætninger!$G$26+Forudsætninger!$H$27*(K235-Forudsætninger!$C$26),Forudsætninger!$G$26)))*(U235-Forudsætninger!$H$26)</f>
        <v>34.33526994369209</v>
      </c>
      <c r="AC235" s="19">
        <f>IF(K235&gt;Forudsætninger!$C$31,IF(K235&gt;Forudsætninger!$C$32,IF(K235&gt;Forudsætninger!$C$33,Forudsætninger!$E$33,Forudsætninger!$E$32+Forudsætninger!$F$33*(K235-Forudsætninger!$C$32)),Forudsætninger!$E$31+Forudsætninger!$F$32*(K235-Forudsætninger!$C$31)),Forudsætninger!$E$31)+IF(K235&gt;Forudsætninger!$C$33,Forudsætninger!$G$33,IF(K235&gt;Forudsætninger!$C$32,Forudsætninger!$G$32+Forudsætninger!$H$33*(K235-Forudsætninger!$C$32),IF(K235&gt;Forudsætninger!$C$31,Forudsætninger!$G$31+Forudsætninger!$H$32*(K235-Forudsætninger!$C$31),Forudsætninger!$G$31)))*(V235-Forudsætninger!$H$31)</f>
        <v>27.752861031240506</v>
      </c>
      <c r="AD235" s="19">
        <f t="shared" si="85"/>
        <v>6311.0011780872865</v>
      </c>
      <c r="AE235" s="19">
        <f t="shared" si="86"/>
        <v>33.532216056372995</v>
      </c>
      <c r="AF235">
        <f>IF(G235&lt;=Forudsætninger!$C$97,Forudsætninger!$C$98,(IF(G235&lt;=Forudsætninger!$D$97,Forudsætninger!$D$98,IF(G235&lt;=Forudsætninger!$E$97,Forudsætninger!$E$98,IF(G235&lt;=Forudsætninger!$F$97,Forudsætninger!$F$98,IF(G235&lt;=Forudsætninger!$G$97,Forudsætninger!$G$98,IF(G235&lt;=Forudsætninger!$H$97,Forudsætninger!$H$98,IF(G235&lt;=Forudsætninger!$I$97,Forudsætninger!$I$98,Forudsætninger!$I$98))))))))</f>
        <v>3.8</v>
      </c>
      <c r="AG235" s="1">
        <f t="shared" si="96"/>
        <v>4.4000000000000004</v>
      </c>
      <c r="AH235" s="1">
        <f t="shared" si="100"/>
        <v>700.39999999999759</v>
      </c>
      <c r="AI235" s="1">
        <f t="shared" si="87"/>
        <v>3.0060085836909769</v>
      </c>
      <c r="AJ235" s="20">
        <f>+(W235*Forudsætninger!$C$12)</f>
        <v>900</v>
      </c>
      <c r="AK235" s="20">
        <f>Forudsætninger!$C$17</f>
        <v>250</v>
      </c>
      <c r="AL235" s="20">
        <f>IF(A235&lt;92,Forudsætninger!$C$20,Forudsætninger!$C$21)</f>
        <v>1.0566762728146013</v>
      </c>
      <c r="AM235" s="20">
        <f t="shared" si="97"/>
        <v>514.71105441909447</v>
      </c>
      <c r="AN235" s="20">
        <f>IFERROR(AD235+AJ235-AA235-Z235-AK235-AM235-Forudsætninger!$C$75,-99999999)</f>
        <v>1126.418044628967</v>
      </c>
      <c r="AO235" s="19">
        <f>IFERROR(AN235/(A235+Forudsætninger!$C$74),-99999999)</f>
        <v>4.834412208708013</v>
      </c>
      <c r="AP235" s="19">
        <f>IFERROR(((365/(A235+Forudsætninger!$C$74))*AN235)/(AI235+Forudsætninger!$C$73),-9999999)</f>
        <v>566.28870196765183</v>
      </c>
      <c r="AQ235" s="18">
        <f t="shared" si="88"/>
        <v>233</v>
      </c>
      <c r="AR235" s="18">
        <f t="shared" si="98"/>
        <v>5902.1889409089254</v>
      </c>
      <c r="AS235" s="52">
        <f t="shared" si="79"/>
        <v>8.9</v>
      </c>
      <c r="AT235" s="50">
        <f t="shared" si="101"/>
        <v>12.267233463940784</v>
      </c>
      <c r="AU235" s="50">
        <f t="shared" si="102"/>
        <v>3.2038022651865283E-2</v>
      </c>
      <c r="AV235" s="2">
        <f t="shared" si="103"/>
        <v>2.6660081057548268</v>
      </c>
      <c r="AW235" s="61">
        <f t="shared" si="99"/>
        <v>7.0434725281032682</v>
      </c>
      <c r="BA235" s="16"/>
      <c r="BB235" s="2"/>
    </row>
    <row r="236" spans="1:54" x14ac:dyDescent="0.25">
      <c r="A236">
        <v>234</v>
      </c>
      <c r="B236" s="1">
        <f>ROUND((A236+Forudsætninger!$C$60)/30.4,1)</f>
        <v>9</v>
      </c>
      <c r="C236" s="1">
        <f>VLOOKUP((A236+Forudsætninger!$C$60),'Model tilvækst, slagteform, fe'!A:B,2,FALSE)</f>
        <v>401.17853226434192</v>
      </c>
      <c r="D236" s="3">
        <f t="shared" si="89"/>
        <v>1365.9357997373149</v>
      </c>
      <c r="E236" s="1">
        <f>(1+Forudsætninger!$C$78)*C236</f>
        <v>373.09603500583796</v>
      </c>
      <c r="F236" s="2">
        <f t="shared" si="90"/>
        <v>0</v>
      </c>
      <c r="G236" s="1">
        <f t="shared" si="80"/>
        <v>373.09603500583796</v>
      </c>
      <c r="H236" s="3">
        <f t="shared" si="81"/>
        <v>1270.3202937556739</v>
      </c>
      <c r="I236" s="3">
        <f t="shared" si="82"/>
        <v>1299.5557051531537</v>
      </c>
      <c r="J236" s="1">
        <f>VLOOKUP((A236+Forudsætninger!$C$60),'Model tilvækst, slagteform, fe'!G:K,2,FALSE)*(1+Forudsætninger!$C$79)</f>
        <v>50.626660206816005</v>
      </c>
      <c r="K236" s="17">
        <f t="shared" si="78"/>
        <v>188.8860618875089</v>
      </c>
      <c r="L236" s="17">
        <f t="shared" si="91"/>
        <v>678.96076787252468</v>
      </c>
      <c r="M236" s="3">
        <f>((K236-(('Model tilvækst, slagteform, fe'!$H$9/100)*'Model tilvækst, slagteform, fe'!$B$9))*1000/(A236+Forudsætninger!$C$60))</f>
        <v>616.99325223113567</v>
      </c>
      <c r="N236" s="17">
        <f t="shared" si="92"/>
        <v>1266.0257541345813</v>
      </c>
      <c r="O236" s="19">
        <f>IF( A236&lt;Forudsætninger!$C$14,(G236/100)*Forudsætninger!$C$13,(Forudsætninger!$C$15/1000)*Forudsætninger!$C$13)</f>
        <v>2.425124227537947</v>
      </c>
      <c r="P236" s="17" cm="1">
        <f t="array" ref="P236">INDEX('Model tilvækst, slagteform, fe'!$N$9:$N$375,MATCH(MIN(ABS('Model tilvækst, slagteform, fe'!$M$9:$M$375-'Vækstfunktion, hol'!G236)),ABS('Model tilvækst, slagteform, fe'!$M$9:$M$375-'Vækstfunktion, hol'!G236),0))*(1+Forudsætninger!$C$80)</f>
        <v>7.498012864917885</v>
      </c>
      <c r="Q236" s="17">
        <f t="shared" si="93"/>
        <v>11.043366892040575</v>
      </c>
      <c r="R236" s="17">
        <f t="shared" si="94"/>
        <v>8.0758771154320375</v>
      </c>
      <c r="S236" s="17">
        <f t="shared" si="83"/>
        <v>4.1632432139744155</v>
      </c>
      <c r="T236" s="19">
        <f>(P236)*IF(N236&lt;Forudsætninger!$B$228,IF(N236&lt;Forudsætninger!$B$227,Forudsætninger!$B$225,Forudsætninger!$C$9),Forudsætninger!$C$11)+O236</f>
        <v>19.970474331445796</v>
      </c>
      <c r="U236" s="2">
        <f>Forudsætninger!$C$68+((K236-(Forudsætninger!$C$84)))*0.01</f>
        <v>3.5859134778637292</v>
      </c>
      <c r="V236" s="2">
        <f>U236+Forudsætninger!$C$69</f>
        <v>2.5859134778637292</v>
      </c>
      <c r="W236">
        <f t="shared" si="84"/>
        <v>1</v>
      </c>
      <c r="X236">
        <f>IF(A236+Forudsætninger!$C$60&gt;248,IF(A236+Forudsætninger!$C$60&lt;365,IF(K236&gt;180,IF(K236&lt;260,1,0),0),0),0)</f>
        <v>1</v>
      </c>
      <c r="Y236" s="22">
        <f>IF(X236=0,0,IF('Vækstfunktion, hol'!A236&lt;Forudsætninger!$C$66,Forudsætninger!$C$67+(('Vækstfunktion, hol'!A236-Forudsætninger!$C$66)/7)*Forudsætninger!$C$64,Forudsætninger!$C$67))</f>
        <v>0.88228571428571423</v>
      </c>
      <c r="Z236" s="19">
        <f t="shared" si="95"/>
        <v>3807.4483608212763</v>
      </c>
      <c r="AA236" s="19">
        <f>Forudsætninger!$C$62+Forudsætninger!$C$16</f>
        <v>1350</v>
      </c>
      <c r="AB236" s="19">
        <f>IF(K236&gt;Forudsætninger!$C$26,IF(K236&gt;Forudsætninger!$C$27,IF(K236&gt;Forudsætninger!$C$28,Forudsætninger!$E$28,Forudsætninger!$E$27+Forudsætninger!$F$28*(K236-Forudsætninger!$C$27)),Forudsætninger!$E$26+Forudsætninger!$F$27*(K236-Forudsætninger!$C$26)),Forudsætninger!$E$26)+IF(K236&gt;Forudsætninger!$C$28,Forudsætninger!$G$28,IF(K236&gt;Forudsætninger!$C$27,Forudsætninger!$G$27+Forudsætninger!$H$28*(K236-Forudsætninger!$C$27),IF(K236&gt;Forudsætninger!$C$26,Forudsætninger!$G$26+Forudsætninger!$H$27*(K236-Forudsætninger!$C$26),Forudsætninger!$G$26)))*(U236-Forudsætninger!$H$26)</f>
        <v>34.365257377606454</v>
      </c>
      <c r="AC236" s="19">
        <f>IF(K236&gt;Forudsætninger!$C$31,IF(K236&gt;Forudsætninger!$C$32,IF(K236&gt;Forudsætninger!$C$33,Forudsætninger!$E$33,Forudsætninger!$E$32+Forudsætninger!$F$33*(K236-Forudsætninger!$C$32)),Forudsætninger!$E$31+Forudsætninger!$F$32*(K236-Forudsætninger!$C$31)),Forudsætninger!$E$31)+IF(K236&gt;Forudsætninger!$C$33,Forudsætninger!$G$33,IF(K236&gt;Forudsætninger!$C$32,Forudsætninger!$G$32+Forudsætninger!$H$33*(K236-Forudsætninger!$C$32),IF(K236&gt;Forudsætninger!$C$31,Forudsætninger!$G$31+Forudsætninger!$H$32*(K236-Forudsætninger!$C$31),Forudsætninger!$G$31)))*(V236-Forudsætninger!$H$31)</f>
        <v>27.76168752122285</v>
      </c>
      <c r="AD236" s="19">
        <f t="shared" si="85"/>
        <v>6344.29047766863</v>
      </c>
      <c r="AE236" s="19">
        <f t="shared" si="86"/>
        <v>33.587922868797868</v>
      </c>
      <c r="AF236">
        <f>IF(G236&lt;=Forudsætninger!$C$97,Forudsætninger!$C$98,(IF(G236&lt;=Forudsætninger!$D$97,Forudsætninger!$D$98,IF(G236&lt;=Forudsætninger!$E$97,Forudsætninger!$E$98,IF(G236&lt;=Forudsætninger!$F$97,Forudsætninger!$F$98,IF(G236&lt;=Forudsætninger!$G$97,Forudsætninger!$G$98,IF(G236&lt;=Forudsætninger!$H$97,Forudsætninger!$H$98,IF(G236&lt;=Forudsætninger!$I$97,Forudsætninger!$I$98,Forudsætninger!$I$98))))))))</f>
        <v>3.8</v>
      </c>
      <c r="AG236" s="1">
        <f t="shared" si="96"/>
        <v>4.4000000000000004</v>
      </c>
      <c r="AH236" s="1">
        <f t="shared" si="100"/>
        <v>704.79999999999757</v>
      </c>
      <c r="AI236" s="1">
        <f t="shared" si="87"/>
        <v>3.0119658119658017</v>
      </c>
      <c r="AJ236" s="20">
        <f>+(W236*Forudsætninger!$C$12)</f>
        <v>900</v>
      </c>
      <c r="AK236" s="20">
        <f>Forudsætninger!$C$17</f>
        <v>250</v>
      </c>
      <c r="AL236" s="20">
        <f>IF(A236&lt;92,Forudsætninger!$C$20,Forudsætninger!$C$21)</f>
        <v>1.0566762728146013</v>
      </c>
      <c r="AM236" s="20">
        <f t="shared" si="97"/>
        <v>515.76773069190904</v>
      </c>
      <c r="AN236" s="20">
        <f>IFERROR(AD236+AJ236-AA236-Z236-AK236-AM236-Forudsætninger!$C$75,-99999999)</f>
        <v>1138.6801936060501</v>
      </c>
      <c r="AO236" s="19">
        <f>IFERROR(AN236/(A236+Forudsætninger!$C$74),-99999999)</f>
        <v>4.8661546735301284</v>
      </c>
      <c r="AP236" s="19">
        <f>IFERROR(((365/(A236+Forudsætninger!$C$74))*AN236)/(AI236+Forudsætninger!$C$73),-9999999)</f>
        <v>568.91925242452123</v>
      </c>
      <c r="AQ236" s="18">
        <f t="shared" si="88"/>
        <v>234</v>
      </c>
      <c r="AR236" s="18">
        <f t="shared" si="98"/>
        <v>5923.2160915131844</v>
      </c>
      <c r="AS236" s="52">
        <f t="shared" si="79"/>
        <v>9</v>
      </c>
      <c r="AT236" s="50">
        <f t="shared" si="101"/>
        <v>12.262148977083143</v>
      </c>
      <c r="AU236" s="50">
        <f t="shared" si="102"/>
        <v>3.1742464822115402E-2</v>
      </c>
      <c r="AV236" s="2">
        <f t="shared" si="103"/>
        <v>2.6305504568694005</v>
      </c>
      <c r="AW236" s="61">
        <f t="shared" si="99"/>
        <v>7.0702902747776033</v>
      </c>
      <c r="BA236" s="16"/>
      <c r="BB236" s="2"/>
    </row>
    <row r="237" spans="1:54" x14ac:dyDescent="0.25">
      <c r="A237">
        <v>235</v>
      </c>
      <c r="B237" s="1">
        <f>ROUND((A237+Forudsætninger!$C$60)/30.4,1)</f>
        <v>9</v>
      </c>
      <c r="C237" s="1">
        <f>VLOOKUP((A237+Forudsætninger!$C$60),'Model tilvækst, slagteform, fe'!A:B,2,FALSE)</f>
        <v>402.54031741646827</v>
      </c>
      <c r="D237" s="3">
        <f t="shared" si="89"/>
        <v>1361.7851521263447</v>
      </c>
      <c r="E237" s="1">
        <f>(1+Forudsætninger!$C$78)*C237</f>
        <v>374.36249519731547</v>
      </c>
      <c r="F237" s="2">
        <f t="shared" si="90"/>
        <v>0</v>
      </c>
      <c r="G237" s="1">
        <f t="shared" si="80"/>
        <v>374.36249519731547</v>
      </c>
      <c r="H237" s="3">
        <f t="shared" si="81"/>
        <v>1266.4601914775062</v>
      </c>
      <c r="I237" s="3">
        <f t="shared" si="82"/>
        <v>1299.4148731800658</v>
      </c>
      <c r="J237" s="1">
        <f>VLOOKUP((A237+Forudsætninger!$C$60),'Model tilvækst, slagteform, fe'!G:K,2,FALSE)*(1+Forudsætninger!$C$79)</f>
        <v>50.636188058071319</v>
      </c>
      <c r="K237" s="17">
        <f t="shared" si="78"/>
        <v>189.56289708700086</v>
      </c>
      <c r="L237" s="17">
        <f t="shared" si="91"/>
        <v>676.83519949196125</v>
      </c>
      <c r="M237" s="3">
        <f>((K237-(('Model tilvækst, slagteform, fe'!$H$9/100)*'Model tilvækst, slagteform, fe'!$B$9))*1000/(A237+Forudsætninger!$C$60))</f>
        <v>617.21165349851094</v>
      </c>
      <c r="N237" s="17">
        <f t="shared" si="92"/>
        <v>1273.5320481226822</v>
      </c>
      <c r="O237" s="19">
        <f>IF( A237&lt;Forudsætninger!$C$14,(G237/100)*Forudsætninger!$C$13,(Forudsætninger!$C$15/1000)*Forudsætninger!$C$13)</f>
        <v>2.4333562187825506</v>
      </c>
      <c r="P237" s="17" cm="1">
        <f t="array" ref="P237">INDEX('Model tilvækst, slagteform, fe'!$N$9:$N$375,MATCH(MIN(ABS('Model tilvækst, slagteform, fe'!$M$9:$M$375-'Vækstfunktion, hol'!G237)),ABS('Model tilvækst, slagteform, fe'!$M$9:$M$375-'Vækstfunktion, hol'!G237),0))*(1+Forudsætninger!$C$80)</f>
        <v>7.5062939881008139</v>
      </c>
      <c r="Q237" s="17">
        <f t="shared" si="93"/>
        <v>11.090283120226472</v>
      </c>
      <c r="R237" s="17">
        <f t="shared" si="94"/>
        <v>8.0888357971686418</v>
      </c>
      <c r="S237" s="17">
        <f t="shared" si="83"/>
        <v>4.1705581666136391</v>
      </c>
      <c r="T237" s="19">
        <f>(P237)*IF(N237&lt;Forudsætninger!$B$228,IF(N237&lt;Forudsætninger!$B$227,Forudsætninger!$B$225,Forudsætninger!$C$9),Forudsætninger!$C$11)+O237</f>
        <v>19.998084150938453</v>
      </c>
      <c r="U237" s="2">
        <f>Forudsætninger!$C$68+((K237-(Forudsætninger!$C$84)))*0.01</f>
        <v>3.5926818298586491</v>
      </c>
      <c r="V237" s="2">
        <f>U237+Forudsætninger!$C$69</f>
        <v>2.5926818298586491</v>
      </c>
      <c r="W237">
        <f t="shared" si="84"/>
        <v>1</v>
      </c>
      <c r="X237">
        <f>IF(A237+Forudsætninger!$C$60&gt;248,IF(A237+Forudsætninger!$C$60&lt;365,IF(K237&gt;180,IF(K237&lt;260,1,0),0),0),0)</f>
        <v>1</v>
      </c>
      <c r="Y237" s="22">
        <f>IF(X237=0,0,IF('Vækstfunktion, hol'!A237&lt;Forudsætninger!$C$66,Forudsætninger!$C$67+(('Vækstfunktion, hol'!A237-Forudsætninger!$C$66)/7)*Forudsætninger!$C$64,Forudsætninger!$C$67))</f>
        <v>0.88657142857142845</v>
      </c>
      <c r="Z237" s="19">
        <f t="shared" si="95"/>
        <v>3827.446444972215</v>
      </c>
      <c r="AA237" s="19">
        <f>Forudsætninger!$C$62+Forudsætninger!$C$16</f>
        <v>1350</v>
      </c>
      <c r="AB237" s="19">
        <f>IF(K237&gt;Forudsætninger!$C$26,IF(K237&gt;Forudsætninger!$C$27,IF(K237&gt;Forudsætninger!$C$28,Forudsætninger!$E$28,Forudsætninger!$E$27+Forudsætninger!$F$28*(K237-Forudsætninger!$C$27)),Forudsætninger!$E$26+Forudsætninger!$F$27*(K237-Forudsætninger!$C$26)),Forudsætninger!$E$26)+IF(K237&gt;Forudsætninger!$C$28,Forudsætninger!$G$28,IF(K237&gt;Forudsætninger!$C$27,Forudsætninger!$G$27+Forudsætninger!$H$28*(K237-Forudsætninger!$C$27),IF(K237&gt;Forudsætninger!$C$26,Forudsætninger!$G$26+Forudsætninger!$H$27*(K237-Forudsætninger!$C$26),Forudsætninger!$G$26)))*(U237-Forudsætninger!$H$26)</f>
        <v>34.395150932250687</v>
      </c>
      <c r="AC237" s="19">
        <f>IF(K237&gt;Forudsætninger!$C$31,IF(K237&gt;Forudsætninger!$C$32,IF(K237&gt;Forudsætninger!$C$33,Forudsætninger!$E$33,Forudsætninger!$E$32+Forudsætninger!$F$33*(K237-Forudsætninger!$C$32)),Forudsætninger!$E$31+Forudsætninger!$F$32*(K237-Forudsætninger!$C$31)),Forudsætninger!$E$31)+IF(K237&gt;Forudsætninger!$C$33,Forudsætninger!$G$33,IF(K237&gt;Forudsætninger!$C$32,Forudsætninger!$G$32+Forudsætninger!$H$33*(K237-Forudsætninger!$C$32),IF(K237&gt;Forudsætninger!$C$31,Forudsætninger!$G$31+Forudsætninger!$H$32*(K237-Forudsætninger!$C$31),Forudsætninger!$G$31)))*(V237-Forudsætninger!$H$31)</f>
        <v>27.770486378816244</v>
      </c>
      <c r="AD237" s="19">
        <f t="shared" si="85"/>
        <v>6377.6019221259548</v>
      </c>
      <c r="AE237" s="19">
        <f t="shared" si="86"/>
        <v>33.643724695761122</v>
      </c>
      <c r="AF237">
        <f>IF(G237&lt;=Forudsætninger!$C$97,Forudsætninger!$C$98,(IF(G237&lt;=Forudsætninger!$D$97,Forudsætninger!$D$98,IF(G237&lt;=Forudsætninger!$E$97,Forudsætninger!$E$98,IF(G237&lt;=Forudsætninger!$F$97,Forudsætninger!$F$98,IF(G237&lt;=Forudsætninger!$G$97,Forudsætninger!$G$98,IF(G237&lt;=Forudsætninger!$H$97,Forudsætninger!$H$98,IF(G237&lt;=Forudsætninger!$I$97,Forudsætninger!$I$98,Forudsætninger!$I$98))))))))</f>
        <v>3.8</v>
      </c>
      <c r="AG237" s="1">
        <f t="shared" si="96"/>
        <v>4.4000000000000004</v>
      </c>
      <c r="AH237" s="1">
        <f t="shared" si="100"/>
        <v>709.19999999999754</v>
      </c>
      <c r="AI237" s="1">
        <f t="shared" si="87"/>
        <v>3.0178723404255217</v>
      </c>
      <c r="AJ237" s="20">
        <f>+(W237*Forudsætninger!$C$12)</f>
        <v>900</v>
      </c>
      <c r="AK237" s="20">
        <f>Forudsætninger!$C$17</f>
        <v>250</v>
      </c>
      <c r="AL237" s="20">
        <f>IF(A237&lt;92,Forudsætninger!$C$20,Forudsætninger!$C$21)</f>
        <v>1.0566762728146013</v>
      </c>
      <c r="AM237" s="20">
        <f t="shared" si="97"/>
        <v>516.82440696472361</v>
      </c>
      <c r="AN237" s="20">
        <f>IFERROR(AD237+AJ237-AA237-Z237-AK237-AM237-Forudsætninger!$C$75,-99999999)</f>
        <v>1150.9368776396218</v>
      </c>
      <c r="AO237" s="19">
        <f>IFERROR(AN237/(A237+Forudsætninger!$C$74),-99999999)</f>
        <v>4.8976037346366885</v>
      </c>
      <c r="AP237" s="19">
        <f>IFERROR(((365/(A237+Forudsætninger!$C$74))*AN237)/(AI237+Forudsætninger!$C$73),-9999999)</f>
        <v>571.51480897689044</v>
      </c>
      <c r="AQ237" s="18">
        <f t="shared" si="88"/>
        <v>235</v>
      </c>
      <c r="AR237" s="18">
        <f t="shared" si="98"/>
        <v>5944.270851936938</v>
      </c>
      <c r="AS237" s="52">
        <f t="shared" si="79"/>
        <v>9</v>
      </c>
      <c r="AT237" s="50">
        <f t="shared" si="101"/>
        <v>12.256684033571673</v>
      </c>
      <c r="AU237" s="50">
        <f t="shared" si="102"/>
        <v>3.1449061106560094E-2</v>
      </c>
      <c r="AV237" s="2">
        <f t="shared" si="103"/>
        <v>2.595556552369203</v>
      </c>
      <c r="AW237" s="61">
        <f t="shared" si="99"/>
        <v>7.096856530231257</v>
      </c>
      <c r="BA237" s="16"/>
      <c r="BB237" s="2"/>
    </row>
    <row r="238" spans="1:54" x14ac:dyDescent="0.25">
      <c r="A238">
        <v>236</v>
      </c>
      <c r="B238" s="1">
        <f>ROUND((A238+Forudsætninger!$C$60)/30.4,1)</f>
        <v>9</v>
      </c>
      <c r="C238" s="1">
        <f>VLOOKUP((A238+Forudsætninger!$C$60),'Model tilvækst, slagteform, fe'!A:B,2,FALSE)</f>
        <v>403.89793815204905</v>
      </c>
      <c r="D238" s="3">
        <f t="shared" si="89"/>
        <v>1357.620735580781</v>
      </c>
      <c r="E238" s="1">
        <f>(1+Forudsætninger!$C$78)*C238</f>
        <v>375.62508248140557</v>
      </c>
      <c r="F238" s="2">
        <f t="shared" si="90"/>
        <v>0</v>
      </c>
      <c r="G238" s="1">
        <f t="shared" si="80"/>
        <v>375.62508248140557</v>
      </c>
      <c r="H238" s="3">
        <f t="shared" si="81"/>
        <v>1262.5872840901025</v>
      </c>
      <c r="I238" s="3">
        <f t="shared" si="82"/>
        <v>1299.2588240737525</v>
      </c>
      <c r="J238" s="1">
        <f>VLOOKUP((A238+Forudsætninger!$C$60),'Model tilvækst, slagteform, fe'!G:K,2,FALSE)*(1+Forudsætninger!$C$79)</f>
        <v>50.645608777026744</v>
      </c>
      <c r="K238" s="17">
        <f t="shared" si="78"/>
        <v>190.23760974191669</v>
      </c>
      <c r="L238" s="17">
        <f t="shared" si="91"/>
        <v>674.71265491582244</v>
      </c>
      <c r="M238" s="3">
        <f>((K238-(('Model tilvækst, slagteform, fe'!$H$9/100)*'Model tilvækst, slagteform, fe'!$B$9))*1000/(A238+Forudsætninger!$C$60))</f>
        <v>617.42074804911931</v>
      </c>
      <c r="N238" s="17">
        <f t="shared" si="92"/>
        <v>1281.0467055800273</v>
      </c>
      <c r="O238" s="19">
        <f>IF( A238&lt;Forudsætninger!$C$14,(G238/100)*Forudsætninger!$C$13,(Forudsætninger!$C$15/1000)*Forudsætninger!$C$13)</f>
        <v>2.4415630361291365</v>
      </c>
      <c r="P238" s="17" cm="1">
        <f t="array" ref="P238">INDEX('Model tilvækst, slagteform, fe'!$N$9:$N$375,MATCH(MIN(ABS('Model tilvækst, slagteform, fe'!$M$9:$M$375-'Vækstfunktion, hol'!G238)),ABS('Model tilvækst, slagteform, fe'!$M$9:$M$375-'Vækstfunktion, hol'!G238),0))*(1+Forudsætninger!$C$80)</f>
        <v>7.5146574573449563</v>
      </c>
      <c r="Q238" s="17">
        <f t="shared" si="93"/>
        <v>11.13756708518012</v>
      </c>
      <c r="R238" s="17">
        <f t="shared" si="94"/>
        <v>8.1018451885690919</v>
      </c>
      <c r="S238" s="17">
        <f t="shared" si="83"/>
        <v>4.1778927386271887</v>
      </c>
      <c r="T238" s="19">
        <f>(P238)*IF(N238&lt;Forudsætninger!$B$228,IF(N238&lt;Forudsætninger!$B$227,Forudsætninger!$B$225,Forudsætninger!$C$9),Forudsætninger!$C$11)+O238</f>
        <v>20.025861486316334</v>
      </c>
      <c r="U238" s="2">
        <f>Forudsætninger!$C$68+((K238-(Forudsætninger!$C$84)))*0.01</f>
        <v>3.5994289564078072</v>
      </c>
      <c r="V238" s="2">
        <f>U238+Forudsætninger!$C$69</f>
        <v>2.5994289564078072</v>
      </c>
      <c r="W238">
        <f t="shared" si="84"/>
        <v>1</v>
      </c>
      <c r="X238">
        <f>IF(A238+Forudsætninger!$C$60&gt;248,IF(A238+Forudsætninger!$C$60&lt;365,IF(K238&gt;180,IF(K238&lt;260,1,0),0),0),0)</f>
        <v>1</v>
      </c>
      <c r="Y238" s="22">
        <f>IF(X238=0,0,IF('Vækstfunktion, hol'!A238&lt;Forudsætninger!$C$66,Forudsætninger!$C$67+(('Vækstfunktion, hol'!A238-Forudsætninger!$C$66)/7)*Forudsætninger!$C$64,Forudsætninger!$C$67))</f>
        <v>0.89085714285714279</v>
      </c>
      <c r="Z238" s="19">
        <f t="shared" si="95"/>
        <v>3847.4723064585314</v>
      </c>
      <c r="AA238" s="19">
        <f>Forudsætninger!$C$62+Forudsætninger!$C$16</f>
        <v>1350</v>
      </c>
      <c r="AB238" s="19">
        <f>IF(K238&gt;Forudsætninger!$C$26,IF(K238&gt;Forudsætninger!$C$27,IF(K238&gt;Forudsætninger!$C$28,Forudsætninger!$E$28,Forudsætninger!$E$27+Forudsætninger!$F$28*(K238-Forudsætninger!$C$27)),Forudsætninger!$E$26+Forudsætninger!$F$27*(K238-Forudsætninger!$C$26)),Forudsætninger!$E$26)+IF(K238&gt;Forudsætninger!$C$28,Forudsætninger!$G$28,IF(K238&gt;Forudsætninger!$C$27,Forudsætninger!$G$27+Forudsætninger!$H$28*(K238-Forudsætninger!$C$27),IF(K238&gt;Forudsætninger!$C$26,Forudsætninger!$G$26+Forudsætninger!$H$27*(K238-Forudsætninger!$C$26),Forudsætninger!$G$26)))*(U238-Forudsætninger!$H$26)</f>
        <v>34.42495074117614</v>
      </c>
      <c r="AC238" s="19">
        <f>IF(K238&gt;Forudsætninger!$C$31,IF(K238&gt;Forudsætninger!$C$32,IF(K238&gt;Forudsætninger!$C$33,Forudsætninger!$E$33,Forudsætninger!$E$32+Forudsætninger!$F$33*(K238-Forudsætninger!$C$32)),Forudsætninger!$E$31+Forudsætninger!$F$32*(K238-Forudsætninger!$C$31)),Forudsætninger!$E$31)+IF(K238&gt;Forudsætninger!$C$33,Forudsætninger!$G$33,IF(K238&gt;Forudsætninger!$C$32,Forudsætninger!$G$32+Forudsætninger!$H$33*(K238-Forudsætninger!$C$32),IF(K238&gt;Forudsætninger!$C$31,Forudsætninger!$G$31+Forudsætninger!$H$32*(K238-Forudsætninger!$C$31),Forudsætninger!$G$31)))*(V238-Forudsætninger!$H$31)</f>
        <v>27.779257643330151</v>
      </c>
      <c r="AD238" s="19">
        <f t="shared" si="85"/>
        <v>6410.9353118717709</v>
      </c>
      <c r="AE238" s="19">
        <f t="shared" si="86"/>
        <v>33.699620808782662</v>
      </c>
      <c r="AF238">
        <f>IF(G238&lt;=Forudsætninger!$C$97,Forudsætninger!$C$98,(IF(G238&lt;=Forudsætninger!$D$97,Forudsætninger!$D$98,IF(G238&lt;=Forudsætninger!$E$97,Forudsætninger!$E$98,IF(G238&lt;=Forudsætninger!$F$97,Forudsætninger!$F$98,IF(G238&lt;=Forudsætninger!$G$97,Forudsætninger!$G$98,IF(G238&lt;=Forudsætninger!$H$97,Forudsætninger!$H$98,IF(G238&lt;=Forudsætninger!$I$97,Forudsætninger!$I$98,Forudsætninger!$I$98))))))))</f>
        <v>3.8</v>
      </c>
      <c r="AG238" s="1">
        <f t="shared" si="96"/>
        <v>4.4000000000000004</v>
      </c>
      <c r="AH238" s="1">
        <f t="shared" si="100"/>
        <v>713.59999999999752</v>
      </c>
      <c r="AI238" s="1">
        <f t="shared" si="87"/>
        <v>3.0237288135593117</v>
      </c>
      <c r="AJ238" s="20">
        <f>+(W238*Forudsætninger!$C$12)</f>
        <v>900</v>
      </c>
      <c r="AK238" s="20">
        <f>Forudsætninger!$C$17</f>
        <v>250</v>
      </c>
      <c r="AL238" s="20">
        <f>IF(A238&lt;92,Forudsætninger!$C$20,Forudsætninger!$C$21)</f>
        <v>1.0566762728146013</v>
      </c>
      <c r="AM238" s="20">
        <f t="shared" si="97"/>
        <v>517.88108323753818</v>
      </c>
      <c r="AN238" s="20">
        <f>IFERROR(AD238+AJ238-AA238-Z238-AK238-AM238-Forudsætninger!$C$75,-99999999)</f>
        <v>1163.1877296263067</v>
      </c>
      <c r="AO238" s="19">
        <f>IFERROR(AN238/(A238+Forudsætninger!$C$74),-99999999)</f>
        <v>4.9287615662131641</v>
      </c>
      <c r="AP238" s="19">
        <f>IFERROR(((365/(A238+Forudsætninger!$C$74))*AN238)/(AI238+Forudsætninger!$C$73),-9999999)</f>
        <v>574.07583064741652</v>
      </c>
      <c r="AQ238" s="18">
        <f t="shared" si="88"/>
        <v>236</v>
      </c>
      <c r="AR238" s="18">
        <f t="shared" si="98"/>
        <v>5965.3533896960698</v>
      </c>
      <c r="AS238" s="52">
        <f t="shared" si="79"/>
        <v>9</v>
      </c>
      <c r="AT238" s="50">
        <f t="shared" si="101"/>
        <v>12.250851986684893</v>
      </c>
      <c r="AU238" s="50">
        <f t="shared" si="102"/>
        <v>3.1157831576475559E-2</v>
      </c>
      <c r="AV238" s="2">
        <f t="shared" si="103"/>
        <v>2.5610216705260882</v>
      </c>
      <c r="AW238" s="61">
        <f t="shared" si="99"/>
        <v>7.1231729358637494</v>
      </c>
      <c r="BA238" s="16"/>
      <c r="BB238" s="2"/>
    </row>
    <row r="239" spans="1:54" x14ac:dyDescent="0.25">
      <c r="A239">
        <v>237</v>
      </c>
      <c r="B239" s="1">
        <f>ROUND((A239+Forudsætninger!$C$60)/30.4,1)</f>
        <v>9.1</v>
      </c>
      <c r="C239" s="1">
        <f>VLOOKUP((A239+Forudsætninger!$C$60),'Model tilvækst, slagteform, fe'!A:B,2,FALSE)</f>
        <v>405.25138123649788</v>
      </c>
      <c r="D239" s="3">
        <f t="shared" si="89"/>
        <v>1353.443084448827</v>
      </c>
      <c r="E239" s="1">
        <f>(1+Forudsætninger!$C$78)*C239</f>
        <v>376.88378454994302</v>
      </c>
      <c r="F239" s="2">
        <f t="shared" si="90"/>
        <v>0</v>
      </c>
      <c r="G239" s="1">
        <f t="shared" si="80"/>
        <v>376.88378454994302</v>
      </c>
      <c r="H239" s="3">
        <f t="shared" si="81"/>
        <v>1258.7020685374455</v>
      </c>
      <c r="I239" s="3">
        <f t="shared" si="82"/>
        <v>1299.0876985229663</v>
      </c>
      <c r="J239" s="1">
        <f>VLOOKUP((A239+Forudsætninger!$C$60),'Model tilvækst, slagteform, fe'!G:K,2,FALSE)*(1+Forudsætninger!$C$79)</f>
        <v>50.654926312507641</v>
      </c>
      <c r="K239" s="17">
        <f t="shared" si="78"/>
        <v>190.91020334756371</v>
      </c>
      <c r="L239" s="17">
        <f t="shared" si="91"/>
        <v>672.5936056470232</v>
      </c>
      <c r="M239" s="3">
        <f>((K239-(('Model tilvækst, slagteform, fe'!$H$9/100)*'Model tilvækst, slagteform, fe'!$B$9))*1000/(A239+Forudsætninger!$C$60))</f>
        <v>617.62064970708263</v>
      </c>
      <c r="N239" s="17">
        <f t="shared" si="92"/>
        <v>1288.5698105231111</v>
      </c>
      <c r="O239" s="19">
        <f>IF( A239&lt;Forudsætninger!$C$14,(G239/100)*Forudsætninger!$C$13,(Forudsætninger!$C$15/1000)*Forudsætninger!$C$13)</f>
        <v>2.4497445995746294</v>
      </c>
      <c r="P239" s="17" cm="1">
        <f t="array" ref="P239">INDEX('Model tilvækst, slagteform, fe'!$N$9:$N$375,MATCH(MIN(ABS('Model tilvækst, slagteform, fe'!$M$9:$M$375-'Vækstfunktion, hol'!G239)),ABS('Model tilvækst, slagteform, fe'!$M$9:$M$375-'Vækstfunktion, hol'!G239),0))*(1+Forudsætninger!$C$80)</f>
        <v>7.5231049430837169</v>
      </c>
      <c r="Q239" s="17">
        <f t="shared" si="93"/>
        <v>11.18521627312621</v>
      </c>
      <c r="R239" s="17">
        <f t="shared" si="94"/>
        <v>8.1149055153905518</v>
      </c>
      <c r="S239" s="17">
        <f t="shared" si="83"/>
        <v>4.1852474056297275</v>
      </c>
      <c r="T239" s="19">
        <f>(P239)*IF(N239&lt;Forudsætninger!$B$228,IF(N239&lt;Forudsætninger!$B$227,Forudsætninger!$B$225,Forudsætninger!$C$9),Forudsætninger!$C$11)+O239</f>
        <v>20.053810166390527</v>
      </c>
      <c r="U239" s="2">
        <f>Forudsætninger!$C$68+((K239-(Forudsætninger!$C$84)))*0.01</f>
        <v>3.6061548924642772</v>
      </c>
      <c r="V239" s="2">
        <f>U239+Forudsætninger!$C$69</f>
        <v>2.6061548924642772</v>
      </c>
      <c r="W239">
        <f t="shared" si="84"/>
        <v>1</v>
      </c>
      <c r="X239">
        <f>IF(A239+Forudsætninger!$C$60&gt;248,IF(A239+Forudsætninger!$C$60&lt;365,IF(K239&gt;180,IF(K239&lt;260,1,0),0),0),0)</f>
        <v>1</v>
      </c>
      <c r="Y239" s="22">
        <f>IF(X239=0,0,IF('Vækstfunktion, hol'!A239&lt;Forudsætninger!$C$66,Forudsætninger!$C$67+(('Vækstfunktion, hol'!A239-Forudsætninger!$C$66)/7)*Forudsætninger!$C$64,Forudsætninger!$C$67))</f>
        <v>0.89514285714285702</v>
      </c>
      <c r="Z239" s="19">
        <f t="shared" si="95"/>
        <v>3867.526116624922</v>
      </c>
      <c r="AA239" s="19">
        <f>Forudsætninger!$C$62+Forudsætninger!$C$16</f>
        <v>1350</v>
      </c>
      <c r="AB239" s="19">
        <f>IF(K239&gt;Forudsætninger!$C$26,IF(K239&gt;Forudsætninger!$C$27,IF(K239&gt;Forudsætninger!$C$28,Forudsætninger!$E$28,Forudsætninger!$E$27+Forudsætninger!$F$28*(K239-Forudsætninger!$C$27)),Forudsætninger!$E$26+Forudsætninger!$F$27*(K239-Forudsætninger!$C$26)),Forudsætninger!$E$26)+IF(K239&gt;Forudsætninger!$C$28,Forudsætninger!$G$28,IF(K239&gt;Forudsætninger!$C$27,Forudsætninger!$G$27+Forudsætninger!$H$28*(K239-Forudsætninger!$C$27),IF(K239&gt;Forudsætninger!$C$26,Forudsætninger!$G$26+Forudsætninger!$H$27*(K239-Forudsætninger!$C$26),Forudsætninger!$G$26)))*(U239-Forudsætninger!$H$26)</f>
        <v>34.454656958758875</v>
      </c>
      <c r="AC239" s="19">
        <f>IF(K239&gt;Forudsætninger!$C$31,IF(K239&gt;Forudsætninger!$C$32,IF(K239&gt;Forudsætninger!$C$33,Forudsætninger!$E$33,Forudsætninger!$E$32+Forudsætninger!$F$33*(K239-Forudsætninger!$C$32)),Forudsætninger!$E$31+Forudsætninger!$F$32*(K239-Forudsætninger!$C$31)),Forudsætninger!$E$31)+IF(K239&gt;Forudsætninger!$C$33,Forudsætninger!$G$33,IF(K239&gt;Forudsætninger!$C$32,Forudsætninger!$G$32+Forudsætninger!$H$33*(K239-Forudsætninger!$C$32),IF(K239&gt;Forudsætninger!$C$31,Forudsætninger!$G$31+Forudsætninger!$H$32*(K239-Forudsætninger!$C$31),Forudsætninger!$G$31)))*(V239-Forudsætninger!$H$31)</f>
        <v>27.788001360203562</v>
      </c>
      <c r="AD239" s="19">
        <f t="shared" si="85"/>
        <v>6444.2904647299529</v>
      </c>
      <c r="AE239" s="19">
        <f t="shared" si="86"/>
        <v>33.75561050028179</v>
      </c>
      <c r="AF239">
        <f>IF(G239&lt;=Forudsætninger!$C$97,Forudsætninger!$C$98,(IF(G239&lt;=Forudsætninger!$D$97,Forudsætninger!$D$98,IF(G239&lt;=Forudsætninger!$E$97,Forudsætninger!$E$98,IF(G239&lt;=Forudsætninger!$F$97,Forudsætninger!$F$98,IF(G239&lt;=Forudsætninger!$G$97,Forudsætninger!$G$98,IF(G239&lt;=Forudsætninger!$H$97,Forudsætninger!$H$98,IF(G239&lt;=Forudsætninger!$I$97,Forudsætninger!$I$98,Forudsætninger!$I$98))))))))</f>
        <v>3.8</v>
      </c>
      <c r="AG239" s="1">
        <f t="shared" si="96"/>
        <v>4.4000000000000004</v>
      </c>
      <c r="AH239" s="1">
        <f t="shared" si="100"/>
        <v>717.9999999999975</v>
      </c>
      <c r="AI239" s="1">
        <f t="shared" si="87"/>
        <v>3.0295358649788926</v>
      </c>
      <c r="AJ239" s="20">
        <f>+(W239*Forudsætninger!$C$12)</f>
        <v>900</v>
      </c>
      <c r="AK239" s="20">
        <f>Forudsætninger!$C$17</f>
        <v>250</v>
      </c>
      <c r="AL239" s="20">
        <f>IF(A239&lt;92,Forudsætninger!$C$20,Forudsætninger!$C$21)</f>
        <v>1.0566762728146013</v>
      </c>
      <c r="AM239" s="20">
        <f t="shared" si="97"/>
        <v>518.93775951035275</v>
      </c>
      <c r="AN239" s="20">
        <f>IFERROR(AD239+AJ239-AA239-Z239-AK239-AM239-Forudsætninger!$C$75,-99999999)</f>
        <v>1175.4323960452834</v>
      </c>
      <c r="AO239" s="19">
        <f>IFERROR(AN239/(A239+Forudsætninger!$C$74),-99999999)</f>
        <v>4.9596303630602678</v>
      </c>
      <c r="AP239" s="19">
        <f>IFERROR(((365/(A239+Forudsætninger!$C$74))*AN239)/(AI239+Forudsætninger!$C$73),-9999999)</f>
        <v>576.60277199259463</v>
      </c>
      <c r="AQ239" s="18">
        <f t="shared" si="88"/>
        <v>237</v>
      </c>
      <c r="AR239" s="18">
        <f t="shared" si="98"/>
        <v>5986.4638761352744</v>
      </c>
      <c r="AS239" s="52">
        <f t="shared" si="79"/>
        <v>9.1</v>
      </c>
      <c r="AT239" s="50">
        <f t="shared" si="101"/>
        <v>12.244666418976749</v>
      </c>
      <c r="AU239" s="50">
        <f t="shared" si="102"/>
        <v>3.0868796847103752E-2</v>
      </c>
      <c r="AV239" s="2">
        <f t="shared" si="103"/>
        <v>2.526941345178102</v>
      </c>
      <c r="AW239" s="61">
        <f t="shared" si="99"/>
        <v>7.14924116268201</v>
      </c>
      <c r="BA239" s="16"/>
      <c r="BB239" s="2"/>
    </row>
    <row r="240" spans="1:54" x14ac:dyDescent="0.25">
      <c r="A240">
        <v>238</v>
      </c>
      <c r="B240" s="1">
        <f>ROUND((A240+Forudsætninger!$C$60)/30.4,1)</f>
        <v>9.1</v>
      </c>
      <c r="C240" s="1">
        <f>VLOOKUP((A240+Forudsætninger!$C$60),'Model tilvækst, slagteform, fe'!A:B,2,FALSE)</f>
        <v>406.60063396957503</v>
      </c>
      <c r="D240" s="3">
        <f t="shared" si="89"/>
        <v>1349.2527330771509</v>
      </c>
      <c r="E240" s="1">
        <f>(1+Forudsætninger!$C$78)*C240</f>
        <v>378.13858959170477</v>
      </c>
      <c r="F240" s="2">
        <f t="shared" si="90"/>
        <v>0</v>
      </c>
      <c r="G240" s="1">
        <f t="shared" si="80"/>
        <v>378.13858959170477</v>
      </c>
      <c r="H240" s="3">
        <f t="shared" si="81"/>
        <v>1254.805041761756</v>
      </c>
      <c r="I240" s="3">
        <f t="shared" si="82"/>
        <v>1298.901636939936</v>
      </c>
      <c r="J240" s="1">
        <f>VLOOKUP((A240+Forudsætninger!$C$60),'Model tilvækst, slagteform, fe'!G:K,2,FALSE)*(1+Forudsætninger!$C$79)</f>
        <v>50.664144613339381</v>
      </c>
      <c r="K240" s="17">
        <f t="shared" si="78"/>
        <v>191.5806818695832</v>
      </c>
      <c r="L240" s="17">
        <f t="shared" si="91"/>
        <v>670.47852201949354</v>
      </c>
      <c r="M240" s="3">
        <f>((K240-(('Model tilvækst, slagteform, fe'!$H$9/100)*'Model tilvækst, slagteform, fe'!$B$9))*1000/(A240+Forudsætninger!$C$60))</f>
        <v>617.81147235080982</v>
      </c>
      <c r="N240" s="17">
        <f t="shared" si="92"/>
        <v>1296.1014486388615</v>
      </c>
      <c r="O240" s="19">
        <f>IF( A240&lt;Forudsætninger!$C$14,(G240/100)*Forudsætninger!$C$13,(Forudsætninger!$C$15/1000)*Forudsætninger!$C$13)</f>
        <v>2.4579008323460814</v>
      </c>
      <c r="P240" s="17" cm="1">
        <f t="array" ref="P240">INDEX('Model tilvækst, slagteform, fe'!$N$9:$N$375,MATCH(MIN(ABS('Model tilvækst, slagteform, fe'!$M$9:$M$375-'Vækstfunktion, hol'!G240)),ABS('Model tilvækst, slagteform, fe'!$M$9:$M$375-'Vækstfunktion, hol'!G240),0))*(1+Forudsætninger!$C$80)</f>
        <v>7.5316381157505017</v>
      </c>
      <c r="Q240" s="17">
        <f t="shared" si="93"/>
        <v>11.233228013128699</v>
      </c>
      <c r="R240" s="17">
        <f t="shared" si="94"/>
        <v>8.128016988995352</v>
      </c>
      <c r="S240" s="17">
        <f t="shared" si="83"/>
        <v>4.1926226368267034</v>
      </c>
      <c r="T240" s="19">
        <f>(P240)*IF(N240&lt;Forudsætninger!$B$228,IF(N240&lt;Forudsætninger!$B$227,Forudsætninger!$B$225,Forudsætninger!$C$9),Forudsætninger!$C$11)+O240</f>
        <v>20.081934023202255</v>
      </c>
      <c r="U240" s="2">
        <f>Forudsætninger!$C$68+((K240-(Forudsætninger!$C$84)))*0.01</f>
        <v>3.6128596776844724</v>
      </c>
      <c r="V240" s="2">
        <f>U240+Forudsætninger!$C$69</f>
        <v>2.6128596776844724</v>
      </c>
      <c r="W240">
        <f t="shared" si="84"/>
        <v>1</v>
      </c>
      <c r="X240">
        <f>IF(A240+Forudsætninger!$C$60&gt;248,IF(A240+Forudsætninger!$C$60&lt;365,IF(K240&gt;180,IF(K240&lt;260,1,0),0),0),0)</f>
        <v>1</v>
      </c>
      <c r="Y240" s="22">
        <f>IF(X240=0,0,IF('Vækstfunktion, hol'!A240&lt;Forudsætninger!$C$66,Forudsætninger!$C$67+(('Vækstfunktion, hol'!A240-Forudsætninger!$C$66)/7)*Forudsætninger!$C$64,Forudsætninger!$C$67))</f>
        <v>0.89942857142857136</v>
      </c>
      <c r="Z240" s="19">
        <f t="shared" si="95"/>
        <v>3887.6080506481244</v>
      </c>
      <c r="AA240" s="19">
        <f>Forudsætninger!$C$62+Forudsætninger!$C$16</f>
        <v>1350</v>
      </c>
      <c r="AB240" s="19">
        <f>IF(K240&gt;Forudsætninger!$C$26,IF(K240&gt;Forudsætninger!$C$27,IF(K240&gt;Forudsætninger!$C$28,Forudsætninger!$E$28,Forudsætninger!$E$27+Forudsætninger!$F$28*(K240-Forudsætninger!$C$27)),Forudsætninger!$E$26+Forudsætninger!$F$27*(K240-Forudsætninger!$C$26)),Forudsætninger!$E$26)+IF(K240&gt;Forudsætninger!$C$28,Forudsætninger!$G$28,IF(K240&gt;Forudsætninger!$C$27,Forudsætninger!$G$27+Forudsætninger!$H$28*(K240-Forudsætninger!$C$27),IF(K240&gt;Forudsætninger!$C$26,Forudsætninger!$G$26+Forudsætninger!$H$27*(K240-Forudsætninger!$C$26),Forudsætninger!$G$26)))*(U240-Forudsætninger!$H$26)</f>
        <v>34.484269760148074</v>
      </c>
      <c r="AC240" s="19">
        <f>IF(K240&gt;Forudsætninger!$C$31,IF(K240&gt;Forudsætninger!$C$32,IF(K240&gt;Forudsætninger!$C$33,Forudsætninger!$E$33,Forudsætninger!$E$32+Forudsætninger!$F$33*(K240-Forudsætninger!$C$32)),Forudsætninger!$E$31+Forudsætninger!$F$32*(K240-Forudsætninger!$C$31)),Forudsætninger!$E$31)+IF(K240&gt;Forudsætninger!$C$33,Forudsætninger!$G$33,IF(K240&gt;Forudsætninger!$C$32,Forudsætninger!$G$32+Forudsætninger!$H$33*(K240-Forudsætninger!$C$32),IF(K240&gt;Forudsætninger!$C$31,Forudsætninger!$G$31+Forudsætninger!$H$32*(K240-Forudsætninger!$C$31),Forudsætninger!$G$31)))*(V240-Forudsætninger!$H$31)</f>
        <v>27.796717580989814</v>
      </c>
      <c r="AD240" s="19">
        <f t="shared" si="85"/>
        <v>6477.6672161679335</v>
      </c>
      <c r="AE240" s="19">
        <f t="shared" si="86"/>
        <v>33.811693083844155</v>
      </c>
      <c r="AF240">
        <f>IF(G240&lt;=Forudsætninger!$C$97,Forudsætninger!$C$98,(IF(G240&lt;=Forudsætninger!$D$97,Forudsætninger!$D$98,IF(G240&lt;=Forudsætninger!$E$97,Forudsætninger!$E$98,IF(G240&lt;=Forudsætninger!$F$97,Forudsætninger!$F$98,IF(G240&lt;=Forudsætninger!$G$97,Forudsætninger!$G$98,IF(G240&lt;=Forudsætninger!$H$97,Forudsætninger!$H$98,IF(G240&lt;=Forudsætninger!$I$97,Forudsætninger!$I$98,Forudsætninger!$I$98))))))))</f>
        <v>3.8</v>
      </c>
      <c r="AG240" s="1">
        <f t="shared" si="96"/>
        <v>4.4000000000000004</v>
      </c>
      <c r="AH240" s="1">
        <f t="shared" si="100"/>
        <v>722.39999999999748</v>
      </c>
      <c r="AI240" s="1">
        <f t="shared" si="87"/>
        <v>3.035294117647048</v>
      </c>
      <c r="AJ240" s="20">
        <f>+(W240*Forudsætninger!$C$12)</f>
        <v>900</v>
      </c>
      <c r="AK240" s="20">
        <f>Forudsætninger!$C$17</f>
        <v>250</v>
      </c>
      <c r="AL240" s="20">
        <f>IF(A240&lt;92,Forudsætninger!$C$20,Forudsætninger!$C$21)</f>
        <v>1.0566762728146013</v>
      </c>
      <c r="AM240" s="20">
        <f t="shared" si="97"/>
        <v>519.99443578316732</v>
      </c>
      <c r="AN240" s="20">
        <f>IFERROR(AD240+AJ240-AA240-Z240-AK240-AM240-Forudsætninger!$C$75,-99999999)</f>
        <v>1187.6705371872472</v>
      </c>
      <c r="AO240" s="19">
        <f>IFERROR(AN240/(A240+Forudsætninger!$C$74),-99999999)</f>
        <v>4.9902123411228869</v>
      </c>
      <c r="AP240" s="19">
        <f>IFERROR(((365/(A240+Forudsætninger!$C$74))*AN240)/(AI240+Forudsætninger!$C$73),-9999999)</f>
        <v>579.0960833489363</v>
      </c>
      <c r="AQ240" s="18">
        <f t="shared" si="88"/>
        <v>238</v>
      </c>
      <c r="AR240" s="18">
        <f t="shared" si="98"/>
        <v>6007.6024864312922</v>
      </c>
      <c r="AS240" s="52">
        <f t="shared" si="79"/>
        <v>9.1</v>
      </c>
      <c r="AT240" s="50">
        <f t="shared" si="101"/>
        <v>12.238141141963752</v>
      </c>
      <c r="AU240" s="50">
        <f t="shared" si="102"/>
        <v>3.0581978062619086E-2</v>
      </c>
      <c r="AV240" s="2">
        <f t="shared" si="103"/>
        <v>2.4933113563416782</v>
      </c>
      <c r="AW240" s="61">
        <f t="shared" si="99"/>
        <v>7.1750629116403974</v>
      </c>
      <c r="BA240" s="16"/>
      <c r="BB240" s="2"/>
    </row>
    <row r="241" spans="1:54" x14ac:dyDescent="0.25">
      <c r="A241">
        <v>239</v>
      </c>
      <c r="B241" s="1">
        <f>ROUND((A241+Forudsætninger!$C$60)/30.4,1)</f>
        <v>9.1</v>
      </c>
      <c r="C241" s="1">
        <f>VLOOKUP((A241+Forudsætninger!$C$60),'Model tilvækst, slagteform, fe'!A:B,2,FALSE)</f>
        <v>407.94568418538887</v>
      </c>
      <c r="D241" s="3">
        <f t="shared" si="89"/>
        <v>1345.050215813842</v>
      </c>
      <c r="E241" s="1">
        <f>(1+Forudsætninger!$C$78)*C241</f>
        <v>379.38948629241162</v>
      </c>
      <c r="F241" s="2">
        <f t="shared" si="90"/>
        <v>0</v>
      </c>
      <c r="G241" s="1">
        <f t="shared" si="80"/>
        <v>379.38948629241162</v>
      </c>
      <c r="H241" s="3">
        <f t="shared" si="81"/>
        <v>1250.8967007068463</v>
      </c>
      <c r="I241" s="3">
        <f t="shared" si="82"/>
        <v>1298.7007794661574</v>
      </c>
      <c r="J241" s="1">
        <f>VLOOKUP((A241+Forudsætninger!$C$60),'Model tilvækst, slagteform, fe'!G:K,2,FALSE)*(1+Forudsætninger!$C$79)</f>
        <v>50.67326762834729</v>
      </c>
      <c r="K241" s="17">
        <f t="shared" si="78"/>
        <v>192.24904974276566</v>
      </c>
      <c r="L241" s="17">
        <f t="shared" si="91"/>
        <v>668.36787318246138</v>
      </c>
      <c r="M241" s="3">
        <f>((K241-(('Model tilvækst, slagteform, fe'!$H$9/100)*'Model tilvækst, slagteform, fe'!$B$9))*1000/(A241+Forudsætninger!$C$60))</f>
        <v>617.99332990775815</v>
      </c>
      <c r="N241" s="17">
        <f t="shared" si="92"/>
        <v>1303.6417072846402</v>
      </c>
      <c r="O241" s="19">
        <f>IF( A241&lt;Forudsætninger!$C$14,(G241/100)*Forudsætninger!$C$13,(Forudsætninger!$C$15/1000)*Forudsætninger!$C$13)</f>
        <v>2.4660316609006756</v>
      </c>
      <c r="P241" s="17" cm="1">
        <f t="array" ref="P241">INDEX('Model tilvækst, slagteform, fe'!$N$9:$N$375,MATCH(MIN(ABS('Model tilvækst, slagteform, fe'!$M$9:$M$375-'Vækstfunktion, hol'!G241)),ABS('Model tilvækst, slagteform, fe'!$M$9:$M$375-'Vækstfunktion, hol'!G241),0))*(1+Forudsætninger!$C$80)</f>
        <v>7.5402586457787173</v>
      </c>
      <c r="Q241" s="17">
        <f t="shared" si="93"/>
        <v>11.281599472870326</v>
      </c>
      <c r="R241" s="17">
        <f t="shared" si="94"/>
        <v>8.1411798065370373</v>
      </c>
      <c r="S241" s="17">
        <f t="shared" si="83"/>
        <v>4.2000188951519641</v>
      </c>
      <c r="T241" s="19">
        <f>(P241)*IF(N241&lt;Forudsætninger!$B$228,IF(N241&lt;Forudsætninger!$B$227,Forudsætninger!$B$225,Forudsætninger!$C$9),Forudsætninger!$C$11)+O241</f>
        <v>20.110236892022872</v>
      </c>
      <c r="U241" s="2">
        <f>Forudsætninger!$C$68+((K241-(Forudsætninger!$C$84)))*0.01</f>
        <v>3.6195433564162971</v>
      </c>
      <c r="V241" s="2">
        <f>U241+Forudsætninger!$C$69</f>
        <v>2.6195433564162971</v>
      </c>
      <c r="W241">
        <f t="shared" si="84"/>
        <v>1</v>
      </c>
      <c r="X241">
        <f>IF(A241+Forudsætninger!$C$60&gt;248,IF(A241+Forudsætninger!$C$60&lt;365,IF(K241&gt;180,IF(K241&lt;260,1,0),0),0),0)</f>
        <v>1</v>
      </c>
      <c r="Y241" s="22">
        <f>IF(X241=0,0,IF('Vækstfunktion, hol'!A241&lt;Forudsætninger!$C$66,Forudsætninger!$C$67+(('Vækstfunktion, hol'!A241-Forudsætninger!$C$66)/7)*Forudsætninger!$C$64,Forudsætninger!$C$67))</f>
        <v>0.90371428571428558</v>
      </c>
      <c r="Z241" s="19">
        <f t="shared" si="95"/>
        <v>3907.7182875401472</v>
      </c>
      <c r="AA241" s="19">
        <f>Forudsætninger!$C$62+Forudsætninger!$C$16</f>
        <v>1350</v>
      </c>
      <c r="AB241" s="19">
        <f>IF(K241&gt;Forudsætninger!$C$26,IF(K241&gt;Forudsætninger!$C$27,IF(K241&gt;Forudsætninger!$C$28,Forudsætninger!$E$28,Forudsætninger!$E$27+Forudsætninger!$F$28*(K241-Forudsætninger!$C$27)),Forudsætninger!$E$26+Forudsætninger!$F$27*(K241-Forudsætninger!$C$26)),Forudsætninger!$E$26)+IF(K241&gt;Forudsætninger!$C$28,Forudsætninger!$G$28,IF(K241&gt;Forudsætninger!$C$27,Forudsætninger!$G$27+Forudsætninger!$H$28*(K241-Forudsætninger!$C$27),IF(K241&gt;Forudsætninger!$C$26,Forudsætninger!$G$26+Forudsætninger!$H$27*(K241-Forudsætninger!$C$26),Forudsætninger!$G$26)))*(U241-Forudsætninger!$H$26)</f>
        <v>34.513789341213638</v>
      </c>
      <c r="AC241" s="19">
        <f>IF(K241&gt;Forudsætninger!$C$31,IF(K241&gt;Forudsætninger!$C$32,IF(K241&gt;Forudsætninger!$C$33,Forudsætninger!$E$33,Forudsætninger!$E$32+Forudsætninger!$F$33*(K241-Forudsætninger!$C$32)),Forudsætninger!$E$31+Forudsætninger!$F$32*(K241-Forudsætninger!$C$31)),Forudsætninger!$E$31)+IF(K241&gt;Forudsætninger!$C$33,Forudsætninger!$G$33,IF(K241&gt;Forudsætninger!$C$32,Forudsætninger!$G$32+Forudsætninger!$H$33*(K241-Forudsætninger!$C$32),IF(K241&gt;Forudsætninger!$C$31,Forudsætninger!$G$31+Forudsætninger!$H$32*(K241-Forudsætninger!$C$31),Forudsætninger!$G$31)))*(V241-Forudsætninger!$H$31)</f>
        <v>27.805406363341188</v>
      </c>
      <c r="AD241" s="19">
        <f t="shared" si="85"/>
        <v>6511.0654195286597</v>
      </c>
      <c r="AE241" s="19">
        <f t="shared" si="86"/>
        <v>33.867867894487063</v>
      </c>
      <c r="AF241">
        <f>IF(G241&lt;=Forudsætninger!$C$97,Forudsætninger!$C$98,(IF(G241&lt;=Forudsætninger!$D$97,Forudsætninger!$D$98,IF(G241&lt;=Forudsætninger!$E$97,Forudsætninger!$E$98,IF(G241&lt;=Forudsætninger!$F$97,Forudsætninger!$F$98,IF(G241&lt;=Forudsætninger!$G$97,Forudsætninger!$G$98,IF(G241&lt;=Forudsætninger!$H$97,Forudsætninger!$H$98,IF(G241&lt;=Forudsætninger!$I$97,Forudsætninger!$I$98,Forudsætninger!$I$98))))))))</f>
        <v>3.8</v>
      </c>
      <c r="AG241" s="1">
        <f t="shared" si="96"/>
        <v>4.4000000000000004</v>
      </c>
      <c r="AH241" s="1">
        <f t="shared" si="100"/>
        <v>726.79999999999745</v>
      </c>
      <c r="AI241" s="1">
        <f t="shared" si="87"/>
        <v>3.0410041841004078</v>
      </c>
      <c r="AJ241" s="20">
        <f>+(W241*Forudsætninger!$C$12)</f>
        <v>900</v>
      </c>
      <c r="AK241" s="20">
        <f>Forudsætninger!$C$17</f>
        <v>250</v>
      </c>
      <c r="AL241" s="20">
        <f>IF(A241&lt;92,Forudsætninger!$C$20,Forudsætninger!$C$21)</f>
        <v>1.0566762728146013</v>
      </c>
      <c r="AM241" s="20">
        <f t="shared" si="97"/>
        <v>521.05111205598189</v>
      </c>
      <c r="AN241" s="20">
        <f>IFERROR(AD241+AJ241-AA241-Z241-AK241-AM241-Forudsætninger!$C$75,-99999999)</f>
        <v>1199.9018273831362</v>
      </c>
      <c r="AO241" s="19">
        <f>IFERROR(AN241/(A241+Forudsætninger!$C$74),-99999999)</f>
        <v>5.0205097380047539</v>
      </c>
      <c r="AP241" s="19">
        <f>IFERROR(((365/(A241+Forudsætninger!$C$74))*AN241)/(AI241+Forudsætninger!$C$73),-9999999)</f>
        <v>581.55621107018567</v>
      </c>
      <c r="AQ241" s="18">
        <f t="shared" si="88"/>
        <v>239</v>
      </c>
      <c r="AR241" s="18">
        <f t="shared" si="98"/>
        <v>6028.769399596129</v>
      </c>
      <c r="AS241" s="52">
        <f t="shared" si="79"/>
        <v>9.1</v>
      </c>
      <c r="AT241" s="50">
        <f t="shared" si="101"/>
        <v>12.23129019588896</v>
      </c>
      <c r="AU241" s="50">
        <f t="shared" si="102"/>
        <v>3.0297396881866945E-2</v>
      </c>
      <c r="AV241" s="2">
        <f t="shared" si="103"/>
        <v>2.4601277212493642</v>
      </c>
      <c r="AW241" s="61">
        <f t="shared" si="99"/>
        <v>7.2006399139712043</v>
      </c>
      <c r="BA241" s="16"/>
      <c r="BB241" s="2"/>
    </row>
    <row r="242" spans="1:54" x14ac:dyDescent="0.25">
      <c r="A242">
        <v>240</v>
      </c>
      <c r="B242" s="1">
        <f>ROUND((A242+Forudsætninger!$C$60)/30.4,1)</f>
        <v>9.1999999999999993</v>
      </c>
      <c r="C242" s="1">
        <f>VLOOKUP((A242+Forudsætninger!$C$60),'Model tilvækst, slagteform, fe'!A:B,2,FALSE)</f>
        <v>409.28652025239467</v>
      </c>
      <c r="D242" s="3">
        <f t="shared" si="89"/>
        <v>1340.8360670057959</v>
      </c>
      <c r="E242" s="1">
        <f>(1+Forudsætninger!$C$78)*C242</f>
        <v>380.63646383472701</v>
      </c>
      <c r="F242" s="2">
        <f t="shared" si="90"/>
        <v>0</v>
      </c>
      <c r="G242" s="1">
        <f t="shared" si="80"/>
        <v>380.63646383472701</v>
      </c>
      <c r="H242" s="3">
        <f t="shared" si="81"/>
        <v>1246.9775423153919</v>
      </c>
      <c r="I242" s="3">
        <f t="shared" si="82"/>
        <v>1298.4852659780292</v>
      </c>
      <c r="J242" s="1">
        <f>VLOOKUP((A242+Forudsætninger!$C$60),'Model tilvækst, slagteform, fe'!G:K,2,FALSE)*(1+Forudsætninger!$C$79)</f>
        <v>50.68229930635674</v>
      </c>
      <c r="K242" s="17">
        <f t="shared" si="78"/>
        <v>192.91531186984867</v>
      </c>
      <c r="L242" s="17">
        <f t="shared" si="91"/>
        <v>666.26212708300159</v>
      </c>
      <c r="M242" s="3">
        <f>((K242-(('Model tilvækst, slagteform, fe'!$H$9/100)*'Model tilvækst, slagteform, fe'!$B$9))*1000/(A242+Forudsætninger!$C$60))</f>
        <v>618.16633634924654</v>
      </c>
      <c r="N242" s="17">
        <f t="shared" si="92"/>
        <v>1311.1906754882421</v>
      </c>
      <c r="O242" s="19">
        <f>IF( A242&lt;Forudsætninger!$C$14,(G242/100)*Forudsætninger!$C$13,(Forudsætninger!$C$15/1000)*Forudsætninger!$C$13)</f>
        <v>2.4741370149257258</v>
      </c>
      <c r="P242" s="17" cm="1">
        <f t="array" ref="P242">INDEX('Model tilvækst, slagteform, fe'!$N$9:$N$375,MATCH(MIN(ABS('Model tilvækst, slagteform, fe'!$M$9:$M$375-'Vækstfunktion, hol'!G242)),ABS('Model tilvækst, slagteform, fe'!$M$9:$M$375-'Vækstfunktion, hol'!G242),0))*(1+Forudsætninger!$C$80)</f>
        <v>7.5489682036017705</v>
      </c>
      <c r="Q242" s="17">
        <f t="shared" si="93"/>
        <v>11.330327654450837</v>
      </c>
      <c r="R242" s="17">
        <f t="shared" si="94"/>
        <v>8.154394151138062</v>
      </c>
      <c r="S242" s="17">
        <f t="shared" si="83"/>
        <v>4.2074366374007433</v>
      </c>
      <c r="T242" s="19">
        <f>(P242)*IF(N242&lt;Forudsætninger!$B$228,IF(N242&lt;Forudsætninger!$B$227,Forudsætninger!$B$225,Forudsætninger!$C$9),Forudsætninger!$C$11)+O242</f>
        <v>20.13872261135387</v>
      </c>
      <c r="U242" s="2">
        <f>Forudsætninger!$C$68+((K242-(Forudsætninger!$C$84)))*0.01</f>
        <v>3.6262059776871269</v>
      </c>
      <c r="V242" s="2">
        <f>U242+Forudsætninger!$C$69</f>
        <v>2.6262059776871269</v>
      </c>
      <c r="W242">
        <f t="shared" si="84"/>
        <v>1</v>
      </c>
      <c r="X242">
        <f>IF(A242+Forudsætninger!$C$60&gt;248,IF(A242+Forudsætninger!$C$60&lt;365,IF(K242&gt;180,IF(K242&lt;260,1,0),0),0),0)</f>
        <v>1</v>
      </c>
      <c r="Y242" s="22">
        <f>IF(X242=0,0,IF('Vækstfunktion, hol'!A242&lt;Forudsætninger!$C$66,Forudsætninger!$C$67+(('Vækstfunktion, hol'!A242-Forudsætninger!$C$66)/7)*Forudsætninger!$C$64,Forudsætninger!$C$67))</f>
        <v>0.90799999999999992</v>
      </c>
      <c r="Z242" s="19">
        <f t="shared" si="95"/>
        <v>3927.8570101515011</v>
      </c>
      <c r="AA242" s="19">
        <f>Forudsætninger!$C$62+Forudsætninger!$C$16</f>
        <v>1350</v>
      </c>
      <c r="AB242" s="19">
        <f>IF(K242&gt;Forudsætninger!$C$26,IF(K242&gt;Forudsætninger!$C$27,IF(K242&gt;Forudsætninger!$C$28,Forudsætninger!$E$28,Forudsætninger!$E$27+Forudsætninger!$F$28*(K242-Forudsætninger!$C$27)),Forudsætninger!$E$26+Forudsætninger!$F$27*(K242-Forudsætninger!$C$26)),Forudsætninger!$E$26)+IF(K242&gt;Forudsætninger!$C$28,Forudsætninger!$G$28,IF(K242&gt;Forudsætninger!$C$27,Forudsætninger!$G$27+Forudsætninger!$H$28*(K242-Forudsætninger!$C$27),IF(K242&gt;Forudsætninger!$C$26,Forudsætninger!$G$26+Forudsætninger!$H$27*(K242-Forudsætninger!$C$26),Forudsætninger!$G$26)))*(U242-Forudsætninger!$H$26)</f>
        <v>34.543215918493132</v>
      </c>
      <c r="AC242" s="19">
        <f>IF(K242&gt;Forudsætninger!$C$31,IF(K242&gt;Forudsætninger!$C$32,IF(K242&gt;Forudsætninger!$C$33,Forudsætninger!$E$33,Forudsætninger!$E$32+Forudsætninger!$F$33*(K242-Forudsætninger!$C$32)),Forudsætninger!$E$31+Forudsætninger!$F$32*(K242-Forudsætninger!$C$31)),Forudsætninger!$E$31)+IF(K242&gt;Forudsætninger!$C$33,Forudsætninger!$G$33,IF(K242&gt;Forudsætninger!$C$32,Forudsætninger!$G$32+Forudsætninger!$H$33*(K242-Forudsætninger!$C$32),IF(K242&gt;Forudsætninger!$C$31,Forudsætninger!$G$31+Forudsætninger!$H$32*(K242-Forudsætninger!$C$31),Forudsætninger!$G$31)))*(V242-Forudsætninger!$H$31)</f>
        <v>27.814067770993265</v>
      </c>
      <c r="AD242" s="19">
        <f t="shared" si="85"/>
        <v>6544.4849462622351</v>
      </c>
      <c r="AE242" s="19">
        <f t="shared" si="86"/>
        <v>33.924134288923142</v>
      </c>
      <c r="AF242">
        <f>IF(G242&lt;=Forudsætninger!$C$97,Forudsætninger!$C$98,(IF(G242&lt;=Forudsætninger!$D$97,Forudsætninger!$D$98,IF(G242&lt;=Forudsætninger!$E$97,Forudsætninger!$E$98,IF(G242&lt;=Forudsætninger!$F$97,Forudsætninger!$F$98,IF(G242&lt;=Forudsætninger!$G$97,Forudsætninger!$G$98,IF(G242&lt;=Forudsætninger!$H$97,Forudsætninger!$H$98,IF(G242&lt;=Forudsætninger!$I$97,Forudsætninger!$I$98,Forudsætninger!$I$98))))))))</f>
        <v>3.8</v>
      </c>
      <c r="AG242" s="1">
        <f t="shared" si="96"/>
        <v>4.4000000000000004</v>
      </c>
      <c r="AH242" s="1">
        <f t="shared" si="100"/>
        <v>731.19999999999743</v>
      </c>
      <c r="AI242" s="1">
        <f t="shared" si="87"/>
        <v>3.0466666666666558</v>
      </c>
      <c r="AJ242" s="20">
        <f>+(W242*Forudsætninger!$C$12)</f>
        <v>900</v>
      </c>
      <c r="AK242" s="20">
        <f>Forudsætninger!$C$17</f>
        <v>250</v>
      </c>
      <c r="AL242" s="20">
        <f>IF(A242&lt;92,Forudsætninger!$C$20,Forudsætninger!$C$21)</f>
        <v>1.0566762728146013</v>
      </c>
      <c r="AM242" s="20">
        <f t="shared" si="97"/>
        <v>522.10778832879646</v>
      </c>
      <c r="AN242" s="20">
        <f>IFERROR(AD242+AJ242-AA242-Z242-AK242-AM242-Forudsætninger!$C$75,-99999999)</f>
        <v>1212.125955232543</v>
      </c>
      <c r="AO242" s="19">
        <f>IFERROR(AN242/(A242+Forudsætninger!$C$74),-99999999)</f>
        <v>5.0505248134689289</v>
      </c>
      <c r="AP242" s="19">
        <f>IFERROR(((365/(A242+Forudsætninger!$C$74))*AN242)/(AI242+Forudsætninger!$C$73),-9999999)</f>
        <v>583.98359775591302</v>
      </c>
      <c r="AQ242" s="18">
        <f t="shared" si="88"/>
        <v>240</v>
      </c>
      <c r="AR242" s="18">
        <f t="shared" si="98"/>
        <v>6049.9647984802978</v>
      </c>
      <c r="AS242" s="52">
        <f t="shared" si="79"/>
        <v>9.1999999999999993</v>
      </c>
      <c r="AT242" s="50">
        <f t="shared" si="101"/>
        <v>12.224127849406841</v>
      </c>
      <c r="AU242" s="50">
        <f t="shared" si="102"/>
        <v>3.0015075464175034E-2</v>
      </c>
      <c r="AV242" s="2">
        <f t="shared" si="103"/>
        <v>2.4273866857273561</v>
      </c>
      <c r="AW242" s="61">
        <f t="shared" si="99"/>
        <v>7.2259739315055809</v>
      </c>
      <c r="BA242" s="16"/>
      <c r="BB242" s="2"/>
    </row>
    <row r="243" spans="1:54" x14ac:dyDescent="0.25">
      <c r="A243">
        <v>241</v>
      </c>
      <c r="B243" s="1">
        <f>ROUND((A243+Forudsætninger!$C$60)/30.4,1)</f>
        <v>9.1999999999999993</v>
      </c>
      <c r="C243" s="1">
        <f>VLOOKUP((A243+Forudsætninger!$C$60),'Model tilvækst, slagteform, fe'!A:B,2,FALSE)</f>
        <v>410.62313107339548</v>
      </c>
      <c r="D243" s="3">
        <f t="shared" si="89"/>
        <v>1336.6108210008179</v>
      </c>
      <c r="E243" s="1">
        <f>(1+Forudsætninger!$C$78)*C243</f>
        <v>381.87951189825776</v>
      </c>
      <c r="F243" s="2">
        <f t="shared" si="90"/>
        <v>0</v>
      </c>
      <c r="G243" s="1">
        <f t="shared" si="80"/>
        <v>381.87951189825776</v>
      </c>
      <c r="H243" s="3">
        <f t="shared" si="81"/>
        <v>1243.0480635307504</v>
      </c>
      <c r="I243" s="3">
        <f t="shared" si="82"/>
        <v>1298.255236092356</v>
      </c>
      <c r="J243" s="1">
        <f>VLOOKUP((A243+Forudsætninger!$C$60),'Model tilvækst, slagteform, fe'!G:K,2,FALSE)*(1+Forudsætninger!$C$79)</f>
        <v>50.691243596193075</v>
      </c>
      <c r="K243" s="17">
        <f t="shared" si="78"/>
        <v>193.57947362029898</v>
      </c>
      <c r="L243" s="17">
        <f t="shared" si="91"/>
        <v>664.16175045031878</v>
      </c>
      <c r="M243" s="3">
        <f>((K243-(('Model tilvækst, slagteform, fe'!$H$9/100)*'Model tilvækst, slagteform, fe'!$B$9))*1000/(A243+Forudsætninger!$C$60))</f>
        <v>618.33060568532176</v>
      </c>
      <c r="N243" s="17">
        <f t="shared" si="92"/>
        <v>1318.7484439478951</v>
      </c>
      <c r="O243" s="19">
        <f>IF( A243&lt;Forudsætninger!$C$14,(G243/100)*Forudsætninger!$C$13,(Forudsætninger!$C$15/1000)*Forudsætninger!$C$13)</f>
        <v>2.4822168273386755</v>
      </c>
      <c r="P243" s="17" cm="1">
        <f t="array" ref="P243">INDEX('Model tilvækst, slagteform, fe'!$N$9:$N$375,MATCH(MIN(ABS('Model tilvækst, slagteform, fe'!$M$9:$M$375-'Vækstfunktion, hol'!G243)),ABS('Model tilvækst, slagteform, fe'!$M$9:$M$375-'Vækstfunktion, hol'!G243),0))*(1+Forudsætninger!$C$80)</f>
        <v>7.5577684596530652</v>
      </c>
      <c r="Q243" s="17">
        <f t="shared" si="93"/>
        <v>11.379409390150371</v>
      </c>
      <c r="R243" s="17">
        <f>N243/(K243-$K$2)</f>
        <v>8.1676601920593512</v>
      </c>
      <c r="S243" s="17">
        <f t="shared" si="83"/>
        <v>4.2148763143581167</v>
      </c>
      <c r="T243" s="19">
        <f>(P243)*IF(N243&lt;Forudsætninger!$B$228,IF(N243&lt;Forudsætninger!$B$227,Forudsætninger!$B$225,Forudsætninger!$C$9),Forudsætninger!$C$11)+O243</f>
        <v>20.167395022926847</v>
      </c>
      <c r="U243" s="2">
        <f>Forudsætninger!$C$68+((K243-(Forudsætninger!$C$84)))*0.01</f>
        <v>3.6328475951916301</v>
      </c>
      <c r="V243" s="2">
        <f>U243+Forudsætninger!$C$69</f>
        <v>2.6328475951916301</v>
      </c>
      <c r="W243">
        <f t="shared" si="84"/>
        <v>1</v>
      </c>
      <c r="X243">
        <f>IF(A243+Forudsætninger!$C$60&gt;248,IF(A243+Forudsætninger!$C$60&lt;365,IF(K243&gt;180,IF(K243&lt;260,1,0),0),0),0)</f>
        <v>1</v>
      </c>
      <c r="Y243" s="22">
        <f>IF(X243=0,0,IF('Vækstfunktion, hol'!A243&lt;Forudsætninger!$C$66,Forudsætninger!$C$67+(('Vækstfunktion, hol'!A243-Forudsætninger!$C$66)/7)*Forudsætninger!$C$64,Forudsætninger!$C$67))</f>
        <v>0.91228571428571414</v>
      </c>
      <c r="Z243" s="19">
        <f t="shared" si="95"/>
        <v>3948.024405174428</v>
      </c>
      <c r="AA243" s="19">
        <f>Forudsætninger!$C$62+Forudsætninger!$C$16</f>
        <v>1350</v>
      </c>
      <c r="AB243" s="19">
        <f>IF(K243&gt;Forudsætninger!$C$26,IF(K243&gt;Forudsætninger!$C$27,IF(K243&gt;Forudsætninger!$C$28,Forudsætninger!$E$28,Forudsætninger!$E$27+Forudsætninger!$F$28*(K243-Forudsætninger!$C$27)),Forudsætninger!$E$26+Forudsætninger!$F$27*(K243-Forudsætninger!$C$26)),Forudsætninger!$E$26)+IF(K243&gt;Forudsætninger!$C$28,Forudsætninger!$G$28,IF(K243&gt;Forudsætninger!$C$27,Forudsætninger!$G$27+Forudsætninger!$H$28*(K243-Forudsætninger!$C$27),IF(K243&gt;Forudsætninger!$C$26,Forudsætninger!$G$26+Forudsætninger!$H$27*(K243-Forudsætninger!$C$26),Forudsætninger!$G$26)))*(U243-Forudsætninger!$H$26)</f>
        <v>34.572549729138025</v>
      </c>
      <c r="AC243" s="19">
        <f>IF(K243&gt;Forudsætninger!$C$31,IF(K243&gt;Forudsætninger!$C$32,IF(K243&gt;Forudsætninger!$C$33,Forudsætninger!$E$33,Forudsætninger!$E$32+Forudsætninger!$F$33*(K243-Forudsætninger!$C$32)),Forudsætninger!$E$31+Forudsætninger!$F$32*(K243-Forudsætninger!$C$31)),Forudsætninger!$E$31)+IF(K243&gt;Forudsætninger!$C$33,Forudsætninger!$G$33,IF(K243&gt;Forudsætninger!$C$32,Forudsætninger!$G$32+Forudsætninger!$H$33*(K243-Forudsætninger!$C$32),IF(K243&gt;Forudsætninger!$C$31,Forudsætninger!$G$31+Forudsætninger!$H$32*(K243-Forudsætninger!$C$31),Forudsætninger!$G$31)))*(V243-Forudsætninger!$H$31)</f>
        <v>27.822701873749118</v>
      </c>
      <c r="AD243" s="19">
        <f t="shared" si="85"/>
        <v>6577.9256861572831</v>
      </c>
      <c r="AE243" s="19">
        <f t="shared" si="86"/>
        <v>33.980491645822482</v>
      </c>
      <c r="AF243">
        <f>IF(G243&lt;=Forudsætninger!$C$97,Forudsætninger!$C$98,(IF(G243&lt;=Forudsætninger!$D$97,Forudsætninger!$D$98,IF(G243&lt;=Forudsætninger!$E$97,Forudsætninger!$E$98,IF(G243&lt;=Forudsætninger!$F$97,Forudsætninger!$F$98,IF(G243&lt;=Forudsætninger!$G$97,Forudsætninger!$G$98,IF(G243&lt;=Forudsætninger!$H$97,Forudsætninger!$H$98,IF(G243&lt;=Forudsætninger!$I$97,Forudsætninger!$I$98,Forudsætninger!$I$98))))))))</f>
        <v>3.8</v>
      </c>
      <c r="AG243" s="1">
        <f t="shared" si="96"/>
        <v>4.4000000000000004</v>
      </c>
      <c r="AH243" s="1">
        <f t="shared" si="100"/>
        <v>735.59999999999741</v>
      </c>
      <c r="AI243" s="1">
        <f t="shared" si="87"/>
        <v>3.0522821576763377</v>
      </c>
      <c r="AJ243" s="20">
        <f>+(W243*Forudsætninger!$C$12)</f>
        <v>900</v>
      </c>
      <c r="AK243" s="20">
        <f>Forudsætninger!$C$17</f>
        <v>250</v>
      </c>
      <c r="AL243" s="20">
        <f>IF(A243&lt;92,Forudsætninger!$C$20,Forudsætninger!$C$21)</f>
        <v>1.0566762728146013</v>
      </c>
      <c r="AM243" s="20">
        <f t="shared" si="97"/>
        <v>523.16446460161103</v>
      </c>
      <c r="AN243" s="20">
        <f>IFERROR(AD243+AJ243-AA243-Z243-AK243-AM243-Forudsætninger!$C$75,-99999999)</f>
        <v>1224.3426238318493</v>
      </c>
      <c r="AO243" s="19">
        <f>IFERROR(AN243/(A243+Forudsætninger!$C$74),-99999999)</f>
        <v>5.080259849924686</v>
      </c>
      <c r="AP243" s="19">
        <f>IFERROR(((365/(A243+Forudsætninger!$C$74))*AN243)/(AI243+Forudsætninger!$C$73),-9999999)</f>
        <v>586.37868247185645</v>
      </c>
      <c r="AQ243" s="18">
        <f t="shared" si="88"/>
        <v>241</v>
      </c>
      <c r="AR243" s="18">
        <f t="shared" si="98"/>
        <v>6071.1888697760396</v>
      </c>
      <c r="AS243" s="52">
        <f t="shared" si="79"/>
        <v>9.1999999999999993</v>
      </c>
      <c r="AT243" s="50">
        <f t="shared" si="101"/>
        <v>12.216668599306331</v>
      </c>
      <c r="AU243" s="50">
        <f t="shared" si="102"/>
        <v>2.9735036455757147E-2</v>
      </c>
      <c r="AV243" s="2">
        <f t="shared" si="103"/>
        <v>2.3950847159434261</v>
      </c>
      <c r="AW243" s="61">
        <f t="shared" si="99"/>
        <v>7.2510667569853133</v>
      </c>
      <c r="BA243" s="16"/>
      <c r="BB243" s="2"/>
    </row>
    <row r="244" spans="1:54" x14ac:dyDescent="0.25">
      <c r="A244">
        <v>242</v>
      </c>
      <c r="B244" s="1">
        <f>ROUND((A244+Forudsætninger!$C$60)/30.4,1)</f>
        <v>9.1999999999999993</v>
      </c>
      <c r="C244" s="1">
        <f>VLOOKUP((A244+Forudsætninger!$C$60),'Model tilvækst, slagteform, fe'!A:B,2,FALSE)</f>
        <v>411.9555060855414</v>
      </c>
      <c r="D244" s="3">
        <f t="shared" si="89"/>
        <v>1332.375012145917</v>
      </c>
      <c r="E244" s="1">
        <f>(1+Forudsætninger!$C$78)*C244</f>
        <v>383.11862065955347</v>
      </c>
      <c r="F244" s="2">
        <f t="shared" si="90"/>
        <v>0</v>
      </c>
      <c r="G244" s="1">
        <f t="shared" si="80"/>
        <v>383.11862065955347</v>
      </c>
      <c r="H244" s="3">
        <f t="shared" si="81"/>
        <v>1239.1087612957108</v>
      </c>
      <c r="I244" s="3">
        <f t="shared" si="82"/>
        <v>1298.0108291717086</v>
      </c>
      <c r="J244" s="1">
        <f>VLOOKUP((A244+Forudsætninger!$C$60),'Model tilvækst, slagteform, fe'!G:K,2,FALSE)*(1+Forudsætninger!$C$79)</f>
        <v>50.700104446681671</v>
      </c>
      <c r="K244" s="17">
        <f t="shared" si="78"/>
        <v>194.24154082907975</v>
      </c>
      <c r="L244" s="17">
        <f t="shared" si="91"/>
        <v>662.06720878076908</v>
      </c>
      <c r="M244" s="3">
        <f>((K244-(('Model tilvækst, slagteform, fe'!$H$9/100)*'Model tilvækst, slagteform, fe'!$B$9))*1000/(A244+Forudsætninger!$C$60))</f>
        <v>618.4862519596827</v>
      </c>
      <c r="N244" s="17">
        <f t="shared" si="92"/>
        <v>1326.3240916960692</v>
      </c>
      <c r="O244" s="19">
        <f>IF( A244&lt;Forudsætninger!$C$14,(G244/100)*Forudsætninger!$C$13,(Forudsætninger!$C$15/1000)*Forudsætninger!$C$13)</f>
        <v>2.4902710342870975</v>
      </c>
      <c r="P244" s="17" cm="1">
        <f t="array" ref="P244">INDEX('Model tilvækst, slagteform, fe'!$N$9:$N$375,MATCH(MIN(ABS('Model tilvækst, slagteform, fe'!$M$9:$M$375-'Vækstfunktion, hol'!G244)),ABS('Model tilvækst, slagteform, fe'!$M$9:$M$375-'Vækstfunktion, hol'!G244),0))*(1+Forudsætninger!$C$80)</f>
        <v>7.5756477481740072</v>
      </c>
      <c r="Q244" s="17">
        <f t="shared" si="93"/>
        <v>11.442414980988039</v>
      </c>
      <c r="R244" s="17">
        <f t="shared" si="94"/>
        <v>8.1810335164101957</v>
      </c>
      <c r="S244" s="17">
        <f t="shared" si="83"/>
        <v>4.2223669800637493</v>
      </c>
      <c r="T244" s="19">
        <f>(P244)*IF(N244&lt;Forudsætninger!$B$228,IF(N244&lt;Forudsætninger!$B$227,Forudsætninger!$B$225,Forudsætninger!$C$9),Forudsætninger!$C$11)+O244</f>
        <v>20.217286765014272</v>
      </c>
      <c r="U244" s="2">
        <f>Forudsætninger!$C$68+((K244-(Forudsætninger!$C$84)))*0.01</f>
        <v>3.6394682672794376</v>
      </c>
      <c r="V244" s="2">
        <f>U244+Forudsætninger!$C$69</f>
        <v>2.6394682672794376</v>
      </c>
      <c r="W244">
        <f t="shared" si="84"/>
        <v>1</v>
      </c>
      <c r="X244">
        <f>IF(A244+Forudsætninger!$C$60&gt;248,IF(A244+Forudsætninger!$C$60&lt;365,IF(K244&gt;180,IF(K244&lt;260,1,0),0),0),0)</f>
        <v>1</v>
      </c>
      <c r="Y244" s="22">
        <f>IF(X244=0,0,IF('Vækstfunktion, hol'!A244&lt;Forudsætninger!$C$66,Forudsætninger!$C$67+(('Vækstfunktion, hol'!A244-Forudsætninger!$C$66)/7)*Forudsætninger!$C$64,Forudsætninger!$C$67))</f>
        <v>0.91657142857142848</v>
      </c>
      <c r="Z244" s="19">
        <f t="shared" si="95"/>
        <v>3968.2416919394423</v>
      </c>
      <c r="AA244" s="19">
        <f>Forudsætninger!$C$62+Forudsætninger!$C$16</f>
        <v>1350</v>
      </c>
      <c r="AB244" s="19">
        <f>IF(K244&gt;Forudsætninger!$C$26,IF(K244&gt;Forudsætninger!$C$27,IF(K244&gt;Forudsætninger!$C$28,Forudsætninger!$E$28,Forudsætninger!$E$27+Forudsætninger!$F$28*(K244-Forudsætninger!$C$27)),Forudsætninger!$E$26+Forudsætninger!$F$27*(K244-Forudsætninger!$C$26)),Forudsætninger!$E$26)+IF(K244&gt;Forudsætninger!$C$28,Forudsætninger!$G$28,IF(K244&gt;Forudsætninger!$C$27,Forudsætninger!$G$27+Forudsætninger!$H$28*(K244-Forudsætninger!$C$27),IF(K244&gt;Forudsætninger!$C$26,Forudsætninger!$G$26+Forudsætninger!$H$27*(K244-Forudsætninger!$C$26),Forudsætninger!$G$26)))*(U244-Forudsætninger!$H$26)</f>
        <v>34.601791030859168</v>
      </c>
      <c r="AC244" s="19">
        <f>IF(K244&gt;Forudsætninger!$C$31,IF(K244&gt;Forudsætninger!$C$32,IF(K244&gt;Forudsætninger!$C$33,Forudsætninger!$E$33,Forudsætninger!$E$32+Forudsætninger!$F$33*(K244-Forudsætninger!$C$32)),Forudsætninger!$E$31+Forudsætninger!$F$32*(K244-Forudsætninger!$C$31)),Forudsætninger!$E$31)+IF(K244&gt;Forudsætninger!$C$33,Forudsætninger!$G$33,IF(K244&gt;Forudsætninger!$C$32,Forudsætninger!$G$32+Forudsætninger!$H$33*(K244-Forudsætninger!$C$32),IF(K244&gt;Forudsætninger!$C$31,Forudsætninger!$G$31+Forudsætninger!$H$32*(K244-Forudsætninger!$C$31),Forudsætninger!$G$31)))*(V244-Forudsætninger!$H$31)</f>
        <v>27.831308747463268</v>
      </c>
      <c r="AD244" s="19">
        <f t="shared" si="85"/>
        <v>6611.3875475719788</v>
      </c>
      <c r="AE244" s="19">
        <f t="shared" si="86"/>
        <v>34.036939366072993</v>
      </c>
      <c r="AF244">
        <f>IF(G244&lt;=Forudsætninger!$C$97,Forudsætninger!$C$98,(IF(G244&lt;=Forudsætninger!$D$97,Forudsætninger!$D$98,IF(G244&lt;=Forudsætninger!$E$97,Forudsætninger!$E$98,IF(G244&lt;=Forudsætninger!$F$97,Forudsætninger!$F$98,IF(G244&lt;=Forudsætninger!$G$97,Forudsætninger!$G$98,IF(G244&lt;=Forudsætninger!$H$97,Forudsætninger!$H$98,IF(G244&lt;=Forudsætninger!$I$97,Forudsætninger!$I$98,Forudsætninger!$I$98))))))))</f>
        <v>3.8</v>
      </c>
      <c r="AG244" s="1">
        <f t="shared" si="96"/>
        <v>4.4000000000000004</v>
      </c>
      <c r="AH244" s="1">
        <f t="shared" si="100"/>
        <v>739.99999999999739</v>
      </c>
      <c r="AI244" s="1">
        <f t="shared" si="87"/>
        <v>3.0578512396694109</v>
      </c>
      <c r="AJ244" s="20">
        <f>+(W244*Forudsætninger!$C$12)</f>
        <v>900</v>
      </c>
      <c r="AK244" s="20">
        <f>Forudsætninger!$C$17</f>
        <v>250</v>
      </c>
      <c r="AL244" s="20">
        <f>IF(A244&lt;92,Forudsætninger!$C$20,Forudsætninger!$C$21)</f>
        <v>1.0566762728146013</v>
      </c>
      <c r="AM244" s="20">
        <f t="shared" si="97"/>
        <v>524.2211408744256</v>
      </c>
      <c r="AN244" s="20">
        <f>IFERROR(AD244+AJ244-AA244-Z244-AK244-AM244-Forudsætninger!$C$75,-99999999)</f>
        <v>1236.5305222087163</v>
      </c>
      <c r="AO244" s="19">
        <f>IFERROR(AN244/(A244+Forudsætninger!$C$74),-99999999)</f>
        <v>5.109630257060811</v>
      </c>
      <c r="AP244" s="19">
        <f>IFERROR(((365/(A244+Forudsætninger!$C$74))*AN244)/(AI244+Forudsætninger!$C$73),-9999999)</f>
        <v>588.7318888186885</v>
      </c>
      <c r="AQ244" s="18">
        <f t="shared" si="88"/>
        <v>242</v>
      </c>
      <c r="AR244" s="18">
        <f t="shared" si="98"/>
        <v>6092.4628328138679</v>
      </c>
      <c r="AS244" s="52">
        <f t="shared" si="79"/>
        <v>9.1999999999999993</v>
      </c>
      <c r="AT244" s="50">
        <f t="shared" si="101"/>
        <v>12.187898376866997</v>
      </c>
      <c r="AU244" s="50">
        <f t="shared" si="102"/>
        <v>2.9370407136124932E-2</v>
      </c>
      <c r="AV244" s="2">
        <f t="shared" si="103"/>
        <v>2.353206346832053</v>
      </c>
      <c r="AW244" s="61">
        <f t="shared" si="99"/>
        <v>7.2758333185253798</v>
      </c>
      <c r="BA244" s="16"/>
      <c r="BB244" s="2"/>
    </row>
    <row r="245" spans="1:54" ht="14.25" customHeight="1" x14ac:dyDescent="0.25">
      <c r="A245">
        <v>243</v>
      </c>
      <c r="B245" s="1">
        <f>ROUND((A245+Forudsætninger!$C$60)/30.4,1)</f>
        <v>9.3000000000000007</v>
      </c>
      <c r="C245" s="1">
        <f>VLOOKUP((A245+Forudsætninger!$C$60),'Model tilvækst, slagteform, fe'!A:B,2,FALSE)</f>
        <v>413.28363526033036</v>
      </c>
      <c r="D245" s="3">
        <f t="shared" si="89"/>
        <v>1328.1291747889554</v>
      </c>
      <c r="E245" s="1">
        <f>(1+Forudsætninger!$C$78)*C245</f>
        <v>384.35378079210722</v>
      </c>
      <c r="F245" s="2">
        <f t="shared" si="90"/>
        <v>0</v>
      </c>
      <c r="G245" s="1">
        <f t="shared" si="80"/>
        <v>384.35378079210722</v>
      </c>
      <c r="H245" s="3">
        <f t="shared" si="81"/>
        <v>1235.1601325537445</v>
      </c>
      <c r="I245" s="3">
        <f t="shared" si="82"/>
        <v>1297.7521843296593</v>
      </c>
      <c r="J245" s="1">
        <f>VLOOKUP((A245+Forudsætninger!$C$60),'Model tilvækst, slagteform, fe'!G:K,2,FALSE)*(1+Forudsætninger!$C$79)</f>
        <v>50.708885806647835</v>
      </c>
      <c r="K245" s="17">
        <f t="shared" si="78"/>
        <v>194.90151979540317</v>
      </c>
      <c r="L245" s="17">
        <f t="shared" si="91"/>
        <v>659.9789663234219</v>
      </c>
      <c r="M245" s="3">
        <f>((K245-(('Model tilvækst, slagteform, fe'!$H$9/100)*'Model tilvækst, slagteform, fe'!$B$9))*1000/(A245+Forudsætninger!$C$60))</f>
        <v>618.63338924466052</v>
      </c>
      <c r="N245" s="17">
        <f t="shared" si="92"/>
        <v>1333.9088218175798</v>
      </c>
      <c r="O245" s="19">
        <f>IF( A245&lt;Forudsætninger!$C$14,(G245/100)*Forudsætninger!$C$13,(Forudsætninger!$C$15/1000)*Forudsætninger!$C$13)</f>
        <v>2.4982995751486969</v>
      </c>
      <c r="P245" s="17" cm="1">
        <f t="array" ref="P245">INDEX('Model tilvækst, slagteform, fe'!$N$9:$N$375,MATCH(MIN(ABS('Model tilvækst, slagteform, fe'!$M$9:$M$375-'Vækstfunktion, hol'!G245)),ABS('Model tilvækst, slagteform, fe'!$M$9:$M$375-'Vækstfunktion, hol'!G245),0))*(1+Forudsætninger!$C$80)</f>
        <v>7.584730121510467</v>
      </c>
      <c r="Q245" s="17">
        <f t="shared" si="93"/>
        <v>11.492381588708964</v>
      </c>
      <c r="R245" s="17">
        <f t="shared" si="94"/>
        <v>8.1944589731389144</v>
      </c>
      <c r="S245" s="17">
        <f t="shared" si="83"/>
        <v>4.2298805438991751</v>
      </c>
      <c r="T245" s="19">
        <f>(P245)*IF(N245&lt;Forudsætninger!$B$228,IF(N245&lt;Forudsætninger!$B$227,Forudsætninger!$B$225,Forudsætninger!$C$9),Forudsætninger!$C$11)+O245</f>
        <v>20.246568059483188</v>
      </c>
      <c r="U245" s="2">
        <f>Forudsætninger!$C$68+((K245-(Forudsætninger!$C$84)))*0.01</f>
        <v>3.646068056942672</v>
      </c>
      <c r="V245" s="2">
        <f>U245+Forudsætninger!$C$69</f>
        <v>2.646068056942672</v>
      </c>
      <c r="W245">
        <f t="shared" si="84"/>
        <v>1</v>
      </c>
      <c r="X245">
        <f>IF(A245+Forudsætninger!$C$60&gt;248,IF(A245+Forudsætninger!$C$60&lt;365,IF(K245&gt;180,IF(K245&lt;260,1,0),0),0),0)</f>
        <v>1</v>
      </c>
      <c r="Y245" s="22">
        <f>IF(X245=0,0,IF('Vækstfunktion, hol'!A245&lt;Forudsætninger!$C$66,Forudsætninger!$C$67+(('Vækstfunktion, hol'!A245-Forudsætninger!$C$66)/7)*Forudsætninger!$C$64,Forudsætninger!$C$67))</f>
        <v>0.92085714285714282</v>
      </c>
      <c r="Z245" s="19">
        <f t="shared" si="95"/>
        <v>3988.4882599989255</v>
      </c>
      <c r="AA245" s="19">
        <f>Forudsætninger!$C$62+Forudsætninger!$C$16</f>
        <v>1350</v>
      </c>
      <c r="AB245" s="19">
        <f>IF(K245&gt;Forudsætninger!$C$26,IF(K245&gt;Forudsætninger!$C$27,IF(K245&gt;Forudsætninger!$C$28,Forudsætninger!$E$28,Forudsætninger!$E$27+Forudsætninger!$F$28*(K245-Forudsætninger!$C$27)),Forudsætninger!$E$26+Forudsætninger!$F$27*(K245-Forudsætninger!$C$26)),Forudsætninger!$E$26)+IF(K245&gt;Forudsætninger!$C$28,Forudsætninger!$G$28,IF(K245&gt;Forudsætninger!$C$27,Forudsætninger!$G$27+Forudsætninger!$H$28*(K245-Forudsætninger!$C$27),IF(K245&gt;Forudsætninger!$C$26,Forudsætninger!$G$26+Forudsætninger!$H$27*(K245-Forudsætninger!$C$26),Forudsætninger!$G$26)))*(U245-Forudsætninger!$H$26)</f>
        <v>34.630940101871786</v>
      </c>
      <c r="AC245" s="19">
        <f>IF(K245&gt;Forudsætninger!$C$31,IF(K245&gt;Forudsætninger!$C$32,IF(K245&gt;Forudsætninger!$C$33,Forudsætninger!$E$33,Forudsætninger!$E$32+Forudsætninger!$F$33*(K245-Forudsætninger!$C$32)),Forudsætninger!$E$31+Forudsætninger!$F$32*(K245-Forudsætninger!$C$31)),Forudsætninger!$E$31)+IF(K245&gt;Forudsætninger!$C$33,Forudsætninger!$G$33,IF(K245&gt;Forudsætninger!$C$32,Forudsætninger!$G$32+Forudsætninger!$H$33*(K245-Forudsætninger!$C$32),IF(K245&gt;Forudsætninger!$C$31,Forudsætninger!$G$31+Forudsætninger!$H$32*(K245-Forudsætninger!$C$31),Forudsætninger!$G$31)))*(V245-Forudsætninger!$H$31)</f>
        <v>27.839888474025475</v>
      </c>
      <c r="AD245" s="19">
        <f t="shared" si="85"/>
        <v>6644.8704576648051</v>
      </c>
      <c r="AE245" s="19">
        <f t="shared" si="86"/>
        <v>34.093476873039378</v>
      </c>
      <c r="AF245">
        <f>IF(G245&lt;=Forudsætninger!$C$97,Forudsætninger!$C$98,(IF(G245&lt;=Forudsætninger!$D$97,Forudsætninger!$D$98,IF(G245&lt;=Forudsætninger!$E$97,Forudsætninger!$E$98,IF(G245&lt;=Forudsætninger!$F$97,Forudsætninger!$F$98,IF(G245&lt;=Forudsætninger!$G$97,Forudsætninger!$G$98,IF(G245&lt;=Forudsætninger!$H$97,Forudsætninger!$H$98,IF(G245&lt;=Forudsætninger!$I$97,Forudsætninger!$I$98,Forudsætninger!$I$98))))))))</f>
        <v>3.8</v>
      </c>
      <c r="AG245" s="1">
        <f t="shared" si="96"/>
        <v>4.4000000000000004</v>
      </c>
      <c r="AH245" s="1">
        <f t="shared" si="100"/>
        <v>744.39999999999736</v>
      </c>
      <c r="AI245" s="1">
        <f t="shared" si="87"/>
        <v>3.0633744855966971</v>
      </c>
      <c r="AJ245" s="20">
        <f>+(W245*Forudsætninger!$C$12)</f>
        <v>900</v>
      </c>
      <c r="AK245" s="20">
        <f>Forudsætninger!$C$17</f>
        <v>250</v>
      </c>
      <c r="AL245" s="20">
        <f>IF(A245&lt;92,Forudsætninger!$C$20,Forudsætninger!$C$21)</f>
        <v>1.0566762728146013</v>
      </c>
      <c r="AM245" s="20">
        <f t="shared" si="97"/>
        <v>525.27781714724017</v>
      </c>
      <c r="AN245" s="20">
        <f>IFERROR(AD245+AJ245-AA245-Z245-AK245-AM245-Forudsætninger!$C$75,-99999999)</f>
        <v>1248.710187969245</v>
      </c>
      <c r="AO245" s="19">
        <f>IFERROR(AN245/(A245+Forudsætninger!$C$74),-99999999)</f>
        <v>5.1387250533713784</v>
      </c>
      <c r="AP245" s="19">
        <f>IFERROR(((365/(A245+Forudsætninger!$C$74))*AN245)/(AI245+Forudsætninger!$C$73),-9999999)</f>
        <v>591.05367267357769</v>
      </c>
      <c r="AQ245" s="18">
        <f t="shared" si="88"/>
        <v>243</v>
      </c>
      <c r="AR245" s="18">
        <f t="shared" si="98"/>
        <v>6113.7660771461651</v>
      </c>
      <c r="AS245" s="52">
        <f t="shared" si="79"/>
        <v>9.3000000000000007</v>
      </c>
      <c r="AT245" s="50">
        <f t="shared" si="101"/>
        <v>12.179665760528678</v>
      </c>
      <c r="AU245" s="50">
        <f t="shared" si="102"/>
        <v>2.9094796310567439E-2</v>
      </c>
      <c r="AV245" s="2">
        <f t="shared" si="103"/>
        <v>2.3217838548891905</v>
      </c>
      <c r="AW245" s="61">
        <f t="shared" si="99"/>
        <v>7.3003621609731892</v>
      </c>
      <c r="BA245" s="16"/>
      <c r="BB245" s="2"/>
    </row>
    <row r="246" spans="1:54" x14ac:dyDescent="0.25">
      <c r="A246">
        <v>244</v>
      </c>
      <c r="B246" s="1">
        <f>ROUND((A246+Forudsætninger!$C$60)/30.4,1)</f>
        <v>9.3000000000000007</v>
      </c>
      <c r="C246" s="1">
        <f>VLOOKUP((A246+Forudsætninger!$C$60),'Model tilvækst, slagteform, fe'!A:B,2,FALSE)</f>
        <v>414.6075091036073</v>
      </c>
      <c r="D246" s="3">
        <f t="shared" si="89"/>
        <v>1323.8738432769424</v>
      </c>
      <c r="E246" s="1">
        <f>(1+Forudsætninger!$C$78)*C246</f>
        <v>385.58498346635474</v>
      </c>
      <c r="F246" s="2">
        <f t="shared" si="90"/>
        <v>0</v>
      </c>
      <c r="G246" s="1">
        <f t="shared" si="80"/>
        <v>385.58498346635474</v>
      </c>
      <c r="H246" s="3">
        <f t="shared" si="81"/>
        <v>1231.2026742475268</v>
      </c>
      <c r="I246" s="3">
        <f t="shared" si="82"/>
        <v>1297.47944043588</v>
      </c>
      <c r="J246" s="1">
        <f>VLOOKUP((A246+Forudsætninger!$C$60),'Model tilvækst, slagteform, fe'!G:K,2,FALSE)*(1+Forudsætninger!$C$79)</f>
        <v>50.71759162491697</v>
      </c>
      <c r="K246" s="17">
        <f t="shared" si="78"/>
        <v>195.55941728146942</v>
      </c>
      <c r="L246" s="17">
        <f t="shared" si="91"/>
        <v>657.89748606624698</v>
      </c>
      <c r="M246" s="3">
        <f>((K246-(('Model tilvækst, slagteform, fe'!$H$9/100)*'Model tilvækst, slagteform, fe'!$B$9))*1000/(A246+Forudsætninger!$C$60))</f>
        <v>618.77213163625629</v>
      </c>
      <c r="N246" s="17">
        <f t="shared" si="92"/>
        <v>1341.5027316923886</v>
      </c>
      <c r="O246" s="19">
        <f>IF( A246&lt;Forudsætninger!$C$14,(G246/100)*Forudsætninger!$C$13,(Forudsætninger!$C$15/1000)*Forudsætninger!$C$13)</f>
        <v>2.5063023925313059</v>
      </c>
      <c r="P246" s="17" cm="1">
        <f t="array" ref="P246">INDEX('Model tilvækst, slagteform, fe'!$N$9:$N$375,MATCH(MIN(ABS('Model tilvækst, slagteform, fe'!$M$9:$M$375-'Vækstfunktion, hol'!G246)),ABS('Model tilvækst, slagteform, fe'!$M$9:$M$375-'Vækstfunktion, hol'!G246),0))*(1+Forudsætninger!$C$80)</f>
        <v>7.5939098748087899</v>
      </c>
      <c r="Q246" s="17">
        <f t="shared" si="93"/>
        <v>11.542694774857555</v>
      </c>
      <c r="R246" s="17">
        <f t="shared" si="94"/>
        <v>8.2079367015278155</v>
      </c>
      <c r="S246" s="17">
        <f t="shared" si="83"/>
        <v>4.2374174447694788</v>
      </c>
      <c r="T246" s="19">
        <f>(P246)*IF(N246&lt;Forudsætninger!$B$228,IF(N246&lt;Forudsætninger!$B$227,Forudsætninger!$B$225,Forudsætninger!$C$9),Forudsætninger!$C$11)+O246</f>
        <v>20.276051499583875</v>
      </c>
      <c r="U246" s="2">
        <f>Forudsætninger!$C$68+((K246-(Forudsætninger!$C$84)))*0.01</f>
        <v>3.6526470318033346</v>
      </c>
      <c r="V246" s="2">
        <f>U246+Forudsætninger!$C$69</f>
        <v>2.6526470318033346</v>
      </c>
      <c r="W246">
        <f t="shared" si="84"/>
        <v>1</v>
      </c>
      <c r="X246">
        <f>IF(A246+Forudsætninger!$C$60&gt;248,IF(A246+Forudsætninger!$C$60&lt;365,IF(K246&gt;180,IF(K246&lt;260,1,0),0),0),0)</f>
        <v>1</v>
      </c>
      <c r="Y246" s="22">
        <f>IF(X246=0,0,IF('Vækstfunktion, hol'!A246&lt;Forudsætninger!$C$66,Forudsætninger!$C$67+(('Vækstfunktion, hol'!A246-Forudsætninger!$C$66)/7)*Forudsætninger!$C$64,Forudsætninger!$C$67))</f>
        <v>0.92514285714285704</v>
      </c>
      <c r="Z246" s="19">
        <f t="shared" si="95"/>
        <v>4008.7643114985094</v>
      </c>
      <c r="AA246" s="19">
        <f>Forudsætninger!$C$62+Forudsætninger!$C$16</f>
        <v>1350</v>
      </c>
      <c r="AB246" s="19">
        <f>IF(K246&gt;Forudsætninger!$C$26,IF(K246&gt;Forudsætninger!$C$27,IF(K246&gt;Forudsætninger!$C$28,Forudsætninger!$E$28,Forudsætninger!$E$27+Forudsætninger!$F$28*(K246-Forudsætninger!$C$27)),Forudsætninger!$E$26+Forudsætninger!$F$27*(K246-Forudsætninger!$C$26)),Forudsætninger!$E$26)+IF(K246&gt;Forudsætninger!$C$28,Forudsætninger!$G$28,IF(K246&gt;Forudsætninger!$C$27,Forudsætninger!$G$27+Forudsætninger!$H$28*(K246-Forudsætninger!$C$27),IF(K246&gt;Forudsætninger!$C$26,Forudsætninger!$G$26+Forudsætninger!$H$27*(K246-Forudsætninger!$C$26),Forudsætninger!$G$26)))*(U246-Forudsætninger!$H$26)</f>
        <v>34.659997240839715</v>
      </c>
      <c r="AC246" s="19">
        <f>IF(K246&gt;Forudsætninger!$C$31,IF(K246&gt;Forudsætninger!$C$32,IF(K246&gt;Forudsætninger!$C$33,Forudsætninger!$E$33,Forudsætninger!$E$32+Forudsætninger!$F$33*(K246-Forudsætninger!$C$32)),Forudsætninger!$E$31+Forudsætninger!$F$32*(K246-Forudsætninger!$C$31)),Forudsætninger!$E$31)+IF(K246&gt;Forudsætninger!$C$33,Forudsætninger!$G$33,IF(K246&gt;Forudsætninger!$C$32,Forudsætninger!$G$32+Forudsætninger!$H$33*(K246-Forudsætninger!$C$32),IF(K246&gt;Forudsætninger!$C$31,Forudsætninger!$G$31+Forudsætninger!$H$32*(K246-Forudsætninger!$C$31),Forudsætninger!$G$31)))*(V246-Forudsætninger!$H$31)</f>
        <v>27.848441141344335</v>
      </c>
      <c r="AD246" s="19">
        <f t="shared" si="85"/>
        <v>6678.3743626249507</v>
      </c>
      <c r="AE246" s="19">
        <f t="shared" si="86"/>
        <v>34.150103612820345</v>
      </c>
      <c r="AF246">
        <f>IF(G246&lt;=Forudsætninger!$C$97,Forudsætninger!$C$98,(IF(G246&lt;=Forudsætninger!$D$97,Forudsætninger!$D$98,IF(G246&lt;=Forudsætninger!$E$97,Forudsætninger!$E$98,IF(G246&lt;=Forudsætninger!$F$97,Forudsætninger!$F$98,IF(G246&lt;=Forudsætninger!$G$97,Forudsætninger!$G$98,IF(G246&lt;=Forudsætninger!$H$97,Forudsætninger!$H$98,IF(G246&lt;=Forudsætninger!$I$97,Forudsætninger!$I$98,Forudsætninger!$I$98))))))))</f>
        <v>3.8</v>
      </c>
      <c r="AG246" s="1">
        <f t="shared" si="96"/>
        <v>4.4000000000000004</v>
      </c>
      <c r="AH246" s="1">
        <f t="shared" si="100"/>
        <v>748.79999999999734</v>
      </c>
      <c r="AI246" s="1">
        <f t="shared" si="87"/>
        <v>3.0688524590163824</v>
      </c>
      <c r="AJ246" s="20">
        <f>+(W246*Forudsætninger!$C$12)</f>
        <v>900</v>
      </c>
      <c r="AK246" s="20">
        <f>Forudsætninger!$C$17</f>
        <v>250</v>
      </c>
      <c r="AL246" s="20">
        <f>IF(A246&lt;92,Forudsætninger!$C$20,Forudsætninger!$C$21)</f>
        <v>1.0566762728146013</v>
      </c>
      <c r="AM246" s="20">
        <f t="shared" si="97"/>
        <v>526.33449342005474</v>
      </c>
      <c r="AN246" s="20">
        <f>IFERROR(AD246+AJ246-AA246-Z246-AK246-AM246-Forudsætninger!$C$75,-99999999)</f>
        <v>1260.8813651569919</v>
      </c>
      <c r="AO246" s="19">
        <f>IFERROR(AN246/(A246+Forudsætninger!$C$74),-99999999)</f>
        <v>5.1675465785122618</v>
      </c>
      <c r="AP246" s="19">
        <f>IFERROR(((365/(A246+Forudsætninger!$C$74))*AN246)/(AI246+Forudsætninger!$C$73),-9999999)</f>
        <v>593.34446171201034</v>
      </c>
      <c r="AQ246" s="18">
        <f t="shared" si="88"/>
        <v>244</v>
      </c>
      <c r="AR246" s="18">
        <f t="shared" si="98"/>
        <v>6135.0988049185644</v>
      </c>
      <c r="AS246" s="52">
        <f t="shared" si="79"/>
        <v>9.3000000000000007</v>
      </c>
      <c r="AT246" s="50">
        <f t="shared" si="101"/>
        <v>12.171177187746935</v>
      </c>
      <c r="AU246" s="50">
        <f t="shared" si="102"/>
        <v>2.8821525140883431E-2</v>
      </c>
      <c r="AV246" s="2">
        <f t="shared" si="103"/>
        <v>2.2907890384326492</v>
      </c>
      <c r="AW246" s="61">
        <f t="shared" si="99"/>
        <v>7.32465515810265</v>
      </c>
      <c r="BA246" s="16"/>
      <c r="BB246" s="2"/>
    </row>
    <row r="247" spans="1:54" x14ac:dyDescent="0.25">
      <c r="A247">
        <v>245</v>
      </c>
      <c r="B247" s="1">
        <f>ROUND((A247+Forudsætninger!$C$60)/30.4,1)</f>
        <v>9.3000000000000007</v>
      </c>
      <c r="C247" s="1">
        <f>VLOOKUP((A247+Forudsætninger!$C$60),'Model tilvækst, slagteform, fe'!A:B,2,FALSE)</f>
        <v>415.92711865556487</v>
      </c>
      <c r="D247" s="3">
        <f t="shared" si="89"/>
        <v>1319.6095519575692</v>
      </c>
      <c r="E247" s="1">
        <f>(1+Forudsætninger!$C$78)*C247</f>
        <v>386.81222034967533</v>
      </c>
      <c r="F247" s="2">
        <f t="shared" si="90"/>
        <v>0</v>
      </c>
      <c r="G247" s="1">
        <f t="shared" si="80"/>
        <v>386.81222034967533</v>
      </c>
      <c r="H247" s="3">
        <f t="shared" si="81"/>
        <v>1227.236883320586</v>
      </c>
      <c r="I247" s="3">
        <f t="shared" si="82"/>
        <v>1297.1927361211237</v>
      </c>
      <c r="J247" s="1">
        <f>VLOOKUP((A247+Forudsætninger!$C$60),'Model tilvækst, slagteform, fe'!G:K,2,FALSE)*(1+Forudsætninger!$C$79)</f>
        <v>50.7262258503144</v>
      </c>
      <c r="K247" s="17">
        <f t="shared" si="78"/>
        <v>196.21524051119209</v>
      </c>
      <c r="L247" s="17">
        <f t="shared" si="91"/>
        <v>655.82322972267093</v>
      </c>
      <c r="M247" s="3">
        <f>((K247-(('Model tilvækst, slagteform, fe'!$H$9/100)*'Model tilvækst, slagteform, fe'!$B$9))*1000/(A247+Forudsætninger!$C$60))</f>
        <v>618.90259324923659</v>
      </c>
      <c r="N247" s="17">
        <f t="shared" si="92"/>
        <v>1349.105920370891</v>
      </c>
      <c r="O247" s="19">
        <f>IF( A247&lt;Forudsætninger!$C$14,(G247/100)*Forudsætninger!$C$13,(Forudsætninger!$C$15/1000)*Forudsætninger!$C$13)</f>
        <v>2.5142794322728896</v>
      </c>
      <c r="P247" s="17" cm="1">
        <f t="array" ref="P247">INDEX('Model tilvækst, slagteform, fe'!$N$9:$N$375,MATCH(MIN(ABS('Model tilvækst, slagteform, fe'!$M$9:$M$375-'Vækstfunktion, hol'!G247)),ABS('Model tilvækst, slagteform, fe'!$M$9:$M$375-'Vækstfunktion, hol'!G247),0))*(1+Forudsætninger!$C$80)</f>
        <v>7.6031886785023861</v>
      </c>
      <c r="Q247" s="17">
        <f t="shared" si="93"/>
        <v>11.593350668163369</v>
      </c>
      <c r="R247" s="17">
        <f t="shared" si="94"/>
        <v>8.2214668274299711</v>
      </c>
      <c r="S247" s="17">
        <f t="shared" si="83"/>
        <v>4.2449781159658579</v>
      </c>
      <c r="T247" s="19">
        <f>(P247)*IF(N247&lt;Forudsætninger!$B$228,IF(N247&lt;Forudsætninger!$B$227,Forudsætninger!$B$225,Forudsætninger!$C$9),Forudsætninger!$C$11)+O247</f>
        <v>20.305740939968473</v>
      </c>
      <c r="U247" s="2">
        <f>Forudsætninger!$C$68+((K247-(Forudsætninger!$C$84)))*0.01</f>
        <v>3.659205264100561</v>
      </c>
      <c r="V247" s="2">
        <f>U247+Forudsætninger!$C$69</f>
        <v>2.659205264100561</v>
      </c>
      <c r="W247">
        <f t="shared" si="84"/>
        <v>1</v>
      </c>
      <c r="X247">
        <f>IF(A247+Forudsætninger!$C$60&gt;248,IF(A247+Forudsætninger!$C$60&lt;365,IF(K247&gt;180,IF(K247&lt;260,1,0),0),0),0)</f>
        <v>1</v>
      </c>
      <c r="Y247" s="22">
        <f>IF(X247=0,0,IF('Vækstfunktion, hol'!A247&lt;Forudsætninger!$C$66,Forudsætninger!$C$67+(('Vækstfunktion, hol'!A247-Forudsætninger!$C$66)/7)*Forudsætninger!$C$64,Forudsætninger!$C$67))</f>
        <v>0.92942857142857138</v>
      </c>
      <c r="Z247" s="19">
        <f t="shared" si="95"/>
        <v>4029.0700524384779</v>
      </c>
      <c r="AA247" s="19">
        <f>Forudsætninger!$C$62+Forudsætninger!$C$16</f>
        <v>1350</v>
      </c>
      <c r="AB247" s="19">
        <f>IF(K247&gt;Forudsætninger!$C$26,IF(K247&gt;Forudsætninger!$C$27,IF(K247&gt;Forudsætninger!$C$28,Forudsætninger!$E$28,Forudsætninger!$E$27+Forudsætninger!$F$28*(K247-Forudsætninger!$C$27)),Forudsætninger!$E$26+Forudsætninger!$F$27*(K247-Forudsætninger!$C$26)),Forudsætninger!$E$26)+IF(K247&gt;Forudsætninger!$C$28,Forudsætninger!$G$28,IF(K247&gt;Forudsætninger!$C$27,Forudsætninger!$G$27+Forudsætninger!$H$28*(K247-Forudsætninger!$C$27),IF(K247&gt;Forudsætninger!$C$26,Forudsætninger!$G$26+Forudsætninger!$H$27*(K247-Forudsætninger!$C$26),Forudsætninger!$G$26)))*(U247-Forudsætninger!$H$26)</f>
        <v>34.688962766819138</v>
      </c>
      <c r="AC247" s="19">
        <f>IF(K247&gt;Forudsætninger!$C$31,IF(K247&gt;Forudsætninger!$C$32,IF(K247&gt;Forudsætninger!$C$33,Forudsætninger!$E$33,Forudsætninger!$E$32+Forudsætninger!$F$33*(K247-Forudsætninger!$C$32)),Forudsætninger!$E$31+Forudsætninger!$F$32*(K247-Forudsætninger!$C$31)),Forudsætninger!$E$31)+IF(K247&gt;Forudsætninger!$C$33,Forudsætninger!$G$33,IF(K247&gt;Forudsætninger!$C$32,Forudsætninger!$G$32+Forudsætninger!$H$33*(K247-Forudsætninger!$C$32),IF(K247&gt;Forudsætninger!$C$31,Forudsætninger!$G$31+Forudsætninger!$H$32*(K247-Forudsætninger!$C$31),Forudsætninger!$G$31)))*(V247-Forudsætninger!$H$31)</f>
        <v>27.856966843330731</v>
      </c>
      <c r="AD247" s="19">
        <f t="shared" si="85"/>
        <v>6711.8992279024069</v>
      </c>
      <c r="AE247" s="19">
        <f t="shared" si="86"/>
        <v>34.206819054504386</v>
      </c>
      <c r="AF247">
        <f>IF(G247&lt;=Forudsætninger!$C$97,Forudsætninger!$C$98,(IF(G247&lt;=Forudsætninger!$D$97,Forudsætninger!$D$98,IF(G247&lt;=Forudsætninger!$E$97,Forudsætninger!$E$98,IF(G247&lt;=Forudsætninger!$F$97,Forudsætninger!$F$98,IF(G247&lt;=Forudsætninger!$G$97,Forudsætninger!$G$98,IF(G247&lt;=Forudsætninger!$H$97,Forudsætninger!$H$98,IF(G247&lt;=Forudsætninger!$I$97,Forudsætninger!$I$98,Forudsætninger!$I$98))))))))</f>
        <v>3.8</v>
      </c>
      <c r="AG247" s="1">
        <f t="shared" si="96"/>
        <v>4.4000000000000004</v>
      </c>
      <c r="AH247" s="1">
        <f t="shared" si="100"/>
        <v>753.19999999999732</v>
      </c>
      <c r="AI247" s="1">
        <f t="shared" si="87"/>
        <v>3.0742857142857032</v>
      </c>
      <c r="AJ247" s="20">
        <f>+(W247*Forudsætninger!$C$12)</f>
        <v>900</v>
      </c>
      <c r="AK247" s="20">
        <f>Forudsætninger!$C$17</f>
        <v>250</v>
      </c>
      <c r="AL247" s="20">
        <f>IF(A247&lt;92,Forudsætninger!$C$20,Forudsætninger!$C$21)</f>
        <v>1.0566762728146013</v>
      </c>
      <c r="AM247" s="20">
        <f t="shared" si="97"/>
        <v>527.39116969286931</v>
      </c>
      <c r="AN247" s="20">
        <f>IFERROR(AD247+AJ247-AA247-Z247-AK247-AM247-Forudsætninger!$C$75,-99999999)</f>
        <v>1273.043813221665</v>
      </c>
      <c r="AO247" s="19">
        <f>IFERROR(AN247/(A247+Forudsætninger!$C$74),-99999999)</f>
        <v>5.1960971968231222</v>
      </c>
      <c r="AP247" s="19">
        <f>IFERROR(((365/(A247+Forudsætninger!$C$74))*AN247)/(AI247+Forudsætninger!$C$73),-9999999)</f>
        <v>595.60468092791052</v>
      </c>
      <c r="AQ247" s="18">
        <f t="shared" si="88"/>
        <v>245</v>
      </c>
      <c r="AR247" s="18">
        <f t="shared" si="98"/>
        <v>6156.4612221313464</v>
      </c>
      <c r="AS247" s="52">
        <f t="shared" si="79"/>
        <v>9.3000000000000007</v>
      </c>
      <c r="AT247" s="50">
        <f t="shared" si="101"/>
        <v>12.162448064673072</v>
      </c>
      <c r="AU247" s="50">
        <f t="shared" si="102"/>
        <v>2.8550618310860365E-2</v>
      </c>
      <c r="AV247" s="2">
        <f t="shared" si="103"/>
        <v>2.2602192159001788</v>
      </c>
      <c r="AW247" s="61">
        <f t="shared" si="99"/>
        <v>7.3487142159776919</v>
      </c>
      <c r="BA247" s="16"/>
      <c r="BB247" s="2"/>
    </row>
    <row r="248" spans="1:54" x14ac:dyDescent="0.25">
      <c r="A248">
        <v>246</v>
      </c>
      <c r="B248" s="1">
        <f>ROUND((A248+Forudsætninger!$C$60)/30.4,1)</f>
        <v>9.4</v>
      </c>
      <c r="C248" s="1">
        <f>VLOOKUP((A248+Forudsætninger!$C$60),'Model tilvækst, slagteform, fe'!A:B,2,FALSE)</f>
        <v>417.2424554907434</v>
      </c>
      <c r="D248" s="3">
        <f t="shared" si="89"/>
        <v>1315.3368351785275</v>
      </c>
      <c r="E248" s="1">
        <f>(1+Forudsætninger!$C$78)*C248</f>
        <v>388.03548360639132</v>
      </c>
      <c r="F248" s="2">
        <f t="shared" si="90"/>
        <v>0</v>
      </c>
      <c r="G248" s="1">
        <f t="shared" si="80"/>
        <v>388.03548360639132</v>
      </c>
      <c r="H248" s="3">
        <f t="shared" si="81"/>
        <v>1223.2632567159953</v>
      </c>
      <c r="I248" s="3">
        <f t="shared" si="82"/>
        <v>1296.8922097820785</v>
      </c>
      <c r="J248" s="1">
        <f>VLOOKUP((A248+Forudsætninger!$C$60),'Model tilvækst, slagteform, fe'!G:K,2,FALSE)*(1+Forudsætninger!$C$79)</f>
        <v>50.734792431665483</v>
      </c>
      <c r="K248" s="17">
        <f t="shared" si="78"/>
        <v>196.86899716891199</v>
      </c>
      <c r="L248" s="17">
        <f t="shared" si="91"/>
        <v>653.75665771989588</v>
      </c>
      <c r="M248" s="3">
        <f>((K248-(('Model tilvækst, slagteform, fe'!$H$9/100)*'Model tilvækst, slagteform, fe'!$B$9))*1000/(A248+Forudsætninger!$C$60))</f>
        <v>619.02488821229144</v>
      </c>
      <c r="N248" s="17">
        <f t="shared" si="92"/>
        <v>1356.7184885739157</v>
      </c>
      <c r="O248" s="19">
        <f>IF( A248&lt;Forudsætninger!$C$14,(G248/100)*Forudsætninger!$C$13,(Forudsætninger!$C$15/1000)*Forudsætninger!$C$13)</f>
        <v>2.5222306434415436</v>
      </c>
      <c r="P248" s="17" cm="1">
        <f t="array" ref="P248">INDEX('Model tilvækst, slagteform, fe'!$N$9:$N$375,MATCH(MIN(ABS('Model tilvækst, slagteform, fe'!$M$9:$M$375-'Vækstfunktion, hol'!G248)),ABS('Model tilvækst, slagteform, fe'!$M$9:$M$375-'Vækstfunktion, hol'!G248),0))*(1+Forudsætninger!$C$80)</f>
        <v>7.6125682030246598</v>
      </c>
      <c r="Q248" s="17">
        <f t="shared" si="93"/>
        <v>11.644345205714584</v>
      </c>
      <c r="R248" s="17">
        <f t="shared" si="94"/>
        <v>8.2350494634057032</v>
      </c>
      <c r="S248" s="17">
        <f t="shared" si="83"/>
        <v>4.25256298527521</v>
      </c>
      <c r="T248" s="19">
        <f>(P248)*IF(N248&lt;Forudsætninger!$B$228,IF(N248&lt;Forudsætninger!$B$227,Forudsætninger!$B$225,Forudsætninger!$C$9),Forudsætninger!$C$11)+O248</f>
        <v>20.335640238519247</v>
      </c>
      <c r="U248" s="2">
        <f>Forudsætninger!$C$68+((K248-(Forudsætninger!$C$84)))*0.01</f>
        <v>3.6657428306777602</v>
      </c>
      <c r="V248" s="2">
        <f>U248+Forudsætninger!$C$69</f>
        <v>2.6657428306777602</v>
      </c>
      <c r="W248">
        <f t="shared" si="84"/>
        <v>1</v>
      </c>
      <c r="X248">
        <f>IF(A248+Forudsætninger!$C$60&gt;248,IF(A248+Forudsætninger!$C$60&lt;365,IF(K248&gt;180,IF(K248&lt;260,1,0),0),0),0)</f>
        <v>1</v>
      </c>
      <c r="Y248" s="22">
        <f>IF(X248=0,0,IF('Vækstfunktion, hol'!A248&lt;Forudsætninger!$C$66,Forudsætninger!$C$67+(('Vækstfunktion, hol'!A248-Forudsætninger!$C$66)/7)*Forudsætninger!$C$64,Forudsætninger!$C$67))</f>
        <v>0.93371428571428561</v>
      </c>
      <c r="Z248" s="19">
        <f t="shared" si="95"/>
        <v>4049.4056926769972</v>
      </c>
      <c r="AA248" s="19">
        <f>Forudsætninger!$C$62+Forudsætninger!$C$16</f>
        <v>1350</v>
      </c>
      <c r="AB248" s="19">
        <f>IF(K248&gt;Forudsætninger!$C$26,IF(K248&gt;Forudsætninger!$C$27,IF(K248&gt;Forudsætninger!$C$28,Forudsætninger!$E$28,Forudsætninger!$E$27+Forudsætninger!$F$28*(K248-Forudsætninger!$C$27)),Forudsætninger!$E$26+Forudsætninger!$F$27*(K248-Forudsætninger!$C$26)),Forudsætninger!$E$26)+IF(K248&gt;Forudsætninger!$C$28,Forudsætninger!$G$28,IF(K248&gt;Forudsætninger!$C$27,Forudsætninger!$G$27+Forudsætninger!$H$28*(K248-Forudsætninger!$C$27),IF(K248&gt;Forudsætninger!$C$26,Forudsætninger!$G$26+Forudsætninger!$H$27*(K248-Forudsætninger!$C$26),Forudsætninger!$G$26)))*(U248-Forudsætninger!$H$26)</f>
        <v>34.717837019201767</v>
      </c>
      <c r="AC248" s="19">
        <f>IF(K248&gt;Forudsætninger!$C$31,IF(K248&gt;Forudsætninger!$C$32,IF(K248&gt;Forudsætninger!$C$33,Forudsætninger!$E$33,Forudsætninger!$E$32+Forudsætninger!$F$33*(K248-Forudsætninger!$C$32)),Forudsætninger!$E$31+Forudsætninger!$F$32*(K248-Forudsætninger!$C$31)),Forudsætninger!$E$31)+IF(K248&gt;Forudsætninger!$C$33,Forudsætninger!$G$33,IF(K248&gt;Forudsætninger!$C$32,Forudsætninger!$G$32+Forudsætninger!$H$33*(K248-Forudsætninger!$C$32),IF(K248&gt;Forudsætninger!$C$31,Forudsætninger!$G$31+Forudsætninger!$H$32*(K248-Forudsætninger!$C$31),Forudsætninger!$G$31)))*(V248-Forudsætninger!$H$31)</f>
        <v>27.86546567988109</v>
      </c>
      <c r="AD248" s="19">
        <f t="shared" si="85"/>
        <v>6745.4450384377387</v>
      </c>
      <c r="AE248" s="19">
        <f t="shared" si="86"/>
        <v>34.263622690423936</v>
      </c>
      <c r="AF248">
        <f>IF(G248&lt;=Forudsætninger!$C$97,Forudsætninger!$C$98,(IF(G248&lt;=Forudsætninger!$D$97,Forudsætninger!$D$98,IF(G248&lt;=Forudsætninger!$E$97,Forudsætninger!$E$98,IF(G248&lt;=Forudsætninger!$F$97,Forudsætninger!$F$98,IF(G248&lt;=Forudsætninger!$G$97,Forudsætninger!$G$98,IF(G248&lt;=Forudsætninger!$H$97,Forudsætninger!$H$98,IF(G248&lt;=Forudsætninger!$I$97,Forudsætninger!$I$98,Forudsætninger!$I$98))))))))</f>
        <v>3.8</v>
      </c>
      <c r="AG248" s="1">
        <f t="shared" si="96"/>
        <v>4.4000000000000004</v>
      </c>
      <c r="AH248" s="1">
        <f t="shared" si="100"/>
        <v>757.59999999999729</v>
      </c>
      <c r="AI248" s="1">
        <f t="shared" si="87"/>
        <v>3.0796747967479563</v>
      </c>
      <c r="AJ248" s="20">
        <f>+(W248*Forudsætninger!$C$12)</f>
        <v>900</v>
      </c>
      <c r="AK248" s="20">
        <f>Forudsætninger!$C$17</f>
        <v>250</v>
      </c>
      <c r="AL248" s="20">
        <f>IF(A248&lt;92,Forudsætninger!$C$20,Forudsætninger!$C$21)</f>
        <v>1.0566762728146013</v>
      </c>
      <c r="AM248" s="20">
        <f t="shared" si="97"/>
        <v>528.44784596568388</v>
      </c>
      <c r="AN248" s="20">
        <f>IFERROR(AD248+AJ248-AA248-Z248-AK248-AM248-Forudsætninger!$C$75,-99999999)</f>
        <v>1285.1973072456631</v>
      </c>
      <c r="AO248" s="19">
        <f>IFERROR(AN248/(A248+Forudsætninger!$C$74),-99999999)</f>
        <v>5.2243792977465979</v>
      </c>
      <c r="AP248" s="19">
        <f>IFERROR(((365/(A248+Forudsætninger!$C$74))*AN248)/(AI248+Forudsætninger!$C$73),-9999999)</f>
        <v>597.83475281608423</v>
      </c>
      <c r="AQ248" s="18">
        <f t="shared" si="88"/>
        <v>246</v>
      </c>
      <c r="AR248" s="18">
        <f t="shared" si="98"/>
        <v>6177.8535386426811</v>
      </c>
      <c r="AS248" s="52">
        <f t="shared" si="79"/>
        <v>9.4</v>
      </c>
      <c r="AT248" s="50">
        <f t="shared" si="101"/>
        <v>12.153494023998064</v>
      </c>
      <c r="AU248" s="50">
        <f t="shared" si="102"/>
        <v>2.8282100923475717E-2</v>
      </c>
      <c r="AV248" s="2">
        <f t="shared" si="103"/>
        <v>2.2300718881737112</v>
      </c>
      <c r="AW248" s="61">
        <f t="shared" si="99"/>
        <v>7.3725412732168571</v>
      </c>
      <c r="BA248" s="16"/>
      <c r="BB248" s="2"/>
    </row>
    <row r="249" spans="1:54" x14ac:dyDescent="0.25">
      <c r="A249">
        <v>247</v>
      </c>
      <c r="B249" s="1">
        <f>ROUND((A249+Forudsætninger!$C$60)/30.4,1)</f>
        <v>9.4</v>
      </c>
      <c r="C249" s="1">
        <f>VLOOKUP((A249+Forudsætninger!$C$60),'Model tilvækst, slagteform, fe'!A:B,2,FALSE)</f>
        <v>418.55351171802977</v>
      </c>
      <c r="D249" s="3">
        <f t="shared" si="89"/>
        <v>1311.0562272863717</v>
      </c>
      <c r="E249" s="1">
        <f>(1+Forudsætninger!$C$78)*C249</f>
        <v>389.25476589776764</v>
      </c>
      <c r="F249" s="2">
        <f t="shared" si="90"/>
        <v>0</v>
      </c>
      <c r="G249" s="1">
        <f t="shared" si="80"/>
        <v>389.25476589776764</v>
      </c>
      <c r="H249" s="3">
        <f t="shared" si="81"/>
        <v>1219.2822913763166</v>
      </c>
      <c r="I249" s="3">
        <f t="shared" si="82"/>
        <v>1296.5779995861037</v>
      </c>
      <c r="J249" s="1">
        <f>VLOOKUP((A249+Forudsætninger!$C$60),'Model tilvækst, slagteform, fe'!G:K,2,FALSE)*(1+Forudsætninger!$C$79)</f>
        <v>50.743295317795585</v>
      </c>
      <c r="K249" s="17">
        <f t="shared" si="78"/>
        <v>197.5206953980981</v>
      </c>
      <c r="L249" s="17">
        <f t="shared" si="91"/>
        <v>651.69822918610976</v>
      </c>
      <c r="M249" s="3">
        <f>((K249-(('Model tilvækst, slagteform, fe'!$H$9/100)*'Model tilvækst, slagteform, fe'!$B$9))*1000/(A249+Forudsætninger!$C$60))</f>
        <v>619.13913066324903</v>
      </c>
      <c r="N249" s="17">
        <f t="shared" si="92"/>
        <v>1364.3405386927247</v>
      </c>
      <c r="O249" s="19">
        <f>IF( A249&lt;Forudsætninger!$C$14,(G249/100)*Forudsætninger!$C$13,(Forudsætninger!$C$15/1000)*Forudsætninger!$C$13)</f>
        <v>2.5301559783354897</v>
      </c>
      <c r="P249" s="17" cm="1">
        <f t="array" ref="P249">INDEX('Model tilvækst, slagteform, fe'!$N$9:$N$375,MATCH(MIN(ABS('Model tilvækst, slagteform, fe'!$M$9:$M$375-'Vækstfunktion, hol'!G249)),ABS('Model tilvækst, slagteform, fe'!$M$9:$M$375-'Vækstfunktion, hol'!G249),0))*(1+Forudsætninger!$C$80)</f>
        <v>7.6220501188090175</v>
      </c>
      <c r="Q249" s="17">
        <f t="shared" si="93"/>
        <v>11.695674128696057</v>
      </c>
      <c r="R249" s="17">
        <f t="shared" si="94"/>
        <v>8.2486847088523021</v>
      </c>
      <c r="S249" s="17">
        <f t="shared" si="83"/>
        <v>4.2601724750858265</v>
      </c>
      <c r="T249" s="19">
        <f>(P249)*IF(N249&lt;Forudsætninger!$B$228,IF(N249&lt;Forudsætninger!$B$227,Forudsætninger!$B$225,Forudsætninger!$C$9),Forudsætninger!$C$11)+O249</f>
        <v>20.36575325634859</v>
      </c>
      <c r="U249" s="2">
        <f>Forudsætninger!$C$68+((K249-(Forudsætninger!$C$84)))*0.01</f>
        <v>3.6722598129696213</v>
      </c>
      <c r="V249" s="2">
        <f>U249+Forudsætninger!$C$69</f>
        <v>2.6722598129696213</v>
      </c>
      <c r="W249">
        <f t="shared" si="84"/>
        <v>1</v>
      </c>
      <c r="X249">
        <f>IF(A249+Forudsætninger!$C$60&gt;248,IF(A249+Forudsætninger!$C$60&lt;365,IF(K249&gt;180,IF(K249&lt;260,1,0),0),0),0)</f>
        <v>1</v>
      </c>
      <c r="Y249" s="22">
        <f>IF(X249=0,0,IF('Vækstfunktion, hol'!A249&lt;Forudsætninger!$C$66,Forudsætninger!$C$67+(('Vækstfunktion, hol'!A249-Forudsætninger!$C$66)/7)*Forudsætninger!$C$64,Forudsætninger!$C$67))</f>
        <v>0.93799999999999994</v>
      </c>
      <c r="Z249" s="19">
        <f t="shared" si="95"/>
        <v>4069.7714459333456</v>
      </c>
      <c r="AA249" s="19">
        <f>Forudsætninger!$C$62+Forudsætninger!$C$16</f>
        <v>1350</v>
      </c>
      <c r="AB249" s="19">
        <f>IF(K249&gt;Forudsætninger!$C$26,IF(K249&gt;Forudsætninger!$C$27,IF(K249&gt;Forudsætninger!$C$28,Forudsætninger!$E$28,Forudsætninger!$E$27+Forudsætninger!$F$28*(K249-Forudsætninger!$C$27)),Forudsætninger!$E$26+Forudsætninger!$F$27*(K249-Forudsætninger!$C$26)),Forudsætninger!$E$26)+IF(K249&gt;Forudsætninger!$C$28,Forudsætninger!$G$28,IF(K249&gt;Forudsætninger!$C$27,Forudsætninger!$G$27+Forudsætninger!$H$28*(K249-Forudsætninger!$C$27),IF(K249&gt;Forudsætninger!$C$26,Forudsætninger!$G$26+Forudsætninger!$H$27*(K249-Forudsætninger!$C$26),Forudsætninger!$G$26)))*(U249-Forudsætninger!$H$26)</f>
        <v>34.746620357657477</v>
      </c>
      <c r="AC249" s="19">
        <f>IF(K249&gt;Forudsætninger!$C$31,IF(K249&gt;Forudsætninger!$C$32,IF(K249&gt;Forudsætninger!$C$33,Forudsætninger!$E$33,Forudsætninger!$E$32+Forudsætninger!$F$33*(K249-Forudsætninger!$C$32)),Forudsætninger!$E$31+Forudsætninger!$F$32*(K249-Forudsætninger!$C$31)),Forudsætninger!$E$31)+IF(K249&gt;Forudsætninger!$C$33,Forudsætninger!$G$33,IF(K249&gt;Forudsætninger!$C$32,Forudsætninger!$G$32+Forudsætninger!$H$33*(K249-Forudsætninger!$C$32),IF(K249&gt;Forudsætninger!$C$31,Forudsætninger!$G$31+Forudsætninger!$H$32*(K249-Forudsætninger!$C$31),Forudsætninger!$G$31)))*(V249-Forudsætninger!$H$31)</f>
        <v>27.873937756860506</v>
      </c>
      <c r="AD249" s="19">
        <f t="shared" si="85"/>
        <v>6779.0117988915072</v>
      </c>
      <c r="AE249" s="19">
        <f t="shared" si="86"/>
        <v>34.320514036408063</v>
      </c>
      <c r="AF249">
        <f>IF(G249&lt;=Forudsætninger!$C$97,Forudsætninger!$C$98,(IF(G249&lt;=Forudsætninger!$D$97,Forudsætninger!$D$98,IF(G249&lt;=Forudsætninger!$E$97,Forudsætninger!$E$98,IF(G249&lt;=Forudsætninger!$F$97,Forudsætninger!$F$98,IF(G249&lt;=Forudsætninger!$G$97,Forudsætninger!$G$98,IF(G249&lt;=Forudsætninger!$H$97,Forudsætninger!$H$98,IF(G249&lt;=Forudsætninger!$I$97,Forudsætninger!$I$98,Forudsætninger!$I$98))))))))</f>
        <v>3.8</v>
      </c>
      <c r="AG249" s="1">
        <f t="shared" si="96"/>
        <v>4.4000000000000004</v>
      </c>
      <c r="AH249" s="1">
        <f t="shared" si="100"/>
        <v>761.99999999999727</v>
      </c>
      <c r="AI249" s="1">
        <f t="shared" si="87"/>
        <v>3.0850202429149687</v>
      </c>
      <c r="AJ249" s="20">
        <f>+(W249*Forudsætninger!$C$12)</f>
        <v>900</v>
      </c>
      <c r="AK249" s="20">
        <f>Forudsætninger!$C$17</f>
        <v>250</v>
      </c>
      <c r="AL249" s="20">
        <f>IF(A249&lt;92,Forudsætninger!$C$20,Forudsætninger!$C$21)</f>
        <v>1.0566762728146013</v>
      </c>
      <c r="AM249" s="20">
        <f t="shared" si="97"/>
        <v>529.50452223849845</v>
      </c>
      <c r="AN249" s="20">
        <f>IFERROR(AD249+AJ249-AA249-Z249-AK249-AM249-Forudsætninger!$C$75,-99999999)</f>
        <v>1297.3416381702687</v>
      </c>
      <c r="AO249" s="19">
        <f>IFERROR(AN249/(A249+Forudsætninger!$C$74),-99999999)</f>
        <v>5.2523952962359051</v>
      </c>
      <c r="AP249" s="19">
        <f>IFERROR(((365/(A249+Forudsætninger!$C$74))*AN249)/(AI249+Forudsætninger!$C$73),-9999999)</f>
        <v>600.03509754824654</v>
      </c>
      <c r="AQ249" s="18">
        <f t="shared" si="88"/>
        <v>247</v>
      </c>
      <c r="AR249" s="18">
        <f t="shared" si="98"/>
        <v>6199.2759681718444</v>
      </c>
      <c r="AS249" s="52">
        <f t="shared" si="79"/>
        <v>9.4</v>
      </c>
      <c r="AT249" s="50">
        <f t="shared" si="101"/>
        <v>12.144330924605583</v>
      </c>
      <c r="AU249" s="50">
        <f t="shared" si="102"/>
        <v>2.8015998489307137E-2</v>
      </c>
      <c r="AV249" s="2">
        <f t="shared" si="103"/>
        <v>2.2003447321623071</v>
      </c>
      <c r="AW249" s="61">
        <f t="shared" si="99"/>
        <v>7.396138301250069</v>
      </c>
      <c r="BA249" s="16"/>
      <c r="BB249" s="2"/>
    </row>
    <row r="250" spans="1:54" x14ac:dyDescent="0.25">
      <c r="A250">
        <v>248</v>
      </c>
      <c r="B250" s="1">
        <f>ROUND((A250+Forudsætninger!$C$60)/30.4,1)</f>
        <v>9.4</v>
      </c>
      <c r="C250" s="1">
        <f>VLOOKUP((A250+Forudsætninger!$C$60),'Model tilvækst, slagteform, fe'!A:B,2,FALSE)</f>
        <v>419.86027998065913</v>
      </c>
      <c r="D250" s="3">
        <f t="shared" si="89"/>
        <v>1306.7682626293617</v>
      </c>
      <c r="E250" s="1">
        <f>(1+Forudsætninger!$C$78)*C250</f>
        <v>390.47006038201295</v>
      </c>
      <c r="F250" s="2">
        <f t="shared" si="90"/>
        <v>0</v>
      </c>
      <c r="G250" s="1">
        <f t="shared" si="80"/>
        <v>390.47006038201295</v>
      </c>
      <c r="H250" s="3">
        <f t="shared" si="81"/>
        <v>1215.2944842453053</v>
      </c>
      <c r="I250" s="3">
        <f t="shared" si="82"/>
        <v>1296.2502434758585</v>
      </c>
      <c r="J250" s="1">
        <f>VLOOKUP((A250+Forudsætninger!$C$60),'Model tilvækst, slagteform, fe'!G:K,2,FALSE)*(1+Forudsætninger!$C$79)</f>
        <v>50.75173845753006</v>
      </c>
      <c r="K250" s="17">
        <f t="shared" si="78"/>
        <v>198.17034380003892</v>
      </c>
      <c r="L250" s="17">
        <f t="shared" si="91"/>
        <v>649.64840194082285</v>
      </c>
      <c r="M250" s="3">
        <f>((K250-(('Model tilvækst, slagteform, fe'!$H$9/100)*'Model tilvækst, slagteform, fe'!$B$9))*1000/(A250+Forudsætninger!$C$60))</f>
        <v>619.24543474435541</v>
      </c>
      <c r="N250" s="17">
        <f t="shared" si="92"/>
        <v>1371.9721747890137</v>
      </c>
      <c r="O250" s="19">
        <f>IF( A250&lt;Forudsætninger!$C$14,(G250/100)*Forudsætninger!$C$13,(Forudsætninger!$C$15/1000)*Forudsætninger!$C$13)</f>
        <v>2.5380553924830842</v>
      </c>
      <c r="P250" s="17" cm="1">
        <f t="array" ref="P250">INDEX('Model tilvækst, slagteform, fe'!$N$9:$N$375,MATCH(MIN(ABS('Model tilvækst, slagteform, fe'!$M$9:$M$375-'Vækstfunktion, hol'!G250)),ABS('Model tilvækst, slagteform, fe'!$M$9:$M$375-'Vækstfunktion, hol'!G250),0))*(1+Forudsætninger!$C$80)</f>
        <v>7.6316360962888652</v>
      </c>
      <c r="Q250" s="17">
        <f t="shared" si="93"/>
        <v>11.747332978099189</v>
      </c>
      <c r="R250" s="17">
        <f t="shared" si="94"/>
        <v>8.262372650127066</v>
      </c>
      <c r="S250" s="17">
        <f t="shared" si="83"/>
        <v>4.2678070024893024</v>
      </c>
      <c r="T250" s="19">
        <f>(P250)*IF(N250&lt;Forudsætninger!$B$228,IF(N250&lt;Forudsætninger!$B$227,Forudsætninger!$B$225,Forudsætninger!$C$9),Forudsætninger!$C$11)+O250</f>
        <v>20.396083857799027</v>
      </c>
      <c r="U250" s="2">
        <f>Forudsætninger!$C$68+((K250-(Forudsætninger!$C$84)))*0.01</f>
        <v>3.6787562969890293</v>
      </c>
      <c r="V250" s="2">
        <f>U250+Forudsætninger!$C$69</f>
        <v>2.6787562969890293</v>
      </c>
      <c r="W250">
        <f t="shared" si="84"/>
        <v>1</v>
      </c>
      <c r="X250">
        <f>IF(A250+Forudsætninger!$C$60&gt;248,IF(A250+Forudsætninger!$C$60&lt;365,IF(K250&gt;180,IF(K250&lt;260,1,0),0),0),0)</f>
        <v>1</v>
      </c>
      <c r="Y250" s="22">
        <f>IF(X250=0,0,IF('Vækstfunktion, hol'!A250&lt;Forudsætninger!$C$66,Forudsætninger!$C$67+(('Vækstfunktion, hol'!A250-Forudsætninger!$C$66)/7)*Forudsætninger!$C$64,Forudsætninger!$C$67))</f>
        <v>0.94228571428571417</v>
      </c>
      <c r="Z250" s="19">
        <f t="shared" si="95"/>
        <v>4090.1675297911447</v>
      </c>
      <c r="AA250" s="19">
        <f>Forudsætninger!$C$62+Forudsætninger!$C$16</f>
        <v>1350</v>
      </c>
      <c r="AB250" s="19">
        <f>IF(K250&gt;Forudsætninger!$C$26,IF(K250&gt;Forudsætninger!$C$27,IF(K250&gt;Forudsætninger!$C$28,Forudsætninger!$E$28,Forudsætninger!$E$27+Forudsætninger!$F$28*(K250-Forudsætninger!$C$27)),Forudsætninger!$E$26+Forudsætninger!$F$27*(K250-Forudsætninger!$C$26)),Forudsætninger!$E$26)+IF(K250&gt;Forudsætninger!$C$28,Forudsætninger!$G$28,IF(K250&gt;Forudsætninger!$C$27,Forudsætninger!$G$27+Forudsætninger!$H$28*(K250-Forudsætninger!$C$27),IF(K250&gt;Forudsætninger!$C$26,Forudsætninger!$G$26+Forudsætninger!$H$27*(K250-Forudsætninger!$C$26),Forudsætninger!$G$26)))*(U250-Forudsætninger!$H$26)</f>
        <v>34.775313162076536</v>
      </c>
      <c r="AC250" s="19">
        <f>IF(K250&gt;Forudsætninger!$C$31,IF(K250&gt;Forudsætninger!$C$32,IF(K250&gt;Forudsætninger!$C$33,Forudsætninger!$E$33,Forudsætninger!$E$32+Forudsætninger!$F$33*(K250-Forudsætninger!$C$32)),Forudsætninger!$E$31+Forudsætninger!$F$32*(K250-Forudsætninger!$C$31)),Forudsætninger!$E$31)+IF(K250&gt;Forudsætninger!$C$33,Forudsætninger!$G$33,IF(K250&gt;Forudsætninger!$C$32,Forudsætninger!$G$32+Forudsætninger!$H$33*(K250-Forudsætninger!$C$32),IF(K250&gt;Forudsætninger!$C$31,Forudsætninger!$G$31+Forudsætninger!$H$32*(K250-Forudsætninger!$C$31),Forudsætninger!$G$31)))*(V250-Forudsætninger!$H$31)</f>
        <v>27.88238318608574</v>
      </c>
      <c r="AD250" s="19">
        <f t="shared" si="85"/>
        <v>6812.599533873411</v>
      </c>
      <c r="AE250" s="19">
        <f t="shared" si="86"/>
        <v>34.377492632033636</v>
      </c>
      <c r="AF250">
        <f>IF(G250&lt;=Forudsætninger!$C$97,Forudsætninger!$C$98,(IF(G250&lt;=Forudsætninger!$D$97,Forudsætninger!$D$98,IF(G250&lt;=Forudsætninger!$E$97,Forudsætninger!$E$98,IF(G250&lt;=Forudsætninger!$F$97,Forudsætninger!$F$98,IF(G250&lt;=Forudsætninger!$G$97,Forudsætninger!$G$98,IF(G250&lt;=Forudsætninger!$H$97,Forudsætninger!$H$98,IF(G250&lt;=Forudsætninger!$I$97,Forudsætninger!$I$98,Forudsætninger!$I$98))))))))</f>
        <v>3.8</v>
      </c>
      <c r="AG250" s="1">
        <f t="shared" si="96"/>
        <v>4.4000000000000004</v>
      </c>
      <c r="AH250" s="1">
        <f t="shared" si="100"/>
        <v>766.39999999999725</v>
      </c>
      <c r="AI250" s="1">
        <f t="shared" si="87"/>
        <v>3.0903225806451502</v>
      </c>
      <c r="AJ250" s="20">
        <f>+(W250*Forudsætninger!$C$12)</f>
        <v>900</v>
      </c>
      <c r="AK250" s="20">
        <f>Forudsætninger!$C$17</f>
        <v>250</v>
      </c>
      <c r="AL250" s="20">
        <f>IF(A250&lt;92,Forudsætninger!$C$20,Forudsætninger!$C$21)</f>
        <v>1.0566762728146013</v>
      </c>
      <c r="AM250" s="20">
        <f t="shared" si="97"/>
        <v>530.56119851131302</v>
      </c>
      <c r="AN250" s="20">
        <f>IFERROR(AD250+AJ250-AA250-Z250-AK250-AM250-Forudsætninger!$C$75,-99999999)</f>
        <v>1309.4766130215587</v>
      </c>
      <c r="AO250" s="19">
        <f>IFERROR(AN250/(A250+Forudsætninger!$C$74),-99999999)</f>
        <v>5.2801476331514463</v>
      </c>
      <c r="AP250" s="19">
        <f>IFERROR(((365/(A250+Forudsætninger!$C$74))*AN250)/(AI250+Forudsætninger!$C$73),-9999999)</f>
        <v>602.20613314291734</v>
      </c>
      <c r="AQ250" s="18">
        <f t="shared" si="88"/>
        <v>248</v>
      </c>
      <c r="AR250" s="18">
        <f t="shared" si="98"/>
        <v>6220.7287283024571</v>
      </c>
      <c r="AS250" s="52">
        <f t="shared" si="79"/>
        <v>9.4</v>
      </c>
      <c r="AT250" s="50">
        <f t="shared" si="101"/>
        <v>12.134974851290053</v>
      </c>
      <c r="AU250" s="50">
        <f t="shared" si="102"/>
        <v>2.7752336915541242E-2</v>
      </c>
      <c r="AV250" s="2">
        <f t="shared" si="103"/>
        <v>2.1710355946707978</v>
      </c>
      <c r="AW250" s="61">
        <f t="shared" si="99"/>
        <v>7.4195073045680315</v>
      </c>
      <c r="BA250" s="16"/>
      <c r="BB250" s="2"/>
    </row>
    <row r="251" spans="1:54" x14ac:dyDescent="0.25">
      <c r="A251">
        <v>249</v>
      </c>
      <c r="B251" s="1">
        <f>ROUND((A251+Forudsætninger!$C$60)/30.4,1)</f>
        <v>9.5</v>
      </c>
      <c r="C251" s="1">
        <f>VLOOKUP((A251+Forudsætninger!$C$60),'Model tilvækst, slagteform, fe'!A:B,2,FALSE)</f>
        <v>421.16275345621369</v>
      </c>
      <c r="D251" s="3">
        <f t="shared" si="89"/>
        <v>1302.4734755545637</v>
      </c>
      <c r="E251" s="1">
        <f>(1+Forudsætninger!$C$78)*C251</f>
        <v>391.6813607142787</v>
      </c>
      <c r="F251" s="2">
        <f t="shared" si="90"/>
        <v>0</v>
      </c>
      <c r="G251" s="1">
        <f t="shared" si="80"/>
        <v>391.6813607142787</v>
      </c>
      <c r="H251" s="3">
        <f t="shared" si="81"/>
        <v>1211.3003322657505</v>
      </c>
      <c r="I251" s="3">
        <f t="shared" si="82"/>
        <v>1295.9090791738101</v>
      </c>
      <c r="J251" s="1">
        <f>VLOOKUP((A251+Forudsætninger!$C$60),'Model tilvækst, slagteform, fe'!G:K,2,FALSE)*(1+Forudsætninger!$C$79)</f>
        <v>50.760125799694244</v>
      </c>
      <c r="K251" s="17">
        <f t="shared" si="78"/>
        <v>198.81795143252205</v>
      </c>
      <c r="L251" s="17">
        <f t="shared" si="91"/>
        <v>647.60763248312969</v>
      </c>
      <c r="M251" s="3">
        <f>((K251-(('Model tilvækst, slagteform, fe'!$H$9/100)*'Model tilvækst, slagteform, fe'!$B$9))*1000/(A251+Forudsætninger!$C$60))</f>
        <v>619.34391459761503</v>
      </c>
      <c r="N251" s="17">
        <f t="shared" si="92"/>
        <v>1379.6135025949113</v>
      </c>
      <c r="O251" s="19">
        <f>IF( A251&lt;Forudsætninger!$C$14,(G251/100)*Forudsætninger!$C$13,(Forudsætninger!$C$15/1000)*Forudsætninger!$C$13)</f>
        <v>2.5459288446428117</v>
      </c>
      <c r="P251" s="17" cm="1">
        <f t="array" ref="P251">INDEX('Model tilvækst, slagteform, fe'!$N$9:$N$375,MATCH(MIN(ABS('Model tilvækst, slagteform, fe'!$M$9:$M$375-'Vækstfunktion, hol'!G251)),ABS('Model tilvækst, slagteform, fe'!$M$9:$M$375-'Vækstfunktion, hol'!G251),0))*(1+Forudsætninger!$C$80)</f>
        <v>7.6413278058976086</v>
      </c>
      <c r="Q251" s="17">
        <f t="shared" si="93"/>
        <v>11.799317090501813</v>
      </c>
      <c r="R251" s="17">
        <f t="shared" si="94"/>
        <v>8.2761133606639792</v>
      </c>
      <c r="S251" s="17">
        <f t="shared" si="83"/>
        <v>4.2754669793787787</v>
      </c>
      <c r="T251" s="19">
        <f>(P251)*IF(N251&lt;Forudsætninger!$B$228,IF(N251&lt;Forudsætninger!$B$227,Forudsætninger!$B$225,Forudsætninger!$C$9),Forudsætninger!$C$11)+O251</f>
        <v>20.426635910443217</v>
      </c>
      <c r="U251" s="2">
        <f>Forudsætninger!$C$68+((K251-(Forudsætninger!$C$84)))*0.01</f>
        <v>3.6852323733138608</v>
      </c>
      <c r="V251" s="2">
        <f>U251+Forudsætninger!$C$69</f>
        <v>2.6852323733138608</v>
      </c>
      <c r="W251">
        <f t="shared" si="84"/>
        <v>1</v>
      </c>
      <c r="X251">
        <f>IF(A251+Forudsætninger!$C$60&gt;248,IF(A251+Forudsætninger!$C$60&lt;365,IF(K251&gt;180,IF(K251&lt;260,1,0),0),0),0)</f>
        <v>1</v>
      </c>
      <c r="Y251" s="22">
        <f>IF(X251=0,0,IF('Vækstfunktion, hol'!A251&lt;Forudsætninger!$C$66,Forudsætninger!$C$67+(('Vækstfunktion, hol'!A251-Forudsætninger!$C$66)/7)*Forudsætninger!$C$64,Forudsætninger!$C$67))</f>
        <v>0.94657142857142851</v>
      </c>
      <c r="Z251" s="19">
        <f t="shared" si="95"/>
        <v>4110.5941657015883</v>
      </c>
      <c r="AA251" s="19">
        <f>Forudsætninger!$C$62+Forudsætninger!$C$16</f>
        <v>1350</v>
      </c>
      <c r="AB251" s="19">
        <f>IF(K251&gt;Forudsætninger!$C$26,IF(K251&gt;Forudsætninger!$C$27,IF(K251&gt;Forudsætninger!$C$28,Forudsætninger!$E$28,Forudsætninger!$E$27+Forudsætninger!$F$28*(K251-Forudsætninger!$C$27)),Forudsætninger!$E$26+Forudsætninger!$F$27*(K251-Forudsætninger!$C$26)),Forudsætninger!$E$26)+IF(K251&gt;Forudsætninger!$C$28,Forudsætninger!$G$28,IF(K251&gt;Forudsætninger!$C$27,Forudsætninger!$G$27+Forudsætninger!$H$28*(K251-Forudsætninger!$C$27),IF(K251&gt;Forudsætninger!$C$26,Forudsætninger!$G$26+Forudsætninger!$H$27*(K251-Forudsætninger!$C$26),Forudsætninger!$G$26)))*(U251-Forudsætninger!$H$26)</f>
        <v>34.803915832511208</v>
      </c>
      <c r="AC251" s="19">
        <f>IF(K251&gt;Forudsætninger!$C$31,IF(K251&gt;Forudsætninger!$C$32,IF(K251&gt;Forudsætninger!$C$33,Forudsætninger!$E$33,Forudsætninger!$E$32+Forudsætninger!$F$33*(K251-Forudsætninger!$C$32)),Forudsætninger!$E$31+Forudsætninger!$F$32*(K251-Forudsætninger!$C$31)),Forudsætninger!$E$31)+IF(K251&gt;Forudsætninger!$C$33,Forudsætninger!$G$33,IF(K251&gt;Forudsætninger!$C$32,Forudsætninger!$G$32+Forudsætninger!$H$33*(K251-Forudsætninger!$C$32),IF(K251&gt;Forudsætninger!$C$31,Forudsætninger!$G$31+Forudsætninger!$H$32*(K251-Forudsætninger!$C$31),Forudsætninger!$G$31)))*(V251-Forudsætninger!$H$31)</f>
        <v>27.890802085308021</v>
      </c>
      <c r="AD251" s="19">
        <f t="shared" si="85"/>
        <v>6846.208288171033</v>
      </c>
      <c r="AE251" s="19">
        <f t="shared" si="86"/>
        <v>34.434558040874926</v>
      </c>
      <c r="AF251">
        <f>IF(G251&lt;=Forudsætninger!$C$97,Forudsætninger!$C$98,(IF(G251&lt;=Forudsætninger!$D$97,Forudsætninger!$D$98,IF(G251&lt;=Forudsætninger!$E$97,Forudsætninger!$E$98,IF(G251&lt;=Forudsætninger!$F$97,Forudsætninger!$F$98,IF(G251&lt;=Forudsætninger!$G$97,Forudsætninger!$G$98,IF(G251&lt;=Forudsætninger!$H$97,Forudsætninger!$H$98,IF(G251&lt;=Forudsætninger!$I$97,Forudsætninger!$I$98,Forudsætninger!$I$98))))))))</f>
        <v>3.8</v>
      </c>
      <c r="AG251" s="1">
        <f t="shared" si="96"/>
        <v>4.4000000000000004</v>
      </c>
      <c r="AH251" s="1">
        <f t="shared" si="100"/>
        <v>770.79999999999723</v>
      </c>
      <c r="AI251" s="1">
        <f t="shared" si="87"/>
        <v>3.0955823293172577</v>
      </c>
      <c r="AJ251" s="20">
        <f>+(W251*Forudsætninger!$C$12)</f>
        <v>900</v>
      </c>
      <c r="AK251" s="20">
        <f>Forudsætninger!$C$17</f>
        <v>250</v>
      </c>
      <c r="AL251" s="20">
        <f>IF(A251&lt;92,Forudsætninger!$C$20,Forudsætninger!$C$21)</f>
        <v>1.0566762728146013</v>
      </c>
      <c r="AM251" s="20">
        <f t="shared" si="97"/>
        <v>531.61787478412759</v>
      </c>
      <c r="AN251" s="20">
        <f>IFERROR(AD251+AJ251-AA251-Z251-AK251-AM251-Forudsætninger!$C$75,-99999999)</f>
        <v>1321.6020551359225</v>
      </c>
      <c r="AO251" s="19">
        <f>IFERROR(AN251/(A251+Forudsætninger!$C$74),-99999999)</f>
        <v>5.3076387756462751</v>
      </c>
      <c r="AP251" s="19">
        <f>IFERROR(((365/(A251+Forudsætninger!$C$74))*AN251)/(AI251+Forudsætninger!$C$73),-9999999)</f>
        <v>604.34827562937824</v>
      </c>
      <c r="AQ251" s="18">
        <f t="shared" si="88"/>
        <v>249</v>
      </c>
      <c r="AR251" s="18">
        <f t="shared" si="98"/>
        <v>6242.212040485716</v>
      </c>
      <c r="AS251" s="52">
        <f t="shared" si="79"/>
        <v>9.5</v>
      </c>
      <c r="AT251" s="50">
        <f t="shared" si="101"/>
        <v>12.12544211436375</v>
      </c>
      <c r="AU251" s="50">
        <f t="shared" si="102"/>
        <v>2.7491142494828757E-2</v>
      </c>
      <c r="AV251" s="2">
        <f t="shared" si="103"/>
        <v>2.142142486460898</v>
      </c>
      <c r="AW251" s="61">
        <f t="shared" si="99"/>
        <v>7.4426503209640567</v>
      </c>
      <c r="BA251" s="16"/>
      <c r="BB251" s="2"/>
    </row>
    <row r="252" spans="1:54" x14ac:dyDescent="0.25">
      <c r="A252">
        <v>250</v>
      </c>
      <c r="B252" s="1">
        <f>ROUND((A252+Forudsætninger!$C$60)/30.4,1)</f>
        <v>9.5</v>
      </c>
      <c r="C252" s="1">
        <f>VLOOKUP((A252+Forudsætninger!$C$60),'Model tilvækst, slagteform, fe'!A:B,2,FALSE)</f>
        <v>422.46092585662313</v>
      </c>
      <c r="D252" s="3">
        <f t="shared" si="89"/>
        <v>1298.1724004094417</v>
      </c>
      <c r="E252" s="1">
        <f>(1+Forudsætninger!$C$78)*C252</f>
        <v>392.88866104665948</v>
      </c>
      <c r="F252" s="2">
        <f t="shared" si="90"/>
        <v>0</v>
      </c>
      <c r="G252" s="1">
        <f t="shared" si="80"/>
        <v>392.88866104665948</v>
      </c>
      <c r="H252" s="3">
        <f t="shared" si="81"/>
        <v>1207.3003323807825</v>
      </c>
      <c r="I252" s="3">
        <f t="shared" si="82"/>
        <v>1295.5546441866379</v>
      </c>
      <c r="J252" s="1">
        <f>VLOOKUP((A252+Forudsætninger!$C$60),'Model tilvækst, slagteform, fe'!G:K,2,FALSE)*(1+Forudsætninger!$C$79)</f>
        <v>50.768461293113496</v>
      </c>
      <c r="K252" s="17">
        <f t="shared" si="78"/>
        <v>199.46352780850521</v>
      </c>
      <c r="L252" s="17">
        <f t="shared" si="91"/>
        <v>645.57637598315409</v>
      </c>
      <c r="M252" s="3">
        <f>((K252-(('Model tilvækst, slagteform, fe'!$H$9/100)*'Model tilvækst, slagteform, fe'!$B$9))*1000/(A252+Forudsætninger!$C$60))</f>
        <v>619.43468436019486</v>
      </c>
      <c r="N252" s="17">
        <f t="shared" si="92"/>
        <v>1387.26462951298</v>
      </c>
      <c r="O252" s="19">
        <f>IF( A252&lt;Forudsætninger!$C$14,(G252/100)*Forudsætninger!$C$13,(Forudsætninger!$C$15/1000)*Forudsætninger!$C$13)</f>
        <v>2.5537762968032869</v>
      </c>
      <c r="P252" s="17" cm="1">
        <f t="array" ref="P252">INDEX('Model tilvækst, slagteform, fe'!$N$9:$N$375,MATCH(MIN(ABS('Model tilvækst, slagteform, fe'!$M$9:$M$375-'Vækstfunktion, hol'!G252)),ABS('Model tilvækst, slagteform, fe'!$M$9:$M$375-'Vækstfunktion, hol'!G252),0))*(1+Forudsætninger!$C$80)</f>
        <v>7.6511269180686545</v>
      </c>
      <c r="Q252" s="17">
        <f t="shared" si="93"/>
        <v>11.851621593830295</v>
      </c>
      <c r="R252" s="17">
        <f t="shared" si="94"/>
        <v>8.2899069010841409</v>
      </c>
      <c r="S252" s="17">
        <f t="shared" si="83"/>
        <v>4.2831528125435989</v>
      </c>
      <c r="T252" s="19">
        <f>(P252)*IF(N252&lt;Forudsætninger!$B$228,IF(N252&lt;Forudsætninger!$B$227,Forudsætninger!$B$225,Forudsætninger!$C$9),Forudsætninger!$C$11)+O252</f>
        <v>20.457413285083938</v>
      </c>
      <c r="U252" s="2">
        <f>Forudsætninger!$C$68+((K252-(Forudsætninger!$C$84)))*0.01</f>
        <v>3.6916881370736925</v>
      </c>
      <c r="V252" s="2">
        <f>U252+Forudsætninger!$C$69</f>
        <v>2.6916881370736925</v>
      </c>
      <c r="W252">
        <f t="shared" si="84"/>
        <v>1</v>
      </c>
      <c r="X252">
        <f>IF(A252+Forudsætninger!$C$60&gt;248,IF(A252+Forudsætninger!$C$60&lt;365,IF(K252&gt;180,IF(K252&lt;260,1,0),0),0),0)</f>
        <v>1</v>
      </c>
      <c r="Y252" s="22">
        <f>IF(X252=0,0,IF('Vækstfunktion, hol'!A252&lt;Forudsætninger!$C$66,Forudsætninger!$C$67+(('Vækstfunktion, hol'!A252-Forudsætninger!$C$66)/7)*Forudsætninger!$C$64,Forudsætninger!$C$67))</f>
        <v>0.95</v>
      </c>
      <c r="Z252" s="19">
        <f t="shared" si="95"/>
        <v>4131.0515789866722</v>
      </c>
      <c r="AA252" s="19">
        <f>Forudsætninger!$C$62+Forudsætninger!$C$16</f>
        <v>1350</v>
      </c>
      <c r="AB252" s="19">
        <f>IF(K252&gt;Forudsætninger!$C$26,IF(K252&gt;Forudsætninger!$C$27,IF(K252&gt;Forudsætninger!$C$28,Forudsætninger!$E$28,Forudsætninger!$E$27+Forudsætninger!$F$28*(K252-Forudsætninger!$C$27)),Forudsætninger!$E$26+Forudsætninger!$F$27*(K252-Forudsætninger!$C$26)),Forudsætninger!$E$26)+IF(K252&gt;Forudsætninger!$C$28,Forudsætninger!$G$28,IF(K252&gt;Forudsætninger!$C$27,Forudsætninger!$G$27+Forudsætninger!$H$28*(K252-Forudsætninger!$C$27),IF(K252&gt;Forudsætninger!$C$26,Forudsætninger!$G$26+Forudsætninger!$H$27*(K252-Forudsætninger!$C$26),Forudsætninger!$G$26)))*(U252-Forudsætninger!$H$26)</f>
        <v>34.832428789117124</v>
      </c>
      <c r="AC252" s="19">
        <f>IF(K252&gt;Forudsætninger!$C$31,IF(K252&gt;Forudsætninger!$C$32,IF(K252&gt;Forudsætninger!$C$33,Forudsætninger!$E$33,Forudsætninger!$E$32+Forudsætninger!$F$33*(K252-Forudsætninger!$C$32)),Forudsætninger!$E$31+Forudsætninger!$F$32*(K252-Forudsætninger!$C$31)),Forudsætninger!$E$31)+IF(K252&gt;Forudsætninger!$C$33,Forudsætninger!$G$33,IF(K252&gt;Forudsætninger!$C$32,Forudsætninger!$G$32+Forudsætninger!$H$33*(K252-Forudsætninger!$C$32),IF(K252&gt;Forudsætninger!$C$31,Forudsætninger!$G$31+Forudsætninger!$H$32*(K252-Forudsætninger!$C$31),Forudsætninger!$G$31)))*(V252-Forudsætninger!$H$31)</f>
        <v>27.8991945781958</v>
      </c>
      <c r="AD252" s="19">
        <f t="shared" si="85"/>
        <v>6878.652760674192</v>
      </c>
      <c r="AE252" s="19">
        <f t="shared" si="86"/>
        <v>34.485767078571058</v>
      </c>
      <c r="AF252">
        <f>IF(G252&lt;=Forudsætninger!$C$97,Forudsætninger!$C$98,(IF(G252&lt;=Forudsætninger!$D$97,Forudsætninger!$D$98,IF(G252&lt;=Forudsætninger!$E$97,Forudsætninger!$E$98,IF(G252&lt;=Forudsætninger!$F$97,Forudsætninger!$F$98,IF(G252&lt;=Forudsætninger!$G$97,Forudsætninger!$G$98,IF(G252&lt;=Forudsætninger!$H$97,Forudsætninger!$H$98,IF(G252&lt;=Forudsætninger!$I$97,Forudsætninger!$I$98,Forudsætninger!$I$98))))))))</f>
        <v>3.8</v>
      </c>
      <c r="AG252" s="1">
        <f t="shared" si="96"/>
        <v>4.4000000000000004</v>
      </c>
      <c r="AH252" s="1">
        <f t="shared" si="100"/>
        <v>775.1999999999972</v>
      </c>
      <c r="AI252" s="1">
        <f t="shared" si="87"/>
        <v>3.1007999999999889</v>
      </c>
      <c r="AJ252" s="20">
        <f>+(W252*Forudsætninger!$C$12)</f>
        <v>900</v>
      </c>
      <c r="AK252" s="20">
        <f>Forudsætninger!$C$17</f>
        <v>250</v>
      </c>
      <c r="AL252" s="20">
        <f>IF(A252&lt;92,Forudsætninger!$C$20,Forudsætninger!$C$21)</f>
        <v>1.0566762728146013</v>
      </c>
      <c r="AM252" s="20">
        <f t="shared" si="97"/>
        <v>532.67455105694216</v>
      </c>
      <c r="AN252" s="20">
        <f>IFERROR(AD252+AJ252-AA252-Z252-AK252-AM252-Forudsætninger!$C$75,-99999999)</f>
        <v>1332.532438081183</v>
      </c>
      <c r="AO252" s="19">
        <f>IFERROR(AN252/(A252+Forudsætninger!$C$74),-99999999)</f>
        <v>5.3301297523247317</v>
      </c>
      <c r="AP252" s="19">
        <f>IFERROR(((365/(A252+Forudsætninger!$C$74))*AN252)/(AI252+Forudsætninger!$C$73),-9999999)</f>
        <v>605.92293496902141</v>
      </c>
      <c r="AQ252" s="18">
        <f t="shared" si="88"/>
        <v>250</v>
      </c>
      <c r="AR252" s="18">
        <f t="shared" si="98"/>
        <v>6263.7261300436148</v>
      </c>
      <c r="AS252" s="52">
        <f t="shared" si="79"/>
        <v>9.5</v>
      </c>
      <c r="AT252" s="50">
        <f t="shared" si="101"/>
        <v>10.93038294526059</v>
      </c>
      <c r="AU252" s="50">
        <f t="shared" si="102"/>
        <v>2.2490976678456676E-2</v>
      </c>
      <c r="AV252" s="2">
        <f t="shared" si="103"/>
        <v>1.5746593396431763</v>
      </c>
      <c r="AW252" s="61">
        <f t="shared" si="99"/>
        <v>7.4608279565525004</v>
      </c>
      <c r="BA252" s="16"/>
      <c r="BB252" s="2"/>
    </row>
    <row r="253" spans="1:54" x14ac:dyDescent="0.25">
      <c r="A253">
        <v>251</v>
      </c>
      <c r="B253" s="1">
        <f>ROUND((A253+Forudsætninger!$C$60)/30.4,1)</f>
        <v>9.5</v>
      </c>
      <c r="C253" s="1">
        <f>VLOOKUP((A253+Forudsætninger!$C$60),'Model tilvækst, slagteform, fe'!A:B,2,FALSE)</f>
        <v>423.75479142816442</v>
      </c>
      <c r="D253" s="3">
        <f t="shared" si="89"/>
        <v>1293.8655715412892</v>
      </c>
      <c r="E253" s="1">
        <f>(1+Forudsætninger!$C$78)*C253</f>
        <v>394.0919560281929</v>
      </c>
      <c r="F253" s="2">
        <f t="shared" si="90"/>
        <v>0</v>
      </c>
      <c r="G253" s="1">
        <f t="shared" si="80"/>
        <v>394.0919560281929</v>
      </c>
      <c r="H253" s="3">
        <f t="shared" si="81"/>
        <v>1203.2949815334177</v>
      </c>
      <c r="I253" s="3">
        <f t="shared" si="82"/>
        <v>1295.1870758095333</v>
      </c>
      <c r="J253" s="1">
        <f>VLOOKUP((A253+Forudsætninger!$C$60),'Model tilvækst, slagteform, fe'!G:K,2,FALSE)*(1+Forudsætninger!$C$79)</f>
        <v>50.776748886613177</v>
      </c>
      <c r="K253" s="17">
        <f t="shared" si="78"/>
        <v>200.10708289477753</v>
      </c>
      <c r="L253" s="17">
        <f t="shared" si="91"/>
        <v>643.55508627232894</v>
      </c>
      <c r="M253" s="3">
        <f>((K253-(('Model tilvækst, slagteform, fe'!$H$9/100)*'Model tilvækst, slagteform, fe'!$B$9))*1000/(A253+Forudsætninger!$C$60))</f>
        <v>619.51785815989194</v>
      </c>
      <c r="N253" s="17">
        <f t="shared" si="92"/>
        <v>1394.9256646162155</v>
      </c>
      <c r="O253" s="19">
        <f>IF( A253&lt;Forudsætninger!$C$14,(G253/100)*Forudsætninger!$C$13,(Forudsætninger!$C$15/1000)*Forudsætninger!$C$13)</f>
        <v>2.5615977141832538</v>
      </c>
      <c r="P253" s="17" cm="1">
        <f t="array" ref="P253">INDEX('Model tilvækst, slagteform, fe'!$N$9:$N$375,MATCH(MIN(ABS('Model tilvækst, slagteform, fe'!$M$9:$M$375-'Vækstfunktion, hol'!G253)),ABS('Model tilvækst, slagteform, fe'!$M$9:$M$375-'Vækstfunktion, hol'!G253),0))*(1+Forudsætninger!$C$80)</f>
        <v>7.661035103235406</v>
      </c>
      <c r="Q253" s="17">
        <f t="shared" si="93"/>
        <v>11.904241403188191</v>
      </c>
      <c r="R253" s="17">
        <f t="shared" si="94"/>
        <v>8.3037533193001956</v>
      </c>
      <c r="S253" s="17">
        <f t="shared" si="83"/>
        <v>4.2908649037604718</v>
      </c>
      <c r="T253" s="19">
        <f>(P253)*IF(N253&lt;Forudsætninger!$B$228,IF(N253&lt;Forudsætninger!$B$227,Forudsætninger!$B$225,Forudsætninger!$C$9),Forudsætninger!$C$11)+O253</f>
        <v>20.488419855754103</v>
      </c>
      <c r="U253" s="2">
        <f>Forudsætninger!$C$68+((K253-(Forudsætninger!$C$84)))*0.01</f>
        <v>3.6981236879364157</v>
      </c>
      <c r="V253" s="2">
        <f>U253+Forudsætninger!$C$69</f>
        <v>2.6981236879364157</v>
      </c>
      <c r="W253">
        <f t="shared" si="84"/>
        <v>1</v>
      </c>
      <c r="X253">
        <f>IF(A253+Forudsætninger!$C$60&gt;248,IF(A253+Forudsætninger!$C$60&lt;365,IF(K253&gt;180,IF(K253&lt;260,1,0),0),0),0)</f>
        <v>1</v>
      </c>
      <c r="Y253" s="22">
        <f>IF(X253=0,0,IF('Vækstfunktion, hol'!A253&lt;Forudsætninger!$C$66,Forudsætninger!$C$67+(('Vækstfunktion, hol'!A253-Forudsætninger!$C$66)/7)*Forudsætninger!$C$64,Forudsætninger!$C$67))</f>
        <v>0.95</v>
      </c>
      <c r="Z253" s="19">
        <f t="shared" si="95"/>
        <v>4151.539998842426</v>
      </c>
      <c r="AA253" s="19">
        <f>Forudsætninger!$C$62+Forudsætninger!$C$16</f>
        <v>1350</v>
      </c>
      <c r="AB253" s="19">
        <f>IF(K253&gt;Forudsætninger!$C$26,IF(K253&gt;Forudsætninger!$C$27,IF(K253&gt;Forudsætninger!$C$28,Forudsætninger!$E$28,Forudsætninger!$E$27+Forudsætninger!$F$28*(K253-Forudsætninger!$C$27)),Forudsætninger!$E$26+Forudsætninger!$F$27*(K253-Forudsætninger!$C$26)),Forudsætninger!$E$26)+IF(K253&gt;Forudsætninger!$C$28,Forudsætninger!$G$28,IF(K253&gt;Forudsætninger!$C$27,Forudsætninger!$G$27+Forudsætninger!$H$28*(K253-Forudsætninger!$C$27),IF(K253&gt;Forudsætninger!$C$26,Forudsætninger!$G$26+Forudsætninger!$H$27*(K253-Forudsætninger!$C$26),Forudsætninger!$G$26)))*(U253-Forudsætninger!$H$26)</f>
        <v>34.860852472094152</v>
      </c>
      <c r="AC253" s="19">
        <f>IF(K253&gt;Forudsætninger!$C$31,IF(K253&gt;Forudsætninger!$C$32,IF(K253&gt;Forudsætninger!$C$33,Forudsætninger!$E$33,Forudsætninger!$E$32+Forudsætninger!$F$33*(K253-Forudsætninger!$C$32)),Forudsætninger!$E$31+Forudsætninger!$F$32*(K253-Forudsætninger!$C$31)),Forudsætninger!$E$31)+IF(K253&gt;Forudsætninger!$C$33,Forudsætninger!$G$33,IF(K253&gt;Forudsætninger!$C$32,Forudsætninger!$G$32+Forudsætninger!$H$33*(K253-Forudsætninger!$C$32),IF(K253&gt;Forudsætninger!$C$31,Forudsætninger!$G$31+Forudsætninger!$H$32*(K253-Forudsætninger!$C$31),Forudsætninger!$G$31)))*(V253-Forudsætninger!$H$31)</f>
        <v>27.909288259449106</v>
      </c>
      <c r="AD253" s="19">
        <f t="shared" si="85"/>
        <v>6906.3506336085484</v>
      </c>
      <c r="AE253" s="19">
        <f t="shared" si="86"/>
        <v>34.513274261461902</v>
      </c>
      <c r="AF253">
        <f>IF(G253&lt;=Forudsætninger!$C$97,Forudsætninger!$C$98,(IF(G253&lt;=Forudsætninger!$D$97,Forudsætninger!$D$98,IF(G253&lt;=Forudsætninger!$E$97,Forudsætninger!$E$98,IF(G253&lt;=Forudsætninger!$F$97,Forudsætninger!$F$98,IF(G253&lt;=Forudsætninger!$G$97,Forudsætninger!$G$98,IF(G253&lt;=Forudsætninger!$H$97,Forudsætninger!$H$98,IF(G253&lt;=Forudsætninger!$I$97,Forudsætninger!$I$98,Forudsætninger!$I$98))))))))</f>
        <v>3.8</v>
      </c>
      <c r="AG253" s="1">
        <f t="shared" si="96"/>
        <v>4.4000000000000004</v>
      </c>
      <c r="AH253" s="1">
        <f t="shared" si="100"/>
        <v>779.59999999999718</v>
      </c>
      <c r="AI253" s="1">
        <f t="shared" si="87"/>
        <v>3.1059760956175189</v>
      </c>
      <c r="AJ253" s="20">
        <f>+(W253*Forudsætninger!$C$12)</f>
        <v>900</v>
      </c>
      <c r="AK253" s="20">
        <f>Forudsætninger!$C$17</f>
        <v>250</v>
      </c>
      <c r="AL253" s="20">
        <f>IF(A253&lt;92,Forudsætninger!$C$20,Forudsætninger!$C$21)</f>
        <v>1.0566762728146013</v>
      </c>
      <c r="AM253" s="20">
        <f t="shared" si="97"/>
        <v>533.73122732975673</v>
      </c>
      <c r="AN253" s="20">
        <f>IFERROR(AD253+AJ253-AA253-Z253-AK253-AM253-Forudsætninger!$C$75,-99999999)</f>
        <v>1338.6852148869712</v>
      </c>
      <c r="AO253" s="19">
        <f>IFERROR(AN253/(A253+Forudsætninger!$C$74),-99999999)</f>
        <v>5.333407230625383</v>
      </c>
      <c r="AP253" s="19">
        <f>IFERROR(((365/(A253+Forudsætninger!$C$74))*AN253)/(AI253+Forudsætninger!$C$73),-9999999)</f>
        <v>605.31968562548309</v>
      </c>
      <c r="AQ253" s="18">
        <f t="shared" si="88"/>
        <v>251</v>
      </c>
      <c r="AR253" s="18">
        <f t="shared" si="98"/>
        <v>6285.2712261721827</v>
      </c>
      <c r="AS253" s="52">
        <f t="shared" si="79"/>
        <v>9.5</v>
      </c>
      <c r="AT253" s="50">
        <f t="shared" si="101"/>
        <v>6.1527768057881076</v>
      </c>
      <c r="AU253" s="50">
        <f t="shared" si="102"/>
        <v>3.277478300651282E-3</v>
      </c>
      <c r="AV253" s="2">
        <f t="shared" si="103"/>
        <v>-0.60324934353832305</v>
      </c>
      <c r="AW253" s="61">
        <f t="shared" si="99"/>
        <v>7.4598264630148519</v>
      </c>
      <c r="BA253" s="16"/>
      <c r="BB253" s="2"/>
    </row>
    <row r="254" spans="1:54" x14ac:dyDescent="0.25">
      <c r="A254">
        <v>252</v>
      </c>
      <c r="B254" s="1">
        <f>ROUND((A254+Forudsætninger!$C$60)/30.4,1)</f>
        <v>9.6</v>
      </c>
      <c r="C254" s="1">
        <f>VLOOKUP((A254+Forudsætninger!$C$60),'Model tilvækst, slagteform, fe'!A:B,2,FALSE)</f>
        <v>425.04434495146228</v>
      </c>
      <c r="D254" s="3">
        <f t="shared" si="89"/>
        <v>1289.5535232978546</v>
      </c>
      <c r="E254" s="1">
        <f>(1+Forudsætninger!$C$78)*C254</f>
        <v>395.29124080485991</v>
      </c>
      <c r="F254" s="2">
        <f t="shared" si="90"/>
        <v>0</v>
      </c>
      <c r="G254" s="1">
        <f t="shared" si="80"/>
        <v>395.29124080485991</v>
      </c>
      <c r="H254" s="3">
        <f t="shared" si="81"/>
        <v>1199.2847766670138</v>
      </c>
      <c r="I254" s="3">
        <f t="shared" si="82"/>
        <v>1294.8065111303965</v>
      </c>
      <c r="J254" s="1">
        <f>VLOOKUP((A254+Forudsætninger!$C$60),'Model tilvækst, slagteform, fe'!G:K,2,FALSE)*(1+Forudsætninger!$C$79)</f>
        <v>50.784992529018645</v>
      </c>
      <c r="K254" s="17">
        <f t="shared" si="78"/>
        <v>200.7486271106132</v>
      </c>
      <c r="L254" s="17">
        <f t="shared" si="91"/>
        <v>641.54421583566545</v>
      </c>
      <c r="M254" s="3">
        <f>((K254-(('Model tilvækst, slagteform, fe'!$H$9/100)*'Model tilvækst, slagteform, fe'!$B$9))*1000/(A254+Forudsætninger!$C$60))</f>
        <v>619.59355011066782</v>
      </c>
      <c r="N254" s="17">
        <f t="shared" si="92"/>
        <v>1402.5967185964644</v>
      </c>
      <c r="O254" s="19">
        <f>IF( A254&lt;Forudsætninger!$C$14,(G254/100)*Forudsætninger!$C$13,(Forudsætninger!$C$15/1000)*Forudsætninger!$C$13)</f>
        <v>2.5693930652315893</v>
      </c>
      <c r="P254" s="17" cm="1">
        <f t="array" ref="P254">INDEX('Model tilvækst, slagteform, fe'!$N$9:$N$375,MATCH(MIN(ABS('Model tilvækst, slagteform, fe'!$M$9:$M$375-'Vækstfunktion, hol'!G254)),ABS('Model tilvækst, slagteform, fe'!$M$9:$M$375-'Vækstfunktion, hol'!G254),0))*(1+Forudsætninger!$C$80)</f>
        <v>7.6710539802488693</v>
      </c>
      <c r="Q254" s="17">
        <f t="shared" si="93"/>
        <v>11.957171136297557</v>
      </c>
      <c r="R254" s="17">
        <f t="shared" si="94"/>
        <v>8.3176526503090429</v>
      </c>
      <c r="S254" s="17">
        <f t="shared" si="83"/>
        <v>4.2986036497231446</v>
      </c>
      <c r="T254" s="19">
        <f>(P254)*IF(N254&lt;Forudsætninger!$B$228,IF(N254&lt;Forudsætninger!$B$227,Forudsætninger!$B$225,Forudsætninger!$C$9),Forudsætninger!$C$11)+O254</f>
        <v>20.519659379013945</v>
      </c>
      <c r="U254" s="2">
        <f>Forudsætninger!$C$68+((K254-(Forudsætninger!$C$84)))*0.01</f>
        <v>3.7045391300947723</v>
      </c>
      <c r="V254" s="2">
        <f>U254+Forudsætninger!$C$69</f>
        <v>2.7045391300947723</v>
      </c>
      <c r="W254">
        <f t="shared" si="84"/>
        <v>1</v>
      </c>
      <c r="X254">
        <f>IF(A254+Forudsætninger!$C$60&gt;248,IF(A254+Forudsætninger!$C$60&lt;365,IF(K254&gt;180,IF(K254&lt;260,1,0),0),0),0)</f>
        <v>1</v>
      </c>
      <c r="Y254" s="22">
        <f>IF(X254=0,0,IF('Vækstfunktion, hol'!A254&lt;Forudsætninger!$C$66,Forudsætninger!$C$67+(('Vækstfunktion, hol'!A254-Forudsætninger!$C$66)/7)*Forudsætninger!$C$64,Forudsætninger!$C$67))</f>
        <v>0.95</v>
      </c>
      <c r="Z254" s="19">
        <f t="shared" si="95"/>
        <v>4172.0596582214403</v>
      </c>
      <c r="AA254" s="19">
        <f>Forudsætninger!$C$62+Forudsætninger!$C$16</f>
        <v>1350</v>
      </c>
      <c r="AB254" s="19">
        <f>IF(K254&gt;Forudsætninger!$C$26,IF(K254&gt;Forudsætninger!$C$27,IF(K254&gt;Forudsætninger!$C$28,Forudsætninger!$E$28,Forudsætninger!$E$27+Forudsætninger!$F$28*(K254-Forudsætninger!$C$27)),Forudsætninger!$E$26+Forudsætninger!$F$27*(K254-Forudsætninger!$C$26)),Forudsætninger!$E$26)+IF(K254&gt;Forudsætninger!$C$28,Forudsætninger!$G$28,IF(K254&gt;Forudsætninger!$C$27,Forudsætninger!$G$27+Forudsætninger!$H$28*(K254-Forudsætninger!$C$27),IF(K254&gt;Forudsætninger!$C$26,Forudsætninger!$G$26+Forudsætninger!$H$27*(K254-Forudsætninger!$C$26),Forudsætninger!$G$26)))*(U254-Forudsætninger!$H$26)</f>
        <v>34.889187341626894</v>
      </c>
      <c r="AC254" s="19">
        <f>IF(K254&gt;Forudsætninger!$C$31,IF(K254&gt;Forudsætninger!$C$32,IF(K254&gt;Forudsætninger!$C$33,Forudsætninger!$E$33,Forudsætninger!$E$32+Forudsætninger!$F$33*(K254-Forudsætninger!$C$32)),Forudsætninger!$E$31+Forudsætninger!$F$32*(K254-Forudsætninger!$C$31)),Forudsætninger!$E$31)+IF(K254&gt;Forudsætninger!$C$33,Forudsætninger!$G$33,IF(K254&gt;Forudsætninger!$C$32,Forudsætninger!$G$32+Forudsætninger!$H$33*(K254-Forudsætninger!$C$32),IF(K254&gt;Forudsætninger!$C$31,Forudsætninger!$G$31+Forudsætninger!$H$32*(K254-Forudsætninger!$C$31),Forudsætninger!$G$31)))*(V254-Forudsætninger!$H$31)</f>
        <v>27.927959738347411</v>
      </c>
      <c r="AD254" s="19">
        <f t="shared" si="85"/>
        <v>6934.0836156184396</v>
      </c>
      <c r="AE254" s="19">
        <f t="shared" si="86"/>
        <v>34.541125961462917</v>
      </c>
      <c r="AF254">
        <f>IF(G254&lt;=Forudsætninger!$C$97,Forudsætninger!$C$98,(IF(G254&lt;=Forudsætninger!$D$97,Forudsætninger!$D$98,IF(G254&lt;=Forudsætninger!$E$97,Forudsætninger!$E$98,IF(G254&lt;=Forudsætninger!$F$97,Forudsætninger!$F$98,IF(G254&lt;=Forudsætninger!$G$97,Forudsætninger!$G$98,IF(G254&lt;=Forudsætninger!$H$97,Forudsætninger!$H$98,IF(G254&lt;=Forudsætninger!$I$97,Forudsætninger!$I$98,Forudsætninger!$I$98))))))))</f>
        <v>3.8</v>
      </c>
      <c r="AG254" s="1">
        <f t="shared" si="96"/>
        <v>4.4000000000000004</v>
      </c>
      <c r="AH254" s="1">
        <f t="shared" si="100"/>
        <v>783.99999999999716</v>
      </c>
      <c r="AI254" s="1">
        <f t="shared" si="87"/>
        <v>3.1111111111110996</v>
      </c>
      <c r="AJ254" s="20">
        <f>+(W254*Forudsætninger!$C$12)</f>
        <v>900</v>
      </c>
      <c r="AK254" s="20">
        <f>Forudsætninger!$C$17</f>
        <v>250</v>
      </c>
      <c r="AL254" s="20">
        <f>IF(A254&lt;92,Forudsætninger!$C$20,Forudsætninger!$C$21)</f>
        <v>1.0566762728146013</v>
      </c>
      <c r="AM254" s="20">
        <f t="shared" si="97"/>
        <v>534.7879036025713</v>
      </c>
      <c r="AN254" s="20">
        <f>IFERROR(AD254+AJ254-AA254-Z254-AK254-AM254-Forudsætninger!$C$75,-99999999)</f>
        <v>1344.8418612450334</v>
      </c>
      <c r="AO254" s="19">
        <f>IFERROR(AN254/(A254+Forudsætninger!$C$74),-99999999)</f>
        <v>5.3366740525596565</v>
      </c>
      <c r="AP254" s="19">
        <f>IFERROR(((365/(A254+Forudsætninger!$C$74))*AN254)/(AI254+Forudsætninger!$C$73),-9999999)</f>
        <v>604.72487970536508</v>
      </c>
      <c r="AQ254" s="18">
        <f t="shared" si="88"/>
        <v>252</v>
      </c>
      <c r="AR254" s="18">
        <f t="shared" si="98"/>
        <v>6306.8475618240118</v>
      </c>
      <c r="AS254" s="52">
        <f t="shared" si="79"/>
        <v>9.6</v>
      </c>
      <c r="AT254" s="50">
        <f t="shared" si="101"/>
        <v>6.1566463580622894</v>
      </c>
      <c r="AU254" s="50">
        <f t="shared" si="102"/>
        <v>3.2668219342735227E-3</v>
      </c>
      <c r="AV254" s="2">
        <f t="shared" si="103"/>
        <v>-0.59480592011800582</v>
      </c>
      <c r="AW254" s="61">
        <f t="shared" si="99"/>
        <v>7.4588482732047812</v>
      </c>
      <c r="BA254" s="16"/>
      <c r="BB254" s="2"/>
    </row>
    <row r="255" spans="1:54" x14ac:dyDescent="0.25">
      <c r="A255">
        <v>253</v>
      </c>
      <c r="B255" s="1">
        <f>ROUND((A255+Forudsætninger!$C$60)/30.4,1)</f>
        <v>9.6</v>
      </c>
      <c r="C255" s="1">
        <f>VLOOKUP((A255+Forudsætninger!$C$60),'Model tilvækst, slagteform, fe'!A:B,2,FALSE)</f>
        <v>426.32958174148848</v>
      </c>
      <c r="D255" s="3">
        <f t="shared" si="89"/>
        <v>1285.2367900262038</v>
      </c>
      <c r="E255" s="1">
        <f>(1+Forudsætninger!$C$78)*C255</f>
        <v>396.48651101958427</v>
      </c>
      <c r="F255" s="2">
        <f t="shared" si="90"/>
        <v>0</v>
      </c>
      <c r="G255" s="1">
        <f t="shared" si="80"/>
        <v>396.48651101958427</v>
      </c>
      <c r="H255" s="3">
        <f t="shared" si="81"/>
        <v>1195.2702147243599</v>
      </c>
      <c r="I255" s="3">
        <f t="shared" si="82"/>
        <v>1294.41308703393</v>
      </c>
      <c r="J255" s="1">
        <f>VLOOKUP((A255+Forudsætninger!$C$60),'Model tilvækst, slagteform, fe'!G:K,2,FALSE)*(1+Forudsætninger!$C$79)</f>
        <v>50.793196169155237</v>
      </c>
      <c r="K255" s="17">
        <f t="shared" si="78"/>
        <v>201.38817132641674</v>
      </c>
      <c r="L255" s="17">
        <f t="shared" si="91"/>
        <v>639.54421580353937</v>
      </c>
      <c r="M255" s="3">
        <f>((K255-(('Model tilvækst, slagteform, fe'!$H$9/100)*'Model tilvækst, slagteform, fe'!$B$9))*1000/(A255+Forudsætninger!$C$60))</f>
        <v>619.66187430824607</v>
      </c>
      <c r="N255" s="17">
        <f t="shared" si="92"/>
        <v>1410.2779022698412</v>
      </c>
      <c r="O255" s="19">
        <f>IF( A255&lt;Forudsætninger!$C$14,(G255/100)*Forudsætninger!$C$13,(Forudsætninger!$C$15/1000)*Forudsætninger!$C$13)</f>
        <v>2.5771623216272981</v>
      </c>
      <c r="P255" s="17" cm="1">
        <f t="array" ref="P255">INDEX('Model tilvækst, slagteform, fe'!$N$9:$N$375,MATCH(MIN(ABS('Model tilvækst, slagteform, fe'!$M$9:$M$375-'Vækstfunktion, hol'!G255)),ABS('Model tilvækst, slagteform, fe'!$M$9:$M$375-'Vækstfunktion, hol'!G255),0))*(1+Forudsætninger!$C$80)</f>
        <v>7.6811836733769177</v>
      </c>
      <c r="Q255" s="17">
        <f t="shared" si="93"/>
        <v>12.010402851859251</v>
      </c>
      <c r="R255" s="17">
        <f t="shared" si="94"/>
        <v>8.3316049074609033</v>
      </c>
      <c r="S255" s="17">
        <f t="shared" si="83"/>
        <v>4.3063694375659463</v>
      </c>
      <c r="T255" s="19">
        <f>(P255)*IF(N255&lt;Forudsætninger!$B$228,IF(N255&lt;Forudsætninger!$B$227,Forudsætninger!$B$225,Forudsætninger!$C$9),Forudsætninger!$C$11)+O255</f>
        <v>20.551132117329285</v>
      </c>
      <c r="U255" s="2">
        <f>Forudsætninger!$C$68+((K255-(Forudsætninger!$C$84)))*0.01</f>
        <v>3.7109345722528078</v>
      </c>
      <c r="V255" s="2">
        <f>U255+Forudsætninger!$C$69</f>
        <v>2.7109345722528078</v>
      </c>
      <c r="W255">
        <f t="shared" si="84"/>
        <v>1</v>
      </c>
      <c r="X255">
        <f>IF(A255+Forudsætninger!$C$60&gt;248,IF(A255+Forudsætninger!$C$60&lt;365,IF(K255&gt;180,IF(K255&lt;260,1,0),0),0),0)</f>
        <v>1</v>
      </c>
      <c r="Y255" s="22">
        <f>IF(X255=0,0,IF('Vækstfunktion, hol'!A255&lt;Forudsætninger!$C$66,Forudsætninger!$C$67+(('Vækstfunktion, hol'!A255-Forudsætninger!$C$66)/7)*Forudsætninger!$C$64,Forudsætninger!$C$67))</f>
        <v>0.95</v>
      </c>
      <c r="Z255" s="19">
        <f t="shared" si="95"/>
        <v>4192.6107903387692</v>
      </c>
      <c r="AA255" s="19">
        <f>Forudsætninger!$C$62+Forudsætninger!$C$16</f>
        <v>1350</v>
      </c>
      <c r="AB255" s="19">
        <f>IF(K255&gt;Forudsætninger!$C$26,IF(K255&gt;Forudsætninger!$C$27,IF(K255&gt;Forudsætninger!$C$28,Forudsætninger!$E$28,Forudsætninger!$E$27+Forudsætninger!$F$28*(K255-Forudsætninger!$C$27)),Forudsætninger!$E$26+Forudsætninger!$F$27*(K255-Forudsætninger!$C$26)),Forudsætninger!$E$26)+IF(K255&gt;Forudsætninger!$C$28,Forudsætninger!$G$28,IF(K255&gt;Forudsætninger!$C$27,Forudsætninger!$G$27+Forudsætninger!$H$28*(K255-Forudsætninger!$C$27),IF(K255&gt;Forudsætninger!$C$26,Forudsætninger!$G$26+Forudsætninger!$H$27*(K255-Forudsætninger!$C$26),Forudsætninger!$G$26)))*(U255-Forudsætninger!$H$26)</f>
        <v>34.917433877824884</v>
      </c>
      <c r="AC255" s="19">
        <f>IF(K255&gt;Forudsætninger!$C$31,IF(K255&gt;Forudsætninger!$C$32,IF(K255&gt;Forudsætninger!$C$33,Forudsætninger!$E$33,Forudsætninger!$E$32+Forudsætninger!$F$33*(K255-Forudsætninger!$C$32)),Forudsætninger!$E$31+Forudsætninger!$F$32*(K255-Forudsætninger!$C$31)),Forudsætninger!$E$31)+IF(K255&gt;Forudsætninger!$C$33,Forudsætninger!$G$33,IF(K255&gt;Forudsætninger!$C$32,Forudsætninger!$G$32+Forudsætninger!$H$33*(K255-Forudsætninger!$C$32),IF(K255&gt;Forudsætninger!$C$31,Forudsætninger!$G$31+Forudsætninger!$H$32*(K255-Forudsætninger!$C$31),Forudsætninger!$G$31)))*(V255-Forudsætninger!$H$31)</f>
        <v>27.946542285093365</v>
      </c>
      <c r="AD255" s="19">
        <f t="shared" si="85"/>
        <v>6961.7654005474815</v>
      </c>
      <c r="AE255" s="19">
        <f t="shared" si="86"/>
        <v>34.56888929818831</v>
      </c>
      <c r="AF255">
        <f>IF(G255&lt;=Forudsætninger!$C$97,Forudsætninger!$C$98,(IF(G255&lt;=Forudsætninger!$D$97,Forudsætninger!$D$98,IF(G255&lt;=Forudsætninger!$E$97,Forudsætninger!$E$98,IF(G255&lt;=Forudsætninger!$F$97,Forudsætninger!$F$98,IF(G255&lt;=Forudsætninger!$G$97,Forudsætninger!$G$98,IF(G255&lt;=Forudsætninger!$H$97,Forudsætninger!$H$98,IF(G255&lt;=Forudsætninger!$I$97,Forudsætninger!$I$98,Forudsætninger!$I$98))))))))</f>
        <v>3.8</v>
      </c>
      <c r="AG255" s="1">
        <f t="shared" si="96"/>
        <v>4.4000000000000004</v>
      </c>
      <c r="AH255" s="1">
        <f t="shared" si="100"/>
        <v>788.39999999999714</v>
      </c>
      <c r="AI255" s="1">
        <f t="shared" si="87"/>
        <v>3.1162055335968266</v>
      </c>
      <c r="AJ255" s="20">
        <f>+(W255*Forudsætninger!$C$12)</f>
        <v>900</v>
      </c>
      <c r="AK255" s="20">
        <f>Forudsætninger!$C$17</f>
        <v>250</v>
      </c>
      <c r="AL255" s="20">
        <f>IF(A255&lt;92,Forudsætninger!$C$20,Forudsætninger!$C$21)</f>
        <v>1.0566762728146013</v>
      </c>
      <c r="AM255" s="20">
        <f t="shared" si="97"/>
        <v>535.84457987538588</v>
      </c>
      <c r="AN255" s="20">
        <f>IFERROR(AD255+AJ255-AA255-Z255-AK255-AM255-Forudsætninger!$C$75,-99999999)</f>
        <v>1350.9158377839317</v>
      </c>
      <c r="AO255" s="19">
        <f>IFERROR(AN255/(A255+Forudsætninger!$C$74),-99999999)</f>
        <v>5.3395882916360939</v>
      </c>
      <c r="AP255" s="19">
        <f>IFERROR(((365/(A255+Forudsætninger!$C$74))*AN255)/(AI255+Forudsætninger!$C$73),-9999999)</f>
        <v>604.09967875615553</v>
      </c>
      <c r="AQ255" s="18">
        <f t="shared" si="88"/>
        <v>253</v>
      </c>
      <c r="AR255" s="18">
        <f t="shared" si="98"/>
        <v>6328.4553702141548</v>
      </c>
      <c r="AS255" s="52">
        <f t="shared" si="79"/>
        <v>9.6</v>
      </c>
      <c r="AT255" s="50">
        <f t="shared" si="101"/>
        <v>6.0739765388982505</v>
      </c>
      <c r="AU255" s="50">
        <f t="shared" si="102"/>
        <v>2.9142390764373971E-3</v>
      </c>
      <c r="AV255" s="2">
        <f t="shared" si="103"/>
        <v>-0.62520094920955671</v>
      </c>
      <c r="AW255" s="61">
        <f t="shared" si="99"/>
        <v>7.4575510579419673</v>
      </c>
      <c r="BA255" s="16"/>
      <c r="BB255" s="2"/>
    </row>
    <row r="256" spans="1:54" x14ac:dyDescent="0.25">
      <c r="A256">
        <v>254</v>
      </c>
      <c r="B256" s="1">
        <f>ROUND((A256+Forudsætninger!$C$60)/30.4,1)</f>
        <v>9.6</v>
      </c>
      <c r="C256" s="1">
        <f>VLOOKUP((A256+Forudsætninger!$C$60),'Model tilvækst, slagteform, fe'!A:B,2,FALSE)</f>
        <v>427.61049764756251</v>
      </c>
      <c r="D256" s="3">
        <f t="shared" si="89"/>
        <v>1280.9159060740285</v>
      </c>
      <c r="E256" s="1">
        <f>(1+Forudsætninger!$C$78)*C256</f>
        <v>397.67776281223308</v>
      </c>
      <c r="F256" s="2">
        <f t="shared" si="90"/>
        <v>0</v>
      </c>
      <c r="G256" s="1">
        <f t="shared" si="80"/>
        <v>397.67776281223308</v>
      </c>
      <c r="H256" s="3">
        <f t="shared" si="81"/>
        <v>1191.2517926488135</v>
      </c>
      <c r="I256" s="3">
        <f t="shared" si="82"/>
        <v>1294.006940205642</v>
      </c>
      <c r="J256" s="1">
        <f>VLOOKUP((A256+Forudsætninger!$C$60),'Model tilvækst, slagteform, fe'!G:K,2,FALSE)*(1+Forudsætninger!$C$79)</f>
        <v>50.801363755848321</v>
      </c>
      <c r="K256" s="17">
        <f t="shared" si="78"/>
        <v>202.02572686236221</v>
      </c>
      <c r="L256" s="17">
        <f t="shared" si="91"/>
        <v>637.55553594546654</v>
      </c>
      <c r="M256" s="3">
        <f>((K256-(('Model tilvækst, slagteform, fe'!$H$9/100)*'Model tilvækst, slagteform, fe'!$B$9))*1000/(A256+Forudsætninger!$C$60))</f>
        <v>619.72294482577934</v>
      </c>
      <c r="N256" s="17">
        <f t="shared" si="92"/>
        <v>1417.9693248877747</v>
      </c>
      <c r="O256" s="19">
        <f>IF( A256&lt;Forudsætninger!$C$14,(G256/100)*Forudsætninger!$C$13,(Forudsætninger!$C$15/1000)*Forudsætninger!$C$13)</f>
        <v>2.5849054582795152</v>
      </c>
      <c r="P256" s="17" cm="1">
        <f t="array" ref="P256">INDEX('Model tilvækst, slagteform, fe'!$N$9:$N$375,MATCH(MIN(ABS('Model tilvækst, slagteform, fe'!$M$9:$M$375-'Vækstfunktion, hol'!G256)),ABS('Model tilvækst, slagteform, fe'!$M$9:$M$375-'Vækstfunktion, hol'!G256),0))*(1+Forudsætninger!$C$80)</f>
        <v>7.691422617933652</v>
      </c>
      <c r="Q256" s="17">
        <f t="shared" si="93"/>
        <v>12.063925704178247</v>
      </c>
      <c r="R256" s="17">
        <f t="shared" si="94"/>
        <v>8.345610072777534</v>
      </c>
      <c r="S256" s="17">
        <f t="shared" si="83"/>
        <v>4.3141626398918618</v>
      </c>
      <c r="T256" s="19">
        <f>(P256)*IF(N256&lt;Forudsætninger!$B$228,IF(N256&lt;Forudsætninger!$B$227,Forudsætninger!$B$225,Forudsætninger!$C$9),Forudsætninger!$C$11)+O256</f>
        <v>20.582834384244258</v>
      </c>
      <c r="U256" s="2">
        <f>Forudsætninger!$C$68+((K256-(Forudsætninger!$C$84)))*0.01</f>
        <v>3.7173101276122624</v>
      </c>
      <c r="V256" s="2">
        <f>U256+Forudsætninger!$C$69</f>
        <v>2.7173101276122624</v>
      </c>
      <c r="W256">
        <f t="shared" si="84"/>
        <v>1</v>
      </c>
      <c r="X256">
        <f>IF(A256+Forudsætninger!$C$60&gt;248,IF(A256+Forudsætninger!$C$60&lt;365,IF(K256&gt;180,IF(K256&lt;260,1,0),0),0),0)</f>
        <v>1</v>
      </c>
      <c r="Y256" s="22">
        <f>IF(X256=0,0,IF('Vækstfunktion, hol'!A256&lt;Forudsætninger!$C$66,Forudsætninger!$C$67+(('Vækstfunktion, hol'!A256-Forudsætninger!$C$66)/7)*Forudsætninger!$C$64,Forudsætninger!$C$67))</f>
        <v>0.95</v>
      </c>
      <c r="Z256" s="19">
        <f t="shared" si="95"/>
        <v>4213.1936247230133</v>
      </c>
      <c r="AA256" s="19">
        <f>Forudsætninger!$C$62+Forudsætninger!$C$16</f>
        <v>1350</v>
      </c>
      <c r="AB256" s="19">
        <f>IF(K256&gt;Forudsætninger!$C$26,IF(K256&gt;Forudsætninger!$C$27,IF(K256&gt;Forudsætninger!$C$28,Forudsætninger!$E$28,Forudsætninger!$E$27+Forudsætninger!$F$28*(K256-Forudsætninger!$C$27)),Forudsætninger!$E$26+Forudsætninger!$F$27*(K256-Forudsætninger!$C$26)),Forudsætninger!$E$26)+IF(K256&gt;Forudsætninger!$C$28,Forudsætninger!$G$28,IF(K256&gt;Forudsætninger!$C$27,Forudsætninger!$G$27+Forudsætninger!$H$28*(K256-Forudsætninger!$C$27),IF(K256&gt;Forudsætninger!$C$26,Forudsætninger!$G$26+Forudsætninger!$H$27*(K256-Forudsætninger!$C$26),Forudsætninger!$G$26)))*(U256-Forudsætninger!$H$26)</f>
        <v>34.945592580662478</v>
      </c>
      <c r="AC256" s="19">
        <f>IF(K256&gt;Forudsætninger!$C$31,IF(K256&gt;Forudsætninger!$C$32,IF(K256&gt;Forudsætninger!$C$33,Forudsætninger!$E$33,Forudsætninger!$E$32+Forudsætninger!$F$33*(K256-Forudsætninger!$C$32)),Forudsætninger!$E$31+Forudsætninger!$F$32*(K256-Forudsætninger!$C$31)),Forudsætninger!$E$31)+IF(K256&gt;Forudsætninger!$C$33,Forudsætninger!$G$33,IF(K256&gt;Forudsætninger!$C$32,Forudsætninger!$G$32+Forudsætninger!$H$33*(K256-Forudsætninger!$C$32),IF(K256&gt;Forudsætninger!$C$31,Forudsætninger!$G$31+Forudsætninger!$H$32*(K256-Forudsætninger!$C$31),Forudsætninger!$G$31)))*(V256-Forudsætninger!$H$31)</f>
        <v>27.965036515587176</v>
      </c>
      <c r="AD256" s="19">
        <f t="shared" si="85"/>
        <v>6989.3961460967939</v>
      </c>
      <c r="AE256" s="19">
        <f t="shared" si="86"/>
        <v>34.596564777408716</v>
      </c>
      <c r="AF256">
        <f>IF(G256&lt;=Forudsætninger!$C$97,Forudsætninger!$C$98,(IF(G256&lt;=Forudsætninger!$D$97,Forudsætninger!$D$98,IF(G256&lt;=Forudsætninger!$E$97,Forudsætninger!$E$98,IF(G256&lt;=Forudsætninger!$F$97,Forudsætninger!$F$98,IF(G256&lt;=Forudsætninger!$G$97,Forudsætninger!$G$98,IF(G256&lt;=Forudsætninger!$H$97,Forudsætninger!$H$98,IF(G256&lt;=Forudsætninger!$I$97,Forudsætninger!$I$98,Forudsætninger!$I$98))))))))</f>
        <v>3.8</v>
      </c>
      <c r="AG256" s="1">
        <f t="shared" si="96"/>
        <v>4.4000000000000004</v>
      </c>
      <c r="AH256" s="1">
        <f t="shared" si="100"/>
        <v>792.79999999999711</v>
      </c>
      <c r="AI256" s="1">
        <f t="shared" si="87"/>
        <v>3.1212598425196738</v>
      </c>
      <c r="AJ256" s="20">
        <f>+(W256*Forudsætninger!$C$12)</f>
        <v>900</v>
      </c>
      <c r="AK256" s="20">
        <f>Forudsætninger!$C$17</f>
        <v>250</v>
      </c>
      <c r="AL256" s="20">
        <f>IF(A256&lt;92,Forudsætninger!$C$20,Forudsætninger!$C$21)</f>
        <v>1.0566762728146013</v>
      </c>
      <c r="AM256" s="20">
        <f t="shared" si="97"/>
        <v>536.90125614820045</v>
      </c>
      <c r="AN256" s="20">
        <f>IFERROR(AD256+AJ256-AA256-Z256-AK256-AM256-Forudsætninger!$C$75,-99999999)</f>
        <v>1356.9070726761856</v>
      </c>
      <c r="AO256" s="19">
        <f>IFERROR(AN256/(A256+Forudsætninger!$C$74),-99999999)</f>
        <v>5.3421538294338013</v>
      </c>
      <c r="AP256" s="19">
        <f>IFERROR(((365/(A256+Forudsætninger!$C$74))*AN256)/(AI256+Forudsætninger!$C$73),-9999999)</f>
        <v>603.44455190049155</v>
      </c>
      <c r="AQ256" s="18">
        <f t="shared" si="88"/>
        <v>254</v>
      </c>
      <c r="AR256" s="18">
        <f t="shared" si="98"/>
        <v>6350.0948808712137</v>
      </c>
      <c r="AS256" s="52">
        <f t="shared" si="79"/>
        <v>9.6</v>
      </c>
      <c r="AT256" s="50">
        <f t="shared" si="101"/>
        <v>5.9912348922539422</v>
      </c>
      <c r="AU256" s="50">
        <f>AO256-AO255</f>
        <v>2.5655377977074068E-3</v>
      </c>
      <c r="AV256" s="2">
        <f t="shared" si="103"/>
        <v>-0.65512685566397977</v>
      </c>
      <c r="AW256" s="61">
        <f t="shared" si="99"/>
        <v>7.4559383024582129</v>
      </c>
      <c r="BA256" s="16"/>
      <c r="BB256" s="2"/>
    </row>
    <row r="257" spans="1:59" s="7" customFormat="1" x14ac:dyDescent="0.25">
      <c r="A257" s="7">
        <v>255</v>
      </c>
      <c r="B257" s="21">
        <f>ROUND((A257+Forudsætninger!$C$60)/30.4,1)</f>
        <v>9.6999999999999993</v>
      </c>
      <c r="C257" s="21">
        <f>VLOOKUP((A257+Forudsætninger!$C$60),'Model tilvækst, slagteform, fe'!A:B,2,FALSE)</f>
        <v>428.88708905335091</v>
      </c>
      <c r="D257" s="28">
        <f t="shared" si="89"/>
        <v>1276.5914057883947</v>
      </c>
      <c r="E257" s="21">
        <f>(1+Forudsætninger!$C$78)*C257</f>
        <v>398.8649928196163</v>
      </c>
      <c r="F257" s="30">
        <f t="shared" si="90"/>
        <v>0</v>
      </c>
      <c r="G257" s="21">
        <f t="shared" si="80"/>
        <v>398.8649928196163</v>
      </c>
      <c r="H257" s="28">
        <f t="shared" si="81"/>
        <v>1187.2300073832207</v>
      </c>
      <c r="I257" s="28">
        <f t="shared" si="82"/>
        <v>1293.5882071357501</v>
      </c>
      <c r="J257" s="21">
        <f>VLOOKUP((A257+Forudsætninger!$C$60),'Model tilvækst, slagteform, fe'!G:K,2,FALSE)*(1+Forudsætninger!$C$79)</f>
        <v>50.809499237923248</v>
      </c>
      <c r="K257" s="29">
        <f t="shared" si="78"/>
        <v>202.66130548702557</v>
      </c>
      <c r="L257" s="29">
        <f t="shared" si="91"/>
        <v>635.57862466336701</v>
      </c>
      <c r="M257" s="28">
        <f>((K257-(('Model tilvækst, slagteform, fe'!$H$9/100)*'Model tilvækst, slagteform, fe'!$B$9))*1000/(A257+Forudsætninger!$C$60))</f>
        <v>619.77687570958062</v>
      </c>
      <c r="N257" s="29">
        <f t="shared" si="92"/>
        <v>1425.671094046369</v>
      </c>
      <c r="O257" s="30">
        <f>IF( A257&lt;Forudsætninger!$C$14,(G257/100)*Forudsætninger!$C$13,(Forudsætninger!$C$15/1000)*Forudsætninger!$C$13)</f>
        <v>2.5926224533275062</v>
      </c>
      <c r="P257" s="29" cm="1">
        <f t="array" ref="P257">INDEX('Model tilvækst, slagteform, fe'!$N$9:$N$375,MATCH(MIN(ABS('Model tilvækst, slagteform, fe'!$M$9:$M$375-'Vækstfunktion, hol'!G257)),ABS('Model tilvækst, slagteform, fe'!$M$9:$M$375-'Vækstfunktion, hol'!G257),0))*(1+Forudsætninger!$C$80)</f>
        <v>7.701769158594395</v>
      </c>
      <c r="Q257" s="29">
        <f t="shared" si="93"/>
        <v>12.117728412709949</v>
      </c>
      <c r="R257" s="29">
        <f t="shared" si="94"/>
        <v>8.3596680968540067</v>
      </c>
      <c r="S257" s="29">
        <f t="shared" si="83"/>
        <v>4.3219836147510939</v>
      </c>
      <c r="T257" s="30">
        <f>(P257)*IF(N257&lt;Forudsætninger!$B$228,IF(N257&lt;Forudsætninger!$B$227,Forudsætninger!$B$225,Forudsætninger!$C$9),Forudsætninger!$C$11)+O257</f>
        <v>20.614762284438392</v>
      </c>
      <c r="U257" s="30">
        <f>Forudsætninger!$C$68+((K257-(Forudsætninger!$C$84)))*0.01</f>
        <v>3.7236659138588961</v>
      </c>
      <c r="V257" s="30">
        <f>U257+Forudsætninger!$C$69</f>
        <v>2.7236659138588961</v>
      </c>
      <c r="W257" s="7">
        <f t="shared" si="84"/>
        <v>1</v>
      </c>
      <c r="X257" s="7">
        <f>IF(A257+Forudsætninger!$C$60&gt;248,IF(A257+Forudsætninger!$C$60&lt;365,IF(K257&gt;180,IF(K257&lt;260,1,0),0),0),0)</f>
        <v>1</v>
      </c>
      <c r="Y257" s="31">
        <f>IF(X257=0,0,IF('Vækstfunktion, hol'!A257&lt;Forudsætninger!$C$66,Forudsætninger!$C$67+(('Vækstfunktion, hol'!A257-Forudsætninger!$C$66)/7)*Forudsætninger!$C$64,Forudsætninger!$C$67))</f>
        <v>0.95</v>
      </c>
      <c r="Z257" s="30">
        <f t="shared" si="95"/>
        <v>4233.8083870074515</v>
      </c>
      <c r="AA257" s="30">
        <f>Forudsætninger!$C$62+Forudsætninger!$C$16</f>
        <v>1350</v>
      </c>
      <c r="AB257" s="30">
        <f>IF(K257&gt;Forudsætninger!$C$26,IF(K257&gt;Forudsætninger!$C$27,IF(K257&gt;Forudsætninger!$C$28,Forudsætninger!$E$28,Forudsætninger!$E$27+Forudsætninger!$F$28*(K257-Forudsætninger!$C$27)),Forudsætninger!$E$26+Forudsætninger!$F$27*(K257-Forudsætninger!$C$26)),Forudsætninger!$E$26)+IF(K257&gt;Forudsætninger!$C$28,Forudsætninger!$G$28,IF(K257&gt;Forudsætninger!$C$27,Forudsætninger!$G$27+Forudsætninger!$H$28*(K257-Forudsætninger!$C$27),IF(K257&gt;Forudsætninger!$C$26,Forudsætninger!$G$26+Forudsætninger!$H$27*(K257-Forudsætninger!$C$26),Forudsætninger!$G$26)))*(U257-Forudsætninger!$H$26)</f>
        <v>34.973663969918448</v>
      </c>
      <c r="AC257" s="30">
        <f>IF(K257&gt;Forudsætninger!$C$31,IF(K257&gt;Forudsætninger!$C$32,IF(K257&gt;Forudsætninger!$C$33,Forudsætninger!$E$33,Forudsætninger!$E$32+Forudsætninger!$F$33*(K257-Forudsætninger!$C$32)),Forudsætninger!$E$31+Forudsætninger!$F$32*(K257-Forudsætninger!$C$31)),Forudsætninger!$E$31)+IF(K257&gt;Forudsætninger!$C$33,Forudsætninger!$G$33,IF(K257&gt;Forudsætninger!$C$32,Forudsætninger!$G$32+Forudsætninger!$H$33*(K257-Forudsætninger!$C$32),IF(K257&gt;Forudsætninger!$C$31,Forudsætninger!$G$31+Forudsætninger!$H$32*(K257-Forudsætninger!$C$31),Forudsætninger!$G$31)))*(V257-Forudsætninger!$H$31)</f>
        <v>27.983443055645822</v>
      </c>
      <c r="AD257" s="30">
        <f t="shared" si="85"/>
        <v>7016.9760330017616</v>
      </c>
      <c r="AE257" s="30">
        <f t="shared" si="86"/>
        <v>34.624152924204814</v>
      </c>
      <c r="AF257" s="7">
        <f>IF(G257&lt;=Forudsætninger!$C$97,Forudsætninger!$C$98,(IF(G257&lt;=Forudsætninger!$D$97,Forudsætninger!$D$98,IF(G257&lt;=Forudsætninger!$E$97,Forudsætninger!$E$98,IF(G257&lt;=Forudsætninger!$F$97,Forudsætninger!$F$98,IF(G257&lt;=Forudsætninger!$G$97,Forudsætninger!$G$98,IF(G257&lt;=Forudsætninger!$H$97,Forudsætninger!$H$98,IF(G257&lt;=Forudsætninger!$I$97,Forudsætninger!$I$98,Forudsætninger!$I$98))))))))</f>
        <v>3.8</v>
      </c>
      <c r="AG257" s="21">
        <f t="shared" si="96"/>
        <v>4.4000000000000004</v>
      </c>
      <c r="AH257" s="21">
        <f t="shared" si="100"/>
        <v>797.19999999999709</v>
      </c>
      <c r="AI257" s="21">
        <f t="shared" si="87"/>
        <v>3.1262745098039102</v>
      </c>
      <c r="AJ257" s="28">
        <f>+(W257*Forudsætninger!$C$12)</f>
        <v>900</v>
      </c>
      <c r="AK257" s="28">
        <f>Forudsætninger!$C$17</f>
        <v>250</v>
      </c>
      <c r="AL257" s="28">
        <f>IF(A257&lt;92,Forudsætninger!$C$20,Forudsætninger!$C$21)</f>
        <v>1.0566762728146013</v>
      </c>
      <c r="AM257" s="28">
        <f t="shared" si="97"/>
        <v>537.95793242101502</v>
      </c>
      <c r="AN257" s="20">
        <f>IFERROR(AD257+AJ257-AA257-Z257-AK257-AM257-Forudsætninger!$C$75,-99999999)</f>
        <v>1362.8155210239006</v>
      </c>
      <c r="AO257" s="19">
        <f>IFERROR(AN257/(A257+Forudsætninger!$C$74),-99999999)</f>
        <v>5.344374592250591</v>
      </c>
      <c r="AP257" s="19">
        <f>IFERROR(((365/(A257+Forudsætninger!$C$74))*AN257)/(AI257+Forudsætninger!$C$73),-9999999)</f>
        <v>602.75996991666216</v>
      </c>
      <c r="AQ257" s="28">
        <f t="shared" si="88"/>
        <v>255</v>
      </c>
      <c r="AR257" s="28">
        <f t="shared" si="98"/>
        <v>6371.7663194284669</v>
      </c>
      <c r="AS257" s="29">
        <f t="shared" si="79"/>
        <v>9.6999999999999993</v>
      </c>
      <c r="AT257" s="30">
        <f t="shared" si="101"/>
        <v>5.9084483477149661</v>
      </c>
      <c r="AU257" s="30">
        <f t="shared" si="102"/>
        <v>2.2207628167896232E-3</v>
      </c>
      <c r="AV257" s="30">
        <f t="shared" si="103"/>
        <v>-0.68458198382938917</v>
      </c>
      <c r="AW257" s="61">
        <f t="shared" si="99"/>
        <v>7.4540135429212375</v>
      </c>
      <c r="AX257" s="33"/>
      <c r="AY257" s="28"/>
      <c r="BA257" s="32"/>
      <c r="BB257" s="30"/>
      <c r="BC257" s="28"/>
      <c r="BD257" s="33"/>
      <c r="BE257" s="30"/>
      <c r="BF257" s="30"/>
      <c r="BG257" s="30"/>
    </row>
    <row r="258" spans="1:59" x14ac:dyDescent="0.25">
      <c r="A258">
        <v>256</v>
      </c>
      <c r="B258" s="1">
        <f>ROUND((A258+Forudsætninger!$C$60)/30.4,1)</f>
        <v>9.6999999999999993</v>
      </c>
      <c r="C258" s="1">
        <f>VLOOKUP((A258+Forudsætninger!$C$60),'Model tilvækst, slagteform, fe'!A:B,2,FALSE)</f>
        <v>430.15935287686807</v>
      </c>
      <c r="D258" s="3">
        <f t="shared" si="89"/>
        <v>1272.2638235171644</v>
      </c>
      <c r="E258" s="1">
        <f>(1+Forudsætninger!$C$78)*C258</f>
        <v>400.0481981754873</v>
      </c>
      <c r="F258" s="2">
        <f t="shared" si="90"/>
        <v>0</v>
      </c>
      <c r="G258" s="1">
        <f t="shared" si="80"/>
        <v>400.0481981754873</v>
      </c>
      <c r="H258" s="3">
        <f t="shared" si="81"/>
        <v>1183.2053558709958</v>
      </c>
      <c r="I258" s="3">
        <f t="shared" si="82"/>
        <v>1293.1570241229972</v>
      </c>
      <c r="J258" s="1">
        <f>VLOOKUP((A258+Forudsætninger!$C$60),'Model tilvækst, slagteform, fe'!G:K,2,FALSE)*(1+Forudsætninger!$C$79)</f>
        <v>50.817606564205349</v>
      </c>
      <c r="K258" s="17">
        <f t="shared" ref="K258:K321" si="104">G258*(J258/100)</f>
        <v>203.29491941601168</v>
      </c>
      <c r="L258" s="17">
        <f t="shared" si="91"/>
        <v>633.61392898610802</v>
      </c>
      <c r="M258" s="3">
        <f>((K258-(('Model tilvækst, slagteform, fe'!$H$9/100)*'Model tilvækst, slagteform, fe'!$B$9))*1000/(A258+Forudsætninger!$C$60))</f>
        <v>619.82378097492472</v>
      </c>
      <c r="N258" s="17">
        <f t="shared" si="92"/>
        <v>1433.3833156864034</v>
      </c>
      <c r="O258" s="19">
        <f>IF( A258&lt;Forudsætninger!$C$14,(G258/100)*Forudsætninger!$C$13,(Forudsætninger!$C$15/1000)*Forudsætninger!$C$13)</f>
        <v>2.6003132881406672</v>
      </c>
      <c r="P258" s="17" cm="1">
        <f t="array" ref="P258">INDEX('Model tilvækst, slagteform, fe'!$N$9:$N$375,MATCH(MIN(ABS('Model tilvækst, slagteform, fe'!$M$9:$M$375-'Vækstfunktion, hol'!G258)),ABS('Model tilvækst, slagteform, fe'!$M$9:$M$375-'Vækstfunktion, hol'!G258),0))*(1+Forudsætninger!$C$80)</f>
        <v>7.7122216400344747</v>
      </c>
      <c r="Q258" s="17">
        <f t="shared" si="93"/>
        <v>12.171799399005266</v>
      </c>
      <c r="R258" s="17">
        <f>N258/(K258-$K$2)</f>
        <v>8.3737788992856252</v>
      </c>
      <c r="S258" s="17">
        <f t="shared" si="83"/>
        <v>4.3298327058906771</v>
      </c>
      <c r="T258" s="19">
        <f>(P258)*IF(N258&lt;Forudsætninger!$B$228,IF(N258&lt;Forudsætninger!$B$227,Forudsætninger!$B$225,Forudsætninger!$C$9),Forudsætninger!$C$11)+O258</f>
        <v>20.646911925821339</v>
      </c>
      <c r="U258" s="2">
        <f>Forudsætninger!$C$68+((K258-(Forudsætninger!$C$84)))*0.01</f>
        <v>3.7300020531487572</v>
      </c>
      <c r="V258" s="2">
        <f>U258+Forudsætninger!$C$69</f>
        <v>2.7300020531487572</v>
      </c>
      <c r="W258">
        <f t="shared" si="84"/>
        <v>1</v>
      </c>
      <c r="X258">
        <f>IF(A258+Forudsætninger!$C$60&gt;248,IF(A258+Forudsætninger!$C$60&lt;365,IF(K258&gt;180,IF(K258&lt;260,1,0),0),0),0)</f>
        <v>1</v>
      </c>
      <c r="Y258" s="22">
        <f>IF(X258=0,0,IF('Vækstfunktion, hol'!A258&lt;Forudsætninger!$C$66,Forudsætninger!$C$67+(('Vækstfunktion, hol'!A258-Forudsætninger!$C$66)/7)*Forudsætninger!$C$64,Forudsætninger!$C$67))</f>
        <v>0.95</v>
      </c>
      <c r="Z258" s="19">
        <f t="shared" si="95"/>
        <v>4254.4552989332733</v>
      </c>
      <c r="AA258" s="19">
        <f>Forudsætninger!$C$62+Forudsætninger!$C$16</f>
        <v>1350</v>
      </c>
      <c r="AB258" s="19">
        <f>IF(K258&gt;Forudsætninger!$C$26,IF(K258&gt;Forudsætninger!$C$27,IF(K258&gt;Forudsætninger!$C$28,Forudsætninger!$E$28,Forudsætninger!$E$27+Forudsætninger!$F$28*(K258-Forudsætninger!$C$27)),Forudsætninger!$E$26+Forudsætninger!$F$27*(K258-Forudsætninger!$C$26)),Forudsætninger!$E$26)+IF(K258&gt;Forudsætninger!$C$28,Forudsætninger!$G$28,IF(K258&gt;Forudsætninger!$C$27,Forudsætninger!$G$27+Forudsætninger!$H$28*(K258-Forudsætninger!$C$27),IF(K258&gt;Forudsætninger!$C$26,Forudsætninger!$G$26+Forudsætninger!$H$27*(K258-Forudsætninger!$C$26),Forudsætninger!$G$26)))*(U258-Forudsætninger!$H$26)</f>
        <v>35.001648585115333</v>
      </c>
      <c r="AC258" s="19">
        <f>IF(K258&gt;Forudsætninger!$C$31,IF(K258&gt;Forudsætninger!$C$32,IF(K258&gt;Forudsætninger!$C$33,Forudsætninger!$E$33,Forudsætninger!$E$32+Forudsætninger!$F$33*(K258-Forudsætninger!$C$32)),Forudsætninger!$E$31+Forudsætninger!$F$32*(K258-Forudsætninger!$C$31)),Forudsætninger!$E$31)+IF(K258&gt;Forudsætninger!$C$33,Forudsætninger!$G$33,IF(K258&gt;Forudsætninger!$C$32,Forudsætninger!$G$32+Forudsætninger!$H$33*(K258-Forudsætninger!$C$32),IF(K258&gt;Forudsætninger!$C$31,Forudsætninger!$G$31+Forudsætninger!$H$32*(K258-Forudsætninger!$C$31),Forudsætninger!$G$31)))*(V258-Forudsætninger!$H$31)</f>
        <v>28.001762540873674</v>
      </c>
      <c r="AD258" s="19">
        <f t="shared" si="85"/>
        <v>7044.5052650743128</v>
      </c>
      <c r="AE258" s="19">
        <f t="shared" si="86"/>
        <v>34.651654282903252</v>
      </c>
      <c r="AF258">
        <f>IF(G258&lt;=Forudsætninger!$C$97,Forudsætninger!$C$98,(IF(G258&lt;=Forudsætninger!$D$97,Forudsætninger!$D$98,IF(G258&lt;=Forudsætninger!$E$97,Forudsætninger!$E$98,IF(G258&lt;=Forudsætninger!$F$97,Forudsætninger!$F$98,IF(G258&lt;=Forudsætninger!$G$97,Forudsætninger!$G$98,IF(G258&lt;=Forudsætninger!$H$97,Forudsætninger!$H$98,IF(G258&lt;=Forudsætninger!$I$97,Forudsætninger!$I$98,Forudsætninger!$I$98))))))))</f>
        <v>4.4000000000000004</v>
      </c>
      <c r="AG258" s="1">
        <f t="shared" si="96"/>
        <v>4.4000000000000004</v>
      </c>
      <c r="AH258" s="1">
        <f t="shared" si="100"/>
        <v>801.59999999999707</v>
      </c>
      <c r="AI258" s="1">
        <f t="shared" si="87"/>
        <v>3.1312499999999885</v>
      </c>
      <c r="AJ258" s="20">
        <f>+(W258*Forudsætninger!$C$12)</f>
        <v>900</v>
      </c>
      <c r="AK258" s="20">
        <f>Forudsætninger!$C$17</f>
        <v>250</v>
      </c>
      <c r="AL258" s="20">
        <f>IF(A258&lt;92,Forudsætninger!$C$20,Forudsætninger!$C$21)</f>
        <v>1.0566762728146013</v>
      </c>
      <c r="AM258" s="20">
        <f t="shared" si="97"/>
        <v>539.01460869382959</v>
      </c>
      <c r="AN258" s="20">
        <f>IFERROR(AD258+AJ258-AA258-Z258-AK258-AM258-Forudsætninger!$C$75,-99999999)</f>
        <v>1368.6411648978153</v>
      </c>
      <c r="AO258" s="19">
        <f>IFERROR(AN258/(A258+Forudsætninger!$C$74),-99999999)</f>
        <v>5.3462545503820911</v>
      </c>
      <c r="AP258" s="19">
        <f>IFERROR(((365/(A258+Forudsætninger!$C$74))*AN258)/(AI258+Forudsætninger!$C$73),-9999999)</f>
        <v>602.04640521078909</v>
      </c>
      <c r="AQ258" s="18">
        <f t="shared" si="88"/>
        <v>256</v>
      </c>
      <c r="AR258" s="18">
        <f t="shared" si="98"/>
        <v>6393.4699076271027</v>
      </c>
      <c r="AS258" s="52">
        <f t="shared" ref="AS258:AS321" si="105">B258</f>
        <v>9.6999999999999993</v>
      </c>
      <c r="AT258" s="50">
        <f t="shared" si="101"/>
        <v>5.8256438739147143</v>
      </c>
      <c r="AU258" s="50">
        <f t="shared" si="102"/>
        <v>1.8799581315001035E-3</v>
      </c>
      <c r="AV258" s="2">
        <f t="shared" si="103"/>
        <v>-0.71356470587306831</v>
      </c>
      <c r="AW258" s="61">
        <f t="shared" si="99"/>
        <v>7.4517803655923629</v>
      </c>
      <c r="BA258" s="16"/>
      <c r="BB258" s="2"/>
    </row>
    <row r="259" spans="1:59" x14ac:dyDescent="0.25">
      <c r="A259">
        <v>257</v>
      </c>
      <c r="B259" s="1">
        <f>ROUND((A259+Forudsætninger!$C$60)/30.4,1)</f>
        <v>9.6999999999999993</v>
      </c>
      <c r="C259" s="1">
        <f>VLOOKUP((A259+Forudsætninger!$C$60),'Model tilvækst, slagteform, fe'!A:B,2,FALSE)</f>
        <v>431.42728657047576</v>
      </c>
      <c r="D259" s="3">
        <f t="shared" si="89"/>
        <v>1267.9336936076879</v>
      </c>
      <c r="E259" s="1">
        <f>(1+Forudsætninger!$C$78)*C259</f>
        <v>401.22737651054246</v>
      </c>
      <c r="F259" s="2">
        <f t="shared" si="90"/>
        <v>0</v>
      </c>
      <c r="G259" s="1">
        <f t="shared" ref="G259:G322" si="106">E259+F259</f>
        <v>401.22737651054246</v>
      </c>
      <c r="H259" s="3">
        <f t="shared" ref="H259:H322" si="107">(G259-G258)*1000</f>
        <v>1179.1783350551555</v>
      </c>
      <c r="I259" s="3">
        <f t="shared" ref="I259:I322" si="108">(G259-$G$2)*1000/A259</f>
        <v>1292.7135272783753</v>
      </c>
      <c r="J259" s="1">
        <f>VLOOKUP((A259+Forudsætninger!$C$60),'Model tilvækst, slagteform, fe'!G:K,2,FALSE)*(1+Forudsætninger!$C$79)</f>
        <v>50.825689683520011</v>
      </c>
      <c r="K259" s="17">
        <f t="shared" si="104"/>
        <v>203.92658131057678</v>
      </c>
      <c r="L259" s="17">
        <f t="shared" si="91"/>
        <v>631.66189456509869</v>
      </c>
      <c r="M259" s="3">
        <f>((K259-(('Model tilvækst, slagteform, fe'!$H$9/100)*'Model tilvækst, slagteform, fe'!$B$9))*1000/(A259+Forudsætninger!$C$60))</f>
        <v>619.86377460191841</v>
      </c>
      <c r="N259" s="17">
        <f t="shared" si="92"/>
        <v>1441.1060940933326</v>
      </c>
      <c r="O259" s="19">
        <f>IF( A259&lt;Forudsætninger!$C$14,(G259/100)*Forudsætninger!$C$13,(Forudsætninger!$C$15/1000)*Forudsætninger!$C$13)</f>
        <v>2.6079779473185263</v>
      </c>
      <c r="P259" s="17" cm="1">
        <f t="array" ref="P259">INDEX('Model tilvækst, slagteform, fe'!$N$9:$N$375,MATCH(MIN(ABS('Model tilvækst, slagteform, fe'!$M$9:$M$375-'Vækstfunktion, hol'!G259)),ABS('Model tilvækst, slagteform, fe'!$M$9:$M$375-'Vækstfunktion, hol'!G259),0))*(1+Forudsætninger!$C$80)</f>
        <v>7.7227784069292076</v>
      </c>
      <c r="Q259" s="17">
        <f t="shared" si="93"/>
        <v>12.226126782978362</v>
      </c>
      <c r="R259" s="17">
        <f t="shared" si="94"/>
        <v>8.3879423690789245</v>
      </c>
      <c r="S259" s="17">
        <f t="shared" ref="S259:S322" si="109">N259/(G259-$G$2)</f>
        <v>4.3377102429955903</v>
      </c>
      <c r="T259" s="19">
        <f>(P259)*IF(N259&lt;Forudsætninger!$B$228,IF(N259&lt;Forudsætninger!$B$227,Forudsætninger!$B$225,Forudsætninger!$C$9),Forudsætninger!$C$11)+O259</f>
        <v>20.679279419532872</v>
      </c>
      <c r="U259" s="2">
        <f>Forudsætninger!$C$68+((K259-(Forudsætninger!$C$84)))*0.01</f>
        <v>3.7363186720944079</v>
      </c>
      <c r="V259" s="2">
        <f>U259+Forudsætninger!$C$69</f>
        <v>2.7363186720944079</v>
      </c>
      <c r="W259">
        <f t="shared" ref="W259:W322" si="110">IF(K259&gt;130,1,0)</f>
        <v>1</v>
      </c>
      <c r="X259">
        <f>IF(A259+Forudsætninger!$C$60&gt;248,IF(A259+Forudsætninger!$C$60&lt;365,IF(K259&gt;180,IF(K259&lt;260,1,0),0),0),0)</f>
        <v>1</v>
      </c>
      <c r="Y259" s="22">
        <f>IF(X259=0,0,IF('Vækstfunktion, hol'!A259&lt;Forudsætninger!$C$66,Forudsætninger!$C$67+(('Vækstfunktion, hol'!A259-Forudsætninger!$C$66)/7)*Forudsætninger!$C$64,Forudsætninger!$C$67))</f>
        <v>0.95</v>
      </c>
      <c r="Z259" s="19">
        <f t="shared" si="95"/>
        <v>4275.1345783528059</v>
      </c>
      <c r="AA259" s="19">
        <f>Forudsætninger!$C$62+Forudsætninger!$C$16</f>
        <v>1350</v>
      </c>
      <c r="AB259" s="19">
        <f>IF(K259&gt;Forudsætninger!$C$26,IF(K259&gt;Forudsætninger!$C$27,IF(K259&gt;Forudsætninger!$C$28,Forudsætninger!$E$28,Forudsætninger!$E$27+Forudsætninger!$F$28*(K259-Forudsætninger!$C$27)),Forudsætninger!$E$26+Forudsætninger!$F$27*(K259-Forudsætninger!$C$26)),Forudsætninger!$E$26)+IF(K259&gt;Forudsætninger!$C$28,Forudsætninger!$G$28,IF(K259&gt;Forudsætninger!$C$27,Forudsætninger!$G$27+Forudsætninger!$H$28*(K259-Forudsætninger!$C$27),IF(K259&gt;Forudsætninger!$C$26,Forudsætninger!$G$26+Forudsætninger!$H$27*(K259-Forudsætninger!$C$26),Forudsætninger!$G$26)))*(U259-Forudsætninger!$H$26)</f>
        <v>35.029546985458623</v>
      </c>
      <c r="AC259" s="19">
        <f>IF(K259&gt;Forudsætninger!$C$31,IF(K259&gt;Forudsætninger!$C$32,IF(K259&gt;Forudsætninger!$C$33,Forudsætninger!$E$33,Forudsætninger!$E$32+Forudsætninger!$F$33*(K259-Forudsætninger!$C$32)),Forudsætninger!$E$31+Forudsætninger!$F$32*(K259-Forudsætninger!$C$31)),Forudsætninger!$E$31)+IF(K259&gt;Forudsætninger!$C$33,Forudsætninger!$G$33,IF(K259&gt;Forudsætninger!$C$32,Forudsætninger!$G$32+Forudsætninger!$H$33*(K259-Forudsætninger!$C$32),IF(K259&gt;Forudsætninger!$C$31,Forudsætninger!$G$31+Forudsætninger!$H$32*(K259-Forudsætninger!$C$31),Forudsætninger!$G$31)))*(V259-Forudsætninger!$H$31)</f>
        <v>28.019995616534267</v>
      </c>
      <c r="AD259" s="19">
        <f t="shared" ref="AD259:AD322" si="111">(K259*(Y259*AB259+((1-Y259)*AC259)))</f>
        <v>7071.9840692435173</v>
      </c>
      <c r="AE259" s="19">
        <f t="shared" ref="AE259:AE322" si="112">AD259/K259</f>
        <v>34.679069417012407</v>
      </c>
      <c r="AF259">
        <f>IF(G259&lt;=Forudsætninger!$C$97,Forudsætninger!$C$98,(IF(G259&lt;=Forudsætninger!$D$97,Forudsætninger!$D$98,IF(G259&lt;=Forudsætninger!$E$97,Forudsætninger!$E$98,IF(G259&lt;=Forudsætninger!$F$97,Forudsætninger!$F$98,IF(G259&lt;=Forudsætninger!$G$97,Forudsætninger!$G$98,IF(G259&lt;=Forudsætninger!$H$97,Forudsætninger!$H$98,IF(G259&lt;=Forudsætninger!$I$97,Forudsætninger!$I$98,Forudsætninger!$I$98))))))))</f>
        <v>4.4000000000000004</v>
      </c>
      <c r="AG259" s="1">
        <f t="shared" si="96"/>
        <v>4.4000000000000004</v>
      </c>
      <c r="AH259" s="1">
        <f t="shared" si="100"/>
        <v>805.99999999999704</v>
      </c>
      <c r="AI259" s="1">
        <f t="shared" ref="AI259:AI322" si="113">AH259/A259</f>
        <v>3.136186770428004</v>
      </c>
      <c r="AJ259" s="20">
        <f>+(W259*Forudsætninger!$C$12)</f>
        <v>900</v>
      </c>
      <c r="AK259" s="20">
        <f>Forudsætninger!$C$17</f>
        <v>250</v>
      </c>
      <c r="AL259" s="20">
        <f>IF(A259&lt;92,Forudsætninger!$C$20,Forudsætninger!$C$21)</f>
        <v>1.0566762728146013</v>
      </c>
      <c r="AM259" s="20">
        <f t="shared" si="97"/>
        <v>540.07128496664416</v>
      </c>
      <c r="AN259" s="20">
        <f>IFERROR(AD259+AJ259-AA259-Z259-AK259-AM259-Forudsætninger!$C$75,-99999999)</f>
        <v>1374.3840133746726</v>
      </c>
      <c r="AO259" s="19">
        <f>IFERROR(AN259/(A259+Forudsætninger!$C$74),-99999999)</f>
        <v>5.3477977174111775</v>
      </c>
      <c r="AP259" s="19">
        <f>IFERROR(((365/(A259+Forudsætninger!$C$74))*AN259)/(AI259+Forudsætninger!$C$73),-9999999)</f>
        <v>601.3043317891777</v>
      </c>
      <c r="AQ259" s="18">
        <f t="shared" ref="AQ259:AQ322" si="114">A259</f>
        <v>257</v>
      </c>
      <c r="AR259" s="18">
        <f t="shared" si="98"/>
        <v>6415.2058633194501</v>
      </c>
      <c r="AS259" s="52">
        <f t="shared" si="105"/>
        <v>9.6999999999999993</v>
      </c>
      <c r="AT259" s="50">
        <f t="shared" si="101"/>
        <v>5.7428484768572616</v>
      </c>
      <c r="AU259" s="50">
        <f t="shared" si="102"/>
        <v>1.5431670290864119E-3</v>
      </c>
      <c r="AV259" s="2">
        <f t="shared" si="103"/>
        <v>-0.74207342161139422</v>
      </c>
      <c r="AW259" s="61">
        <f t="shared" si="99"/>
        <v>7.4492424059973414</v>
      </c>
      <c r="BA259" s="16"/>
      <c r="BB259" s="2"/>
    </row>
    <row r="260" spans="1:59" x14ac:dyDescent="0.25">
      <c r="A260">
        <v>258</v>
      </c>
      <c r="B260" s="1">
        <f>ROUND((A260+Forudsætninger!$C$60)/30.4,1)</f>
        <v>9.8000000000000007</v>
      </c>
      <c r="C260" s="1">
        <f>VLOOKUP((A260+Forudsætninger!$C$60),'Model tilvækst, slagteform, fe'!A:B,2,FALSE)</f>
        <v>432.69088812088262</v>
      </c>
      <c r="D260" s="3">
        <f t="shared" ref="D260:D323" si="115">(C260-C259)*1000</f>
        <v>1263.601550406861</v>
      </c>
      <c r="E260" s="1">
        <f>(1+Forudsætninger!$C$78)*C260</f>
        <v>402.40252595242083</v>
      </c>
      <c r="F260" s="2">
        <f t="shared" ref="F260:F323" si="116">MAX(F259-((D260/1000)/35),0)</f>
        <v>0</v>
      </c>
      <c r="G260" s="1">
        <f t="shared" si="106"/>
        <v>402.40252595242083</v>
      </c>
      <c r="H260" s="3">
        <f t="shared" si="107"/>
        <v>1175.149441878375</v>
      </c>
      <c r="I260" s="3">
        <f t="shared" si="108"/>
        <v>1292.2578525287629</v>
      </c>
      <c r="J260" s="1">
        <f>VLOOKUP((A260+Forudsætninger!$C$60),'Model tilvækst, slagteform, fe'!G:K,2,FALSE)*(1+Forudsætninger!$C$79)</f>
        <v>50.833752544692572</v>
      </c>
      <c r="K260" s="17">
        <f t="shared" si="104"/>
        <v>204.5563042762459</v>
      </c>
      <c r="L260" s="17">
        <f t="shared" ref="L260:L323" si="117">(K260-K259)*1000</f>
        <v>629.72296566911723</v>
      </c>
      <c r="M260" s="3">
        <f>((K260-(('Model tilvækst, slagteform, fe'!$H$9/100)*'Model tilvækst, slagteform, fe'!$B$9))*1000/(A260+Forudsætninger!$C$60))</f>
        <v>619.89697053143777</v>
      </c>
      <c r="N260" s="17">
        <f t="shared" ref="N260:N323" si="118">N259+P260</f>
        <v>1448.8395318972864</v>
      </c>
      <c r="O260" s="19">
        <f>IF( A260&lt;Forudsætninger!$C$14,(G260/100)*Forudsætninger!$C$13,(Forudsætninger!$C$15/1000)*Forudsætninger!$C$13)</f>
        <v>2.6156164186907356</v>
      </c>
      <c r="P260" s="17" cm="1">
        <f t="array" ref="P260">INDEX('Model tilvækst, slagteform, fe'!$N$9:$N$375,MATCH(MIN(ABS('Model tilvækst, slagteform, fe'!$M$9:$M$375-'Vækstfunktion, hol'!G260)),ABS('Model tilvækst, slagteform, fe'!$M$9:$M$375-'Vækstfunktion, hol'!G260),0))*(1+Forudsætninger!$C$80)</f>
        <v>7.7334378039539198</v>
      </c>
      <c r="Q260" s="17">
        <f t="shared" ref="Q260:Q323" si="119">P260/(L260/1000)</f>
        <v>12.280698379384486</v>
      </c>
      <c r="R260" s="17">
        <f t="shared" ref="R260:R323" si="120">N260/(K260-$K$2)</f>
        <v>8.4021583650473755</v>
      </c>
      <c r="S260" s="17">
        <f t="shared" si="109"/>
        <v>4.3456165419216024</v>
      </c>
      <c r="T260" s="19">
        <f>(P260)*IF(N260&lt;Forudsætninger!$B$228,IF(N260&lt;Forudsætninger!$B$227,Forudsætninger!$B$225,Forudsætninger!$C$9),Forudsætninger!$C$11)+O260</f>
        <v>20.711860879942908</v>
      </c>
      <c r="U260" s="2">
        <f>Forudsætninger!$C$68+((K260-(Forudsætninger!$C$84)))*0.01</f>
        <v>3.7426159017510994</v>
      </c>
      <c r="V260" s="2">
        <f>U260+Forudsætninger!$C$69</f>
        <v>2.7426159017510994</v>
      </c>
      <c r="W260">
        <f t="shared" si="110"/>
        <v>1</v>
      </c>
      <c r="X260">
        <f>IF(A260+Forudsætninger!$C$60&gt;248,IF(A260+Forudsætninger!$C$60&lt;365,IF(K260&gt;180,IF(K260&lt;260,1,0),0),0),0)</f>
        <v>1</v>
      </c>
      <c r="Y260" s="22">
        <f>IF(X260=0,0,IF('Vækstfunktion, hol'!A260&lt;Forudsætninger!$C$66,Forudsætninger!$C$67+(('Vækstfunktion, hol'!A260-Forudsætninger!$C$66)/7)*Forudsætninger!$C$64,Forudsætninger!$C$67))</f>
        <v>0.95</v>
      </c>
      <c r="Z260" s="19">
        <f t="shared" ref="Z260:Z323" si="121">Z259+T260</f>
        <v>4295.8464392327487</v>
      </c>
      <c r="AA260" s="19">
        <f>Forudsætninger!$C$62+Forudsætninger!$C$16</f>
        <v>1350</v>
      </c>
      <c r="AB260" s="19">
        <f>IF(K260&gt;Forudsætninger!$C$26,IF(K260&gt;Forudsætninger!$C$27,IF(K260&gt;Forudsætninger!$C$28,Forudsætninger!$E$28,Forudsætninger!$E$27+Forudsætninger!$F$28*(K260-Forudsætninger!$C$27)),Forudsætninger!$E$26+Forudsætninger!$F$27*(K260-Forudsætninger!$C$26)),Forudsætninger!$E$26)+IF(K260&gt;Forudsætninger!$C$28,Forudsætninger!$G$28,IF(K260&gt;Forudsætninger!$C$27,Forudsætninger!$G$27+Forudsætninger!$H$28*(K260-Forudsætninger!$C$27),IF(K260&gt;Forudsætninger!$C$26,Forudsætninger!$G$26+Forudsætninger!$H$27*(K260-Forudsætninger!$C$26),Forudsætninger!$G$26)))*(U260-Forudsætninger!$H$26)</f>
        <v>35.057359749775678</v>
      </c>
      <c r="AC260" s="19">
        <f>IF(K260&gt;Forudsætninger!$C$31,IF(K260&gt;Forudsætninger!$C$32,IF(K260&gt;Forudsætninger!$C$33,Forudsætninger!$E$33,Forudsætninger!$E$32+Forudsætninger!$F$33*(K260-Forudsætninger!$C$32)),Forudsætninger!$E$31+Forudsætninger!$F$32*(K260-Forudsætninger!$C$31)),Forudsætninger!$E$31)+IF(K260&gt;Forudsætninger!$C$33,Forudsætninger!$G$33,IF(K260&gt;Forudsætninger!$C$32,Forudsætninger!$G$32+Forudsætninger!$H$33*(K260-Forudsætninger!$C$32),IF(K260&gt;Forudsætninger!$C$31,Forudsætninger!$G$31+Forudsætninger!$H$32*(K260-Forudsætninger!$C$31),Forudsætninger!$G$31)))*(V260-Forudsætninger!$H$31)</f>
        <v>28.038142937423203</v>
      </c>
      <c r="AD260" s="19">
        <f t="shared" si="111"/>
        <v>7099.4126955945039</v>
      </c>
      <c r="AE260" s="19">
        <f t="shared" si="112"/>
        <v>34.706398909158054</v>
      </c>
      <c r="AF260">
        <f>IF(G260&lt;=Forudsætninger!$C$97,Forudsætninger!$C$98,(IF(G260&lt;=Forudsætninger!$D$97,Forudsætninger!$D$98,IF(G260&lt;=Forudsætninger!$E$97,Forudsætninger!$E$98,IF(G260&lt;=Forudsætninger!$F$97,Forudsætninger!$F$98,IF(G260&lt;=Forudsætninger!$G$97,Forudsætninger!$G$98,IF(G260&lt;=Forudsætninger!$H$97,Forudsætninger!$H$98,IF(G260&lt;=Forudsætninger!$I$97,Forudsætninger!$I$98,Forudsætninger!$I$98))))))))</f>
        <v>4.4000000000000004</v>
      </c>
      <c r="AG260" s="1">
        <f t="shared" ref="AG260:AG323" si="122">IF(AF260&lt;=3.2,IF(AF260&lt;=2.2,2.2,3.2),4.4)</f>
        <v>4.4000000000000004</v>
      </c>
      <c r="AH260" s="1">
        <f t="shared" si="100"/>
        <v>810.39999999999702</v>
      </c>
      <c r="AI260" s="1">
        <f t="shared" si="113"/>
        <v>3.1410852713178179</v>
      </c>
      <c r="AJ260" s="20">
        <f>+(W260*Forudsætninger!$C$12)</f>
        <v>900</v>
      </c>
      <c r="AK260" s="20">
        <f>Forudsætninger!$C$17</f>
        <v>250</v>
      </c>
      <c r="AL260" s="20">
        <f>IF(A260&lt;92,Forudsætninger!$C$20,Forudsætninger!$C$21)</f>
        <v>1.0566762728146013</v>
      </c>
      <c r="AM260" s="20">
        <f t="shared" ref="AM260:AM323" si="123">AL260+AM259</f>
        <v>541.12796123945873</v>
      </c>
      <c r="AN260" s="20">
        <f>IFERROR(AD260+AJ260-AA260-Z260-AK260-AM260-Forudsætninger!$C$75,-99999999)</f>
        <v>1380.0441025729019</v>
      </c>
      <c r="AO260" s="19">
        <f>IFERROR(AN260/(A260+Forudsætninger!$C$74),-99999999)</f>
        <v>5.3490081495073714</v>
      </c>
      <c r="AP260" s="19">
        <f>IFERROR(((365/(A260+Forudsætninger!$C$74))*AN260)/(AI260+Forudsætninger!$C$73),-9999999)</f>
        <v>600.53422523082463</v>
      </c>
      <c r="AQ260" s="18">
        <f t="shared" si="114"/>
        <v>258</v>
      </c>
      <c r="AR260" s="18">
        <f t="shared" ref="AR260:AR323" si="124">AA260+Z260+AK260+AM260</f>
        <v>6436.974400472207</v>
      </c>
      <c r="AS260" s="52">
        <f t="shared" si="105"/>
        <v>9.8000000000000007</v>
      </c>
      <c r="AT260" s="50">
        <f t="shared" si="101"/>
        <v>5.6600891982293433</v>
      </c>
      <c r="AU260" s="50">
        <f t="shared" si="102"/>
        <v>1.2104320961938697E-3</v>
      </c>
      <c r="AV260" s="2">
        <f t="shared" si="103"/>
        <v>-0.77010655835306352</v>
      </c>
      <c r="AW260" s="61">
        <f t="shared" ref="AW260:AW323" si="125">((AN260+AM260)/A260)</f>
        <v>7.446403348109925</v>
      </c>
      <c r="BA260" s="16"/>
      <c r="BB260" s="2"/>
    </row>
    <row r="261" spans="1:59" x14ac:dyDescent="0.25">
      <c r="A261">
        <v>259</v>
      </c>
      <c r="B261" s="1">
        <f>ROUND((A261+Forudsætninger!$C$60)/30.4,1)</f>
        <v>9.8000000000000007</v>
      </c>
      <c r="C261" s="1">
        <f>VLOOKUP((A261+Forudsætninger!$C$60),'Model tilvækst, slagteform, fe'!A:B,2,FALSE)</f>
        <v>433.95015604914545</v>
      </c>
      <c r="D261" s="3">
        <f t="shared" si="115"/>
        <v>1259.2679282628296</v>
      </c>
      <c r="E261" s="1">
        <f>(1+Forudsætninger!$C$78)*C261</f>
        <v>403.57364512570524</v>
      </c>
      <c r="F261" s="2">
        <f t="shared" si="116"/>
        <v>0</v>
      </c>
      <c r="G261" s="1">
        <f t="shared" si="106"/>
        <v>403.57364512570524</v>
      </c>
      <c r="H261" s="3">
        <f t="shared" si="107"/>
        <v>1171.11917328441</v>
      </c>
      <c r="I261" s="3">
        <f t="shared" si="108"/>
        <v>1291.7901356204834</v>
      </c>
      <c r="J261" s="1">
        <f>VLOOKUP((A261+Forudsætninger!$C$60),'Model tilvækst, slagteform, fe'!G:K,2,FALSE)*(1+Forudsætninger!$C$79)</f>
        <v>50.841799096548399</v>
      </c>
      <c r="K261" s="17">
        <f t="shared" si="104"/>
        <v>205.18410186142825</v>
      </c>
      <c r="L261" s="17">
        <f t="shared" si="117"/>
        <v>627.79758518234985</v>
      </c>
      <c r="M261" s="3">
        <f>((K261-(('Model tilvækst, slagteform, fe'!$H$9/100)*'Model tilvækst, slagteform, fe'!$B$9))*1000/(A261+Forudsætninger!$C$60))</f>
        <v>619.92348266113879</v>
      </c>
      <c r="N261" s="17">
        <f t="shared" si="118"/>
        <v>1456.5837300730702</v>
      </c>
      <c r="O261" s="19">
        <f>IF( A261&lt;Forudsætninger!$C$14,(G261/100)*Forudsætninger!$C$13,(Forudsætninger!$C$15/1000)*Forudsætninger!$C$13)</f>
        <v>2.6232286933170839</v>
      </c>
      <c r="P261" s="17" cm="1">
        <f t="array" ref="P261">INDEX('Model tilvækst, slagteform, fe'!$N$9:$N$375,MATCH(MIN(ABS('Model tilvækst, slagteform, fe'!$M$9:$M$375-'Vækstfunktion, hol'!G261)),ABS('Model tilvækst, slagteform, fe'!$M$9:$M$375-'Vækstfunktion, hol'!G261),0))*(1+Forudsætninger!$C$80)</f>
        <v>7.7441981757839349</v>
      </c>
      <c r="Q261" s="17">
        <f t="shared" si="119"/>
        <v>12.335501694442737</v>
      </c>
      <c r="R261" s="17">
        <f t="shared" si="120"/>
        <v>8.4164267161922464</v>
      </c>
      <c r="S261" s="17">
        <f t="shared" si="109"/>
        <v>4.3535519049200841</v>
      </c>
      <c r="T261" s="19">
        <f>(P261)*IF(N261&lt;Forudsætninger!$B$228,IF(N261&lt;Forudsætninger!$B$227,Forudsætninger!$B$225,Forudsætninger!$C$9),Forudsætninger!$C$11)+O261</f>
        <v>20.744652424651491</v>
      </c>
      <c r="U261" s="2">
        <f>Forudsætninger!$C$68+((K261-(Forudsætninger!$C$84)))*0.01</f>
        <v>3.7488938776029226</v>
      </c>
      <c r="V261" s="2">
        <f>U261+Forudsætninger!$C$69</f>
        <v>2.7488938776029226</v>
      </c>
      <c r="W261">
        <f t="shared" si="110"/>
        <v>1</v>
      </c>
      <c r="X261">
        <f>IF(A261+Forudsætninger!$C$60&gt;248,IF(A261+Forudsætninger!$C$60&lt;365,IF(K261&gt;180,IF(K261&lt;260,1,0),0),0),0)</f>
        <v>1</v>
      </c>
      <c r="Y261" s="22">
        <f>IF(X261=0,0,IF('Vækstfunktion, hol'!A261&lt;Forudsætninger!$C$66,Forudsætninger!$C$67+(('Vækstfunktion, hol'!A261-Forudsætninger!$C$66)/7)*Forudsætninger!$C$64,Forudsætninger!$C$67))</f>
        <v>0.95</v>
      </c>
      <c r="Z261" s="19">
        <f t="shared" si="121"/>
        <v>4316.5910916574003</v>
      </c>
      <c r="AA261" s="19">
        <f>Forudsætninger!$C$62+Forudsætninger!$C$16</f>
        <v>1350</v>
      </c>
      <c r="AB261" s="19">
        <f>IF(K261&gt;Forudsætninger!$C$26,IF(K261&gt;Forudsætninger!$C$27,IF(K261&gt;Forudsætninger!$C$28,Forudsætninger!$E$28,Forudsætninger!$E$27+Forudsætninger!$F$28*(K261-Forudsætninger!$C$27)),Forudsætninger!$E$26+Forudsætninger!$F$27*(K261-Forudsætninger!$C$26)),Forudsætninger!$E$26)+IF(K261&gt;Forudsætninger!$C$28,Forudsætninger!$G$28,IF(K261&gt;Forudsætninger!$C$27,Forudsætninger!$G$27+Forudsætninger!$H$28*(K261-Forudsætninger!$C$27),IF(K261&gt;Forudsætninger!$C$26,Forudsætninger!$G$26+Forudsætninger!$H$27*(K261-Forudsætninger!$C$26),Forudsætninger!$G$26)))*(U261-Forudsætninger!$H$26)</f>
        <v>35.085087476454561</v>
      </c>
      <c r="AC261" s="19">
        <f>IF(K261&gt;Forudsætninger!$C$31,IF(K261&gt;Forudsætninger!$C$32,IF(K261&gt;Forudsætninger!$C$33,Forudsætninger!$E$33,Forudsætninger!$E$32+Forudsætninger!$F$33*(K261-Forudsætninger!$C$32)),Forudsætninger!$E$31+Forudsætninger!$F$32*(K261-Forudsætninger!$C$31)),Forudsætninger!$E$31)+IF(K261&gt;Forudsætninger!$C$33,Forudsætninger!$G$33,IF(K261&gt;Forudsætninger!$C$32,Forudsætninger!$G$32+Forudsætninger!$H$33*(K261-Forudsætninger!$C$32),IF(K261&gt;Forudsætninger!$C$31,Forudsætninger!$G$31+Forudsætninger!$H$32*(K261-Forudsætninger!$C$31),Forudsætninger!$G$31)))*(V261-Forudsætninger!$H$31)</f>
        <v>28.056205167742231</v>
      </c>
      <c r="AD261" s="19">
        <f t="shared" si="111"/>
        <v>7126.7914174058315</v>
      </c>
      <c r="AE261" s="19">
        <f t="shared" si="112"/>
        <v>34.733643361018942</v>
      </c>
      <c r="AF261">
        <f>IF(G261&lt;=Forudsætninger!$C$97,Forudsætninger!$C$98,(IF(G261&lt;=Forudsætninger!$D$97,Forudsætninger!$D$98,IF(G261&lt;=Forudsætninger!$E$97,Forudsætninger!$E$98,IF(G261&lt;=Forudsætninger!$F$97,Forudsætninger!$F$98,IF(G261&lt;=Forudsætninger!$G$97,Forudsætninger!$G$98,IF(G261&lt;=Forudsætninger!$H$97,Forudsætninger!$H$98,IF(G261&lt;=Forudsætninger!$I$97,Forudsætninger!$I$98,Forudsætninger!$I$98))))))))</f>
        <v>4.4000000000000004</v>
      </c>
      <c r="AG261" s="1">
        <f t="shared" si="122"/>
        <v>4.4000000000000004</v>
      </c>
      <c r="AH261" s="1">
        <f t="shared" ref="AH261:AH324" si="126">AH260+AG261</f>
        <v>814.799999999997</v>
      </c>
      <c r="AI261" s="1">
        <f t="shared" si="113"/>
        <v>3.1459459459459342</v>
      </c>
      <c r="AJ261" s="20">
        <f>+(W261*Forudsætninger!$C$12)</f>
        <v>900</v>
      </c>
      <c r="AK261" s="20">
        <f>Forudsætninger!$C$17</f>
        <v>250</v>
      </c>
      <c r="AL261" s="20">
        <f>IF(A261&lt;92,Forudsætninger!$C$20,Forudsætninger!$C$21)</f>
        <v>1.0566762728146013</v>
      </c>
      <c r="AM261" s="20">
        <f t="shared" si="123"/>
        <v>542.1846375122733</v>
      </c>
      <c r="AN261" s="20">
        <f>IFERROR(AD261+AJ261-AA261-Z261-AK261-AM261-Forudsætninger!$C$75,-99999999)</f>
        <v>1385.6214956867634</v>
      </c>
      <c r="AO261" s="19">
        <f>IFERROR(AN261/(A261+Forudsætninger!$C$74),-99999999)</f>
        <v>5.349889944736538</v>
      </c>
      <c r="AP261" s="19">
        <f>IFERROR(((365/(A261+Forudsætninger!$C$74))*AN261)/(AI261+Forudsætninger!$C$73),-9999999)</f>
        <v>599.7365626601412</v>
      </c>
      <c r="AQ261" s="18">
        <f t="shared" si="114"/>
        <v>259</v>
      </c>
      <c r="AR261" s="18">
        <f t="shared" si="124"/>
        <v>6458.7757291696735</v>
      </c>
      <c r="AS261" s="52">
        <f t="shared" si="105"/>
        <v>9.8000000000000007</v>
      </c>
      <c r="AT261" s="50">
        <f t="shared" ref="AT261:AT324" si="127">AN261-AN260</f>
        <v>5.5773931138614898</v>
      </c>
      <c r="AU261" s="50">
        <f t="shared" ref="AU261:AU324" si="128">AO261-AO260</f>
        <v>8.8179522916664865E-4</v>
      </c>
      <c r="AV261" s="2">
        <f t="shared" ref="AV261:AV324" si="129">AP261-AP260</f>
        <v>-0.79766257068342838</v>
      </c>
      <c r="AW261" s="61">
        <f t="shared" si="125"/>
        <v>7.4432669235484035</v>
      </c>
      <c r="BA261" s="16"/>
      <c r="BB261" s="2"/>
    </row>
    <row r="262" spans="1:59" x14ac:dyDescent="0.25">
      <c r="A262">
        <v>260</v>
      </c>
      <c r="B262" s="1">
        <f>ROUND((A262+Forudsætninger!$C$60)/30.4,1)</f>
        <v>9.8000000000000007</v>
      </c>
      <c r="C262" s="1">
        <f>VLOOKUP((A262+Forudsætninger!$C$60),'Model tilvækst, slagteform, fe'!A:B,2,FALSE)</f>
        <v>435.20508941066811</v>
      </c>
      <c r="D262" s="3">
        <f t="shared" si="115"/>
        <v>1254.9333615226601</v>
      </c>
      <c r="E262" s="1">
        <f>(1+Forudsætninger!$C$78)*C262</f>
        <v>404.74073315192129</v>
      </c>
      <c r="F262" s="2">
        <f t="shared" si="116"/>
        <v>0</v>
      </c>
      <c r="G262" s="1">
        <f t="shared" si="106"/>
        <v>404.74073315192129</v>
      </c>
      <c r="H262" s="3">
        <f t="shared" si="107"/>
        <v>1167.0880262160495</v>
      </c>
      <c r="I262" s="3">
        <f t="shared" si="108"/>
        <v>1291.3105121227743</v>
      </c>
      <c r="J262" s="1">
        <f>VLOOKUP((A262+Forudsætninger!$C$60),'Model tilvækst, slagteform, fe'!G:K,2,FALSE)*(1+Forudsætninger!$C$79)</f>
        <v>50.849833287912844</v>
      </c>
      <c r="K262" s="17">
        <f t="shared" si="104"/>
        <v>205.80998805602817</v>
      </c>
      <c r="L262" s="17">
        <f t="shared" si="117"/>
        <v>625.88619459992856</v>
      </c>
      <c r="M262" s="3">
        <f>((K262-(('Model tilvækst, slagteform, fe'!$H$9/100)*'Model tilvækst, slagteform, fe'!$B$9))*1000/(A262+Forudsætninger!$C$60))</f>
        <v>619.94342484153606</v>
      </c>
      <c r="N262" s="17">
        <f t="shared" si="118"/>
        <v>1464.3387879401648</v>
      </c>
      <c r="O262" s="19">
        <f>IF( A262&lt;Forudsætninger!$C$14,(G262/100)*Forudsætninger!$C$13,(Forudsætninger!$C$15/1000)*Forudsætninger!$C$13)</f>
        <v>2.6308147654874885</v>
      </c>
      <c r="P262" s="17" cm="1">
        <f t="array" ref="P262">INDEX('Model tilvækst, slagteform, fe'!$N$9:$N$375,MATCH(MIN(ABS('Model tilvækst, slagteform, fe'!$M$9:$M$375-'Vækstfunktion, hol'!G262)),ABS('Model tilvækst, slagteform, fe'!$M$9:$M$375-'Vækstfunktion, hol'!G262),0))*(1+Forudsætninger!$C$80)</f>
        <v>7.7550578670945747</v>
      </c>
      <c r="Q262" s="17">
        <f t="shared" si="119"/>
        <v>12.39052392272635</v>
      </c>
      <c r="R262" s="17">
        <f t="shared" si="120"/>
        <v>8.4307472220692983</v>
      </c>
      <c r="S262" s="17">
        <f t="shared" si="109"/>
        <v>4.36151662085505</v>
      </c>
      <c r="T262" s="19">
        <f>(P262)*IF(N262&lt;Forudsætninger!$B$228,IF(N262&lt;Forudsætninger!$B$227,Forudsætninger!$B$225,Forudsætninger!$C$9),Forudsætninger!$C$11)+O262</f>
        <v>20.777650174488794</v>
      </c>
      <c r="U262" s="2">
        <f>Forudsætninger!$C$68+((K262-(Forudsætninger!$C$84)))*0.01</f>
        <v>3.7551527395489219</v>
      </c>
      <c r="V262" s="2">
        <f>U262+Forudsætninger!$C$69</f>
        <v>2.7551527395489219</v>
      </c>
      <c r="W262">
        <f t="shared" si="110"/>
        <v>1</v>
      </c>
      <c r="X262">
        <f>IF(A262+Forudsætninger!$C$60&gt;248,IF(A262+Forudsætninger!$C$60&lt;365,IF(K262&gt;180,IF(K262&lt;260,1,0),0),0),0)</f>
        <v>1</v>
      </c>
      <c r="Y262" s="22">
        <f>IF(X262=0,0,IF('Vækstfunktion, hol'!A262&lt;Forudsætninger!$C$66,Forudsætninger!$C$67+(('Vækstfunktion, hol'!A262-Forudsætninger!$C$66)/7)*Forudsætninger!$C$64,Forudsætninger!$C$67))</f>
        <v>0.95</v>
      </c>
      <c r="Z262" s="19">
        <f t="shared" si="121"/>
        <v>4337.3687418318887</v>
      </c>
      <c r="AA262" s="19">
        <f>Forudsætninger!$C$62+Forudsætninger!$C$16</f>
        <v>1350</v>
      </c>
      <c r="AB262" s="19">
        <f>IF(K262&gt;Forudsætninger!$C$26,IF(K262&gt;Forudsætninger!$C$27,IF(K262&gt;Forudsætninger!$C$28,Forudsætninger!$E$28,Forudsætninger!$E$27+Forudsætninger!$F$28*(K262-Forudsætninger!$C$27)),Forudsætninger!$E$26+Forudsætninger!$F$27*(K262-Forudsætninger!$C$26)),Forudsætninger!$E$26)+IF(K262&gt;Forudsætninger!$C$28,Forudsætninger!$G$28,IF(K262&gt;Forudsætninger!$C$27,Forudsætninger!$G$27+Forudsætninger!$H$28*(K262-Forudsætninger!$C$27),IF(K262&gt;Forudsætninger!$C$26,Forudsætninger!$G$26+Forudsætninger!$H$27*(K262-Forudsætninger!$C$26),Forudsætninger!$G$26)))*(U262-Forudsætninger!$H$26)</f>
        <v>35.112730783382723</v>
      </c>
      <c r="AC262" s="19">
        <f>IF(K262&gt;Forudsætninger!$C$31,IF(K262&gt;Forudsætninger!$C$32,IF(K262&gt;Forudsætninger!$C$33,Forudsætninger!$E$33,Forudsætninger!$E$32+Forudsætninger!$F$33*(K262-Forudsætninger!$C$32)),Forudsætninger!$E$31+Forudsætninger!$F$32*(K262-Forudsætninger!$C$31)),Forudsætninger!$E$31)+IF(K262&gt;Forudsætninger!$C$33,Forudsætninger!$G$33,IF(K262&gt;Forudsætninger!$C$32,Forudsætninger!$G$32+Forudsætninger!$H$33*(K262-Forudsætninger!$C$32),IF(K262&gt;Forudsætninger!$C$31,Forudsætninger!$G$31+Forudsætninger!$H$32*(K262-Forudsætninger!$C$31),Forudsætninger!$G$31)))*(V262-Forudsætninger!$H$31)</f>
        <v>28.074182980974417</v>
      </c>
      <c r="AD262" s="19">
        <f t="shared" si="111"/>
        <v>7154.1205311852591</v>
      </c>
      <c r="AE262" s="19">
        <f t="shared" si="112"/>
        <v>34.760803393262307</v>
      </c>
      <c r="AF262">
        <f>IF(G262&lt;=Forudsætninger!$C$97,Forudsætninger!$C$98,(IF(G262&lt;=Forudsætninger!$D$97,Forudsætninger!$D$98,IF(G262&lt;=Forudsætninger!$E$97,Forudsætninger!$E$98,IF(G262&lt;=Forudsætninger!$F$97,Forudsætninger!$F$98,IF(G262&lt;=Forudsætninger!$G$97,Forudsætninger!$G$98,IF(G262&lt;=Forudsætninger!$H$97,Forudsætninger!$H$98,IF(G262&lt;=Forudsætninger!$I$97,Forudsætninger!$I$98,Forudsætninger!$I$98))))))))</f>
        <v>4.4000000000000004</v>
      </c>
      <c r="AG262" s="1">
        <f t="shared" si="122"/>
        <v>4.4000000000000004</v>
      </c>
      <c r="AH262" s="1">
        <f t="shared" si="126"/>
        <v>819.19999999999698</v>
      </c>
      <c r="AI262" s="1">
        <f t="shared" si="113"/>
        <v>3.1507692307692192</v>
      </c>
      <c r="AJ262" s="20">
        <f>+(W262*Forudsætninger!$C$12)</f>
        <v>900</v>
      </c>
      <c r="AK262" s="20">
        <f>Forudsætninger!$C$17</f>
        <v>250</v>
      </c>
      <c r="AL262" s="20">
        <f>IF(A262&lt;92,Forudsætninger!$C$20,Forudsætninger!$C$21)</f>
        <v>1.0566762728146013</v>
      </c>
      <c r="AM262" s="20">
        <f t="shared" si="123"/>
        <v>543.24131378508787</v>
      </c>
      <c r="AN262" s="20">
        <f>IFERROR(AD262+AJ262-AA262-Z262-AK262-AM262-Forudsætninger!$C$75,-99999999)</f>
        <v>1391.116283018888</v>
      </c>
      <c r="AO262" s="19">
        <f>IFERROR(AN262/(A262+Forudsætninger!$C$74),-99999999)</f>
        <v>5.3504472423803389</v>
      </c>
      <c r="AP262" s="19">
        <f>IFERROR(((365/(A262+Forudsætninger!$C$74))*AN262)/(AI262+Forudsætninger!$C$73),-9999999)</f>
        <v>598.91182271985838</v>
      </c>
      <c r="AQ262" s="18">
        <f t="shared" si="114"/>
        <v>260</v>
      </c>
      <c r="AR262" s="18">
        <f t="shared" si="124"/>
        <v>6480.6100556169768</v>
      </c>
      <c r="AS262" s="52">
        <f t="shared" si="105"/>
        <v>9.8000000000000007</v>
      </c>
      <c r="AT262" s="50">
        <f t="shared" si="127"/>
        <v>5.4947873321245879</v>
      </c>
      <c r="AU262" s="50">
        <f t="shared" si="128"/>
        <v>5.5729764380085811E-4</v>
      </c>
      <c r="AV262" s="2">
        <f t="shared" si="129"/>
        <v>-0.82473994028282505</v>
      </c>
      <c r="AW262" s="61">
        <f t="shared" si="125"/>
        <v>7.4398369107845221</v>
      </c>
      <c r="BA262" s="16"/>
      <c r="BB262" s="2"/>
    </row>
    <row r="263" spans="1:59" x14ac:dyDescent="0.25">
      <c r="A263">
        <v>261</v>
      </c>
      <c r="B263" s="1">
        <f>ROUND((A263+Forudsætninger!$C$60)/30.4,1)</f>
        <v>9.9</v>
      </c>
      <c r="C263" s="1">
        <f>VLOOKUP((A263+Forudsætninger!$C$60),'Model tilvækst, slagteform, fe'!A:B,2,FALSE)</f>
        <v>436.45568779520164</v>
      </c>
      <c r="D263" s="3">
        <f t="shared" si="115"/>
        <v>1250.5983845335322</v>
      </c>
      <c r="E263" s="1">
        <f>(1+Forudsætninger!$C$78)*C263</f>
        <v>405.90378964953749</v>
      </c>
      <c r="F263" s="2">
        <f t="shared" si="116"/>
        <v>0</v>
      </c>
      <c r="G263" s="1">
        <f t="shared" si="106"/>
        <v>405.90378964953749</v>
      </c>
      <c r="H263" s="3">
        <f t="shared" si="107"/>
        <v>1163.0564976161963</v>
      </c>
      <c r="I263" s="3">
        <f t="shared" si="108"/>
        <v>1290.819117431178</v>
      </c>
      <c r="J263" s="1">
        <f>VLOOKUP((A263+Forudsætninger!$C$60),'Model tilvækst, slagteform, fe'!G:K,2,FALSE)*(1+Forudsætninger!$C$79)</f>
        <v>50.85785906761123</v>
      </c>
      <c r="K263" s="17">
        <f t="shared" si="104"/>
        <v>206.43397729005491</v>
      </c>
      <c r="L263" s="17">
        <f t="shared" si="117"/>
        <v>623.98923402673745</v>
      </c>
      <c r="M263" s="3">
        <f>((K263-(('Model tilvækst, slagteform, fe'!$H$9/100)*'Model tilvækst, slagteform, fe'!$B$9))*1000/(A263+Forudsætninger!$C$60))</f>
        <v>619.95691087215334</v>
      </c>
      <c r="N263" s="17">
        <f t="shared" si="118"/>
        <v>1472.1048031627261</v>
      </c>
      <c r="O263" s="19">
        <f>IF( A263&lt;Forudsætninger!$C$14,(G263/100)*Forudsætninger!$C$13,(Forudsætninger!$C$15/1000)*Forudsætninger!$C$13)</f>
        <v>2.6383746327219937</v>
      </c>
      <c r="P263" s="17" cm="1">
        <f t="array" ref="P263">INDEX('Model tilvækst, slagteform, fe'!$N$9:$N$375,MATCH(MIN(ABS('Model tilvækst, slagteform, fe'!$M$9:$M$375-'Vækstfunktion, hol'!G263)),ABS('Model tilvækst, slagteform, fe'!$M$9:$M$375-'Vækstfunktion, hol'!G263),0))*(1+Forudsætninger!$C$80)</f>
        <v>7.7660152225611609</v>
      </c>
      <c r="Q263" s="17">
        <f t="shared" si="119"/>
        <v>12.445751944220873</v>
      </c>
      <c r="R263" s="17">
        <f t="shared" si="120"/>
        <v>8.4451196531417061</v>
      </c>
      <c r="S263" s="17">
        <f t="shared" si="109"/>
        <v>4.3695109654126352</v>
      </c>
      <c r="T263" s="19">
        <f>(P263)*IF(N263&lt;Forudsætninger!$B$228,IF(N263&lt;Forudsætninger!$B$227,Forudsætninger!$B$225,Forudsætninger!$C$9),Forudsætninger!$C$11)+O263</f>
        <v>20.81085025351511</v>
      </c>
      <c r="U263" s="2">
        <f>Forudsætninger!$C$68+((K263-(Forudsætninger!$C$84)))*0.01</f>
        <v>3.7613926318891893</v>
      </c>
      <c r="V263" s="2">
        <f>U263+Forudsætninger!$C$69</f>
        <v>2.7613926318891893</v>
      </c>
      <c r="W263">
        <f t="shared" si="110"/>
        <v>1</v>
      </c>
      <c r="X263">
        <f>IF(A263+Forudsætninger!$C$60&gt;248,IF(A263+Forudsætninger!$C$60&lt;365,IF(K263&gt;180,IF(K263&lt;260,1,0),0),0),0)</f>
        <v>1</v>
      </c>
      <c r="Y263" s="22">
        <f>IF(X263=0,0,IF('Vækstfunktion, hol'!A263&lt;Forudsætninger!$C$66,Forudsætninger!$C$67+(('Vækstfunktion, hol'!A263-Forudsætninger!$C$66)/7)*Forudsætninger!$C$64,Forudsætninger!$C$67))</f>
        <v>0.95</v>
      </c>
      <c r="Z263" s="19">
        <f t="shared" si="121"/>
        <v>4358.1795920854038</v>
      </c>
      <c r="AA263" s="19">
        <f>Forudsætninger!$C$62+Forudsætninger!$C$16</f>
        <v>1350</v>
      </c>
      <c r="AB263" s="19">
        <f>IF(K263&gt;Forudsætninger!$C$26,IF(K263&gt;Forudsætninger!$C$27,IF(K263&gt;Forudsætninger!$C$28,Forudsætninger!$E$28,Forudsætninger!$E$27+Forudsætninger!$F$28*(K263-Forudsætninger!$C$27)),Forudsætninger!$E$26+Forudsætninger!$F$27*(K263-Forudsætninger!$C$26)),Forudsætninger!$E$26)+IF(K263&gt;Forudsætninger!$C$28,Forudsætninger!$G$28,IF(K263&gt;Forudsætninger!$C$27,Forudsætninger!$G$27+Forudsætninger!$H$28*(K263-Forudsætninger!$C$27),IF(K263&gt;Forudsætninger!$C$26,Forudsætninger!$G$26+Forudsætninger!$H$27*(K263-Forudsætninger!$C$26),Forudsætninger!$G$26)))*(U263-Forudsætninger!$H$26)</f>
        <v>35.140290307885572</v>
      </c>
      <c r="AC263" s="19">
        <f>IF(K263&gt;Forudsætninger!$C$31,IF(K263&gt;Forudsætninger!$C$32,IF(K263&gt;Forudsætninger!$C$33,Forudsætninger!$E$33,Forudsætninger!$E$32+Forudsætninger!$F$33*(K263-Forudsætninger!$C$32)),Forudsætninger!$E$31+Forudsætninger!$F$32*(K263-Forudsætninger!$C$31)),Forudsætninger!$E$31)+IF(K263&gt;Forudsætninger!$C$33,Forudsætninger!$G$33,IF(K263&gt;Forudsætninger!$C$32,Forudsætninger!$G$32+Forudsætninger!$H$33*(K263-Forudsætninger!$C$32),IF(K263&gt;Forudsætninger!$C$31,Forudsætninger!$G$31+Forudsætninger!$H$32*(K263-Forudsætninger!$C$31),Forudsætninger!$G$31)))*(V263-Forudsætninger!$H$31)</f>
        <v>28.092077059760513</v>
      </c>
      <c r="AD263" s="19">
        <f t="shared" si="111"/>
        <v>7181.40035670404</v>
      </c>
      <c r="AE263" s="19">
        <f t="shared" si="112"/>
        <v>34.787879645479315</v>
      </c>
      <c r="AF263">
        <f>IF(G263&lt;=Forudsætninger!$C$97,Forudsætninger!$C$98,(IF(G263&lt;=Forudsætninger!$D$97,Forudsætninger!$D$98,IF(G263&lt;=Forudsætninger!$E$97,Forudsætninger!$E$98,IF(G263&lt;=Forudsætninger!$F$97,Forudsætninger!$F$98,IF(G263&lt;=Forudsætninger!$G$97,Forudsætninger!$G$98,IF(G263&lt;=Forudsætninger!$H$97,Forudsætninger!$H$98,IF(G263&lt;=Forudsætninger!$I$97,Forudsætninger!$I$98,Forudsætninger!$I$98))))))))</f>
        <v>4.4000000000000004</v>
      </c>
      <c r="AG263" s="1">
        <f t="shared" si="122"/>
        <v>4.4000000000000004</v>
      </c>
      <c r="AH263" s="1">
        <f t="shared" si="126"/>
        <v>823.59999999999695</v>
      </c>
      <c r="AI263" s="1">
        <f t="shared" si="113"/>
        <v>3.1555555555555439</v>
      </c>
      <c r="AJ263" s="20">
        <f>+(W263*Forudsætninger!$C$12)</f>
        <v>900</v>
      </c>
      <c r="AK263" s="20">
        <f>Forudsætninger!$C$17</f>
        <v>250</v>
      </c>
      <c r="AL263" s="20">
        <f>IF(A263&lt;92,Forudsætninger!$C$20,Forudsætninger!$C$21)</f>
        <v>1.0566762728146013</v>
      </c>
      <c r="AM263" s="20">
        <f t="shared" si="123"/>
        <v>544.29799005790244</v>
      </c>
      <c r="AN263" s="20">
        <f>IFERROR(AD263+AJ263-AA263-Z263-AK263-AM263-Forudsætninger!$C$75,-99999999)</f>
        <v>1396.528582011339</v>
      </c>
      <c r="AO263" s="19">
        <f>IFERROR(AN263/(A263+Forudsætninger!$C$74),-99999999)</f>
        <v>5.3506842222656665</v>
      </c>
      <c r="AP263" s="19">
        <f>IFERROR(((365/(A263+Forudsætninger!$C$74))*AN263)/(AI263+Forudsætninger!$C$73),-9999999)</f>
        <v>598.06048554415725</v>
      </c>
      <c r="AQ263" s="18">
        <f t="shared" si="114"/>
        <v>261</v>
      </c>
      <c r="AR263" s="18">
        <f t="shared" si="124"/>
        <v>6502.4775821433059</v>
      </c>
      <c r="AS263" s="52">
        <f t="shared" si="105"/>
        <v>9.9</v>
      </c>
      <c r="AT263" s="50">
        <f t="shared" si="127"/>
        <v>5.4122989924510421</v>
      </c>
      <c r="AU263" s="50">
        <f t="shared" si="128"/>
        <v>2.3697988532767056E-4</v>
      </c>
      <c r="AV263" s="2">
        <f t="shared" si="129"/>
        <v>-0.85133717570113276</v>
      </c>
      <c r="AW263" s="61">
        <f t="shared" si="125"/>
        <v>7.4361171343649106</v>
      </c>
      <c r="BA263" s="16"/>
      <c r="BB263" s="2"/>
    </row>
    <row r="264" spans="1:59" x14ac:dyDescent="0.25">
      <c r="A264">
        <v>262</v>
      </c>
      <c r="B264" s="1">
        <f>ROUND((A264+Forudsætninger!$C$60)/30.4,1)</f>
        <v>9.9</v>
      </c>
      <c r="C264" s="1">
        <f>VLOOKUP((A264+Forudsætninger!$C$60),'Model tilvækst, slagteform, fe'!A:B,2,FALSE)</f>
        <v>437.70195132684483</v>
      </c>
      <c r="D264" s="3">
        <f t="shared" si="115"/>
        <v>1246.2635316431943</v>
      </c>
      <c r="E264" s="1">
        <f>(1+Forudsætninger!$C$78)*C264</f>
        <v>407.06281473396569</v>
      </c>
      <c r="F264" s="2">
        <f t="shared" si="116"/>
        <v>0</v>
      </c>
      <c r="G264" s="1">
        <f t="shared" si="106"/>
        <v>407.06281473396569</v>
      </c>
      <c r="H264" s="3">
        <f t="shared" si="107"/>
        <v>1159.0250844282082</v>
      </c>
      <c r="I264" s="3">
        <f t="shared" si="108"/>
        <v>1290.3160867708614</v>
      </c>
      <c r="J264" s="1">
        <f>VLOOKUP((A264+Forudsætninger!$C$60),'Model tilvækst, slagteform, fe'!G:K,2,FALSE)*(1+Forudsætninger!$C$79)</f>
        <v>50.86588038446893</v>
      </c>
      <c r="K264" s="17">
        <f t="shared" si="104"/>
        <v>207.05608443223136</v>
      </c>
      <c r="L264" s="17">
        <f t="shared" si="117"/>
        <v>622.10714217644636</v>
      </c>
      <c r="M264" s="3">
        <f>((K264-(('Model tilvækst, slagteform, fe'!$H$9/100)*'Model tilvækst, slagteform, fe'!$B$9))*1000/(A264+Forudsætninger!$C$60))</f>
        <v>619.96405449774898</v>
      </c>
      <c r="N264" s="17">
        <f t="shared" si="118"/>
        <v>1479.8818717495851</v>
      </c>
      <c r="O264" s="19">
        <f>IF( A264&lt;Forudsætninger!$C$14,(G264/100)*Forudsætninger!$C$13,(Forudsætninger!$C$15/1000)*Forudsætninger!$C$13)</f>
        <v>2.6459082957707771</v>
      </c>
      <c r="P264" s="17" cm="1">
        <f t="array" ref="P264">INDEX('Model tilvækst, slagteform, fe'!$N$9:$N$375,MATCH(MIN(ABS('Model tilvækst, slagteform, fe'!$M$9:$M$375-'Vækstfunktion, hol'!G264)),ABS('Model tilvækst, slagteform, fe'!$M$9:$M$375-'Vækstfunktion, hol'!G264),0))*(1+Forudsætninger!$C$80)</f>
        <v>7.7770685868590181</v>
      </c>
      <c r="Q264" s="17">
        <f t="shared" si="119"/>
        <v>12.501172321621139</v>
      </c>
      <c r="R264" s="17">
        <f t="shared" si="120"/>
        <v>8.4595437511197407</v>
      </c>
      <c r="S264" s="17">
        <f t="shared" si="109"/>
        <v>4.3775352013032238</v>
      </c>
      <c r="T264" s="19">
        <f>(P264)*IF(N264&lt;Forudsætninger!$B$228,IF(N264&lt;Forudsætninger!$B$227,Forudsætninger!$B$225,Forudsætninger!$C$9),Forudsætninger!$C$11)+O264</f>
        <v>20.844248789020877</v>
      </c>
      <c r="U264" s="2">
        <f>Forudsætninger!$C$68+((K264-(Forudsætninger!$C$84)))*0.01</f>
        <v>3.7676137033109538</v>
      </c>
      <c r="V264" s="2">
        <f>U264+Forudsætninger!$C$69</f>
        <v>2.7676137033109538</v>
      </c>
      <c r="W264">
        <f t="shared" si="110"/>
        <v>1</v>
      </c>
      <c r="X264">
        <f>IF(A264+Forudsætninger!$C$60&gt;248,IF(A264+Forudsætninger!$C$60&lt;365,IF(K264&gt;180,IF(K264&lt;260,1,0),0),0),0)</f>
        <v>1</v>
      </c>
      <c r="Y264" s="22">
        <f>IF(X264=0,0,IF('Vækstfunktion, hol'!A264&lt;Forudsætninger!$C$66,Forudsætninger!$C$67+(('Vækstfunktion, hol'!A264-Forudsætninger!$C$66)/7)*Forudsætninger!$C$64,Forudsætninger!$C$67))</f>
        <v>0.95</v>
      </c>
      <c r="Z264" s="19">
        <f t="shared" si="121"/>
        <v>4379.0238408744244</v>
      </c>
      <c r="AA264" s="19">
        <f>Forudsætninger!$C$62+Forudsætninger!$C$16</f>
        <v>1350</v>
      </c>
      <c r="AB264" s="19">
        <f>IF(K264&gt;Forudsætninger!$C$26,IF(K264&gt;Forudsætninger!$C$27,IF(K264&gt;Forudsætninger!$C$28,Forudsætninger!$E$28,Forudsætninger!$E$27+Forudsætninger!$F$28*(K264-Forudsætninger!$C$27)),Forudsætninger!$E$26+Forudsætninger!$F$27*(K264-Forudsætninger!$C$26)),Forudsætninger!$E$26)+IF(K264&gt;Forudsætninger!$C$28,Forudsætninger!$G$28,IF(K264&gt;Forudsætninger!$C$27,Forudsætninger!$G$27+Forudsætninger!$H$28*(K264-Forudsætninger!$C$27),IF(K264&gt;Forudsætninger!$C$26,Forudsætninger!$G$26+Forudsætninger!$H$27*(K264-Forudsætninger!$C$26),Forudsætninger!$G$26)))*(U264-Forudsætninger!$H$26)</f>
        <v>35.167766706665034</v>
      </c>
      <c r="AC264" s="19">
        <f>IF(K264&gt;Forudsætninger!$C$31,IF(K264&gt;Forudsætninger!$C$32,IF(K264&gt;Forudsætninger!$C$33,Forudsætninger!$E$33,Forudsætninger!$E$32+Forudsætninger!$F$33*(K264-Forudsætninger!$C$32)),Forudsætninger!$E$31+Forudsætninger!$F$32*(K264-Forudsætninger!$C$31)),Forudsætninger!$E$31)+IF(K264&gt;Forudsætninger!$C$33,Forudsætninger!$G$33,IF(K264&gt;Forudsætninger!$C$32,Forudsætninger!$G$32+Forudsætninger!$H$33*(K264-Forudsætninger!$C$32),IF(K264&gt;Forudsætninger!$C$31,Forudsætninger!$G$31+Forudsætninger!$H$32*(K264-Forudsætninger!$C$31),Forudsætninger!$G$31)))*(V264-Forudsætninger!$H$31)</f>
        <v>28.109888095776451</v>
      </c>
      <c r="AD264" s="19">
        <f t="shared" si="111"/>
        <v>7208.6312370298219</v>
      </c>
      <c r="AE264" s="19">
        <f t="shared" si="112"/>
        <v>34.814872776120609</v>
      </c>
      <c r="AF264">
        <f>IF(G264&lt;=Forudsætninger!$C$97,Forudsætninger!$C$98,(IF(G264&lt;=Forudsætninger!$D$97,Forudsætninger!$D$98,IF(G264&lt;=Forudsætninger!$E$97,Forudsætninger!$E$98,IF(G264&lt;=Forudsætninger!$F$97,Forudsætninger!$F$98,IF(G264&lt;=Forudsætninger!$G$97,Forudsætninger!$G$98,IF(G264&lt;=Forudsætninger!$H$97,Forudsætninger!$H$98,IF(G264&lt;=Forudsætninger!$I$97,Forudsætninger!$I$98,Forudsætninger!$I$98))))))))</f>
        <v>4.4000000000000004</v>
      </c>
      <c r="AG264" s="1">
        <f t="shared" si="122"/>
        <v>4.4000000000000004</v>
      </c>
      <c r="AH264" s="1">
        <f t="shared" si="126"/>
        <v>827.99999999999693</v>
      </c>
      <c r="AI264" s="1">
        <f t="shared" si="113"/>
        <v>3.1603053435114385</v>
      </c>
      <c r="AJ264" s="20">
        <f>+(W264*Forudsætninger!$C$12)</f>
        <v>900</v>
      </c>
      <c r="AK264" s="20">
        <f>Forudsætninger!$C$17</f>
        <v>250</v>
      </c>
      <c r="AL264" s="20">
        <f>IF(A264&lt;92,Forudsætninger!$C$20,Forudsætninger!$C$21)</f>
        <v>1.0566762728146013</v>
      </c>
      <c r="AM264" s="20">
        <f t="shared" si="123"/>
        <v>545.35466633071701</v>
      </c>
      <c r="AN264" s="20">
        <f>IFERROR(AD264+AJ264-AA264-Z264-AK264-AM264-Forudsætninger!$C$75,-99999999)</f>
        <v>1401.8585372752859</v>
      </c>
      <c r="AO264" s="19">
        <f>IFERROR(AN264/(A264+Forudsætninger!$C$74),-99999999)</f>
        <v>5.3506051041041447</v>
      </c>
      <c r="AP264" s="19">
        <f>IFERROR(((365/(A264+Forudsætninger!$C$74))*AN264)/(AI264+Forudsætninger!$C$73),-9999999)</f>
        <v>597.1830327320572</v>
      </c>
      <c r="AQ264" s="18">
        <f t="shared" si="114"/>
        <v>262</v>
      </c>
      <c r="AR264" s="18">
        <f t="shared" si="124"/>
        <v>6524.3785072051414</v>
      </c>
      <c r="AS264" s="52">
        <f t="shared" si="105"/>
        <v>9.9</v>
      </c>
      <c r="AT264" s="50">
        <f t="shared" si="127"/>
        <v>5.3299552639468857</v>
      </c>
      <c r="AU264" s="50">
        <f t="shared" si="128"/>
        <v>-7.9118161521840591E-5</v>
      </c>
      <c r="AV264" s="2">
        <f t="shared" si="129"/>
        <v>-0.87745281210004578</v>
      </c>
      <c r="AW264" s="61">
        <f t="shared" si="125"/>
        <v>7.4321114641450494</v>
      </c>
      <c r="BA264" s="16"/>
      <c r="BB264" s="2"/>
    </row>
    <row r="265" spans="1:59" x14ac:dyDescent="0.25">
      <c r="A265">
        <v>263</v>
      </c>
      <c r="B265" s="1">
        <f>ROUND((A265+Forudsætninger!$C$60)/30.4,1)</f>
        <v>9.9</v>
      </c>
      <c r="C265" s="1">
        <f>VLOOKUP((A265+Forudsætninger!$C$60),'Model tilvækst, slagteform, fe'!A:B,2,FALSE)</f>
        <v>438.94388066404417</v>
      </c>
      <c r="D265" s="3">
        <f t="shared" si="115"/>
        <v>1241.9293371993376</v>
      </c>
      <c r="E265" s="1">
        <f>(1+Forudsætninger!$C$78)*C265</f>
        <v>408.21780901756108</v>
      </c>
      <c r="F265" s="2">
        <f t="shared" si="116"/>
        <v>0</v>
      </c>
      <c r="G265" s="1">
        <f t="shared" si="106"/>
        <v>408.21780901756108</v>
      </c>
      <c r="H265" s="3">
        <f t="shared" si="107"/>
        <v>1154.9942835953857</v>
      </c>
      <c r="I265" s="3">
        <f t="shared" si="108"/>
        <v>1289.8015551998521</v>
      </c>
      <c r="J265" s="1">
        <f>VLOOKUP((A265+Forudsætninger!$C$60),'Model tilvækst, slagteform, fe'!G:K,2,FALSE)*(1+Forudsætninger!$C$79)</f>
        <v>50.873901187311304</v>
      </c>
      <c r="K265" s="17">
        <f t="shared" si="104"/>
        <v>207.67632478860116</v>
      </c>
      <c r="L265" s="17">
        <f t="shared" si="117"/>
        <v>620.24035636980557</v>
      </c>
      <c r="M265" s="3">
        <f>((K265-(('Model tilvækst, slagteform, fe'!$H$9/100)*'Model tilvækst, slagteform, fe'!$B$9))*1000/(A265+Forudsætninger!$C$60))</f>
        <v>619.9649694046102</v>
      </c>
      <c r="N265" s="17">
        <f t="shared" si="118"/>
        <v>1487.6700880542485</v>
      </c>
      <c r="O265" s="19">
        <f>IF( A265&lt;Forudsætninger!$C$14,(G265/100)*Forudsætninger!$C$13,(Forudsætninger!$C$15/1000)*Forudsætninger!$C$13)</f>
        <v>2.6534157586141474</v>
      </c>
      <c r="P265" s="17" cm="1">
        <f t="array" ref="P265">INDEX('Model tilvækst, slagteform, fe'!$N$9:$N$375,MATCH(MIN(ABS('Model tilvækst, slagteform, fe'!$M$9:$M$375-'Vækstfunktion, hol'!G265)),ABS('Model tilvækst, slagteform, fe'!$M$9:$M$375-'Vækstfunktion, hol'!G265),0))*(1+Forudsætninger!$C$80)</f>
        <v>7.7882163046634689</v>
      </c>
      <c r="Q265" s="17">
        <f t="shared" si="119"/>
        <v>12.55677129789972</v>
      </c>
      <c r="R265" s="17">
        <f t="shared" si="120"/>
        <v>8.4740192292877499</v>
      </c>
      <c r="S265" s="17">
        <f t="shared" si="109"/>
        <v>4.3855895784564565</v>
      </c>
      <c r="T265" s="19">
        <f>(P265)*IF(N265&lt;Forudsætninger!$B$228,IF(N265&lt;Forudsætninger!$B$227,Forudsætninger!$B$225,Forudsætninger!$C$9),Forudsætninger!$C$11)+O265</f>
        <v>20.877841911526666</v>
      </c>
      <c r="U265" s="2">
        <f>Forudsætninger!$C$68+((K265-(Forudsætninger!$C$84)))*0.01</f>
        <v>3.7738161068746519</v>
      </c>
      <c r="V265" s="2">
        <f>U265+Forudsætninger!$C$69</f>
        <v>2.7738161068746519</v>
      </c>
      <c r="W265">
        <f t="shared" si="110"/>
        <v>1</v>
      </c>
      <c r="X265">
        <f>IF(A265+Forudsætninger!$C$60&gt;248,IF(A265+Forudsætninger!$C$60&lt;365,IF(K265&gt;180,IF(K265&lt;260,1,0),0),0),0)</f>
        <v>1</v>
      </c>
      <c r="Y265" s="22">
        <f>IF(X265=0,0,IF('Vækstfunktion, hol'!A265&lt;Forudsætninger!$C$66,Forudsætninger!$C$67+(('Vækstfunktion, hol'!A265-Forudsætninger!$C$66)/7)*Forudsætninger!$C$64,Forudsætninger!$C$67))</f>
        <v>0.95</v>
      </c>
      <c r="Z265" s="19">
        <f t="shared" si="121"/>
        <v>4399.9016827859514</v>
      </c>
      <c r="AA265" s="19">
        <f>Forudsætninger!$C$62+Forudsætninger!$C$16</f>
        <v>1350</v>
      </c>
      <c r="AB265" s="19">
        <f>IF(K265&gt;Forudsætninger!$C$26,IF(K265&gt;Forudsætninger!$C$27,IF(K265&gt;Forudsætninger!$C$28,Forudsætninger!$E$28,Forudsætninger!$E$27+Forudsætninger!$F$28*(K265-Forudsætninger!$C$27)),Forudsætninger!$E$26+Forudsætninger!$F$27*(K265-Forudsætninger!$C$26)),Forudsætninger!$E$26)+IF(K265&gt;Forudsætninger!$C$28,Forudsætninger!$G$28,IF(K265&gt;Forudsætninger!$C$27,Forudsætninger!$G$27+Forudsætninger!$H$28*(K265-Forudsætninger!$C$27),IF(K265&gt;Forudsætninger!$C$26,Forudsætninger!$G$26+Forudsætninger!$H$27*(K265-Forudsætninger!$C$26),Forudsætninger!$G$26)))*(U265-Forudsætninger!$H$26)</f>
        <v>35.195160655738029</v>
      </c>
      <c r="AC265" s="19">
        <f>IF(K265&gt;Forudsætninger!$C$31,IF(K265&gt;Forudsætninger!$C$32,IF(K265&gt;Forudsætninger!$C$33,Forudsætninger!$E$33,Forudsætninger!$E$32+Forudsætninger!$F$33*(K265-Forudsætninger!$C$32)),Forudsætninger!$E$31+Forudsætninger!$F$32*(K265-Forudsætninger!$C$31)),Forudsætninger!$E$31)+IF(K265&gt;Forudsætninger!$C$33,Forudsætninger!$G$33,IF(K265&gt;Forudsætninger!$C$32,Forudsætninger!$G$32+Forudsætninger!$H$33*(K265-Forudsætninger!$C$32),IF(K265&gt;Forudsætninger!$C$31,Forudsætninger!$G$31+Forudsætninger!$H$32*(K265-Forudsætninger!$C$31),Forudsætninger!$G$31)))*(V265-Forudsætninger!$H$31)</f>
        <v>28.127616789611992</v>
      </c>
      <c r="AD265" s="19">
        <f t="shared" si="111"/>
        <v>7235.8135385580827</v>
      </c>
      <c r="AE265" s="19">
        <f t="shared" si="112"/>
        <v>34.841783462431721</v>
      </c>
      <c r="AF265">
        <f>IF(G265&lt;=Forudsætninger!$C$97,Forudsætninger!$C$98,(IF(G265&lt;=Forudsætninger!$D$97,Forudsætninger!$D$98,IF(G265&lt;=Forudsætninger!$E$97,Forudsætninger!$E$98,IF(G265&lt;=Forudsætninger!$F$97,Forudsætninger!$F$98,IF(G265&lt;=Forudsætninger!$G$97,Forudsætninger!$G$98,IF(G265&lt;=Forudsætninger!$H$97,Forudsætninger!$H$98,IF(G265&lt;=Forudsætninger!$I$97,Forudsætninger!$I$98,Forudsætninger!$I$98))))))))</f>
        <v>4.4000000000000004</v>
      </c>
      <c r="AG265" s="1">
        <f t="shared" si="122"/>
        <v>4.4000000000000004</v>
      </c>
      <c r="AH265" s="1">
        <f t="shared" si="126"/>
        <v>832.39999999999691</v>
      </c>
      <c r="AI265" s="1">
        <f t="shared" si="113"/>
        <v>3.1650190114068324</v>
      </c>
      <c r="AJ265" s="20">
        <f>+(W265*Forudsætninger!$C$12)</f>
        <v>900</v>
      </c>
      <c r="AK265" s="20">
        <f>Forudsætninger!$C$17</f>
        <v>250</v>
      </c>
      <c r="AL265" s="20">
        <f>IF(A265&lt;92,Forudsætninger!$C$20,Forudsætninger!$C$21)</f>
        <v>1.0566762728146013</v>
      </c>
      <c r="AM265" s="20">
        <f t="shared" si="123"/>
        <v>546.41134260353158</v>
      </c>
      <c r="AN265" s="20">
        <f>IFERROR(AD265+AJ265-AA265-Z265-AK265-AM265-Forudsætninger!$C$75,-99999999)</f>
        <v>1407.1063206192052</v>
      </c>
      <c r="AO265" s="19">
        <f>IFERROR(AN265/(A265+Forudsætninger!$C$74),-99999999)</f>
        <v>5.3502141468410844</v>
      </c>
      <c r="AP265" s="19">
        <f>IFERROR(((365/(A265+Forudsætninger!$C$74))*AN265)/(AI265+Forudsætninger!$C$73),-9999999)</f>
        <v>596.27994732101718</v>
      </c>
      <c r="AQ265" s="18">
        <f t="shared" si="114"/>
        <v>263</v>
      </c>
      <c r="AR265" s="18">
        <f t="shared" si="124"/>
        <v>6546.3130253894833</v>
      </c>
      <c r="AS265" s="52">
        <f t="shared" si="105"/>
        <v>9.9</v>
      </c>
      <c r="AT265" s="50">
        <f t="shared" si="127"/>
        <v>5.2477833439193091</v>
      </c>
      <c r="AU265" s="50">
        <f t="shared" si="128"/>
        <v>-3.9095726306026535E-4</v>
      </c>
      <c r="AV265" s="2">
        <f t="shared" si="129"/>
        <v>-0.90308541104002416</v>
      </c>
      <c r="AW265" s="61">
        <f t="shared" si="125"/>
        <v>7.4278238145351203</v>
      </c>
      <c r="BA265" s="16"/>
      <c r="BB265" s="2"/>
    </row>
    <row r="266" spans="1:59" x14ac:dyDescent="0.25">
      <c r="A266">
        <v>264</v>
      </c>
      <c r="B266" s="1">
        <f>ROUND((A266+Forudsætninger!$C$60)/30.4,1)</f>
        <v>10</v>
      </c>
      <c r="C266" s="1">
        <f>VLOOKUP((A266+Forudsætninger!$C$60),'Model tilvækst, slagteform, fe'!A:B,2,FALSE)</f>
        <v>440.18147699959258</v>
      </c>
      <c r="D266" s="3">
        <f t="shared" si="115"/>
        <v>1237.5963355484032</v>
      </c>
      <c r="E266" s="1">
        <f>(1+Forudsætninger!$C$78)*C266</f>
        <v>409.36877360962109</v>
      </c>
      <c r="F266" s="2">
        <f t="shared" si="116"/>
        <v>0</v>
      </c>
      <c r="G266" s="1">
        <f t="shared" si="106"/>
        <v>409.36877360962109</v>
      </c>
      <c r="H266" s="3">
        <f t="shared" si="107"/>
        <v>1150.9645920600065</v>
      </c>
      <c r="I266" s="3">
        <f t="shared" si="108"/>
        <v>1289.275657612201</v>
      </c>
      <c r="J266" s="1">
        <f>VLOOKUP((A266+Forudsætninger!$C$60),'Model tilvækst, slagteform, fe'!G:K,2,FALSE)*(1+Forudsætninger!$C$79)</f>
        <v>50.881925424963711</v>
      </c>
      <c r="K266" s="17">
        <f t="shared" si="104"/>
        <v>208.29471410113595</v>
      </c>
      <c r="L266" s="17">
        <f t="shared" si="117"/>
        <v>618.3893125347879</v>
      </c>
      <c r="M266" s="3">
        <f>((K266-(('Model tilvækst, slagteform, fe'!$H$9/100)*'Model tilvækst, slagteform, fe'!$B$9))*1000/(A266+Forudsætninger!$C$60))</f>
        <v>619.9597692169209</v>
      </c>
      <c r="N266" s="17">
        <f t="shared" si="118"/>
        <v>1495.4695447748984</v>
      </c>
      <c r="O266" s="19">
        <f>IF( A266&lt;Forudsætninger!$C$14,(G266/100)*Forudsætninger!$C$13,(Forudsætninger!$C$15/1000)*Forudsætninger!$C$13)</f>
        <v>2.6608970284625371</v>
      </c>
      <c r="P266" s="17" cm="1">
        <f t="array" ref="P266">INDEX('Model tilvækst, slagteform, fe'!$N$9:$N$375,MATCH(MIN(ABS('Model tilvækst, slagteform, fe'!$M$9:$M$375-'Vækstfunktion, hol'!G266)),ABS('Model tilvækst, slagteform, fe'!$M$9:$M$375-'Vækstfunktion, hol'!G266),0))*(1+Forudsætninger!$C$80)</f>
        <v>7.799456720649836</v>
      </c>
      <c r="Q266" s="17">
        <f t="shared" si="119"/>
        <v>12.61253479410848</v>
      </c>
      <c r="R266" s="17">
        <f t="shared" si="120"/>
        <v>8.4885457728188864</v>
      </c>
      <c r="S266" s="17">
        <f t="shared" si="109"/>
        <v>4.3936743342093312</v>
      </c>
      <c r="T266" s="19">
        <f>(P266)*IF(N266&lt;Forudsætninger!$B$228,IF(N266&lt;Forudsætninger!$B$227,Forudsætninger!$B$225,Forudsætninger!$C$9),Forudsætninger!$C$11)+O266</f>
        <v>20.911625754783152</v>
      </c>
      <c r="U266" s="2">
        <f>Forudsætninger!$C$68+((K266-(Forudsætninger!$C$84)))*0.01</f>
        <v>3.78</v>
      </c>
      <c r="V266" s="2">
        <f>U266+Forudsætninger!$C$69</f>
        <v>2.78</v>
      </c>
      <c r="W266">
        <f t="shared" si="110"/>
        <v>1</v>
      </c>
      <c r="X266">
        <f>IF(A266+Forudsætninger!$C$60&gt;248,IF(A266+Forudsætninger!$C$60&lt;365,IF(K266&gt;180,IF(K266&lt;260,1,0),0),0),0)</f>
        <v>1</v>
      </c>
      <c r="Y266" s="22">
        <f>IF(X266=0,0,IF('Vækstfunktion, hol'!A266&lt;Forudsætninger!$C$66,Forudsætninger!$C$67+(('Vækstfunktion, hol'!A266-Forudsætninger!$C$66)/7)*Forudsætninger!$C$64,Forudsætninger!$C$67))</f>
        <v>0.95</v>
      </c>
      <c r="Z266" s="19">
        <f t="shared" si="121"/>
        <v>4420.8133085407344</v>
      </c>
      <c r="AA266" s="19">
        <f>Forudsætninger!$C$62+Forudsætninger!$C$16</f>
        <v>1350</v>
      </c>
      <c r="AB266" s="19">
        <f>IF(K266&gt;Forudsætninger!$C$26,IF(K266&gt;Forudsætninger!$C$27,IF(K266&gt;Forudsætninger!$C$28,Forudsætninger!$E$28,Forudsætninger!$E$27+Forudsætninger!$F$28*(K266-Forudsætninger!$C$27)),Forudsætninger!$E$26+Forudsætninger!$F$27*(K266-Forudsætninger!$C$26)),Forudsætninger!$E$26)+IF(K266&gt;Forudsætninger!$C$28,Forudsætninger!$G$28,IF(K266&gt;Forudsætninger!$C$27,Forudsætninger!$G$27+Forudsætninger!$H$28*(K266-Forudsætninger!$C$27),IF(K266&gt;Forudsætninger!$C$26,Forudsætninger!$G$26+Forudsætninger!$H$27*(K266-Forudsætninger!$C$26),Forudsætninger!$G$26)))*(U266-Forudsætninger!$H$26)</f>
        <v>35.222472850374992</v>
      </c>
      <c r="AC266" s="19">
        <f>IF(K266&gt;Forudsætninger!$C$31,IF(K266&gt;Forudsætninger!$C$32,IF(K266&gt;Forudsætninger!$C$33,Forudsætninger!$E$33,Forudsætninger!$E$32+Forudsætninger!$F$33*(K266-Forudsætninger!$C$32)),Forudsætninger!$E$31+Forudsætninger!$F$32*(K266-Forudsætninger!$C$31)),Forudsætninger!$E$31)+IF(K266&gt;Forudsætninger!$C$33,Forudsætninger!$G$33,IF(K266&gt;Forudsætninger!$C$32,Forudsætninger!$G$32+Forudsætninger!$H$33*(K266-Forudsætninger!$C$32),IF(K266&gt;Forudsætninger!$C$31,Forudsætninger!$G$31+Forudsætninger!$H$32*(K266-Forudsætninger!$C$31),Forudsætninger!$G$31)))*(V266-Forudsætninger!$H$31)</f>
        <v>28.145263850650476</v>
      </c>
      <c r="AD266" s="19">
        <f t="shared" si="111"/>
        <v>7262.947651042301</v>
      </c>
      <c r="AE266" s="19">
        <f t="shared" si="112"/>
        <v>34.868612400388763</v>
      </c>
      <c r="AF266">
        <f>IF(G266&lt;=Forudsætninger!$C$97,Forudsætninger!$C$98,(IF(G266&lt;=Forudsætninger!$D$97,Forudsætninger!$D$98,IF(G266&lt;=Forudsætninger!$E$97,Forudsætninger!$E$98,IF(G266&lt;=Forudsætninger!$F$97,Forudsætninger!$F$98,IF(G266&lt;=Forudsætninger!$G$97,Forudsætninger!$G$98,IF(G266&lt;=Forudsætninger!$H$97,Forudsætninger!$H$98,IF(G266&lt;=Forudsætninger!$I$97,Forudsætninger!$I$98,Forudsætninger!$I$98))))))))</f>
        <v>4.4000000000000004</v>
      </c>
      <c r="AG266" s="1">
        <f t="shared" si="122"/>
        <v>4.4000000000000004</v>
      </c>
      <c r="AH266" s="1">
        <f t="shared" si="126"/>
        <v>836.79999999999688</v>
      </c>
      <c r="AI266" s="1">
        <f t="shared" si="113"/>
        <v>3.1696969696969579</v>
      </c>
      <c r="AJ266" s="20">
        <f>+(W266*Forudsætninger!$C$12)</f>
        <v>900</v>
      </c>
      <c r="AK266" s="20">
        <f>Forudsætninger!$C$17</f>
        <v>250</v>
      </c>
      <c r="AL266" s="20">
        <f>IF(A266&lt;92,Forudsætninger!$C$20,Forudsætninger!$C$21)</f>
        <v>1.0566762728146013</v>
      </c>
      <c r="AM266" s="20">
        <f t="shared" si="123"/>
        <v>547.46801887634615</v>
      </c>
      <c r="AN266" s="20">
        <f>IFERROR(AD266+AJ266-AA266-Z266-AK266-AM266-Forudsætninger!$C$75,-99999999)</f>
        <v>1412.2721310758259</v>
      </c>
      <c r="AO266" s="19">
        <f>IFERROR(AN266/(A266+Forudsætninger!$C$74),-99999999)</f>
        <v>5.3495156480144921</v>
      </c>
      <c r="AP266" s="19">
        <f>IFERROR(((365/(A266+Forudsætninger!$C$74))*AN266)/(AI266+Forudsætninger!$C$73),-9999999)</f>
        <v>595.35171376083144</v>
      </c>
      <c r="AQ266" s="18">
        <f t="shared" si="114"/>
        <v>264</v>
      </c>
      <c r="AR266" s="18">
        <f t="shared" si="124"/>
        <v>6568.2813274170803</v>
      </c>
      <c r="AS266" s="52">
        <f t="shared" si="105"/>
        <v>10</v>
      </c>
      <c r="AT266" s="50">
        <f t="shared" si="127"/>
        <v>5.1658104566206475</v>
      </c>
      <c r="AU266" s="50">
        <f t="shared" si="128"/>
        <v>-6.9849882659234197E-4</v>
      </c>
      <c r="AV266" s="2">
        <f t="shared" si="129"/>
        <v>-0.92823356018573122</v>
      </c>
      <c r="AW266" s="61">
        <f t="shared" si="125"/>
        <v>7.4232581437582272</v>
      </c>
      <c r="BA266" s="16"/>
      <c r="BB266" s="2"/>
    </row>
    <row r="267" spans="1:59" x14ac:dyDescent="0.25">
      <c r="A267">
        <v>265</v>
      </c>
      <c r="B267" s="1">
        <f>ROUND((A267+Forudsætninger!$C$60)/30.4,1)</f>
        <v>10</v>
      </c>
      <c r="C267" s="1">
        <f>VLOOKUP((A267+Forudsætninger!$C$60),'Model tilvækst, slagteform, fe'!A:B,2,FALSE)</f>
        <v>441.41474206063174</v>
      </c>
      <c r="D267" s="3">
        <f t="shared" si="115"/>
        <v>1233.2650610391624</v>
      </c>
      <c r="E267" s="1">
        <f>(1+Forudsætninger!$C$78)*C267</f>
        <v>410.51571011638748</v>
      </c>
      <c r="F267" s="2">
        <f t="shared" si="116"/>
        <v>0</v>
      </c>
      <c r="G267" s="1">
        <f t="shared" si="106"/>
        <v>410.51571011638748</v>
      </c>
      <c r="H267" s="3">
        <f t="shared" si="107"/>
        <v>1146.9365067663944</v>
      </c>
      <c r="I267" s="3">
        <f t="shared" si="108"/>
        <v>1288.7385287410848</v>
      </c>
      <c r="J267" s="1">
        <f>VLOOKUP((A267+Forudsætninger!$C$60),'Model tilvækst, slagteform, fe'!G:K,2,FALSE)*(1+Forudsætninger!$C$79)</f>
        <v>50.889957046251489</v>
      </c>
      <c r="K267" s="17">
        <f t="shared" si="104"/>
        <v>208.91126854634388</v>
      </c>
      <c r="L267" s="17">
        <f t="shared" si="117"/>
        <v>616.55444520792457</v>
      </c>
      <c r="M267" s="3">
        <f>((K267-(('Model tilvækst, slagteform, fe'!$H$9/100)*'Model tilvækst, slagteform, fe'!$B$9))*1000/(A267+Forudsætninger!$C$60))</f>
        <v>619.94856749320718</v>
      </c>
      <c r="N267" s="17">
        <f t="shared" si="118"/>
        <v>1503.280332954392</v>
      </c>
      <c r="O267" s="19">
        <f>IF( A267&lt;Forudsætninger!$C$14,(G267/100)*Forudsætninger!$C$13,(Forudsætninger!$C$15/1000)*Forudsætninger!$C$13)</f>
        <v>2.6683521157565186</v>
      </c>
      <c r="P267" s="17" cm="1">
        <f t="array" ref="P267">INDEX('Model tilvækst, slagteform, fe'!$N$9:$N$375,MATCH(MIN(ABS('Model tilvækst, slagteform, fe'!$M$9:$M$375-'Vækstfunktion, hol'!G267)),ABS('Model tilvækst, slagteform, fe'!$M$9:$M$375-'Vækstfunktion, hol'!G267),0))*(1+Forudsætninger!$C$80)</f>
        <v>7.8107881794934437</v>
      </c>
      <c r="Q267" s="17">
        <f t="shared" si="119"/>
        <v>12.668448407438474</v>
      </c>
      <c r="R267" s="17">
        <f t="shared" si="120"/>
        <v>8.5031230390779715</v>
      </c>
      <c r="S267" s="17">
        <f t="shared" si="109"/>
        <v>4.4017896934875376</v>
      </c>
      <c r="T267" s="19">
        <f>(P267)*IF(N267&lt;Forudsætninger!$B$228,IF(N267&lt;Forudsætninger!$B$227,Forudsætninger!$B$225,Forudsætninger!$C$9),Forudsætninger!$C$11)+O267</f>
        <v>20.945596455771177</v>
      </c>
      <c r="U267" s="2">
        <f>Forudsætninger!$C$68+((K267-(Forudsætninger!$C$84)))*0.01</f>
        <v>3.786165544452079</v>
      </c>
      <c r="V267" s="2">
        <f>U267+Forudsætninger!$C$69</f>
        <v>2.786165544452079</v>
      </c>
      <c r="W267">
        <f t="shared" si="110"/>
        <v>1</v>
      </c>
      <c r="X267">
        <f>IF(A267+Forudsætninger!$C$60&gt;248,IF(A267+Forudsætninger!$C$60&lt;365,IF(K267&gt;180,IF(K267&lt;260,1,0),0),0),0)</f>
        <v>1</v>
      </c>
      <c r="Y267" s="22">
        <f>IF(X267=0,0,IF('Vækstfunktion, hol'!A267&lt;Forudsætninger!$C$66,Forudsætninger!$C$67+(('Vækstfunktion, hol'!A267-Forudsætninger!$C$66)/7)*Forudsætninger!$C$64,Forudsætninger!$C$67))</f>
        <v>0.95</v>
      </c>
      <c r="Z267" s="19">
        <f t="shared" si="121"/>
        <v>4441.7589049965054</v>
      </c>
      <c r="AA267" s="19">
        <f>Forudsætninger!$C$62+Forudsætninger!$C$16</f>
        <v>1350</v>
      </c>
      <c r="AB267" s="19">
        <f>IF(K267&gt;Forudsætninger!$C$26,IF(K267&gt;Forudsætninger!$C$27,IF(K267&gt;Forudsætninger!$C$28,Forudsætninger!$E$28,Forudsætninger!$E$27+Forudsætninger!$F$28*(K267-Forudsætninger!$C$27)),Forudsætninger!$E$26+Forudsætninger!$F$27*(K267-Forudsætninger!$C$26)),Forudsætninger!$E$26)+IF(K267&gt;Forudsætninger!$C$28,Forudsætninger!$G$28,IF(K267&gt;Forudsætninger!$C$27,Forudsætninger!$G$27+Forudsætninger!$H$28*(K267-Forudsætninger!$C$27),IF(K267&gt;Forudsætninger!$C$26,Forudsætninger!$G$26+Forudsætninger!$H$27*(K267-Forudsætninger!$C$26),Forudsætninger!$G$26)))*(U267-Forudsætninger!$H$26)</f>
        <v>35.249704005038332</v>
      </c>
      <c r="AC267" s="19">
        <f>IF(K267&gt;Forudsætninger!$C$31,IF(K267&gt;Forudsætninger!$C$32,IF(K267&gt;Forudsætninger!$C$33,Forudsætninger!$E$33,Forudsætninger!$E$32+Forudsætninger!$F$33*(K267-Forudsætninger!$C$32)),Forudsætninger!$E$31+Forudsætninger!$F$32*(K267-Forudsætninger!$C$31)),Forudsætninger!$E$31)+IF(K267&gt;Forudsætninger!$C$33,Forudsætninger!$G$33,IF(K267&gt;Forudsætninger!$C$32,Forudsætninger!$G$32+Forudsætninger!$H$33*(K267-Forudsætninger!$C$32),IF(K267&gt;Forudsætninger!$C$31,Forudsætninger!$G$31+Forudsætninger!$H$32*(K267-Forudsætninger!$C$31),Forudsætninger!$G$31)))*(V267-Forudsætninger!$H$31)</f>
        <v>28.162829996949792</v>
      </c>
      <c r="AD267" s="19">
        <f t="shared" si="111"/>
        <v>7290.0339876228018</v>
      </c>
      <c r="AE267" s="19">
        <f t="shared" si="112"/>
        <v>34.895360304633904</v>
      </c>
      <c r="AF267">
        <f>IF(G267&lt;=Forudsætninger!$C$97,Forudsætninger!$C$98,(IF(G267&lt;=Forudsætninger!$D$97,Forudsætninger!$D$98,IF(G267&lt;=Forudsætninger!$E$97,Forudsætninger!$E$98,IF(G267&lt;=Forudsætninger!$F$97,Forudsætninger!$F$98,IF(G267&lt;=Forudsætninger!$G$97,Forudsætninger!$G$98,IF(G267&lt;=Forudsætninger!$H$97,Forudsætninger!$H$98,IF(G267&lt;=Forudsætninger!$I$97,Forudsætninger!$I$98,Forudsætninger!$I$98))))))))</f>
        <v>4.4000000000000004</v>
      </c>
      <c r="AG267" s="1">
        <f t="shared" si="122"/>
        <v>4.4000000000000004</v>
      </c>
      <c r="AH267" s="1">
        <f t="shared" si="126"/>
        <v>841.19999999999686</v>
      </c>
      <c r="AI267" s="1">
        <f t="shared" si="113"/>
        <v>3.1743396226414977</v>
      </c>
      <c r="AJ267" s="20">
        <f>+(W267*Forudsætninger!$C$12)</f>
        <v>900</v>
      </c>
      <c r="AK267" s="20">
        <f>Forudsætninger!$C$17</f>
        <v>250</v>
      </c>
      <c r="AL267" s="20">
        <f>IF(A267&lt;92,Forudsætninger!$C$20,Forudsætninger!$C$21)</f>
        <v>1.0566762728146013</v>
      </c>
      <c r="AM267" s="20">
        <f t="shared" si="123"/>
        <v>548.52469514916072</v>
      </c>
      <c r="AN267" s="20">
        <f>IFERROR(AD267+AJ267-AA267-Z267-AK267-AM267-Forudsætninger!$C$75,-99999999)</f>
        <v>1417.3561949277409</v>
      </c>
      <c r="AO267" s="19">
        <f>IFERROR(AN267/(A267+Forudsætninger!$C$74),-99999999)</f>
        <v>5.3485139431235504</v>
      </c>
      <c r="AP267" s="19">
        <f>IFERROR(((365/(A267+Forudsætninger!$C$74))*AN267)/(AI267+Forudsætninger!$C$73),-9999999)</f>
        <v>594.39881788777757</v>
      </c>
      <c r="AQ267" s="18">
        <f t="shared" si="114"/>
        <v>265</v>
      </c>
      <c r="AR267" s="18">
        <f t="shared" si="124"/>
        <v>6590.2836001456662</v>
      </c>
      <c r="AS267" s="52">
        <f t="shared" si="105"/>
        <v>10</v>
      </c>
      <c r="AT267" s="50">
        <f t="shared" si="127"/>
        <v>5.0840638519150616</v>
      </c>
      <c r="AU267" s="50">
        <f t="shared" si="128"/>
        <v>-1.0017048909416459E-3</v>
      </c>
      <c r="AV267" s="2">
        <f t="shared" si="129"/>
        <v>-0.95289587305387613</v>
      </c>
      <c r="AW267" s="61">
        <f t="shared" si="125"/>
        <v>7.4184184531203838</v>
      </c>
      <c r="BA267" s="16"/>
      <c r="BB267" s="2"/>
    </row>
    <row r="268" spans="1:59" x14ac:dyDescent="0.25">
      <c r="A268">
        <v>266</v>
      </c>
      <c r="B268" s="1">
        <f>ROUND((A268+Forudsætninger!$C$60)/30.4,1)</f>
        <v>10</v>
      </c>
      <c r="C268" s="1">
        <f>VLOOKUP((A268+Forudsætninger!$C$60),'Model tilvækst, slagteform, fe'!A:B,2,FALSE)</f>
        <v>442.64367810864962</v>
      </c>
      <c r="D268" s="3">
        <f t="shared" si="115"/>
        <v>1228.9360480178857</v>
      </c>
      <c r="E268" s="1">
        <f>(1+Forudsætninger!$C$78)*C268</f>
        <v>411.65862064104414</v>
      </c>
      <c r="F268" s="2">
        <f t="shared" si="116"/>
        <v>0</v>
      </c>
      <c r="G268" s="1">
        <f t="shared" si="106"/>
        <v>411.65862064104414</v>
      </c>
      <c r="H268" s="3">
        <f t="shared" si="107"/>
        <v>1142.9105246566564</v>
      </c>
      <c r="I268" s="3">
        <f t="shared" si="108"/>
        <v>1288.1903031618201</v>
      </c>
      <c r="J268" s="1">
        <f>VLOOKUP((A268+Forudsætninger!$C$60),'Model tilvækst, slagteform, fe'!G:K,2,FALSE)*(1+Forudsætninger!$C$79)</f>
        <v>50.897999999999989</v>
      </c>
      <c r="K268" s="17">
        <f t="shared" si="104"/>
        <v>209.52600473387861</v>
      </c>
      <c r="L268" s="17">
        <f t="shared" si="117"/>
        <v>614.73618753473147</v>
      </c>
      <c r="M268" s="3">
        <f>((K268-(('Model tilvækst, slagteform, fe'!$H$9/100)*'Model tilvækst, slagteform, fe'!$B$9))*1000/(A268+Forudsætninger!$C$60))</f>
        <v>619.93147772285158</v>
      </c>
      <c r="N268" s="17">
        <f t="shared" si="118"/>
        <v>1511.1025419802615</v>
      </c>
      <c r="O268" s="19">
        <f>IF( A268&lt;Forudsætninger!$C$14,(G268/100)*Forudsætninger!$C$13,(Forudsætninger!$C$15/1000)*Forudsætninger!$C$13)</f>
        <v>2.6757810341667869</v>
      </c>
      <c r="P268" s="17" cm="1">
        <f t="array" ref="P268">INDEX('Model tilvækst, slagteform, fe'!$N$9:$N$375,MATCH(MIN(ABS('Model tilvækst, slagteform, fe'!$M$9:$M$375-'Vækstfunktion, hol'!G268)),ABS('Model tilvækst, slagteform, fe'!$M$9:$M$375-'Vækstfunktion, hol'!G268),0))*(1+Forudsætninger!$C$80)</f>
        <v>7.8222090258696122</v>
      </c>
      <c r="Q268" s="17">
        <f t="shared" si="119"/>
        <v>12.724497409594374</v>
      </c>
      <c r="R268" s="17">
        <f t="shared" si="120"/>
        <v>8.5177506579130586</v>
      </c>
      <c r="S268" s="17">
        <f t="shared" si="109"/>
        <v>4.4099358689803223</v>
      </c>
      <c r="T268" s="19">
        <f>(P268)*IF(N268&lt;Forudsætninger!$B$228,IF(N268&lt;Forudsætninger!$B$227,Forudsætninger!$B$225,Forudsætninger!$C$9),Forudsætninger!$C$11)+O268</f>
        <v>20.979750154701676</v>
      </c>
      <c r="U268" s="2">
        <f>Forudsætninger!$C$68+((K268-(Forudsætninger!$C$84)))*0.01</f>
        <v>3.7923129063274263</v>
      </c>
      <c r="V268" s="2">
        <f>U268+Forudsætninger!$C$69</f>
        <v>2.7923129063274263</v>
      </c>
      <c r="W268">
        <f t="shared" si="110"/>
        <v>1</v>
      </c>
      <c r="X268">
        <f>IF(A268+Forudsætninger!$C$60&gt;248,IF(A268+Forudsætninger!$C$60&lt;365,IF(K268&gt;180,IF(K268&lt;260,1,0),0),0),0)</f>
        <v>1</v>
      </c>
      <c r="Y268" s="22">
        <f>IF(X268=0,0,IF('Vækstfunktion, hol'!A268&lt;Forudsætninger!$C$66,Forudsætninger!$C$67+(('Vækstfunktion, hol'!A268-Forudsætninger!$C$66)/7)*Forudsætninger!$C$64,Forudsætninger!$C$67))</f>
        <v>0.95</v>
      </c>
      <c r="Z268" s="19">
        <f t="shared" si="121"/>
        <v>4462.7386551512072</v>
      </c>
      <c r="AA268" s="19">
        <f>Forudsætninger!$C$62+Forudsætninger!$C$16</f>
        <v>1350</v>
      </c>
      <c r="AB268" s="19">
        <f>IF(K268&gt;Forudsætninger!$C$26,IF(K268&gt;Forudsætninger!$C$27,IF(K268&gt;Forudsætninger!$C$28,Forudsætninger!$E$28,Forudsætninger!$E$27+Forudsætninger!$F$28*(K268-Forudsætninger!$C$27)),Forudsætninger!$E$26+Forudsætninger!$F$27*(K268-Forudsætninger!$C$26)),Forudsætninger!$E$26)+IF(K268&gt;Forudsætninger!$C$28,Forudsætninger!$G$28,IF(K268&gt;Forudsætninger!$C$27,Forudsætninger!$G$27+Forudsætninger!$H$28*(K268-Forudsætninger!$C$27),IF(K268&gt;Forudsætninger!$C$26,Forudsætninger!$G$26+Forudsætninger!$H$27*(K268-Forudsætninger!$C$26),Forudsætninger!$G$26)))*(U268-Forudsætninger!$H$26)</f>
        <v>35.276854853321119</v>
      </c>
      <c r="AC268" s="19">
        <f>IF(K268&gt;Forudsætninger!$C$31,IF(K268&gt;Forudsætninger!$C$32,IF(K268&gt;Forudsætninger!$C$33,Forudsætninger!$E$33,Forudsætninger!$E$32+Forudsætninger!$F$33*(K268-Forudsætninger!$C$32)),Forudsætninger!$E$31+Forudsætninger!$F$32*(K268-Forudsætninger!$C$31)),Forudsætninger!$E$31)+IF(K268&gt;Forudsætninger!$C$33,Forudsætninger!$G$33,IF(K268&gt;Forudsætninger!$C$32,Forudsætninger!$G$32+Forudsætninger!$H$33*(K268-Forudsætninger!$C$32),IF(K268&gt;Forudsætninger!$C$31,Forudsætninger!$G$31+Forudsætninger!$H$32*(K268-Forudsætninger!$C$31),Forudsætninger!$G$31)))*(V268-Forudsætninger!$H$31)</f>
        <v>28.180315955124424</v>
      </c>
      <c r="AD268" s="19">
        <f t="shared" si="111"/>
        <v>7317.0729848544242</v>
      </c>
      <c r="AE268" s="19">
        <f t="shared" si="112"/>
        <v>34.922027908411287</v>
      </c>
      <c r="AF268">
        <f>IF(G268&lt;=Forudsætninger!$C$97,Forudsætninger!$C$98,(IF(G268&lt;=Forudsætninger!$D$97,Forudsætninger!$D$98,IF(G268&lt;=Forudsætninger!$E$97,Forudsætninger!$E$98,IF(G268&lt;=Forudsætninger!$F$97,Forudsætninger!$F$98,IF(G268&lt;=Forudsætninger!$G$97,Forudsætninger!$G$98,IF(G268&lt;=Forudsætninger!$H$97,Forudsætninger!$H$98,IF(G268&lt;=Forudsætninger!$I$97,Forudsætninger!$I$98,Forudsætninger!$I$98))))))))</f>
        <v>4.4000000000000004</v>
      </c>
      <c r="AG268" s="1">
        <f t="shared" si="122"/>
        <v>4.4000000000000004</v>
      </c>
      <c r="AH268" s="1">
        <f t="shared" si="126"/>
        <v>845.59999999999684</v>
      </c>
      <c r="AI268" s="1">
        <f t="shared" si="113"/>
        <v>3.1789473684210408</v>
      </c>
      <c r="AJ268" s="20">
        <f>+(W268*Forudsætninger!$C$12)</f>
        <v>900</v>
      </c>
      <c r="AK268" s="20">
        <f>Forudsætninger!$C$17</f>
        <v>250</v>
      </c>
      <c r="AL268" s="20">
        <f>IF(A268&lt;92,Forudsætninger!$C$20,Forudsætninger!$C$21)</f>
        <v>1.0566762728146013</v>
      </c>
      <c r="AM268" s="20">
        <f t="shared" si="123"/>
        <v>549.58137142197529</v>
      </c>
      <c r="AN268" s="20">
        <f>IFERROR(AD268+AJ268-AA268-Z268-AK268-AM268-Forudsætninger!$C$75,-99999999)</f>
        <v>1422.3587657318481</v>
      </c>
      <c r="AO268" s="19">
        <f>IFERROR(AN268/(A268+Forudsætninger!$C$74),-99999999)</f>
        <v>5.347213405006948</v>
      </c>
      <c r="AP268" s="19">
        <f>IFERROR(((365/(A268+Forudsætninger!$C$74))*AN268)/(AI268+Forudsætninger!$C$73),-9999999)</f>
        <v>593.42174689907688</v>
      </c>
      <c r="AQ268" s="18">
        <f t="shared" si="114"/>
        <v>266</v>
      </c>
      <c r="AR268" s="18">
        <f t="shared" si="124"/>
        <v>6612.320026573183</v>
      </c>
      <c r="AS268" s="52">
        <f t="shared" si="105"/>
        <v>10</v>
      </c>
      <c r="AT268" s="50">
        <f t="shared" si="127"/>
        <v>5.0025708041071084</v>
      </c>
      <c r="AU268" s="50">
        <f t="shared" si="128"/>
        <v>-1.3005381166024677E-3</v>
      </c>
      <c r="AV268" s="2">
        <f t="shared" si="129"/>
        <v>-0.97707098870068876</v>
      </c>
      <c r="AW268" s="61">
        <f t="shared" si="125"/>
        <v>7.4133087862925686</v>
      </c>
      <c r="BA268" s="16"/>
      <c r="BB268" s="2"/>
    </row>
    <row r="269" spans="1:59" x14ac:dyDescent="0.25">
      <c r="A269">
        <v>267</v>
      </c>
      <c r="B269" s="1">
        <f>ROUND((A269+Forudsætninger!$C$60)/30.4,1)</f>
        <v>10.1</v>
      </c>
      <c r="C269" s="1">
        <f>VLOOKUP((A269+Forudsætninger!$C$60),'Model tilvækst, slagteform, fe'!A:B,2,FALSE)</f>
        <v>443.86828793948217</v>
      </c>
      <c r="D269" s="3">
        <f t="shared" si="115"/>
        <v>1224.6098308325486</v>
      </c>
      <c r="E269" s="1">
        <f>(1+Forudsætninger!$C$78)*C269</f>
        <v>412.7975077837184</v>
      </c>
      <c r="F269" s="2">
        <f t="shared" si="116"/>
        <v>0</v>
      </c>
      <c r="G269" s="1">
        <f t="shared" si="106"/>
        <v>412.7975077837184</v>
      </c>
      <c r="H269" s="3">
        <f t="shared" si="107"/>
        <v>1138.8871426742639</v>
      </c>
      <c r="I269" s="3">
        <f t="shared" si="108"/>
        <v>1287.6311152948256</v>
      </c>
      <c r="J269" s="1">
        <f>VLOOKUP((A269+Forudsætninger!$C$60),'Model tilvækst, slagteform, fe'!G:K,2,FALSE)*(1+Forudsætninger!$C$79)</f>
        <v>50.906057535144889</v>
      </c>
      <c r="K269" s="17">
        <f t="shared" si="104"/>
        <v>210.13893681602389</v>
      </c>
      <c r="L269" s="17">
        <f t="shared" si="117"/>
        <v>612.93208214527795</v>
      </c>
      <c r="M269" s="3">
        <f>((K269-(('Model tilvækst, slagteform, fe'!$H$9/100)*'Model tilvækst, slagteform, fe'!$B$9))*1000/(A269+Forudsætninger!$C$60))</f>
        <v>619.90860388109479</v>
      </c>
      <c r="N269" s="17">
        <f t="shared" si="118"/>
        <v>1518.9362595847151</v>
      </c>
      <c r="O269" s="19">
        <f>IF( A269&lt;Forudsætninger!$C$14,(G269/100)*Forudsætninger!$C$13,(Forudsætninger!$C$15/1000)*Forudsætninger!$C$13)</f>
        <v>2.6831838005941697</v>
      </c>
      <c r="P269" s="17" cm="1">
        <f t="array" ref="P269">INDEX('Model tilvækst, slagteform, fe'!$N$9:$N$375,MATCH(MIN(ABS('Model tilvækst, slagteform, fe'!$M$9:$M$375-'Vækstfunktion, hol'!G269)),ABS('Model tilvækst, slagteform, fe'!$M$9:$M$375-'Vækstfunktion, hol'!G269),0))*(1+Forudsætninger!$C$80)</f>
        <v>7.8337176044536676</v>
      </c>
      <c r="Q269" s="17">
        <f t="shared" si="119"/>
        <v>12.780726988601177</v>
      </c>
      <c r="R269" s="17">
        <f t="shared" si="120"/>
        <v>8.5324283704113508</v>
      </c>
      <c r="S269" s="17">
        <f t="shared" si="109"/>
        <v>4.4181130613089596</v>
      </c>
      <c r="T269" s="19">
        <f>(P269)*IF(N269&lt;Forudsætninger!$B$228,IF(N269&lt;Forudsætninger!$B$227,Forudsætninger!$B$225,Forudsætninger!$C$9),Forudsætninger!$C$11)+O269</f>
        <v>21.014082995015748</v>
      </c>
      <c r="U269" s="2">
        <f>Forudsætninger!$C$68+((K269-(Forudsætninger!$C$84)))*0.01</f>
        <v>3.7984422271488794</v>
      </c>
      <c r="V269" s="2">
        <f>U269+Forudsætninger!$C$69</f>
        <v>2.7984422271488794</v>
      </c>
      <c r="W269">
        <f t="shared" si="110"/>
        <v>1</v>
      </c>
      <c r="X269">
        <f>IF(A269+Forudsætninger!$C$60&gt;248,IF(A269+Forudsætninger!$C$60&lt;365,IF(K269&gt;180,IF(K269&lt;260,1,0),0),0),0)</f>
        <v>1</v>
      </c>
      <c r="Y269" s="22">
        <f>IF(X269=0,0,IF('Vækstfunktion, hol'!A269&lt;Forudsætninger!$C$66,Forudsætninger!$C$67+(('Vækstfunktion, hol'!A269-Forudsætninger!$C$66)/7)*Forudsætninger!$C$64,Forudsætninger!$C$67))</f>
        <v>0.95</v>
      </c>
      <c r="Z269" s="19">
        <f t="shared" si="121"/>
        <v>4483.7527381462232</v>
      </c>
      <c r="AA269" s="19">
        <f>Forudsætninger!$C$62+Forudsætninger!$C$16</f>
        <v>1350</v>
      </c>
      <c r="AB269" s="19">
        <f>IF(K269&gt;Forudsætninger!$C$26,IF(K269&gt;Forudsætninger!$C$27,IF(K269&gt;Forudsætninger!$C$28,Forudsætninger!$E$28,Forudsætninger!$E$27+Forudsætninger!$F$28*(K269-Forudsætninger!$C$27)),Forudsætninger!$E$26+Forudsætninger!$F$27*(K269-Forudsætninger!$C$26)),Forudsætninger!$E$26)+IF(K269&gt;Forudsætninger!$C$28,Forudsætninger!$G$28,IF(K269&gt;Forudsætninger!$C$27,Forudsætninger!$G$27+Forudsætninger!$H$28*(K269-Forudsætninger!$C$27),IF(K269&gt;Forudsætninger!$C$26,Forudsætninger!$G$26+Forudsætninger!$H$27*(K269-Forudsætninger!$C$26),Forudsætninger!$G$26)))*(U269-Forudsætninger!$H$26)</f>
        <v>35.301436735662115</v>
      </c>
      <c r="AC269" s="19">
        <f>IF(K269&gt;Forudsætninger!$C$31,IF(K269&gt;Forudsætninger!$C$32,IF(K269&gt;Forudsætninger!$C$33,Forudsætninger!$E$33,Forudsætninger!$E$32+Forudsætninger!$F$33*(K269-Forudsætninger!$C$32)),Forudsætninger!$E$31+Forudsætninger!$F$32*(K269-Forudsætninger!$C$31)),Forudsætninger!$E$31)+IF(K269&gt;Forudsætninger!$C$33,Forudsætninger!$G$33,IF(K269&gt;Forudsætninger!$C$32,Forudsætninger!$G$32+Forudsætninger!$H$33*(K269-Forudsætninger!$C$32),IF(K269&gt;Forudsætninger!$C$31,Forudsætninger!$G$31+Forudsætninger!$H$32*(K269-Forudsætninger!$C$31),Forudsætninger!$G$31)))*(V269-Forudsætninger!$H$31)</f>
        <v>28.197722378247835</v>
      </c>
      <c r="AD269" s="19">
        <f t="shared" si="111"/>
        <v>7343.5680345845767</v>
      </c>
      <c r="AE269" s="19">
        <f t="shared" si="112"/>
        <v>34.946251017791397</v>
      </c>
      <c r="AF269">
        <f>IF(G269&lt;=Forudsætninger!$C$97,Forudsætninger!$C$98,(IF(G269&lt;=Forudsætninger!$D$97,Forudsætninger!$D$98,IF(G269&lt;=Forudsætninger!$E$97,Forudsætninger!$E$98,IF(G269&lt;=Forudsætninger!$F$97,Forudsætninger!$F$98,IF(G269&lt;=Forudsætninger!$G$97,Forudsætninger!$G$98,IF(G269&lt;=Forudsætninger!$H$97,Forudsætninger!$H$98,IF(G269&lt;=Forudsætninger!$I$97,Forudsætninger!$I$98,Forudsætninger!$I$98))))))))</f>
        <v>4.4000000000000004</v>
      </c>
      <c r="AG269" s="1">
        <f t="shared" si="122"/>
        <v>4.4000000000000004</v>
      </c>
      <c r="AH269" s="1">
        <f t="shared" si="126"/>
        <v>849.99999999999682</v>
      </c>
      <c r="AI269" s="1">
        <f t="shared" si="113"/>
        <v>3.1835205992509246</v>
      </c>
      <c r="AJ269" s="20">
        <f>+(W269*Forudsætninger!$C$12)</f>
        <v>900</v>
      </c>
      <c r="AK269" s="20">
        <f>Forudsætninger!$C$17</f>
        <v>250</v>
      </c>
      <c r="AL269" s="20">
        <f>IF(A269&lt;92,Forudsætninger!$C$20,Forudsætninger!$C$21)</f>
        <v>1.0566762728146013</v>
      </c>
      <c r="AM269" s="20">
        <f t="shared" si="123"/>
        <v>550.63804769478986</v>
      </c>
      <c r="AN269" s="20">
        <f>IFERROR(AD269+AJ269-AA269-Z269-AK269-AM269-Forudsætninger!$C$75,-99999999)</f>
        <v>1426.7830561941682</v>
      </c>
      <c r="AO269" s="19">
        <f>IFERROR(AN269/(A269+Forudsætninger!$C$74),-99999999)</f>
        <v>5.3437567647721655</v>
      </c>
      <c r="AP269" s="19">
        <f>IFERROR(((365/(A269+Forudsætninger!$C$74))*AN269)/(AI269+Forudsætninger!$C$73),-9999999)</f>
        <v>592.21467131113559</v>
      </c>
      <c r="AQ269" s="18">
        <f t="shared" si="114"/>
        <v>267</v>
      </c>
      <c r="AR269" s="18">
        <f t="shared" si="124"/>
        <v>6634.390785841013</v>
      </c>
      <c r="AS269" s="52">
        <f t="shared" si="105"/>
        <v>10.1</v>
      </c>
      <c r="AT269" s="50">
        <f t="shared" si="127"/>
        <v>4.4242904623201866</v>
      </c>
      <c r="AU269" s="50">
        <f t="shared" si="128"/>
        <v>-3.4566402347824265E-3</v>
      </c>
      <c r="AV269" s="2">
        <f t="shared" si="129"/>
        <v>-1.20707558794129</v>
      </c>
      <c r="AW269" s="61">
        <f t="shared" si="125"/>
        <v>7.40607155014591</v>
      </c>
      <c r="BA269" s="16"/>
      <c r="BB269" s="2"/>
    </row>
    <row r="270" spans="1:59" x14ac:dyDescent="0.25">
      <c r="A270">
        <v>268</v>
      </c>
      <c r="B270" s="1">
        <f>ROUND((A270+Forudsætninger!$C$60)/30.4,1)</f>
        <v>10.1</v>
      </c>
      <c r="C270" s="1">
        <f>VLOOKUP((A270+Forudsætninger!$C$60),'Model tilvækst, slagteform, fe'!A:B,2,FALSE)</f>
        <v>445.08857488331256</v>
      </c>
      <c r="D270" s="3">
        <f t="shared" si="115"/>
        <v>1220.2869438303878</v>
      </c>
      <c r="E270" s="1">
        <f>(1+Forudsætninger!$C$78)*C270</f>
        <v>413.93237464148064</v>
      </c>
      <c r="F270" s="2">
        <f t="shared" si="116"/>
        <v>0</v>
      </c>
      <c r="G270" s="1">
        <f t="shared" si="106"/>
        <v>413.93237464148064</v>
      </c>
      <c r="H270" s="3">
        <f t="shared" si="107"/>
        <v>1134.8668577622334</v>
      </c>
      <c r="I270" s="3">
        <f t="shared" si="108"/>
        <v>1287.0610994085098</v>
      </c>
      <c r="J270" s="1">
        <f>VLOOKUP((A270+Forudsætninger!$C$60),'Model tilvækst, slagteform, fe'!G:K,2,FALSE)*(1+Forudsætninger!$C$79)</f>
        <v>50.914130101062973</v>
      </c>
      <c r="K270" s="17">
        <f t="shared" si="104"/>
        <v>210.75006775538284</v>
      </c>
      <c r="L270" s="17">
        <f t="shared" si="117"/>
        <v>611.1309393589579</v>
      </c>
      <c r="M270" s="3">
        <f>((K270-(('Model tilvækst, slagteform, fe'!$H$9/100)*'Model tilvækst, slagteform, fe'!$B$9))*1000/(A270+Forudsætninger!$C$60))</f>
        <v>619.88001213998018</v>
      </c>
      <c r="N270" s="17">
        <f t="shared" si="118"/>
        <v>1526.7815718446361</v>
      </c>
      <c r="O270" s="19">
        <f>IF( A270&lt;Forudsætninger!$C$14,(G270/100)*Forudsætninger!$C$13,(Forudsætninger!$C$15/1000)*Forudsætninger!$C$13)</f>
        <v>2.6905604351696244</v>
      </c>
      <c r="P270" s="17" cm="1">
        <f t="array" ref="P270">INDEX('Model tilvækst, slagteform, fe'!$N$9:$N$375,MATCH(MIN(ABS('Model tilvækst, slagteform, fe'!$M$9:$M$375-'Vækstfunktion, hol'!G270)),ABS('Model tilvækst, slagteform, fe'!$M$9:$M$375-'Vækstfunktion, hol'!G270),0))*(1+Forudsætninger!$C$80)</f>
        <v>7.8453122599209291</v>
      </c>
      <c r="Q270" s="17">
        <f t="shared" si="119"/>
        <v>12.837367173964751</v>
      </c>
      <c r="R270" s="17">
        <f t="shared" si="120"/>
        <v>8.5471564457512503</v>
      </c>
      <c r="S270" s="17">
        <f t="shared" si="109"/>
        <v>4.4263214591890891</v>
      </c>
      <c r="T270" s="19">
        <f>(P270)*IF(N270&lt;Forudsætninger!$B$228,IF(N270&lt;Forudsætninger!$B$227,Forudsætninger!$B$225,Forudsætninger!$C$9),Forudsætninger!$C$11)+O270</f>
        <v>21.048591123384597</v>
      </c>
      <c r="U270" s="2">
        <f>Forudsætninger!$C$68+((K270-(Forudsætninger!$C$84)))*0.01</f>
        <v>3.8045535365424685</v>
      </c>
      <c r="V270" s="2">
        <f>U270+Forudsætninger!$C$69</f>
        <v>2.8045535365424685</v>
      </c>
      <c r="W270">
        <f t="shared" si="110"/>
        <v>1</v>
      </c>
      <c r="X270">
        <f>IF(A270+Forudsætninger!$C$60&gt;248,IF(A270+Forudsætninger!$C$60&lt;365,IF(K270&gt;180,IF(K270&lt;260,1,0),0),0),0)</f>
        <v>1</v>
      </c>
      <c r="Y270" s="22">
        <f>IF(X270=0,0,IF('Vækstfunktion, hol'!A270&lt;Forudsætninger!$C$66,Forudsætninger!$C$67+(('Vækstfunktion, hol'!A270-Forudsætninger!$C$66)/7)*Forudsætninger!$C$64,Forudsætninger!$C$67))</f>
        <v>0.95</v>
      </c>
      <c r="Z270" s="19">
        <f t="shared" si="121"/>
        <v>4504.8013292696078</v>
      </c>
      <c r="AA270" s="19">
        <f>Forudsætninger!$C$62+Forudsætninger!$C$16</f>
        <v>1350</v>
      </c>
      <c r="AB270" s="19">
        <f>IF(K270&gt;Forudsætninger!$C$26,IF(K270&gt;Forudsætninger!$C$27,IF(K270&gt;Forudsætninger!$C$28,Forudsætninger!$E$28,Forudsætninger!$E$27+Forudsætninger!$F$28*(K270-Forudsætninger!$C$27)),Forudsætninger!$E$26+Forudsætninger!$F$27*(K270-Forudsætninger!$C$26)),Forudsætninger!$E$26)+IF(K270&gt;Forudsætninger!$C$28,Forudsætninger!$G$28,IF(K270&gt;Forudsætninger!$C$27,Forudsætninger!$G$27+Forudsætninger!$H$28*(K270-Forudsætninger!$C$27),IF(K270&gt;Forudsætninger!$C$26,Forudsætninger!$G$26+Forudsætninger!$H$27*(K270-Forudsætninger!$C$26),Forudsætninger!$G$26)))*(U270-Forudsætninger!$H$26)</f>
        <v>35.317478922820285</v>
      </c>
      <c r="AC270" s="19">
        <f>IF(K270&gt;Forudsætninger!$C$31,IF(K270&gt;Forudsætninger!$C$32,IF(K270&gt;Forudsætninger!$C$33,Forudsætninger!$E$33,Forudsætninger!$E$32+Forudsætninger!$F$33*(K270-Forudsætninger!$C$32)),Forudsætninger!$E$31+Forudsætninger!$F$32*(K270-Forudsætninger!$C$31)),Forudsætninger!$E$31)+IF(K270&gt;Forudsætninger!$C$33,Forudsætninger!$G$33,IF(K270&gt;Forudsætninger!$C$32,Forudsætninger!$G$32+Forudsætninger!$H$33*(K270-Forudsætninger!$C$32),IF(K270&gt;Forudsætninger!$C$31,Forudsætninger!$G$31+Forudsætninger!$H$32*(K270-Forudsætninger!$C$31),Forudsætninger!$G$31)))*(V270-Forudsætninger!$H$31)</f>
        <v>28.215049599053646</v>
      </c>
      <c r="AD270" s="19">
        <f t="shared" si="111"/>
        <v>7368.3192028730991</v>
      </c>
      <c r="AE270" s="19">
        <f t="shared" si="112"/>
        <v>34.962357456631956</v>
      </c>
      <c r="AF270">
        <f>IF(G270&lt;=Forudsætninger!$C$97,Forudsætninger!$C$98,(IF(G270&lt;=Forudsætninger!$D$97,Forudsætninger!$D$98,IF(G270&lt;=Forudsætninger!$E$97,Forudsætninger!$E$98,IF(G270&lt;=Forudsætninger!$F$97,Forudsætninger!$F$98,IF(G270&lt;=Forudsætninger!$G$97,Forudsætninger!$G$98,IF(G270&lt;=Forudsætninger!$H$97,Forudsætninger!$H$98,IF(G270&lt;=Forudsætninger!$I$97,Forudsætninger!$I$98,Forudsætninger!$I$98))))))))</f>
        <v>4.4000000000000004</v>
      </c>
      <c r="AG270" s="1">
        <f t="shared" si="122"/>
        <v>4.4000000000000004</v>
      </c>
      <c r="AH270" s="1">
        <f t="shared" si="126"/>
        <v>854.39999999999679</v>
      </c>
      <c r="AI270" s="1">
        <f t="shared" si="113"/>
        <v>3.1880597014925254</v>
      </c>
      <c r="AJ270" s="20">
        <f>+(W270*Forudsætninger!$C$12)</f>
        <v>900</v>
      </c>
      <c r="AK270" s="20">
        <f>Forudsætninger!$C$17</f>
        <v>250</v>
      </c>
      <c r="AL270" s="20">
        <f>IF(A270&lt;92,Forudsætninger!$C$20,Forudsætninger!$C$21)</f>
        <v>1.0566762728146013</v>
      </c>
      <c r="AM270" s="20">
        <f t="shared" si="123"/>
        <v>551.69472396760443</v>
      </c>
      <c r="AN270" s="20">
        <f>IFERROR(AD270+AJ270-AA270-Z270-AK270-AM270-Forudsætninger!$C$75,-99999999)</f>
        <v>1429.4289570864923</v>
      </c>
      <c r="AO270" s="19">
        <f>IFERROR(AN270/(A270+Forudsætninger!$C$74),-99999999)</f>
        <v>5.3336901383824342</v>
      </c>
      <c r="AP270" s="19">
        <f>IFERROR(((365/(A270+Forudsætninger!$C$74))*AN270)/(AI270+Forudsætninger!$C$73),-9999999)</f>
        <v>590.28552443382762</v>
      </c>
      <c r="AQ270" s="18">
        <f t="shared" si="114"/>
        <v>268</v>
      </c>
      <c r="AR270" s="18">
        <f t="shared" si="124"/>
        <v>6656.4960532372124</v>
      </c>
      <c r="AS270" s="52">
        <f t="shared" si="105"/>
        <v>10.1</v>
      </c>
      <c r="AT270" s="50">
        <f t="shared" si="127"/>
        <v>2.6459008923241072</v>
      </c>
      <c r="AU270" s="50">
        <f t="shared" si="128"/>
        <v>-1.0066626389731326E-2</v>
      </c>
      <c r="AV270" s="2">
        <f t="shared" si="129"/>
        <v>-1.9291468773079714</v>
      </c>
      <c r="AW270" s="61">
        <f t="shared" si="125"/>
        <v>7.3922525412466298</v>
      </c>
      <c r="BA270" s="16"/>
      <c r="BB270" s="2"/>
    </row>
    <row r="271" spans="1:59" x14ac:dyDescent="0.25">
      <c r="A271">
        <v>269</v>
      </c>
      <c r="B271" s="1">
        <f>ROUND((A271+Forudsætninger!$C$60)/30.4,1)</f>
        <v>10.1</v>
      </c>
      <c r="C271" s="1">
        <f>VLOOKUP((A271+Forudsætninger!$C$60),'Model tilvækst, slagteform, fe'!A:B,2,FALSE)</f>
        <v>446.30454280467154</v>
      </c>
      <c r="D271" s="3">
        <f t="shared" si="115"/>
        <v>1215.9679213589811</v>
      </c>
      <c r="E271" s="1">
        <f>(1+Forudsætninger!$C$78)*C271</f>
        <v>415.0632248083445</v>
      </c>
      <c r="F271" s="2">
        <f t="shared" si="116"/>
        <v>0</v>
      </c>
      <c r="G271" s="1">
        <f t="shared" si="106"/>
        <v>415.0632248083445</v>
      </c>
      <c r="H271" s="3">
        <f t="shared" si="107"/>
        <v>1130.8501668638655</v>
      </c>
      <c r="I271" s="3">
        <f t="shared" si="108"/>
        <v>1286.4803896220985</v>
      </c>
      <c r="J271" s="1">
        <f>VLOOKUP((A271+Forudsætninger!$C$60),'Model tilvækst, slagteform, fe'!G:K,2,FALSE)*(1+Forudsætninger!$C$79)</f>
        <v>50.922217447241366</v>
      </c>
      <c r="K271" s="17">
        <f t="shared" si="104"/>
        <v>211.35939788043748</v>
      </c>
      <c r="L271" s="17">
        <f t="shared" si="117"/>
        <v>609.33012505464035</v>
      </c>
      <c r="M271" s="3">
        <f>((K271-(('Model tilvækst, slagteform, fe'!$H$9/100)*'Model tilvækst, slagteform, fe'!$B$9))*1000/(A271+Forudsætninger!$C$60))</f>
        <v>619.84575925983313</v>
      </c>
      <c r="N271" s="17">
        <f t="shared" si="118"/>
        <v>1534.6385631815829</v>
      </c>
      <c r="O271" s="19">
        <f>IF( A271&lt;Forudsætninger!$C$14,(G271/100)*Forudsætninger!$C$13,(Forudsætninger!$C$15/1000)*Forudsætninger!$C$13)</f>
        <v>2.6979109612542396</v>
      </c>
      <c r="P271" s="17" cm="1">
        <f t="array" ref="P271">INDEX('Model tilvækst, slagteform, fe'!$N$9:$N$375,MATCH(MIN(ABS('Model tilvækst, slagteform, fe'!$M$9:$M$375-'Vækstfunktion, hol'!G271)),ABS('Model tilvækst, slagteform, fe'!$M$9:$M$375-'Vækstfunktion, hol'!G271),0))*(1+Forudsætninger!$C$80)</f>
        <v>7.8569913369467219</v>
      </c>
      <c r="Q271" s="17">
        <f t="shared" si="119"/>
        <v>12.894473806365907</v>
      </c>
      <c r="R271" s="17">
        <f t="shared" si="120"/>
        <v>8.5619352680906822</v>
      </c>
      <c r="S271" s="17">
        <f t="shared" si="109"/>
        <v>4.4345612395870466</v>
      </c>
      <c r="T271" s="19">
        <f>(P271)*IF(N271&lt;Forudsætninger!$B$228,IF(N271&lt;Forudsætninger!$B$227,Forudsætninger!$B$225,Forudsætninger!$C$9),Forudsætninger!$C$11)+O271</f>
        <v>21.083270689709568</v>
      </c>
      <c r="U271" s="2">
        <f>Forudsætninger!$C$68+((K271-(Forudsætninger!$C$84)))*0.01</f>
        <v>3.8106468377930152</v>
      </c>
      <c r="V271" s="2">
        <f>U271+Forudsætninger!$C$69</f>
        <v>2.8106468377930152</v>
      </c>
      <c r="W271">
        <f t="shared" si="110"/>
        <v>1</v>
      </c>
      <c r="X271">
        <f>IF(A271+Forudsætninger!$C$60&gt;248,IF(A271+Forudsætninger!$C$60&lt;365,IF(K271&gt;180,IF(K271&lt;260,1,0),0),0),0)</f>
        <v>1</v>
      </c>
      <c r="Y271" s="22">
        <f>IF(X271=0,0,IF('Vækstfunktion, hol'!A271&lt;Forudsætninger!$C$66,Forudsætninger!$C$67+(('Vækstfunktion, hol'!A271-Forudsætninger!$C$66)/7)*Forudsætninger!$C$64,Forudsætninger!$C$67))</f>
        <v>0.95</v>
      </c>
      <c r="Z271" s="19">
        <f t="shared" si="121"/>
        <v>4525.8845999593177</v>
      </c>
      <c r="AA271" s="19">
        <f>Forudsætninger!$C$62+Forudsætninger!$C$16</f>
        <v>1350</v>
      </c>
      <c r="AB271" s="19">
        <f>IF(K271&gt;Forudsætninger!$C$26,IF(K271&gt;Forudsætninger!$C$27,IF(K271&gt;Forudsætninger!$C$28,Forudsætninger!$E$28,Forudsætninger!$E$27+Forudsætninger!$F$28*(K271-Forudsætninger!$C$27)),Forudsætninger!$E$26+Forudsætninger!$F$27*(K271-Forudsætninger!$C$26)),Forudsætninger!$E$26)+IF(K271&gt;Forudsætninger!$C$28,Forudsætninger!$G$28,IF(K271&gt;Forudsætninger!$C$27,Forudsætninger!$G$27+Forudsætninger!$H$28*(K271-Forudsætninger!$C$27),IF(K271&gt;Forudsætninger!$C$26,Forudsætninger!$G$26+Forudsætninger!$H$27*(K271-Forudsætninger!$C$26),Forudsætninger!$G$26)))*(U271-Forudsætninger!$H$26)</f>
        <v>35.333473838602963</v>
      </c>
      <c r="AC271" s="19">
        <f>IF(K271&gt;Forudsætninger!$C$31,IF(K271&gt;Forudsætninger!$C$32,IF(K271&gt;Forudsætninger!$C$33,Forudsætninger!$E$33,Forudsætninger!$E$32+Forudsætninger!$F$33*(K271-Forudsætninger!$C$32)),Forudsætninger!$E$31+Forudsætninger!$F$32*(K271-Forudsætninger!$C$31)),Forudsætninger!$E$31)+IF(K271&gt;Forudsætninger!$C$33,Forudsætninger!$G$33,IF(K271&gt;Forudsætninger!$C$32,Forudsætninger!$G$32+Forudsætninger!$H$33*(K271-Forudsætninger!$C$32),IF(K271&gt;Forudsætninger!$C$31,Forudsætninger!$G$31+Forudsætninger!$H$32*(K271-Forudsætninger!$C$31),Forudsætninger!$G$31)))*(V271-Forudsætninger!$H$31)</f>
        <v>28.232297874497839</v>
      </c>
      <c r="AD271" s="19">
        <f t="shared" si="111"/>
        <v>7393.0167417504972</v>
      </c>
      <c r="AE271" s="19">
        <f t="shared" si="112"/>
        <v>34.978415040397707</v>
      </c>
      <c r="AF271">
        <f>IF(G271&lt;=Forudsætninger!$C$97,Forudsætninger!$C$98,(IF(G271&lt;=Forudsætninger!$D$97,Forudsætninger!$D$98,IF(G271&lt;=Forudsætninger!$E$97,Forudsætninger!$E$98,IF(G271&lt;=Forudsætninger!$F$97,Forudsætninger!$F$98,IF(G271&lt;=Forudsætninger!$G$97,Forudsætninger!$G$98,IF(G271&lt;=Forudsætninger!$H$97,Forudsætninger!$H$98,IF(G271&lt;=Forudsætninger!$I$97,Forudsætninger!$I$98,Forudsætninger!$I$98))))))))</f>
        <v>4.4000000000000004</v>
      </c>
      <c r="AG271" s="1">
        <f t="shared" si="122"/>
        <v>4.4000000000000004</v>
      </c>
      <c r="AH271" s="1">
        <f t="shared" si="126"/>
        <v>858.79999999999677</v>
      </c>
      <c r="AI271" s="1">
        <f t="shared" si="113"/>
        <v>3.1925650557620697</v>
      </c>
      <c r="AJ271" s="20">
        <f>+(W271*Forudsætninger!$C$12)</f>
        <v>900</v>
      </c>
      <c r="AK271" s="20">
        <f>Forudsætninger!$C$17</f>
        <v>250</v>
      </c>
      <c r="AL271" s="20">
        <f>IF(A271&lt;92,Forudsætninger!$C$20,Forudsætninger!$C$21)</f>
        <v>1.0566762728146013</v>
      </c>
      <c r="AM271" s="20">
        <f t="shared" si="123"/>
        <v>552.751400240419</v>
      </c>
      <c r="AN271" s="20">
        <f>IFERROR(AD271+AJ271-AA271-Z271-AK271-AM271-Forudsætninger!$C$75,-99999999)</f>
        <v>1431.9865490013649</v>
      </c>
      <c r="AO271" s="19">
        <f>IFERROR(AN271/(A271+Forudsætninger!$C$74),-99999999)</f>
        <v>5.3233700706370444</v>
      </c>
      <c r="AP271" s="19">
        <f>IFERROR(((365/(A271+Forudsætninger!$C$74))*AN271)/(AI271+Forudsætninger!$C$73),-9999999)</f>
        <v>588.33968233039559</v>
      </c>
      <c r="AQ271" s="18">
        <f t="shared" si="114"/>
        <v>269</v>
      </c>
      <c r="AR271" s="18">
        <f t="shared" si="124"/>
        <v>6678.6360001997364</v>
      </c>
      <c r="AS271" s="52">
        <f t="shared" si="105"/>
        <v>10.1</v>
      </c>
      <c r="AT271" s="50">
        <f t="shared" si="127"/>
        <v>2.5575919148725461</v>
      </c>
      <c r="AU271" s="50">
        <f t="shared" si="128"/>
        <v>-1.0320067745389849E-2</v>
      </c>
      <c r="AV271" s="2">
        <f t="shared" si="129"/>
        <v>-1.9458421034320281</v>
      </c>
      <c r="AW271" s="61">
        <f t="shared" si="125"/>
        <v>7.378207989746409</v>
      </c>
      <c r="BA271" s="16"/>
      <c r="BB271" s="2"/>
    </row>
    <row r="272" spans="1:59" s="7" customFormat="1" x14ac:dyDescent="0.25">
      <c r="A272" s="7">
        <v>270</v>
      </c>
      <c r="B272" s="1">
        <f>ROUND((A272+Forudsætninger!$C$60)/30.4,1)</f>
        <v>10.199999999999999</v>
      </c>
      <c r="C272" s="1">
        <f>VLOOKUP((A272+Forudsætninger!$C$60),'Model tilvækst, slagteform, fe'!A:B,2,FALSE)</f>
        <v>447.51619610243716</v>
      </c>
      <c r="D272" s="28">
        <f t="shared" si="115"/>
        <v>1211.653297765622</v>
      </c>
      <c r="E272" s="1">
        <f>(1+Forudsætninger!$C$78)*C272</f>
        <v>416.19006237526651</v>
      </c>
      <c r="F272" s="2">
        <f t="shared" si="116"/>
        <v>0</v>
      </c>
      <c r="G272" s="1">
        <f t="shared" si="106"/>
        <v>416.19006237526651</v>
      </c>
      <c r="H272" s="28">
        <f t="shared" si="107"/>
        <v>1126.8375669220063</v>
      </c>
      <c r="I272" s="3">
        <f t="shared" si="108"/>
        <v>1285.8891199083944</v>
      </c>
      <c r="J272" s="1">
        <f>VLOOKUP((A272+Forudsætninger!$C$60),'Model tilvækst, slagteform, fe'!G:K,2,FALSE)*(1+Forudsætninger!$C$79)</f>
        <v>50.93031932316719</v>
      </c>
      <c r="K272" s="17">
        <f t="shared" si="104"/>
        <v>211.96692775901195</v>
      </c>
      <c r="L272" s="17">
        <f t="shared" si="117"/>
        <v>607.52987857446783</v>
      </c>
      <c r="M272" s="3">
        <f>((K272-(('Model tilvækst, slagteform, fe'!$H$9/100)*'Model tilvækst, slagteform, fe'!$B$9))*1000/(A272+Forudsætninger!$C$60))</f>
        <v>619.80590204078658</v>
      </c>
      <c r="N272" s="29">
        <f>N271+P272</f>
        <v>1542.5073163617892</v>
      </c>
      <c r="O272" s="19">
        <f>IF( A272&lt;Forudsætninger!$C$14,(G272/100)*Forudsætninger!$C$13,(Forudsætninger!$C$15/1000)*Forudsætninger!$C$13)</f>
        <v>2.705235405439232</v>
      </c>
      <c r="P272" s="17" cm="1">
        <f t="array" ref="P272">INDEX('Model tilvækst, slagteform, fe'!$N$9:$N$375,MATCH(MIN(ABS('Model tilvækst, slagteform, fe'!$M$9:$M$375-'Vækstfunktion, hol'!G272)),ABS('Model tilvækst, slagteform, fe'!$M$9:$M$375-'Vækstfunktion, hol'!G272),0))*(1+Forudsætninger!$C$80)</f>
        <v>7.8687531802063697</v>
      </c>
      <c r="Q272" s="17">
        <f t="shared" si="119"/>
        <v>12.952043113780549</v>
      </c>
      <c r="R272" s="17">
        <f t="shared" si="120"/>
        <v>8.5767651986966094</v>
      </c>
      <c r="S272" s="17">
        <f t="shared" si="109"/>
        <v>4.4428325678703988</v>
      </c>
      <c r="T272" s="30">
        <f>(P272)*IF(N272&lt;Forudsætninger!$B$228,IF(N272&lt;Forudsætninger!$B$227,Forudsætninger!$B$225,Forudsætninger!$C$9),Forudsætninger!$C$11)+O272</f>
        <v>21.118117847122136</v>
      </c>
      <c r="U272" s="2">
        <f>Forudsætninger!$C$68+((K272-(Forudsætninger!$C$84)))*0.01</f>
        <v>3.8167221365787598</v>
      </c>
      <c r="V272" s="2">
        <f>U272+Forudsætninger!$C$69</f>
        <v>2.8167221365787598</v>
      </c>
      <c r="W272" s="7">
        <f t="shared" si="110"/>
        <v>1</v>
      </c>
      <c r="X272" s="7">
        <f>IF(A272+Forudsætninger!$C$60&gt;248,IF(A272+Forudsætninger!$C$60&lt;365,IF(K272&gt;180,IF(K272&lt;260,1,0),0),0),0)</f>
        <v>1</v>
      </c>
      <c r="Y272" s="22">
        <f>IF(X272=0,0,IF('Vækstfunktion, hol'!A272&lt;Forudsætninger!$C$66,Forudsætninger!$C$67+(('Vækstfunktion, hol'!A272-Forudsætninger!$C$66)/7)*Forudsætninger!$C$64,Forudsætninger!$C$67))</f>
        <v>0.95</v>
      </c>
      <c r="Z272" s="30">
        <f t="shared" si="121"/>
        <v>4547.0027178064402</v>
      </c>
      <c r="AA272" s="19">
        <f>Forudsætninger!$C$62+Forudsætninger!$C$16</f>
        <v>1350</v>
      </c>
      <c r="AB272" s="19">
        <f>IF(K272&gt;Forudsætninger!$C$26,IF(K272&gt;Forudsætninger!$C$27,IF(K272&gt;Forudsætninger!$C$28,Forudsætninger!$E$28,Forudsætninger!$E$27+Forudsætninger!$F$28*(K272-Forudsætninger!$C$27)),Forudsætninger!$E$26+Forudsætninger!$F$27*(K272-Forudsætninger!$C$26)),Forudsætninger!$E$26)+IF(K272&gt;Forudsætninger!$C$28,Forudsætninger!$G$28,IF(K272&gt;Forudsætninger!$C$27,Forudsætninger!$G$27+Forudsætninger!$H$28*(K272-Forudsætninger!$C$27),IF(K272&gt;Forudsætninger!$C$26,Forudsætninger!$G$26+Forudsætninger!$H$27*(K272-Forudsætninger!$C$26),Forudsætninger!$G$26)))*(U272-Forudsætninger!$H$26)</f>
        <v>35.34942149791555</v>
      </c>
      <c r="AC272" s="19">
        <f>IF(K272&gt;Forudsætninger!$C$31,IF(K272&gt;Forudsætninger!$C$32,IF(K272&gt;Forudsætninger!$C$33,Forudsætninger!$E$33,Forudsætninger!$E$32+Forudsætninger!$F$33*(K272-Forudsætninger!$C$32)),Forudsætninger!$E$31+Forudsætninger!$F$32*(K272-Forudsætninger!$C$31)),Forudsætninger!$E$31)+IF(K272&gt;Forudsætninger!$C$33,Forudsætninger!$G$33,IF(K272&gt;Forudsætninger!$C$32,Forudsætninger!$G$32+Forudsætninger!$H$33*(K272-Forudsætninger!$C$32),IF(K272&gt;Forudsætninger!$C$31,Forudsætninger!$G$31+Forudsætninger!$H$32*(K272-Forudsætninger!$C$31),Forudsætninger!$G$31)))*(V272-Forudsætninger!$H$31)</f>
        <v>28.249467467505273</v>
      </c>
      <c r="AD272" s="30">
        <f t="shared" si="111"/>
        <v>7417.6605008187144</v>
      </c>
      <c r="AE272" s="30">
        <f t="shared" si="112"/>
        <v>34.994423796395033</v>
      </c>
      <c r="AF272" s="7">
        <f>IF(G272&lt;=Forudsætninger!$C$97,Forudsætninger!$C$98,(IF(G272&lt;=Forudsætninger!$D$97,Forudsætninger!$D$98,IF(G272&lt;=Forudsætninger!$E$97,Forudsætninger!$E$98,IF(G272&lt;=Forudsætninger!$F$97,Forudsætninger!$F$98,IF(G272&lt;=Forudsætninger!$G$97,Forudsætninger!$G$98,IF(G272&lt;=Forudsætninger!$H$97,Forudsætninger!$H$98,IF(G272&lt;=Forudsætninger!$I$97,Forudsætninger!$I$98,Forudsætninger!$I$98))))))))</f>
        <v>4.4000000000000004</v>
      </c>
      <c r="AG272" s="21">
        <f t="shared" si="122"/>
        <v>4.4000000000000004</v>
      </c>
      <c r="AH272" s="21">
        <f t="shared" si="126"/>
        <v>863.19999999999675</v>
      </c>
      <c r="AI272" s="21">
        <f t="shared" si="113"/>
        <v>3.1970370370370249</v>
      </c>
      <c r="AJ272" s="28">
        <f>+(W272*Forudsætninger!$C$12)</f>
        <v>900</v>
      </c>
      <c r="AK272" s="28">
        <f>Forudsætninger!$C$17</f>
        <v>250</v>
      </c>
      <c r="AL272" s="20">
        <f>IF(A272&lt;92,Forudsætninger!$C$20,Forudsætninger!$C$21)</f>
        <v>1.0566762728146013</v>
      </c>
      <c r="AM272" s="28">
        <f t="shared" si="123"/>
        <v>553.80807651323357</v>
      </c>
      <c r="AN272" s="20">
        <f>IFERROR(AD272+AJ272-AA272-Z272-AK272-AM272-Forudsætninger!$C$75,-99999999)</f>
        <v>1434.455513949646</v>
      </c>
      <c r="AO272" s="19">
        <f>IFERROR(AN272/(A272+Forudsætninger!$C$74),-99999999)</f>
        <v>5.3127981998135043</v>
      </c>
      <c r="AP272" s="19">
        <f>IFERROR(((365/(A272+Forudsætninger!$C$74))*AN272)/(AI272+Forudsætninger!$C$73),-9999999)</f>
        <v>586.37726799375378</v>
      </c>
      <c r="AQ272" s="28">
        <f t="shared" si="114"/>
        <v>270</v>
      </c>
      <c r="AR272" s="18">
        <f t="shared" si="124"/>
        <v>6700.8107943196737</v>
      </c>
      <c r="AS272" s="52">
        <f t="shared" si="105"/>
        <v>10.199999999999999</v>
      </c>
      <c r="AT272" s="50">
        <f t="shared" si="127"/>
        <v>2.4689649482811546</v>
      </c>
      <c r="AU272" s="50">
        <f t="shared" si="128"/>
        <v>-1.0571870823540053E-2</v>
      </c>
      <c r="AV272" s="2">
        <f t="shared" si="129"/>
        <v>-1.9624143366418139</v>
      </c>
      <c r="AW272" s="61">
        <f t="shared" si="125"/>
        <v>7.3639392239365913</v>
      </c>
      <c r="AX272" s="33"/>
      <c r="AY272" s="28"/>
      <c r="BA272" s="32"/>
      <c r="BB272" s="30"/>
      <c r="BC272" s="28"/>
      <c r="BD272" s="33"/>
      <c r="BE272" s="30"/>
      <c r="BF272" s="30"/>
      <c r="BG272" s="30"/>
    </row>
    <row r="273" spans="1:59" x14ac:dyDescent="0.25">
      <c r="A273">
        <v>271</v>
      </c>
      <c r="B273" s="1">
        <f>ROUND((A273+Forudsætninger!$C$60)/30.4,1)</f>
        <v>10.199999999999999</v>
      </c>
      <c r="C273" s="1">
        <f>VLOOKUP((A273+Forudsætninger!$C$60),'Model tilvækst, slagteform, fe'!A:B,2,FALSE)</f>
        <v>448.72353970983477</v>
      </c>
      <c r="D273" s="3">
        <f t="shared" si="115"/>
        <v>1207.343607397604</v>
      </c>
      <c r="E273" s="1">
        <f>(1+Forudsætninger!$C$78)*C273</f>
        <v>417.31289193014629</v>
      </c>
      <c r="F273" s="2">
        <f t="shared" si="116"/>
        <v>0</v>
      </c>
      <c r="G273" s="1">
        <f t="shared" si="106"/>
        <v>417.31289193014629</v>
      </c>
      <c r="H273" s="3">
        <f t="shared" si="107"/>
        <v>1122.829554879786</v>
      </c>
      <c r="I273" s="3">
        <f t="shared" si="108"/>
        <v>1285.2874240964809</v>
      </c>
      <c r="J273" s="1">
        <f>VLOOKUP((A273+Forudsætninger!$C$60),'Model tilvækst, slagteform, fe'!G:K,2,FALSE)*(1+Forudsætninger!$C$79)</f>
        <v>50.938435478327534</v>
      </c>
      <c r="K273" s="17">
        <f t="shared" si="104"/>
        <v>212.57265819858029</v>
      </c>
      <c r="L273" s="17">
        <f t="shared" si="117"/>
        <v>605.73043956833317</v>
      </c>
      <c r="M273" s="3">
        <f>((K273-(('Model tilvækst, slagteform, fe'!$H$9/100)*'Model tilvækst, slagteform, fe'!$B$9))*1000/(A273+Forudsætninger!$C$60))</f>
        <v>619.76049732313345</v>
      </c>
      <c r="N273" s="17">
        <f t="shared" si="118"/>
        <v>1550.3879124961643</v>
      </c>
      <c r="O273" s="19">
        <f>IF( A273&lt;Forudsætninger!$C$14,(G273/100)*Forudsætninger!$C$13,(Forudsætninger!$C$15/1000)*Forudsætninger!$C$13)</f>
        <v>2.7125337975459507</v>
      </c>
      <c r="P273" s="17" cm="1">
        <f t="array" ref="P273">INDEX('Model tilvækst, slagteform, fe'!$N$9:$N$375,MATCH(MIN(ABS('Model tilvækst, slagteform, fe'!$M$9:$M$375-'Vækstfunktion, hol'!G273)),ABS('Model tilvækst, slagteform, fe'!$M$9:$M$375-'Vækstfunktion, hol'!G273),0))*(1+Forudsætninger!$C$80)</f>
        <v>7.8805961343751942</v>
      </c>
      <c r="Q273" s="17">
        <f t="shared" si="119"/>
        <v>13.010071179502239</v>
      </c>
      <c r="R273" s="17">
        <f t="shared" si="120"/>
        <v>8.5916465762533001</v>
      </c>
      <c r="S273" s="17">
        <f t="shared" si="109"/>
        <v>4.4511355979528107</v>
      </c>
      <c r="T273" s="19">
        <f>(P273)*IF(N273&lt;Forudsætninger!$B$228,IF(N273&lt;Forudsætninger!$B$227,Forudsætninger!$B$225,Forudsætninger!$C$9),Forudsætninger!$C$11)+O273</f>
        <v>21.153128751983903</v>
      </c>
      <c r="U273" s="2">
        <f>Forudsætninger!$C$68+((K273-(Forudsætninger!$C$84)))*0.01</f>
        <v>3.8227794409744433</v>
      </c>
      <c r="V273" s="2">
        <f>U273+Forudsætninger!$C$69</f>
        <v>2.8227794409744433</v>
      </c>
      <c r="W273">
        <f t="shared" si="110"/>
        <v>1</v>
      </c>
      <c r="X273">
        <f>IF(A273+Forudsætninger!$C$60&gt;248,IF(A273+Forudsætninger!$C$60&lt;365,IF(K273&gt;180,IF(K273&lt;260,1,0),0),0),0)</f>
        <v>1</v>
      </c>
      <c r="Y273" s="22">
        <f>IF(X273=0,0,IF('Vækstfunktion, hol'!A273&lt;Forudsætninger!$C$66,Forudsætninger!$C$67+(('Vækstfunktion, hol'!A273-Forudsætninger!$C$66)/7)*Forudsætninger!$C$64,Forudsætninger!$C$67))</f>
        <v>0.95</v>
      </c>
      <c r="Z273" s="19">
        <f t="shared" si="121"/>
        <v>4568.1558465584239</v>
      </c>
      <c r="AA273" s="19">
        <f>Forudsætninger!$C$62+Forudsætninger!$C$16</f>
        <v>1350</v>
      </c>
      <c r="AB273" s="19">
        <f>IF(K273&gt;Forudsætninger!$C$26,IF(K273&gt;Forudsætninger!$C$27,IF(K273&gt;Forudsætninger!$C$28,Forudsætninger!$E$28,Forudsætninger!$E$27+Forudsætninger!$F$28*(K273-Forudsætninger!$C$27)),Forudsætninger!$E$26+Forudsætninger!$F$27*(K273-Forudsætninger!$C$26)),Forudsætninger!$E$26)+IF(K273&gt;Forudsætninger!$C$28,Forudsætninger!$G$28,IF(K273&gt;Forudsætninger!$C$27,Forudsætninger!$G$27+Forudsætninger!$H$28*(K273-Forudsætninger!$C$27),IF(K273&gt;Forudsætninger!$C$26,Forudsætninger!$G$26+Forudsætninger!$H$27*(K273-Forudsætninger!$C$26),Forudsætninger!$G$26)))*(U273-Forudsætninger!$H$26)</f>
        <v>35.365321921954212</v>
      </c>
      <c r="AC273" s="19">
        <f>IF(K273&gt;Forudsætninger!$C$31,IF(K273&gt;Forudsætninger!$C$32,IF(K273&gt;Forudsætninger!$C$33,Forudsætninger!$E$33,Forudsætninger!$E$32+Forudsætninger!$F$33*(K273-Forudsætninger!$C$32)),Forudsætninger!$E$31+Forudsætninger!$F$32*(K273-Forudsætninger!$C$31)),Forudsætninger!$E$31)+IF(K273&gt;Forudsætninger!$C$33,Forudsætninger!$G$33,IF(K273&gt;Forudsætninger!$C$32,Forudsætninger!$G$32+Forudsætninger!$H$33*(K273-Forudsætninger!$C$32),IF(K273&gt;Forudsætninger!$C$31,Forudsætninger!$G$31+Forudsætninger!$H$32*(K273-Forudsætninger!$C$31),Forudsætninger!$G$31)))*(V273-Forudsætninger!$H$31)</f>
        <v>28.266558646924441</v>
      </c>
      <c r="AD273" s="19">
        <f t="shared" si="111"/>
        <v>7442.2503400335536</v>
      </c>
      <c r="AE273" s="19">
        <f t="shared" si="112"/>
        <v>35.010383758202721</v>
      </c>
      <c r="AF273">
        <f>IF(G273&lt;=Forudsætninger!$C$97,Forudsætninger!$C$98,(IF(G273&lt;=Forudsætninger!$D$97,Forudsætninger!$D$98,IF(G273&lt;=Forudsætninger!$E$97,Forudsætninger!$E$98,IF(G273&lt;=Forudsætninger!$F$97,Forudsætninger!$F$98,IF(G273&lt;=Forudsætninger!$G$97,Forudsætninger!$G$98,IF(G273&lt;=Forudsætninger!$H$97,Forudsætninger!$H$98,IF(G273&lt;=Forudsætninger!$I$97,Forudsætninger!$I$98,Forudsætninger!$I$98))))))))</f>
        <v>4.4000000000000004</v>
      </c>
      <c r="AG273" s="1">
        <f t="shared" si="122"/>
        <v>4.4000000000000004</v>
      </c>
      <c r="AH273" s="1">
        <f t="shared" si="126"/>
        <v>867.59999999999673</v>
      </c>
      <c r="AI273" s="1">
        <f t="shared" si="113"/>
        <v>3.2014760147601353</v>
      </c>
      <c r="AJ273" s="20">
        <f>+(W273*Forudsætninger!$C$12)</f>
        <v>900</v>
      </c>
      <c r="AK273" s="20">
        <f>Forudsætninger!$C$17</f>
        <v>250</v>
      </c>
      <c r="AL273" s="20">
        <f>IF(A273&lt;92,Forudsætninger!$C$20,Forudsætninger!$C$21)</f>
        <v>1.0566762728146013</v>
      </c>
      <c r="AM273" s="20">
        <f t="shared" si="123"/>
        <v>554.86475278604814</v>
      </c>
      <c r="AN273" s="20">
        <f>IFERROR(AD273+AJ273-AA273-Z273-AK273-AM273-Forudsætninger!$C$75,-99999999)</f>
        <v>1436.835548139687</v>
      </c>
      <c r="AO273" s="19">
        <f>IFERROR(AN273/(A273+Forudsætninger!$C$74),-99999999)</f>
        <v>5.3019761923973689</v>
      </c>
      <c r="AP273" s="19">
        <f>IFERROR(((365/(A273+Forudsætninger!$C$74))*AN273)/(AI273+Forudsætninger!$C$73),-9999999)</f>
        <v>584.39840771886622</v>
      </c>
      <c r="AQ273" s="18">
        <f t="shared" si="114"/>
        <v>271</v>
      </c>
      <c r="AR273" s="18">
        <f t="shared" si="124"/>
        <v>6723.0205993444724</v>
      </c>
      <c r="AS273" s="52">
        <f t="shared" si="105"/>
        <v>10.199999999999999</v>
      </c>
      <c r="AT273" s="50">
        <f t="shared" si="127"/>
        <v>2.3800341900409876</v>
      </c>
      <c r="AU273" s="50">
        <f t="shared" si="128"/>
        <v>-1.0822007416135371E-2</v>
      </c>
      <c r="AV273" s="2">
        <f t="shared" si="129"/>
        <v>-1.9788602748875519</v>
      </c>
      <c r="AW273" s="61">
        <f t="shared" si="125"/>
        <v>7.3494476048920117</v>
      </c>
      <c r="BA273" s="16"/>
      <c r="BB273" s="2"/>
    </row>
    <row r="274" spans="1:59" x14ac:dyDescent="0.25">
      <c r="A274">
        <v>272</v>
      </c>
      <c r="B274" s="1">
        <f>ROUND((A274+Forudsætninger!$C$60)/30.4,1)</f>
        <v>10.199999999999999</v>
      </c>
      <c r="C274" s="1">
        <f>VLOOKUP((A274+Forudsætninger!$C$60),'Model tilvækst, slagteform, fe'!A:B,2,FALSE)</f>
        <v>449.92657909443767</v>
      </c>
      <c r="D274" s="3">
        <f t="shared" si="115"/>
        <v>1203.0393846029028</v>
      </c>
      <c r="E274" s="1">
        <f>(1+Forudsætninger!$C$78)*C274</f>
        <v>418.43171855782703</v>
      </c>
      <c r="F274" s="2">
        <f t="shared" si="116"/>
        <v>0</v>
      </c>
      <c r="G274" s="1">
        <f t="shared" si="106"/>
        <v>418.43171855782703</v>
      </c>
      <c r="H274" s="3">
        <f t="shared" si="107"/>
        <v>1118.8266276807326</v>
      </c>
      <c r="I274" s="3">
        <f t="shared" si="108"/>
        <v>1284.675435874364</v>
      </c>
      <c r="J274" s="1">
        <f>VLOOKUP((A274+Forudsætninger!$C$60),'Model tilvækst, slagteform, fe'!G:K,2,FALSE)*(1+Forudsætninger!$C$79)</f>
        <v>50.946565662209558</v>
      </c>
      <c r="K274" s="17">
        <f t="shared" si="104"/>
        <v>213.17659024657522</v>
      </c>
      <c r="L274" s="17">
        <f t="shared" si="117"/>
        <v>603.93204799493105</v>
      </c>
      <c r="M274" s="3">
        <f>((K274-(('Model tilvækst, slagteform, fe'!$H$9/100)*'Model tilvækst, slagteform, fe'!$B$9))*1000/(A274+Forudsætninger!$C$60))</f>
        <v>619.70960198767307</v>
      </c>
      <c r="N274" s="17">
        <f t="shared" si="118"/>
        <v>1558.2804310402928</v>
      </c>
      <c r="O274" s="19">
        <f>IF( A274&lt;Forudsætninger!$C$14,(G274/100)*Forudsætninger!$C$13,(Forudsætninger!$C$15/1000)*Forudsætninger!$C$13)</f>
        <v>2.7198061706258758</v>
      </c>
      <c r="P274" s="17" cm="1">
        <f t="array" ref="P274">INDEX('Model tilvækst, slagteform, fe'!$N$9:$N$375,MATCH(MIN(ABS('Model tilvækst, slagteform, fe'!$M$9:$M$375-'Vækstfunktion, hol'!G274)),ABS('Model tilvækst, slagteform, fe'!$M$9:$M$375-'Vækstfunktion, hol'!G274),0))*(1+Forudsætninger!$C$80)</f>
        <v>7.8925185441285173</v>
      </c>
      <c r="Q274" s="17">
        <f t="shared" si="119"/>
        <v>13.068553938033043</v>
      </c>
      <c r="R274" s="17">
        <f t="shared" si="120"/>
        <v>8.6065797171597449</v>
      </c>
      <c r="S274" s="17">
        <f t="shared" si="109"/>
        <v>4.4594704724334147</v>
      </c>
      <c r="T274" s="19">
        <f>(P274)*IF(N274&lt;Forudsætninger!$B$228,IF(N274&lt;Forudsætninger!$B$227,Forudsætninger!$B$225,Forudsætninger!$C$9),Forudsætninger!$C$11)+O274</f>
        <v>21.188299563886606</v>
      </c>
      <c r="U274" s="2">
        <f>Forudsætninger!$C$68+((K274-(Forudsætninger!$C$84)))*0.01</f>
        <v>3.8288187614543925</v>
      </c>
      <c r="V274" s="2">
        <f>U274+Forudsætninger!$C$69</f>
        <v>2.8288187614543925</v>
      </c>
      <c r="W274">
        <f t="shared" si="110"/>
        <v>1</v>
      </c>
      <c r="X274">
        <f>IF(A274+Forudsætninger!$C$60&gt;248,IF(A274+Forudsætninger!$C$60&lt;365,IF(K274&gt;180,IF(K274&lt;260,1,0),0),0),0)</f>
        <v>1</v>
      </c>
      <c r="Y274" s="22">
        <f>IF(X274=0,0,IF('Vækstfunktion, hol'!A274&lt;Forudsætninger!$C$66,Forudsætninger!$C$67+(('Vækstfunktion, hol'!A274-Forudsætninger!$C$66)/7)*Forudsætninger!$C$64,Forudsætninger!$C$67))</f>
        <v>0.95</v>
      </c>
      <c r="Z274" s="19">
        <f t="shared" si="121"/>
        <v>4589.3441461223101</v>
      </c>
      <c r="AA274" s="19">
        <f>Forudsætninger!$C$62+Forudsætninger!$C$16</f>
        <v>1350</v>
      </c>
      <c r="AB274" s="19">
        <f>IF(K274&gt;Forudsætninger!$C$26,IF(K274&gt;Forudsætninger!$C$27,IF(K274&gt;Forudsætninger!$C$28,Forudsætninger!$E$28,Forudsætninger!$E$27+Forudsætninger!$F$28*(K274-Forudsætninger!$C$27)),Forudsætninger!$E$26+Forudsætninger!$F$27*(K274-Forudsætninger!$C$26)),Forudsætninger!$E$26)+IF(K274&gt;Forudsætninger!$C$28,Forudsætninger!$G$28,IF(K274&gt;Forudsætninger!$C$27,Forudsætninger!$G$27+Forudsætninger!$H$28*(K274-Forudsætninger!$C$27),IF(K274&gt;Forudsætninger!$C$26,Forudsætninger!$G$26+Forudsætninger!$H$27*(K274-Forudsætninger!$C$26),Forudsætninger!$G$26)))*(U274-Forudsætninger!$H$26)</f>
        <v>35.381175138214083</v>
      </c>
      <c r="AC274" s="19">
        <f>IF(K274&gt;Forudsætninger!$C$31,IF(K274&gt;Forudsætninger!$C$32,IF(K274&gt;Forudsætninger!$C$33,Forudsætninger!$E$33,Forudsætninger!$E$32+Forudsætninger!$F$33*(K274-Forudsætninger!$C$32)),Forudsætninger!$E$31+Forudsætninger!$F$32*(K274-Forudsætninger!$C$31)),Forudsætninger!$E$31)+IF(K274&gt;Forudsætninger!$C$33,Forudsætninger!$G$33,IF(K274&gt;Forudsætninger!$C$32,Forudsætninger!$G$32+Forudsætninger!$H$33*(K274-Forudsætninger!$C$32),IF(K274&gt;Forudsætninger!$C$31,Forudsætninger!$G$31+Forudsætninger!$H$32*(K274-Forudsætninger!$C$31),Forudsætninger!$G$31)))*(V274-Forudsætninger!$H$31)</f>
        <v>28.283571687482652</v>
      </c>
      <c r="AD274" s="19">
        <f t="shared" si="111"/>
        <v>7466.7861297539157</v>
      </c>
      <c r="AE274" s="19">
        <f t="shared" si="112"/>
        <v>35.026294965677515</v>
      </c>
      <c r="AF274">
        <f>IF(G274&lt;=Forudsætninger!$C$97,Forudsætninger!$C$98,(IF(G274&lt;=Forudsætninger!$D$97,Forudsætninger!$D$98,IF(G274&lt;=Forudsætninger!$E$97,Forudsætninger!$E$98,IF(G274&lt;=Forudsætninger!$F$97,Forudsætninger!$F$98,IF(G274&lt;=Forudsætninger!$G$97,Forudsætninger!$G$98,IF(G274&lt;=Forudsætninger!$H$97,Forudsætninger!$H$98,IF(G274&lt;=Forudsætninger!$I$97,Forudsætninger!$I$98,Forudsætninger!$I$98))))))))</f>
        <v>4.4000000000000004</v>
      </c>
      <c r="AG274" s="1">
        <f t="shared" si="122"/>
        <v>4.4000000000000004</v>
      </c>
      <c r="AH274" s="1">
        <f t="shared" si="126"/>
        <v>871.9999999999967</v>
      </c>
      <c r="AI274" s="1">
        <f t="shared" si="113"/>
        <v>3.2058823529411642</v>
      </c>
      <c r="AJ274" s="20">
        <f>+(W274*Forudsætninger!$C$12)</f>
        <v>900</v>
      </c>
      <c r="AK274" s="20">
        <f>Forudsætninger!$C$17</f>
        <v>250</v>
      </c>
      <c r="AL274" s="20">
        <f>IF(A274&lt;92,Forudsætninger!$C$20,Forudsætninger!$C$21)</f>
        <v>1.0566762728146013</v>
      </c>
      <c r="AM274" s="20">
        <f t="shared" si="123"/>
        <v>555.92142905886271</v>
      </c>
      <c r="AN274" s="20">
        <f>IFERROR(AD274+AJ274-AA274-Z274-AK274-AM274-Forudsætninger!$C$75,-99999999)</f>
        <v>1439.1263620233492</v>
      </c>
      <c r="AO274" s="19">
        <f>IFERROR(AN274/(A274+Forudsætninger!$C$74),-99999999)</f>
        <v>5.2909057427329014</v>
      </c>
      <c r="AP274" s="19">
        <f>IFERROR(((365/(A274+Forudsætninger!$C$74))*AN274)/(AI274+Forudsætninger!$C$73),-9999999)</f>
        <v>582.40323103881099</v>
      </c>
      <c r="AQ274" s="18">
        <f t="shared" si="114"/>
        <v>272</v>
      </c>
      <c r="AR274" s="18">
        <f t="shared" si="124"/>
        <v>6745.2655751811726</v>
      </c>
      <c r="AS274" s="52">
        <f t="shared" si="105"/>
        <v>10.199999999999999</v>
      </c>
      <c r="AT274" s="50">
        <f t="shared" si="127"/>
        <v>2.2908138836621674</v>
      </c>
      <c r="AU274" s="50">
        <f t="shared" si="128"/>
        <v>-1.1070449664467574E-2</v>
      </c>
      <c r="AV274" s="2">
        <f t="shared" si="129"/>
        <v>-1.9951766800552377</v>
      </c>
      <c r="AW274" s="61">
        <f t="shared" si="125"/>
        <v>7.3347345260375434</v>
      </c>
      <c r="BA274" s="16"/>
      <c r="BB274" s="2"/>
    </row>
    <row r="275" spans="1:59" x14ac:dyDescent="0.25">
      <c r="A275">
        <v>273</v>
      </c>
      <c r="B275" s="1">
        <f>ROUND((A275+Forudsætninger!$C$60)/30.4,1)</f>
        <v>10.3</v>
      </c>
      <c r="C275" s="1">
        <f>VLOOKUP((A275+Forudsætninger!$C$60),'Model tilvækst, slagteform, fe'!A:B,2,FALSE)</f>
        <v>451.12532025816586</v>
      </c>
      <c r="D275" s="3">
        <f t="shared" si="115"/>
        <v>1198.7411637281866</v>
      </c>
      <c r="E275" s="1">
        <f>(1+Forudsætninger!$C$78)*C275</f>
        <v>419.54654784009421</v>
      </c>
      <c r="F275" s="2">
        <f t="shared" si="116"/>
        <v>0</v>
      </c>
      <c r="G275" s="1">
        <f t="shared" si="106"/>
        <v>419.54654784009421</v>
      </c>
      <c r="H275" s="3">
        <f t="shared" si="107"/>
        <v>1114.8292822671806</v>
      </c>
      <c r="I275" s="3">
        <f t="shared" si="108"/>
        <v>1284.0532887915538</v>
      </c>
      <c r="J275" s="1">
        <f>VLOOKUP((A275+Forudsætninger!$C$60),'Model tilvækst, slagteform, fe'!G:K,2,FALSE)*(1+Forudsætninger!$C$79)</f>
        <v>50.954709624300314</v>
      </c>
      <c r="K275" s="17">
        <f t="shared" si="104"/>
        <v>213.77872519069618</v>
      </c>
      <c r="L275" s="17">
        <f t="shared" si="117"/>
        <v>602.13494412096225</v>
      </c>
      <c r="M275" s="3">
        <f>((K275-(('Model tilvækst, slagteform, fe'!$H$9/100)*'Model tilvækst, slagteform, fe'!$B$9))*1000/(A275+Forudsætninger!$C$60))</f>
        <v>619.65327295604891</v>
      </c>
      <c r="N275" s="17">
        <f t="shared" si="118"/>
        <v>1566.1849497944345</v>
      </c>
      <c r="O275" s="19">
        <f>IF( A275&lt;Forudsætninger!$C$14,(G275/100)*Forudsætninger!$C$13,(Forudsætninger!$C$15/1000)*Forudsætninger!$C$13)</f>
        <v>2.7270525609606127</v>
      </c>
      <c r="P275" s="17" cm="1">
        <f t="array" ref="P275">INDEX('Model tilvækst, slagteform, fe'!$N$9:$N$375,MATCH(MIN(ABS('Model tilvækst, slagteform, fe'!$M$9:$M$375-'Vækstfunktion, hol'!G275)),ABS('Model tilvækst, slagteform, fe'!$M$9:$M$375-'Vækstfunktion, hol'!G275),0))*(1+Forudsætninger!$C$80)</f>
        <v>7.9045187541416642</v>
      </c>
      <c r="Q275" s="17">
        <f t="shared" si="119"/>
        <v>13.127487170971651</v>
      </c>
      <c r="R275" s="17">
        <f t="shared" si="120"/>
        <v>8.6215649158166592</v>
      </c>
      <c r="S275" s="17">
        <f t="shared" si="109"/>
        <v>4.4678373227308672</v>
      </c>
      <c r="T275" s="19">
        <f>(P275)*IF(N275&lt;Forudsætninger!$B$228,IF(N275&lt;Forudsætninger!$B$227,Forudsætninger!$B$225,Forudsætninger!$C$9),Forudsætninger!$C$11)+O275</f>
        <v>21.223626445652105</v>
      </c>
      <c r="U275" s="2">
        <f>Forudsætninger!$C$68+((K275-(Forudsætninger!$C$84)))*0.01</f>
        <v>3.8348401108956023</v>
      </c>
      <c r="V275" s="2">
        <f>U275+Forudsætninger!$C$69</f>
        <v>2.8348401108956023</v>
      </c>
      <c r="W275">
        <f t="shared" si="110"/>
        <v>1</v>
      </c>
      <c r="X275">
        <f>IF(A275+Forudsætninger!$C$60&gt;248,IF(A275+Forudsætninger!$C$60&lt;365,IF(K275&gt;180,IF(K275&lt;260,1,0),0),0),0)</f>
        <v>1</v>
      </c>
      <c r="Y275" s="22">
        <f>IF(X275=0,0,IF('Vækstfunktion, hol'!A275&lt;Forudsætninger!$C$66,Forudsætninger!$C$67+(('Vækstfunktion, hol'!A275-Forudsætninger!$C$66)/7)*Forudsætninger!$C$64,Forudsætninger!$C$67))</f>
        <v>0.95</v>
      </c>
      <c r="Z275" s="19">
        <f t="shared" si="121"/>
        <v>4610.5677725679625</v>
      </c>
      <c r="AA275" s="19">
        <f>Forudsætninger!$C$62+Forudsætninger!$C$16</f>
        <v>1350</v>
      </c>
      <c r="AB275" s="19">
        <f>IF(K275&gt;Forudsætninger!$C$26,IF(K275&gt;Forudsætninger!$C$27,IF(K275&gt;Forudsætninger!$C$28,Forudsætninger!$E$28,Forudsætninger!$E$27+Forudsætninger!$F$28*(K275-Forudsætninger!$C$27)),Forudsætninger!$E$26+Forudsætninger!$F$27*(K275-Forudsætninger!$C$26)),Forudsætninger!$E$26)+IF(K275&gt;Forudsætninger!$C$28,Forudsætninger!$G$28,IF(K275&gt;Forudsætninger!$C$27,Forudsætninger!$G$27+Forudsætninger!$H$28*(K275-Forudsætninger!$C$27),IF(K275&gt;Forudsætninger!$C$26,Forudsætninger!$G$26+Forudsætninger!$H$27*(K275-Forudsætninger!$C$26),Forudsætninger!$G$26)))*(U275-Forudsætninger!$H$26)</f>
        <v>35.396981180497257</v>
      </c>
      <c r="AC275" s="19">
        <f>IF(K275&gt;Forudsætninger!$C$31,IF(K275&gt;Forudsætninger!$C$32,IF(K275&gt;Forudsætninger!$C$33,Forudsætninger!$E$33,Forudsætninger!$E$32+Forudsætninger!$F$33*(K275-Forudsætninger!$C$32)),Forudsætninger!$E$31+Forudsætninger!$F$32*(K275-Forudsætninger!$C$31)),Forudsætninger!$E$31)+IF(K275&gt;Forudsætninger!$C$33,Forudsætninger!$G$33,IF(K275&gt;Forudsætninger!$C$32,Forudsætninger!$G$32+Forudsætninger!$H$33*(K275-Forudsætninger!$C$32),IF(K275&gt;Forudsætninger!$C$31,Forudsætninger!$G$31+Forudsætninger!$H$32*(K275-Forudsætninger!$C$31),Forudsætninger!$G$31)))*(V275-Forudsætninger!$H$31)</f>
        <v>28.300506869741586</v>
      </c>
      <c r="AD275" s="19">
        <f t="shared" si="111"/>
        <v>7491.2677507906737</v>
      </c>
      <c r="AE275" s="19">
        <f t="shared" si="112"/>
        <v>35.042157464959473</v>
      </c>
      <c r="AF275">
        <f>IF(G275&lt;=Forudsætninger!$C$97,Forudsætninger!$C$98,(IF(G275&lt;=Forudsætninger!$D$97,Forudsætninger!$D$98,IF(G275&lt;=Forudsætninger!$E$97,Forudsætninger!$E$98,IF(G275&lt;=Forudsætninger!$F$97,Forudsætninger!$F$98,IF(G275&lt;=Forudsætninger!$G$97,Forudsætninger!$G$98,IF(G275&lt;=Forudsætninger!$H$97,Forudsætninger!$H$98,IF(G275&lt;=Forudsætninger!$I$97,Forudsætninger!$I$98,Forudsætninger!$I$98))))))))</f>
        <v>4.4000000000000004</v>
      </c>
      <c r="AG275" s="1">
        <f t="shared" si="122"/>
        <v>4.4000000000000004</v>
      </c>
      <c r="AH275" s="1">
        <f t="shared" si="126"/>
        <v>876.39999999999668</v>
      </c>
      <c r="AI275" s="1">
        <f t="shared" si="113"/>
        <v>3.210256410256398</v>
      </c>
      <c r="AJ275" s="20">
        <f>+(W275*Forudsætninger!$C$12)</f>
        <v>900</v>
      </c>
      <c r="AK275" s="20">
        <f>Forudsætninger!$C$17</f>
        <v>250</v>
      </c>
      <c r="AL275" s="20">
        <f>IF(A275&lt;92,Forudsætninger!$C$20,Forudsætninger!$C$21)</f>
        <v>1.0566762728146013</v>
      </c>
      <c r="AM275" s="20">
        <f t="shared" si="123"/>
        <v>556.97810533167728</v>
      </c>
      <c r="AN275" s="20">
        <f>IFERROR(AD275+AJ275-AA275-Z275-AK275-AM275-Forudsætninger!$C$75,-99999999)</f>
        <v>1441.3276803416393</v>
      </c>
      <c r="AO275" s="19">
        <f>IFERROR(AN275/(A275+Forudsætninger!$C$74),-99999999)</f>
        <v>5.2795885726799971</v>
      </c>
      <c r="AP275" s="19">
        <f>IFERROR(((365/(A275+Forudsætninger!$C$74))*AN275)/(AI275+Forudsætninger!$C$73),-9999999)</f>
        <v>580.39187066259979</v>
      </c>
      <c r="AQ275" s="18">
        <f t="shared" si="114"/>
        <v>273</v>
      </c>
      <c r="AR275" s="18">
        <f t="shared" si="124"/>
        <v>6767.5458778996399</v>
      </c>
      <c r="AS275" s="52">
        <f t="shared" si="105"/>
        <v>10.3</v>
      </c>
      <c r="AT275" s="50">
        <f t="shared" si="127"/>
        <v>2.2013183182900775</v>
      </c>
      <c r="AU275" s="50">
        <f t="shared" si="128"/>
        <v>-1.1317170052904224E-2</v>
      </c>
      <c r="AV275" s="2">
        <f t="shared" si="129"/>
        <v>-2.0113603762112007</v>
      </c>
      <c r="AW275" s="61">
        <f t="shared" si="125"/>
        <v>7.3198014127227715</v>
      </c>
      <c r="BA275" s="16"/>
      <c r="BB275" s="2"/>
    </row>
    <row r="276" spans="1:59" x14ac:dyDescent="0.25">
      <c r="A276">
        <v>274</v>
      </c>
      <c r="B276" s="1">
        <f>ROUND((A276+Forudsætninger!$C$60)/30.4,1)</f>
        <v>10.3</v>
      </c>
      <c r="C276" s="1">
        <f>VLOOKUP((A276+Forudsætninger!$C$60),'Model tilvækst, slagteform, fe'!A:B,2,FALSE)</f>
        <v>452.31976973728717</v>
      </c>
      <c r="D276" s="3">
        <f t="shared" si="115"/>
        <v>1194.4494791213174</v>
      </c>
      <c r="E276" s="1">
        <f>(1+Forudsætninger!$C$78)*C276</f>
        <v>420.65738585567703</v>
      </c>
      <c r="F276" s="2">
        <f t="shared" si="116"/>
        <v>0</v>
      </c>
      <c r="G276" s="1">
        <f t="shared" si="106"/>
        <v>420.65738585567703</v>
      </c>
      <c r="H276" s="3">
        <f t="shared" si="107"/>
        <v>1110.8380155828286</v>
      </c>
      <c r="I276" s="3">
        <f t="shared" si="108"/>
        <v>1283.421116261595</v>
      </c>
      <c r="J276" s="1">
        <f>VLOOKUP((A276+Forudsætninger!$C$60),'Model tilvækst, slagteform, fe'!G:K,2,FALSE)*(1+Forudsætninger!$C$79)</f>
        <v>50.962867114086976</v>
      </c>
      <c r="K276" s="17">
        <f t="shared" si="104"/>
        <v>214.37906455922078</v>
      </c>
      <c r="L276" s="17">
        <f t="shared" si="117"/>
        <v>600.33936852460101</v>
      </c>
      <c r="M276" s="3">
        <f>((K276-(('Model tilvækst, slagteform, fe'!$H$9/100)*'Model tilvækst, slagteform, fe'!$B$9))*1000/(A276+Forudsætninger!$C$60))</f>
        <v>619.59156719109228</v>
      </c>
      <c r="N276" s="17">
        <f t="shared" si="118"/>
        <v>1574.1015449035244</v>
      </c>
      <c r="O276" s="19">
        <f>IF( A276&lt;Forudsætninger!$C$14,(G276/100)*Forudsætninger!$C$13,(Forudsætninger!$C$15/1000)*Forudsætninger!$C$13)</f>
        <v>2.7342730080619009</v>
      </c>
      <c r="P276" s="17" cm="1">
        <f t="array" ref="P276">INDEX('Model tilvækst, slagteform, fe'!$N$9:$N$375,MATCH(MIN(ABS('Model tilvækst, slagteform, fe'!$M$9:$M$375-'Vækstfunktion, hol'!G276)),ABS('Model tilvækst, slagteform, fe'!$M$9:$M$375-'Vækstfunktion, hol'!G276),0))*(1+Forudsætninger!$C$80)</f>
        <v>7.9165951090899558</v>
      </c>
      <c r="Q276" s="17">
        <f t="shared" si="119"/>
        <v>13.186866502768002</v>
      </c>
      <c r="R276" s="17">
        <f t="shared" si="120"/>
        <v>8.6366024449031311</v>
      </c>
      <c r="S276" s="17">
        <f t="shared" si="109"/>
        <v>4.4762362692121815</v>
      </c>
      <c r="T276" s="19">
        <f>(P276)*IF(N276&lt;Forudsætninger!$B$228,IF(N276&lt;Forudsætninger!$B$227,Forudsætninger!$B$225,Forudsætninger!$C$9),Forudsætninger!$C$11)+O276</f>
        <v>21.259105563332398</v>
      </c>
      <c r="U276" s="2">
        <f>Forudsætninger!$C$68+((K276-(Forudsætninger!$C$84)))*0.01</f>
        <v>3.8408435045808482</v>
      </c>
      <c r="V276" s="2">
        <f>U276+Forudsætninger!$C$69</f>
        <v>2.8408435045808482</v>
      </c>
      <c r="W276">
        <f t="shared" si="110"/>
        <v>1</v>
      </c>
      <c r="X276">
        <f>IF(A276+Forudsætninger!$C$60&gt;248,IF(A276+Forudsætninger!$C$60&lt;365,IF(K276&gt;180,IF(K276&lt;260,1,0),0),0),0)</f>
        <v>1</v>
      </c>
      <c r="Y276" s="22">
        <f>IF(X276=0,0,IF('Vækstfunktion, hol'!A276&lt;Forudsætninger!$C$66,Forudsætninger!$C$67+(('Vækstfunktion, hol'!A276-Forudsætninger!$C$66)/7)*Forudsætninger!$C$64,Forudsætninger!$C$67))</f>
        <v>0.95</v>
      </c>
      <c r="Z276" s="19">
        <f t="shared" si="121"/>
        <v>4631.8268781312945</v>
      </c>
      <c r="AA276" s="19">
        <f>Forudsætninger!$C$62+Forudsætninger!$C$16</f>
        <v>1350</v>
      </c>
      <c r="AB276" s="19">
        <f>IF(K276&gt;Forudsætninger!$C$26,IF(K276&gt;Forudsætninger!$C$27,IF(K276&gt;Forudsætninger!$C$28,Forudsætninger!$E$28,Forudsætninger!$E$27+Forudsætninger!$F$28*(K276-Forudsætninger!$C$27)),Forudsætninger!$E$26+Forudsætninger!$F$27*(K276-Forudsætninger!$C$26)),Forudsætninger!$E$26)+IF(K276&gt;Forudsætninger!$C$28,Forudsætninger!$G$28,IF(K276&gt;Forudsætninger!$C$27,Forudsætninger!$G$27+Forudsætninger!$H$28*(K276-Forudsætninger!$C$27),IF(K276&gt;Forudsætninger!$C$26,Forudsætninger!$G$26+Forudsætninger!$H$27*(K276-Forudsætninger!$C$26),Forudsætninger!$G$26)))*(U276-Forudsætninger!$H$26)</f>
        <v>35.412740088921026</v>
      </c>
      <c r="AC276" s="19">
        <f>IF(K276&gt;Forudsætninger!$C$31,IF(K276&gt;Forudsætninger!$C$32,IF(K276&gt;Forudsætninger!$C$33,Forudsætninger!$E$33,Forudsætninger!$E$32+Forudsætninger!$F$33*(K276-Forudsætninger!$C$32)),Forudsætninger!$E$31+Forudsætninger!$F$32*(K276-Forudsætninger!$C$31)),Forudsætninger!$E$31)+IF(K276&gt;Forudsætninger!$C$33,Forudsætninger!$G$33,IF(K276&gt;Forudsætninger!$C$32,Forudsætninger!$G$32+Forudsætninger!$H$33*(K276-Forudsætninger!$C$32),IF(K276&gt;Forudsætninger!$C$31,Forudsætninger!$G$31+Forudsætninger!$H$32*(K276-Forudsætninger!$C$31),Forudsætninger!$G$31)))*(V276-Forudsætninger!$H$31)</f>
        <v>28.317364480053357</v>
      </c>
      <c r="AD276" s="19">
        <f t="shared" si="111"/>
        <v>7515.6950944554392</v>
      </c>
      <c r="AE276" s="19">
        <f t="shared" si="112"/>
        <v>35.057971308477647</v>
      </c>
      <c r="AF276">
        <f>IF(G276&lt;=Forudsætninger!$C$97,Forudsætninger!$C$98,(IF(G276&lt;=Forudsætninger!$D$97,Forudsætninger!$D$98,IF(G276&lt;=Forudsætninger!$E$97,Forudsætninger!$E$98,IF(G276&lt;=Forudsætninger!$F$97,Forudsætninger!$F$98,IF(G276&lt;=Forudsætninger!$G$97,Forudsætninger!$G$98,IF(G276&lt;=Forudsætninger!$H$97,Forudsætninger!$H$98,IF(G276&lt;=Forudsætninger!$I$97,Forudsætninger!$I$98,Forudsætninger!$I$98))))))))</f>
        <v>4.4000000000000004</v>
      </c>
      <c r="AG276" s="1">
        <f t="shared" si="122"/>
        <v>4.4000000000000004</v>
      </c>
      <c r="AH276" s="1">
        <f t="shared" si="126"/>
        <v>880.79999999999666</v>
      </c>
      <c r="AI276" s="1">
        <f t="shared" si="113"/>
        <v>3.2145985401459733</v>
      </c>
      <c r="AJ276" s="20">
        <f>+(W276*Forudsætninger!$C$12)</f>
        <v>900</v>
      </c>
      <c r="AK276" s="20">
        <f>Forudsætninger!$C$17</f>
        <v>250</v>
      </c>
      <c r="AL276" s="20">
        <f>IF(A276&lt;92,Forudsætninger!$C$20,Forudsætninger!$C$21)</f>
        <v>1.0566762728146013</v>
      </c>
      <c r="AM276" s="20">
        <f t="shared" si="123"/>
        <v>558.03478160449185</v>
      </c>
      <c r="AN276" s="20">
        <f>IFERROR(AD276+AJ276-AA276-Z276-AK276-AM276-Forudsætninger!$C$75,-99999999)</f>
        <v>1443.4392421702582</v>
      </c>
      <c r="AO276" s="19">
        <f>IFERROR(AN276/(A276+Forudsætninger!$C$74),-99999999)</f>
        <v>5.2680264312783152</v>
      </c>
      <c r="AP276" s="19">
        <f>IFERROR(((365/(A276+Forudsætninger!$C$74))*AN276)/(AI276+Forudsætninger!$C$73),-9999999)</f>
        <v>578.36446241480917</v>
      </c>
      <c r="AQ276" s="18">
        <f t="shared" si="114"/>
        <v>274</v>
      </c>
      <c r="AR276" s="18">
        <f t="shared" si="124"/>
        <v>6789.8616597357868</v>
      </c>
      <c r="AS276" s="52">
        <f t="shared" si="105"/>
        <v>10.3</v>
      </c>
      <c r="AT276" s="50">
        <f t="shared" si="127"/>
        <v>2.1115618286189601</v>
      </c>
      <c r="AU276" s="50">
        <f t="shared" si="128"/>
        <v>-1.1562141401681991E-2</v>
      </c>
      <c r="AV276" s="2">
        <f t="shared" si="129"/>
        <v>-2.0274082477906177</v>
      </c>
      <c r="AW276" s="61">
        <f t="shared" si="125"/>
        <v>7.3046497218056574</v>
      </c>
      <c r="BA276" s="16"/>
      <c r="BB276" s="2"/>
    </row>
    <row r="277" spans="1:59" x14ac:dyDescent="0.25">
      <c r="A277">
        <v>275</v>
      </c>
      <c r="B277" s="1">
        <f>ROUND((A277+Forudsætninger!$C$60)/30.4,1)</f>
        <v>10.3</v>
      </c>
      <c r="C277" s="1">
        <f>VLOOKUP((A277+Forudsætninger!$C$60),'Model tilvækst, slagteform, fe'!A:B,2,FALSE)</f>
        <v>453.50993460241676</v>
      </c>
      <c r="D277" s="3">
        <f t="shared" si="115"/>
        <v>1190.1648651295886</v>
      </c>
      <c r="E277" s="1">
        <f>(1+Forudsætninger!$C$78)*C277</f>
        <v>421.76423918024756</v>
      </c>
      <c r="F277" s="2">
        <f t="shared" si="116"/>
        <v>0</v>
      </c>
      <c r="G277" s="1">
        <f t="shared" si="106"/>
        <v>421.76423918024756</v>
      </c>
      <c r="H277" s="3">
        <f t="shared" si="107"/>
        <v>1106.8533245705225</v>
      </c>
      <c r="I277" s="3">
        <f t="shared" si="108"/>
        <v>1282.7790515645365</v>
      </c>
      <c r="J277" s="1">
        <f>VLOOKUP((A277+Forudsætninger!$C$60),'Model tilvækst, slagteform, fe'!G:K,2,FALSE)*(1+Forudsætninger!$C$79)</f>
        <v>50.97103788105661</v>
      </c>
      <c r="K277" s="17">
        <f t="shared" si="104"/>
        <v>214.9776101213142</v>
      </c>
      <c r="L277" s="17">
        <f t="shared" si="117"/>
        <v>598.54556209342036</v>
      </c>
      <c r="M277" s="3">
        <f>((K277-(('Model tilvækst, slagteform, fe'!$H$9/100)*'Model tilvækst, slagteform, fe'!$B$9))*1000/(A277+Forudsætninger!$C$60))</f>
        <v>619.52454169715054</v>
      </c>
      <c r="N277" s="17">
        <f t="shared" si="118"/>
        <v>1582.0302908571732</v>
      </c>
      <c r="O277" s="19">
        <f>IF( A277&lt;Forudsætninger!$C$14,(G277/100)*Forudsætninger!$C$13,(Forudsætninger!$C$15/1000)*Forudsætninger!$C$13)</f>
        <v>2.7414675546716092</v>
      </c>
      <c r="P277" s="17" cm="1">
        <f t="array" ref="P277">INDEX('Model tilvækst, slagteform, fe'!$N$9:$N$375,MATCH(MIN(ABS('Model tilvækst, slagteform, fe'!$M$9:$M$375-'Vækstfunktion, hol'!G277)),ABS('Model tilvækst, slagteform, fe'!$M$9:$M$375-'Vækstfunktion, hol'!G277),0))*(1+Forudsætninger!$C$80)</f>
        <v>7.9287459536487175</v>
      </c>
      <c r="Q277" s="17">
        <f t="shared" si="119"/>
        <v>13.246687396558137</v>
      </c>
      <c r="R277" s="17">
        <f t="shared" si="120"/>
        <v>8.6516925556434643</v>
      </c>
      <c r="S277" s="17">
        <f t="shared" si="109"/>
        <v>4.4846674213165434</v>
      </c>
      <c r="T277" s="19">
        <f>(P277)*IF(N277&lt;Forudsætninger!$B$228,IF(N277&lt;Forudsætninger!$B$227,Forudsætninger!$B$225,Forudsætninger!$C$9),Forudsætninger!$C$11)+O277</f>
        <v>21.294733086209607</v>
      </c>
      <c r="U277" s="2">
        <f>Forudsætninger!$C$68+((K277-(Forudsætninger!$C$84)))*0.01</f>
        <v>3.8468289602017824</v>
      </c>
      <c r="V277" s="2">
        <f>U277+Forudsætninger!$C$69</f>
        <v>2.8468289602017824</v>
      </c>
      <c r="W277">
        <f t="shared" si="110"/>
        <v>1</v>
      </c>
      <c r="X277">
        <f>IF(A277+Forudsætninger!$C$60&gt;248,IF(A277+Forudsætninger!$C$60&lt;365,IF(K277&gt;180,IF(K277&lt;260,1,0),0),0),0)</f>
        <v>1</v>
      </c>
      <c r="Y277" s="22">
        <f>IF(X277=0,0,IF('Vækstfunktion, hol'!A277&lt;Forudsætninger!$C$66,Forudsætninger!$C$67+(('Vækstfunktion, hol'!A277-Forudsætninger!$C$66)/7)*Forudsætninger!$C$64,Forudsætninger!$C$67))</f>
        <v>0.95</v>
      </c>
      <c r="Z277" s="19">
        <f t="shared" si="121"/>
        <v>4653.1216112175043</v>
      </c>
      <c r="AA277" s="19">
        <f>Forudsætninger!$C$62+Forudsætninger!$C$16</f>
        <v>1350</v>
      </c>
      <c r="AB277" s="19">
        <f>IF(K277&gt;Forudsætninger!$C$26,IF(K277&gt;Forudsætninger!$C$27,IF(K277&gt;Forudsætninger!$C$28,Forudsætninger!$E$28,Forudsætninger!$E$27+Forudsætninger!$F$28*(K277-Forudsætninger!$C$27)),Forudsætninger!$E$26+Forudsætninger!$F$27*(K277-Forudsætninger!$C$26)),Forudsætninger!$E$26)+IF(K277&gt;Forudsætninger!$C$28,Forudsætninger!$G$28,IF(K277&gt;Forudsætninger!$C$27,Forudsætninger!$G$27+Forudsætninger!$H$28*(K277-Forudsætninger!$C$27),IF(K277&gt;Forudsætninger!$C$26,Forudsætninger!$G$26+Forudsætninger!$H$27*(K277-Forudsætninger!$C$26),Forudsætninger!$G$26)))*(U277-Forudsætninger!$H$26)</f>
        <v>35.428451909925982</v>
      </c>
      <c r="AC277" s="19">
        <f>IF(K277&gt;Forudsætninger!$C$31,IF(K277&gt;Forudsætninger!$C$32,IF(K277&gt;Forudsætninger!$C$33,Forudsætninger!$E$33,Forudsætninger!$E$32+Forudsætninger!$F$33*(K277-Forudsætninger!$C$32)),Forudsætninger!$E$31+Forudsætninger!$F$32*(K277-Forudsætninger!$C$31)),Forudsætninger!$E$31)+IF(K277&gt;Forudsætninger!$C$33,Forudsætninger!$G$33,IF(K277&gt;Forudsætninger!$C$32,Forudsætninger!$G$32+Forudsætninger!$H$33*(K277-Forudsætninger!$C$32),IF(K277&gt;Forudsætninger!$C$31,Forudsætninger!$G$31+Forudsætninger!$H$32*(K277-Forudsætninger!$C$31),Forudsætninger!$G$31)))*(V277-Forudsætninger!$H$31)</f>
        <v>28.334144810516932</v>
      </c>
      <c r="AD277" s="19">
        <f t="shared" si="111"/>
        <v>7540.0680626089143</v>
      </c>
      <c r="AE277" s="19">
        <f t="shared" si="112"/>
        <v>35.073736554955524</v>
      </c>
      <c r="AF277">
        <f>IF(G277&lt;=Forudsætninger!$C$97,Forudsætninger!$C$98,(IF(G277&lt;=Forudsætninger!$D$97,Forudsætninger!$D$98,IF(G277&lt;=Forudsætninger!$E$97,Forudsætninger!$E$98,IF(G277&lt;=Forudsætninger!$F$97,Forudsætninger!$F$98,IF(G277&lt;=Forudsætninger!$G$97,Forudsætninger!$G$98,IF(G277&lt;=Forudsætninger!$H$97,Forudsætninger!$H$98,IF(G277&lt;=Forudsætninger!$I$97,Forudsætninger!$I$98,Forudsætninger!$I$98))))))))</f>
        <v>4.4000000000000004</v>
      </c>
      <c r="AG277" s="1">
        <f t="shared" si="122"/>
        <v>4.4000000000000004</v>
      </c>
      <c r="AH277" s="1">
        <f t="shared" si="126"/>
        <v>885.19999999999663</v>
      </c>
      <c r="AI277" s="1">
        <f t="shared" si="113"/>
        <v>3.2189090909090785</v>
      </c>
      <c r="AJ277" s="20">
        <f>+(W277*Forudsætninger!$C$12)</f>
        <v>900</v>
      </c>
      <c r="AK277" s="20">
        <f>Forudsætninger!$C$17</f>
        <v>250</v>
      </c>
      <c r="AL277" s="20">
        <f>IF(A277&lt;92,Forudsætninger!$C$20,Forudsætninger!$C$21)</f>
        <v>1.0566762728146013</v>
      </c>
      <c r="AM277" s="20">
        <f t="shared" si="123"/>
        <v>559.09145787730642</v>
      </c>
      <c r="AN277" s="20">
        <f>IFERROR(AD277+AJ277-AA277-Z277-AK277-AM277-Forudsætninger!$C$75,-99999999)</f>
        <v>1445.4608009647091</v>
      </c>
      <c r="AO277" s="19">
        <f>IFERROR(AN277/(A277+Forudsætninger!$C$74),-99999999)</f>
        <v>5.2562210944171239</v>
      </c>
      <c r="AP277" s="19">
        <f>IFERROR(((365/(A277+Forudsætninger!$C$74))*AN277)/(AI277+Forudsætninger!$C$73),-9999999)</f>
        <v>576.32114517682101</v>
      </c>
      <c r="AQ277" s="18">
        <f t="shared" si="114"/>
        <v>275</v>
      </c>
      <c r="AR277" s="18">
        <f t="shared" si="124"/>
        <v>6812.2130690948106</v>
      </c>
      <c r="AS277" s="52">
        <f t="shared" si="105"/>
        <v>10.3</v>
      </c>
      <c r="AT277" s="50">
        <f t="shared" si="127"/>
        <v>2.0215587944508115</v>
      </c>
      <c r="AU277" s="50">
        <f t="shared" si="128"/>
        <v>-1.1805336861191229E-2</v>
      </c>
      <c r="AV277" s="2">
        <f t="shared" si="129"/>
        <v>-2.0433172379881626</v>
      </c>
      <c r="AW277" s="61">
        <f t="shared" si="125"/>
        <v>7.2892809412436925</v>
      </c>
      <c r="BA277" s="16"/>
      <c r="BB277" s="2"/>
    </row>
    <row r="278" spans="1:59" x14ac:dyDescent="0.25">
      <c r="A278">
        <v>276</v>
      </c>
      <c r="B278" s="1">
        <f>ROUND((A278+Forudsætninger!$C$60)/30.4,1)</f>
        <v>10.4</v>
      </c>
      <c r="C278" s="1">
        <f>VLOOKUP((A278+Forudsætninger!$C$60),'Model tilvækst, slagteform, fe'!A:B,2,FALSE)</f>
        <v>454.69582245851757</v>
      </c>
      <c r="D278" s="3">
        <f>(C278-C277)*1000</f>
        <v>1185.8878561008055</v>
      </c>
      <c r="E278" s="1">
        <f>(1+Forudsætninger!$C$78)*C278</f>
        <v>422.86711488642129</v>
      </c>
      <c r="F278" s="2">
        <f t="shared" si="116"/>
        <v>0</v>
      </c>
      <c r="G278" s="1">
        <f t="shared" si="106"/>
        <v>422.86711488642129</v>
      </c>
      <c r="H278" s="3">
        <f t="shared" si="107"/>
        <v>1102.8757061737338</v>
      </c>
      <c r="I278" s="3">
        <f t="shared" si="108"/>
        <v>1282.1272278493525</v>
      </c>
      <c r="J278" s="1">
        <f>VLOOKUP((A278+Forudsætninger!$C$60),'Model tilvækst, slagteform, fe'!G:K,2,FALSE)*(1+Forudsætninger!$C$79)</f>
        <v>50.979221674696355</v>
      </c>
      <c r="K278" s="17">
        <f t="shared" si="104"/>
        <v>215.5743638873416</v>
      </c>
      <c r="L278" s="17">
        <f t="shared" si="117"/>
        <v>596.75376602740471</v>
      </c>
      <c r="M278" s="3">
        <f>((K278-(('Model tilvækst, slagteform, fe'!$H$9/100)*'Model tilvækst, slagteform, fe'!$B$9))*1000/(A278+Forudsætninger!$C$60))</f>
        <v>619.45225352042132</v>
      </c>
      <c r="N278" s="17">
        <f t="shared" si="118"/>
        <v>1589.9712604896665</v>
      </c>
      <c r="O278" s="19">
        <f>IF( A278&lt;Forudsætninger!$C$14,(G278/100)*Forudsætninger!$C$13,(Forudsætninger!$C$15/1000)*Forudsætninger!$C$13)</f>
        <v>2.7486362467617385</v>
      </c>
      <c r="P278" s="17" cm="1">
        <f t="array" ref="P278">INDEX('Model tilvækst, slagteform, fe'!$N$9:$N$375,MATCH(MIN(ABS('Model tilvækst, slagteform, fe'!$M$9:$M$375-'Vækstfunktion, hol'!G278)),ABS('Model tilvækst, slagteform, fe'!$M$9:$M$375-'Vækstfunktion, hol'!G278),0))*(1+Forudsætninger!$C$80)</f>
        <v>7.9409696324932701</v>
      </c>
      <c r="Q278" s="17">
        <f t="shared" si="119"/>
        <v>13.306945149850295</v>
      </c>
      <c r="R278" s="17">
        <f t="shared" si="120"/>
        <v>8.6668354780642556</v>
      </c>
      <c r="S278" s="17">
        <f t="shared" si="109"/>
        <v>4.4931308776742096</v>
      </c>
      <c r="T278" s="19">
        <f>(P278)*IF(N278&lt;Forudsætninger!$B$228,IF(N278&lt;Forudsætninger!$B$227,Forudsætninger!$B$225,Forudsætninger!$C$9),Forudsætninger!$C$11)+O278</f>
        <v>21.330505186795989</v>
      </c>
      <c r="U278" s="2">
        <f>Forudsætninger!$C$68+((K278-(Forudsætninger!$C$84)))*0.01</f>
        <v>3.8527964978620561</v>
      </c>
      <c r="V278" s="2">
        <f>U278+Forudsætninger!$C$69</f>
        <v>2.8527964978620561</v>
      </c>
      <c r="W278">
        <f t="shared" si="110"/>
        <v>1</v>
      </c>
      <c r="X278">
        <f>IF(A278+Forudsætninger!$C$60&gt;248,IF(A278+Forudsætninger!$C$60&lt;365,IF(K278&gt;180,IF(K278&lt;260,1,0),0),0),0)</f>
        <v>1</v>
      </c>
      <c r="Y278" s="22">
        <f>IF(X278=0,0,IF('Vækstfunktion, hol'!A278&lt;Forudsætninger!$C$66,Forudsætninger!$C$67+(('Vækstfunktion, hol'!A278-Forudsætninger!$C$66)/7)*Forudsætninger!$C$64,Forudsætninger!$C$67))</f>
        <v>0.95</v>
      </c>
      <c r="Z278" s="19">
        <f t="shared" si="121"/>
        <v>4674.4521164042999</v>
      </c>
      <c r="AA278" s="19">
        <f>Forudsætninger!$C$62+Forudsætninger!$C$16</f>
        <v>1350</v>
      </c>
      <c r="AB278" s="19">
        <f>IF(K278&gt;Forudsætninger!$C$26,IF(K278&gt;Forudsætninger!$C$27,IF(K278&gt;Forudsætninger!$C$28,Forudsætninger!$E$28,Forudsætninger!$E$27+Forudsætninger!$F$28*(K278-Forudsætninger!$C$27)),Forudsætninger!$E$26+Forudsætninger!$F$27*(K278-Forudsætninger!$C$26)),Forudsætninger!$E$26)+IF(K278&gt;Forudsætninger!$C$28,Forudsætninger!$G$28,IF(K278&gt;Forudsætninger!$C$27,Forudsætninger!$G$27+Forudsætninger!$H$28*(K278-Forudsætninger!$C$27),IF(K278&gt;Forudsætninger!$C$26,Forudsætninger!$G$26+Forudsætninger!$H$27*(K278-Forudsætninger!$C$26),Forudsætninger!$G$26)))*(U278-Forudsætninger!$H$26)</f>
        <v>35.444116696284198</v>
      </c>
      <c r="AC278" s="19">
        <f>IF(K278&gt;Forudsætninger!$C$31,IF(K278&gt;Forudsætninger!$C$32,IF(K278&gt;Forudsætninger!$C$33,Forudsætninger!$E$33,Forudsætninger!$E$32+Forudsætninger!$F$33*(K278-Forudsætninger!$C$32)),Forudsætninger!$E$31+Forudsætninger!$F$32*(K278-Forudsætninger!$C$31)),Forudsætninger!$E$31)+IF(K278&gt;Forudsætninger!$C$33,Forudsætninger!$G$33,IF(K278&gt;Forudsætninger!$C$32,Forudsætninger!$G$32+Forudsætninger!$H$33*(K278-Forudsætninger!$C$32),IF(K278&gt;Forudsætninger!$C$31,Forudsætninger!$G$31+Forudsætninger!$H$32*(K278-Forudsætninger!$C$31),Forudsætninger!$G$31)))*(V278-Forudsætninger!$H$31)</f>
        <v>28.350848158935001</v>
      </c>
      <c r="AD278" s="19">
        <f t="shared" si="111"/>
        <v>7564.3865677091135</v>
      </c>
      <c r="AE278" s="19">
        <f t="shared" si="112"/>
        <v>35.089453269416744</v>
      </c>
      <c r="AF278">
        <f>IF(G278&lt;=Forudsætninger!$C$97,Forudsætninger!$C$98,(IF(G278&lt;=Forudsætninger!$D$97,Forudsætninger!$D$98,IF(G278&lt;=Forudsætninger!$E$97,Forudsætninger!$E$98,IF(G278&lt;=Forudsætninger!$F$97,Forudsætninger!$F$98,IF(G278&lt;=Forudsætninger!$G$97,Forudsætninger!$G$98,IF(G278&lt;=Forudsætninger!$H$97,Forudsætninger!$H$98,IF(G278&lt;=Forudsætninger!$I$97,Forudsætninger!$I$98,Forudsætninger!$I$98))))))))</f>
        <v>4.4000000000000004</v>
      </c>
      <c r="AG278" s="1">
        <f t="shared" si="122"/>
        <v>4.4000000000000004</v>
      </c>
      <c r="AH278" s="1">
        <f t="shared" si="126"/>
        <v>889.59999999999661</v>
      </c>
      <c r="AI278" s="1">
        <f t="shared" si="113"/>
        <v>3.2231884057970892</v>
      </c>
      <c r="AJ278" s="20">
        <f>+(W278*Forudsætninger!$C$12)</f>
        <v>900</v>
      </c>
      <c r="AK278" s="20">
        <f>Forudsætninger!$C$17</f>
        <v>250</v>
      </c>
      <c r="AL278" s="20">
        <f>IF(A278&lt;92,Forudsætninger!$C$20,Forudsætninger!$C$21)</f>
        <v>1.0566762728146013</v>
      </c>
      <c r="AM278" s="20">
        <f t="shared" si="123"/>
        <v>560.148134150121</v>
      </c>
      <c r="AN278" s="20">
        <f>IFERROR(AD278+AJ278-AA278-Z278-AK278-AM278-Forudsætninger!$C$75,-99999999)</f>
        <v>1447.3921246052971</v>
      </c>
      <c r="AO278" s="19">
        <f>IFERROR(AN278/(A278+Forudsætninger!$C$74),-99999999)</f>
        <v>5.2441743645119461</v>
      </c>
      <c r="AP278" s="19">
        <f>IFERROR(((365/(A278+Forudsætninger!$C$74))*AN278)/(AI278+Forudsætninger!$C$73),-9999999)</f>
        <v>574.26206082974852</v>
      </c>
      <c r="AQ278" s="18">
        <f t="shared" si="114"/>
        <v>276</v>
      </c>
      <c r="AR278" s="18">
        <f t="shared" si="124"/>
        <v>6834.6002505544211</v>
      </c>
      <c r="AS278" s="52">
        <f t="shared" si="105"/>
        <v>10.4</v>
      </c>
      <c r="AT278" s="50">
        <f t="shared" si="127"/>
        <v>1.9313236405880616</v>
      </c>
      <c r="AU278" s="50">
        <f t="shared" si="128"/>
        <v>-1.2046729905177855E-2</v>
      </c>
      <c r="AV278" s="2">
        <f t="shared" si="129"/>
        <v>-2.0590843470724849</v>
      </c>
      <c r="AW278" s="61">
        <f t="shared" si="125"/>
        <v>7.2736965896935439</v>
      </c>
      <c r="BA278" s="16"/>
      <c r="BB278" s="2"/>
    </row>
    <row r="279" spans="1:59" x14ac:dyDescent="0.25">
      <c r="A279">
        <v>277</v>
      </c>
      <c r="B279" s="1">
        <f>ROUND((A279+Forudsætninger!$C$60)/30.4,1)</f>
        <v>10.4</v>
      </c>
      <c r="C279" s="1">
        <f>VLOOKUP((A279+Forudsætninger!$C$60),'Model tilvækst, slagteform, fe'!A:B,2,FALSE)</f>
        <v>455.87744144489915</v>
      </c>
      <c r="D279" s="3">
        <f t="shared" si="115"/>
        <v>1181.6189863815794</v>
      </c>
      <c r="E279" s="1">
        <f>(1+Forudsætninger!$C$78)*C279</f>
        <v>423.9660205437562</v>
      </c>
      <c r="F279" s="2">
        <f t="shared" si="116"/>
        <v>0</v>
      </c>
      <c r="G279" s="1">
        <f t="shared" si="106"/>
        <v>423.9660205437562</v>
      </c>
      <c r="H279" s="3">
        <f t="shared" si="107"/>
        <v>1098.9056573349103</v>
      </c>
      <c r="I279" s="3">
        <f t="shared" si="108"/>
        <v>1281.4657781363039</v>
      </c>
      <c r="J279" s="1">
        <f>VLOOKUP((A279+Forudsætninger!$C$60),'Model tilvækst, slagteform, fe'!G:K,2,FALSE)*(1+Forudsætninger!$C$79)</f>
        <v>50.987418244493327</v>
      </c>
      <c r="K279" s="17">
        <f t="shared" si="104"/>
        <v>216.1693281091795</v>
      </c>
      <c r="L279" s="17">
        <f t="shared" si="117"/>
        <v>594.96422183789832</v>
      </c>
      <c r="M279" s="3">
        <f>((K279-(('Model tilvækst, slagteform, fe'!$H$9/100)*'Model tilvækst, slagteform, fe'!$B$9))*1000/(A279+Forudsætninger!$C$60))</f>
        <v>619.37475974927406</v>
      </c>
      <c r="N279" s="17">
        <f t="shared" si="118"/>
        <v>1597.9245249799656</v>
      </c>
      <c r="O279" s="19">
        <f>IF( A279&lt;Forudsætninger!$C$14,(G279/100)*Forudsætninger!$C$13,(Forudsætninger!$C$15/1000)*Forudsætninger!$C$13)</f>
        <v>2.7557791335344155</v>
      </c>
      <c r="P279" s="17" cm="1">
        <f t="array" ref="P279">INDEX('Model tilvækst, slagteform, fe'!$N$9:$N$375,MATCH(MIN(ABS('Model tilvækst, slagteform, fe'!$M$9:$M$375-'Vækstfunktion, hol'!G279)),ABS('Model tilvækst, slagteform, fe'!$M$9:$M$375-'Vækstfunktion, hol'!G279),0))*(1+Forudsætninger!$C$80)</f>
        <v>7.9532644902989365</v>
      </c>
      <c r="Q279" s="17">
        <f t="shared" si="119"/>
        <v>13.367634890263792</v>
      </c>
      <c r="R279" s="17">
        <f t="shared" si="120"/>
        <v>8.6820314212421614</v>
      </c>
      <c r="S279" s="17">
        <f t="shared" si="109"/>
        <v>4.5016267262206622</v>
      </c>
      <c r="T279" s="19">
        <f>(P279)*IF(N279&lt;Forudsætninger!$B$228,IF(N279&lt;Forudsætninger!$B$227,Forudsætninger!$B$225,Forudsætninger!$C$9),Forudsætninger!$C$11)+O279</f>
        <v>21.366418040833924</v>
      </c>
      <c r="U279" s="2">
        <f>Forudsætninger!$C$68+((K279-(Forudsætninger!$C$84)))*0.01</f>
        <v>3.8587461400804353</v>
      </c>
      <c r="V279" s="2">
        <f>U279+Forudsætninger!$C$69</f>
        <v>2.8587461400804353</v>
      </c>
      <c r="W279">
        <f t="shared" si="110"/>
        <v>1</v>
      </c>
      <c r="X279">
        <f>IF(A279+Forudsætninger!$C$60&gt;248,IF(A279+Forudsætninger!$C$60&lt;365,IF(K279&gt;180,IF(K279&lt;260,1,0),0),0),0)</f>
        <v>1</v>
      </c>
      <c r="Y279" s="22">
        <f>IF(X279=0,0,IF('Vækstfunktion, hol'!A279&lt;Forudsætninger!$C$66,Forudsætninger!$C$67+(('Vækstfunktion, hol'!A279-Forudsætninger!$C$66)/7)*Forudsætninger!$C$64,Forudsætninger!$C$67))</f>
        <v>0.95</v>
      </c>
      <c r="Z279" s="19">
        <f t="shared" si="121"/>
        <v>4695.818534445134</v>
      </c>
      <c r="AA279" s="19">
        <f>Forudsætninger!$C$62+Forudsætninger!$C$16</f>
        <v>1350</v>
      </c>
      <c r="AB279" s="19">
        <f>IF(K279&gt;Forudsætninger!$C$26,IF(K279&gt;Forudsætninger!$C$27,IF(K279&gt;Forudsætninger!$C$28,Forudsætninger!$E$28,Forudsætninger!$E$27+Forudsætninger!$F$28*(K279-Forudsætninger!$C$27)),Forudsætninger!$E$26+Forudsætninger!$F$27*(K279-Forudsætninger!$C$26)),Forudsætninger!$E$26)+IF(K279&gt;Forudsætninger!$C$28,Forudsætninger!$G$28,IF(K279&gt;Forudsætninger!$C$27,Forudsætninger!$G$27+Forudsætninger!$H$28*(K279-Forudsætninger!$C$27),IF(K279&gt;Forudsætninger!$C$26,Forudsætninger!$G$26+Forudsætninger!$H$27*(K279-Forudsætninger!$C$26),Forudsætninger!$G$26)))*(U279-Forudsætninger!$H$26)</f>
        <v>35.459734507107449</v>
      </c>
      <c r="AC279" s="19">
        <f>IF(K279&gt;Forudsætninger!$C$31,IF(K279&gt;Forudsætninger!$C$32,IF(K279&gt;Forudsætninger!$C$33,Forudsætninger!$E$33,Forudsætninger!$E$32+Forudsætninger!$F$33*(K279-Forudsætninger!$C$32)),Forudsætninger!$E$31+Forudsætninger!$F$32*(K279-Forudsætninger!$C$31)),Forudsætninger!$E$31)+IF(K279&gt;Forudsætninger!$C$33,Forudsætninger!$G$33,IF(K279&gt;Forudsætninger!$C$32,Forudsætninger!$G$32+Forudsætninger!$H$33*(K279-Forudsætninger!$C$32),IF(K279&gt;Forudsætninger!$C$31,Forudsætninger!$G$31+Forudsætninger!$H$32*(K279-Forudsætninger!$C$31),Forudsætninger!$G$31)))*(V279-Forudsætninger!$H$31)</f>
        <v>28.367474828771236</v>
      </c>
      <c r="AD279" s="19">
        <f t="shared" si="111"/>
        <v>7588.6505328592166</v>
      </c>
      <c r="AE279" s="19">
        <f t="shared" si="112"/>
        <v>35.10512152319064</v>
      </c>
      <c r="AF279">
        <f>IF(G279&lt;=Forudsætninger!$C$97,Forudsætninger!$C$98,(IF(G279&lt;=Forudsætninger!$D$97,Forudsætninger!$D$98,IF(G279&lt;=Forudsætninger!$E$97,Forudsætninger!$E$98,IF(G279&lt;=Forudsætninger!$F$97,Forudsætninger!$F$98,IF(G279&lt;=Forudsætninger!$G$97,Forudsætninger!$G$98,IF(G279&lt;=Forudsætninger!$H$97,Forudsætninger!$H$98,IF(G279&lt;=Forudsætninger!$I$97,Forudsætninger!$I$98,Forudsætninger!$I$98))))))))</f>
        <v>4.4000000000000004</v>
      </c>
      <c r="AG279" s="1">
        <f t="shared" si="122"/>
        <v>4.4000000000000004</v>
      </c>
      <c r="AH279" s="1">
        <f t="shared" si="126"/>
        <v>893.99999999999659</v>
      </c>
      <c r="AI279" s="1">
        <f t="shared" si="113"/>
        <v>3.2274368231046808</v>
      </c>
      <c r="AJ279" s="20">
        <f>+(W279*Forudsætninger!$C$12)</f>
        <v>900</v>
      </c>
      <c r="AK279" s="20">
        <f>Forudsætninger!$C$17</f>
        <v>250</v>
      </c>
      <c r="AL279" s="20">
        <f>IF(A279&lt;92,Forudsætninger!$C$20,Forudsætninger!$C$21)</f>
        <v>1.0566762728146013</v>
      </c>
      <c r="AM279" s="20">
        <f t="shared" si="123"/>
        <v>561.20481042293557</v>
      </c>
      <c r="AN279" s="20">
        <f>IFERROR(AD279+AJ279-AA279-Z279-AK279-AM279-Forudsætninger!$C$75,-99999999)</f>
        <v>1449.2329954417532</v>
      </c>
      <c r="AO279" s="19">
        <f>IFERROR(AN279/(A279+Forudsætninger!$C$74),-99999999)</f>
        <v>5.2318880701868347</v>
      </c>
      <c r="AP279" s="19">
        <f>IFERROR(((365/(A279+Forudsætninger!$C$74))*AN279)/(AI279+Forudsætninger!$C$73),-9999999)</f>
        <v>572.18735419888355</v>
      </c>
      <c r="AQ279" s="18">
        <f t="shared" si="114"/>
        <v>277</v>
      </c>
      <c r="AR279" s="18">
        <f t="shared" si="124"/>
        <v>6857.0233448680692</v>
      </c>
      <c r="AS279" s="52">
        <f t="shared" si="105"/>
        <v>10.4</v>
      </c>
      <c r="AT279" s="50">
        <f t="shared" si="127"/>
        <v>1.8408708364561335</v>
      </c>
      <c r="AU279" s="50">
        <f t="shared" si="128"/>
        <v>-1.2286294325111413E-2</v>
      </c>
      <c r="AV279" s="2">
        <f t="shared" si="129"/>
        <v>-2.0747066308649664</v>
      </c>
      <c r="AW279" s="61">
        <f t="shared" si="125"/>
        <v>7.2578982161180106</v>
      </c>
      <c r="BA279" s="16"/>
      <c r="BB279" s="2"/>
    </row>
    <row r="280" spans="1:59" x14ac:dyDescent="0.25">
      <c r="A280">
        <v>278</v>
      </c>
      <c r="B280" s="1">
        <f>ROUND((A280+Forudsætninger!$C$60)/30.4,1)</f>
        <v>10.4</v>
      </c>
      <c r="C280" s="1">
        <f>VLOOKUP((A280+Forudsætninger!$C$60),'Model tilvækst, slagteform, fe'!A:B,2,FALSE)</f>
        <v>457.05480023521932</v>
      </c>
      <c r="D280" s="3">
        <f t="shared" si="115"/>
        <v>1177.3587903201701</v>
      </c>
      <c r="E280" s="1">
        <f>(1+Forudsætninger!$C$78)*C280</f>
        <v>425.06096421875395</v>
      </c>
      <c r="F280" s="2">
        <f t="shared" si="116"/>
        <v>0</v>
      </c>
      <c r="G280" s="1">
        <f t="shared" si="106"/>
        <v>425.06096421875395</v>
      </c>
      <c r="H280" s="3">
        <f t="shared" si="107"/>
        <v>1094.9436749977508</v>
      </c>
      <c r="I280" s="3">
        <f t="shared" si="108"/>
        <v>1280.7948353192589</v>
      </c>
      <c r="J280" s="1">
        <f>VLOOKUP((A280+Forudsætninger!$C$60),'Model tilvækst, slagteform, fe'!G:K,2,FALSE)*(1+Forudsætninger!$C$79)</f>
        <v>50.995627339934614</v>
      </c>
      <c r="K280" s="17">
        <f t="shared" si="104"/>
        <v>216.76250528052859</v>
      </c>
      <c r="L280" s="17">
        <f t="shared" si="117"/>
        <v>593.17717134908321</v>
      </c>
      <c r="M280" s="3">
        <f>((K280-(('Model tilvækst, slagteform, fe'!$H$9/100)*'Model tilvækst, slagteform, fe'!$B$9))*1000/(A280+Forudsætninger!$C$60))</f>
        <v>619.29211751457308</v>
      </c>
      <c r="N280" s="17">
        <f t="shared" si="118"/>
        <v>1605.8901538517066</v>
      </c>
      <c r="O280" s="19">
        <f>IF( A280&lt;Forudsætninger!$C$14,(G280/100)*Forudsætninger!$C$13,(Forudsætninger!$C$15/1000)*Forudsætninger!$C$13)</f>
        <v>2.7628962674219006</v>
      </c>
      <c r="P280" s="17" cm="1">
        <f t="array" ref="P280">INDEX('Model tilvækst, slagteform, fe'!$N$9:$N$375,MATCH(MIN(ABS('Model tilvækst, slagteform, fe'!$M$9:$M$375-'Vækstfunktion, hol'!G280)),ABS('Model tilvækst, slagteform, fe'!$M$9:$M$375-'Vækstfunktion, hol'!G280),0))*(1+Forudsætninger!$C$80)</f>
        <v>7.96562887174104</v>
      </c>
      <c r="Q280" s="17">
        <f t="shared" si="119"/>
        <v>13.428751571178198</v>
      </c>
      <c r="R280" s="17">
        <f t="shared" si="120"/>
        <v>8.6972805735424963</v>
      </c>
      <c r="S280" s="17">
        <f t="shared" si="109"/>
        <v>4.5101550443060994</v>
      </c>
      <c r="T280" s="19">
        <f>(P280)*IF(N280&lt;Forudsætninger!$B$228,IF(N280&lt;Forudsætninger!$B$227,Forudsætninger!$B$225,Forudsætninger!$C$9),Forudsætninger!$C$11)+O280</f>
        <v>21.402467827295933</v>
      </c>
      <c r="U280" s="2">
        <f>Forudsætninger!$C$68+((K280-(Forudsætninger!$C$84)))*0.01</f>
        <v>3.8646779117939261</v>
      </c>
      <c r="V280" s="2">
        <f>U280+Forudsætninger!$C$69</f>
        <v>2.8646779117939261</v>
      </c>
      <c r="W280">
        <f t="shared" si="110"/>
        <v>1</v>
      </c>
      <c r="X280">
        <f>IF(A280+Forudsætninger!$C$60&gt;248,IF(A280+Forudsætninger!$C$60&lt;365,IF(K280&gt;180,IF(K280&lt;260,1,0),0),0),0)</f>
        <v>1</v>
      </c>
      <c r="Y280" s="22">
        <f>IF(X280=0,0,IF('Vækstfunktion, hol'!A280&lt;Forudsætninger!$C$66,Forudsætninger!$C$67+(('Vækstfunktion, hol'!A280-Forudsætninger!$C$66)/7)*Forudsætninger!$C$64,Forudsætninger!$C$67))</f>
        <v>0.95</v>
      </c>
      <c r="Z280" s="19">
        <f>Z279+T280</f>
        <v>4717.2210022724303</v>
      </c>
      <c r="AA280" s="19">
        <f>Forudsætninger!$C$62+Forudsætninger!$C$16</f>
        <v>1350</v>
      </c>
      <c r="AB280" s="19">
        <f>IF(K280&gt;Forudsætninger!$C$26,IF(K280&gt;Forudsætninger!$C$27,IF(K280&gt;Forudsætninger!$C$28,Forudsætninger!$E$28,Forudsætninger!$E$27+Forudsætninger!$F$28*(K280-Forudsætninger!$C$27)),Forudsætninger!$E$26+Forudsætninger!$F$27*(K280-Forudsætninger!$C$26)),Forudsætninger!$E$26)+IF(K280&gt;Forudsætninger!$C$28,Forudsætninger!$G$28,IF(K280&gt;Forudsætninger!$C$27,Forudsætninger!$G$27+Forudsætninger!$H$28*(K280-Forudsætninger!$C$27),IF(K280&gt;Forudsætninger!$C$26,Forudsætninger!$G$26+Forudsætninger!$H$27*(K280-Forudsætninger!$C$26),Forudsætninger!$G$26)))*(U280-Forudsætninger!$H$26)</f>
        <v>35.475305407855359</v>
      </c>
      <c r="AC280" s="19">
        <f>IF(K280&gt;Forudsætninger!$C$31,IF(K280&gt;Forudsætninger!$C$32,IF(K280&gt;Forudsætninger!$C$33,Forudsætninger!$E$33,Forudsætninger!$E$32+Forudsætninger!$F$33*(K280-Forudsætninger!$C$32)),Forudsætninger!$E$31+Forudsætninger!$F$32*(K280-Forudsætninger!$C$31)),Forudsætninger!$E$31)+IF(K280&gt;Forudsætninger!$C$33,Forudsætninger!$G$33,IF(K280&gt;Forudsætninger!$C$32,Forudsætninger!$G$32+Forudsætninger!$H$33*(K280-Forudsætninger!$C$32),IF(K280&gt;Forudsætninger!$C$31,Forudsætninger!$G$31+Forudsætninger!$H$32*(K280-Forudsætninger!$C$31),Forudsætninger!$G$31)))*(V280-Forudsætninger!$H$31)</f>
        <v>28.384025129108007</v>
      </c>
      <c r="AD280" s="19">
        <f t="shared" si="111"/>
        <v>7612.859891855227</v>
      </c>
      <c r="AE280" s="19">
        <f t="shared" si="112"/>
        <v>35.120741393917989</v>
      </c>
      <c r="AF280">
        <f>IF(G280&lt;=Forudsætninger!$C$97,Forudsætninger!$C$98,(IF(G280&lt;=Forudsætninger!$D$97,Forudsætninger!$D$98,IF(G280&lt;=Forudsætninger!$E$97,Forudsætninger!$E$98,IF(G280&lt;=Forudsætninger!$F$97,Forudsætninger!$F$98,IF(G280&lt;=Forudsætninger!$G$97,Forudsætninger!$G$98,IF(G280&lt;=Forudsætninger!$H$97,Forudsætninger!$H$98,IF(G280&lt;=Forudsætninger!$I$97,Forudsætninger!$I$98,Forudsætninger!$I$98))))))))</f>
        <v>4.4000000000000004</v>
      </c>
      <c r="AG280" s="1">
        <f t="shared" si="122"/>
        <v>4.4000000000000004</v>
      </c>
      <c r="AH280" s="1">
        <f t="shared" si="126"/>
        <v>898.39999999999657</v>
      </c>
      <c r="AI280" s="1">
        <f t="shared" si="113"/>
        <v>3.2316546762589806</v>
      </c>
      <c r="AJ280" s="20">
        <f>+(W280*Forudsætninger!$C$12)</f>
        <v>900</v>
      </c>
      <c r="AK280" s="20">
        <f>Forudsætninger!$C$17</f>
        <v>250</v>
      </c>
      <c r="AL280" s="20">
        <f>IF(A280&lt;92,Forudsætninger!$C$20,Forudsætninger!$C$21)</f>
        <v>1.0566762728146013</v>
      </c>
      <c r="AM280" s="20">
        <f t="shared" si="123"/>
        <v>562.26148669575014</v>
      </c>
      <c r="AN280" s="20">
        <f>IFERROR(AD280+AJ280-AA280-Z280-AK280-AM280-Forudsætninger!$C$75,-99999999)</f>
        <v>1450.9832103376521</v>
      </c>
      <c r="AO280" s="19">
        <f>IFERROR(AN280/(A280+Forudsætninger!$C$74),-99999999)</f>
        <v>5.2193640659627771</v>
      </c>
      <c r="AP280" s="19">
        <f>IFERROR(((365/(A280+Forudsætninger!$C$74))*AN280)/(AI280+Forudsætninger!$C$73),-9999999)</f>
        <v>570.09717299968247</v>
      </c>
      <c r="AQ280" s="18">
        <f t="shared" si="114"/>
        <v>278</v>
      </c>
      <c r="AR280" s="18">
        <f t="shared" si="124"/>
        <v>6879.4824889681804</v>
      </c>
      <c r="AS280" s="52">
        <f t="shared" si="105"/>
        <v>10.4</v>
      </c>
      <c r="AT280" s="50">
        <f t="shared" si="127"/>
        <v>1.7502148958988073</v>
      </c>
      <c r="AU280" s="50">
        <f t="shared" si="128"/>
        <v>-1.2524004224057528E-2</v>
      </c>
      <c r="AV280" s="2">
        <f t="shared" si="129"/>
        <v>-2.0901811992010835</v>
      </c>
      <c r="AW280" s="61">
        <f t="shared" si="125"/>
        <v>7.2418873994007269</v>
      </c>
      <c r="BA280" s="16"/>
      <c r="BB280" s="2"/>
    </row>
    <row r="281" spans="1:59" s="7" customFormat="1" x14ac:dyDescent="0.25">
      <c r="A281" s="7">
        <v>279</v>
      </c>
      <c r="B281" s="1">
        <f>ROUND((A281+Forudsætninger!$C$60)/30.4,1)</f>
        <v>10.5</v>
      </c>
      <c r="C281" s="21">
        <f>VLOOKUP((A281+Forudsætninger!$C$60),'Model tilvækst, slagteform, fe'!A:B,2,FALSE)</f>
        <v>458.22790803748256</v>
      </c>
      <c r="D281" s="28">
        <f t="shared" si="115"/>
        <v>1173.107802263246</v>
      </c>
      <c r="E281" s="1">
        <f>(1+Forudsætninger!$C$78)*C281</f>
        <v>426.15195447485877</v>
      </c>
      <c r="F281" s="2">
        <f t="shared" si="116"/>
        <v>0</v>
      </c>
      <c r="G281" s="1">
        <f t="shared" si="106"/>
        <v>426.15195447485877</v>
      </c>
      <c r="H281" s="28">
        <f t="shared" si="107"/>
        <v>1090.990256104817</v>
      </c>
      <c r="I281" s="28">
        <f t="shared" si="108"/>
        <v>1280.1145321679526</v>
      </c>
      <c r="J281" s="21">
        <f>VLOOKUP((A281+Forudsætninger!$C$60),'Model tilvækst, slagteform, fe'!G:K,2,FALSE)*(1+Forudsætninger!$C$79)</f>
        <v>51.003848710507349</v>
      </c>
      <c r="K281" s="29">
        <f t="shared" si="104"/>
        <v>217.35389813722711</v>
      </c>
      <c r="L281" s="29">
        <f t="shared" si="117"/>
        <v>591.39285669851915</v>
      </c>
      <c r="M281" s="3">
        <f>((K281-(('Model tilvækst, slagteform, fe'!$H$9/100)*'Model tilvækst, slagteform, fe'!$B$9))*1000/(A281+Forudsætninger!$C$60))</f>
        <v>619.20438398999443</v>
      </c>
      <c r="N281" s="29">
        <f t="shared" si="118"/>
        <v>1613.8682149732015</v>
      </c>
      <c r="O281" s="30">
        <f>IF( A281&lt;Forudsætninger!$C$14,(G281/100)*Forudsætninger!$C$13,(Forudsætninger!$C$15/1000)*Forudsætninger!$C$13)</f>
        <v>2.7699877040865819</v>
      </c>
      <c r="P281" s="29" cm="1">
        <f t="array" ref="P281">INDEX('Model tilvækst, slagteform, fe'!$N$9:$N$375,MATCH(MIN(ABS('Model tilvækst, slagteform, fe'!$M$9:$M$375-'Vækstfunktion, hol'!G281)),ABS('Model tilvækst, slagteform, fe'!$M$9:$M$375-'Vækstfunktion, hol'!G281),0))*(1+Forudsætninger!$C$80)</f>
        <v>7.9780611214949051</v>
      </c>
      <c r="Q281" s="29">
        <f t="shared" si="119"/>
        <v>13.490289967370995</v>
      </c>
      <c r="R281" s="29">
        <f t="shared" si="120"/>
        <v>8.7125831028489547</v>
      </c>
      <c r="S281" s="29">
        <f t="shared" si="109"/>
        <v>4.5187158988004574</v>
      </c>
      <c r="T281" s="30">
        <f>(P281)*IF(N281&lt;Forudsætninger!$B$228,IF(N281&lt;Forudsætninger!$B$227,Forudsætninger!$B$225,Forudsætninger!$C$9),Forudsætninger!$C$11)+O281</f>
        <v>21.438650728384658</v>
      </c>
      <c r="U281" s="30">
        <f>Forudsætninger!$C$68+((K281-(Forudsætninger!$C$84)))*0.01</f>
        <v>3.8705918403609112</v>
      </c>
      <c r="V281" s="30">
        <f>U281+Forudsætninger!$C$69</f>
        <v>2.8705918403609112</v>
      </c>
      <c r="W281" s="7">
        <f t="shared" si="110"/>
        <v>1</v>
      </c>
      <c r="X281" s="7">
        <f>IF(A281+Forudsætninger!$C$60&gt;248,IF(A281+Forudsætninger!$C$60&lt;365,IF(K281&gt;180,IF(K281&lt;260,1,0),0),0),0)</f>
        <v>1</v>
      </c>
      <c r="Y281" s="31">
        <f>IF(X281=0,0,IF('Vækstfunktion, hol'!A281&lt;Forudsætninger!$C$66,Forudsætninger!$C$67+(('Vækstfunktion, hol'!A281-Forudsætninger!$C$66)/7)*Forudsætninger!$C$64,Forudsætninger!$C$67))</f>
        <v>0.95</v>
      </c>
      <c r="Z281" s="30">
        <f t="shared" si="121"/>
        <v>4738.6596530008146</v>
      </c>
      <c r="AA281" s="30">
        <f>Forudsætninger!$C$62+Forudsætninger!$C$16</f>
        <v>1350</v>
      </c>
      <c r="AB281" s="30">
        <f>IF(K281&gt;Forudsætninger!$C$26,IF(K281&gt;Forudsætninger!$C$27,IF(K281&gt;Forudsætninger!$C$28,Forudsætninger!$E$28,Forudsætninger!$E$27+Forudsætninger!$F$28*(K281-Forudsætninger!$C$27)),Forudsætninger!$E$26+Forudsætninger!$F$27*(K281-Forudsætninger!$C$26)),Forudsætninger!$E$26)+IF(K281&gt;Forudsætninger!$C$28,Forudsætninger!$G$28,IF(K281&gt;Forudsætninger!$C$27,Forudsætninger!$G$27+Forudsætninger!$H$28*(K281-Forudsætninger!$C$27),IF(K281&gt;Forudsætninger!$C$26,Forudsætninger!$G$26+Forudsætninger!$H$27*(K281-Forudsætninger!$C$26),Forudsætninger!$G$26)))*(U281-Forudsætninger!$H$26)</f>
        <v>35.490829470343698</v>
      </c>
      <c r="AC281" s="30">
        <f>IF(K281&gt;Forudsætninger!$C$31,IF(K281&gt;Forudsætninger!$C$32,IF(K281&gt;Forudsætninger!$C$33,Forudsætninger!$E$33,Forudsætninger!$E$32+Forudsætninger!$F$33*(K281-Forudsætninger!$C$32)),Forudsætninger!$E$31+Forudsætninger!$F$32*(K281-Forudsætninger!$C$31)),Forudsætninger!$E$31)+IF(K281&gt;Forudsætninger!$C$33,Forudsætninger!$G$33,IF(K281&gt;Forudsætninger!$C$32,Forudsætninger!$G$32+Forudsætninger!$H$33*(K281-Forudsætninger!$C$32),IF(K281&gt;Forudsætninger!$C$31,Forudsætninger!$G$31+Forudsætninger!$H$32*(K281-Forudsætninger!$C$31),Forudsætninger!$G$31)))*(V281-Forudsætninger!$H$31)</f>
        <v>28.400499374604475</v>
      </c>
      <c r="AD281" s="30">
        <f>(K281*(Y281*AB281+((1-Y281)*AC281)))</f>
        <v>7637.0145892333503</v>
      </c>
      <c r="AE281" s="30">
        <f t="shared" si="112"/>
        <v>35.136312965556733</v>
      </c>
      <c r="AF281" s="7">
        <f>IF(G281&lt;=Forudsætninger!$C$97,Forudsætninger!$C$98,(IF(G281&lt;=Forudsætninger!$D$97,Forudsætninger!$D$98,IF(G281&lt;=Forudsætninger!$E$97,Forudsætninger!$E$98,IF(G281&lt;=Forudsætninger!$F$97,Forudsætninger!$F$98,IF(G281&lt;=Forudsætninger!$G$97,Forudsætninger!$G$98,IF(G281&lt;=Forudsætninger!$H$97,Forudsætninger!$H$98,IF(G281&lt;=Forudsætninger!$I$97,Forudsætninger!$I$98,Forudsætninger!$I$98))))))))</f>
        <v>4.4000000000000004</v>
      </c>
      <c r="AG281" s="21">
        <f t="shared" si="122"/>
        <v>4.4000000000000004</v>
      </c>
      <c r="AH281" s="21">
        <f t="shared" si="126"/>
        <v>902.79999999999654</v>
      </c>
      <c r="AI281" s="21">
        <f t="shared" si="113"/>
        <v>3.2358422939067975</v>
      </c>
      <c r="AJ281" s="28">
        <f>+(W281*Forudsætninger!$C$12)</f>
        <v>900</v>
      </c>
      <c r="AK281" s="28">
        <f>Forudsætninger!$C$17</f>
        <v>250</v>
      </c>
      <c r="AL281" s="28">
        <f>IF(A281&lt;92,Forudsætninger!$C$20,Forudsætninger!$C$21)</f>
        <v>1.0566762728146013</v>
      </c>
      <c r="AM281" s="28">
        <f t="shared" si="123"/>
        <v>563.31816296856471</v>
      </c>
      <c r="AN281" s="20">
        <f>IFERROR(AD281+AJ281-AA281-Z281-AK281-AM281-Forudsætninger!$C$75,-99999999)</f>
        <v>1452.6425807145756</v>
      </c>
      <c r="AO281" s="19">
        <f>IFERROR(AN281/(A281+Forudsætninger!$C$74),-99999999)</f>
        <v>5.2066042319518839</v>
      </c>
      <c r="AP281" s="19">
        <f>IFERROR(((365/(A281+Forudsætninger!$C$74))*AN281)/(AI281+Forudsætninger!$C$73),-9999999)</f>
        <v>567.99166778521692</v>
      </c>
      <c r="AQ281" s="28">
        <f t="shared" si="114"/>
        <v>279</v>
      </c>
      <c r="AR281" s="28">
        <f t="shared" si="124"/>
        <v>6901.9778159693797</v>
      </c>
      <c r="AS281" s="29">
        <f t="shared" si="105"/>
        <v>10.5</v>
      </c>
      <c r="AT281" s="30">
        <f>AN281-AN280</f>
        <v>1.6593703769235617</v>
      </c>
      <c r="AU281" s="30">
        <f t="shared" si="128"/>
        <v>-1.2759834010893201E-2</v>
      </c>
      <c r="AV281" s="30">
        <f t="shared" si="129"/>
        <v>-2.1055052144655519</v>
      </c>
      <c r="AW281" s="61">
        <f>((AN281+AM281)/A281)</f>
        <v>7.2256657479682449</v>
      </c>
      <c r="AX281" s="33"/>
      <c r="AY281" s="28"/>
      <c r="BA281" s="32"/>
      <c r="BB281" s="30"/>
      <c r="BC281" s="28"/>
      <c r="BD281" s="33"/>
      <c r="BE281" s="30"/>
      <c r="BF281" s="30"/>
      <c r="BG281" s="30"/>
    </row>
    <row r="282" spans="1:59" x14ac:dyDescent="0.25">
      <c r="A282">
        <v>280</v>
      </c>
      <c r="B282" s="1">
        <f>ROUND((A282+Forudsætninger!$C$60)/30.4,1)</f>
        <v>10.5</v>
      </c>
      <c r="C282" s="1">
        <f>VLOOKUP((A282+Forudsætninger!$C$60),'Model tilvækst, slagteform, fe'!A:B,2,FALSE)</f>
        <v>459.3967745940414</v>
      </c>
      <c r="D282" s="3">
        <f t="shared" si="115"/>
        <v>1168.8665565588394</v>
      </c>
      <c r="E282" s="1">
        <f>(1+Forudsætninger!$C$78)*C282</f>
        <v>427.23900037245846</v>
      </c>
      <c r="F282" s="2">
        <f t="shared" si="116"/>
        <v>0</v>
      </c>
      <c r="G282" s="1">
        <f t="shared" si="106"/>
        <v>427.23900037245846</v>
      </c>
      <c r="H282" s="3">
        <f t="shared" si="107"/>
        <v>1087.0458975996939</v>
      </c>
      <c r="I282" s="3">
        <f t="shared" si="108"/>
        <v>1279.4250013302089</v>
      </c>
      <c r="J282" s="1">
        <f>VLOOKUP((A282+Forudsætninger!$C$60),'Model tilvækst, slagteform, fe'!G:K,2,FALSE)*(1+Forudsætninger!$C$79)</f>
        <v>51.01208210569866</v>
      </c>
      <c r="K282" s="17">
        <f t="shared" si="104"/>
        <v>217.94350965756473</v>
      </c>
      <c r="L282" s="17">
        <f t="shared" si="117"/>
        <v>589.61152033762687</v>
      </c>
      <c r="M282" s="3">
        <f>((K282-(('Model tilvækst, slagteform, fe'!$H$9/100)*'Model tilvækst, slagteform, fe'!$B$9))*1000/(A282+Forudsætninger!$C$60))</f>
        <v>619.11161639233808</v>
      </c>
      <c r="N282" s="17">
        <f t="shared" si="118"/>
        <v>1621.8587745574373</v>
      </c>
      <c r="O282" s="19">
        <f>IF( A282&lt;Forudsætninger!$C$14,(G282/100)*Forudsætninger!$C$13,(Forudsætninger!$C$15/1000)*Forudsætninger!$C$13)</f>
        <v>2.7770535024209804</v>
      </c>
      <c r="P282" s="17" cm="1">
        <f t="array" ref="P282">INDEX('Model tilvækst, slagteform, fe'!$N$9:$N$375,MATCH(MIN(ABS('Model tilvækst, slagteform, fe'!$M$9:$M$375-'Vækstfunktion, hol'!G282)),ABS('Model tilvækst, slagteform, fe'!$M$9:$M$375-'Vækstfunktion, hol'!G282),0))*(1+Forudsætninger!$C$80)</f>
        <v>7.9905595842358519</v>
      </c>
      <c r="Q282" s="17">
        <f t="shared" si="119"/>
        <v>13.552244670626941</v>
      </c>
      <c r="R282" s="17">
        <f t="shared" si="120"/>
        <v>8.7279391567847071</v>
      </c>
      <c r="S282" s="17">
        <f t="shared" si="109"/>
        <v>4.5273093461940288</v>
      </c>
      <c r="T282" s="19">
        <f>(P282)*IF(N282&lt;Forudsætninger!$B$228,IF(N282&lt;Forudsætninger!$B$227,Forudsætninger!$B$225,Forudsætninger!$C$9),Forudsætninger!$C$11)+O282</f>
        <v>21.474962929532872</v>
      </c>
      <c r="U282" s="2">
        <f>Forudsætninger!$C$68+((K282-(Forudsætninger!$C$84)))*0.01</f>
        <v>3.8764879555642877</v>
      </c>
      <c r="V282" s="2">
        <f>U282+Forudsætninger!$C$69</f>
        <v>2.8764879555642877</v>
      </c>
      <c r="W282">
        <f t="shared" si="110"/>
        <v>1</v>
      </c>
      <c r="X282">
        <f>IF(A282+Forudsætninger!$C$60&gt;248,IF(A282+Forudsætninger!$C$60&lt;365,IF(K282&gt;180,IF(K282&lt;260,1,0),0),0),0)</f>
        <v>1</v>
      </c>
      <c r="Y282" s="22">
        <f>IF(X282=0,0,IF('Vækstfunktion, hol'!A282&lt;Forudsætninger!$C$66,Forudsætninger!$C$67+(('Vækstfunktion, hol'!A282-Forudsætninger!$C$66)/7)*Forudsætninger!$C$64,Forudsætninger!$C$67))</f>
        <v>0.95</v>
      </c>
      <c r="Z282" s="19">
        <f t="shared" si="121"/>
        <v>4760.1346159303475</v>
      </c>
      <c r="AA282" s="19">
        <f>Forudsætninger!$C$62+Forudsætninger!$C$16</f>
        <v>1350</v>
      </c>
      <c r="AB282" s="19">
        <f>IF(K282&gt;Forudsætninger!$C$26,IF(K282&gt;Forudsætninger!$C$27,IF(K282&gt;Forudsætninger!$C$28,Forudsætninger!$E$28,Forudsætninger!$E$27+Forudsætninger!$F$28*(K282-Forudsætninger!$C$27)),Forudsætninger!$E$26+Forudsætninger!$F$27*(K282-Forudsætninger!$C$26)),Forudsætninger!$E$26)+IF(K282&gt;Forudsætninger!$C$28,Forudsætninger!$G$28,IF(K282&gt;Forudsætninger!$C$27,Forudsætninger!$G$27+Forudsætninger!$H$28*(K282-Forudsætninger!$C$27),IF(K282&gt;Forudsætninger!$C$26,Forudsætninger!$G$26+Forudsætninger!$H$27*(K282-Forudsætninger!$C$26),Forudsætninger!$G$26)))*(U282-Forudsætninger!$H$26)</f>
        <v>35.506306772752559</v>
      </c>
      <c r="AC282" s="19">
        <f>IF(K282&gt;Forudsætninger!$C$31,IF(K282&gt;Forudsætninger!$C$32,IF(K282&gt;Forudsætninger!$C$33,Forudsætninger!$E$33,Forudsætninger!$E$32+Forudsætninger!$F$33*(K282-Forudsætninger!$C$32)),Forudsætninger!$E$31+Forudsætninger!$F$32*(K282-Forudsætninger!$C$31)),Forudsætninger!$E$31)+IF(K282&gt;Forudsætninger!$C$33,Forudsætninger!$G$33,IF(K282&gt;Forudsætninger!$C$32,Forudsætninger!$G$32+Forudsætninger!$H$33*(K282-Forudsætninger!$C$32),IF(K282&gt;Forudsætninger!$C$31,Forudsætninger!$G$31+Forudsætninger!$H$32*(K282-Forudsætninger!$C$31),Forudsætninger!$G$31)))*(V282-Forudsætninger!$H$31)</f>
        <v>28.416897885455136</v>
      </c>
      <c r="AD282" s="19">
        <f t="shared" si="111"/>
        <v>7661.1145803170966</v>
      </c>
      <c r="AE282" s="19">
        <f t="shared" si="112"/>
        <v>35.151836328387688</v>
      </c>
      <c r="AF282">
        <f>IF(G282&lt;=Forudsætninger!$C$97,Forudsætninger!$C$98,(IF(G282&lt;=Forudsætninger!$D$97,Forudsætninger!$D$98,IF(G282&lt;=Forudsætninger!$E$97,Forudsætninger!$E$98,IF(G282&lt;=Forudsætninger!$F$97,Forudsætninger!$F$98,IF(G282&lt;=Forudsætninger!$G$97,Forudsætninger!$G$98,IF(G282&lt;=Forudsætninger!$H$97,Forudsætninger!$H$98,IF(G282&lt;=Forudsætninger!$I$97,Forudsætninger!$I$98,Forudsætninger!$I$98))))))))</f>
        <v>4.4000000000000004</v>
      </c>
      <c r="AG282" s="1">
        <f t="shared" si="122"/>
        <v>4.4000000000000004</v>
      </c>
      <c r="AH282" s="1">
        <f t="shared" si="126"/>
        <v>907.19999999999652</v>
      </c>
      <c r="AI282" s="1">
        <f t="shared" si="113"/>
        <v>3.2399999999999878</v>
      </c>
      <c r="AJ282" s="20">
        <f>+(W282*Forudsætninger!$C$12)</f>
        <v>900</v>
      </c>
      <c r="AK282" s="20">
        <f>Forudsætninger!$C$17</f>
        <v>250</v>
      </c>
      <c r="AL282" s="20">
        <f>IF(A282&lt;92,Forudsætninger!$C$20,Forudsætninger!$C$21)</f>
        <v>1.0566762728146013</v>
      </c>
      <c r="AM282" s="20">
        <f t="shared" si="123"/>
        <v>564.37483924137928</v>
      </c>
      <c r="AN282" s="20">
        <f>IFERROR(AD282+AJ282-AA282-Z282-AK282-AM282-Forudsætninger!$C$75,-99999999)</f>
        <v>1454.2109325959752</v>
      </c>
      <c r="AO282" s="19">
        <f>IFERROR(AN282/(A282+Forudsætninger!$C$74),-99999999)</f>
        <v>5.1936104735570545</v>
      </c>
      <c r="AP282" s="19">
        <f>IFERROR(((365/(A282+Forudsætninger!$C$74))*AN282)/(AI282+Forudsætninger!$C$73),-9999999)</f>
        <v>565.87099189502442</v>
      </c>
      <c r="AQ282" s="18">
        <f t="shared" si="114"/>
        <v>280</v>
      </c>
      <c r="AR282" s="18">
        <f t="shared" si="124"/>
        <v>6924.5094551717266</v>
      </c>
      <c r="AS282" s="52">
        <f t="shared" si="105"/>
        <v>10.5</v>
      </c>
      <c r="AT282" s="50">
        <f t="shared" si="127"/>
        <v>1.5683518813996216</v>
      </c>
      <c r="AU282" s="50">
        <f t="shared" si="128"/>
        <v>-1.2993758394829413E-2</v>
      </c>
      <c r="AV282" s="2">
        <f t="shared" si="129"/>
        <v>-2.1206758901925014</v>
      </c>
      <c r="AW282" s="61">
        <f t="shared" si="125"/>
        <v>7.2092348994191235</v>
      </c>
      <c r="BA282" s="16"/>
      <c r="BB282" s="2"/>
    </row>
    <row r="283" spans="1:59" x14ac:dyDescent="0.25">
      <c r="A283">
        <v>281</v>
      </c>
      <c r="B283" s="1">
        <f>ROUND((A283+Forudsætninger!$C$60)/30.4,1)</f>
        <v>10.5</v>
      </c>
      <c r="C283" s="1">
        <f>VLOOKUP((A283+Forudsætninger!$C$60),'Model tilvækst, slagteform, fe'!A:B,2,FALSE)</f>
        <v>460.56141018159565</v>
      </c>
      <c r="D283" s="3">
        <f t="shared" si="115"/>
        <v>1164.635587554244</v>
      </c>
      <c r="E283" s="1">
        <f>(1+Forudsætninger!$C$78)*C283</f>
        <v>428.32211146888392</v>
      </c>
      <c r="F283" s="2">
        <f t="shared" si="116"/>
        <v>0</v>
      </c>
      <c r="G283" s="1">
        <f t="shared" si="106"/>
        <v>428.32211146888392</v>
      </c>
      <c r="H283" s="3">
        <f t="shared" si="107"/>
        <v>1083.1110964254549</v>
      </c>
      <c r="I283" s="3">
        <f t="shared" si="108"/>
        <v>1278.7263753341065</v>
      </c>
      <c r="J283" s="1">
        <f>VLOOKUP((A283+Forudsætninger!$C$60),'Model tilvækst, slagteform, fe'!G:K,2,FALSE)*(1+Forudsætninger!$C$79)</f>
        <v>51.020327274995623</v>
      </c>
      <c r="K283" s="17">
        <f t="shared" si="104"/>
        <v>218.53134306259614</v>
      </c>
      <c r="L283" s="17">
        <f t="shared" si="117"/>
        <v>587.8334050314038</v>
      </c>
      <c r="M283" s="3">
        <f>((K283-(('Model tilvækst, slagteform, fe'!$H$9/100)*'Model tilvækst, slagteform, fe'!$B$9))*1000/(A283+Forudsætninger!$C$60))</f>
        <v>619.01387198183522</v>
      </c>
      <c r="N283" s="17">
        <f t="shared" si="118"/>
        <v>1629.8618971620765</v>
      </c>
      <c r="O283" s="19">
        <f>IF( A283&lt;Forudsætninger!$C$14,(G283/100)*Forudsætninger!$C$13,(Forudsætninger!$C$15/1000)*Forudsætninger!$C$13)</f>
        <v>2.7840937245477453</v>
      </c>
      <c r="P283" s="17" cm="1">
        <f t="array" ref="P283">INDEX('Model tilvækst, slagteform, fe'!$N$9:$N$375,MATCH(MIN(ABS('Model tilvækst, slagteform, fe'!$M$9:$M$375-'Vækstfunktion, hol'!G283)),ABS('Model tilvækst, slagteform, fe'!$M$9:$M$375-'Vækstfunktion, hol'!G283),0))*(1+Forudsætninger!$C$80)</f>
        <v>8.0031226046392057</v>
      </c>
      <c r="Q283" s="17">
        <f t="shared" si="119"/>
        <v>13.614610085338132</v>
      </c>
      <c r="R283" s="17">
        <f t="shared" si="120"/>
        <v>8.7433488629251404</v>
      </c>
      <c r="S283" s="17">
        <f t="shared" si="109"/>
        <v>4.535935432693841</v>
      </c>
      <c r="T283" s="19">
        <f>(P283)*IF(N283&lt;Forudsætninger!$B$228,IF(N283&lt;Forudsætninger!$B$227,Forudsætninger!$B$225,Forudsætninger!$C$9),Forudsætninger!$C$11)+O283</f>
        <v>21.511400619403485</v>
      </c>
      <c r="U283" s="2">
        <f>Forudsætninger!$C$68+((K283-(Forudsætninger!$C$84)))*0.01</f>
        <v>3.8823662896146018</v>
      </c>
      <c r="V283" s="2">
        <f>U283+Forudsætninger!$C$69</f>
        <v>2.8823662896146018</v>
      </c>
      <c r="W283">
        <f t="shared" si="110"/>
        <v>1</v>
      </c>
      <c r="X283">
        <f>IF(A283+Forudsætninger!$C$60&gt;248,IF(A283+Forudsætninger!$C$60&lt;365,IF(K283&gt;180,IF(K283&lt;260,1,0),0),0),0)</f>
        <v>1</v>
      </c>
      <c r="Y283" s="22">
        <f>IF(X283=0,0,IF('Vækstfunktion, hol'!A283&lt;Forudsætninger!$C$66,Forudsætninger!$C$67+(('Vækstfunktion, hol'!A283-Forudsætninger!$C$66)/7)*Forudsætninger!$C$64,Forudsætninger!$C$67))</f>
        <v>0.95</v>
      </c>
      <c r="Z283" s="19">
        <f t="shared" si="121"/>
        <v>4781.646016549751</v>
      </c>
      <c r="AA283" s="19">
        <f>Forudsætninger!$C$62+Forudsætninger!$C$16</f>
        <v>1350</v>
      </c>
      <c r="AB283" s="19">
        <f>IF(K283&gt;Forudsætninger!$C$26,IF(K283&gt;Forudsætninger!$C$27,IF(K283&gt;Forudsætninger!$C$28,Forudsætninger!$E$28,Forudsætninger!$E$27+Forudsætninger!$F$28*(K283-Forudsætninger!$C$27)),Forudsætninger!$E$26+Forudsætninger!$F$27*(K283-Forudsætninger!$C$26)),Forudsætninger!$E$26)+IF(K283&gt;Forudsætninger!$C$28,Forudsætninger!$G$28,IF(K283&gt;Forudsætninger!$C$27,Forudsætninger!$G$27+Forudsætninger!$H$28*(K283-Forudsætninger!$C$27),IF(K283&gt;Forudsætninger!$C$26,Forudsætninger!$G$26+Forudsætninger!$H$27*(K283-Forudsætninger!$C$26),Forudsætninger!$G$26)))*(U283-Forudsætninger!$H$26)</f>
        <v>35.521737399634631</v>
      </c>
      <c r="AC283" s="19">
        <f>IF(K283&gt;Forudsætninger!$C$31,IF(K283&gt;Forudsætninger!$C$32,IF(K283&gt;Forudsætninger!$C$33,Forudsætninger!$E$33,Forudsætninger!$E$32+Forudsætninger!$F$33*(K283-Forudsætninger!$C$32)),Forudsætninger!$E$31+Forudsætninger!$F$32*(K283-Forudsætninger!$C$31)),Forudsætninger!$E$31)+IF(K283&gt;Forudsætninger!$C$33,Forudsætninger!$G$33,IF(K283&gt;Forudsætninger!$C$32,Forudsætninger!$G$32+Forudsætninger!$H$33*(K283-Forudsætninger!$C$32),IF(K283&gt;Forudsætninger!$C$31,Forudsætninger!$G$31+Forudsætninger!$H$32*(K283-Forudsætninger!$C$31),Forudsætninger!$G$31)))*(V283-Forudsætninger!$H$31)</f>
        <v>28.433220987348719</v>
      </c>
      <c r="AD283" s="19">
        <f t="shared" si="111"/>
        <v>7685.1598312641026</v>
      </c>
      <c r="AE283" s="19">
        <f t="shared" si="112"/>
        <v>35.167311579020335</v>
      </c>
      <c r="AF283">
        <f>IF(G283&lt;=Forudsætninger!$C$97,Forudsætninger!$C$98,(IF(G283&lt;=Forudsætninger!$D$97,Forudsætninger!$D$98,IF(G283&lt;=Forudsætninger!$E$97,Forudsætninger!$E$98,IF(G283&lt;=Forudsætninger!$F$97,Forudsætninger!$F$98,IF(G283&lt;=Forudsætninger!$G$97,Forudsætninger!$G$98,IF(G283&lt;=Forudsætninger!$H$97,Forudsætninger!$H$98,IF(G283&lt;=Forudsætninger!$I$97,Forudsætninger!$I$98,Forudsætninger!$I$98))))))))</f>
        <v>4.4000000000000004</v>
      </c>
      <c r="AG283" s="1">
        <f t="shared" si="122"/>
        <v>4.4000000000000004</v>
      </c>
      <c r="AH283" s="1">
        <f t="shared" si="126"/>
        <v>911.5999999999965</v>
      </c>
      <c r="AI283" s="1">
        <f t="shared" si="113"/>
        <v>3.244128113878991</v>
      </c>
      <c r="AJ283" s="20">
        <f>+(W283*Forudsætninger!$C$12)</f>
        <v>900</v>
      </c>
      <c r="AK283" s="20">
        <f>Forudsætninger!$C$17</f>
        <v>250</v>
      </c>
      <c r="AL283" s="20">
        <f>IF(A283&lt;92,Forudsætninger!$C$20,Forudsætninger!$C$21)</f>
        <v>1.0566762728146013</v>
      </c>
      <c r="AM283" s="20">
        <f t="shared" si="123"/>
        <v>565.43151551419385</v>
      </c>
      <c r="AN283" s="20">
        <f>IFERROR(AD283+AJ283-AA283-Z283-AK283-AM283-Forudsætninger!$C$75,-99999999)</f>
        <v>1455.688106650764</v>
      </c>
      <c r="AO283" s="19">
        <f>IFERROR(AN283/(A283+Forudsætninger!$C$74),-99999999)</f>
        <v>5.1803847211770959</v>
      </c>
      <c r="AP283" s="19">
        <f>IFERROR(((365/(A283+Forudsætninger!$C$74))*AN283)/(AI283+Forudsætninger!$C$73),-9999999)</f>
        <v>563.73530140532284</v>
      </c>
      <c r="AQ283" s="18">
        <f t="shared" si="114"/>
        <v>281</v>
      </c>
      <c r="AR283" s="18">
        <f t="shared" si="124"/>
        <v>6947.077532063945</v>
      </c>
      <c r="AS283" s="52">
        <f t="shared" si="105"/>
        <v>10.5</v>
      </c>
      <c r="AT283" s="50">
        <f t="shared" si="127"/>
        <v>1.4771740547887475</v>
      </c>
      <c r="AU283" s="50">
        <f t="shared" si="128"/>
        <v>-1.32257523799586E-2</v>
      </c>
      <c r="AV283" s="2">
        <f t="shared" si="129"/>
        <v>-2.1356904897015738</v>
      </c>
      <c r="AW283" s="61">
        <f t="shared" si="125"/>
        <v>7.1925965201599924</v>
      </c>
      <c r="BA283" s="16"/>
      <c r="BB283" s="2"/>
    </row>
    <row r="284" spans="1:59" x14ac:dyDescent="0.25">
      <c r="A284">
        <v>282</v>
      </c>
      <c r="B284" s="1">
        <f>ROUND((A284+Forudsætninger!$C$60)/30.4,1)</f>
        <v>10.6</v>
      </c>
      <c r="C284" s="1">
        <f>VLOOKUP((A284+Forudsætninger!$C$60),'Model tilvækst, slagteform, fe'!A:B,2,FALSE)</f>
        <v>461.72182561119229</v>
      </c>
      <c r="D284" s="3">
        <f t="shared" si="115"/>
        <v>1160.4154295966396</v>
      </c>
      <c r="E284" s="1">
        <f>(1+Forudsætninger!$C$78)*C284</f>
        <v>429.40129781840881</v>
      </c>
      <c r="F284" s="2">
        <f t="shared" si="116"/>
        <v>0</v>
      </c>
      <c r="G284" s="1">
        <f t="shared" si="106"/>
        <v>429.40129781840881</v>
      </c>
      <c r="H284" s="3">
        <f t="shared" si="107"/>
        <v>1079.186349524889</v>
      </c>
      <c r="I284" s="3">
        <f t="shared" si="108"/>
        <v>1278.0187865901021</v>
      </c>
      <c r="J284" s="1">
        <f>VLOOKUP((A284+Forudsætninger!$C$60),'Model tilvækst, slagteform, fe'!G:K,2,FALSE)*(1+Forudsætninger!$C$79)</f>
        <v>51.028583967885375</v>
      </c>
      <c r="K284" s="17">
        <f t="shared" si="104"/>
        <v>219.11740181645629</v>
      </c>
      <c r="L284" s="17">
        <f t="shared" si="117"/>
        <v>586.05875386015782</v>
      </c>
      <c r="M284" s="3">
        <f>((K284-(('Model tilvækst, slagteform, fe'!$H$9/100)*'Model tilvækst, slagteform, fe'!$B$9))*1000/(A284+Forudsætninger!$C$60))</f>
        <v>618.91120806245294</v>
      </c>
      <c r="N284" s="17">
        <f t="shared" si="118"/>
        <v>1637.8776456894568</v>
      </c>
      <c r="O284" s="19">
        <f>IF( A284&lt;Forudsætninger!$C$14,(G284/100)*Forudsætninger!$C$13,(Forudsætninger!$C$15/1000)*Forudsætninger!$C$13)</f>
        <v>2.7911084358196572</v>
      </c>
      <c r="P284" s="17" cm="1">
        <f t="array" ref="P284">INDEX('Model tilvækst, slagteform, fe'!$N$9:$N$375,MATCH(MIN(ABS('Model tilvækst, slagteform, fe'!$M$9:$M$375-'Vækstfunktion, hol'!G284)),ABS('Model tilvækst, slagteform, fe'!$M$9:$M$375-'Vækstfunktion, hol'!G284),0))*(1+Forudsætninger!$C$80)</f>
        <v>8.0157485273802873</v>
      </c>
      <c r="Q284" s="17">
        <f t="shared" si="119"/>
        <v>13.677380424033325</v>
      </c>
      <c r="R284" s="17">
        <f t="shared" si="120"/>
        <v>8.7588123290023852</v>
      </c>
      <c r="S284" s="17">
        <f t="shared" si="109"/>
        <v>4.5445941943159012</v>
      </c>
      <c r="T284" s="19">
        <f>(P284)*IF(N284&lt;Forudsætninger!$B$228,IF(N284&lt;Forudsætninger!$B$227,Forudsætninger!$B$225,Forudsætninger!$C$9),Forudsætninger!$C$11)+O284</f>
        <v>21.547959989889527</v>
      </c>
      <c r="U284" s="2">
        <f>Forudsætninger!$C$68+((K284-(Forudsætninger!$C$84)))*0.01</f>
        <v>3.8882268771532034</v>
      </c>
      <c r="V284" s="2">
        <f>U284+Forudsætninger!$C$69</f>
        <v>2.8882268771532034</v>
      </c>
      <c r="W284">
        <f t="shared" si="110"/>
        <v>1</v>
      </c>
      <c r="X284">
        <f>IF(A284+Forudsætninger!$C$60&gt;248,IF(A284+Forudsætninger!$C$60&lt;365,IF(K284&gt;180,IF(K284&lt;260,1,0),0),0),0)</f>
        <v>1</v>
      </c>
      <c r="Y284" s="22">
        <f>IF(X284=0,0,IF('Vækstfunktion, hol'!A284&lt;Forudsætninger!$C$66,Forudsætninger!$C$67+(('Vækstfunktion, hol'!A284-Forudsætninger!$C$66)/7)*Forudsætninger!$C$64,Forudsætninger!$C$67))</f>
        <v>0.95</v>
      </c>
      <c r="Z284" s="19">
        <f t="shared" si="121"/>
        <v>4803.193976539641</v>
      </c>
      <c r="AA284" s="19">
        <f>Forudsætninger!$C$62+Forudsætninger!$C$16</f>
        <v>1350</v>
      </c>
      <c r="AB284" s="19">
        <f>IF(K284&gt;Forudsætninger!$C$26,IF(K284&gt;Forudsætninger!$C$27,IF(K284&gt;Forudsætninger!$C$28,Forudsætninger!$E$28,Forudsætninger!$E$27+Forudsætninger!$F$28*(K284-Forudsætninger!$C$27)),Forudsætninger!$E$26+Forudsætninger!$F$27*(K284-Forudsætninger!$C$26)),Forudsætninger!$E$26)+IF(K284&gt;Forudsætninger!$C$28,Forudsætninger!$G$28,IF(K284&gt;Forudsætninger!$C$27,Forudsætninger!$G$27+Forudsætninger!$H$28*(K284-Forudsætninger!$C$27),IF(K284&gt;Forudsætninger!$C$26,Forudsætninger!$G$26+Forudsætninger!$H$27*(K284-Forudsætninger!$C$26),Forudsætninger!$G$26)))*(U284-Forudsætninger!$H$26)</f>
        <v>35.53712144192346</v>
      </c>
      <c r="AC284" s="19">
        <f>IF(K284&gt;Forudsætninger!$C$31,IF(K284&gt;Forudsætninger!$C$32,IF(K284&gt;Forudsætninger!$C$33,Forudsætninger!$E$33,Forudsætninger!$E$32+Forudsætninger!$F$33*(K284-Forudsætninger!$C$32)),Forudsætninger!$E$31+Forudsætninger!$F$32*(K284-Forudsætninger!$C$31)),Forudsætninger!$E$31)+IF(K284&gt;Forudsætninger!$C$33,Forudsætninger!$G$33,IF(K284&gt;Forudsætninger!$C$32,Forudsætninger!$G$32+Forudsætninger!$H$33*(K284-Forudsætninger!$C$32),IF(K284&gt;Forudsætninger!$C$31,Forudsætninger!$G$31+Forudsætninger!$H$32*(K284-Forudsætninger!$C$31),Forudsætninger!$G$31)))*(V284-Forudsætninger!$H$31)</f>
        <v>28.449469011427546</v>
      </c>
      <c r="AD284" s="19">
        <f t="shared" si="111"/>
        <v>7709.1503191127304</v>
      </c>
      <c r="AE284" s="19">
        <f t="shared" si="112"/>
        <v>35.182738820398669</v>
      </c>
      <c r="AF284">
        <f>IF(G284&lt;=Forudsætninger!$C$97,Forudsætninger!$C$98,(IF(G284&lt;=Forudsætninger!$D$97,Forudsætninger!$D$98,IF(G284&lt;=Forudsætninger!$E$97,Forudsætninger!$E$98,IF(G284&lt;=Forudsætninger!$F$97,Forudsætninger!$F$98,IF(G284&lt;=Forudsætninger!$G$97,Forudsætninger!$G$98,IF(G284&lt;=Forudsætninger!$H$97,Forudsætninger!$H$98,IF(G284&lt;=Forudsætninger!$I$97,Forudsætninger!$I$98,Forudsætninger!$I$98))))))))</f>
        <v>4.4000000000000004</v>
      </c>
      <c r="AG284" s="1">
        <f t="shared" si="122"/>
        <v>4.4000000000000004</v>
      </c>
      <c r="AH284" s="1">
        <f t="shared" si="126"/>
        <v>915.99999999999648</v>
      </c>
      <c r="AI284" s="1">
        <f t="shared" si="113"/>
        <v>3.2482269503545975</v>
      </c>
      <c r="AJ284" s="20">
        <f>+(W284*Forudsætninger!$C$12)</f>
        <v>900</v>
      </c>
      <c r="AK284" s="20">
        <f>Forudsætninger!$C$17</f>
        <v>250</v>
      </c>
      <c r="AL284" s="20">
        <f>IF(A284&lt;92,Forudsætninger!$C$20,Forudsætninger!$C$21)</f>
        <v>1.0566762728146013</v>
      </c>
      <c r="AM284" s="20">
        <f t="shared" si="123"/>
        <v>566.48819178700842</v>
      </c>
      <c r="AN284" s="20">
        <f>IFERROR(AD284+AJ284-AA284-Z284-AK284-AM284-Forudsætninger!$C$75,-99999999)</f>
        <v>1457.0739582366864</v>
      </c>
      <c r="AO284" s="19">
        <f>IFERROR(AN284/(A284+Forudsætninger!$C$74),-99999999)</f>
        <v>5.1669289299173276</v>
      </c>
      <c r="AP284" s="19">
        <f>IFERROR(((365/(A284+Forudsætninger!$C$74))*AN284)/(AI284+Forudsætninger!$C$73),-9999999)</f>
        <v>561.58475508056063</v>
      </c>
      <c r="AQ284" s="18">
        <f t="shared" si="114"/>
        <v>282</v>
      </c>
      <c r="AR284" s="18">
        <f t="shared" si="124"/>
        <v>6969.6821683266498</v>
      </c>
      <c r="AS284" s="52">
        <f t="shared" si="105"/>
        <v>10.6</v>
      </c>
      <c r="AT284" s="50">
        <f t="shared" si="127"/>
        <v>1.3858515859224099</v>
      </c>
      <c r="AU284" s="50">
        <f t="shared" si="128"/>
        <v>-1.3455791259768368E-2</v>
      </c>
      <c r="AV284" s="2">
        <f t="shared" si="129"/>
        <v>-2.1505463247622174</v>
      </c>
      <c r="AW284" s="61">
        <f t="shared" si="125"/>
        <v>7.1757523050485634</v>
      </c>
      <c r="BA284" s="16"/>
      <c r="BB284" s="2"/>
    </row>
    <row r="285" spans="1:59" x14ac:dyDescent="0.25">
      <c r="A285">
        <v>283</v>
      </c>
      <c r="B285" s="1">
        <f>ROUND((A285+Forudsætninger!$C$60)/30.4,1)</f>
        <v>10.6</v>
      </c>
      <c r="C285" s="1">
        <f>VLOOKUP((A285+Forudsætninger!$C$60),'Model tilvækst, slagteform, fe'!A:B,2,FALSE)</f>
        <v>462.87803222822583</v>
      </c>
      <c r="D285" s="3">
        <f t="shared" si="115"/>
        <v>1156.206617033547</v>
      </c>
      <c r="E285" s="1">
        <f>(1+Forudsætninger!$C$78)*C285</f>
        <v>430.47656997224999</v>
      </c>
      <c r="F285" s="2">
        <f t="shared" si="116"/>
        <v>0</v>
      </c>
      <c r="G285" s="1">
        <f t="shared" si="106"/>
        <v>430.47656997224999</v>
      </c>
      <c r="H285" s="3">
        <f t="shared" si="107"/>
        <v>1075.2721538411834</v>
      </c>
      <c r="I285" s="3">
        <f t="shared" si="108"/>
        <v>1277.3023673931095</v>
      </c>
      <c r="J285" s="1">
        <f>VLOOKUP((A285+Forudsætninger!$C$60),'Model tilvækst, slagteform, fe'!G:K,2,FALSE)*(1+Forudsætninger!$C$79)</f>
        <v>51.03685193385504</v>
      </c>
      <c r="K285" s="17">
        <f t="shared" si="104"/>
        <v>219.70168962667512</v>
      </c>
      <c r="L285" s="17">
        <f t="shared" si="117"/>
        <v>584.28781021882514</v>
      </c>
      <c r="M285" s="3">
        <f>((K285-(('Model tilvækst, slagteform, fe'!$H$9/100)*'Model tilvækst, slagteform, fe'!$B$9))*1000/(A285+Forudsætninger!$C$60))</f>
        <v>618.80368198219321</v>
      </c>
      <c r="N285" s="17">
        <f t="shared" si="118"/>
        <v>1645.9060813865913</v>
      </c>
      <c r="O285" s="19">
        <f>IF( A285&lt;Forudsætninger!$C$14,(G285/100)*Forudsætninger!$C$13,(Forudsætninger!$C$15/1000)*Forudsætninger!$C$13)</f>
        <v>2.7980977048196252</v>
      </c>
      <c r="P285" s="17" cm="1">
        <f t="array" ref="P285">INDEX('Model tilvækst, slagteform, fe'!$N$9:$N$375,MATCH(MIN(ABS('Model tilvækst, slagteform, fe'!$M$9:$M$375-'Vækstfunktion, hol'!G285)),ABS('Model tilvækst, slagteform, fe'!$M$9:$M$375-'Vækstfunktion, hol'!G285),0))*(1+Forudsætninger!$C$80)</f>
        <v>8.0284356971344231</v>
      </c>
      <c r="Q285" s="17">
        <f t="shared" si="119"/>
        <v>13.740549702941168</v>
      </c>
      <c r="R285" s="17">
        <f t="shared" si="120"/>
        <v>8.7743296431019449</v>
      </c>
      <c r="S285" s="17">
        <f t="shared" si="109"/>
        <v>4.5532856569734106</v>
      </c>
      <c r="T285" s="19">
        <f>(P285)*IF(N285&lt;Forudsætninger!$B$228,IF(N285&lt;Forudsætninger!$B$227,Forudsætninger!$B$225,Forudsætninger!$C$9),Forudsætninger!$C$11)+O285</f>
        <v>21.584637236114173</v>
      </c>
      <c r="U285" s="2">
        <f>Forudsætninger!$C$68+((K285-(Forudsætninger!$C$84)))*0.01</f>
        <v>3.8940697552553916</v>
      </c>
      <c r="V285" s="2">
        <f>U285+Forudsætninger!$C$69</f>
        <v>2.8940697552553916</v>
      </c>
      <c r="W285">
        <f t="shared" si="110"/>
        <v>1</v>
      </c>
      <c r="X285">
        <f>IF(A285+Forudsætninger!$C$60&gt;248,IF(A285+Forudsætninger!$C$60&lt;365,IF(K285&gt;180,IF(K285&lt;260,1,0),0),0),0)</f>
        <v>1</v>
      </c>
      <c r="Y285" s="22">
        <f>IF(X285=0,0,IF('Vækstfunktion, hol'!A285&lt;Forudsætninger!$C$66,Forudsætninger!$C$67+(('Vækstfunktion, hol'!A285-Forudsætninger!$C$66)/7)*Forudsætninger!$C$64,Forudsætninger!$C$67))</f>
        <v>0.95</v>
      </c>
      <c r="Z285" s="19">
        <f t="shared" si="121"/>
        <v>4824.7786137757548</v>
      </c>
      <c r="AA285" s="19">
        <f>Forudsætninger!$C$62+Forudsætninger!$C$16</f>
        <v>1350</v>
      </c>
      <c r="AB285" s="19">
        <f>IF(K285&gt;Forudsætninger!$C$26,IF(K285&gt;Forudsætninger!$C$27,IF(K285&gt;Forudsætninger!$C$28,Forudsætninger!$E$28,Forudsætninger!$E$27+Forudsætninger!$F$28*(K285-Forudsætninger!$C$27)),Forudsætninger!$E$26+Forudsætninger!$F$27*(K285-Forudsætninger!$C$26)),Forudsætninger!$E$26)+IF(K285&gt;Forudsætninger!$C$28,Forudsætninger!$G$28,IF(K285&gt;Forudsætninger!$C$27,Forudsætninger!$G$27+Forudsætninger!$H$28*(K285-Forudsætninger!$C$27),IF(K285&gt;Forudsætninger!$C$26,Forudsætninger!$G$26+Forudsætninger!$H$27*(K285-Forudsætninger!$C$26),Forudsætninger!$G$26)))*(U285-Forudsætninger!$H$26)</f>
        <v>35.552458996941702</v>
      </c>
      <c r="AC285" s="19">
        <f>IF(K285&gt;Forudsætninger!$C$31,IF(K285&gt;Forudsætninger!$C$32,IF(K285&gt;Forudsætninger!$C$33,Forudsætninger!$E$33,Forudsætninger!$E$32+Forudsætninger!$F$33*(K285-Forudsætninger!$C$32)),Forudsætninger!$E$31+Forudsætninger!$F$32*(K285-Forudsætninger!$C$31)),Forudsætninger!$E$31)+IF(K285&gt;Forudsætninger!$C$33,Forudsætninger!$G$33,IF(K285&gt;Forudsætninger!$C$32,Forudsætninger!$G$32+Forudsætninger!$H$33*(K285-Forudsætninger!$C$32),IF(K285&gt;Forudsætninger!$C$31,Forudsætninger!$G$31+Forudsætninger!$H$32*(K285-Forudsætninger!$C$31),Forudsætninger!$G$31)))*(V285-Forudsætninger!$H$31)</f>
        <v>28.465642294247271</v>
      </c>
      <c r="AD285" s="19">
        <f t="shared" si="111"/>
        <v>7733.086031828354</v>
      </c>
      <c r="AE285" s="19">
        <f t="shared" si="112"/>
        <v>35.198118161806981</v>
      </c>
      <c r="AF285">
        <f>IF(G285&lt;=Forudsætninger!$C$97,Forudsætninger!$C$98,(IF(G285&lt;=Forudsætninger!$D$97,Forudsætninger!$D$98,IF(G285&lt;=Forudsætninger!$E$97,Forudsætninger!$E$98,IF(G285&lt;=Forudsætninger!$F$97,Forudsætninger!$F$98,IF(G285&lt;=Forudsætninger!$G$97,Forudsætninger!$G$98,IF(G285&lt;=Forudsætninger!$H$97,Forudsætninger!$H$98,IF(G285&lt;=Forudsætninger!$I$97,Forudsætninger!$I$98,Forudsætninger!$I$98))))))))</f>
        <v>4.4000000000000004</v>
      </c>
      <c r="AG285" s="1">
        <f t="shared" si="122"/>
        <v>4.4000000000000004</v>
      </c>
      <c r="AH285" s="1">
        <f t="shared" si="126"/>
        <v>920.39999999999645</v>
      </c>
      <c r="AI285" s="1">
        <f t="shared" si="113"/>
        <v>3.2522968197879734</v>
      </c>
      <c r="AJ285" s="20">
        <f>+(W285*Forudsætninger!$C$12)</f>
        <v>900</v>
      </c>
      <c r="AK285" s="20">
        <f>Forudsætninger!$C$17</f>
        <v>250</v>
      </c>
      <c r="AL285" s="20">
        <f>IF(A285&lt;92,Forudsætninger!$C$20,Forudsætninger!$C$21)</f>
        <v>1.0566762728146013</v>
      </c>
      <c r="AM285" s="20">
        <f t="shared" si="123"/>
        <v>567.54486805982299</v>
      </c>
      <c r="AN285" s="20">
        <f>IFERROR(AD285+AJ285-AA285-Z285-AK285-AM285-Forudsætninger!$C$75,-99999999)</f>
        <v>1458.3683574433817</v>
      </c>
      <c r="AO285" s="19">
        <f>IFERROR(AN285/(A285+Forudsætninger!$C$74),-99999999)</f>
        <v>5.1532450793052353</v>
      </c>
      <c r="AP285" s="19">
        <f>IFERROR(((365/(A285+Forudsætninger!$C$74))*AN285)/(AI285+Forudsætninger!$C$73),-9999999)</f>
        <v>559.41951432622864</v>
      </c>
      <c r="AQ285" s="18">
        <f t="shared" si="114"/>
        <v>283</v>
      </c>
      <c r="AR285" s="18">
        <f t="shared" si="124"/>
        <v>6992.3234818355777</v>
      </c>
      <c r="AS285" s="52">
        <f t="shared" si="105"/>
        <v>10.6</v>
      </c>
      <c r="AT285" s="50">
        <f t="shared" si="127"/>
        <v>1.2943992066952887</v>
      </c>
      <c r="AU285" s="50">
        <f t="shared" si="128"/>
        <v>-1.3683850612092208E-2</v>
      </c>
      <c r="AV285" s="2">
        <f t="shared" si="129"/>
        <v>-2.1652407543319896</v>
      </c>
      <c r="AW285" s="61">
        <f t="shared" si="125"/>
        <v>7.1587039770431256</v>
      </c>
      <c r="BA285" s="16"/>
      <c r="BB285" s="2"/>
    </row>
    <row r="286" spans="1:59" x14ac:dyDescent="0.25">
      <c r="A286">
        <v>284</v>
      </c>
      <c r="B286" s="1">
        <f>ROUND((A286+Forudsætninger!$C$60)/30.4,1)</f>
        <v>10.6</v>
      </c>
      <c r="C286" s="1">
        <f>VLOOKUP((A286+Forudsætninger!$C$60),'Model tilvækst, slagteform, fe'!A:B,2,FALSE)</f>
        <v>464.03004191243838</v>
      </c>
      <c r="D286" s="3">
        <f t="shared" si="115"/>
        <v>1152.009684212544</v>
      </c>
      <c r="E286" s="1">
        <f>(1+Forudsætninger!$C$78)*C286</f>
        <v>431.54793897856769</v>
      </c>
      <c r="F286" s="2">
        <f t="shared" si="116"/>
        <v>0</v>
      </c>
      <c r="G286" s="1">
        <f t="shared" si="106"/>
        <v>431.54793897856769</v>
      </c>
      <c r="H286" s="3">
        <f t="shared" si="107"/>
        <v>1071.3690063176955</v>
      </c>
      <c r="I286" s="3">
        <f t="shared" si="108"/>
        <v>1276.577249924534</v>
      </c>
      <c r="J286" s="1">
        <f>VLOOKUP((A286+Forudsætninger!$C$60),'Model tilvækst, slagteform, fe'!G:K,2,FALSE)*(1+Forudsætninger!$C$79)</f>
        <v>51.045130922391692</v>
      </c>
      <c r="K286" s="17">
        <f t="shared" si="104"/>
        <v>220.28421044449289</v>
      </c>
      <c r="L286" s="17">
        <f t="shared" si="117"/>
        <v>582.5208178177661</v>
      </c>
      <c r="M286" s="3">
        <f>((K286-(('Model tilvækst, slagteform, fe'!$H$9/100)*'Model tilvækst, slagteform, fe'!$B$9))*1000/(A286+Forudsætninger!$C$60))</f>
        <v>618.691351133387</v>
      </c>
      <c r="N286" s="17">
        <f t="shared" si="118"/>
        <v>1653.9472638451682</v>
      </c>
      <c r="O286" s="19">
        <f>IF( A286&lt;Forudsætninger!$C$14,(G286/100)*Forudsætninger!$C$13,(Forudsætninger!$C$15/1000)*Forudsætninger!$C$13)</f>
        <v>2.8050616033606897</v>
      </c>
      <c r="P286" s="17" cm="1">
        <f t="array" ref="P286">INDEX('Model tilvækst, slagteform, fe'!$N$9:$N$375,MATCH(MIN(ABS('Model tilvækst, slagteform, fe'!$M$9:$M$375-'Vækstfunktion, hol'!G286)),ABS('Model tilvækst, slagteform, fe'!$M$9:$M$375-'Vækstfunktion, hol'!G286),0))*(1+Forudsætninger!$C$80)</f>
        <v>8.041182458576932</v>
      </c>
      <c r="Q286" s="17">
        <f t="shared" si="119"/>
        <v>13.804111737501044</v>
      </c>
      <c r="R286" s="17">
        <f t="shared" si="120"/>
        <v>8.7899008738516233</v>
      </c>
      <c r="S286" s="17">
        <f t="shared" si="109"/>
        <v>4.56200983656107</v>
      </c>
      <c r="T286" s="19">
        <f>(P286)*IF(N286&lt;Forudsætninger!$B$228,IF(N286&lt;Forudsætninger!$B$227,Forudsætninger!$B$225,Forudsætninger!$C$9),Forudsætninger!$C$11)+O286</f>
        <v>21.621428556430708</v>
      </c>
      <c r="U286" s="2">
        <f>Forudsætninger!$C$68+((K286-(Forudsætninger!$C$84)))*0.01</f>
        <v>3.8998949634335691</v>
      </c>
      <c r="V286" s="2">
        <f>U286+Forudsætninger!$C$69</f>
        <v>2.8998949634335691</v>
      </c>
      <c r="W286">
        <f t="shared" si="110"/>
        <v>1</v>
      </c>
      <c r="X286">
        <f>IF(A286+Forudsætninger!$C$60&gt;248,IF(A286+Forudsætninger!$C$60&lt;365,IF(K286&gt;180,IF(K286&lt;260,1,0),0),0),0)</f>
        <v>1</v>
      </c>
      <c r="Y286" s="22">
        <f>IF(X286=0,0,IF('Vækstfunktion, hol'!A286&lt;Forudsætninger!$C$66,Forudsætninger!$C$67+(('Vækstfunktion, hol'!A286-Forudsætninger!$C$66)/7)*Forudsætninger!$C$64,Forudsætninger!$C$67))</f>
        <v>0.95</v>
      </c>
      <c r="Z286" s="19">
        <f t="shared" si="121"/>
        <v>4846.4000423321859</v>
      </c>
      <c r="AA286" s="19">
        <f>Forudsætninger!$C$62+Forudsætninger!$C$16</f>
        <v>1350</v>
      </c>
      <c r="AB286" s="19">
        <f>IF(K286&gt;Forudsætninger!$C$26,IF(K286&gt;Forudsætninger!$C$27,IF(K286&gt;Forudsætninger!$C$28,Forudsætninger!$E$28,Forudsætninger!$E$27+Forudsætninger!$F$28*(K286-Forudsætninger!$C$27)),Forudsætninger!$E$26+Forudsætninger!$F$27*(K286-Forudsætninger!$C$26)),Forudsætninger!$E$26)+IF(K286&gt;Forudsætninger!$C$28,Forudsætninger!$G$28,IF(K286&gt;Forudsætninger!$C$27,Forudsætninger!$G$27+Forudsætninger!$H$28*(K286-Forudsætninger!$C$27),IF(K286&gt;Forudsætninger!$C$26,Forudsætninger!$G$26+Forudsætninger!$H$27*(K286-Forudsætninger!$C$26),Forudsætninger!$G$26)))*(U286-Forudsætninger!$H$26)</f>
        <v>35.567750168409425</v>
      </c>
      <c r="AC286" s="19">
        <f>IF(K286&gt;Forudsætninger!$C$31,IF(K286&gt;Forudsætninger!$C$32,IF(K286&gt;Forudsætninger!$C$33,Forudsætninger!$E$33,Forudsætninger!$E$32+Forudsætninger!$F$33*(K286-Forudsætninger!$C$32)),Forudsætninger!$E$31+Forudsætninger!$F$32*(K286-Forudsætninger!$C$31)),Forudsætninger!$E$31)+IF(K286&gt;Forudsætninger!$C$33,Forudsætninger!$G$33,IF(K286&gt;Forudsætninger!$C$32,Forudsætninger!$G$32+Forudsætninger!$H$33*(K286-Forudsætninger!$C$32),IF(K286&gt;Forudsætninger!$C$31,Forudsætninger!$G$31+Forudsætninger!$H$32*(K286-Forudsætninger!$C$31),Forudsætninger!$G$31)))*(V286-Forudsætninger!$H$31)</f>
        <v>28.481741177737035</v>
      </c>
      <c r="AD286" s="19">
        <f t="shared" si="111"/>
        <v>7756.9669683494076</v>
      </c>
      <c r="AE286" s="19">
        <f t="shared" si="112"/>
        <v>35.213449718875808</v>
      </c>
      <c r="AF286">
        <f>IF(G286&lt;=Forudsætninger!$C$97,Forudsætninger!$C$98,(IF(G286&lt;=Forudsætninger!$D$97,Forudsætninger!$D$98,IF(G286&lt;=Forudsætninger!$E$97,Forudsætninger!$E$98,IF(G286&lt;=Forudsætninger!$F$97,Forudsætninger!$F$98,IF(G286&lt;=Forudsætninger!$G$97,Forudsætninger!$G$98,IF(G286&lt;=Forudsætninger!$H$97,Forudsætninger!$H$98,IF(G286&lt;=Forudsætninger!$I$97,Forudsætninger!$I$98,Forudsætninger!$I$98))))))))</f>
        <v>4.4000000000000004</v>
      </c>
      <c r="AG286" s="1">
        <f t="shared" si="122"/>
        <v>4.4000000000000004</v>
      </c>
      <c r="AH286" s="1">
        <f t="shared" si="126"/>
        <v>924.79999999999643</v>
      </c>
      <c r="AI286" s="1">
        <f t="shared" si="113"/>
        <v>3.2563380281690013</v>
      </c>
      <c r="AJ286" s="20">
        <f>+(W286*Forudsætninger!$C$12)</f>
        <v>900</v>
      </c>
      <c r="AK286" s="20">
        <f>Forudsætninger!$C$17</f>
        <v>250</v>
      </c>
      <c r="AL286" s="20">
        <f>IF(A286&lt;92,Forudsætninger!$C$20,Forudsætninger!$C$21)</f>
        <v>1.0566762728146013</v>
      </c>
      <c r="AM286" s="20">
        <f t="shared" si="123"/>
        <v>568.60154433263756</v>
      </c>
      <c r="AN286" s="20">
        <f>IFERROR(AD286+AJ286-AA286-Z286-AK286-AM286-Forudsætninger!$C$75,-99999999)</f>
        <v>1459.5711891351887</v>
      </c>
      <c r="AO286" s="19">
        <f>IFERROR(AN286/(A286+Forudsætninger!$C$74),-99999999)</f>
        <v>5.1393351730112276</v>
      </c>
      <c r="AP286" s="19">
        <f>IFERROR(((365/(A286+Forudsætninger!$C$74))*AN286)/(AI286+Forudsætninger!$C$73),-9999999)</f>
        <v>557.23974314290808</v>
      </c>
      <c r="AQ286" s="18">
        <f t="shared" si="114"/>
        <v>284</v>
      </c>
      <c r="AR286" s="18">
        <f t="shared" si="124"/>
        <v>7015.0015866648237</v>
      </c>
      <c r="AS286" s="52">
        <f t="shared" si="105"/>
        <v>10.6</v>
      </c>
      <c r="AT286" s="50">
        <f t="shared" si="127"/>
        <v>1.2028316918069777</v>
      </c>
      <c r="AU286" s="50">
        <f t="shared" si="128"/>
        <v>-1.390990629400779E-2</v>
      </c>
      <c r="AV286" s="2">
        <f t="shared" si="129"/>
        <v>-2.179771183320554</v>
      </c>
      <c r="AW286" s="61">
        <f t="shared" si="125"/>
        <v>7.1414532868585434</v>
      </c>
      <c r="BA286" s="16"/>
      <c r="BB286" s="2"/>
    </row>
    <row r="287" spans="1:59" x14ac:dyDescent="0.25">
      <c r="A287">
        <v>285</v>
      </c>
      <c r="B287" s="1">
        <f>ROUND((A287+Forudsætninger!$C$60)/30.4,1)</f>
        <v>10.7</v>
      </c>
      <c r="C287" s="1">
        <f>VLOOKUP((A287+Forudsætninger!$C$60),'Model tilvækst, slagteform, fe'!A:B,2,FALSE)</f>
        <v>465.17786707791942</v>
      </c>
      <c r="D287" s="3">
        <f t="shared" si="115"/>
        <v>1147.8251654810379</v>
      </c>
      <c r="E287" s="1">
        <f>(1+Forudsætninger!$C$78)*C287</f>
        <v>432.61541638246501</v>
      </c>
      <c r="F287" s="2">
        <f t="shared" si="116"/>
        <v>0</v>
      </c>
      <c r="G287" s="1">
        <f t="shared" si="106"/>
        <v>432.61541638246501</v>
      </c>
      <c r="H287" s="3">
        <f t="shared" si="107"/>
        <v>1067.4774038973283</v>
      </c>
      <c r="I287" s="3">
        <f t="shared" si="108"/>
        <v>1275.8435662542631</v>
      </c>
      <c r="J287" s="1">
        <f>VLOOKUP((A287+Forudsætninger!$C$60),'Model tilvækst, slagteform, fe'!G:K,2,FALSE)*(1+Forudsætninger!$C$79)</f>
        <v>51.053420682982484</v>
      </c>
      <c r="K287" s="17">
        <f t="shared" si="104"/>
        <v>220.86496846517619</v>
      </c>
      <c r="L287" s="17">
        <f t="shared" si="117"/>
        <v>580.75802068330518</v>
      </c>
      <c r="M287" s="3">
        <f>((K287-(('Model tilvækst, slagteform, fe'!$H$9/100)*'Model tilvækst, slagteform, fe'!$B$9))*1000/(A287+Forudsætninger!$C$60))</f>
        <v>618.57427295298544</v>
      </c>
      <c r="N287" s="17">
        <f t="shared" si="118"/>
        <v>1662.0012510015513</v>
      </c>
      <c r="O287" s="19">
        <f>IF( A287&lt;Forudsætninger!$C$14,(G287/100)*Forudsætninger!$C$13,(Forudsætninger!$C$15/1000)*Forudsætninger!$C$13)</f>
        <v>2.8120002064860228</v>
      </c>
      <c r="P287" s="17" cm="1">
        <f t="array" ref="P287">INDEX('Model tilvækst, slagteform, fe'!$N$9:$N$375,MATCH(MIN(ABS('Model tilvækst, slagteform, fe'!$M$9:$M$375-'Vækstfunktion, hol'!G287)),ABS('Model tilvækst, slagteform, fe'!$M$9:$M$375-'Vækstfunktion, hol'!G287),0))*(1+Forudsætninger!$C$80)</f>
        <v>8.0539871563831387</v>
      </c>
      <c r="Q287" s="17">
        <f t="shared" si="119"/>
        <v>13.86806013786434</v>
      </c>
      <c r="R287" s="17">
        <f t="shared" si="120"/>
        <v>8.8055260706029124</v>
      </c>
      <c r="S287" s="17">
        <f t="shared" si="109"/>
        <v>4.5707667390355997</v>
      </c>
      <c r="T287" s="19">
        <f>(P287)*IF(N287&lt;Forudsætninger!$B$228,IF(N287&lt;Forudsætninger!$B$227,Forudsætninger!$B$225,Forudsætninger!$C$9),Forudsætninger!$C$11)+O287</f>
        <v>21.658330152422565</v>
      </c>
      <c r="U287" s="2">
        <f>Forudsætninger!$C$68+((K287-(Forudsætninger!$C$84)))*0.01</f>
        <v>3.9057025436404023</v>
      </c>
      <c r="V287" s="2">
        <f>U287+Forudsætninger!$C$69</f>
        <v>2.9057025436404023</v>
      </c>
      <c r="W287">
        <f t="shared" si="110"/>
        <v>1</v>
      </c>
      <c r="X287">
        <f>IF(A287+Forudsætninger!$C$60&gt;248,IF(A287+Forudsætninger!$C$60&lt;365,IF(K287&gt;180,IF(K287&lt;260,1,0),0),0),0)</f>
        <v>1</v>
      </c>
      <c r="Y287" s="22">
        <f>IF(X287=0,0,IF('Vækstfunktion, hol'!A287&lt;Forudsætninger!$C$66,Forudsætninger!$C$67+(('Vækstfunktion, hol'!A287-Forudsætninger!$C$66)/7)*Forudsætninger!$C$64,Forudsætninger!$C$67))</f>
        <v>0.95</v>
      </c>
      <c r="Z287" s="19">
        <f t="shared" si="121"/>
        <v>4868.0583724846083</v>
      </c>
      <c r="AA287" s="19">
        <f>Forudsætninger!$C$62+Forudsætninger!$C$16</f>
        <v>1350</v>
      </c>
      <c r="AB287" s="19">
        <f>IF(K287&gt;Forudsætninger!$C$26,IF(K287&gt;Forudsætninger!$C$27,IF(K287&gt;Forudsætninger!$C$28,Forudsætninger!$E$28,Forudsætninger!$E$27+Forudsætninger!$F$28*(K287-Forudsætninger!$C$27)),Forudsætninger!$E$26+Forudsætninger!$F$27*(K287-Forudsætninger!$C$26)),Forudsætninger!$E$26)+IF(K287&gt;Forudsætninger!$C$28,Forudsætninger!$G$28,IF(K287&gt;Forudsætninger!$C$27,Forudsætninger!$G$27+Forudsætninger!$H$28*(K287-Forudsætninger!$C$27),IF(K287&gt;Forudsætninger!$C$26,Forudsætninger!$G$26+Forudsætninger!$H$27*(K287-Forudsætninger!$C$26),Forudsætninger!$G$26)))*(U287-Forudsætninger!$H$26)</f>
        <v>35.582995066452362</v>
      </c>
      <c r="AC287" s="19">
        <f>IF(K287&gt;Forudsætninger!$C$31,IF(K287&gt;Forudsætninger!$C$32,IF(K287&gt;Forudsætninger!$C$33,Forudsætninger!$E$33,Forudsætninger!$E$32+Forudsætninger!$F$33*(K287-Forudsætninger!$C$32)),Forudsætninger!$E$31+Forudsætninger!$F$32*(K287-Forudsætninger!$C$31)),Forudsætninger!$E$31)+IF(K287&gt;Forudsætninger!$C$33,Forudsætninger!$G$33,IF(K287&gt;Forudsætninger!$C$32,Forudsætninger!$G$32+Forudsætninger!$H$33*(K287-Forudsætninger!$C$32),IF(K287&gt;Forudsætninger!$C$31,Forudsætninger!$G$31+Forudsætninger!$H$32*(K287-Forudsætninger!$C$31),Forudsætninger!$G$31)))*(V287-Forudsætninger!$H$31)</f>
        <v>28.497766009160003</v>
      </c>
      <c r="AD287" s="19">
        <f t="shared" si="111"/>
        <v>7780.7931386331493</v>
      </c>
      <c r="AE287" s="19">
        <f t="shared" si="112"/>
        <v>35.228733613587742</v>
      </c>
      <c r="AF287">
        <f>IF(G287&lt;=Forudsætninger!$C$97,Forudsætninger!$C$98,(IF(G287&lt;=Forudsætninger!$D$97,Forudsætninger!$D$98,IF(G287&lt;=Forudsætninger!$E$97,Forudsætninger!$E$98,IF(G287&lt;=Forudsætninger!$F$97,Forudsætninger!$F$98,IF(G287&lt;=Forudsætninger!$G$97,Forudsætninger!$G$98,IF(G287&lt;=Forudsætninger!$H$97,Forudsætninger!$H$98,IF(G287&lt;=Forudsætninger!$I$97,Forudsætninger!$I$98,Forudsætninger!$I$98))))))))</f>
        <v>4.4000000000000004</v>
      </c>
      <c r="AG287" s="1">
        <f t="shared" si="122"/>
        <v>4.4000000000000004</v>
      </c>
      <c r="AH287" s="1">
        <f t="shared" si="126"/>
        <v>929.19999999999641</v>
      </c>
      <c r="AI287" s="1">
        <f t="shared" si="113"/>
        <v>3.2603508771929697</v>
      </c>
      <c r="AJ287" s="20">
        <f>+(W287*Forudsætninger!$C$12)</f>
        <v>900</v>
      </c>
      <c r="AK287" s="20">
        <f>Forudsætninger!$C$17</f>
        <v>250</v>
      </c>
      <c r="AL287" s="20">
        <f>IF(A287&lt;92,Forudsætninger!$C$20,Forudsætninger!$C$21)</f>
        <v>1.0566762728146013</v>
      </c>
      <c r="AM287" s="20">
        <f t="shared" si="123"/>
        <v>569.65822060545213</v>
      </c>
      <c r="AN287" s="20">
        <f>IFERROR(AD287+AJ287-AA287-Z287-AK287-AM287-Forudsætninger!$C$75,-99999999)</f>
        <v>1460.6823529936942</v>
      </c>
      <c r="AO287" s="19">
        <f>IFERROR(AN287/(A287+Forudsætninger!$C$74),-99999999)</f>
        <v>5.1252012385743653</v>
      </c>
      <c r="AP287" s="19">
        <f>IFERROR(((365/(A287+Forudsætninger!$C$74))*AN287)/(AI287+Forudsætninger!$C$73),-9999999)</f>
        <v>555.04560808151621</v>
      </c>
      <c r="AQ287" s="18">
        <f t="shared" si="114"/>
        <v>285</v>
      </c>
      <c r="AR287" s="18">
        <f t="shared" si="124"/>
        <v>7037.7165930900601</v>
      </c>
      <c r="AS287" s="52">
        <f t="shared" si="105"/>
        <v>10.7</v>
      </c>
      <c r="AT287" s="50">
        <f t="shared" si="127"/>
        <v>1.1111638585055061</v>
      </c>
      <c r="AU287" s="50">
        <f t="shared" si="128"/>
        <v>-1.4133934436862283E-2</v>
      </c>
      <c r="AV287" s="2">
        <f t="shared" si="129"/>
        <v>-2.1941350613918758</v>
      </c>
      <c r="AW287" s="61">
        <f t="shared" si="125"/>
        <v>7.1240020126285835</v>
      </c>
      <c r="BA287" s="16"/>
      <c r="BB287" s="2"/>
    </row>
    <row r="288" spans="1:59" x14ac:dyDescent="0.25">
      <c r="A288">
        <v>286</v>
      </c>
      <c r="B288" s="1">
        <f>ROUND((A288+Forudsætninger!$C$60)/30.4,1)</f>
        <v>10.7</v>
      </c>
      <c r="C288" s="1">
        <f>VLOOKUP((A288+Forudsætninger!$C$60),'Model tilvækst, slagteform, fe'!A:B,2,FALSE)</f>
        <v>466.32152067310523</v>
      </c>
      <c r="D288" s="3">
        <f t="shared" si="115"/>
        <v>1143.6535951858104</v>
      </c>
      <c r="E288" s="1">
        <f>(1+Forudsætninger!$C$78)*C288</f>
        <v>433.67901422598783</v>
      </c>
      <c r="F288" s="2">
        <f t="shared" si="116"/>
        <v>0</v>
      </c>
      <c r="G288" s="1">
        <f t="shared" si="106"/>
        <v>433.67901422598783</v>
      </c>
      <c r="H288" s="3">
        <f t="shared" si="107"/>
        <v>1063.5978435228139</v>
      </c>
      <c r="I288" s="3">
        <f t="shared" si="108"/>
        <v>1275.1014483426147</v>
      </c>
      <c r="J288" s="1">
        <f>VLOOKUP((A288+Forudsætninger!$C$60),'Model tilvækst, slagteform, fe'!G:K,2,FALSE)*(1+Forudsætninger!$C$79)</f>
        <v>51.061720965114517</v>
      </c>
      <c r="K288" s="17">
        <f t="shared" si="104"/>
        <v>221.44396812833321</v>
      </c>
      <c r="L288" s="17">
        <f t="shared" si="117"/>
        <v>578.99966315702045</v>
      </c>
      <c r="M288" s="3">
        <f>((K288-(('Model tilvækst, slagteform, fe'!$H$9/100)*'Model tilvækst, slagteform, fe'!$B$9))*1000/(A288+Forudsætninger!$C$60))</f>
        <v>618.45250492284401</v>
      </c>
      <c r="N288" s="17">
        <f t="shared" si="118"/>
        <v>1670.0552381579344</v>
      </c>
      <c r="O288" s="19">
        <f>IF( A288&lt;Forudsætninger!$C$14,(G288/100)*Forudsætninger!$C$13,(Forudsætninger!$C$15/1000)*Forudsætninger!$C$13)</f>
        <v>2.8189135924689208</v>
      </c>
      <c r="P288" s="17" cm="1">
        <f t="array" ref="P288">INDEX('Model tilvækst, slagteform, fe'!$N$9:$N$375,MATCH(MIN(ABS('Model tilvækst, slagteform, fe'!$M$9:$M$375-'Vækstfunktion, hol'!G288)),ABS('Model tilvækst, slagteform, fe'!$M$9:$M$375-'Vækstfunktion, hol'!G288),0))*(1+Forudsætninger!$C$80)</f>
        <v>8.0539871563831387</v>
      </c>
      <c r="Q288" s="17">
        <f t="shared" si="119"/>
        <v>13.910175892794875</v>
      </c>
      <c r="R288" s="17">
        <f t="shared" si="120"/>
        <v>8.8211373326421416</v>
      </c>
      <c r="S288" s="17">
        <f t="shared" si="109"/>
        <v>4.5795210939201958</v>
      </c>
      <c r="T288" s="19">
        <f>(P288)*IF(N288&lt;Forudsætninger!$B$228,IF(N288&lt;Forudsætninger!$B$227,Forudsætninger!$B$225,Forudsætninger!$C$9),Forudsætninger!$C$11)+O288</f>
        <v>21.665243538405463</v>
      </c>
      <c r="U288" s="2">
        <f>Forudsætninger!$C$68+((K288-(Forudsætninger!$C$84)))*0.01</f>
        <v>3.9114925402719725</v>
      </c>
      <c r="V288" s="2">
        <f>U288+Forudsætninger!$C$69</f>
        <v>2.9114925402719725</v>
      </c>
      <c r="W288">
        <f t="shared" si="110"/>
        <v>1</v>
      </c>
      <c r="X288">
        <f>IF(A288+Forudsætninger!$C$60&gt;248,IF(A288+Forudsætninger!$C$60&lt;365,IF(K288&gt;180,IF(K288&lt;260,1,0),0),0),0)</f>
        <v>1</v>
      </c>
      <c r="Y288" s="22">
        <f>IF(X288=0,0,IF('Vækstfunktion, hol'!A288&lt;Forudsætninger!$C$66,Forudsætninger!$C$67+(('Vækstfunktion, hol'!A288-Forudsætninger!$C$66)/7)*Forudsætninger!$C$64,Forudsætninger!$C$67))</f>
        <v>0.95</v>
      </c>
      <c r="Z288" s="19">
        <f t="shared" si="121"/>
        <v>4889.7236160230141</v>
      </c>
      <c r="AA288" s="19">
        <f>Forudsætninger!$C$62+Forudsætninger!$C$16</f>
        <v>1350</v>
      </c>
      <c r="AB288" s="19">
        <f>IF(K288&gt;Forudsætninger!$C$26,IF(K288&gt;Forudsætninger!$C$27,IF(K288&gt;Forudsætninger!$C$28,Forudsætninger!$E$28,Forudsætninger!$E$27+Forudsætninger!$F$28*(K288-Forudsætninger!$C$27)),Forudsætninger!$E$26+Forudsætninger!$F$27*(K288-Forudsætninger!$C$26)),Forudsætninger!$E$26)+IF(K288&gt;Forudsætninger!$C$28,Forudsætninger!$G$28,IF(K288&gt;Forudsætninger!$C$27,Forudsætninger!$G$27+Forudsætninger!$H$28*(K288-Forudsætninger!$C$27),IF(K288&gt;Forudsætninger!$C$26,Forudsætninger!$G$26+Forudsætninger!$H$27*(K288-Forudsætninger!$C$26),Forudsætninger!$G$26)))*(U288-Forudsætninger!$H$26)</f>
        <v>35.59819380761023</v>
      </c>
      <c r="AC288" s="19">
        <f>IF(K288&gt;Forudsætninger!$C$31,IF(K288&gt;Forudsætninger!$C$32,IF(K288&gt;Forudsætninger!$C$33,Forudsætninger!$E$33,Forudsætninger!$E$32+Forudsætninger!$F$33*(K288-Forudsætninger!$C$32)),Forudsætninger!$E$31+Forudsætninger!$F$32*(K288-Forudsætninger!$C$31)),Forudsætninger!$E$31)+IF(K288&gt;Forudsætninger!$C$33,Forudsætninger!$G$33,IF(K288&gt;Forudsætninger!$C$32,Forudsætninger!$G$32+Forudsætninger!$H$33*(K288-Forudsætninger!$C$32),IF(K288&gt;Forudsætninger!$C$31,Forudsætninger!$G$31+Forudsætninger!$H$32*(K288-Forudsætninger!$C$31),Forudsætninger!$G$31)))*(V288-Forudsætninger!$H$31)</f>
        <v>28.513717141074292</v>
      </c>
      <c r="AD288" s="19">
        <f t="shared" si="111"/>
        <v>7804.564563701153</v>
      </c>
      <c r="AE288" s="19">
        <f t="shared" si="112"/>
        <v>35.243969974283431</v>
      </c>
      <c r="AF288">
        <f>IF(G288&lt;=Forudsætninger!$C$97,Forudsætninger!$C$98,(IF(G288&lt;=Forudsætninger!$D$97,Forudsætninger!$D$98,IF(G288&lt;=Forudsætninger!$E$97,Forudsætninger!$E$98,IF(G288&lt;=Forudsætninger!$F$97,Forudsætninger!$F$98,IF(G288&lt;=Forudsætninger!$G$97,Forudsætninger!$G$98,IF(G288&lt;=Forudsætninger!$H$97,Forudsætninger!$H$98,IF(G288&lt;=Forudsætninger!$I$97,Forudsætninger!$I$98,Forudsætninger!$I$98))))))))</f>
        <v>4.4000000000000004</v>
      </c>
      <c r="AG288" s="1">
        <f t="shared" si="122"/>
        <v>4.4000000000000004</v>
      </c>
      <c r="AH288" s="1">
        <f t="shared" si="126"/>
        <v>933.59999999999638</v>
      </c>
      <c r="AI288" s="1">
        <f t="shared" si="113"/>
        <v>3.2643356643356518</v>
      </c>
      <c r="AJ288" s="20">
        <f>+(W288*Forudsætninger!$C$12)</f>
        <v>900</v>
      </c>
      <c r="AK288" s="20">
        <f>Forudsætninger!$C$17</f>
        <v>250</v>
      </c>
      <c r="AL288" s="20">
        <f>IF(A288&lt;92,Forudsætninger!$C$20,Forudsætninger!$C$21)</f>
        <v>1.0566762728146013</v>
      </c>
      <c r="AM288" s="20">
        <f t="shared" si="123"/>
        <v>570.7148968782667</v>
      </c>
      <c r="AN288" s="20">
        <f>IFERROR(AD288+AJ288-AA288-Z288-AK288-AM288-Forudsætninger!$C$75,-99999999)</f>
        <v>1461.7318582504777</v>
      </c>
      <c r="AO288" s="19">
        <f>IFERROR(AN288/(A288+Forudsætninger!$C$74),-99999999)</f>
        <v>5.1109505533233488</v>
      </c>
      <c r="AP288" s="19">
        <f>IFERROR(((365/(A288+Forudsætninger!$C$74))*AN288)/(AI288+Forudsætninger!$C$73),-9999999)</f>
        <v>552.84866045782269</v>
      </c>
      <c r="AQ288" s="18">
        <f t="shared" si="114"/>
        <v>286</v>
      </c>
      <c r="AR288" s="18">
        <f t="shared" si="124"/>
        <v>7060.4385129012808</v>
      </c>
      <c r="AS288" s="52">
        <f t="shared" si="105"/>
        <v>10.7</v>
      </c>
      <c r="AT288" s="50">
        <f t="shared" si="127"/>
        <v>1.0495052567835046</v>
      </c>
      <c r="AU288" s="50">
        <f t="shared" si="128"/>
        <v>-1.4250685251016471E-2</v>
      </c>
      <c r="AV288" s="2">
        <f t="shared" si="129"/>
        <v>-2.1969476236935179</v>
      </c>
      <c r="AW288" s="61">
        <f t="shared" si="125"/>
        <v>7.1064571857648406</v>
      </c>
      <c r="BA288" s="16"/>
      <c r="BB288" s="2"/>
    </row>
    <row r="289" spans="1:54" x14ac:dyDescent="0.25">
      <c r="A289">
        <v>287</v>
      </c>
      <c r="B289" s="1">
        <f>ROUND((A289+Forudsætninger!$C$60)/30.4,1)</f>
        <v>10.7</v>
      </c>
      <c r="C289" s="1">
        <f>VLOOKUP((A289+Forudsætninger!$C$60),'Model tilvækst, slagteform, fe'!A:B,2,FALSE)</f>
        <v>467.4610161807804</v>
      </c>
      <c r="D289" s="3">
        <f t="shared" si="115"/>
        <v>1139.4955076751785</v>
      </c>
      <c r="E289" s="1">
        <f>(1+Forudsætninger!$C$78)*C289</f>
        <v>434.73874504812574</v>
      </c>
      <c r="F289" s="2">
        <f t="shared" si="116"/>
        <v>0</v>
      </c>
      <c r="G289" s="1">
        <f t="shared" si="106"/>
        <v>434.73874504812574</v>
      </c>
      <c r="H289" s="3">
        <f t="shared" si="107"/>
        <v>1059.730822137908</v>
      </c>
      <c r="I289" s="3">
        <f t="shared" si="108"/>
        <v>1274.3510280422499</v>
      </c>
      <c r="J289" s="1">
        <f>VLOOKUP((A289+Forudsætninger!$C$60),'Model tilvækst, slagteform, fe'!G:K,2,FALSE)*(1+Forudsætninger!$C$79)</f>
        <v>51.070031518274888</v>
      </c>
      <c r="K289" s="17">
        <f t="shared" si="104"/>
        <v>222.02121411823049</v>
      </c>
      <c r="L289" s="17">
        <f t="shared" si="117"/>
        <v>577.24598989727838</v>
      </c>
      <c r="M289" s="3">
        <f>((K289-(('Model tilvækst, slagteform, fe'!$H$9/100)*'Model tilvækst, slagteform, fe'!$B$9))*1000/(A289+Forudsætninger!$C$60))</f>
        <v>618.32610457000499</v>
      </c>
      <c r="N289" s="17">
        <f t="shared" si="118"/>
        <v>1678.1220862931627</v>
      </c>
      <c r="O289" s="19">
        <f>IF( A289&lt;Forudsætninger!$C$14,(G289/100)*Forudsætninger!$C$13,(Forudsætninger!$C$15/1000)*Forudsætninger!$C$13)</f>
        <v>2.8258018428128171</v>
      </c>
      <c r="P289" s="17" cm="1">
        <f t="array" ref="P289">INDEX('Model tilvækst, slagteform, fe'!$N$9:$N$375,MATCH(MIN(ABS('Model tilvækst, slagteform, fe'!$M$9:$M$375-'Vækstfunktion, hol'!G289)),ABS('Model tilvækst, slagteform, fe'!$M$9:$M$375-'Vækstfunktion, hol'!G289),0))*(1+Forudsætninger!$C$80)</f>
        <v>8.0668481352283656</v>
      </c>
      <c r="Q289" s="17">
        <f t="shared" si="119"/>
        <v>13.97471489869314</v>
      </c>
      <c r="R289" s="17">
        <f t="shared" si="120"/>
        <v>8.8368027275748791</v>
      </c>
      <c r="S289" s="17">
        <f t="shared" si="109"/>
        <v>4.5883082091079714</v>
      </c>
      <c r="T289" s="19">
        <f>(P289)*IF(N289&lt;Forudsætninger!$B$228,IF(N289&lt;Forudsætninger!$B$227,Forudsætninger!$B$225,Forudsætninger!$C$9),Forudsætninger!$C$11)+O289</f>
        <v>21.702226479247194</v>
      </c>
      <c r="U289" s="2">
        <f>Forudsætninger!$C$68+((K289-(Forudsætninger!$C$84)))*0.01</f>
        <v>3.917265000170945</v>
      </c>
      <c r="V289" s="2">
        <f>U289+Forudsætninger!$C$69</f>
        <v>2.917265000170945</v>
      </c>
      <c r="W289">
        <f t="shared" si="110"/>
        <v>1</v>
      </c>
      <c r="X289">
        <f>IF(A289+Forudsætninger!$C$60&gt;248,IF(A289+Forudsætninger!$C$60&lt;365,IF(K289&gt;180,IF(K289&lt;260,1,0),0),0),0)</f>
        <v>1</v>
      </c>
      <c r="Y289" s="22">
        <f>IF(X289=0,0,IF('Vækstfunktion, hol'!A289&lt;Forudsætninger!$C$66,Forudsætninger!$C$67+(('Vækstfunktion, hol'!A289-Forudsætninger!$C$66)/7)*Forudsætninger!$C$64,Forudsætninger!$C$67))</f>
        <v>0.95</v>
      </c>
      <c r="Z289" s="19">
        <f t="shared" si="121"/>
        <v>4911.4258425022608</v>
      </c>
      <c r="AA289" s="19">
        <f>Forudsætninger!$C$62+Forudsætninger!$C$16</f>
        <v>1350</v>
      </c>
      <c r="AB289" s="19">
        <f>IF(K289&gt;Forudsætninger!$C$26,IF(K289&gt;Forudsætninger!$C$27,IF(K289&gt;Forudsætninger!$C$28,Forudsætninger!$E$28,Forudsætninger!$E$27+Forudsætninger!$F$28*(K289-Forudsætninger!$C$27)),Forudsætninger!$E$26+Forudsætninger!$F$27*(K289-Forudsætninger!$C$26)),Forudsætninger!$E$26)+IF(K289&gt;Forudsætninger!$C$28,Forudsætninger!$G$28,IF(K289&gt;Forudsætninger!$C$27,Forudsætninger!$G$27+Forudsætninger!$H$28*(K289-Forudsætninger!$C$27),IF(K289&gt;Forudsætninger!$C$26,Forudsætninger!$G$26+Forudsætninger!$H$27*(K289-Forudsætninger!$C$26),Forudsætninger!$G$26)))*(U289-Forudsætninger!$H$26)</f>
        <v>35.613346514845034</v>
      </c>
      <c r="AC289" s="19">
        <f>IF(K289&gt;Forudsætninger!$C$31,IF(K289&gt;Forudsætninger!$C$32,IF(K289&gt;Forudsætninger!$C$33,Forudsætninger!$E$33,Forudsætninger!$E$32+Forudsætninger!$F$33*(K289-Forudsætninger!$C$32)),Forudsætninger!$E$31+Forudsætninger!$F$32*(K289-Forudsætninger!$C$31)),Forudsætninger!$E$31)+IF(K289&gt;Forudsætninger!$C$33,Forudsætninger!$G$33,IF(K289&gt;Forudsætninger!$C$32,Forudsætninger!$G$32+Forudsætninger!$H$33*(K289-Forudsætninger!$C$32),IF(K289&gt;Forudsætninger!$C$31,Forudsætninger!$G$31+Forudsætninger!$H$32*(K289-Forudsætninger!$C$31),Forudsætninger!$G$31)))*(V289-Forudsætninger!$H$31)</f>
        <v>28.529594931294337</v>
      </c>
      <c r="AD289" s="19">
        <f t="shared" si="111"/>
        <v>7828.2812756845542</v>
      </c>
      <c r="AE289" s="19">
        <f t="shared" si="112"/>
        <v>35.2591589356675</v>
      </c>
      <c r="AF289">
        <f>IF(G289&lt;=Forudsætninger!$C$97,Forudsætninger!$C$98,(IF(G289&lt;=Forudsætninger!$D$97,Forudsætninger!$D$98,IF(G289&lt;=Forudsætninger!$E$97,Forudsætninger!$E$98,IF(G289&lt;=Forudsætninger!$F$97,Forudsætninger!$F$98,IF(G289&lt;=Forudsætninger!$G$97,Forudsætninger!$G$98,IF(G289&lt;=Forudsætninger!$H$97,Forudsætninger!$H$98,IF(G289&lt;=Forudsætninger!$I$97,Forudsætninger!$I$98,Forudsætninger!$I$98))))))))</f>
        <v>4.4000000000000004</v>
      </c>
      <c r="AG289" s="1">
        <f t="shared" si="122"/>
        <v>4.4000000000000004</v>
      </c>
      <c r="AH289" s="1">
        <f t="shared" si="126"/>
        <v>937.99999999999636</v>
      </c>
      <c r="AI289" s="1">
        <f t="shared" si="113"/>
        <v>3.2682926829268166</v>
      </c>
      <c r="AJ289" s="20">
        <f>+(W289*Forudsætninger!$C$12)</f>
        <v>900</v>
      </c>
      <c r="AK289" s="20">
        <f>Forudsætninger!$C$17</f>
        <v>250</v>
      </c>
      <c r="AL289" s="20">
        <f>IF(A289&lt;92,Forudsætninger!$C$20,Forudsætninger!$C$21)</f>
        <v>1.0566762728146013</v>
      </c>
      <c r="AM289" s="20">
        <f t="shared" si="123"/>
        <v>571.77157315108127</v>
      </c>
      <c r="AN289" s="20">
        <f>IFERROR(AD289+AJ289-AA289-Z289-AK289-AM289-Forudsætninger!$C$75,-99999999)</f>
        <v>1462.6896674818177</v>
      </c>
      <c r="AO289" s="19">
        <f>IFERROR(AN289/(A289+Forudsætninger!$C$74),-99999999)</f>
        <v>5.0964796776369949</v>
      </c>
      <c r="AP289" s="19">
        <f>IFERROR(((365/(A289+Forudsætninger!$C$74))*AN289)/(AI289+Forudsætninger!$C$73),-9999999)</f>
        <v>550.63763176548923</v>
      </c>
      <c r="AQ289" s="18">
        <f t="shared" si="114"/>
        <v>287</v>
      </c>
      <c r="AR289" s="18">
        <f t="shared" si="124"/>
        <v>7083.1974156533424</v>
      </c>
      <c r="AS289" s="52">
        <f t="shared" si="105"/>
        <v>10.7</v>
      </c>
      <c r="AT289" s="50">
        <f t="shared" si="127"/>
        <v>0.95780923133997931</v>
      </c>
      <c r="AU289" s="50">
        <f t="shared" si="128"/>
        <v>-1.4470875686353857E-2</v>
      </c>
      <c r="AV289" s="2">
        <f t="shared" si="129"/>
        <v>-2.211028692333457</v>
      </c>
      <c r="AW289" s="61">
        <f t="shared" si="125"/>
        <v>7.0887151241564421</v>
      </c>
      <c r="BA289" s="16"/>
      <c r="BB289" s="2"/>
    </row>
    <row r="290" spans="1:54" x14ac:dyDescent="0.25">
      <c r="A290">
        <v>288</v>
      </c>
      <c r="B290" s="1">
        <f>ROUND((A290+Forudsætninger!$C$60)/30.4,1)</f>
        <v>10.8</v>
      </c>
      <c r="C290" s="1">
        <f>VLOOKUP((A290+Forudsætninger!$C$60),'Model tilvækst, slagteform, fe'!A:B,2,FALSE)</f>
        <v>468.59636761807667</v>
      </c>
      <c r="D290" s="3">
        <f t="shared" si="115"/>
        <v>1135.351437296265</v>
      </c>
      <c r="E290" s="1">
        <f>(1+Forudsætninger!$C$78)*C290</f>
        <v>435.79462188481125</v>
      </c>
      <c r="F290" s="2">
        <f t="shared" si="116"/>
        <v>0</v>
      </c>
      <c r="G290" s="1">
        <f t="shared" si="106"/>
        <v>435.79462188481125</v>
      </c>
      <c r="H290" s="3">
        <f t="shared" si="107"/>
        <v>1055.8768366855134</v>
      </c>
      <c r="I290" s="3">
        <f t="shared" si="108"/>
        <v>1273.5924371000392</v>
      </c>
      <c r="J290" s="1">
        <f>VLOOKUP((A290+Forudsætninger!$C$60),'Model tilvækst, slagteform, fe'!G:K,2,FALSE)*(1+Forudsætninger!$C$79)</f>
        <v>51.078352091950741</v>
      </c>
      <c r="K290" s="17">
        <f t="shared" si="104"/>
        <v>222.5967113641093</v>
      </c>
      <c r="L290" s="17">
        <f t="shared" si="117"/>
        <v>575.49724587880746</v>
      </c>
      <c r="M290" s="3">
        <f>((K290-(('Model tilvækst, slagteform, fe'!$H$9/100)*'Model tilvækst, slagteform, fe'!$B$9))*1000/(A290+Forudsætninger!$C$60))</f>
        <v>618.19512946697375</v>
      </c>
      <c r="N290" s="17">
        <f t="shared" si="118"/>
        <v>1686.2018500329507</v>
      </c>
      <c r="O290" s="19">
        <f>IF( A290&lt;Forudsætninger!$C$14,(G290/100)*Forudsætninger!$C$13,(Forudsætninger!$C$15/1000)*Forudsætninger!$C$13)</f>
        <v>2.8326650422512731</v>
      </c>
      <c r="P290" s="17" cm="1">
        <f t="array" ref="P290">INDEX('Model tilvækst, slagteform, fe'!$N$9:$N$375,MATCH(MIN(ABS('Model tilvækst, slagteform, fe'!$M$9:$M$375-'Vækstfunktion, hol'!G290)),ABS('Model tilvækst, slagteform, fe'!$M$9:$M$375-'Vækstfunktion, hol'!G290),0))*(1+Forudsætninger!$C$80)</f>
        <v>8.0797637397879374</v>
      </c>
      <c r="Q290" s="17">
        <f t="shared" si="119"/>
        <v>14.039621905487685</v>
      </c>
      <c r="R290" s="17">
        <f t="shared" si="120"/>
        <v>8.8525222536238086</v>
      </c>
      <c r="S290" s="17">
        <f t="shared" si="109"/>
        <v>4.5971280641145498</v>
      </c>
      <c r="T290" s="19">
        <f>(P290)*IF(N290&lt;Forudsætninger!$B$228,IF(N290&lt;Forudsætninger!$B$227,Forudsætninger!$B$225,Forudsætninger!$C$9),Forudsætninger!$C$11)+O290</f>
        <v>21.739312193355047</v>
      </c>
      <c r="U290" s="2">
        <f>Forudsætninger!$C$68+((K290-(Forudsætninger!$C$84)))*0.01</f>
        <v>3.9230199726297332</v>
      </c>
      <c r="V290" s="2">
        <f>U290+Forudsætninger!$C$69</f>
        <v>2.9230199726297332</v>
      </c>
      <c r="W290">
        <f t="shared" si="110"/>
        <v>1</v>
      </c>
      <c r="X290">
        <f>IF(A290+Forudsætninger!$C$60&gt;248,IF(A290+Forudsætninger!$C$60&lt;365,IF(K290&gt;180,IF(K290&lt;260,1,0),0),0),0)</f>
        <v>1</v>
      </c>
      <c r="Y290" s="22">
        <f>IF(X290=0,0,IF('Vækstfunktion, hol'!A290&lt;Forudsætninger!$C$66,Forudsætninger!$C$67+(('Vækstfunktion, hol'!A290-Forudsætninger!$C$66)/7)*Forudsætninger!$C$64,Forudsætninger!$C$67))</f>
        <v>0.95</v>
      </c>
      <c r="Z290" s="19">
        <f t="shared" si="121"/>
        <v>4933.1651546956155</v>
      </c>
      <c r="AA290" s="19">
        <f>Forudsætninger!$C$62+Forudsætninger!$C$16</f>
        <v>1350</v>
      </c>
      <c r="AB290" s="19">
        <f>IF(K290&gt;Forudsætninger!$C$26,IF(K290&gt;Forudsætninger!$C$27,IF(K290&gt;Forudsætninger!$C$28,Forudsætninger!$E$28,Forudsætninger!$E$27+Forudsætninger!$F$28*(K290-Forudsætninger!$C$27)),Forudsætninger!$E$26+Forudsætninger!$F$27*(K290-Forudsætninger!$C$26)),Forudsætninger!$E$26)+IF(K290&gt;Forudsætninger!$C$28,Forudsætninger!$G$28,IF(K290&gt;Forudsætninger!$C$27,Forudsætninger!$G$27+Forudsætninger!$H$28*(K290-Forudsætninger!$C$27),IF(K290&gt;Forudsætninger!$C$26,Forudsætninger!$G$26+Forudsætninger!$H$27*(K290-Forudsætninger!$C$26),Forudsætninger!$G$26)))*(U290-Forudsætninger!$H$26)</f>
        <v>35.628453317549351</v>
      </c>
      <c r="AC290" s="19">
        <f>IF(K290&gt;Forudsætninger!$C$31,IF(K290&gt;Forudsætninger!$C$32,IF(K290&gt;Forudsætninger!$C$33,Forudsætninger!$E$33,Forudsætninger!$E$32+Forudsætninger!$F$33*(K290-Forudsætninger!$C$32)),Forudsætninger!$E$31+Forudsætninger!$F$32*(K290-Forudsætninger!$C$31)),Forudsætninger!$E$31)+IF(K290&gt;Forudsætninger!$C$33,Forudsætninger!$G$33,IF(K290&gt;Forudsætninger!$C$32,Forudsætninger!$G$32+Forudsætninger!$H$33*(K290-Forudsætninger!$C$32),IF(K290&gt;Forudsætninger!$C$31,Forudsætninger!$G$31+Forudsætninger!$H$32*(K290-Forudsætninger!$C$31),Forudsætninger!$G$31)))*(V290-Forudsætninger!$H$31)</f>
        <v>28.54539974285262</v>
      </c>
      <c r="AD290" s="19">
        <f t="shared" si="111"/>
        <v>7851.9433178690097</v>
      </c>
      <c r="AE290" s="19">
        <f t="shared" si="112"/>
        <v>35.274300638814509</v>
      </c>
      <c r="AF290">
        <f>IF(G290&lt;=Forudsætninger!$C$97,Forudsætninger!$C$98,(IF(G290&lt;=Forudsætninger!$D$97,Forudsætninger!$D$98,IF(G290&lt;=Forudsætninger!$E$97,Forudsætninger!$E$98,IF(G290&lt;=Forudsætninger!$F$97,Forudsætninger!$F$98,IF(G290&lt;=Forudsætninger!$G$97,Forudsætninger!$G$98,IF(G290&lt;=Forudsætninger!$H$97,Forudsætninger!$H$98,IF(G290&lt;=Forudsætninger!$I$97,Forudsætninger!$I$98,Forudsætninger!$I$98))))))))</f>
        <v>4.4000000000000004</v>
      </c>
      <c r="AG290" s="1">
        <f t="shared" si="122"/>
        <v>4.4000000000000004</v>
      </c>
      <c r="AH290" s="1">
        <f t="shared" si="126"/>
        <v>942.39999999999634</v>
      </c>
      <c r="AI290" s="1">
        <f t="shared" si="113"/>
        <v>3.2722222222222097</v>
      </c>
      <c r="AJ290" s="20">
        <f>+(W290*Forudsætninger!$C$12)</f>
        <v>900</v>
      </c>
      <c r="AK290" s="20">
        <f>Forudsætninger!$C$17</f>
        <v>250</v>
      </c>
      <c r="AL290" s="20">
        <f>IF(A290&lt;92,Forudsætninger!$C$20,Forudsætninger!$C$21)</f>
        <v>1.0566762728146013</v>
      </c>
      <c r="AM290" s="20">
        <f t="shared" si="123"/>
        <v>572.82824942389584</v>
      </c>
      <c r="AN290" s="20">
        <f>IFERROR(AD290+AJ290-AA290-Z290-AK290-AM290-Forudsætninger!$C$75,-99999999)</f>
        <v>1463.5557212001029</v>
      </c>
      <c r="AO290" s="19">
        <f>IFERROR(AN290/(A290+Forudsætninger!$C$74),-99999999)</f>
        <v>5.081790698611468</v>
      </c>
      <c r="AP290" s="19">
        <f>IFERROR(((365/(A290+Forudsætninger!$C$74))*AN290)/(AI290+Forudsætninger!$C$73),-9999999)</f>
        <v>548.41269530022134</v>
      </c>
      <c r="AQ290" s="18">
        <f t="shared" si="114"/>
        <v>288</v>
      </c>
      <c r="AR290" s="18">
        <f t="shared" si="124"/>
        <v>7105.9934041195111</v>
      </c>
      <c r="AS290" s="52">
        <f t="shared" si="105"/>
        <v>10.8</v>
      </c>
      <c r="AT290" s="50">
        <f t="shared" si="127"/>
        <v>0.86605371828522948</v>
      </c>
      <c r="AU290" s="50">
        <f t="shared" si="128"/>
        <v>-1.4688979025526905E-2</v>
      </c>
      <c r="AV290" s="2">
        <f t="shared" si="129"/>
        <v>-2.2249364652678878</v>
      </c>
      <c r="AW290" s="61">
        <f t="shared" si="125"/>
        <v>7.0707776757777729</v>
      </c>
      <c r="BA290" s="16"/>
      <c r="BB290" s="2"/>
    </row>
    <row r="291" spans="1:54" x14ac:dyDescent="0.25">
      <c r="A291">
        <v>289</v>
      </c>
      <c r="B291" s="1">
        <f>ROUND((A291+Forudsætninger!$C$60)/30.4,1)</f>
        <v>10.8</v>
      </c>
      <c r="C291" s="1">
        <f>VLOOKUP((A291+Forudsætninger!$C$60),'Model tilvækst, slagteform, fe'!A:B,2,FALSE)</f>
        <v>469.72758953647315</v>
      </c>
      <c r="D291" s="3">
        <f t="shared" si="115"/>
        <v>1131.2219183964771</v>
      </c>
      <c r="E291" s="1">
        <f>(1+Forudsætninger!$C$78)*C291</f>
        <v>436.84665826892001</v>
      </c>
      <c r="F291" s="2">
        <f t="shared" si="116"/>
        <v>0</v>
      </c>
      <c r="G291" s="1">
        <f t="shared" si="106"/>
        <v>436.84665826892001</v>
      </c>
      <c r="H291" s="3">
        <f t="shared" si="107"/>
        <v>1052.0363841087601</v>
      </c>
      <c r="I291" s="3">
        <f t="shared" si="108"/>
        <v>1272.8258071588928</v>
      </c>
      <c r="J291" s="1">
        <f>VLOOKUP((A291+Forudsætninger!$C$60),'Model tilvækst, slagteform, fe'!G:K,2,FALSE)*(1+Forudsætninger!$C$79)</f>
        <v>51.086682435629157</v>
      </c>
      <c r="K291" s="17">
        <f t="shared" si="104"/>
        <v>223.17046504050131</v>
      </c>
      <c r="L291" s="17">
        <f t="shared" si="117"/>
        <v>573.75367639201613</v>
      </c>
      <c r="M291" s="3">
        <f>((K291-(('Model tilvækst, slagteform, fe'!$H$9/100)*'Model tilvækst, slagteform, fe'!$B$9))*1000/(A291+Forudsætninger!$C$60))</f>
        <v>618.05963723198909</v>
      </c>
      <c r="N291" s="17">
        <f t="shared" si="118"/>
        <v>1694.2945823476878</v>
      </c>
      <c r="O291" s="19">
        <f>IF( A291&lt;Forudsætninger!$C$14,(G291/100)*Forudsætninger!$C$13,(Forudsætninger!$C$15/1000)*Forudsætninger!$C$13)</f>
        <v>2.8395032787479799</v>
      </c>
      <c r="P291" s="17" cm="1">
        <f t="array" ref="P291">INDEX('Model tilvækst, slagteform, fe'!$N$9:$N$375,MATCH(MIN(ABS('Model tilvækst, slagteform, fe'!$M$9:$M$375-'Vækstfunktion, hol'!G291)),ABS('Model tilvækst, slagteform, fe'!$M$9:$M$375-'Vækstfunktion, hol'!G291),0))*(1+Forudsætninger!$C$80)</f>
        <v>8.0927323147371748</v>
      </c>
      <c r="Q291" s="17">
        <f t="shared" si="119"/>
        <v>14.104889689992731</v>
      </c>
      <c r="R291" s="17">
        <f t="shared" si="120"/>
        <v>8.8682958903360785</v>
      </c>
      <c r="S291" s="17">
        <f t="shared" si="109"/>
        <v>4.605980628778874</v>
      </c>
      <c r="T291" s="19">
        <f>(P291)*IF(N291&lt;Forudsætninger!$B$228,IF(N291&lt;Forudsætninger!$B$227,Forudsætninger!$B$225,Forudsætninger!$C$9),Forudsætninger!$C$11)+O291</f>
        <v>21.776496895232967</v>
      </c>
      <c r="U291" s="2">
        <f>Forudsætninger!$C$68+((K291-(Forudsætninger!$C$84)))*0.01</f>
        <v>3.9287575093936535</v>
      </c>
      <c r="V291" s="2">
        <f>U291+Forudsætninger!$C$69</f>
        <v>2.9287575093936535</v>
      </c>
      <c r="W291">
        <f t="shared" si="110"/>
        <v>1</v>
      </c>
      <c r="X291">
        <f>IF(A291+Forudsætninger!$C$60&gt;248,IF(A291+Forudsætninger!$C$60&lt;365,IF(K291&gt;180,IF(K291&lt;260,1,0),0),0),0)</f>
        <v>1</v>
      </c>
      <c r="Y291" s="22">
        <f>IF(X291=0,0,IF('Vækstfunktion, hol'!A291&lt;Forudsætninger!$C$66,Forudsætninger!$C$67+(('Vækstfunktion, hol'!A291-Forudsætninger!$C$66)/7)*Forudsætninger!$C$64,Forudsætninger!$C$67))</f>
        <v>0.95</v>
      </c>
      <c r="Z291" s="19">
        <f t="shared" si="121"/>
        <v>4954.9416515908488</v>
      </c>
      <c r="AA291" s="19">
        <f>Forudsætninger!$C$62+Forudsætninger!$C$16</f>
        <v>1350</v>
      </c>
      <c r="AB291" s="19">
        <f>IF(K291&gt;Forudsætninger!$C$26,IF(K291&gt;Forudsætninger!$C$27,IF(K291&gt;Forudsætninger!$C$28,Forudsætninger!$E$28,Forudsætninger!$E$27+Forudsætninger!$F$28*(K291-Forudsætninger!$C$27)),Forudsætninger!$E$26+Forudsætninger!$F$27*(K291-Forudsætninger!$C$26)),Forudsætninger!$E$26)+IF(K291&gt;Forudsætninger!$C$28,Forudsætninger!$G$28,IF(K291&gt;Forudsætninger!$C$27,Forudsætninger!$G$27+Forudsætninger!$H$28*(K291-Forudsætninger!$C$27),IF(K291&gt;Forudsætninger!$C$26,Forudsætninger!$G$26+Forudsætninger!$H$27*(K291-Forudsætninger!$C$26),Forudsætninger!$G$26)))*(U291-Forudsætninger!$H$26)</f>
        <v>35.643514351554643</v>
      </c>
      <c r="AC291" s="19">
        <f>IF(K291&gt;Forudsætninger!$C$31,IF(K291&gt;Forudsætninger!$C$32,IF(K291&gt;Forudsætninger!$C$33,Forudsætninger!$E$33,Forudsætninger!$E$32+Forudsætninger!$F$33*(K291-Forudsætninger!$C$32)),Forudsætninger!$E$31+Forudsætninger!$F$32*(K291-Forudsætninger!$C$31)),Forudsætninger!$E$31)+IF(K291&gt;Forudsætninger!$C$33,Forudsætninger!$G$33,IF(K291&gt;Forudsætninger!$C$32,Forudsætninger!$G$32+Forudsætninger!$H$33*(K291-Forudsætninger!$C$32),IF(K291&gt;Forudsætninger!$C$31,Forudsætninger!$G$31+Forudsætninger!$H$32*(K291-Forudsætninger!$C$31),Forudsætninger!$G$31)))*(V291-Forudsætninger!$H$31)</f>
        <v>28.561131943961744</v>
      </c>
      <c r="AD291" s="19">
        <f t="shared" si="111"/>
        <v>7875.550744739372</v>
      </c>
      <c r="AE291" s="19">
        <f t="shared" si="112"/>
        <v>35.289395231174993</v>
      </c>
      <c r="AF291">
        <f>IF(G291&lt;=Forudsætninger!$C$97,Forudsætninger!$C$98,(IF(G291&lt;=Forudsætninger!$D$97,Forudsætninger!$D$98,IF(G291&lt;=Forudsætninger!$E$97,Forudsætninger!$E$98,IF(G291&lt;=Forudsætninger!$F$97,Forudsætninger!$F$98,IF(G291&lt;=Forudsætninger!$G$97,Forudsætninger!$G$98,IF(G291&lt;=Forudsætninger!$H$97,Forudsætninger!$H$98,IF(G291&lt;=Forudsætninger!$I$97,Forudsætninger!$I$98,Forudsætninger!$I$98))))))))</f>
        <v>4.4000000000000004</v>
      </c>
      <c r="AG291" s="1">
        <f t="shared" si="122"/>
        <v>4.4000000000000004</v>
      </c>
      <c r="AH291" s="1">
        <f t="shared" si="126"/>
        <v>946.79999999999632</v>
      </c>
      <c r="AI291" s="1">
        <f t="shared" si="113"/>
        <v>3.2761245674740356</v>
      </c>
      <c r="AJ291" s="20">
        <f>+(W291*Forudsætninger!$C$12)</f>
        <v>900</v>
      </c>
      <c r="AK291" s="20">
        <f>Forudsætninger!$C$17</f>
        <v>250</v>
      </c>
      <c r="AL291" s="20">
        <f>IF(A291&lt;92,Forudsætninger!$C$20,Forudsætninger!$C$21)</f>
        <v>1.0566762728146013</v>
      </c>
      <c r="AM291" s="20">
        <f t="shared" si="123"/>
        <v>573.88492569671041</v>
      </c>
      <c r="AN291" s="20">
        <f>IFERROR(AD291+AJ291-AA291-Z291-AK291-AM291-Forudsætninger!$C$75,-99999999)</f>
        <v>1464.3299749024181</v>
      </c>
      <c r="AO291" s="19">
        <f>IFERROR(AN291/(A291+Forudsætninger!$C$74),-99999999)</f>
        <v>5.0668857263059452</v>
      </c>
      <c r="AP291" s="19">
        <f>IFERROR(((365/(A291+Forudsætninger!$C$74))*AN291)/(AI291+Forudsætninger!$C$73),-9999999)</f>
        <v>546.17402675214817</v>
      </c>
      <c r="AQ291" s="18">
        <f t="shared" si="114"/>
        <v>289</v>
      </c>
      <c r="AR291" s="18">
        <f t="shared" si="124"/>
        <v>7128.8265772875593</v>
      </c>
      <c r="AS291" s="52">
        <f t="shared" si="105"/>
        <v>10.8</v>
      </c>
      <c r="AT291" s="50">
        <f t="shared" si="127"/>
        <v>0.77425370231526358</v>
      </c>
      <c r="AU291" s="50">
        <f t="shared" si="128"/>
        <v>-1.490497230552279E-2</v>
      </c>
      <c r="AV291" s="2">
        <f t="shared" si="129"/>
        <v>-2.2386685480731785</v>
      </c>
      <c r="AW291" s="61">
        <f t="shared" si="125"/>
        <v>7.0526467148758778</v>
      </c>
      <c r="BA291" s="16"/>
      <c r="BB291" s="2"/>
    </row>
    <row r="292" spans="1:54" x14ac:dyDescent="0.25">
      <c r="A292">
        <v>290</v>
      </c>
      <c r="B292" s="1">
        <f>ROUND((A292+Forudsætninger!$C$60)/30.4,1)</f>
        <v>10.8</v>
      </c>
      <c r="C292" s="1">
        <f>VLOOKUP((A292+Forudsætninger!$C$60),'Model tilvækst, slagteform, fe'!A:B,2,FALSE)</f>
        <v>470.8546970217962</v>
      </c>
      <c r="D292" s="3">
        <f t="shared" si="115"/>
        <v>1127.1074853230516</v>
      </c>
      <c r="E292" s="1">
        <f>(1+Forudsætninger!$C$78)*C292</f>
        <v>437.89486823027045</v>
      </c>
      <c r="F292" s="2">
        <f t="shared" si="116"/>
        <v>0</v>
      </c>
      <c r="G292" s="1">
        <f t="shared" si="106"/>
        <v>437.89486823027045</v>
      </c>
      <c r="H292" s="3">
        <f t="shared" si="107"/>
        <v>1048.2099613504374</v>
      </c>
      <c r="I292" s="3">
        <f t="shared" si="108"/>
        <v>1272.0512697595532</v>
      </c>
      <c r="J292" s="1">
        <f>VLOOKUP((A292+Forudsætninger!$C$60),'Model tilvækst, slagteform, fe'!G:K,2,FALSE)*(1+Forudsætninger!$C$79)</f>
        <v>51.095022298797268</v>
      </c>
      <c r="K292" s="17">
        <f t="shared" si="104"/>
        <v>223.74248056754558</v>
      </c>
      <c r="L292" s="17">
        <f t="shared" si="117"/>
        <v>572.01552704427172</v>
      </c>
      <c r="M292" s="3">
        <f>((K292-(('Model tilvækst, slagteform, fe'!$H$9/100)*'Model tilvækst, slagteform, fe'!$B$9))*1000/(A292+Forudsætninger!$C$60))</f>
        <v>617.91968552929075</v>
      </c>
      <c r="N292" s="17">
        <f t="shared" si="118"/>
        <v>1702.4003345524391</v>
      </c>
      <c r="O292" s="19">
        <f>IF( A292&lt;Forudsætninger!$C$14,(G292/100)*Forudsætninger!$C$13,(Forudsætninger!$C$15/1000)*Forudsætninger!$C$13)</f>
        <v>2.8463166434967579</v>
      </c>
      <c r="P292" s="17" cm="1">
        <f t="array" ref="P292">INDEX('Model tilvækst, slagteform, fe'!$N$9:$N$375,MATCH(MIN(ABS('Model tilvækst, slagteform, fe'!$M$9:$M$375-'Vækstfunktion, hol'!G292)),ABS('Model tilvækst, slagteform, fe'!$M$9:$M$375-'Vækstfunktion, hol'!G292),0))*(1+Forudsætninger!$C$80)</f>
        <v>8.1057522047514006</v>
      </c>
      <c r="Q292" s="17">
        <f t="shared" si="119"/>
        <v>14.170510801753197</v>
      </c>
      <c r="R292" s="17">
        <f t="shared" si="120"/>
        <v>8.8841235987319731</v>
      </c>
      <c r="S292" s="17">
        <f t="shared" si="109"/>
        <v>4.6148658633271413</v>
      </c>
      <c r="T292" s="19">
        <f>(P292)*IF(N292&lt;Forudsætninger!$B$228,IF(N292&lt;Forudsætninger!$B$227,Forudsætninger!$B$225,Forudsætninger!$C$9),Forudsætninger!$C$11)+O292</f>
        <v>21.813776802615031</v>
      </c>
      <c r="U292" s="2">
        <f>Forudsætninger!$C$68+((K292-(Forudsætninger!$C$84)))*0.01</f>
        <v>3.934477664664096</v>
      </c>
      <c r="V292" s="2">
        <f>U292+Forudsætninger!$C$69</f>
        <v>2.934477664664096</v>
      </c>
      <c r="W292">
        <f t="shared" si="110"/>
        <v>1</v>
      </c>
      <c r="X292">
        <f>IF(A292+Forudsætninger!$C$60&gt;248,IF(A292+Forudsætninger!$C$60&lt;365,IF(K292&gt;180,IF(K292&lt;260,1,0),0),0),0)</f>
        <v>1</v>
      </c>
      <c r="Y292" s="22">
        <f>IF(X292=0,0,IF('Vækstfunktion, hol'!A292&lt;Forudsætninger!$C$66,Forudsætninger!$C$67+(('Vækstfunktion, hol'!A292-Forudsætninger!$C$66)/7)*Forudsætninger!$C$64,Forudsætninger!$C$67))</f>
        <v>0.95</v>
      </c>
      <c r="Z292" s="19">
        <f t="shared" si="121"/>
        <v>4976.7554283934642</v>
      </c>
      <c r="AA292" s="19">
        <f>Forudsætninger!$C$62+Forudsætninger!$C$16</f>
        <v>1350</v>
      </c>
      <c r="AB292" s="19">
        <f>IF(K292&gt;Forudsætninger!$C$26,IF(K292&gt;Forudsætninger!$C$27,IF(K292&gt;Forudsætninger!$C$28,Forudsætninger!$E$28,Forudsætninger!$E$27+Forudsætninger!$F$28*(K292-Forudsætninger!$C$27)),Forudsætninger!$E$26+Forudsætninger!$F$27*(K292-Forudsætninger!$C$26)),Forudsætninger!$E$26)+IF(K292&gt;Forudsætninger!$C$28,Forudsætninger!$G$28,IF(K292&gt;Forudsætninger!$C$27,Forudsætninger!$G$27+Forudsætninger!$H$28*(K292-Forudsætninger!$C$27),IF(K292&gt;Forudsætninger!$C$26,Forudsætninger!$G$26+Forudsætninger!$H$27*(K292-Forudsætninger!$C$26),Forudsætninger!$G$26)))*(U292-Forudsætninger!$H$26)</f>
        <v>35.658529759139554</v>
      </c>
      <c r="AC292" s="19">
        <f>IF(K292&gt;Forudsætninger!$C$31,IF(K292&gt;Forudsætninger!$C$32,IF(K292&gt;Forudsætninger!$C$33,Forudsætninger!$E$33,Forudsætninger!$E$32+Forudsætninger!$F$33*(K292-Forudsætninger!$C$32)),Forudsætninger!$E$31+Forudsætninger!$F$32*(K292-Forudsætninger!$C$31)),Forudsætninger!$E$31)+IF(K292&gt;Forudsætninger!$C$33,Forudsætninger!$G$33,IF(K292&gt;Forudsætninger!$C$32,Forudsætninger!$G$32+Forudsætninger!$H$33*(K292-Forudsætninger!$C$32),IF(K292&gt;Forudsætninger!$C$31,Forudsætninger!$G$31+Forudsætninger!$H$32*(K292-Forudsætninger!$C$31),Forudsætninger!$G$31)))*(V292-Forudsætninger!$H$31)</f>
        <v>28.576791907976958</v>
      </c>
      <c r="AD292" s="19">
        <f t="shared" si="111"/>
        <v>7899.1036220241176</v>
      </c>
      <c r="AE292" s="19">
        <f t="shared" si="112"/>
        <v>35.304442866581425</v>
      </c>
      <c r="AF292">
        <f>IF(G292&lt;=Forudsætninger!$C$97,Forudsætninger!$C$98,(IF(G292&lt;=Forudsætninger!$D$97,Forudsætninger!$D$98,IF(G292&lt;=Forudsætninger!$E$97,Forudsætninger!$E$98,IF(G292&lt;=Forudsætninger!$F$97,Forudsætninger!$F$98,IF(G292&lt;=Forudsætninger!$G$97,Forudsætninger!$G$98,IF(G292&lt;=Forudsætninger!$H$97,Forudsætninger!$H$98,IF(G292&lt;=Forudsætninger!$I$97,Forudsætninger!$I$98,Forudsætninger!$I$98))))))))</f>
        <v>4.4000000000000004</v>
      </c>
      <c r="AG292" s="1">
        <f t="shared" si="122"/>
        <v>4.4000000000000004</v>
      </c>
      <c r="AH292" s="1">
        <f t="shared" si="126"/>
        <v>951.19999999999629</v>
      </c>
      <c r="AI292" s="1">
        <f t="shared" si="113"/>
        <v>3.2799999999999874</v>
      </c>
      <c r="AJ292" s="20">
        <f>+(W292*Forudsætninger!$C$12)</f>
        <v>900</v>
      </c>
      <c r="AK292" s="20">
        <f>Forudsætninger!$C$17</f>
        <v>250</v>
      </c>
      <c r="AL292" s="20">
        <f>IF(A292&lt;92,Forudsætninger!$C$20,Forudsætninger!$C$21)</f>
        <v>1.0566762728146013</v>
      </c>
      <c r="AM292" s="20">
        <f t="shared" si="123"/>
        <v>574.94160196952498</v>
      </c>
      <c r="AN292" s="20">
        <f>IFERROR(AD292+AJ292-AA292-Z292-AK292-AM292-Forudsætninger!$C$75,-99999999)</f>
        <v>1465.0123991117348</v>
      </c>
      <c r="AO292" s="19">
        <f>IFERROR(AN292/(A292+Forudsætninger!$C$74),-99999999)</f>
        <v>5.0517668934887405</v>
      </c>
      <c r="AP292" s="19">
        <f>IFERROR(((365/(A292+Forudsætninger!$C$74))*AN292)/(AI292+Forudsætninger!$C$73),-9999999)</f>
        <v>543.92180416619385</v>
      </c>
      <c r="AQ292" s="18">
        <f t="shared" si="114"/>
        <v>290</v>
      </c>
      <c r="AR292" s="18">
        <f t="shared" si="124"/>
        <v>7151.6970303629896</v>
      </c>
      <c r="AS292" s="52">
        <f t="shared" si="105"/>
        <v>10.8</v>
      </c>
      <c r="AT292" s="50">
        <f t="shared" si="127"/>
        <v>0.68242420931665038</v>
      </c>
      <c r="AU292" s="50">
        <f t="shared" si="128"/>
        <v>-1.5118832817204719E-2</v>
      </c>
      <c r="AV292" s="2">
        <f t="shared" si="129"/>
        <v>-2.2522225859543141</v>
      </c>
      <c r="AW292" s="61">
        <f t="shared" si="125"/>
        <v>7.0343241416595168</v>
      </c>
      <c r="BA292" s="16"/>
      <c r="BB292" s="2"/>
    </row>
    <row r="293" spans="1:54" x14ac:dyDescent="0.25">
      <c r="A293">
        <v>291</v>
      </c>
      <c r="B293" s="1">
        <f>ROUND((A293+Forudsætninger!$C$60)/30.4,1)</f>
        <v>10.9</v>
      </c>
      <c r="C293" s="1">
        <f>VLOOKUP((A293+Forudsætninger!$C$60),'Model tilvækst, slagteform, fe'!A:B,2,FALSE)</f>
        <v>471.97770569421954</v>
      </c>
      <c r="D293" s="3">
        <f t="shared" si="115"/>
        <v>1123.0086724233388</v>
      </c>
      <c r="E293" s="1">
        <f>(1+Forudsætninger!$C$78)*C293</f>
        <v>438.93926629562412</v>
      </c>
      <c r="F293" s="2">
        <f t="shared" si="116"/>
        <v>0</v>
      </c>
      <c r="G293" s="1">
        <f t="shared" si="106"/>
        <v>438.93926629562412</v>
      </c>
      <c r="H293" s="3">
        <f t="shared" si="107"/>
        <v>1044.3980653536755</v>
      </c>
      <c r="I293" s="3">
        <f t="shared" si="108"/>
        <v>1271.268956342351</v>
      </c>
      <c r="J293" s="1">
        <f>VLOOKUP((A293+Forudsætninger!$C$60),'Model tilvækst, slagteform, fe'!G:K,2,FALSE)*(1+Forudsætninger!$C$79)</f>
        <v>51.10337143094219</v>
      </c>
      <c r="K293" s="17">
        <f t="shared" si="104"/>
        <v>224.31276361130523</v>
      </c>
      <c r="L293" s="17">
        <f t="shared" si="117"/>
        <v>570.28304375964467</v>
      </c>
      <c r="M293" s="3">
        <f>((K293-(('Model tilvækst, slagteform, fe'!$H$9/100)*'Model tilvækst, slagteform, fe'!$B$9))*1000/(A293+Forudsætninger!$C$60))</f>
        <v>617.7753320693829</v>
      </c>
      <c r="N293" s="17">
        <f t="shared" si="118"/>
        <v>1710.519156306945</v>
      </c>
      <c r="O293" s="19">
        <f>IF( A293&lt;Forudsætninger!$C$14,(G293/100)*Forudsætninger!$C$13,(Forudsætninger!$C$15/1000)*Forudsætninger!$C$13)</f>
        <v>2.8531052309215568</v>
      </c>
      <c r="P293" s="17" cm="1">
        <f t="array" ref="P293">INDEX('Model tilvækst, slagteform, fe'!$N$9:$N$375,MATCH(MIN(ABS('Model tilvækst, slagteform, fe'!$M$9:$M$375-'Vækstfunktion, hol'!G293)),ABS('Model tilvækst, slagteform, fe'!$M$9:$M$375-'Vækstfunktion, hol'!G293),0))*(1+Forudsætninger!$C$80)</f>
        <v>8.1188217545059409</v>
      </c>
      <c r="Q293" s="17">
        <f t="shared" si="119"/>
        <v>14.236477558550302</v>
      </c>
      <c r="R293" s="17">
        <f t="shared" si="120"/>
        <v>8.9000053214472086</v>
      </c>
      <c r="S293" s="17">
        <f t="shared" si="109"/>
        <v>4.6237837184335087</v>
      </c>
      <c r="T293" s="19">
        <f>(P293)*IF(N293&lt;Forudsætninger!$B$228,IF(N293&lt;Forudsætninger!$B$227,Forudsætninger!$B$225,Forudsætninger!$C$9),Forudsætninger!$C$11)+O293</f>
        <v>21.851148136465458</v>
      </c>
      <c r="U293" s="2">
        <f>Forudsætninger!$C$68+((K293-(Forudsætninger!$C$84)))*0.01</f>
        <v>3.9401804951016928</v>
      </c>
      <c r="V293" s="2">
        <f>U293+Forudsætninger!$C$69</f>
        <v>2.9401804951016928</v>
      </c>
      <c r="W293">
        <f t="shared" si="110"/>
        <v>1</v>
      </c>
      <c r="X293">
        <f>IF(A293+Forudsætninger!$C$60&gt;248,IF(A293+Forudsætninger!$C$60&lt;365,IF(K293&gt;180,IF(K293&lt;260,1,0),0),0),0)</f>
        <v>1</v>
      </c>
      <c r="Y293" s="22">
        <f>IF(X293=0,0,IF('Vækstfunktion, hol'!A293&lt;Forudsætninger!$C$66,Forudsætninger!$C$67+(('Vækstfunktion, hol'!A293-Forudsætninger!$C$66)/7)*Forudsætninger!$C$64,Forudsætninger!$C$67))</f>
        <v>0.95</v>
      </c>
      <c r="Z293" s="19">
        <f t="shared" si="121"/>
        <v>4998.60657652993</v>
      </c>
      <c r="AA293" s="19">
        <f>Forudsætninger!$C$62+Forudsætninger!$C$16</f>
        <v>1350</v>
      </c>
      <c r="AB293" s="19">
        <f>IF(K293&gt;Forudsætninger!$C$26,IF(K293&gt;Forudsætninger!$C$27,IF(K293&gt;Forudsætninger!$C$28,Forudsætninger!$E$28,Forudsætninger!$E$27+Forudsætninger!$F$28*(K293-Forudsætninger!$C$27)),Forudsætninger!$E$26+Forudsætninger!$F$27*(K293-Forudsætninger!$C$26)),Forudsætninger!$E$26)+IF(K293&gt;Forudsætninger!$C$28,Forudsætninger!$G$28,IF(K293&gt;Forudsætninger!$C$27,Forudsætninger!$G$27+Forudsætninger!$H$28*(K293-Forudsætninger!$C$27),IF(K293&gt;Forudsætninger!$C$26,Forudsætninger!$G$26+Forudsætninger!$H$27*(K293-Forudsætninger!$C$26),Forudsætninger!$G$26)))*(U293-Forudsætninger!$H$26)</f>
        <v>35.673499689038245</v>
      </c>
      <c r="AC293" s="19">
        <f>IF(K293&gt;Forudsætninger!$C$31,IF(K293&gt;Forudsætninger!$C$32,IF(K293&gt;Forudsætninger!$C$33,Forudsætninger!$E$33,Forudsætninger!$E$32+Forudsætninger!$F$33*(K293-Forudsætninger!$C$32)),Forudsætninger!$E$31+Forudsætninger!$F$32*(K293-Forudsætninger!$C$31)),Forudsætninger!$E$31)+IF(K293&gt;Forudsætninger!$C$33,Forudsætninger!$G$33,IF(K293&gt;Forudsætninger!$C$32,Forudsætninger!$G$32+Forudsætninger!$H$33*(K293-Forudsætninger!$C$32),IF(K293&gt;Forudsætninger!$C$31,Forudsætninger!$G$31+Forudsætninger!$H$32*(K293-Forudsætninger!$C$31),Forudsætninger!$G$31)))*(V293-Forudsætninger!$H$31)</f>
        <v>28.592380013359048</v>
      </c>
      <c r="AD293" s="19">
        <f t="shared" si="111"/>
        <v>7922.602026739507</v>
      </c>
      <c r="AE293" s="19">
        <f t="shared" si="112"/>
        <v>35.319443705254287</v>
      </c>
      <c r="AF293">
        <f>IF(G293&lt;=Forudsætninger!$C$97,Forudsætninger!$C$98,(IF(G293&lt;=Forudsætninger!$D$97,Forudsætninger!$D$98,IF(G293&lt;=Forudsætninger!$E$97,Forudsætninger!$E$98,IF(G293&lt;=Forudsætninger!$F$97,Forudsætninger!$F$98,IF(G293&lt;=Forudsætninger!$G$97,Forudsætninger!$G$98,IF(G293&lt;=Forudsætninger!$H$97,Forudsætninger!$H$98,IF(G293&lt;=Forudsætninger!$I$97,Forudsætninger!$I$98,Forudsætninger!$I$98))))))))</f>
        <v>4.4000000000000004</v>
      </c>
      <c r="AG293" s="1">
        <f t="shared" si="122"/>
        <v>4.4000000000000004</v>
      </c>
      <c r="AH293" s="1">
        <f t="shared" si="126"/>
        <v>955.59999999999627</v>
      </c>
      <c r="AI293" s="1">
        <f t="shared" si="113"/>
        <v>3.2838487972508461</v>
      </c>
      <c r="AJ293" s="20">
        <f>+(W293*Forudsætninger!$C$12)</f>
        <v>900</v>
      </c>
      <c r="AK293" s="20">
        <f>Forudsætninger!$C$17</f>
        <v>250</v>
      </c>
      <c r="AL293" s="20">
        <f>IF(A293&lt;92,Forudsætninger!$C$20,Forudsætninger!$C$21)</f>
        <v>1.0566762728146013</v>
      </c>
      <c r="AM293" s="20">
        <f t="shared" si="123"/>
        <v>575.99827824233955</v>
      </c>
      <c r="AN293" s="20">
        <f>IFERROR(AD293+AJ293-AA293-Z293-AK293-AM293-Forudsætninger!$C$75,-99999999)</f>
        <v>1465.602979417843</v>
      </c>
      <c r="AO293" s="19">
        <f>IFERROR(AN293/(A293+Forudsætninger!$C$74),-99999999)</f>
        <v>5.0364363553877771</v>
      </c>
      <c r="AP293" s="19">
        <f>IFERROR(((365/(A293+Forudsætninger!$C$74))*AN293)/(AI293+Forudsætninger!$C$73),-9999999)</f>
        <v>541.65620790343837</v>
      </c>
      <c r="AQ293" s="18">
        <f t="shared" si="114"/>
        <v>291</v>
      </c>
      <c r="AR293" s="18">
        <f t="shared" si="124"/>
        <v>7174.6048547722694</v>
      </c>
      <c r="AS293" s="52">
        <f t="shared" si="105"/>
        <v>10.9</v>
      </c>
      <c r="AT293" s="50">
        <f t="shared" si="127"/>
        <v>0.59058030610822243</v>
      </c>
      <c r="AU293" s="50">
        <f t="shared" si="128"/>
        <v>-1.5330538100963409E-2</v>
      </c>
      <c r="AV293" s="2">
        <f t="shared" si="129"/>
        <v>-2.26559626275548</v>
      </c>
      <c r="AW293" s="61">
        <f t="shared" si="125"/>
        <v>7.0158118819937538</v>
      </c>
      <c r="BA293" s="16"/>
      <c r="BB293" s="2"/>
    </row>
    <row r="294" spans="1:54" x14ac:dyDescent="0.25">
      <c r="A294">
        <v>292</v>
      </c>
      <c r="B294" s="1">
        <f>ROUND((A294+Forudsætninger!$C$60)/30.4,1)</f>
        <v>10.9</v>
      </c>
      <c r="C294" s="1">
        <f>VLOOKUP((A294+Forudsætninger!$C$60),'Model tilvækst, slagteform, fe'!A:B,2,FALSE)</f>
        <v>473.09663170826457</v>
      </c>
      <c r="D294" s="3">
        <f t="shared" si="115"/>
        <v>1118.9260140450301</v>
      </c>
      <c r="E294" s="1">
        <f>(1+Forudsætninger!$C$78)*C294</f>
        <v>439.97986748868601</v>
      </c>
      <c r="F294" s="2">
        <f t="shared" si="116"/>
        <v>0</v>
      </c>
      <c r="G294" s="1">
        <f t="shared" si="106"/>
        <v>439.97986748868601</v>
      </c>
      <c r="H294" s="3">
        <f t="shared" si="107"/>
        <v>1040.6011930618888</v>
      </c>
      <c r="I294" s="3">
        <f t="shared" si="108"/>
        <v>1270.4789982489247</v>
      </c>
      <c r="J294" s="1">
        <f>VLOOKUP((A294+Forudsætninger!$C$60),'Model tilvækst, slagteform, fe'!G:K,2,FALSE)*(1+Forudsætninger!$C$79)</f>
        <v>51.111729581551039</v>
      </c>
      <c r="K294" s="17">
        <f t="shared" si="104"/>
        <v>224.88132008408377</v>
      </c>
      <c r="L294" s="17">
        <f t="shared" si="117"/>
        <v>568.55647277853905</v>
      </c>
      <c r="M294" s="3">
        <f>((K294-(('Model tilvækst, slagteform, fe'!$H$9/100)*'Model tilvækst, slagteform, fe'!$B$9))*1000/(A294+Forudsætninger!$C$60))</f>
        <v>617.62663460928968</v>
      </c>
      <c r="N294" s="17">
        <f t="shared" si="118"/>
        <v>1718.651095615621</v>
      </c>
      <c r="O294" s="19">
        <f>IF( A294&lt;Forudsætninger!$C$14,(G294/100)*Forudsætninger!$C$13,(Forudsætninger!$C$15/1000)*Forudsætninger!$C$13)</f>
        <v>2.859869138676459</v>
      </c>
      <c r="P294" s="17" cm="1">
        <f t="array" ref="P294">INDEX('Model tilvækst, slagteform, fe'!$N$9:$N$375,MATCH(MIN(ABS('Model tilvækst, slagteform, fe'!$M$9:$M$375-'Vækstfunktion, hol'!G294)),ABS('Model tilvækst, slagteform, fe'!$M$9:$M$375-'Vækstfunktion, hol'!G294),0))*(1+Forudsætninger!$C$80)</f>
        <v>8.1319393086761167</v>
      </c>
      <c r="Q294" s="17">
        <f t="shared" si="119"/>
        <v>14.302782041923257</v>
      </c>
      <c r="R294" s="17">
        <f t="shared" si="120"/>
        <v>8.9159409828690688</v>
      </c>
      <c r="S294" s="17">
        <f t="shared" si="109"/>
        <v>4.6327341352776665</v>
      </c>
      <c r="T294" s="19">
        <f>(P294)*IF(N294&lt;Forudsætninger!$B$228,IF(N294&lt;Forudsætninger!$B$227,Forudsætninger!$B$225,Forudsætninger!$C$9),Forudsætninger!$C$11)+O294</f>
        <v>21.88860712097857</v>
      </c>
      <c r="U294" s="2">
        <f>Forudsætninger!$C$68+((K294-(Forudsætninger!$C$84)))*0.01</f>
        <v>3.9458660598294779</v>
      </c>
      <c r="V294" s="2">
        <f>U294+Forudsætninger!$C$69</f>
        <v>2.9458660598294779</v>
      </c>
      <c r="W294">
        <f t="shared" si="110"/>
        <v>1</v>
      </c>
      <c r="X294">
        <f>IF(A294+Forudsætninger!$C$60&gt;248,IF(A294+Forudsætninger!$C$60&lt;365,IF(K294&gt;180,IF(K294&lt;260,1,0),0),0),0)</f>
        <v>1</v>
      </c>
      <c r="Y294" s="22">
        <f>IF(X294=0,0,IF('Vækstfunktion, hol'!A294&lt;Forudsætninger!$C$66,Forudsætninger!$C$67+(('Vækstfunktion, hol'!A294-Forudsætninger!$C$66)/7)*Forudsætninger!$C$64,Forudsætninger!$C$67))</f>
        <v>0.95</v>
      </c>
      <c r="Z294" s="19">
        <f t="shared" si="121"/>
        <v>5020.4951836509081</v>
      </c>
      <c r="AA294" s="19">
        <f>Forudsætninger!$C$62+Forudsætninger!$C$16</f>
        <v>1350</v>
      </c>
      <c r="AB294" s="19">
        <f>IF(K294&gt;Forudsætninger!$C$26,IF(K294&gt;Forudsætninger!$C$27,IF(K294&gt;Forudsætninger!$C$28,Forudsætninger!$E$28,Forudsætninger!$E$27+Forudsætninger!$F$28*(K294-Forudsætninger!$C$27)),Forudsætninger!$E$26+Forudsætninger!$F$27*(K294-Forudsætninger!$C$26)),Forudsætninger!$E$26)+IF(K294&gt;Forudsætninger!$C$28,Forudsætninger!$G$28,IF(K294&gt;Forudsætninger!$C$27,Forudsætninger!$G$27+Forudsætninger!$H$28*(K294-Forudsætninger!$C$27),IF(K294&gt;Forudsætninger!$C$26,Forudsætninger!$G$26+Forudsætninger!$H$27*(K294-Forudsætninger!$C$26),Forudsætninger!$G$26)))*(U294-Forudsætninger!$H$26)</f>
        <v>35.68842429644868</v>
      </c>
      <c r="AC294" s="19">
        <f>IF(K294&gt;Forudsætninger!$C$31,IF(K294&gt;Forudsætninger!$C$32,IF(K294&gt;Forudsætninger!$C$33,Forudsætninger!$E$33,Forudsætninger!$E$32+Forudsætninger!$F$33*(K294-Forudsætninger!$C$32)),Forudsætninger!$E$31+Forudsætninger!$F$32*(K294-Forudsætninger!$C$31)),Forudsætninger!$E$31)+IF(K294&gt;Forudsætninger!$C$33,Forudsætninger!$G$33,IF(K294&gt;Forudsætninger!$C$32,Forudsætninger!$G$32+Forudsætninger!$H$33*(K294-Forudsætninger!$C$32),IF(K294&gt;Forudsætninger!$C$31,Forudsætninger!$G$31+Forudsætninger!$H$32*(K294-Forudsætninger!$C$31),Forudsætninger!$G$31)))*(V294-Forudsætninger!$H$31)</f>
        <v>28.607896643637563</v>
      </c>
      <c r="AD294" s="19">
        <f t="shared" si="111"/>
        <v>7946.0460472334671</v>
      </c>
      <c r="AE294" s="19">
        <f t="shared" si="112"/>
        <v>35.334397913808125</v>
      </c>
      <c r="AF294">
        <f>IF(G294&lt;=Forudsætninger!$C$97,Forudsætninger!$C$98,(IF(G294&lt;=Forudsætninger!$D$97,Forudsætninger!$D$98,IF(G294&lt;=Forudsætninger!$E$97,Forudsætninger!$E$98,IF(G294&lt;=Forudsætninger!$F$97,Forudsætninger!$F$98,IF(G294&lt;=Forudsætninger!$G$97,Forudsætninger!$G$98,IF(G294&lt;=Forudsætninger!$H$97,Forudsætninger!$H$98,IF(G294&lt;=Forudsætninger!$I$97,Forudsætninger!$I$98,Forudsætninger!$I$98))))))))</f>
        <v>4.4000000000000004</v>
      </c>
      <c r="AG294" s="1">
        <f t="shared" si="122"/>
        <v>4.4000000000000004</v>
      </c>
      <c r="AH294" s="1">
        <f t="shared" si="126"/>
        <v>959.99999999999625</v>
      </c>
      <c r="AI294" s="1">
        <f t="shared" si="113"/>
        <v>3.2876712328766993</v>
      </c>
      <c r="AJ294" s="20">
        <f>+(W294*Forudsætninger!$C$12)</f>
        <v>900</v>
      </c>
      <c r="AK294" s="20">
        <f>Forudsætninger!$C$17</f>
        <v>250</v>
      </c>
      <c r="AL294" s="20">
        <f>IF(A294&lt;92,Forudsætninger!$C$20,Forudsætninger!$C$21)</f>
        <v>1.0566762728146013</v>
      </c>
      <c r="AM294" s="20">
        <f t="shared" si="123"/>
        <v>577.05495451515412</v>
      </c>
      <c r="AN294" s="20">
        <f>IFERROR(AD294+AJ294-AA294-Z294-AK294-AM294-Forudsætninger!$C$75,-99999999)</f>
        <v>1466.1017165180103</v>
      </c>
      <c r="AO294" s="19">
        <f>IFERROR(AN294/(A294+Forudsætninger!$C$74),-99999999)</f>
        <v>5.0208962894452407</v>
      </c>
      <c r="AP294" s="19">
        <f>IFERROR(((365/(A294+Forudsætninger!$C$74))*AN294)/(AI294+Forudsætninger!$C$73),-9999999)</f>
        <v>539.37742060343089</v>
      </c>
      <c r="AQ294" s="18">
        <f t="shared" si="114"/>
        <v>292</v>
      </c>
      <c r="AR294" s="18">
        <f t="shared" si="124"/>
        <v>7197.5501381660624</v>
      </c>
      <c r="AS294" s="52">
        <f t="shared" si="105"/>
        <v>10.9</v>
      </c>
      <c r="AT294" s="50">
        <f t="shared" si="127"/>
        <v>0.4987371001673182</v>
      </c>
      <c r="AU294" s="50">
        <f t="shared" si="128"/>
        <v>-1.554006594253643E-2</v>
      </c>
      <c r="AV294" s="2">
        <f t="shared" si="129"/>
        <v>-2.2787873000074796</v>
      </c>
      <c r="AW294" s="61">
        <f t="shared" si="125"/>
        <v>6.9971118870998783</v>
      </c>
      <c r="BA294" s="16"/>
      <c r="BB294" s="2"/>
    </row>
    <row r="295" spans="1:54" x14ac:dyDescent="0.25">
      <c r="A295">
        <v>293</v>
      </c>
      <c r="B295" s="1">
        <f>ROUND((A295+Forudsætninger!$C$60)/30.4,1)</f>
        <v>10.9</v>
      </c>
      <c r="C295" s="1">
        <f>VLOOKUP((A295+Forudsætninger!$C$60),'Model tilvækst, slagteform, fe'!A:B,2,FALSE)</f>
        <v>474.21149175280061</v>
      </c>
      <c r="D295" s="3">
        <f t="shared" si="115"/>
        <v>1114.8600445360444</v>
      </c>
      <c r="E295" s="1">
        <f>(1+Forudsætninger!$C$78)*C295</f>
        <v>441.01668733010456</v>
      </c>
      <c r="F295" s="2">
        <f t="shared" si="116"/>
        <v>0</v>
      </c>
      <c r="G295" s="1">
        <f t="shared" si="106"/>
        <v>441.01668733010456</v>
      </c>
      <c r="H295" s="3">
        <f t="shared" si="107"/>
        <v>1036.8198414185485</v>
      </c>
      <c r="I295" s="3">
        <f t="shared" si="108"/>
        <v>1269.6815267239065</v>
      </c>
      <c r="J295" s="1">
        <f>VLOOKUP((A295+Forudsætninger!$C$60),'Model tilvækst, slagteform, fe'!G:K,2,FALSE)*(1+Forudsætninger!$C$79)</f>
        <v>51.120096500110897</v>
      </c>
      <c r="K295" s="17">
        <f t="shared" si="104"/>
        <v>225.44815614474183</v>
      </c>
      <c r="L295" s="17">
        <f t="shared" si="117"/>
        <v>566.83606065806202</v>
      </c>
      <c r="M295" s="3">
        <f>((K295-(('Model tilvækst, slagteform, fe'!$H$9/100)*'Model tilvækst, slagteform, fe'!$B$9))*1000/(A295+Forudsætninger!$C$60))</f>
        <v>617.47365095280998</v>
      </c>
      <c r="N295" s="17">
        <f t="shared" si="118"/>
        <v>1726.7961988275583</v>
      </c>
      <c r="O295" s="19">
        <f>IF( A295&lt;Forudsætninger!$C$14,(G295/100)*Forudsætninger!$C$13,(Forudsætninger!$C$15/1000)*Forudsætninger!$C$13)</f>
        <v>2.8666084676456798</v>
      </c>
      <c r="P295" s="17" cm="1">
        <f t="array" ref="P295">INDEX('Model tilvækst, slagteform, fe'!$N$9:$N$375,MATCH(MIN(ABS('Model tilvækst, slagteform, fe'!$M$9:$M$375-'Vækstfunktion, hol'!G295)),ABS('Model tilvækst, slagteform, fe'!$M$9:$M$375-'Vækstfunktion, hol'!G295),0))*(1+Forudsætninger!$C$80)</f>
        <v>8.1451032119372488</v>
      </c>
      <c r="Q295" s="17">
        <f t="shared" si="119"/>
        <v>14.369416092690507</v>
      </c>
      <c r="R295" s="17">
        <f t="shared" si="120"/>
        <v>8.9319304892665201</v>
      </c>
      <c r="S295" s="17">
        <f t="shared" si="109"/>
        <v>4.6417170455993721</v>
      </c>
      <c r="T295" s="19">
        <f>(P295)*IF(N295&lt;Forudsætninger!$B$228,IF(N295&lt;Forudsætninger!$B$227,Forudsætninger!$B$225,Forudsætninger!$C$9),Forudsætninger!$C$11)+O295</f>
        <v>21.926149983578842</v>
      </c>
      <c r="U295" s="2">
        <f>Forudsætninger!$C$68+((K295-(Forudsætninger!$C$84)))*0.01</f>
        <v>3.9515344204360585</v>
      </c>
      <c r="V295" s="2">
        <f>U295+Forudsætninger!$C$69</f>
        <v>2.9515344204360585</v>
      </c>
      <c r="W295">
        <f t="shared" si="110"/>
        <v>1</v>
      </c>
      <c r="X295">
        <f>IF(A295+Forudsætninger!$C$60&gt;248,IF(A295+Forudsætninger!$C$60&lt;365,IF(K295&gt;180,IF(K295&lt;260,1,0),0),0),0)</f>
        <v>1</v>
      </c>
      <c r="Y295" s="22">
        <f>IF(X295=0,0,IF('Vækstfunktion, hol'!A295&lt;Forudsætninger!$C$66,Forudsætninger!$C$67+(('Vækstfunktion, hol'!A295-Forudsætninger!$C$66)/7)*Forudsætninger!$C$64,Forudsætninger!$C$67))</f>
        <v>0.95</v>
      </c>
      <c r="Z295" s="19">
        <f t="shared" si="121"/>
        <v>5042.4213336344865</v>
      </c>
      <c r="AA295" s="19">
        <f>Forudsætninger!$C$62+Forudsætninger!$C$16</f>
        <v>1350</v>
      </c>
      <c r="AB295" s="19">
        <f>IF(K295&gt;Forudsætninger!$C$26,IF(K295&gt;Forudsætninger!$C$27,IF(K295&gt;Forudsætninger!$C$28,Forudsætninger!$E$28,Forudsætninger!$E$27+Forudsætninger!$F$28*(K295-Forudsætninger!$C$27)),Forudsætninger!$E$26+Forudsætninger!$F$27*(K295-Forudsætninger!$C$26)),Forudsætninger!$E$26)+IF(K295&gt;Forudsætninger!$C$28,Forudsætninger!$G$28,IF(K295&gt;Forudsætninger!$C$27,Forudsætninger!$G$27+Forudsætninger!$H$28*(K295-Forudsætninger!$C$27),IF(K295&gt;Forudsætninger!$C$26,Forudsætninger!$G$26+Forudsætninger!$H$27*(K295-Forudsætninger!$C$26),Forudsætninger!$G$26)))*(U295-Forudsætninger!$H$26)</f>
        <v>35.703303743040955</v>
      </c>
      <c r="AC295" s="19">
        <f>IF(K295&gt;Forudsætninger!$C$31,IF(K295&gt;Forudsætninger!$C$32,IF(K295&gt;Forudsætninger!$C$33,Forudsætninger!$E$33,Forudsætninger!$E$32+Forudsætninger!$F$33*(K295-Forudsætninger!$C$32)),Forudsætninger!$E$31+Forudsætninger!$F$32*(K295-Forudsætninger!$C$31)),Forudsætninger!$E$31)+IF(K295&gt;Forudsætninger!$C$33,Forudsætninger!$G$33,IF(K295&gt;Forudsætninger!$C$32,Forudsætninger!$G$32+Forudsætninger!$H$33*(K295-Forudsætninger!$C$32),IF(K295&gt;Forudsætninger!$C$31,Forudsætninger!$G$31+Forudsætninger!$H$32*(K295-Forudsætninger!$C$31),Forudsætninger!$G$31)))*(V295-Forudsætninger!$H$31)</f>
        <v>28.623342187374462</v>
      </c>
      <c r="AD295" s="19">
        <f t="shared" si="111"/>
        <v>7969.4357832292098</v>
      </c>
      <c r="AE295" s="19">
        <f t="shared" si="112"/>
        <v>35.349305665257631</v>
      </c>
      <c r="AF295">
        <f>IF(G295&lt;=Forudsætninger!$C$97,Forudsætninger!$C$98,(IF(G295&lt;=Forudsætninger!$D$97,Forudsætninger!$D$98,IF(G295&lt;=Forudsætninger!$E$97,Forudsætninger!$E$98,IF(G295&lt;=Forudsætninger!$F$97,Forudsætninger!$F$98,IF(G295&lt;=Forudsætninger!$G$97,Forudsætninger!$G$98,IF(G295&lt;=Forudsætninger!$H$97,Forudsætninger!$H$98,IF(G295&lt;=Forudsætninger!$I$97,Forudsætninger!$I$98,Forudsætninger!$I$98))))))))</f>
        <v>4.4000000000000004</v>
      </c>
      <c r="AG295" s="1">
        <f t="shared" si="122"/>
        <v>4.4000000000000004</v>
      </c>
      <c r="AH295" s="1">
        <f t="shared" si="126"/>
        <v>964.39999999999623</v>
      </c>
      <c r="AI295" s="1">
        <f t="shared" si="113"/>
        <v>3.291467576791796</v>
      </c>
      <c r="AJ295" s="20">
        <f>+(W295*Forudsætninger!$C$12)</f>
        <v>900</v>
      </c>
      <c r="AK295" s="20">
        <f>Forudsætninger!$C$17</f>
        <v>250</v>
      </c>
      <c r="AL295" s="20">
        <f>IF(A295&lt;92,Forudsætninger!$C$20,Forudsætninger!$C$21)</f>
        <v>1.0566762728146013</v>
      </c>
      <c r="AM295" s="20">
        <f t="shared" si="123"/>
        <v>578.11163078796869</v>
      </c>
      <c r="AN295" s="20">
        <f>IFERROR(AD295+AJ295-AA295-Z295-AK295-AM295-Forudsætninger!$C$75,-99999999)</f>
        <v>1466.50862625736</v>
      </c>
      <c r="AO295" s="19">
        <f>IFERROR(AN295/(A295+Forudsætninger!$C$74),-99999999)</f>
        <v>5.0051488950763137</v>
      </c>
      <c r="AP295" s="19">
        <f>IFERROR(((365/(A295+Forudsætninger!$C$74))*AN295)/(AI295+Forudsætninger!$C$73),-9999999)</f>
        <v>537.08562714742527</v>
      </c>
      <c r="AQ295" s="18">
        <f t="shared" si="114"/>
        <v>293</v>
      </c>
      <c r="AR295" s="18">
        <f t="shared" si="124"/>
        <v>7220.5329644224548</v>
      </c>
      <c r="AS295" s="52">
        <f t="shared" si="105"/>
        <v>10.9</v>
      </c>
      <c r="AT295" s="50">
        <f t="shared" si="127"/>
        <v>0.40690973934965768</v>
      </c>
      <c r="AU295" s="50">
        <f t="shared" si="128"/>
        <v>-1.5747394368927026E-2</v>
      </c>
      <c r="AV295" s="2">
        <f t="shared" si="129"/>
        <v>-2.291793456005621</v>
      </c>
      <c r="AW295" s="61">
        <f t="shared" si="125"/>
        <v>6.9782261332605078</v>
      </c>
      <c r="BA295" s="16"/>
      <c r="BB295" s="2"/>
    </row>
    <row r="296" spans="1:54" x14ac:dyDescent="0.25">
      <c r="A296">
        <v>294</v>
      </c>
      <c r="B296" s="1">
        <f>ROUND((A296+Forudsætninger!$C$60)/30.4,1)</f>
        <v>11</v>
      </c>
      <c r="C296" s="1">
        <f>VLOOKUP((A296+Forudsætninger!$C$60),'Model tilvækst, slagteform, fe'!A:B,2,FALSE)</f>
        <v>475.32230305104292</v>
      </c>
      <c r="D296" s="3">
        <f t="shared" si="115"/>
        <v>1110.8112982423108</v>
      </c>
      <c r="E296" s="1">
        <f>(1+Forudsætninger!$C$78)*C296</f>
        <v>442.04974183746987</v>
      </c>
      <c r="F296" s="2">
        <f t="shared" si="116"/>
        <v>0</v>
      </c>
      <c r="G296" s="1">
        <f t="shared" si="106"/>
        <v>442.04974183746987</v>
      </c>
      <c r="H296" s="3">
        <f t="shared" si="107"/>
        <v>1033.054507365307</v>
      </c>
      <c r="I296" s="3">
        <f t="shared" si="108"/>
        <v>1268.8766729165641</v>
      </c>
      <c r="J296" s="1">
        <f>VLOOKUP((A296+Forudsætninger!$C$60),'Model tilvækst, slagteform, fe'!G:K,2,FALSE)*(1+Forudsætninger!$C$79)</f>
        <v>51.128471936108916</v>
      </c>
      <c r="K296" s="17">
        <f t="shared" si="104"/>
        <v>226.01327819901272</v>
      </c>
      <c r="L296" s="17">
        <f t="shared" si="117"/>
        <v>565.12205427088702</v>
      </c>
      <c r="M296" s="3">
        <f>((K296-(('Model tilvækst, slagteform, fe'!$H$9/100)*'Model tilvækst, slagteform, fe'!$B$9))*1000/(A296+Forudsætninger!$C$60))</f>
        <v>617.31643895076218</v>
      </c>
      <c r="N296" s="17">
        <f t="shared" si="118"/>
        <v>1734.9545106365231</v>
      </c>
      <c r="O296" s="19">
        <f>IF( A296&lt;Forudsætninger!$C$14,(G296/100)*Forudsætninger!$C$13,(Forudsætninger!$C$15/1000)*Forudsætninger!$C$13)</f>
        <v>2.8733233219435541</v>
      </c>
      <c r="P296" s="17" cm="1">
        <f t="array" ref="P296">INDEX('Model tilvækst, slagteform, fe'!$N$9:$N$375,MATCH(MIN(ABS('Model tilvækst, slagteform, fe'!$M$9:$M$375-'Vækstfunktion, hol'!G296)),ABS('Model tilvækst, slagteform, fe'!$M$9:$M$375-'Vækstfunktion, hol'!G296),0))*(1+Forudsætninger!$C$80)</f>
        <v>8.1583118089646636</v>
      </c>
      <c r="Q296" s="17">
        <f t="shared" si="119"/>
        <v>14.436371306532019</v>
      </c>
      <c r="R296" s="17">
        <f t="shared" si="120"/>
        <v>8.9479737289145138</v>
      </c>
      <c r="S296" s="17">
        <f t="shared" si="109"/>
        <v>4.6507323717500579</v>
      </c>
      <c r="T296" s="19">
        <f>(P296)*IF(N296&lt;Forudsætninger!$B$228,IF(N296&lt;Forudsætninger!$B$227,Forudsætninger!$B$225,Forudsætninger!$C$9),Forudsætninger!$C$11)+O296</f>
        <v>21.963772954920866</v>
      </c>
      <c r="U296" s="2">
        <f>Forudsætninger!$C$68+((K296-(Forudsætninger!$C$84)))*0.01</f>
        <v>3.9571856409787673</v>
      </c>
      <c r="V296" s="2">
        <f>U296+Forudsætninger!$C$69</f>
        <v>2.9571856409787673</v>
      </c>
      <c r="W296">
        <f t="shared" si="110"/>
        <v>1</v>
      </c>
      <c r="X296">
        <f>IF(A296+Forudsætninger!$C$60&gt;248,IF(A296+Forudsætninger!$C$60&lt;365,IF(K296&gt;180,IF(K296&lt;260,1,0),0),0),0)</f>
        <v>1</v>
      </c>
      <c r="Y296" s="22">
        <f>IF(X296=0,0,IF('Vækstfunktion, hol'!A296&lt;Forudsætninger!$C$66,Forudsætninger!$C$67+(('Vækstfunktion, hol'!A296-Forudsætninger!$C$66)/7)*Forudsætninger!$C$64,Forudsætninger!$C$67))</f>
        <v>0.95</v>
      </c>
      <c r="Z296" s="19">
        <f t="shared" si="121"/>
        <v>5064.3851065894078</v>
      </c>
      <c r="AA296" s="19">
        <f>Forudsætninger!$C$62+Forudsætninger!$C$16</f>
        <v>1350</v>
      </c>
      <c r="AB296" s="19">
        <f>IF(K296&gt;Forudsætninger!$C$26,IF(K296&gt;Forudsætninger!$C$27,IF(K296&gt;Forudsætninger!$C$28,Forudsætninger!$E$28,Forudsætninger!$E$27+Forudsætninger!$F$28*(K296-Forudsætninger!$C$27)),Forudsætninger!$E$26+Forudsætninger!$F$27*(K296-Forudsætninger!$C$26)),Forudsætninger!$E$26)+IF(K296&gt;Forudsætninger!$C$28,Forudsætninger!$G$28,IF(K296&gt;Forudsætninger!$C$27,Forudsætninger!$G$27+Forudsætninger!$H$28*(K296-Forudsætninger!$C$27),IF(K296&gt;Forudsætninger!$C$26,Forudsætninger!$G$26+Forudsætninger!$H$27*(K296-Forudsætninger!$C$26),Forudsætninger!$G$26)))*(U296-Forudsætninger!$H$26)</f>
        <v>35.718138196965562</v>
      </c>
      <c r="AC296" s="19">
        <f>IF(K296&gt;Forudsætninger!$C$31,IF(K296&gt;Forudsætninger!$C$32,IF(K296&gt;Forudsætninger!$C$33,Forudsætninger!$E$33,Forudsætninger!$E$32+Forudsætninger!$F$33*(K296-Forudsætninger!$C$32)),Forudsætninger!$E$31+Forudsætninger!$F$32*(K296-Forudsætninger!$C$31)),Forudsætninger!$E$31)+IF(K296&gt;Forudsætninger!$C$33,Forudsætninger!$G$33,IF(K296&gt;Forudsætninger!$C$32,Forudsætninger!$G$32+Forudsætninger!$H$33*(K296-Forudsætninger!$C$32),IF(K296&gt;Forudsætninger!$C$31,Forudsætninger!$G$31+Forudsætninger!$H$32*(K296-Forudsætninger!$C$31),Forudsætninger!$G$31)))*(V296-Forudsætninger!$H$31)</f>
        <v>28.638717038128085</v>
      </c>
      <c r="AD296" s="19">
        <f t="shared" si="111"/>
        <v>7992.7713458685439</v>
      </c>
      <c r="AE296" s="19">
        <f t="shared" si="112"/>
        <v>35.364167139023685</v>
      </c>
      <c r="AF296">
        <f>IF(G296&lt;=Forudsætninger!$C$97,Forudsætninger!$C$98,(IF(G296&lt;=Forudsætninger!$D$97,Forudsætninger!$D$98,IF(G296&lt;=Forudsætninger!$E$97,Forudsætninger!$E$98,IF(G296&lt;=Forudsætninger!$F$97,Forudsætninger!$F$98,IF(G296&lt;=Forudsætninger!$G$97,Forudsætninger!$G$98,IF(G296&lt;=Forudsætninger!$H$97,Forudsætninger!$H$98,IF(G296&lt;=Forudsætninger!$I$97,Forudsætninger!$I$98,Forudsætninger!$I$98))))))))</f>
        <v>4.4000000000000004</v>
      </c>
      <c r="AG296" s="1">
        <f t="shared" si="122"/>
        <v>4.4000000000000004</v>
      </c>
      <c r="AH296" s="1">
        <f t="shared" si="126"/>
        <v>968.7999999999962</v>
      </c>
      <c r="AI296" s="1">
        <f t="shared" si="113"/>
        <v>3.2952380952380822</v>
      </c>
      <c r="AJ296" s="20">
        <f>+(W296*Forudsætninger!$C$12)</f>
        <v>900</v>
      </c>
      <c r="AK296" s="20">
        <f>Forudsætninger!$C$17</f>
        <v>250</v>
      </c>
      <c r="AL296" s="20">
        <f>IF(A296&lt;92,Forudsætninger!$C$20,Forudsætninger!$C$21)</f>
        <v>1.0566762728146013</v>
      </c>
      <c r="AM296" s="20">
        <f t="shared" si="123"/>
        <v>579.16830706078326</v>
      </c>
      <c r="AN296" s="20">
        <f>IFERROR(AD296+AJ296-AA296-Z296-AK296-AM296-Forudsætninger!$C$75,-99999999)</f>
        <v>1466.8237396689574</v>
      </c>
      <c r="AO296" s="19">
        <f>IFERROR(AN296/(A296+Forudsætninger!$C$74),-99999999)</f>
        <v>4.9891963934318282</v>
      </c>
      <c r="AP296" s="19">
        <f>IFERROR(((365/(A296+Forudsætninger!$C$74))*AN296)/(AI296+Forudsætninger!$C$73),-9999999)</f>
        <v>534.78101462250186</v>
      </c>
      <c r="AQ296" s="18">
        <f t="shared" si="114"/>
        <v>294</v>
      </c>
      <c r="AR296" s="18">
        <f t="shared" si="124"/>
        <v>7243.553413650191</v>
      </c>
      <c r="AS296" s="52">
        <f t="shared" si="105"/>
        <v>11</v>
      </c>
      <c r="AT296" s="50">
        <f t="shared" si="127"/>
        <v>0.31511341159739459</v>
      </c>
      <c r="AU296" s="50">
        <f t="shared" si="128"/>
        <v>-1.5952501644485473E-2</v>
      </c>
      <c r="AV296" s="2">
        <f t="shared" si="129"/>
        <v>-2.3046125249234137</v>
      </c>
      <c r="AW296" s="61">
        <f t="shared" si="125"/>
        <v>6.95915662152973</v>
      </c>
      <c r="BA296" s="16"/>
      <c r="BB296" s="2"/>
    </row>
    <row r="297" spans="1:54" x14ac:dyDescent="0.25">
      <c r="A297">
        <v>295</v>
      </c>
      <c r="B297" s="1">
        <f>ROUND((A297+Forudsætninger!$C$60)/30.4,1)</f>
        <v>11</v>
      </c>
      <c r="C297" s="1">
        <f>VLOOKUP((A297+Forudsætninger!$C$60),'Model tilvækst, slagteform, fe'!A:B,2,FALSE)</f>
        <v>476.42908336055569</v>
      </c>
      <c r="D297" s="3">
        <f t="shared" si="115"/>
        <v>1106.7803095127715</v>
      </c>
      <c r="E297" s="1">
        <f>(1+Forudsætninger!$C$78)*C297</f>
        <v>443.07904752531675</v>
      </c>
      <c r="F297" s="2">
        <f t="shared" si="116"/>
        <v>0</v>
      </c>
      <c r="G297" s="1">
        <f t="shared" si="106"/>
        <v>443.07904752531675</v>
      </c>
      <c r="H297" s="3">
        <f t="shared" si="107"/>
        <v>1029.305687846886</v>
      </c>
      <c r="I297" s="3">
        <f t="shared" si="108"/>
        <v>1268.0645678824296</v>
      </c>
      <c r="J297" s="1">
        <f>VLOOKUP((A297+Forudsætninger!$C$60),'Model tilvækst, slagteform, fe'!G:K,2,FALSE)*(1+Forudsætninger!$C$79)</f>
        <v>51.136855639032177</v>
      </c>
      <c r="K297" s="17">
        <f t="shared" si="104"/>
        <v>226.57669289981999</v>
      </c>
      <c r="L297" s="17">
        <f t="shared" si="117"/>
        <v>563.41470080727163</v>
      </c>
      <c r="M297" s="3">
        <f>((K297-(('Model tilvækst, slagteform, fe'!$H$9/100)*'Model tilvækst, slagteform, fe'!$B$9))*1000/(A297+Forudsætninger!$C$60))</f>
        <v>617.15505650123089</v>
      </c>
      <c r="N297" s="17">
        <f t="shared" si="118"/>
        <v>1743.1260740809569</v>
      </c>
      <c r="O297" s="19">
        <f>IF( A297&lt;Forudsætninger!$C$14,(G297/100)*Forudsætninger!$C$13,(Forudsætninger!$C$15/1000)*Forudsætninger!$C$13)</f>
        <v>2.8800138089145588</v>
      </c>
      <c r="P297" s="17" cm="1">
        <f t="array" ref="P297">INDEX('Model tilvækst, slagteform, fe'!$N$9:$N$375,MATCH(MIN(ABS('Model tilvækst, slagteform, fe'!$M$9:$M$375-'Vækstfunktion, hol'!G297)),ABS('Model tilvækst, slagteform, fe'!$M$9:$M$375-'Vækstfunktion, hol'!G297),0))*(1+Forudsætninger!$C$80)</f>
        <v>8.1715634444336818</v>
      </c>
      <c r="Q297" s="17">
        <f t="shared" si="119"/>
        <v>14.503639029520006</v>
      </c>
      <c r="R297" s="17">
        <f t="shared" si="120"/>
        <v>8.9640705722125347</v>
      </c>
      <c r="S297" s="17">
        <f t="shared" si="109"/>
        <v>4.6597800267415037</v>
      </c>
      <c r="T297" s="19">
        <f>(P297)*IF(N297&lt;Forudsætninger!$B$228,IF(N297&lt;Forudsætninger!$B$227,Forudsætninger!$B$225,Forudsætninger!$C$9),Forudsætninger!$C$11)+O297</f>
        <v>22.001472268889373</v>
      </c>
      <c r="U297" s="2">
        <f>Forudsætninger!$C$68+((K297-(Forudsætninger!$C$84)))*0.01</f>
        <v>3.9628197879868403</v>
      </c>
      <c r="V297" s="2">
        <f>U297+Forudsætninger!$C$69</f>
        <v>2.9628197879868403</v>
      </c>
      <c r="W297">
        <f t="shared" si="110"/>
        <v>1</v>
      </c>
      <c r="X297">
        <f>IF(A297+Forudsætninger!$C$60&gt;248,IF(A297+Forudsætninger!$C$60&lt;365,IF(K297&gt;180,IF(K297&lt;260,1,0),0),0),0)</f>
        <v>1</v>
      </c>
      <c r="Y297" s="22">
        <f>IF(X297=0,0,IF('Vækstfunktion, hol'!A297&lt;Forudsætninger!$C$66,Forudsætninger!$C$67+(('Vækstfunktion, hol'!A297-Forudsætninger!$C$66)/7)*Forudsætninger!$C$64,Forudsætninger!$C$67))</f>
        <v>0.95</v>
      </c>
      <c r="Z297" s="19">
        <f t="shared" si="121"/>
        <v>5086.3865788582971</v>
      </c>
      <c r="AA297" s="19">
        <f>Forudsætninger!$C$62+Forudsætninger!$C$16</f>
        <v>1350</v>
      </c>
      <c r="AB297" s="19">
        <f>IF(K297&gt;Forudsætninger!$C$26,IF(K297&gt;Forudsætninger!$C$27,IF(K297&gt;Forudsætninger!$C$28,Forudsætninger!$E$28,Forudsætninger!$E$27+Forudsætninger!$F$28*(K297-Forudsætninger!$C$27)),Forudsætninger!$E$26+Forudsætninger!$F$27*(K297-Forudsætninger!$C$26)),Forudsætninger!$E$26)+IF(K297&gt;Forudsætninger!$C$28,Forudsætninger!$G$28,IF(K297&gt;Forudsætninger!$C$27,Forudsætninger!$G$27+Forudsætninger!$H$28*(K297-Forudsætninger!$C$27),IF(K297&gt;Forudsætninger!$C$26,Forudsætninger!$G$26+Forudsætninger!$H$27*(K297-Forudsætninger!$C$26),Forudsætninger!$G$26)))*(U297-Forudsætninger!$H$26)</f>
        <v>35.732927832861755</v>
      </c>
      <c r="AC297" s="19">
        <f>IF(K297&gt;Forudsætninger!$C$31,IF(K297&gt;Forudsætninger!$C$32,IF(K297&gt;Forudsætninger!$C$33,Forudsætninger!$E$33,Forudsætninger!$E$32+Forudsætninger!$F$33*(K297-Forudsætninger!$C$32)),Forudsætninger!$E$31+Forudsætninger!$F$32*(K297-Forudsætninger!$C$31)),Forudsætninger!$E$31)+IF(K297&gt;Forudsætninger!$C$33,Forudsætninger!$G$33,IF(K297&gt;Forudsætninger!$C$32,Forudsætninger!$G$32+Forudsætninger!$H$33*(K297-Forudsætninger!$C$32),IF(K297&gt;Forudsætninger!$C$31,Forudsætninger!$G$31+Forudsætninger!$H$32*(K297-Forudsætninger!$C$31),Forudsætninger!$G$31)))*(V297-Forudsætninger!$H$31)</f>
        <v>28.654021594417532</v>
      </c>
      <c r="AD297" s="19">
        <f t="shared" si="111"/>
        <v>8016.0528577550185</v>
      </c>
      <c r="AE297" s="19">
        <f t="shared" si="112"/>
        <v>35.378982520939545</v>
      </c>
      <c r="AF297">
        <f>IF(G297&lt;=Forudsætninger!$C$97,Forudsætninger!$C$98,(IF(G297&lt;=Forudsætninger!$D$97,Forudsætninger!$D$98,IF(G297&lt;=Forudsætninger!$E$97,Forudsætninger!$E$98,IF(G297&lt;=Forudsætninger!$F$97,Forudsætninger!$F$98,IF(G297&lt;=Forudsætninger!$G$97,Forudsætninger!$G$98,IF(G297&lt;=Forudsætninger!$H$97,Forudsætninger!$H$98,IF(G297&lt;=Forudsætninger!$I$97,Forudsætninger!$I$98,Forudsætninger!$I$98))))))))</f>
        <v>4.4000000000000004</v>
      </c>
      <c r="AG297" s="1">
        <f t="shared" si="122"/>
        <v>4.4000000000000004</v>
      </c>
      <c r="AH297" s="1">
        <f t="shared" si="126"/>
        <v>973.19999999999618</v>
      </c>
      <c r="AI297" s="1">
        <f t="shared" si="113"/>
        <v>3.2989830508474447</v>
      </c>
      <c r="AJ297" s="20">
        <f>+(W297*Forudsætninger!$C$12)</f>
        <v>900</v>
      </c>
      <c r="AK297" s="20">
        <f>Forudsætninger!$C$17</f>
        <v>250</v>
      </c>
      <c r="AL297" s="20">
        <f>IF(A297&lt;92,Forudsætninger!$C$20,Forudsætninger!$C$21)</f>
        <v>1.0566762728146013</v>
      </c>
      <c r="AM297" s="20">
        <f t="shared" si="123"/>
        <v>580.22498333359783</v>
      </c>
      <c r="AN297" s="20">
        <f>IFERROR(AD297+AJ297-AA297-Z297-AK297-AM297-Forudsætninger!$C$75,-99999999)</f>
        <v>1467.0471030137282</v>
      </c>
      <c r="AO297" s="19">
        <f>IFERROR(AN297/(A297+Forudsætninger!$C$74),-99999999)</f>
        <v>4.9730410271651806</v>
      </c>
      <c r="AP297" s="19">
        <f>IFERROR(((365/(A297+Forudsætninger!$C$74))*AN297)/(AI297+Forudsætninger!$C$73),-9999999)</f>
        <v>532.46377228659355</v>
      </c>
      <c r="AQ297" s="18">
        <f t="shared" si="114"/>
        <v>295</v>
      </c>
      <c r="AR297" s="18">
        <f t="shared" si="124"/>
        <v>7266.6115621918952</v>
      </c>
      <c r="AS297" s="52">
        <f t="shared" si="105"/>
        <v>11</v>
      </c>
      <c r="AT297" s="50">
        <f t="shared" si="127"/>
        <v>0.22336334477085984</v>
      </c>
      <c r="AU297" s="50">
        <f t="shared" si="128"/>
        <v>-1.6155366266647597E-2</v>
      </c>
      <c r="AV297" s="2">
        <f t="shared" si="129"/>
        <v>-2.3172423359083041</v>
      </c>
      <c r="AW297" s="61">
        <f t="shared" si="125"/>
        <v>6.9399053774485626</v>
      </c>
      <c r="BA297" s="16"/>
      <c r="BB297" s="2"/>
    </row>
    <row r="298" spans="1:54" x14ac:dyDescent="0.25">
      <c r="A298">
        <v>296</v>
      </c>
      <c r="B298" s="1">
        <f>ROUND((A298+Forudsætninger!$C$60)/30.4,1)</f>
        <v>11</v>
      </c>
      <c r="C298" s="1">
        <f>VLOOKUP((A298+Forudsætninger!$C$60),'Model tilvækst, slagteform, fe'!A:B,2,FALSE)</f>
        <v>477.53185097324962</v>
      </c>
      <c r="D298" s="3">
        <f t="shared" si="115"/>
        <v>1102.7676126939241</v>
      </c>
      <c r="E298" s="1">
        <f>(1+Forudsætninger!$C$78)*C298</f>
        <v>444.10462140512209</v>
      </c>
      <c r="F298" s="2">
        <f t="shared" si="116"/>
        <v>0</v>
      </c>
      <c r="G298" s="1">
        <f t="shared" si="106"/>
        <v>444.10462140512209</v>
      </c>
      <c r="H298" s="3">
        <f t="shared" si="107"/>
        <v>1025.5738798053358</v>
      </c>
      <c r="I298" s="3">
        <f t="shared" si="108"/>
        <v>1267.2453425848719</v>
      </c>
      <c r="J298" s="1">
        <f>VLOOKUP((A298+Forudsætninger!$C$60),'Model tilvækst, slagteform, fe'!G:K,2,FALSE)*(1+Forudsætninger!$C$79)</f>
        <v>51.14524735836784</v>
      </c>
      <c r="K298" s="17">
        <f t="shared" si="104"/>
        <v>227.13840714759272</v>
      </c>
      <c r="L298" s="17">
        <f t="shared" si="117"/>
        <v>561.71424777272705</v>
      </c>
      <c r="M298" s="3">
        <f>((K298-(('Model tilvækst, slagteform, fe'!$H$9/100)*'Model tilvækst, slagteform, fe'!$B$9))*1000/(A298+Forudsætninger!$C$60))</f>
        <v>616.98956154980249</v>
      </c>
      <c r="N298" s="17">
        <f t="shared" si="118"/>
        <v>1751.2976375253907</v>
      </c>
      <c r="O298" s="19">
        <f>IF( A298&lt;Forudsætninger!$C$14,(G298/100)*Forudsætninger!$C$13,(Forudsætninger!$C$15/1000)*Forudsætninger!$C$13)</f>
        <v>2.8866800391332941</v>
      </c>
      <c r="P298" s="17" cm="1">
        <f t="array" ref="P298">INDEX('Model tilvækst, slagteform, fe'!$N$9:$N$375,MATCH(MIN(ABS('Model tilvækst, slagteform, fe'!$M$9:$M$375-'Vækstfunktion, hol'!G298)),ABS('Model tilvækst, slagteform, fe'!$M$9:$M$375-'Vækstfunktion, hol'!G298),0))*(1+Forudsætninger!$C$80)</f>
        <v>8.1715634444336818</v>
      </c>
      <c r="Q298" s="17">
        <f t="shared" si="119"/>
        <v>14.547545263156554</v>
      </c>
      <c r="R298" s="17">
        <f t="shared" si="120"/>
        <v>8.9801527090055746</v>
      </c>
      <c r="S298" s="17">
        <f t="shared" si="109"/>
        <v>4.6688244761291458</v>
      </c>
      <c r="T298" s="19">
        <f>(P298)*IF(N298&lt;Forudsætninger!$B$228,IF(N298&lt;Forudsætninger!$B$227,Forudsætninger!$B$225,Forudsætninger!$C$9),Forudsætninger!$C$11)+O298</f>
        <v>22.008138499108107</v>
      </c>
      <c r="U298" s="2">
        <f>Forudsætninger!$C$68+((K298-(Forudsætninger!$C$84)))*0.01</f>
        <v>3.9684369304645672</v>
      </c>
      <c r="V298" s="2">
        <f>U298+Forudsætninger!$C$69</f>
        <v>2.9684369304645672</v>
      </c>
      <c r="W298">
        <f t="shared" si="110"/>
        <v>1</v>
      </c>
      <c r="X298">
        <f>IF(A298+Forudsætninger!$C$60&gt;248,IF(A298+Forudsætninger!$C$60&lt;365,IF(K298&gt;180,IF(K298&lt;260,1,0),0),0),0)</f>
        <v>1</v>
      </c>
      <c r="Y298" s="22">
        <f>IF(X298=0,0,IF('Vækstfunktion, hol'!A298&lt;Forudsætninger!$C$66,Forudsætninger!$C$67+(('Vækstfunktion, hol'!A298-Forudsætninger!$C$66)/7)*Forudsætninger!$C$64,Forudsætninger!$C$67))</f>
        <v>0.95</v>
      </c>
      <c r="Z298" s="19">
        <f t="shared" si="121"/>
        <v>5108.3947173574052</v>
      </c>
      <c r="AA298" s="19">
        <f>Forudsætninger!$C$62+Forudsætninger!$C$16</f>
        <v>1350</v>
      </c>
      <c r="AB298" s="19">
        <f>IF(K298&gt;Forudsætninger!$C$26,IF(K298&gt;Forudsætninger!$C$27,IF(K298&gt;Forudsætninger!$C$28,Forudsætninger!$E$28,Forudsætninger!$E$27+Forudsætninger!$F$28*(K298-Forudsætninger!$C$27)),Forudsætninger!$E$26+Forudsætninger!$F$27*(K298-Forudsætninger!$C$26)),Forudsætninger!$E$26)+IF(K298&gt;Forudsætninger!$C$28,Forudsætninger!$G$28,IF(K298&gt;Forudsætninger!$C$27,Forudsætninger!$G$27+Forudsætninger!$H$28*(K298-Forudsætninger!$C$27),IF(K298&gt;Forudsætninger!$C$26,Forudsætninger!$G$26+Forudsætninger!$H$27*(K298-Forudsætninger!$C$26),Forudsætninger!$G$26)))*(U298-Forudsætninger!$H$26)</f>
        <v>35.747672831865792</v>
      </c>
      <c r="AC298" s="19">
        <f>IF(K298&gt;Forudsætninger!$C$31,IF(K298&gt;Forudsætninger!$C$32,IF(K298&gt;Forudsætninger!$C$33,Forudsætninger!$E$33,Forudsætninger!$E$32+Forudsætninger!$F$33*(K298-Forudsætninger!$C$32)),Forudsætninger!$E$31+Forudsætninger!$F$32*(K298-Forudsætninger!$C$31)),Forudsætninger!$E$31)+IF(K298&gt;Forudsætninger!$C$33,Forudsætninger!$G$33,IF(K298&gt;Forudsætninger!$C$32,Forudsætninger!$G$32+Forudsætninger!$H$33*(K298-Forudsætninger!$C$32),IF(K298&gt;Forudsætninger!$C$31,Forudsætninger!$G$31+Forudsætninger!$H$32*(K298-Forudsætninger!$C$31),Forudsætninger!$G$31)))*(V298-Forudsætninger!$H$31)</f>
        <v>28.66925625968738</v>
      </c>
      <c r="AD298" s="19">
        <f t="shared" si="111"/>
        <v>8039.2804529966843</v>
      </c>
      <c r="AE298" s="19">
        <f t="shared" si="112"/>
        <v>35.393752003256871</v>
      </c>
      <c r="AF298">
        <f>IF(G298&lt;=Forudsætninger!$C$97,Forudsætninger!$C$98,(IF(G298&lt;=Forudsætninger!$D$97,Forudsætninger!$D$98,IF(G298&lt;=Forudsætninger!$E$97,Forudsætninger!$E$98,IF(G298&lt;=Forudsætninger!$F$97,Forudsætninger!$F$98,IF(G298&lt;=Forudsætninger!$G$97,Forudsætninger!$G$98,IF(G298&lt;=Forudsætninger!$H$97,Forudsætninger!$H$98,IF(G298&lt;=Forudsætninger!$I$97,Forudsætninger!$I$98,Forudsætninger!$I$98))))))))</f>
        <v>4.4000000000000004</v>
      </c>
      <c r="AG298" s="1">
        <f t="shared" si="122"/>
        <v>4.4000000000000004</v>
      </c>
      <c r="AH298" s="1">
        <f t="shared" si="126"/>
        <v>977.59999999999616</v>
      </c>
      <c r="AI298" s="1">
        <f t="shared" si="113"/>
        <v>3.3027027027026898</v>
      </c>
      <c r="AJ298" s="20">
        <f>+(W298*Forudsætninger!$C$12)</f>
        <v>900</v>
      </c>
      <c r="AK298" s="20">
        <f>Forudsætninger!$C$17</f>
        <v>250</v>
      </c>
      <c r="AL298" s="20">
        <f>IF(A298&lt;92,Forudsætninger!$C$20,Forudsætninger!$C$21)</f>
        <v>1.0566762728146013</v>
      </c>
      <c r="AM298" s="20">
        <f t="shared" si="123"/>
        <v>581.2816596064124</v>
      </c>
      <c r="AN298" s="20">
        <f>IFERROR(AD298+AJ298-AA298-Z298-AK298-AM298-Forudsætninger!$C$75,-99999999)</f>
        <v>1467.209883483473</v>
      </c>
      <c r="AO298" s="19">
        <f>IFERROR(AN298/(A298+Forudsætninger!$C$74),-99999999)</f>
        <v>4.9567901469036251</v>
      </c>
      <c r="AP298" s="19">
        <f>IFERROR(((365/(A298+Forudsætninger!$C$74))*AN298)/(AI298+Forudsætninger!$C$73),-9999999)</f>
        <v>530.14533090942984</v>
      </c>
      <c r="AQ298" s="18">
        <f t="shared" si="114"/>
        <v>296</v>
      </c>
      <c r="AR298" s="18">
        <f t="shared" si="124"/>
        <v>7289.6763769638173</v>
      </c>
      <c r="AS298" s="52">
        <f t="shared" si="105"/>
        <v>11</v>
      </c>
      <c r="AT298" s="50">
        <f t="shared" si="127"/>
        <v>0.16278046974480276</v>
      </c>
      <c r="AU298" s="50">
        <f t="shared" si="128"/>
        <v>-1.6250880261555523E-2</v>
      </c>
      <c r="AV298" s="2">
        <f t="shared" si="129"/>
        <v>-2.3184413771637082</v>
      </c>
      <c r="AW298" s="61">
        <f t="shared" si="125"/>
        <v>6.9205795374658292</v>
      </c>
      <c r="BA298" s="16"/>
      <c r="BB298" s="2"/>
    </row>
    <row r="299" spans="1:54" x14ac:dyDescent="0.25">
      <c r="A299">
        <v>297</v>
      </c>
      <c r="B299" s="1">
        <f>ROUND((A299+Forudsætninger!$C$60)/30.4,1)</f>
        <v>11.1</v>
      </c>
      <c r="C299" s="1">
        <f>VLOOKUP((A299+Forudsætninger!$C$60),'Model tilvækst, slagteform, fe'!A:B,2,FALSE)</f>
        <v>478.63062471538382</v>
      </c>
      <c r="D299" s="3">
        <f t="shared" si="115"/>
        <v>1098.773742134199</v>
      </c>
      <c r="E299" s="1">
        <f>(1+Forudsætninger!$C$78)*C299</f>
        <v>445.1264809853069</v>
      </c>
      <c r="F299" s="2">
        <f t="shared" si="116"/>
        <v>0</v>
      </c>
      <c r="G299" s="1">
        <f t="shared" si="106"/>
        <v>445.1264809853069</v>
      </c>
      <c r="H299" s="3">
        <f t="shared" si="107"/>
        <v>1021.8595801848096</v>
      </c>
      <c r="I299" s="3">
        <f t="shared" si="108"/>
        <v>1266.4191278966562</v>
      </c>
      <c r="J299" s="1">
        <f>VLOOKUP((A299+Forudsætninger!$C$60),'Model tilvækst, slagteform, fe'!G:K,2,FALSE)*(1+Forudsætninger!$C$79)</f>
        <v>51.153646843602957</v>
      </c>
      <c r="K299" s="17">
        <f t="shared" si="104"/>
        <v>227.69842809058133</v>
      </c>
      <c r="L299" s="17">
        <f t="shared" si="117"/>
        <v>560.02094298861493</v>
      </c>
      <c r="M299" s="3">
        <f>((K299-(('Model tilvækst, slagteform, fe'!$H$9/100)*'Model tilvækst, slagteform, fe'!$B$9))*1000/(A299+Forudsætninger!$C$60))</f>
        <v>616.82001208979898</v>
      </c>
      <c r="N299" s="17">
        <f t="shared" si="118"/>
        <v>1759.4824939884102</v>
      </c>
      <c r="O299" s="19">
        <f>IF( A299&lt;Forudsætninger!$C$14,(G299/100)*Forudsætninger!$C$13,(Forudsætninger!$C$15/1000)*Forudsætninger!$C$13)</f>
        <v>2.8933221264044953</v>
      </c>
      <c r="P299" s="17" cm="1">
        <f t="array" ref="P299">INDEX('Model tilvækst, slagteform, fe'!$N$9:$N$375,MATCH(MIN(ABS('Model tilvækst, slagteform, fe'!$M$9:$M$375-'Vækstfunktion, hol'!G299)),ABS('Model tilvækst, slagteform, fe'!$M$9:$M$375-'Vækstfunktion, hol'!G299),0))*(1+Forudsætninger!$C$80)</f>
        <v>8.1848564630196279</v>
      </c>
      <c r="Q299" s="17">
        <f t="shared" si="119"/>
        <v>14.615268527887936</v>
      </c>
      <c r="R299" s="17">
        <f t="shared" si="120"/>
        <v>8.9962883242941807</v>
      </c>
      <c r="S299" s="17">
        <f t="shared" si="109"/>
        <v>4.6779011394763854</v>
      </c>
      <c r="T299" s="19">
        <f>(P299)*IF(N299&lt;Forudsætninger!$B$228,IF(N299&lt;Forudsætninger!$B$227,Forudsætninger!$B$225,Forudsætninger!$C$9),Forudsætninger!$C$11)+O299</f>
        <v>22.045886249870424</v>
      </c>
      <c r="U299" s="2">
        <f>Forudsætninger!$C$68+((K299-(Forudsætninger!$C$84)))*0.01</f>
        <v>3.9740371398944534</v>
      </c>
      <c r="V299" s="2">
        <f>U299+Forudsætninger!$C$69</f>
        <v>2.9740371398944534</v>
      </c>
      <c r="W299">
        <f t="shared" si="110"/>
        <v>1</v>
      </c>
      <c r="X299">
        <f>IF(A299+Forudsætninger!$C$60&gt;248,IF(A299+Forudsætninger!$C$60&lt;365,IF(K299&gt;180,IF(K299&lt;260,1,0),0),0),0)</f>
        <v>1</v>
      </c>
      <c r="Y299" s="22">
        <f>IF(X299=0,0,IF('Vækstfunktion, hol'!A299&lt;Forudsætninger!$C$66,Forudsætninger!$C$67+(('Vækstfunktion, hol'!A299-Forudsætninger!$C$66)/7)*Forudsætninger!$C$64,Forudsætninger!$C$67))</f>
        <v>0.95</v>
      </c>
      <c r="Z299" s="19">
        <f t="shared" si="121"/>
        <v>5130.440603607276</v>
      </c>
      <c r="AA299" s="19">
        <f>Forudsætninger!$C$62+Forudsætninger!$C$16</f>
        <v>1350</v>
      </c>
      <c r="AB299" s="19">
        <f>IF(K299&gt;Forudsætninger!$C$26,IF(K299&gt;Forudsætninger!$C$27,IF(K299&gt;Forudsætninger!$C$28,Forudsætninger!$E$28,Forudsætninger!$E$27+Forudsætninger!$F$28*(K299-Forudsætninger!$C$27)),Forudsætninger!$E$26+Forudsætninger!$F$27*(K299-Forudsætninger!$C$26)),Forudsætninger!$E$26)+IF(K299&gt;Forudsætninger!$C$28,Forudsætninger!$G$28,IF(K299&gt;Forudsætninger!$C$27,Forudsætninger!$G$27+Forudsætninger!$H$28*(K299-Forudsætninger!$C$27),IF(K299&gt;Forudsætninger!$C$26,Forudsætninger!$G$26+Forudsætninger!$H$27*(K299-Forudsætninger!$C$26),Forudsætninger!$G$26)))*(U299-Forudsætninger!$H$26)</f>
        <v>35.762373381619241</v>
      </c>
      <c r="AC299" s="19">
        <f>IF(K299&gt;Forudsætninger!$C$31,IF(K299&gt;Forudsætninger!$C$32,IF(K299&gt;Forudsætninger!$C$33,Forudsætninger!$E$33,Forudsætninger!$E$32+Forudsætninger!$F$33*(K299-Forudsætninger!$C$32)),Forudsætninger!$E$31+Forudsætninger!$F$32*(K299-Forudsætninger!$C$31)),Forudsætninger!$E$31)+IF(K299&gt;Forudsætninger!$C$33,Forudsætninger!$G$33,IF(K299&gt;Forudsætninger!$C$32,Forudsætninger!$G$32+Forudsætninger!$H$33*(K299-Forudsætninger!$C$32),IF(K299&gt;Forudsætninger!$C$31,Forudsætninger!$G$31+Forudsætninger!$H$32*(K299-Forudsætninger!$C$31),Forudsætninger!$G$31)))*(V299-Forudsætninger!$H$31)</f>
        <v>28.684421442272733</v>
      </c>
      <c r="AD299" s="19">
        <f t="shared" si="111"/>
        <v>8062.4542772486539</v>
      </c>
      <c r="AE299" s="19">
        <f t="shared" si="112"/>
        <v>35.408475784651912</v>
      </c>
      <c r="AF299">
        <f>IF(G299&lt;=Forudsætninger!$C$97,Forudsætninger!$C$98,(IF(G299&lt;=Forudsætninger!$D$97,Forudsætninger!$D$98,IF(G299&lt;=Forudsætninger!$E$97,Forudsætninger!$E$98,IF(G299&lt;=Forudsætninger!$F$97,Forudsætninger!$F$98,IF(G299&lt;=Forudsætninger!$G$97,Forudsætninger!$G$98,IF(G299&lt;=Forudsætninger!$H$97,Forudsætninger!$H$98,IF(G299&lt;=Forudsætninger!$I$97,Forudsætninger!$I$98,Forudsætninger!$I$98))))))))</f>
        <v>4.4000000000000004</v>
      </c>
      <c r="AG299" s="1">
        <f t="shared" si="122"/>
        <v>4.4000000000000004</v>
      </c>
      <c r="AH299" s="1">
        <f t="shared" si="126"/>
        <v>981.99999999999613</v>
      </c>
      <c r="AI299" s="1">
        <f t="shared" si="113"/>
        <v>3.3063973063972933</v>
      </c>
      <c r="AJ299" s="20">
        <f>+(W299*Forudsætninger!$C$12)</f>
        <v>900</v>
      </c>
      <c r="AK299" s="20">
        <f>Forudsætninger!$C$17</f>
        <v>250</v>
      </c>
      <c r="AL299" s="20">
        <f>IF(A299&lt;92,Forudsætninger!$C$20,Forudsætninger!$C$21)</f>
        <v>1.0566762728146013</v>
      </c>
      <c r="AM299" s="20">
        <f t="shared" si="123"/>
        <v>582.33833587922697</v>
      </c>
      <c r="AN299" s="20">
        <f>IFERROR(AD299+AJ299-AA299-Z299-AK299-AM299-Forudsætninger!$C$75,-99999999)</f>
        <v>1467.2811452127553</v>
      </c>
      <c r="AO299" s="19">
        <f>IFERROR(AN299/(A299+Forudsætninger!$C$74),-99999999)</f>
        <v>4.9403405562719032</v>
      </c>
      <c r="AP299" s="19">
        <f>IFERROR(((365/(A299+Forudsætninger!$C$74))*AN299)/(AI299+Forudsætninger!$C$73),-9999999)</f>
        <v>527.81457814132455</v>
      </c>
      <c r="AQ299" s="18">
        <f t="shared" si="114"/>
        <v>297</v>
      </c>
      <c r="AR299" s="18">
        <f t="shared" si="124"/>
        <v>7312.7789394865031</v>
      </c>
      <c r="AS299" s="52">
        <f t="shared" si="105"/>
        <v>11.1</v>
      </c>
      <c r="AT299" s="50">
        <f t="shared" si="127"/>
        <v>7.1261729282241504E-2</v>
      </c>
      <c r="AU299" s="50">
        <f t="shared" si="128"/>
        <v>-1.6449590631721911E-2</v>
      </c>
      <c r="AV299" s="2">
        <f t="shared" si="129"/>
        <v>-2.3307527681052989</v>
      </c>
      <c r="AW299" s="61">
        <f t="shared" si="125"/>
        <v>6.9010756939123983</v>
      </c>
      <c r="BA299" s="16"/>
      <c r="BB299" s="2"/>
    </row>
    <row r="300" spans="1:54" x14ac:dyDescent="0.25">
      <c r="A300">
        <v>298</v>
      </c>
      <c r="B300" s="1">
        <f>ROUND((A300+Forudsætninger!$C$60)/30.4,1)</f>
        <v>11.1</v>
      </c>
      <c r="C300" s="1">
        <f>VLOOKUP((A300+Forudsætninger!$C$60),'Model tilvækst, slagteform, fe'!A:B,2,FALSE)</f>
        <v>479.72542394756317</v>
      </c>
      <c r="D300" s="3">
        <f t="shared" si="115"/>
        <v>1094.7992321793549</v>
      </c>
      <c r="E300" s="1">
        <f>(1+Forudsætninger!$C$78)*C300</f>
        <v>446.14464427123374</v>
      </c>
      <c r="F300" s="2">
        <f t="shared" si="116"/>
        <v>0</v>
      </c>
      <c r="G300" s="1">
        <f t="shared" si="106"/>
        <v>446.14464427123374</v>
      </c>
      <c r="H300" s="3">
        <f t="shared" si="107"/>
        <v>1018.1632859268461</v>
      </c>
      <c r="I300" s="3">
        <f t="shared" si="108"/>
        <v>1265.5860546014555</v>
      </c>
      <c r="J300" s="1">
        <f>VLOOKUP((A300+Forudsætninger!$C$60),'Model tilvækst, slagteform, fe'!G:K,2,FALSE)*(1+Forudsætninger!$C$79)</f>
        <v>51.162053844224701</v>
      </c>
      <c r="K300" s="17">
        <f t="shared" si="104"/>
        <v>228.25676312517334</v>
      </c>
      <c r="L300" s="17">
        <f t="shared" si="117"/>
        <v>558.33503459200529</v>
      </c>
      <c r="M300" s="3">
        <f>((K300-(('Model tilvækst, slagteform, fe'!$H$9/100)*'Model tilvækst, slagteform, fe'!$B$9))*1000/(A300+Forudsætninger!$C$60))</f>
        <v>616.64646616250582</v>
      </c>
      <c r="N300" s="17">
        <f t="shared" si="118"/>
        <v>1767.6806831978081</v>
      </c>
      <c r="O300" s="19">
        <f>IF( A300&lt;Forudsætninger!$C$14,(G300/100)*Forudsætninger!$C$13,(Forudsætninger!$C$15/1000)*Forudsætninger!$C$13)</f>
        <v>2.8999401877630193</v>
      </c>
      <c r="P300" s="17" cm="1">
        <f t="array" ref="P300">INDEX('Model tilvækst, slagteform, fe'!$N$9:$N$375,MATCH(MIN(ABS('Model tilvækst, slagteform, fe'!$M$9:$M$375-'Vækstfunktion, hol'!G300)),ABS('Model tilvækst, slagteform, fe'!$M$9:$M$375-'Vækstfunktion, hol'!G300),0))*(1+Forudsætninger!$C$80)</f>
        <v>8.198189209397821</v>
      </c>
      <c r="Q300" s="17">
        <f t="shared" si="119"/>
        <v>14.683279216731441</v>
      </c>
      <c r="R300" s="17">
        <f t="shared" si="120"/>
        <v>9.0124772405918883</v>
      </c>
      <c r="S300" s="17">
        <f t="shared" si="109"/>
        <v>4.6870099046840314</v>
      </c>
      <c r="T300" s="19">
        <f>(P300)*IF(N300&lt;Forudsætninger!$B$228,IF(N300&lt;Forudsætninger!$B$227,Forudsætninger!$B$225,Forudsætninger!$C$9),Forudsætninger!$C$11)+O300</f>
        <v>22.08370293775392</v>
      </c>
      <c r="U300" s="2">
        <f>Forudsætninger!$C$68+((K300-(Forudsætninger!$C$84)))*0.01</f>
        <v>3.9796204902403738</v>
      </c>
      <c r="V300" s="2">
        <f>U300+Forudsætninger!$C$69</f>
        <v>2.9796204902403738</v>
      </c>
      <c r="W300">
        <f t="shared" si="110"/>
        <v>1</v>
      </c>
      <c r="X300">
        <f>IF(A300+Forudsætninger!$C$60&gt;248,IF(A300+Forudsætninger!$C$60&lt;365,IF(K300&gt;180,IF(K300&lt;260,1,0),0),0),0)</f>
        <v>1</v>
      </c>
      <c r="Y300" s="22">
        <f>IF(X300=0,0,IF('Vækstfunktion, hol'!A300&lt;Forudsætninger!$C$66,Forudsætninger!$C$67+(('Vækstfunktion, hol'!A300-Forudsætninger!$C$66)/7)*Forudsætninger!$C$64,Forudsætninger!$C$67))</f>
        <v>0.95</v>
      </c>
      <c r="Z300" s="19">
        <f t="shared" si="121"/>
        <v>5152.5243065450295</v>
      </c>
      <c r="AA300" s="19">
        <f>Forudsætninger!$C$62+Forudsætninger!$C$16</f>
        <v>1350</v>
      </c>
      <c r="AB300" s="19">
        <f>IF(K300&gt;Forudsætninger!$C$26,IF(K300&gt;Forudsætninger!$C$27,IF(K300&gt;Forudsætninger!$C$28,Forudsætninger!$E$28,Forudsætninger!$E$27+Forudsætninger!$F$28*(K300-Forudsætninger!$C$27)),Forudsætninger!$E$26+Forudsætninger!$F$27*(K300-Forudsætninger!$C$26)),Forudsætninger!$E$26)+IF(K300&gt;Forudsætninger!$C$28,Forudsætninger!$G$28,IF(K300&gt;Forudsætninger!$C$27,Forudsætninger!$G$27+Forudsætninger!$H$28*(K300-Forudsætninger!$C$27),IF(K300&gt;Forudsætninger!$C$26,Forudsætninger!$G$26+Forudsætninger!$H$27*(K300-Forudsætninger!$C$26),Forudsætninger!$G$26)))*(U300-Forudsætninger!$H$26)</f>
        <v>35.77702967627728</v>
      </c>
      <c r="AC300" s="19">
        <f>IF(K300&gt;Forudsætninger!$C$31,IF(K300&gt;Forudsætninger!$C$32,IF(K300&gt;Forudsætninger!$C$33,Forudsætninger!$E$33,Forudsætninger!$E$32+Forudsætninger!$F$33*(K300-Forudsætninger!$C$32)),Forudsætninger!$E$31+Forudsætninger!$F$32*(K300-Forudsætninger!$C$31)),Forudsætninger!$E$31)+IF(K300&gt;Forudsætninger!$C$33,Forudsætninger!$G$33,IF(K300&gt;Forudsætninger!$C$32,Forudsætninger!$G$32+Forudsætninger!$H$33*(K300-Forudsætninger!$C$32),IF(K300&gt;Forudsætninger!$C$31,Forudsætninger!$G$31+Forudsætninger!$H$32*(K300-Forudsætninger!$C$31),Forudsætninger!$G$31)))*(V300-Forudsætninger!$H$31)</f>
        <v>28.699517555364654</v>
      </c>
      <c r="AD300" s="19">
        <f t="shared" si="111"/>
        <v>8085.5744877553843</v>
      </c>
      <c r="AE300" s="19">
        <f t="shared" si="112"/>
        <v>35.423154070231647</v>
      </c>
      <c r="AF300">
        <f>IF(G300&lt;=Forudsætninger!$C$97,Forudsætninger!$C$98,(IF(G300&lt;=Forudsætninger!$D$97,Forudsætninger!$D$98,IF(G300&lt;=Forudsætninger!$E$97,Forudsætninger!$E$98,IF(G300&lt;=Forudsætninger!$F$97,Forudsætninger!$F$98,IF(G300&lt;=Forudsætninger!$G$97,Forudsætninger!$G$98,IF(G300&lt;=Forudsætninger!$H$97,Forudsætninger!$H$98,IF(G300&lt;=Forudsætninger!$I$97,Forudsætninger!$I$98,Forudsætninger!$I$98))))))))</f>
        <v>4.4000000000000004</v>
      </c>
      <c r="AG300" s="1">
        <f t="shared" si="122"/>
        <v>4.4000000000000004</v>
      </c>
      <c r="AH300" s="1">
        <f t="shared" si="126"/>
        <v>986.39999999999611</v>
      </c>
      <c r="AI300" s="1">
        <f t="shared" si="113"/>
        <v>3.3100671140939468</v>
      </c>
      <c r="AJ300" s="20">
        <f>+(W300*Forudsætninger!$C$12)</f>
        <v>900</v>
      </c>
      <c r="AK300" s="20">
        <f>Forudsætninger!$C$17</f>
        <v>250</v>
      </c>
      <c r="AL300" s="20">
        <f>IF(A300&lt;92,Forudsætninger!$C$20,Forudsætninger!$C$21)</f>
        <v>1.0566762728146013</v>
      </c>
      <c r="AM300" s="20">
        <f t="shared" si="123"/>
        <v>583.39501215204155</v>
      </c>
      <c r="AN300" s="20">
        <f>IFERROR(AD300+AJ300-AA300-Z300-AK300-AM300-Forudsætninger!$C$75,-99999999)</f>
        <v>1467.2609765089187</v>
      </c>
      <c r="AO300" s="19">
        <f>IFERROR(AN300/(A300+Forudsætninger!$C$74),-99999999)</f>
        <v>4.9236945520433517</v>
      </c>
      <c r="AP300" s="19">
        <f>IFERROR(((365/(A300+Forudsætninger!$C$74))*AN300)/(AI300+Forudsætninger!$C$73),-9999999)</f>
        <v>525.47170904625034</v>
      </c>
      <c r="AQ300" s="18">
        <f t="shared" si="114"/>
        <v>298</v>
      </c>
      <c r="AR300" s="18">
        <f t="shared" si="124"/>
        <v>7335.9193186970715</v>
      </c>
      <c r="AS300" s="52">
        <f t="shared" si="105"/>
        <v>11.1</v>
      </c>
      <c r="AT300" s="50">
        <f t="shared" si="127"/>
        <v>-2.0168703836588975E-2</v>
      </c>
      <c r="AU300" s="50">
        <f t="shared" si="128"/>
        <v>-1.6646004228551448E-2</v>
      </c>
      <c r="AV300" s="2">
        <f t="shared" si="129"/>
        <v>-2.3428690950742066</v>
      </c>
      <c r="AW300" s="61">
        <f t="shared" si="125"/>
        <v>6.8813959351038934</v>
      </c>
      <c r="BA300" s="16"/>
      <c r="BB300" s="2"/>
    </row>
    <row r="301" spans="1:54" x14ac:dyDescent="0.25">
      <c r="A301">
        <v>299</v>
      </c>
      <c r="B301" s="1">
        <f>ROUND((A301+Forudsætninger!$C$60)/30.4,1)</f>
        <v>11.1</v>
      </c>
      <c r="C301" s="1">
        <f>VLOOKUP((A301+Forudsætninger!$C$60),'Model tilvækst, slagteform, fe'!A:B,2,FALSE)</f>
        <v>480.81626856474145</v>
      </c>
      <c r="D301" s="3">
        <f t="shared" si="115"/>
        <v>1090.8446171782771</v>
      </c>
      <c r="E301" s="1">
        <f>(1+Forudsætninger!$C$78)*C301</f>
        <v>447.15912976520951</v>
      </c>
      <c r="F301" s="2">
        <f t="shared" si="116"/>
        <v>0</v>
      </c>
      <c r="G301" s="1">
        <f t="shared" si="106"/>
        <v>447.15912976520951</v>
      </c>
      <c r="H301" s="3">
        <f t="shared" si="107"/>
        <v>1014.4854939757693</v>
      </c>
      <c r="I301" s="3">
        <f t="shared" si="108"/>
        <v>1264.7462533953496</v>
      </c>
      <c r="J301" s="1">
        <f>VLOOKUP((A301+Forudsætninger!$C$60),'Model tilvækst, slagteform, fe'!G:K,2,FALSE)*(1+Forudsætninger!$C$79)</f>
        <v>51.170468109720133</v>
      </c>
      <c r="K301" s="17">
        <f t="shared" si="104"/>
        <v>228.81341989620861</v>
      </c>
      <c r="L301" s="17">
        <f t="shared" si="117"/>
        <v>556.65677103527855</v>
      </c>
      <c r="M301" s="3">
        <f>((K301-(('Model tilvækst, slagteform, fe'!$H$9/100)*'Model tilvækst, slagteform, fe'!$B$9))*1000/(A301+Forudsætninger!$C$60))</f>
        <v>616.46898185739553</v>
      </c>
      <c r="N301" s="17">
        <f t="shared" si="118"/>
        <v>1775.8922432260517</v>
      </c>
      <c r="O301" s="19">
        <f>IF( A301&lt;Forudsætninger!$C$14,(G301/100)*Forudsætninger!$C$13,(Forudsætninger!$C$15/1000)*Forudsætninger!$C$13)</f>
        <v>2.906534343473862</v>
      </c>
      <c r="P301" s="17" cm="1">
        <f t="array" ref="P301">INDEX('Model tilvækst, slagteform, fe'!$N$9:$N$375,MATCH(MIN(ABS('Model tilvækst, slagteform, fe'!$M$9:$M$375-'Vækstfunktion, hol'!G301)),ABS('Model tilvækst, slagteform, fe'!$M$9:$M$375-'Vækstfunktion, hol'!G301),0))*(1+Forudsætninger!$C$80)</f>
        <v>8.211560028243591</v>
      </c>
      <c r="Q301" s="17">
        <f t="shared" si="119"/>
        <v>14.751567672430552</v>
      </c>
      <c r="R301" s="17">
        <f t="shared" si="120"/>
        <v>9.0287192629203172</v>
      </c>
      <c r="S301" s="17">
        <f t="shared" si="109"/>
        <v>4.6961506504646948</v>
      </c>
      <c r="T301" s="19">
        <f>(P301)*IF(N301&lt;Forudsætninger!$B$228,IF(N301&lt;Forudsætninger!$B$227,Forudsætninger!$B$225,Forudsætninger!$C$9),Forudsætninger!$C$11)+O301</f>
        <v>22.121584809563863</v>
      </c>
      <c r="U301" s="2">
        <f>Forudsætninger!$C$68+((K301-(Forudsætninger!$C$84)))*0.01</f>
        <v>3.9851870579507263</v>
      </c>
      <c r="V301" s="2">
        <f>U301+Forudsætninger!$C$69</f>
        <v>2.9851870579507263</v>
      </c>
      <c r="W301">
        <f t="shared" si="110"/>
        <v>1</v>
      </c>
      <c r="X301">
        <f>IF(A301+Forudsætninger!$C$60&gt;248,IF(A301+Forudsætninger!$C$60&lt;365,IF(K301&gt;180,IF(K301&lt;260,1,0),0),0),0)</f>
        <v>1</v>
      </c>
      <c r="Y301" s="22">
        <f>IF(X301=0,0,IF('Vækstfunktion, hol'!A301&lt;Forudsætninger!$C$66,Forudsætninger!$C$67+(('Vækstfunktion, hol'!A301-Forudsætninger!$C$66)/7)*Forudsætninger!$C$64,Forudsætninger!$C$67))</f>
        <v>0.95</v>
      </c>
      <c r="Z301" s="19">
        <f t="shared" si="121"/>
        <v>5174.645891354593</v>
      </c>
      <c r="AA301" s="19">
        <f>Forudsætninger!$C$62+Forudsætninger!$C$16</f>
        <v>1350</v>
      </c>
      <c r="AB301" s="19">
        <f>IF(K301&gt;Forudsætninger!$C$26,IF(K301&gt;Forudsætninger!$C$27,IF(K301&gt;Forudsætninger!$C$28,Forudsætninger!$E$28,Forudsætninger!$E$27+Forudsætninger!$F$28*(K301-Forudsætninger!$C$27)),Forudsætninger!$E$26+Forudsætninger!$F$27*(K301-Forudsætninger!$C$26)),Forudsætninger!$E$26)+IF(K301&gt;Forudsætninger!$C$28,Forudsætninger!$G$28,IF(K301&gt;Forudsætninger!$C$27,Forudsætninger!$G$27+Forudsætninger!$H$28*(K301-Forudsætninger!$C$27),IF(K301&gt;Forudsætninger!$C$26,Forudsætninger!$G$26+Forudsætninger!$H$27*(K301-Forudsætninger!$C$26),Forudsætninger!$G$26)))*(U301-Forudsætninger!$H$26)</f>
        <v>35.791641916516959</v>
      </c>
      <c r="AC301" s="19">
        <f>IF(K301&gt;Forudsætninger!$C$31,IF(K301&gt;Forudsætninger!$C$32,IF(K301&gt;Forudsætninger!$C$33,Forudsætninger!$E$33,Forudsætninger!$E$32+Forudsætninger!$F$33*(K301-Forudsætninger!$C$32)),Forudsætninger!$E$31+Forudsætninger!$F$32*(K301-Forudsætninger!$C$31)),Forudsætninger!$E$31)+IF(K301&gt;Forudsætninger!$C$33,Forudsætninger!$G$33,IF(K301&gt;Forudsætninger!$C$32,Forudsætninger!$G$32+Forudsætninger!$H$33*(K301-Forudsætninger!$C$32),IF(K301&gt;Forudsætninger!$C$31,Forudsætninger!$G$31+Forudsætninger!$H$32*(K301-Forudsætninger!$C$31),Forudsætninger!$G$31)))*(V301-Forudsætninger!$H$31)</f>
        <v>28.71454501697594</v>
      </c>
      <c r="AD301" s="19">
        <f t="shared" si="111"/>
        <v>8108.6412533926941</v>
      </c>
      <c r="AE301" s="19">
        <f t="shared" si="112"/>
        <v>35.437787071539908</v>
      </c>
      <c r="AF301">
        <f>IF(G301&lt;=Forudsætninger!$C$97,Forudsætninger!$C$98,(IF(G301&lt;=Forudsætninger!$D$97,Forudsætninger!$D$98,IF(G301&lt;=Forudsætninger!$E$97,Forudsætninger!$E$98,IF(G301&lt;=Forudsætninger!$F$97,Forudsætninger!$F$98,IF(G301&lt;=Forudsætninger!$G$97,Forudsætninger!$G$98,IF(G301&lt;=Forudsætninger!$H$97,Forudsætninger!$H$98,IF(G301&lt;=Forudsætninger!$I$97,Forudsætninger!$I$98,Forudsætninger!$I$98))))))))</f>
        <v>4.4000000000000004</v>
      </c>
      <c r="AG301" s="1">
        <f t="shared" si="122"/>
        <v>4.4000000000000004</v>
      </c>
      <c r="AH301" s="1">
        <f t="shared" si="126"/>
        <v>990.79999999999609</v>
      </c>
      <c r="AI301" s="1">
        <f t="shared" si="113"/>
        <v>3.3137123745819266</v>
      </c>
      <c r="AJ301" s="20">
        <f>+(W301*Forudsætninger!$C$12)</f>
        <v>900</v>
      </c>
      <c r="AK301" s="20">
        <f>Forudsætninger!$C$17</f>
        <v>250</v>
      </c>
      <c r="AL301" s="20">
        <f>IF(A301&lt;92,Forudsætninger!$C$20,Forudsætninger!$C$21)</f>
        <v>1.0566762728146013</v>
      </c>
      <c r="AM301" s="20">
        <f t="shared" si="123"/>
        <v>584.45168842485612</v>
      </c>
      <c r="AN301" s="20">
        <f>IFERROR(AD301+AJ301-AA301-Z301-AK301-AM301-Forudsætninger!$C$75,-99999999)</f>
        <v>1467.1494810638505</v>
      </c>
      <c r="AO301" s="19">
        <f>IFERROR(AN301/(A301+Forudsætninger!$C$74),-99999999)</f>
        <v>4.9068544517185639</v>
      </c>
      <c r="AP301" s="19">
        <f>IFERROR(((365/(A301+Forudsætninger!$C$74))*AN301)/(AI301+Forudsætninger!$C$73),-9999999)</f>
        <v>523.11692073607003</v>
      </c>
      <c r="AQ301" s="18">
        <f t="shared" si="114"/>
        <v>299</v>
      </c>
      <c r="AR301" s="18">
        <f t="shared" si="124"/>
        <v>7359.097579779449</v>
      </c>
      <c r="AS301" s="52">
        <f t="shared" si="105"/>
        <v>11.1</v>
      </c>
      <c r="AT301" s="50">
        <f t="shared" si="127"/>
        <v>-0.11149544506815801</v>
      </c>
      <c r="AU301" s="50">
        <f t="shared" si="128"/>
        <v>-1.6840100324787777E-2</v>
      </c>
      <c r="AV301" s="2">
        <f t="shared" si="129"/>
        <v>-2.3547883101803109</v>
      </c>
      <c r="AW301" s="61">
        <f t="shared" si="125"/>
        <v>6.861542372871928</v>
      </c>
      <c r="BA301" s="16"/>
      <c r="BB301" s="2"/>
    </row>
    <row r="302" spans="1:54" x14ac:dyDescent="0.25">
      <c r="A302">
        <v>300</v>
      </c>
      <c r="B302" s="1">
        <f>ROUND((A302+Forudsætninger!$C$60)/30.4,1)</f>
        <v>11.2</v>
      </c>
      <c r="C302" s="1">
        <f>VLOOKUP((A302+Forudsætninger!$C$60),'Model tilvækst, slagteform, fe'!A:B,2,FALSE)</f>
        <v>481.9031789962192</v>
      </c>
      <c r="D302" s="3">
        <f t="shared" si="115"/>
        <v>1086.9104314777474</v>
      </c>
      <c r="E302" s="1">
        <f>(1+Forudsætninger!$C$78)*C302</f>
        <v>448.16995646648382</v>
      </c>
      <c r="F302" s="2">
        <f t="shared" si="116"/>
        <v>0</v>
      </c>
      <c r="G302" s="1">
        <f t="shared" si="106"/>
        <v>448.16995646648382</v>
      </c>
      <c r="H302" s="3">
        <f t="shared" si="107"/>
        <v>1010.8267012743113</v>
      </c>
      <c r="I302" s="3">
        <f t="shared" si="108"/>
        <v>1263.8998548882794</v>
      </c>
      <c r="J302" s="1">
        <f>VLOOKUP((A302+Forudsætninger!$C$60),'Model tilvækst, slagteform, fe'!G:K,2,FALSE)*(1+Forudsætninger!$C$79)</f>
        <v>51.178889389576412</v>
      </c>
      <c r="K302" s="17">
        <f t="shared" si="104"/>
        <v>229.36840629729451</v>
      </c>
      <c r="L302" s="17">
        <f t="shared" si="117"/>
        <v>554.98640108589825</v>
      </c>
      <c r="M302" s="3">
        <f>((K302-(('Model tilvækst, slagteform, fe'!$H$9/100)*'Model tilvækst, slagteform, fe'!$B$9))*1000/(A302+Forudsætninger!$C$60))</f>
        <v>616.28761731234692</v>
      </c>
      <c r="N302" s="17">
        <f t="shared" si="118"/>
        <v>1784.1172104902839</v>
      </c>
      <c r="O302" s="19">
        <f>IF( A302&lt;Forudsætninger!$C$14,(G302/100)*Forudsætninger!$C$13,(Forudsætninger!$C$15/1000)*Forudsætninger!$C$13)</f>
        <v>2.9131047170321449</v>
      </c>
      <c r="P302" s="17" cm="1">
        <f t="array" ref="P302">INDEX('Model tilvækst, slagteform, fe'!$N$9:$N$375,MATCH(MIN(ABS('Model tilvækst, slagteform, fe'!$M$9:$M$375-'Vækstfunktion, hol'!G302)),ABS('Model tilvækst, slagteform, fe'!$M$9:$M$375-'Vækstfunktion, hol'!G302),0))*(1+Forudsætninger!$C$80)</f>
        <v>8.2249672642322533</v>
      </c>
      <c r="Q302" s="17">
        <f t="shared" si="119"/>
        <v>14.820123967252362</v>
      </c>
      <c r="R302" s="17">
        <f t="shared" si="120"/>
        <v>9.0450141789030969</v>
      </c>
      <c r="S302" s="17">
        <f t="shared" si="109"/>
        <v>4.7053232463790637</v>
      </c>
      <c r="T302" s="19">
        <f>(P302)*IF(N302&lt;Forudsætninger!$B$228,IF(N302&lt;Forudsætninger!$B$227,Forudsætninger!$B$225,Forudsætninger!$C$9),Forudsætninger!$C$11)+O302</f>
        <v>22.159528115335615</v>
      </c>
      <c r="U302" s="2">
        <f>Forudsætninger!$C$68+((K302-(Forudsætninger!$C$84)))*0.01</f>
        <v>3.9907369219615854</v>
      </c>
      <c r="V302" s="2">
        <f>U302+Forudsætninger!$C$69</f>
        <v>2.9907369219615854</v>
      </c>
      <c r="W302">
        <f t="shared" si="110"/>
        <v>1</v>
      </c>
      <c r="X302">
        <f>IF(A302+Forudsætninger!$C$60&gt;248,IF(A302+Forudsætninger!$C$60&lt;365,IF(K302&gt;180,IF(K302&lt;260,1,0),0),0),0)</f>
        <v>1</v>
      </c>
      <c r="Y302" s="22">
        <f>IF(X302=0,0,IF('Vækstfunktion, hol'!A302&lt;Forudsætninger!$C$66,Forudsætninger!$C$67+(('Vækstfunktion, hol'!A302-Forudsætninger!$C$66)/7)*Forudsætninger!$C$64,Forudsætninger!$C$67))</f>
        <v>0.95</v>
      </c>
      <c r="Z302" s="19">
        <f t="shared" si="121"/>
        <v>5196.8054194699289</v>
      </c>
      <c r="AA302" s="19">
        <f>Forudsætninger!$C$62+Forudsætninger!$C$16</f>
        <v>1350</v>
      </c>
      <c r="AB302" s="19">
        <f>IF(K302&gt;Forudsætninger!$C$26,IF(K302&gt;Forudsætninger!$C$27,IF(K302&gt;Forudsætninger!$C$28,Forudsætninger!$E$28,Forudsætninger!$E$27+Forudsætninger!$F$28*(K302-Forudsætninger!$C$27)),Forudsætninger!$E$26+Forudsætninger!$F$27*(K302-Forudsætninger!$C$26)),Forudsætninger!$E$26)+IF(K302&gt;Forudsætninger!$C$28,Forudsætninger!$G$28,IF(K302&gt;Forudsætninger!$C$27,Forudsætninger!$G$27+Forudsætninger!$H$28*(K302-Forudsætninger!$C$27),IF(K302&gt;Forudsætninger!$C$26,Forudsætninger!$G$26+Forudsætninger!$H$27*(K302-Forudsætninger!$C$26),Forudsætninger!$G$26)))*(U302-Forudsætninger!$H$26)</f>
        <v>35.80621030954547</v>
      </c>
      <c r="AC302" s="19">
        <f>IF(K302&gt;Forudsætninger!$C$31,IF(K302&gt;Forudsætninger!$C$32,IF(K302&gt;Forudsætninger!$C$33,Forudsætninger!$E$33,Forudsætninger!$E$32+Forudsætninger!$F$33*(K302-Forudsætninger!$C$32)),Forudsætninger!$E$31+Forudsætninger!$F$32*(K302-Forudsætninger!$C$31)),Forudsætninger!$E$31)+IF(K302&gt;Forudsætninger!$C$33,Forudsætninger!$G$33,IF(K302&gt;Forudsætninger!$C$32,Forudsætninger!$G$32+Forudsætninger!$H$33*(K302-Forudsætninger!$C$32),IF(K302&gt;Forudsætninger!$C$31,Forudsætninger!$G$31+Forudsætninger!$H$32*(K302-Forudsætninger!$C$31),Forudsætninger!$G$31)))*(V302-Forudsætninger!$H$31)</f>
        <v>28.729504249907212</v>
      </c>
      <c r="AD302" s="19">
        <f t="shared" si="111"/>
        <v>8131.6547547095188</v>
      </c>
      <c r="AE302" s="19">
        <f t="shared" si="112"/>
        <v>35.452375006563557</v>
      </c>
      <c r="AF302">
        <f>IF(G302&lt;=Forudsætninger!$C$97,Forudsætninger!$C$98,(IF(G302&lt;=Forudsætninger!$D$97,Forudsætninger!$D$98,IF(G302&lt;=Forudsætninger!$E$97,Forudsætninger!$E$98,IF(G302&lt;=Forudsætninger!$F$97,Forudsætninger!$F$98,IF(G302&lt;=Forudsætninger!$G$97,Forudsætninger!$G$98,IF(G302&lt;=Forudsætninger!$H$97,Forudsætninger!$H$98,IF(G302&lt;=Forudsætninger!$I$97,Forudsætninger!$I$98,Forudsætninger!$I$98))))))))</f>
        <v>4.4000000000000004</v>
      </c>
      <c r="AG302" s="1">
        <f t="shared" si="122"/>
        <v>4.4000000000000004</v>
      </c>
      <c r="AH302" s="1">
        <f t="shared" si="126"/>
        <v>995.19999999999607</v>
      </c>
      <c r="AI302" s="1">
        <f t="shared" si="113"/>
        <v>3.3173333333333201</v>
      </c>
      <c r="AJ302" s="20">
        <f>+(W302*Forudsætninger!$C$12)</f>
        <v>900</v>
      </c>
      <c r="AK302" s="20">
        <f>Forudsætninger!$C$17</f>
        <v>250</v>
      </c>
      <c r="AL302" s="20">
        <f>IF(A302&lt;92,Forudsætninger!$C$20,Forudsætninger!$C$21)</f>
        <v>1.0566762728146013</v>
      </c>
      <c r="AM302" s="20">
        <f t="shared" si="123"/>
        <v>585.50836469767069</v>
      </c>
      <c r="AN302" s="20">
        <f>IFERROR(AD302+AJ302-AA302-Z302-AK302-AM302-Forudsætninger!$C$75,-99999999)</f>
        <v>1466.9467779925237</v>
      </c>
      <c r="AO302" s="19">
        <f>IFERROR(AN302/(A302+Forudsætninger!$C$74),-99999999)</f>
        <v>4.8898225933084127</v>
      </c>
      <c r="AP302" s="19">
        <f>IFERROR(((365/(A302+Forudsætninger!$C$74))*AN302)/(AI302+Forudsætninger!$C$73),-9999999)</f>
        <v>520.75041233930483</v>
      </c>
      <c r="AQ302" s="18">
        <f t="shared" si="114"/>
        <v>300</v>
      </c>
      <c r="AR302" s="18">
        <f t="shared" si="124"/>
        <v>7382.3137841675998</v>
      </c>
      <c r="AS302" s="52">
        <f t="shared" si="105"/>
        <v>11.2</v>
      </c>
      <c r="AT302" s="50">
        <f t="shared" si="127"/>
        <v>-0.20270307132682319</v>
      </c>
      <c r="AU302" s="50">
        <f t="shared" si="128"/>
        <v>-1.7031858410151202E-2</v>
      </c>
      <c r="AV302" s="2">
        <f t="shared" si="129"/>
        <v>-2.3665083967651981</v>
      </c>
      <c r="AW302" s="61">
        <f t="shared" si="125"/>
        <v>6.8415171423006482</v>
      </c>
      <c r="BA302" s="16"/>
      <c r="BB302" s="2"/>
    </row>
    <row r="303" spans="1:54" x14ac:dyDescent="0.25">
      <c r="A303">
        <v>301</v>
      </c>
      <c r="B303" s="1">
        <f>ROUND((A303+Forudsætninger!$C$60)/30.4,1)</f>
        <v>11.2</v>
      </c>
      <c r="C303" s="1">
        <f>VLOOKUP((A303+Forudsætninger!$C$60),'Model tilvækst, slagteform, fe'!A:B,2,FALSE)</f>
        <v>482.98617620564482</v>
      </c>
      <c r="D303" s="3">
        <f t="shared" si="115"/>
        <v>1082.9972094256277</v>
      </c>
      <c r="E303" s="1">
        <f>(1+Forudsætninger!$C$78)*C303</f>
        <v>449.17714387124965</v>
      </c>
      <c r="F303" s="2">
        <f t="shared" si="116"/>
        <v>0</v>
      </c>
      <c r="G303" s="1">
        <f t="shared" si="106"/>
        <v>449.17714387124965</v>
      </c>
      <c r="H303" s="3">
        <f t="shared" si="107"/>
        <v>1007.1874047658298</v>
      </c>
      <c r="I303" s="3">
        <f t="shared" si="108"/>
        <v>1263.0469896054806</v>
      </c>
      <c r="J303" s="1">
        <f>VLOOKUP((A303+Forudsætninger!$C$60),'Model tilvækst, slagteform, fe'!G:K,2,FALSE)*(1+Forudsætninger!$C$79)</f>
        <v>51.187317433280619</v>
      </c>
      <c r="K303" s="17">
        <f t="shared" si="104"/>
        <v>229.92173047112016</v>
      </c>
      <c r="L303" s="17">
        <f t="shared" si="117"/>
        <v>553.32417382564358</v>
      </c>
      <c r="M303" s="3">
        <f>((K303-(('Model tilvækst, slagteform, fe'!$H$9/100)*'Model tilvækst, slagteform, fe'!$B$9))*1000/(A303+Forudsætninger!$C$60))</f>
        <v>616.10243071385673</v>
      </c>
      <c r="N303" s="17">
        <f t="shared" si="118"/>
        <v>1792.355619752323</v>
      </c>
      <c r="O303" s="19">
        <f>IF( A303&lt;Forudsætninger!$C$14,(G303/100)*Forudsætninger!$C$13,(Forudsætninger!$C$15/1000)*Forudsætninger!$C$13)</f>
        <v>2.9196514351631229</v>
      </c>
      <c r="P303" s="17" cm="1">
        <f t="array" ref="P303">INDEX('Model tilvækst, slagteform, fe'!$N$9:$N$375,MATCH(MIN(ABS('Model tilvækst, slagteform, fe'!$M$9:$M$375-'Vækstfunktion, hol'!G303)),ABS('Model tilvækst, slagteform, fe'!$M$9:$M$375-'Vækstfunktion, hol'!G303),0))*(1+Forudsætninger!$C$80)</f>
        <v>8.238409262039136</v>
      </c>
      <c r="Q303" s="17">
        <f t="shared" si="119"/>
        <v>14.888937898880084</v>
      </c>
      <c r="R303" s="17">
        <f t="shared" si="120"/>
        <v>9.0613617588550124</v>
      </c>
      <c r="S303" s="17">
        <f t="shared" si="109"/>
        <v>4.7145275528697228</v>
      </c>
      <c r="T303" s="19">
        <f>(P303)*IF(N303&lt;Forudsætninger!$B$228,IF(N303&lt;Forudsætninger!$B$227,Forudsætninger!$B$225,Forudsætninger!$C$9),Forudsætninger!$C$11)+O303</f>
        <v>22.197529108334699</v>
      </c>
      <c r="U303" s="2">
        <f>Forudsætninger!$C$68+((K303-(Forudsætninger!$C$84)))*0.01</f>
        <v>3.9962701636998417</v>
      </c>
      <c r="V303" s="2">
        <f>U303+Forudsætninger!$C$69</f>
        <v>2.9962701636998417</v>
      </c>
      <c r="W303">
        <f t="shared" si="110"/>
        <v>1</v>
      </c>
      <c r="X303">
        <f>IF(A303+Forudsætninger!$C$60&gt;248,IF(A303+Forudsætninger!$C$60&lt;365,IF(K303&gt;180,IF(K303&lt;260,1,0),0),0),0)</f>
        <v>1</v>
      </c>
      <c r="Y303" s="22">
        <f>IF(X303=0,0,IF('Vækstfunktion, hol'!A303&lt;Forudsætninger!$C$66,Forudsætninger!$C$67+(('Vækstfunktion, hol'!A303-Forudsætninger!$C$66)/7)*Forudsætninger!$C$64,Forudsætninger!$C$67))</f>
        <v>0.95</v>
      </c>
      <c r="Z303" s="19">
        <f t="shared" si="121"/>
        <v>5219.0029485782634</v>
      </c>
      <c r="AA303" s="19">
        <f>Forudsætninger!$C$62+Forudsætninger!$C$16</f>
        <v>1350</v>
      </c>
      <c r="AB303" s="19">
        <f>IF(K303&gt;Forudsætninger!$C$26,IF(K303&gt;Forudsætninger!$C$27,IF(K303&gt;Forudsætninger!$C$28,Forudsætninger!$E$28,Forudsætninger!$E$27+Forudsætninger!$F$28*(K303-Forudsætninger!$C$27)),Forudsætninger!$E$26+Forudsætninger!$F$27*(K303-Forudsætninger!$C$26)),Forudsætninger!$E$26)+IF(K303&gt;Forudsætninger!$C$28,Forudsætninger!$G$28,IF(K303&gt;Forudsætninger!$C$27,Forudsætninger!$G$27+Forudsætninger!$H$28*(K303-Forudsætninger!$C$27),IF(K303&gt;Forudsætninger!$C$26,Forudsætninger!$G$26+Forudsætninger!$H$27*(K303-Forudsætninger!$C$26),Forudsætninger!$G$26)))*(U303-Forudsætninger!$H$26)</f>
        <v>35.820735069108387</v>
      </c>
      <c r="AC303" s="19">
        <f>IF(K303&gt;Forudsætninger!$C$31,IF(K303&gt;Forudsætninger!$C$32,IF(K303&gt;Forudsætninger!$C$33,Forudsætninger!$E$33,Forudsætninger!$E$32+Forudsætninger!$F$33*(K303-Forudsætninger!$C$32)),Forudsætninger!$E$31+Forudsætninger!$F$32*(K303-Forudsætninger!$C$31)),Forudsætninger!$E$31)+IF(K303&gt;Forudsætninger!$C$33,Forudsætninger!$G$33,IF(K303&gt;Forudsætninger!$C$32,Forudsætninger!$G$32+Forudsætninger!$H$33*(K303-Forudsætninger!$C$32),IF(K303&gt;Forudsætninger!$C$31,Forudsætninger!$G$31+Forudsætninger!$H$32*(K303-Forudsætninger!$C$31),Forudsætninger!$G$31)))*(V303-Forudsætninger!$H$31)</f>
        <v>28.744395681713378</v>
      </c>
      <c r="AD303" s="19">
        <f t="shared" si="111"/>
        <v>8154.6151839693994</v>
      </c>
      <c r="AE303" s="19">
        <f t="shared" si="112"/>
        <v>35.466918099738635</v>
      </c>
      <c r="AF303">
        <f>IF(G303&lt;=Forudsætninger!$C$97,Forudsætninger!$C$98,(IF(G303&lt;=Forudsætninger!$D$97,Forudsætninger!$D$98,IF(G303&lt;=Forudsætninger!$E$97,Forudsætninger!$E$98,IF(G303&lt;=Forudsætninger!$F$97,Forudsætninger!$F$98,IF(G303&lt;=Forudsætninger!$G$97,Forudsætninger!$G$98,IF(G303&lt;=Forudsætninger!$H$97,Forudsætninger!$H$98,IF(G303&lt;=Forudsætninger!$I$97,Forudsætninger!$I$98,Forudsætninger!$I$98))))))))</f>
        <v>4.4000000000000004</v>
      </c>
      <c r="AG303" s="1">
        <f t="shared" si="122"/>
        <v>4.4000000000000004</v>
      </c>
      <c r="AH303" s="1">
        <f t="shared" si="126"/>
        <v>999.59999999999604</v>
      </c>
      <c r="AI303" s="1">
        <f t="shared" si="113"/>
        <v>3.3209302325581262</v>
      </c>
      <c r="AJ303" s="20">
        <f>+(W303*Forudsætninger!$C$12)</f>
        <v>900</v>
      </c>
      <c r="AK303" s="20">
        <f>Forudsætninger!$C$17</f>
        <v>250</v>
      </c>
      <c r="AL303" s="20">
        <f>IF(A303&lt;92,Forudsætninger!$C$20,Forudsætninger!$C$21)</f>
        <v>1.0566762728146013</v>
      </c>
      <c r="AM303" s="20">
        <f t="shared" si="123"/>
        <v>586.56504097048526</v>
      </c>
      <c r="AN303" s="20">
        <f>IFERROR(AD303+AJ303-AA303-Z303-AK303-AM303-Forudsætninger!$C$75,-99999999)</f>
        <v>1466.653001871256</v>
      </c>
      <c r="AO303" s="19">
        <f>IFERROR(AN303/(A303+Forudsætninger!$C$74),-99999999)</f>
        <v>4.8726013351204518</v>
      </c>
      <c r="AP303" s="19">
        <f>IFERROR(((365/(A303+Forudsætninger!$C$74))*AN303)/(AI303+Forudsætninger!$C$73),-9999999)</f>
        <v>518.37238497062151</v>
      </c>
      <c r="AQ303" s="18">
        <f t="shared" si="114"/>
        <v>301</v>
      </c>
      <c r="AR303" s="18">
        <f t="shared" si="124"/>
        <v>7405.5679895487483</v>
      </c>
      <c r="AS303" s="52">
        <f t="shared" si="105"/>
        <v>11.2</v>
      </c>
      <c r="AT303" s="50">
        <f t="shared" si="127"/>
        <v>-0.29377612126768327</v>
      </c>
      <c r="AU303" s="50">
        <f t="shared" si="128"/>
        <v>-1.7221258187960942E-2</v>
      </c>
      <c r="AV303" s="2">
        <f t="shared" si="129"/>
        <v>-2.3780273686833198</v>
      </c>
      <c r="AW303" s="61">
        <f t="shared" si="125"/>
        <v>6.8213224014675795</v>
      </c>
      <c r="BA303" s="16"/>
      <c r="BB303" s="2"/>
    </row>
    <row r="304" spans="1:54" x14ac:dyDescent="0.25">
      <c r="A304">
        <v>302</v>
      </c>
      <c r="B304" s="1">
        <f>ROUND((A304+Forudsætninger!$C$60)/30.4,1)</f>
        <v>11.2</v>
      </c>
      <c r="C304" s="1">
        <f>VLOOKUP((A304+Forudsætninger!$C$60),'Model tilvækst, slagteform, fe'!A:B,2,FALSE)</f>
        <v>484.06528169101387</v>
      </c>
      <c r="D304" s="3">
        <f t="shared" si="115"/>
        <v>1079.1054853690412</v>
      </c>
      <c r="E304" s="1">
        <f>(1+Forudsætninger!$C$78)*C304</f>
        <v>450.18071197264288</v>
      </c>
      <c r="F304" s="2">
        <f t="shared" si="116"/>
        <v>0</v>
      </c>
      <c r="G304" s="1">
        <f t="shared" si="106"/>
        <v>450.18071197264288</v>
      </c>
      <c r="H304" s="3">
        <f t="shared" si="107"/>
        <v>1003.5681013932276</v>
      </c>
      <c r="I304" s="3">
        <f t="shared" si="108"/>
        <v>1262.1877879888837</v>
      </c>
      <c r="J304" s="1">
        <f>VLOOKUP((A304+Forudsætninger!$C$60),'Model tilvækst, slagteform, fe'!G:K,2,FALSE)*(1+Forudsætninger!$C$79)</f>
        <v>51.195751990319877</v>
      </c>
      <c r="K304" s="17">
        <f t="shared" si="104"/>
        <v>230.47340080977054</v>
      </c>
      <c r="L304" s="17">
        <f t="shared" si="117"/>
        <v>551.67033865038206</v>
      </c>
      <c r="M304" s="3">
        <f>((K304-(('Model tilvækst, slagteform, fe'!$H$9/100)*'Model tilvækst, slagteform, fe'!$B$9))*1000/(A304+Forudsætninger!$C$60))</f>
        <v>615.91348029724816</v>
      </c>
      <c r="N304" s="17">
        <f t="shared" si="118"/>
        <v>1800.6075041186625</v>
      </c>
      <c r="O304" s="19">
        <f>IF( A304&lt;Forudsætninger!$C$14,(G304/100)*Forudsætninger!$C$13,(Forudsætninger!$C$15/1000)*Forudsætninger!$C$13)</f>
        <v>2.9261746278221792</v>
      </c>
      <c r="P304" s="17" cm="1">
        <f t="array" ref="P304">INDEX('Model tilvækst, slagteform, fe'!$N$9:$N$375,MATCH(MIN(ABS('Model tilvækst, slagteform, fe'!$M$9:$M$375-'Vækstfunktion, hol'!G304)),ABS('Model tilvækst, slagteform, fe'!$M$9:$M$375-'Vækstfunktion, hol'!G304),0))*(1+Forudsætninger!$C$80)</f>
        <v>8.2518843663395618</v>
      </c>
      <c r="Q304" s="17">
        <f t="shared" si="119"/>
        <v>14.957998986364112</v>
      </c>
      <c r="R304" s="17">
        <f t="shared" si="120"/>
        <v>9.0777617558665167</v>
      </c>
      <c r="S304" s="17">
        <f t="shared" si="109"/>
        <v>4.7237634212926576</v>
      </c>
      <c r="T304" s="19">
        <f>(P304)*IF(N304&lt;Forudsætninger!$B$228,IF(N304&lt;Forudsætninger!$B$227,Forudsætninger!$B$225,Forudsætninger!$C$9),Forudsætninger!$C$11)+O304</f>
        <v>22.235584045056751</v>
      </c>
      <c r="U304" s="2">
        <f>Forudsætninger!$C$68+((K304-(Forudsætninger!$C$84)))*0.01</f>
        <v>4.0017868670863459</v>
      </c>
      <c r="V304" s="2">
        <f>U304+Forudsætninger!$C$69</f>
        <v>3.0017868670863459</v>
      </c>
      <c r="W304">
        <f t="shared" si="110"/>
        <v>1</v>
      </c>
      <c r="X304">
        <f>IF(A304+Forudsætninger!$C$60&gt;248,IF(A304+Forudsætninger!$C$60&lt;365,IF(K304&gt;180,IF(K304&lt;260,1,0),0),0),0)</f>
        <v>1</v>
      </c>
      <c r="Y304" s="22">
        <f>IF(X304=0,0,IF('Vækstfunktion, hol'!A304&lt;Forudsætninger!$C$66,Forudsætninger!$C$67+(('Vækstfunktion, hol'!A304-Forudsætninger!$C$66)/7)*Forudsætninger!$C$64,Forudsætninger!$C$67))</f>
        <v>0.95</v>
      </c>
      <c r="Z304" s="19">
        <f t="shared" si="121"/>
        <v>5241.2385326233198</v>
      </c>
      <c r="AA304" s="19">
        <f>Forudsætninger!$C$62+Forudsætninger!$C$16</f>
        <v>1350</v>
      </c>
      <c r="AB304" s="19">
        <f>IF(K304&gt;Forudsætninger!$C$26,IF(K304&gt;Forudsætninger!$C$27,IF(K304&gt;Forudsætninger!$C$28,Forudsætninger!$E$28,Forudsætninger!$E$27+Forudsætninger!$F$28*(K304-Forudsætninger!$C$27)),Forudsætninger!$E$26+Forudsætninger!$F$27*(K304-Forudsætninger!$C$26)),Forudsætninger!$E$26)+IF(K304&gt;Forudsætninger!$C$28,Forudsætninger!$G$28,IF(K304&gt;Forudsætninger!$C$27,Forudsætninger!$G$27+Forudsætninger!$H$28*(K304-Forudsætninger!$C$27),IF(K304&gt;Forudsætninger!$C$26,Forudsætninger!$G$26+Forudsætninger!$H$27*(K304-Forudsætninger!$C$26),Forudsætninger!$G$26)))*(U304-Forudsætninger!$H$26)</f>
        <v>35.83521641549796</v>
      </c>
      <c r="AC304" s="19">
        <f>IF(K304&gt;Forudsætninger!$C$31,IF(K304&gt;Forudsætninger!$C$32,IF(K304&gt;Forudsætninger!$C$33,Forudsætninger!$E$33,Forudsætninger!$E$32+Forudsætninger!$F$33*(K304-Forudsætninger!$C$32)),Forudsætninger!$E$31+Forudsætninger!$F$32*(K304-Forudsætninger!$C$31)),Forudsætninger!$E$31)+IF(K304&gt;Forudsætninger!$C$33,Forudsætninger!$G$33,IF(K304&gt;Forudsætninger!$C$32,Forudsætninger!$G$32+Forudsætninger!$H$33*(K304-Forudsætninger!$C$32),IF(K304&gt;Forudsætninger!$C$31,Forudsætninger!$G$31+Forudsætninger!$H$32*(K304-Forudsætninger!$C$31),Forudsætninger!$G$31)))*(V304-Forudsætninger!$H$31)</f>
        <v>28.759219744670371</v>
      </c>
      <c r="AD304" s="19">
        <f t="shared" si="111"/>
        <v>8177.5227451917171</v>
      </c>
      <c r="AE304" s="19">
        <f t="shared" si="112"/>
        <v>35.48141658195658</v>
      </c>
      <c r="AF304">
        <f>IF(G304&lt;=Forudsætninger!$C$97,Forudsætninger!$C$98,(IF(G304&lt;=Forudsætninger!$D$97,Forudsætninger!$D$98,IF(G304&lt;=Forudsætninger!$E$97,Forudsætninger!$E$98,IF(G304&lt;=Forudsætninger!$F$97,Forudsætninger!$F$98,IF(G304&lt;=Forudsætninger!$G$97,Forudsætninger!$G$98,IF(G304&lt;=Forudsætninger!$H$97,Forudsætninger!$H$98,IF(G304&lt;=Forudsætninger!$I$97,Forudsætninger!$I$98,Forudsætninger!$I$98))))))))</f>
        <v>4.4000000000000004</v>
      </c>
      <c r="AG304" s="1">
        <f t="shared" si="122"/>
        <v>4.4000000000000004</v>
      </c>
      <c r="AH304" s="1">
        <f t="shared" si="126"/>
        <v>1003.999999999996</v>
      </c>
      <c r="AI304" s="1">
        <f t="shared" si="113"/>
        <v>3.3245033112582649</v>
      </c>
      <c r="AJ304" s="20">
        <f>+(W304*Forudsætninger!$C$12)</f>
        <v>900</v>
      </c>
      <c r="AK304" s="20">
        <f>Forudsætninger!$C$17</f>
        <v>250</v>
      </c>
      <c r="AL304" s="20">
        <f>IF(A304&lt;92,Forudsætninger!$C$20,Forudsætninger!$C$21)</f>
        <v>1.0566762728146013</v>
      </c>
      <c r="AM304" s="20">
        <f t="shared" si="123"/>
        <v>587.62171724329983</v>
      </c>
      <c r="AN304" s="20">
        <f>IFERROR(AD304+AJ304-AA304-Z304-AK304-AM304-Forudsætninger!$C$75,-99999999)</f>
        <v>1466.2683027757021</v>
      </c>
      <c r="AO304" s="19">
        <f>IFERROR(AN304/(A304+Forudsætninger!$C$74),-99999999)</f>
        <v>4.855193055548682</v>
      </c>
      <c r="AP304" s="19">
        <f>IFERROR(((365/(A304+Forudsætninger!$C$74))*AN304)/(AI304+Forudsætninger!$C$73),-9999999)</f>
        <v>515.98304170102131</v>
      </c>
      <c r="AQ304" s="18">
        <f t="shared" si="114"/>
        <v>302</v>
      </c>
      <c r="AR304" s="18">
        <f t="shared" si="124"/>
        <v>7428.8602498666196</v>
      </c>
      <c r="AS304" s="52">
        <f t="shared" si="105"/>
        <v>11.2</v>
      </c>
      <c r="AT304" s="50">
        <f t="shared" si="127"/>
        <v>-0.38469909555396953</v>
      </c>
      <c r="AU304" s="50">
        <f t="shared" si="128"/>
        <v>-1.7408279571769825E-2</v>
      </c>
      <c r="AV304" s="2">
        <f t="shared" si="129"/>
        <v>-2.3893432696002037</v>
      </c>
      <c r="AW304" s="61">
        <f t="shared" si="125"/>
        <v>6.8009603311887483</v>
      </c>
      <c r="BA304" s="16"/>
      <c r="BB304" s="2"/>
    </row>
    <row r="305" spans="1:54" x14ac:dyDescent="0.25">
      <c r="A305">
        <v>303</v>
      </c>
      <c r="B305" s="1">
        <f>ROUND((A305+Forudsætninger!$C$60)/30.4,1)</f>
        <v>11.3</v>
      </c>
      <c r="C305" s="1">
        <f>VLOOKUP((A305+Forudsætninger!$C$60),'Model tilvækst, slagteform, fe'!A:B,2,FALSE)</f>
        <v>485.14051748466898</v>
      </c>
      <c r="D305" s="3">
        <f t="shared" si="115"/>
        <v>1075.2357936551107</v>
      </c>
      <c r="E305" s="1">
        <f>(1+Forudsætninger!$C$78)*C305</f>
        <v>451.18068126074212</v>
      </c>
      <c r="F305" s="2">
        <f t="shared" si="116"/>
        <v>0</v>
      </c>
      <c r="G305" s="1">
        <f t="shared" si="106"/>
        <v>451.18068126074212</v>
      </c>
      <c r="H305" s="3">
        <f t="shared" si="107"/>
        <v>999.96928809923702</v>
      </c>
      <c r="I305" s="3">
        <f t="shared" si="108"/>
        <v>1261.3223803984888</v>
      </c>
      <c r="J305" s="1">
        <f>VLOOKUP((A305+Forudsætninger!$C$60),'Model tilvækst, slagteform, fe'!G:K,2,FALSE)*(1+Forudsætninger!$C$79)</f>
        <v>51.204192810181311</v>
      </c>
      <c r="K305" s="17">
        <f t="shared" si="104"/>
        <v>231.02342595503998</v>
      </c>
      <c r="L305" s="17">
        <f t="shared" si="117"/>
        <v>550.02514526944424</v>
      </c>
      <c r="M305" s="3">
        <f>((K305-(('Model tilvækst, slagteform, fe'!$H$9/100)*'Model tilvækst, slagteform, fe'!$B$9))*1000/(A305+Forudsætninger!$C$60))</f>
        <v>615.72082434687445</v>
      </c>
      <c r="N305" s="17">
        <f t="shared" si="118"/>
        <v>1808.8728950404713</v>
      </c>
      <c r="O305" s="19">
        <f>IF( A305&lt;Forudsætninger!$C$14,(G305/100)*Forudsætninger!$C$13,(Forudsætninger!$C$15/1000)*Forudsætninger!$C$13)</f>
        <v>2.932674428194824</v>
      </c>
      <c r="P305" s="17" cm="1">
        <f t="array" ref="P305">INDEX('Model tilvækst, slagteform, fe'!$N$9:$N$375,MATCH(MIN(ABS('Model tilvækst, slagteform, fe'!$M$9:$M$375-'Vækstfunktion, hol'!G305)),ABS('Model tilvækst, slagteform, fe'!$M$9:$M$375-'Vækstfunktion, hol'!G305),0))*(1+Forudsætninger!$C$80)</f>
        <v>8.2653909218088497</v>
      </c>
      <c r="Q305" s="17">
        <f t="shared" si="119"/>
        <v>15.027296466163982</v>
      </c>
      <c r="R305" s="17">
        <f t="shared" si="120"/>
        <v>9.0942139058837359</v>
      </c>
      <c r="S305" s="17">
        <f t="shared" si="109"/>
        <v>4.7330306939464863</v>
      </c>
      <c r="T305" s="19">
        <f>(P305)*IF(N305&lt;Forudsætninger!$B$228,IF(N305&lt;Forudsætninger!$B$227,Forudsætninger!$B$225,Forudsætninger!$C$9),Forudsætninger!$C$11)+O305</f>
        <v>22.273689185227532</v>
      </c>
      <c r="U305" s="2">
        <f>Forudsætninger!$C$68+((K305-(Forudsætninger!$C$84)))*0.01</f>
        <v>4.0072871185390397</v>
      </c>
      <c r="V305" s="2">
        <f>U305+Forudsætninger!$C$69</f>
        <v>3.0072871185390397</v>
      </c>
      <c r="W305">
        <f t="shared" si="110"/>
        <v>1</v>
      </c>
      <c r="X305">
        <f>IF(A305+Forudsætninger!$C$60&gt;248,IF(A305+Forudsætninger!$C$60&lt;365,IF(K305&gt;180,IF(K305&lt;260,1,0),0),0),0)</f>
        <v>1</v>
      </c>
      <c r="Y305" s="22">
        <f>IF(X305=0,0,IF('Vækstfunktion, hol'!A305&lt;Forudsætninger!$C$66,Forudsætninger!$C$67+(('Vækstfunktion, hol'!A305-Forudsætninger!$C$66)/7)*Forudsætninger!$C$64,Forudsætninger!$C$67))</f>
        <v>0.95</v>
      </c>
      <c r="Z305" s="19">
        <f t="shared" si="121"/>
        <v>5263.5122218085471</v>
      </c>
      <c r="AA305" s="19">
        <f>Forudsætninger!$C$62+Forudsætninger!$C$16</f>
        <v>1350</v>
      </c>
      <c r="AB305" s="19">
        <f>IF(K305&gt;Forudsætninger!$C$26,IF(K305&gt;Forudsætninger!$C$27,IF(K305&gt;Forudsætninger!$C$28,Forudsætninger!$E$28,Forudsætninger!$E$27+Forudsætninger!$F$28*(K305-Forudsætninger!$C$27)),Forudsætninger!$E$26+Forudsætninger!$F$27*(K305-Forudsætninger!$C$26)),Forudsætninger!$E$26)+IF(K305&gt;Forudsætninger!$C$28,Forudsætninger!$G$28,IF(K305&gt;Forudsætninger!$C$27,Forudsætninger!$G$27+Forudsætninger!$H$28*(K305-Forudsætninger!$C$27),IF(K305&gt;Forudsætninger!$C$26,Forudsætninger!$G$26+Forudsætninger!$H$27*(K305-Forudsætninger!$C$26),Forudsætninger!$G$26)))*(U305-Forudsætninger!$H$26)</f>
        <v>35.849654575561281</v>
      </c>
      <c r="AC305" s="19">
        <f>IF(K305&gt;Forudsætninger!$C$31,IF(K305&gt;Forudsætninger!$C$32,IF(K305&gt;Forudsætninger!$C$33,Forudsætninger!$E$33,Forudsætninger!$E$32+Forudsætninger!$F$33*(K305-Forudsætninger!$C$32)),Forudsætninger!$E$31+Forudsætninger!$F$32*(K305-Forudsætninger!$C$31)),Forudsætninger!$E$31)+IF(K305&gt;Forudsætninger!$C$33,Forudsætninger!$G$33,IF(K305&gt;Forudsætninger!$C$32,Forudsætninger!$G$32+Forudsætninger!$H$33*(K305-Forudsætninger!$C$32),IF(K305&gt;Forudsætninger!$C$31,Forudsætninger!$G$31+Forudsætninger!$H$32*(K305-Forudsætninger!$C$31),Forudsætninger!$G$31)))*(V305-Forudsætninger!$H$31)</f>
        <v>28.773976875742271</v>
      </c>
      <c r="AD305" s="19">
        <f t="shared" si="111"/>
        <v>8200.3776541926472</v>
      </c>
      <c r="AE305" s="19">
        <f t="shared" si="112"/>
        <v>35.495870690570321</v>
      </c>
      <c r="AF305">
        <f>IF(G305&lt;=Forudsætninger!$C$97,Forudsætninger!$C$98,(IF(G305&lt;=Forudsætninger!$D$97,Forudsætninger!$D$98,IF(G305&lt;=Forudsætninger!$E$97,Forudsætninger!$E$98,IF(G305&lt;=Forudsætninger!$F$97,Forudsætninger!$F$98,IF(G305&lt;=Forudsætninger!$G$97,Forudsætninger!$G$98,IF(G305&lt;=Forudsætninger!$H$97,Forudsætninger!$H$98,IF(G305&lt;=Forudsætninger!$I$97,Forudsætninger!$I$98,Forudsætninger!$I$98))))))))</f>
        <v>4.4000000000000004</v>
      </c>
      <c r="AG305" s="1">
        <f t="shared" si="122"/>
        <v>4.4000000000000004</v>
      </c>
      <c r="AH305" s="1">
        <f t="shared" si="126"/>
        <v>1008.399999999996</v>
      </c>
      <c r="AI305" s="1">
        <f t="shared" si="113"/>
        <v>3.3280528052805147</v>
      </c>
      <c r="AJ305" s="20">
        <f>+(W305*Forudsætninger!$C$12)</f>
        <v>900</v>
      </c>
      <c r="AK305" s="20">
        <f>Forudsætninger!$C$17</f>
        <v>250</v>
      </c>
      <c r="AL305" s="20">
        <f>IF(A305&lt;92,Forudsætninger!$C$20,Forudsætninger!$C$21)</f>
        <v>1.0566762728146013</v>
      </c>
      <c r="AM305" s="20">
        <f t="shared" si="123"/>
        <v>588.6783935161144</v>
      </c>
      <c r="AN305" s="20">
        <f>IFERROR(AD305+AJ305-AA305-Z305-AK305-AM305-Forudsætninger!$C$75,-99999999)</f>
        <v>1465.7928463185913</v>
      </c>
      <c r="AO305" s="19">
        <f>IFERROR(AN305/(A305+Forudsætninger!$C$74),-99999999)</f>
        <v>4.8376001528666377</v>
      </c>
      <c r="AP305" s="19">
        <f>IFERROR(((365/(A305+Forudsætninger!$C$74))*AN305)/(AI305+Forudsætninger!$C$73),-9999999)</f>
        <v>513.58258752871461</v>
      </c>
      <c r="AQ305" s="18">
        <f t="shared" si="114"/>
        <v>303</v>
      </c>
      <c r="AR305" s="18">
        <f t="shared" si="124"/>
        <v>7452.1906153246618</v>
      </c>
      <c r="AS305" s="52">
        <f t="shared" si="105"/>
        <v>11.3</v>
      </c>
      <c r="AT305" s="50">
        <f t="shared" si="127"/>
        <v>-0.47545645711079487</v>
      </c>
      <c r="AU305" s="50">
        <f t="shared" si="128"/>
        <v>-1.7592902682044276E-2</v>
      </c>
      <c r="AV305" s="2">
        <f t="shared" si="129"/>
        <v>-2.400454172306695</v>
      </c>
      <c r="AW305" s="61">
        <f t="shared" si="125"/>
        <v>6.7804331347680051</v>
      </c>
      <c r="BA305" s="16"/>
      <c r="BB305" s="2"/>
    </row>
    <row r="306" spans="1:54" x14ac:dyDescent="0.25">
      <c r="A306">
        <v>304</v>
      </c>
      <c r="B306" s="1">
        <f>ROUND((A306+Forudsætninger!$C$60)/30.4,1)</f>
        <v>11.3</v>
      </c>
      <c r="C306" s="1">
        <f>VLOOKUP((A306+Forudsætninger!$C$60),'Model tilvækst, slagteform, fe'!A:B,2,FALSE)</f>
        <v>486.21190615330062</v>
      </c>
      <c r="D306" s="3">
        <f t="shared" si="115"/>
        <v>1071.3886686316414</v>
      </c>
      <c r="E306" s="1">
        <f>(1+Forudsætninger!$C$78)*C306</f>
        <v>452.17707272256956</v>
      </c>
      <c r="F306" s="2">
        <f t="shared" si="116"/>
        <v>0</v>
      </c>
      <c r="G306" s="1">
        <f t="shared" si="106"/>
        <v>452.17707272256956</v>
      </c>
      <c r="H306" s="3">
        <f t="shared" si="107"/>
        <v>996.39146182744298</v>
      </c>
      <c r="I306" s="3">
        <f t="shared" si="108"/>
        <v>1260.4508971137157</v>
      </c>
      <c r="J306" s="1">
        <f>VLOOKUP((A306+Forudsætninger!$C$60),'Model tilvækst, slagteform, fe'!G:K,2,FALSE)*(1+Forudsætninger!$C$79)</f>
        <v>51.212639642352009</v>
      </c>
      <c r="K306" s="17">
        <f t="shared" si="104"/>
        <v>231.57181479874552</v>
      </c>
      <c r="L306" s="17">
        <f t="shared" si="117"/>
        <v>548.38884370553842</v>
      </c>
      <c r="M306" s="3">
        <f>((K306-(('Model tilvækst, slagteform, fe'!$H$9/100)*'Model tilvækst, slagteform, fe'!$B$9))*1000/(A306+Forudsætninger!$C$60))</f>
        <v>615.52452119631664</v>
      </c>
      <c r="N306" s="17">
        <f t="shared" si="118"/>
        <v>1817.1382859622802</v>
      </c>
      <c r="O306" s="19">
        <f>IF( A306&lt;Forudsætninger!$C$14,(G306/100)*Forudsætninger!$C$13,(Forudsætninger!$C$15/1000)*Forudsætninger!$C$13)</f>
        <v>2.9391509726967024</v>
      </c>
      <c r="P306" s="17" cm="1">
        <f t="array" ref="P306">INDEX('Model tilvækst, slagteform, fe'!$N$9:$N$375,MATCH(MIN(ABS('Model tilvækst, slagteform, fe'!$M$9:$M$375-'Vækstfunktion, hol'!G306)),ABS('Model tilvækst, slagteform, fe'!$M$9:$M$375-'Vækstfunktion, hol'!G306),0))*(1+Forudsætninger!$C$80)</f>
        <v>8.2653909218088497</v>
      </c>
      <c r="Q306" s="17">
        <f t="shared" si="119"/>
        <v>15.072135432147876</v>
      </c>
      <c r="R306" s="17">
        <f t="shared" si="120"/>
        <v>9.1106500601040086</v>
      </c>
      <c r="S306" s="17">
        <f t="shared" si="109"/>
        <v>4.742293877478251</v>
      </c>
      <c r="T306" s="19">
        <f>(P306)*IF(N306&lt;Forudsætninger!$B$228,IF(N306&lt;Forudsætninger!$B$227,Forudsætninger!$B$225,Forudsætninger!$C$9),Forudsætninger!$C$11)+O306</f>
        <v>22.280165729729408</v>
      </c>
      <c r="U306" s="2">
        <f>Forudsætninger!$C$68+((K306-(Forudsætninger!$C$84)))*0.01</f>
        <v>4.0127710069760951</v>
      </c>
      <c r="V306" s="2">
        <f>U306+Forudsætninger!$C$69</f>
        <v>3.0127710069760951</v>
      </c>
      <c r="W306">
        <f t="shared" si="110"/>
        <v>1</v>
      </c>
      <c r="X306">
        <f>IF(A306+Forudsætninger!$C$60&gt;248,IF(A306+Forudsætninger!$C$60&lt;365,IF(K306&gt;180,IF(K306&lt;260,1,0),0),0),0)</f>
        <v>1</v>
      </c>
      <c r="Y306" s="22">
        <f>IF(X306=0,0,IF('Vækstfunktion, hol'!A306&lt;Forudsætninger!$C$66,Forudsætninger!$C$67+(('Vækstfunktion, hol'!A306-Forudsætninger!$C$66)/7)*Forudsætninger!$C$64,Forudsætninger!$C$67))</f>
        <v>0.95</v>
      </c>
      <c r="Z306" s="19">
        <f t="shared" si="121"/>
        <v>5285.7923875382767</v>
      </c>
      <c r="AA306" s="19">
        <f>Forudsætninger!$C$62+Forudsætninger!$C$16</f>
        <v>1350</v>
      </c>
      <c r="AB306" s="19">
        <f>IF(K306&gt;Forudsætninger!$C$26,IF(K306&gt;Forudsætninger!$C$27,IF(K306&gt;Forudsætninger!$C$28,Forudsætninger!$E$28,Forudsætninger!$E$27+Forudsætninger!$F$28*(K306-Forudsætninger!$C$27)),Forudsætninger!$E$26+Forudsætninger!$F$27*(K306-Forudsætninger!$C$26)),Forudsætninger!$E$26)+IF(K306&gt;Forudsætninger!$C$28,Forudsætninger!$G$28,IF(K306&gt;Forudsætninger!$C$27,Forudsætninger!$G$27+Forudsætninger!$H$28*(K306-Forudsætninger!$C$27),IF(K306&gt;Forudsætninger!$C$26,Forudsætninger!$G$26+Forudsætninger!$H$27*(K306-Forudsætninger!$C$26),Forudsætninger!$G$26)))*(U306-Forudsætninger!$H$26)</f>
        <v>35.864049782708555</v>
      </c>
      <c r="AC306" s="19">
        <f>IF(K306&gt;Forudsætninger!$C$31,IF(K306&gt;Forudsætninger!$C$32,IF(K306&gt;Forudsætninger!$C$33,Forudsætninger!$E$33,Forudsætninger!$E$32+Forudsætninger!$F$33*(K306-Forudsætninger!$C$32)),Forudsætninger!$E$31+Forudsætninger!$F$32*(K306-Forudsætninger!$C$31)),Forudsætninger!$E$31)+IF(K306&gt;Forudsætninger!$C$33,Forudsætninger!$G$33,IF(K306&gt;Forudsætninger!$C$32,Forudsætninger!$G$32+Forudsætninger!$H$33*(K306-Forudsætninger!$C$32),IF(K306&gt;Forudsætninger!$C$31,Forudsætninger!$G$31+Forudsætninger!$H$32*(K306-Forudsætninger!$C$31),Forudsætninger!$G$31)))*(V306-Forudsætninger!$H$31)</f>
        <v>28.788667516548696</v>
      </c>
      <c r="AD306" s="19">
        <f t="shared" si="111"/>
        <v>8223.1801386258994</v>
      </c>
      <c r="AE306" s="19">
        <f t="shared" si="112"/>
        <v>35.510280669400558</v>
      </c>
      <c r="AF306">
        <f>IF(G306&lt;=Forudsætninger!$C$97,Forudsætninger!$C$98,(IF(G306&lt;=Forudsætninger!$D$97,Forudsætninger!$D$98,IF(G306&lt;=Forudsætninger!$E$97,Forudsætninger!$E$98,IF(G306&lt;=Forudsætninger!$F$97,Forudsætninger!$F$98,IF(G306&lt;=Forudsætninger!$G$97,Forudsætninger!$G$98,IF(G306&lt;=Forudsætninger!$H$97,Forudsætninger!$H$98,IF(G306&lt;=Forudsætninger!$I$97,Forudsætninger!$I$98,Forudsætninger!$I$98))))))))</f>
        <v>4.4000000000000004</v>
      </c>
      <c r="AG306" s="1">
        <f t="shared" si="122"/>
        <v>4.4000000000000004</v>
      </c>
      <c r="AH306" s="1">
        <f t="shared" si="126"/>
        <v>1012.799999999996</v>
      </c>
      <c r="AI306" s="1">
        <f t="shared" si="113"/>
        <v>3.3315789473684077</v>
      </c>
      <c r="AJ306" s="20">
        <f>+(W306*Forudsætninger!$C$12)</f>
        <v>900</v>
      </c>
      <c r="AK306" s="20">
        <f>Forudsætninger!$C$17</f>
        <v>250</v>
      </c>
      <c r="AL306" s="20">
        <f>IF(A306&lt;92,Forudsætninger!$C$20,Forudsætninger!$C$21)</f>
        <v>1.0566762728146013</v>
      </c>
      <c r="AM306" s="20">
        <f t="shared" si="123"/>
        <v>589.73506978892897</v>
      </c>
      <c r="AN306" s="20">
        <f>IFERROR(AD306+AJ306-AA306-Z306-AK306-AM306-Forudsætninger!$C$75,-99999999)</f>
        <v>1465.2584887492992</v>
      </c>
      <c r="AO306" s="19">
        <f>IFERROR(AN306/(A306+Forudsætninger!$C$74),-99999999)</f>
        <v>4.8199292393069051</v>
      </c>
      <c r="AP306" s="19">
        <f>IFERROR(((365/(A306+Forudsætninger!$C$74))*AN306)/(AI306+Forudsætninger!$C$73),-9999999)</f>
        <v>511.18227977662514</v>
      </c>
      <c r="AQ306" s="18">
        <f t="shared" si="114"/>
        <v>304</v>
      </c>
      <c r="AR306" s="18">
        <f t="shared" si="124"/>
        <v>7475.5274573272054</v>
      </c>
      <c r="AS306" s="52">
        <f t="shared" si="105"/>
        <v>11.3</v>
      </c>
      <c r="AT306" s="50">
        <f t="shared" si="127"/>
        <v>-0.53435756929206946</v>
      </c>
      <c r="AU306" s="50">
        <f t="shared" si="128"/>
        <v>-1.7670913559732604E-2</v>
      </c>
      <c r="AV306" s="2">
        <f t="shared" si="129"/>
        <v>-2.4003077520894749</v>
      </c>
      <c r="AW306" s="61">
        <f t="shared" si="125"/>
        <v>6.7598472320336453</v>
      </c>
      <c r="BA306" s="16"/>
      <c r="BB306" s="2"/>
    </row>
    <row r="307" spans="1:54" x14ac:dyDescent="0.25">
      <c r="A307">
        <v>305</v>
      </c>
      <c r="B307" s="1">
        <f>ROUND((A307+Forudsætninger!$C$60)/30.4,1)</f>
        <v>11.3</v>
      </c>
      <c r="C307" s="1">
        <f>VLOOKUP((A307+Forudsætninger!$C$60),'Model tilvækst, slagteform, fe'!A:B,2,FALSE)</f>
        <v>487.27947079794632</v>
      </c>
      <c r="D307" s="3">
        <f t="shared" si="115"/>
        <v>1067.5646446456994</v>
      </c>
      <c r="E307" s="1">
        <f>(1+Forudsætninger!$C$78)*C307</f>
        <v>453.16990784209003</v>
      </c>
      <c r="F307" s="2">
        <f t="shared" si="116"/>
        <v>0</v>
      </c>
      <c r="G307" s="1">
        <f t="shared" si="106"/>
        <v>453.16990784209003</v>
      </c>
      <c r="H307" s="3">
        <f t="shared" si="107"/>
        <v>992.8351195204641</v>
      </c>
      <c r="I307" s="3">
        <f t="shared" si="108"/>
        <v>1259.5734683347214</v>
      </c>
      <c r="J307" s="1">
        <f>VLOOKUP((A307+Forudsætninger!$C$60),'Model tilvækst, slagteform, fe'!G:K,2,FALSE)*(1+Forudsætninger!$C$79)</f>
        <v>51.221092236319109</v>
      </c>
      <c r="K307" s="17">
        <f t="shared" si="104"/>
        <v>232.11857648303925</v>
      </c>
      <c r="L307" s="17">
        <f t="shared" si="117"/>
        <v>546.76168429372751</v>
      </c>
      <c r="M307" s="3">
        <f>((K307-(('Model tilvækst, slagteform, fe'!$H$9/100)*'Model tilvækst, slagteform, fe'!$B$9))*1000/(A307+Forudsætninger!$C$60))</f>
        <v>615.32462922857667</v>
      </c>
      <c r="N307" s="17">
        <f t="shared" si="118"/>
        <v>1825.4172132354024</v>
      </c>
      <c r="O307" s="19">
        <f>IF( A307&lt;Forudsætninger!$C$14,(G307/100)*Forudsætninger!$C$13,(Forudsætninger!$C$15/1000)*Forudsætninger!$C$13)</f>
        <v>2.9456044009735853</v>
      </c>
      <c r="P307" s="17" cm="1">
        <f t="array" ref="P307">INDEX('Model tilvækst, slagteform, fe'!$N$9:$N$375,MATCH(MIN(ABS('Model tilvækst, slagteform, fe'!$M$9:$M$375-'Vækstfunktion, hol'!G307)),ABS('Model tilvækst, slagteform, fe'!$M$9:$M$375-'Vækstfunktion, hol'!G307),0))*(1+Forudsætninger!$C$80)</f>
        <v>8.2789272731223242</v>
      </c>
      <c r="Q307" s="17">
        <f t="shared" si="119"/>
        <v>15.141747329673482</v>
      </c>
      <c r="R307" s="17">
        <f t="shared" si="120"/>
        <v>9.1271380184608226</v>
      </c>
      <c r="S307" s="17">
        <f t="shared" si="109"/>
        <v>4.7515882321155818</v>
      </c>
      <c r="T307" s="19">
        <f>(P307)*IF(N307&lt;Forudsætninger!$B$228,IF(N307&lt;Forudsætninger!$B$227,Forudsætninger!$B$225,Forudsætninger!$C$9),Forudsætninger!$C$11)+O307</f>
        <v>22.318294220079824</v>
      </c>
      <c r="U307" s="2">
        <f>Forudsætninger!$C$68+((K307-(Forudsætninger!$C$84)))*0.01</f>
        <v>4.0182386238190331</v>
      </c>
      <c r="V307" s="2">
        <f>U307+Forudsætninger!$C$69</f>
        <v>3.0182386238190331</v>
      </c>
      <c r="W307">
        <f t="shared" si="110"/>
        <v>1</v>
      </c>
      <c r="X307">
        <f>IF(A307+Forudsætninger!$C$60&gt;248,IF(A307+Forudsætninger!$C$60&lt;365,IF(K307&gt;180,IF(K307&lt;260,1,0),0),0),0)</f>
        <v>1</v>
      </c>
      <c r="Y307" s="22">
        <f>IF(X307=0,0,IF('Vækstfunktion, hol'!A307&lt;Forudsætninger!$C$66,Forudsætninger!$C$67+(('Vækstfunktion, hol'!A307-Forudsætninger!$C$66)/7)*Forudsætninger!$C$64,Forudsætninger!$C$67))</f>
        <v>0.95</v>
      </c>
      <c r="Z307" s="19">
        <f t="shared" si="121"/>
        <v>5308.1106817583568</v>
      </c>
      <c r="AA307" s="19">
        <f>Forudsætninger!$C$62+Forudsætninger!$C$16</f>
        <v>1350</v>
      </c>
      <c r="AB307" s="19">
        <f>IF(K307&gt;Forudsætninger!$C$26,IF(K307&gt;Forudsætninger!$C$27,IF(K307&gt;Forudsætninger!$C$28,Forudsætninger!$E$28,Forudsætninger!$E$27+Forudsætninger!$F$28*(K307-Forudsætninger!$C$27)),Forudsætninger!$E$26+Forudsætninger!$F$27*(K307-Forudsætninger!$C$26)),Forudsætninger!$E$26)+IF(K307&gt;Forudsætninger!$C$28,Forudsætninger!$G$28,IF(K307&gt;Forudsætninger!$C$27,Forudsætninger!$G$27+Forudsætninger!$H$28*(K307-Forudsætninger!$C$27),IF(K307&gt;Forudsætninger!$C$26,Forudsætninger!$G$26+Forudsætninger!$H$27*(K307-Forudsætninger!$C$26),Forudsætninger!$G$26)))*(U307-Forudsætninger!$H$26)</f>
        <v>35.878402276921264</v>
      </c>
      <c r="AC307" s="19">
        <f>IF(K307&gt;Forudsætninger!$C$31,IF(K307&gt;Forudsætninger!$C$32,IF(K307&gt;Forudsætninger!$C$33,Forudsætninger!$E$33,Forudsætninger!$E$32+Forudsætninger!$F$33*(K307-Forudsætninger!$C$32)),Forudsætninger!$E$31+Forudsætninger!$F$32*(K307-Forudsætninger!$C$31)),Forudsætninger!$E$31)+IF(K307&gt;Forudsætninger!$C$33,Forudsætninger!$G$33,IF(K307&gt;Forudsætninger!$C$32,Forudsætninger!$G$32+Forudsætninger!$H$33*(K307-Forudsætninger!$C$32),IF(K307&gt;Forudsætninger!$C$31,Forudsætninger!$G$31+Forudsætninger!$H$32*(K307-Forudsætninger!$C$31),Forudsætninger!$G$31)))*(V307-Forudsætninger!$H$31)</f>
        <v>28.803292113332542</v>
      </c>
      <c r="AD307" s="19">
        <f t="shared" si="111"/>
        <v>8245.9304380231533</v>
      </c>
      <c r="AE307" s="19">
        <f t="shared" si="112"/>
        <v>35.524646768741832</v>
      </c>
      <c r="AF307">
        <f>IF(G307&lt;=Forudsætninger!$C$97,Forudsætninger!$C$98,(IF(G307&lt;=Forudsætninger!$D$97,Forudsætninger!$D$98,IF(G307&lt;=Forudsætninger!$E$97,Forudsætninger!$E$98,IF(G307&lt;=Forudsætninger!$F$97,Forudsætninger!$F$98,IF(G307&lt;=Forudsætninger!$G$97,Forudsætninger!$G$98,IF(G307&lt;=Forudsætninger!$H$97,Forudsætninger!$H$98,IF(G307&lt;=Forudsætninger!$I$97,Forudsætninger!$I$98,Forudsætninger!$I$98))))))))</f>
        <v>4.4000000000000004</v>
      </c>
      <c r="AG307" s="1">
        <f t="shared" si="122"/>
        <v>4.4000000000000004</v>
      </c>
      <c r="AH307" s="1">
        <f t="shared" si="126"/>
        <v>1017.199999999996</v>
      </c>
      <c r="AI307" s="1">
        <f t="shared" si="113"/>
        <v>3.3350819672131014</v>
      </c>
      <c r="AJ307" s="20">
        <f>+(W307*Forudsætninger!$C$12)</f>
        <v>900</v>
      </c>
      <c r="AK307" s="20">
        <f>Forudsætninger!$C$17</f>
        <v>250</v>
      </c>
      <c r="AL307" s="20">
        <f>IF(A307&lt;92,Forudsætninger!$C$20,Forudsætninger!$C$21)</f>
        <v>1.0566762728146013</v>
      </c>
      <c r="AM307" s="20">
        <f t="shared" si="123"/>
        <v>590.79174606174354</v>
      </c>
      <c r="AN307" s="20">
        <f>IFERROR(AD307+AJ307-AA307-Z307-AK307-AM307-Forudsætninger!$C$75,-99999999)</f>
        <v>1464.6338176536583</v>
      </c>
      <c r="AO307" s="19">
        <f>IFERROR(AN307/(A307+Forudsætninger!$C$74),-99999999)</f>
        <v>4.8020780906677318</v>
      </c>
      <c r="AP307" s="19">
        <f>IFERROR(((365/(A307+Forudsætninger!$C$74))*AN307)/(AI307+Forudsætninger!$C$73),-9999999)</f>
        <v>508.77120479998803</v>
      </c>
      <c r="AQ307" s="18">
        <f t="shared" si="114"/>
        <v>305</v>
      </c>
      <c r="AR307" s="18">
        <f t="shared" si="124"/>
        <v>7498.9024278201005</v>
      </c>
      <c r="AS307" s="52">
        <f t="shared" si="105"/>
        <v>11.3</v>
      </c>
      <c r="AT307" s="50">
        <f t="shared" si="127"/>
        <v>-0.62467109564090606</v>
      </c>
      <c r="AU307" s="50">
        <f t="shared" si="128"/>
        <v>-1.7851148639173253E-2</v>
      </c>
      <c r="AV307" s="2">
        <f t="shared" si="129"/>
        <v>-2.41107497663711</v>
      </c>
      <c r="AW307" s="61">
        <f t="shared" si="125"/>
        <v>6.7391002089029568</v>
      </c>
      <c r="BA307" s="16"/>
      <c r="BB307" s="2"/>
    </row>
    <row r="308" spans="1:54" x14ac:dyDescent="0.25">
      <c r="A308">
        <v>306</v>
      </c>
      <c r="B308" s="1">
        <f>ROUND((A308+Forudsætninger!$C$60)/30.4,1)</f>
        <v>11.3</v>
      </c>
      <c r="C308" s="1">
        <f>VLOOKUP((A308+Forudsætninger!$C$60),'Model tilvækst, slagteform, fe'!A:B,2,FALSE)</f>
        <v>488.3432350539922</v>
      </c>
      <c r="D308" s="3">
        <f t="shared" si="115"/>
        <v>1063.7642560458858</v>
      </c>
      <c r="E308" s="1">
        <f>(1+Forudsætninger!$C$78)*C308</f>
        <v>454.15920860021271</v>
      </c>
      <c r="F308" s="2">
        <f t="shared" si="116"/>
        <v>0</v>
      </c>
      <c r="G308" s="1">
        <f t="shared" si="106"/>
        <v>454.15920860021271</v>
      </c>
      <c r="H308" s="3">
        <f t="shared" si="107"/>
        <v>989.30075812268115</v>
      </c>
      <c r="I308" s="3">
        <f t="shared" si="108"/>
        <v>1258.6902241837017</v>
      </c>
      <c r="J308" s="1">
        <f>VLOOKUP((A308+Forudsætninger!$C$60),'Model tilvækst, slagteform, fe'!G:K,2,FALSE)*(1+Forudsætninger!$C$79)</f>
        <v>51.22955034156972</v>
      </c>
      <c r="K308" s="17">
        <f t="shared" si="104"/>
        <v>232.66372040072059</v>
      </c>
      <c r="L308" s="17">
        <f t="shared" si="117"/>
        <v>545.14391768134374</v>
      </c>
      <c r="M308" s="3">
        <f>((K308-(('Model tilvækst, slagteform, fe'!$H$9/100)*'Model tilvækst, slagteform, fe'!$B$9))*1000/(A308+Forudsætninger!$C$60))</f>
        <v>615.12120687626577</v>
      </c>
      <c r="N308" s="17">
        <f t="shared" si="118"/>
        <v>1833.7097050003576</v>
      </c>
      <c r="O308" s="19">
        <f>IF( A308&lt;Forudsætninger!$C$14,(G308/100)*Forudsætninger!$C$13,(Forudsætninger!$C$15/1000)*Forudsætninger!$C$13)</f>
        <v>2.9520348559013825</v>
      </c>
      <c r="P308" s="17" cm="1">
        <f t="array" ref="P308">INDEX('Model tilvækst, slagteform, fe'!$N$9:$N$375,MATCH(MIN(ABS('Model tilvækst, slagteform, fe'!$M$9:$M$375-'Vækstfunktion, hol'!G308)),ABS('Model tilvækst, slagteform, fe'!$M$9:$M$375-'Vækstfunktion, hol'!G308),0))*(1+Forudsætninger!$C$80)</f>
        <v>8.2924917649553098</v>
      </c>
      <c r="Q308" s="17">
        <f t="shared" si="119"/>
        <v>15.211564315393444</v>
      </c>
      <c r="R308" s="17">
        <f t="shared" si="120"/>
        <v>9.143677470637483</v>
      </c>
      <c r="S308" s="17">
        <f t="shared" si="109"/>
        <v>4.7609135756214265</v>
      </c>
      <c r="T308" s="19">
        <f>(P308)*IF(N308&lt;Forudsætninger!$B$228,IF(N308&lt;Forudsætninger!$B$227,Forudsætninger!$B$225,Forudsætninger!$C$9),Forudsætninger!$C$11)+O308</f>
        <v>22.356465585896807</v>
      </c>
      <c r="U308" s="2">
        <f>Forudsætninger!$C$68+((K308-(Forudsætninger!$C$84)))*0.01</f>
        <v>4.0236900629958461</v>
      </c>
      <c r="V308" s="2">
        <f>U308+Forudsætninger!$C$69</f>
        <v>3.0236900629958461</v>
      </c>
      <c r="W308">
        <f t="shared" si="110"/>
        <v>1</v>
      </c>
      <c r="X308">
        <f>IF(A308+Forudsætninger!$C$60&gt;248,IF(A308+Forudsætninger!$C$60&lt;365,IF(K308&gt;180,IF(K308&lt;260,1,0),0),0),0)</f>
        <v>1</v>
      </c>
      <c r="Y308" s="22">
        <f>IF(X308=0,0,IF('Vækstfunktion, hol'!A308&lt;Forudsætninger!$C$66,Forudsætninger!$C$67+(('Vækstfunktion, hol'!A308-Forudsætninger!$C$66)/7)*Forudsætninger!$C$64,Forudsætninger!$C$67))</f>
        <v>0.95</v>
      </c>
      <c r="Z308" s="19">
        <f>Z307+T308</f>
        <v>5330.467147344254</v>
      </c>
      <c r="AA308" s="19">
        <f>Forudsætninger!$C$62+Forudsætninger!$C$16</f>
        <v>1350</v>
      </c>
      <c r="AB308" s="19">
        <f>IF(K308&gt;Forudsætninger!$C$26,IF(K308&gt;Forudsætninger!$C$27,IF(K308&gt;Forudsætninger!$C$28,Forudsætninger!$E$28,Forudsætninger!$E$27+Forudsætninger!$F$28*(K308-Forudsætninger!$C$27)),Forudsætninger!$E$26+Forudsætninger!$F$27*(K308-Forudsætninger!$C$26)),Forudsætninger!$E$26)+IF(K308&gt;Forudsætninger!$C$28,Forudsætninger!$G$28,IF(K308&gt;Forudsætninger!$C$27,Forudsætninger!$G$27+Forudsætninger!$H$28*(K308-Forudsætninger!$C$27),IF(K308&gt;Forudsætninger!$C$26,Forudsætninger!$G$26+Forudsætninger!$H$27*(K308-Forudsætninger!$C$26),Forudsætninger!$G$26)))*(U308-Forudsætninger!$H$26)</f>
        <v>35.892712304760394</v>
      </c>
      <c r="AC308" s="19">
        <f>IF(K308&gt;Forudsætninger!$C$31,IF(K308&gt;Forudsætninger!$C$32,IF(K308&gt;Forudsætninger!$C$33,Forudsætninger!$E$33,Forudsætninger!$E$32+Forudsætninger!$F$33*(K308-Forudsætninger!$C$32)),Forudsætninger!$E$31+Forudsætninger!$F$32*(K308-Forudsætninger!$C$31)),Forudsætninger!$E$31)+IF(K308&gt;Forudsætninger!$C$33,Forudsætninger!$G$33,IF(K308&gt;Forudsætninger!$C$32,Forudsætninger!$G$32+Forudsætninger!$H$33*(K308-Forudsætninger!$C$32),IF(K308&gt;Forudsætninger!$C$31,Forudsætninger!$G$31+Forudsætninger!$H$32*(K308-Forudsætninger!$C$31),Forudsætninger!$G$31)))*(V308-Forudsætninger!$H$31)</f>
        <v>28.817851116928015</v>
      </c>
      <c r="AD308" s="19">
        <f t="shared" si="111"/>
        <v>8268.6288038342882</v>
      </c>
      <c r="AE308" s="19">
        <f t="shared" si="112"/>
        <v>35.538969245368776</v>
      </c>
      <c r="AF308">
        <f>IF(G308&lt;=Forudsætninger!$C$97,Forudsætninger!$C$98,(IF(G308&lt;=Forudsætninger!$D$97,Forudsætninger!$D$98,IF(G308&lt;=Forudsætninger!$E$97,Forudsætninger!$E$98,IF(G308&lt;=Forudsætninger!$F$97,Forudsætninger!$F$98,IF(G308&lt;=Forudsætninger!$G$97,Forudsætninger!$G$98,IF(G308&lt;=Forudsætninger!$H$97,Forudsætninger!$H$98,IF(G308&lt;=Forudsætninger!$I$97,Forudsætninger!$I$98,Forudsætninger!$I$98))))))))</f>
        <v>4.4000000000000004</v>
      </c>
      <c r="AG308" s="1">
        <f t="shared" si="122"/>
        <v>4.4000000000000004</v>
      </c>
      <c r="AH308" s="1">
        <f t="shared" si="126"/>
        <v>1021.5999999999959</v>
      </c>
      <c r="AI308" s="1">
        <f t="shared" si="113"/>
        <v>3.3385620915032548</v>
      </c>
      <c r="AJ308" s="20">
        <f>+(W308*Forudsætninger!$C$12)</f>
        <v>900</v>
      </c>
      <c r="AK308" s="20">
        <f>Forudsætninger!$C$17</f>
        <v>250</v>
      </c>
      <c r="AL308" s="20">
        <f>IF(A308&lt;92,Forudsætninger!$C$20,Forudsætninger!$C$21)</f>
        <v>1.0566762728146013</v>
      </c>
      <c r="AM308" s="20">
        <f t="shared" si="123"/>
        <v>591.84842233455811</v>
      </c>
      <c r="AN308" s="20">
        <f>IFERROR(AD308+AJ308-AA308-Z308-AK308-AM308-Forudsætninger!$C$75,-99999999)</f>
        <v>1463.9190416060815</v>
      </c>
      <c r="AO308" s="19">
        <f>IFERROR(AN308/(A308+Forudsætninger!$C$74),-99999999)</f>
        <v>4.7840491555754294</v>
      </c>
      <c r="AP308" s="19">
        <f>IFERROR(((365/(A308+Forudsætninger!$C$74))*AN308)/(AI308+Forudsætninger!$C$73),-9999999)</f>
        <v>506.349572793645</v>
      </c>
      <c r="AQ308" s="18">
        <f t="shared" si="114"/>
        <v>306</v>
      </c>
      <c r="AR308" s="18">
        <f t="shared" si="124"/>
        <v>7522.3155696788126</v>
      </c>
      <c r="AS308" s="52">
        <f t="shared" si="105"/>
        <v>11.3</v>
      </c>
      <c r="AT308" s="50">
        <f t="shared" si="127"/>
        <v>-0.71477604757683366</v>
      </c>
      <c r="AU308" s="50">
        <f t="shared" si="128"/>
        <v>-1.8028935092302412E-2</v>
      </c>
      <c r="AV308" s="2">
        <f t="shared" si="129"/>
        <v>-2.4216320063430317</v>
      </c>
      <c r="AW308" s="61">
        <f t="shared" si="125"/>
        <v>6.7181943266033972</v>
      </c>
      <c r="BA308" s="16"/>
      <c r="BB308" s="2"/>
    </row>
    <row r="309" spans="1:54" x14ac:dyDescent="0.25">
      <c r="A309">
        <v>307</v>
      </c>
      <c r="B309" s="1">
        <f>ROUND((A309+Forudsætninger!$C$60)/30.4,1)</f>
        <v>11.4</v>
      </c>
      <c r="C309" s="1">
        <f>VLOOKUP((A309+Forudsætninger!$C$60),'Model tilvækst, slagteform, fe'!A:B,2,FALSE)</f>
        <v>489.40322309116954</v>
      </c>
      <c r="D309" s="3">
        <f t="shared" si="115"/>
        <v>1059.9880371773338</v>
      </c>
      <c r="E309" s="1">
        <f>(1+Forudsætninger!$C$78)*C309</f>
        <v>455.14499747478766</v>
      </c>
      <c r="F309" s="2">
        <f t="shared" si="116"/>
        <v>0</v>
      </c>
      <c r="G309" s="1">
        <f t="shared" si="106"/>
        <v>455.14499747478766</v>
      </c>
      <c r="H309" s="3">
        <f t="shared" si="107"/>
        <v>985.78887457495057</v>
      </c>
      <c r="I309" s="3">
        <f t="shared" si="108"/>
        <v>1257.8012947061486</v>
      </c>
      <c r="J309" s="1">
        <f>VLOOKUP((A309+Forudsætninger!$C$60),'Model tilvækst, slagteform, fe'!G:K,2,FALSE)*(1+Forudsætninger!$C$79)</f>
        <v>51.23801370759093</v>
      </c>
      <c r="K309" s="17">
        <f t="shared" si="104"/>
        <v>233.20725619554611</v>
      </c>
      <c r="L309" s="17">
        <f t="shared" si="117"/>
        <v>543.53579482551595</v>
      </c>
      <c r="M309" s="3">
        <f>((K309-(('Model tilvækst, slagteform, fe'!$H$9/100)*'Model tilvækst, slagteform, fe'!$B$9))*1000/(A309+Forudsætninger!$C$60))</f>
        <v>614.91431262178389</v>
      </c>
      <c r="N309" s="17">
        <f t="shared" si="118"/>
        <v>1842.0157877423408</v>
      </c>
      <c r="O309" s="19">
        <f>IF( A309&lt;Forudsætninger!$C$14,(G309/100)*Forudsætninger!$C$13,(Forudsætninger!$C$15/1000)*Forudsætninger!$C$13)</f>
        <v>2.9584424835861203</v>
      </c>
      <c r="P309" s="17" cm="1">
        <f t="array" ref="P309">INDEX('Model tilvækst, slagteform, fe'!$N$9:$N$375,MATCH(MIN(ABS('Model tilvækst, slagteform, fe'!$M$9:$M$375-'Vækstfunktion, hol'!G309)),ABS('Model tilvækst, slagteform, fe'!$M$9:$M$375-'Vækstfunktion, hol'!G309),0))*(1+Forudsætninger!$C$80)</f>
        <v>8.3060827419831291</v>
      </c>
      <c r="Q309" s="17">
        <f t="shared" si="119"/>
        <v>15.28157449989015</v>
      </c>
      <c r="R309" s="17">
        <f t="shared" si="120"/>
        <v>9.1602680894237096</v>
      </c>
      <c r="S309" s="17">
        <f t="shared" si="109"/>
        <v>4.770269716785883</v>
      </c>
      <c r="T309" s="19">
        <f>(P309)*IF(N309&lt;Forudsætninger!$B$228,IF(N309&lt;Forudsætninger!$B$227,Forudsætninger!$B$225,Forudsætninger!$C$9),Forudsætninger!$C$11)+O309</f>
        <v>22.39467609982664</v>
      </c>
      <c r="U309" s="2">
        <f>Forudsætninger!$C$68+((K309-(Forudsætninger!$C$84)))*0.01</f>
        <v>4.0291254209441014</v>
      </c>
      <c r="V309" s="2">
        <f>U309+Forudsætninger!$C$69</f>
        <v>3.0291254209441014</v>
      </c>
      <c r="W309">
        <f t="shared" si="110"/>
        <v>1</v>
      </c>
      <c r="X309">
        <f>IF(A309+Forudsætninger!$C$60&gt;248,IF(A309+Forudsætninger!$C$60&lt;365,IF(K309&gt;180,IF(K309&lt;260,1,0),0),0),0)</f>
        <v>1</v>
      </c>
      <c r="Y309" s="22">
        <f>IF(X309=0,0,IF('Vækstfunktion, hol'!A309&lt;Forudsætninger!$C$66,Forudsætninger!$C$67+(('Vækstfunktion, hol'!A309-Forudsætninger!$C$66)/7)*Forudsætninger!$C$64,Forudsætninger!$C$67))</f>
        <v>0.95</v>
      </c>
      <c r="Z309" s="19">
        <f t="shared" si="121"/>
        <v>5352.861823444081</v>
      </c>
      <c r="AA309" s="19">
        <f>Forudsætninger!$C$62+Forudsætninger!$C$16</f>
        <v>1350</v>
      </c>
      <c r="AB309" s="19">
        <f>IF(K309&gt;Forudsætninger!$C$26,IF(K309&gt;Forudsætninger!$C$27,IF(K309&gt;Forudsætninger!$C$28,Forudsætninger!$E$28,Forudsætninger!$E$27+Forudsætninger!$F$28*(K309-Forudsætninger!$C$27)),Forudsætninger!$E$26+Forudsætninger!$F$27*(K309-Forudsætninger!$C$26)),Forudsætninger!$E$26)+IF(K309&gt;Forudsætninger!$C$28,Forudsætninger!$G$28,IF(K309&gt;Forudsætninger!$C$27,Forudsætninger!$G$27+Forudsætninger!$H$28*(K309-Forudsætninger!$C$27),IF(K309&gt;Forudsætninger!$C$26,Forudsætninger!$G$26+Forudsætninger!$H$27*(K309-Forudsætninger!$C$26),Forudsætninger!$G$26)))*(U309-Forudsætninger!$H$26)</f>
        <v>35.906980119374566</v>
      </c>
      <c r="AC309" s="19">
        <f>IF(K309&gt;Forudsætninger!$C$31,IF(K309&gt;Forudsætninger!$C$32,IF(K309&gt;Forudsætninger!$C$33,Forudsætninger!$E$33,Forudsætninger!$E$32+Forudsætninger!$F$33*(K309-Forudsætninger!$C$32)),Forudsætninger!$E$31+Forudsætninger!$F$32*(K309-Forudsætninger!$C$31)),Forudsætninger!$E$31)+IF(K309&gt;Forudsætninger!$C$33,Forudsætninger!$G$33,IF(K309&gt;Forudsætninger!$C$32,Forudsætninger!$G$32+Forudsætninger!$H$33*(K309-Forudsætninger!$C$32),IF(K309&gt;Forudsætninger!$C$31,Forudsætninger!$G$31+Forudsætninger!$H$32*(K309-Forudsætninger!$C$31),Forudsætninger!$G$31)))*(V309-Forudsætninger!$H$31)</f>
        <v>28.832344982728923</v>
      </c>
      <c r="AD309" s="19">
        <f t="shared" si="111"/>
        <v>8291.2754994672778</v>
      </c>
      <c r="AE309" s="19">
        <f t="shared" si="112"/>
        <v>35.553248362542277</v>
      </c>
      <c r="AF309">
        <f>IF(G309&lt;=Forudsætninger!$C$97,Forudsætninger!$C$98,(IF(G309&lt;=Forudsætninger!$D$97,Forudsætninger!$D$98,IF(G309&lt;=Forudsætninger!$E$97,Forudsætninger!$E$98,IF(G309&lt;=Forudsætninger!$F$97,Forudsætninger!$F$98,IF(G309&lt;=Forudsætninger!$G$97,Forudsætninger!$G$98,IF(G309&lt;=Forudsætninger!$H$97,Forudsætninger!$H$98,IF(G309&lt;=Forudsætninger!$I$97,Forudsætninger!$I$98,Forudsætninger!$I$98))))))))</f>
        <v>4.4000000000000004</v>
      </c>
      <c r="AG309" s="1">
        <f t="shared" si="122"/>
        <v>4.4000000000000004</v>
      </c>
      <c r="AH309" s="1">
        <f t="shared" si="126"/>
        <v>1025.9999999999959</v>
      </c>
      <c r="AI309" s="1">
        <f t="shared" si="113"/>
        <v>3.3420195439739282</v>
      </c>
      <c r="AJ309" s="20">
        <f>+(W309*Forudsætninger!$C$12)</f>
        <v>900</v>
      </c>
      <c r="AK309" s="20">
        <f>Forudsætninger!$C$17</f>
        <v>250</v>
      </c>
      <c r="AL309" s="20">
        <f>IF(A309&lt;92,Forudsætninger!$C$20,Forudsætninger!$C$21)</f>
        <v>1.0566762728146013</v>
      </c>
      <c r="AM309" s="20">
        <f t="shared" si="123"/>
        <v>592.90509860737268</v>
      </c>
      <c r="AN309" s="20">
        <f>IFERROR(AD309+AJ309-AA309-Z309-AK309-AM309-Forudsætninger!$C$75,-99999999)</f>
        <v>1463.1143848664296</v>
      </c>
      <c r="AO309" s="19">
        <f>IFERROR(AN309/(A309+Forudsætninger!$C$74),-99999999)</f>
        <v>4.7658449018450479</v>
      </c>
      <c r="AP309" s="19">
        <f>IFERROR(((365/(A309+Forudsætninger!$C$74))*AN309)/(AI309+Forudsætninger!$C$73),-9999999)</f>
        <v>503.91759577667699</v>
      </c>
      <c r="AQ309" s="18">
        <f t="shared" si="114"/>
        <v>307</v>
      </c>
      <c r="AR309" s="18">
        <f t="shared" si="124"/>
        <v>7545.7669220514535</v>
      </c>
      <c r="AS309" s="52">
        <f t="shared" si="105"/>
        <v>11.4</v>
      </c>
      <c r="AT309" s="50">
        <f t="shared" si="127"/>
        <v>-0.8046567396518185</v>
      </c>
      <c r="AU309" s="50">
        <f t="shared" si="128"/>
        <v>-1.8204253730381481E-2</v>
      </c>
      <c r="AV309" s="2">
        <f t="shared" si="129"/>
        <v>-2.4319770169680055</v>
      </c>
      <c r="AW309" s="61">
        <f t="shared" si="125"/>
        <v>6.6971318679928409</v>
      </c>
      <c r="BA309" s="16"/>
      <c r="BB309" s="2"/>
    </row>
    <row r="310" spans="1:54" x14ac:dyDescent="0.25">
      <c r="A310">
        <v>308</v>
      </c>
      <c r="B310" s="1">
        <f>ROUND((A310+Forudsætninger!$C$60)/30.4,1)</f>
        <v>11.4</v>
      </c>
      <c r="C310" s="1">
        <f>VLOOKUP((A310+Forudsætninger!$C$60),'Model tilvækst, slagteform, fe'!A:B,2,FALSE)</f>
        <v>490.45945961355983</v>
      </c>
      <c r="D310" s="3">
        <f t="shared" si="115"/>
        <v>1056.236522390293</v>
      </c>
      <c r="E310" s="1">
        <f>(1+Forudsætninger!$C$78)*C310</f>
        <v>456.12729744061062</v>
      </c>
      <c r="F310" s="2">
        <f t="shared" si="116"/>
        <v>0</v>
      </c>
      <c r="G310" s="1">
        <f t="shared" si="106"/>
        <v>456.12729744061062</v>
      </c>
      <c r="H310" s="3">
        <f t="shared" si="107"/>
        <v>982.29996582296053</v>
      </c>
      <c r="I310" s="3">
        <f t="shared" si="108"/>
        <v>1256.9068098721123</v>
      </c>
      <c r="J310" s="1">
        <f>VLOOKUP((A310+Forudsætninger!$C$60),'Model tilvækst, slagteform, fe'!G:K,2,FALSE)*(1+Forudsætninger!$C$79)</f>
        <v>51.246482083869886</v>
      </c>
      <c r="K310" s="17">
        <f t="shared" si="104"/>
        <v>233.7491937625424</v>
      </c>
      <c r="L310" s="17">
        <f t="shared" si="117"/>
        <v>541.93756699629603</v>
      </c>
      <c r="M310" s="3">
        <f>((K310-(('Model tilvækst, slagteform, fe'!$H$9/100)*'Model tilvækst, slagteform, fe'!$B$9))*1000/(A310+Forudsætninger!$C$60))</f>
        <v>614.70400499750292</v>
      </c>
      <c r="N310" s="17">
        <f t="shared" si="118"/>
        <v>1850.335486291222</v>
      </c>
      <c r="O310" s="19">
        <f>IF( A310&lt;Forudsætninger!$C$14,(G310/100)*Forudsætninger!$C$13,(Forudsætninger!$C$15/1000)*Forudsætninger!$C$13)</f>
        <v>2.9648274333639688</v>
      </c>
      <c r="P310" s="17" cm="1">
        <f t="array" ref="P310">INDEX('Model tilvækst, slagteform, fe'!$N$9:$N$375,MATCH(MIN(ABS('Model tilvækst, slagteform, fe'!$M$9:$M$375-'Vækstfunktion, hol'!G310)),ABS('Model tilvækst, slagteform, fe'!$M$9:$M$375-'Vækstfunktion, hol'!G310),0))*(1+Forudsætninger!$C$80)</f>
        <v>8.3196985488811048</v>
      </c>
      <c r="Q310" s="17">
        <f t="shared" si="119"/>
        <v>15.351765693220464</v>
      </c>
      <c r="R310" s="17">
        <f t="shared" si="120"/>
        <v>9.176909530776113</v>
      </c>
      <c r="S310" s="17">
        <f t="shared" si="109"/>
        <v>4.779656455445596</v>
      </c>
      <c r="T310" s="19">
        <f>(P310)*IF(N310&lt;Forudsætninger!$B$228,IF(N310&lt;Forudsætninger!$B$227,Forudsætninger!$B$225,Forudsætninger!$C$9),Forudsætninger!$C$11)+O310</f>
        <v>22.432922037745751</v>
      </c>
      <c r="U310" s="2">
        <f>Forudsætninger!$C$68+((K310-(Forudsætninger!$C$84)))*0.01</f>
        <v>4.034544796614064</v>
      </c>
      <c r="V310" s="2">
        <f>U310+Forudsætninger!$C$69</f>
        <v>3.034544796614064</v>
      </c>
      <c r="W310">
        <f t="shared" si="110"/>
        <v>1</v>
      </c>
      <c r="X310">
        <f>IF(A310+Forudsætninger!$C$60&gt;248,IF(A310+Forudsætninger!$C$60&lt;365,IF(K310&gt;180,IF(K310&lt;260,1,0),0),0),0)</f>
        <v>1</v>
      </c>
      <c r="Y310" s="22">
        <f>IF(X310=0,0,IF('Vækstfunktion, hol'!A310&lt;Forudsætninger!$C$66,Forudsætninger!$C$67+(('Vækstfunktion, hol'!A310-Forudsætninger!$C$66)/7)*Forudsætninger!$C$64,Forudsætninger!$C$67))</f>
        <v>0.95</v>
      </c>
      <c r="Z310" s="19">
        <f t="shared" si="121"/>
        <v>5375.2947454818268</v>
      </c>
      <c r="AA310" s="19">
        <f>Forudsætninger!$C$62+Forudsætninger!$C$16</f>
        <v>1350</v>
      </c>
      <c r="AB310" s="19">
        <f>IF(K310&gt;Forudsætninger!$C$26,IF(K310&gt;Forudsætninger!$C$27,IF(K310&gt;Forudsætninger!$C$28,Forudsætninger!$E$28,Forudsætninger!$E$27+Forudsætninger!$F$28*(K310-Forudsætninger!$C$27)),Forudsætninger!$E$26+Forudsætninger!$F$27*(K310-Forudsætninger!$C$26)),Forudsætninger!$E$26)+IF(K310&gt;Forudsætninger!$C$28,Forudsætninger!$G$28,IF(K310&gt;Forudsætninger!$C$27,Forudsætninger!$G$27+Forudsætninger!$H$28*(K310-Forudsætninger!$C$27),IF(K310&gt;Forudsætninger!$C$26,Forudsætninger!$G$26+Forudsætninger!$H$27*(K310-Forudsætninger!$C$26),Forudsætninger!$G$26)))*(U310-Forudsætninger!$H$26)</f>
        <v>35.921205980508226</v>
      </c>
      <c r="AC310" s="19">
        <f>IF(K310&gt;Forudsætninger!$C$31,IF(K310&gt;Forudsætninger!$C$32,IF(K310&gt;Forudsætninger!$C$33,Forudsætninger!$E$33,Forudsætninger!$E$32+Forudsætninger!$F$33*(K310-Forudsætninger!$C$32)),Forudsætninger!$E$31+Forudsætninger!$F$32*(K310-Forudsætninger!$C$31)),Forudsætninger!$E$31)+IF(K310&gt;Forudsætninger!$C$33,Forudsætninger!$G$33,IF(K310&gt;Forudsætninger!$C$32,Forudsætninger!$G$32+Forudsætninger!$H$33*(K310-Forudsætninger!$C$32),IF(K310&gt;Forudsætninger!$C$31,Forudsætninger!$G$31+Forudsætninger!$H$32*(K310-Forudsætninger!$C$31),Forudsætninger!$G$31)))*(V310-Forudsætninger!$H$31)</f>
        <v>28.846774170657362</v>
      </c>
      <c r="AD310" s="19">
        <f t="shared" si="111"/>
        <v>8313.8708003279789</v>
      </c>
      <c r="AE310" s="19">
        <f t="shared" si="112"/>
        <v>35.567484390015686</v>
      </c>
      <c r="AF310">
        <f>IF(G310&lt;=Forudsætninger!$C$97,Forudsætninger!$C$98,(IF(G310&lt;=Forudsætninger!$D$97,Forudsætninger!$D$98,IF(G310&lt;=Forudsætninger!$E$97,Forudsætninger!$E$98,IF(G310&lt;=Forudsætninger!$F$97,Forudsætninger!$F$98,IF(G310&lt;=Forudsætninger!$G$97,Forudsætninger!$G$98,IF(G310&lt;=Forudsætninger!$H$97,Forudsætninger!$H$98,IF(G310&lt;=Forudsætninger!$I$97,Forudsætninger!$I$98,Forudsætninger!$I$98))))))))</f>
        <v>4.4000000000000004</v>
      </c>
      <c r="AG310" s="1">
        <f t="shared" si="122"/>
        <v>4.4000000000000004</v>
      </c>
      <c r="AH310" s="1">
        <f t="shared" si="126"/>
        <v>1030.399999999996</v>
      </c>
      <c r="AI310" s="1">
        <f t="shared" si="113"/>
        <v>3.3454545454545324</v>
      </c>
      <c r="AJ310" s="20">
        <f>+(W310*Forudsætninger!$C$12)</f>
        <v>900</v>
      </c>
      <c r="AK310" s="20">
        <f>Forudsætninger!$C$17</f>
        <v>250</v>
      </c>
      <c r="AL310" s="20">
        <f>IF(A310&lt;92,Forudsætninger!$C$20,Forudsætninger!$C$21)</f>
        <v>1.0566762728146013</v>
      </c>
      <c r="AM310" s="20">
        <f t="shared" si="123"/>
        <v>593.96177488018725</v>
      </c>
      <c r="AN310" s="20">
        <f>IFERROR(AD310+AJ310-AA310-Z310-AK310-AM310-Forudsætninger!$C$75,-99999999)</f>
        <v>1462.2200874165703</v>
      </c>
      <c r="AO310" s="19">
        <f>IFERROR(AN310/(A310+Forudsætninger!$C$74),-99999999)</f>
        <v>4.7474678162875659</v>
      </c>
      <c r="AP310" s="19">
        <f>IFERROR(((365/(A310+Forudsætninger!$C$74))*AN310)/(AI310+Forudsætninger!$C$73),-9999999)</f>
        <v>501.47548756628919</v>
      </c>
      <c r="AQ310" s="18">
        <f t="shared" si="114"/>
        <v>308</v>
      </c>
      <c r="AR310" s="18">
        <f t="shared" si="124"/>
        <v>7569.2565203620143</v>
      </c>
      <c r="AS310" s="52">
        <f t="shared" si="105"/>
        <v>11.4</v>
      </c>
      <c r="AT310" s="50">
        <f t="shared" si="127"/>
        <v>-0.89429744985932302</v>
      </c>
      <c r="AU310" s="50">
        <f t="shared" si="128"/>
        <v>-1.8377085557482076E-2</v>
      </c>
      <c r="AV310" s="2">
        <f t="shared" si="129"/>
        <v>-2.4421082103878007</v>
      </c>
      <c r="AW310" s="61">
        <f t="shared" si="125"/>
        <v>6.6759151373271353</v>
      </c>
      <c r="BA310" s="16"/>
      <c r="BB310" s="2"/>
    </row>
    <row r="311" spans="1:54" x14ac:dyDescent="0.25">
      <c r="A311">
        <v>309</v>
      </c>
      <c r="B311" s="1">
        <f>ROUND((A311+Forudsætninger!$C$60)/30.4,1)</f>
        <v>11.4</v>
      </c>
      <c r="C311" s="1">
        <f>VLOOKUP((A311+Forudsætninger!$C$60),'Model tilvækst, slagteform, fe'!A:B,2,FALSE)</f>
        <v>491.51196985958927</v>
      </c>
      <c r="D311" s="3">
        <f t="shared" si="115"/>
        <v>1052.510246029442</v>
      </c>
      <c r="E311" s="1">
        <f>(1+Forudsætninger!$C$78)*C311</f>
        <v>457.10613196941802</v>
      </c>
      <c r="F311" s="2">
        <f t="shared" si="116"/>
        <v>0</v>
      </c>
      <c r="G311" s="1">
        <f t="shared" si="106"/>
        <v>457.10613196941802</v>
      </c>
      <c r="H311" s="3">
        <f t="shared" si="107"/>
        <v>978.83452880739696</v>
      </c>
      <c r="I311" s="3">
        <f t="shared" si="108"/>
        <v>1256.0068995774045</v>
      </c>
      <c r="J311" s="1">
        <f>VLOOKUP((A311+Forudsætninger!$C$60),'Model tilvækst, slagteform, fe'!G:K,2,FALSE)*(1+Forudsætninger!$C$79)</f>
        <v>51.254955219893674</v>
      </c>
      <c r="K311" s="17">
        <f t="shared" si="104"/>
        <v>234.28954324831327</v>
      </c>
      <c r="L311" s="17">
        <f t="shared" si="117"/>
        <v>540.34948577086084</v>
      </c>
      <c r="M311" s="3">
        <f>((K311-(('Model tilvækst, slagteform, fe'!$H$9/100)*'Model tilvækst, slagteform, fe'!$B$9))*1000/(A311+Forudsætninger!$C$60))</f>
        <v>614.49034258593201</v>
      </c>
      <c r="N311" s="17">
        <f t="shared" si="118"/>
        <v>1858.6688238215465</v>
      </c>
      <c r="O311" s="19">
        <f>IF( A311&lt;Forudsætninger!$C$14,(G311/100)*Forudsætninger!$C$13,(Forudsætninger!$C$15/1000)*Forudsætninger!$C$13)</f>
        <v>2.971189857801217</v>
      </c>
      <c r="P311" s="17" cm="1">
        <f t="array" ref="P311">INDEX('Model tilvækst, slagteform, fe'!$N$9:$N$375,MATCH(MIN(ABS('Model tilvækst, slagteform, fe'!$M$9:$M$375-'Vækstfunktion, hol'!G311)),ABS('Model tilvækst, slagteform, fe'!$M$9:$M$375-'Vækstfunktion, hol'!G311),0))*(1+Forudsætninger!$C$80)</f>
        <v>8.3333375303245596</v>
      </c>
      <c r="Q311" s="17">
        <f t="shared" si="119"/>
        <v>15.422125401741148</v>
      </c>
      <c r="R311" s="17">
        <f t="shared" si="120"/>
        <v>9.1936014338751839</v>
      </c>
      <c r="S311" s="17">
        <f t="shared" si="109"/>
        <v>4.7890735825014117</v>
      </c>
      <c r="T311" s="19">
        <f>(P311)*IF(N311&lt;Forudsætninger!$B$228,IF(N311&lt;Forudsætninger!$B$227,Forudsætninger!$B$225,Forudsætninger!$C$9),Forudsætninger!$C$11)+O311</f>
        <v>22.471199678760687</v>
      </c>
      <c r="U311" s="2">
        <f>Forudsætninger!$C$68+((K311-(Forudsætninger!$C$84)))*0.01</f>
        <v>4.0399482914717728</v>
      </c>
      <c r="V311" s="2">
        <f>U311+Forudsætninger!$C$69</f>
        <v>3.0399482914717728</v>
      </c>
      <c r="W311">
        <f t="shared" si="110"/>
        <v>1</v>
      </c>
      <c r="X311">
        <f>IF(A311+Forudsætninger!$C$60&gt;248,IF(A311+Forudsætninger!$C$60&lt;365,IF(K311&gt;180,IF(K311&lt;260,1,0),0),0),0)</f>
        <v>1</v>
      </c>
      <c r="Y311" s="22">
        <f>IF(X311=0,0,IF('Vækstfunktion, hol'!A311&lt;Forudsætninger!$C$66,Forudsætninger!$C$67+(('Vækstfunktion, hol'!A311-Forudsætninger!$C$66)/7)*Forudsætninger!$C$64,Forudsætninger!$C$67))</f>
        <v>0.95</v>
      </c>
      <c r="Z311" s="19">
        <f t="shared" si="121"/>
        <v>5397.7659451605878</v>
      </c>
      <c r="AA311" s="19">
        <f>Forudsætninger!$C$62+Forudsætninger!$C$16</f>
        <v>1350</v>
      </c>
      <c r="AB311" s="19">
        <f>IF(K311&gt;Forudsætninger!$C$26,IF(K311&gt;Forudsætninger!$C$27,IF(K311&gt;Forudsætninger!$C$28,Forudsætninger!$E$28,Forudsætninger!$E$27+Forudsætninger!$F$28*(K311-Forudsætninger!$C$27)),Forudsætninger!$E$26+Forudsætninger!$F$27*(K311-Forudsætninger!$C$26)),Forudsætninger!$E$26)+IF(K311&gt;Forudsætninger!$C$28,Forudsætninger!$G$28,IF(K311&gt;Forudsætninger!$C$27,Forudsætninger!$G$27+Forudsætninger!$H$28*(K311-Forudsætninger!$C$27),IF(K311&gt;Forudsætninger!$C$26,Forudsætninger!$G$26+Forudsætninger!$H$27*(K311-Forudsætninger!$C$26),Forudsætninger!$G$26)))*(U311-Forudsætninger!$H$26)</f>
        <v>35.935390154509705</v>
      </c>
      <c r="AC311" s="19">
        <f>IF(K311&gt;Forudsætninger!$C$31,IF(K311&gt;Forudsætninger!$C$32,IF(K311&gt;Forudsætninger!$C$33,Forudsætninger!$E$33,Forudsætninger!$E$32+Forudsætninger!$F$33*(K311-Forudsætninger!$C$32)),Forudsætninger!$E$31+Forudsætninger!$F$32*(K311-Forudsætninger!$C$31)),Forudsætninger!$E$31)+IF(K311&gt;Forudsætninger!$C$33,Forudsætninger!$G$33,IF(K311&gt;Forudsætninger!$C$32,Forudsætninger!$G$32+Forudsætninger!$H$33*(K311-Forudsætninger!$C$32),IF(K311&gt;Forudsætninger!$C$31,Forudsætninger!$G$31+Forudsætninger!$H$32*(K311-Forudsætninger!$C$31),Forudsætninger!$G$31)))*(V311-Forudsætninger!$H$31)</f>
        <v>28.861139145132565</v>
      </c>
      <c r="AD311" s="19">
        <f t="shared" si="111"/>
        <v>8336.4149938594674</v>
      </c>
      <c r="AE311" s="19">
        <f t="shared" si="112"/>
        <v>35.581677604040848</v>
      </c>
      <c r="AF311">
        <f>IF(G311&lt;=Forudsætninger!$C$97,Forudsætninger!$C$98,(IF(G311&lt;=Forudsætninger!$D$97,Forudsætninger!$D$98,IF(G311&lt;=Forudsætninger!$E$97,Forudsætninger!$E$98,IF(G311&lt;=Forudsætninger!$F$97,Forudsætninger!$F$98,IF(G311&lt;=Forudsætninger!$G$97,Forudsætninger!$G$98,IF(G311&lt;=Forudsætninger!$H$97,Forudsætninger!$H$98,IF(G311&lt;=Forudsætninger!$I$97,Forudsætninger!$I$98,Forudsætninger!$I$98))))))))</f>
        <v>4.4000000000000004</v>
      </c>
      <c r="AG311" s="1">
        <f t="shared" si="122"/>
        <v>4.4000000000000004</v>
      </c>
      <c r="AH311" s="1">
        <f t="shared" si="126"/>
        <v>1034.7999999999961</v>
      </c>
      <c r="AI311" s="1">
        <f t="shared" si="113"/>
        <v>3.3488673139158451</v>
      </c>
      <c r="AJ311" s="20">
        <f>+(W311*Forudsætninger!$C$12)</f>
        <v>900</v>
      </c>
      <c r="AK311" s="20">
        <f>Forudsætninger!$C$17</f>
        <v>250</v>
      </c>
      <c r="AL311" s="20">
        <f>IF(A311&lt;92,Forudsætninger!$C$20,Forudsætninger!$C$21)</f>
        <v>1.0566762728146013</v>
      </c>
      <c r="AM311" s="20">
        <f t="shared" si="123"/>
        <v>595.01845115300182</v>
      </c>
      <c r="AN311" s="20">
        <f>IFERROR(AD311+AJ311-AA311-Z311-AK311-AM311-Forudsætninger!$C$75,-99999999)</f>
        <v>1461.2364049964831</v>
      </c>
      <c r="AO311" s="19">
        <f>IFERROR(AN311/(A311+Forudsætninger!$C$74),-99999999)</f>
        <v>4.7289204045193625</v>
      </c>
      <c r="AP311" s="19">
        <f>IFERROR(((365/(A311+Forudsætninger!$C$74))*AN311)/(AI311+Forudsætninger!$C$73),-9999999)</f>
        <v>499.02346375220418</v>
      </c>
      <c r="AQ311" s="18">
        <f t="shared" si="114"/>
        <v>309</v>
      </c>
      <c r="AR311" s="18">
        <f t="shared" si="124"/>
        <v>7592.7843963135892</v>
      </c>
      <c r="AS311" s="52">
        <f t="shared" si="105"/>
        <v>11.4</v>
      </c>
      <c r="AT311" s="50">
        <f t="shared" si="127"/>
        <v>-0.98368242008723428</v>
      </c>
      <c r="AU311" s="50">
        <f t="shared" si="128"/>
        <v>-1.8547411768203403E-2</v>
      </c>
      <c r="AV311" s="2">
        <f t="shared" si="129"/>
        <v>-2.4520238140850097</v>
      </c>
      <c r="AW311" s="61">
        <f t="shared" si="125"/>
        <v>6.6545464600306961</v>
      </c>
      <c r="BA311" s="16"/>
      <c r="BB311" s="2"/>
    </row>
    <row r="312" spans="1:54" x14ac:dyDescent="0.25">
      <c r="A312">
        <v>310</v>
      </c>
      <c r="B312" s="1">
        <f>ROUND((A312+Forudsætninger!$C$60)/30.4,1)</f>
        <v>11.5</v>
      </c>
      <c r="C312" s="1">
        <f>VLOOKUP((A312+Forudsætninger!$C$60),'Model tilvækst, slagteform, fe'!A:B,2,FALSE)</f>
        <v>492.56077960203362</v>
      </c>
      <c r="D312" s="3">
        <f t="shared" si="115"/>
        <v>1048.8097424443481</v>
      </c>
      <c r="E312" s="1">
        <f>(1+Forudsætninger!$C$78)*C312</f>
        <v>458.08152502989122</v>
      </c>
      <c r="F312" s="2">
        <f t="shared" si="116"/>
        <v>0</v>
      </c>
      <c r="G312" s="1">
        <f t="shared" si="106"/>
        <v>458.08152502989122</v>
      </c>
      <c r="H312" s="3">
        <f t="shared" si="107"/>
        <v>975.39306047320906</v>
      </c>
      <c r="I312" s="3">
        <f t="shared" si="108"/>
        <v>1255.1016936448104</v>
      </c>
      <c r="J312" s="1">
        <f>VLOOKUP((A312+Forudsætninger!$C$60),'Model tilvækst, slagteform, fe'!G:K,2,FALSE)*(1+Forudsætninger!$C$79)</f>
        <v>51.263432865149447</v>
      </c>
      <c r="K312" s="17">
        <f t="shared" si="104"/>
        <v>234.82831505135107</v>
      </c>
      <c r="L312" s="17">
        <f t="shared" si="117"/>
        <v>538.77180303780392</v>
      </c>
      <c r="M312" s="3">
        <f>((K312-(('Model tilvækst, slagteform, fe'!$H$9/100)*'Model tilvækst, slagteform, fe'!$B$9))*1000/(A312+Forudsætninger!$C$60))</f>
        <v>614.27338401989164</v>
      </c>
      <c r="N312" s="17">
        <f t="shared" si="118"/>
        <v>1867.0158218525353</v>
      </c>
      <c r="O312" s="19">
        <f>IF( A312&lt;Forudsætninger!$C$14,(G312/100)*Forudsætninger!$C$13,(Forudsætninger!$C$15/1000)*Forudsætninger!$C$13)</f>
        <v>2.9775299126942931</v>
      </c>
      <c r="P312" s="17" cm="1">
        <f t="array" ref="P312">INDEX('Model tilvækst, slagteform, fe'!$N$9:$N$375,MATCH(MIN(ABS('Model tilvækst, slagteform, fe'!$M$9:$M$375-'Vækstfunktion, hol'!G312)),ABS('Model tilvækst, slagteform, fe'!$M$9:$M$375-'Vækstfunktion, hol'!G312),0))*(1+Forudsætninger!$C$80)</f>
        <v>8.3469980309888161</v>
      </c>
      <c r="Q312" s="17">
        <f t="shared" si="119"/>
        <v>15.492640824789291</v>
      </c>
      <c r="R312" s="17">
        <f t="shared" si="120"/>
        <v>9.2103434211784165</v>
      </c>
      <c r="S312" s="17">
        <f t="shared" si="109"/>
        <v>4.7985208799341006</v>
      </c>
      <c r="T312" s="19">
        <f>(P312)*IF(N312&lt;Forudsætninger!$B$228,IF(N312&lt;Forudsætninger!$B$227,Forudsætninger!$B$225,Forudsætninger!$C$9),Forudsætninger!$C$11)+O312</f>
        <v>22.509505305208123</v>
      </c>
      <c r="U312" s="2">
        <f>Forudsætninger!$C$68+((K312-(Forudsætninger!$C$84)))*0.01</f>
        <v>4.0453360095021509</v>
      </c>
      <c r="V312" s="2">
        <f>U312+Forudsætninger!$C$69</f>
        <v>3.0453360095021509</v>
      </c>
      <c r="W312">
        <f t="shared" si="110"/>
        <v>1</v>
      </c>
      <c r="X312">
        <f>IF(A312+Forudsætninger!$C$60&gt;248,IF(A312+Forudsætninger!$C$60&lt;365,IF(K312&gt;180,IF(K312&lt;260,1,0),0),0),0)</f>
        <v>1</v>
      </c>
      <c r="Y312" s="22">
        <f>IF(X312=0,0,IF('Vækstfunktion, hol'!A312&lt;Forudsætninger!$C$66,Forudsætninger!$C$67+(('Vækstfunktion, hol'!A312-Forudsætninger!$C$66)/7)*Forudsætninger!$C$64,Forudsætninger!$C$67))</f>
        <v>0.95</v>
      </c>
      <c r="Z312" s="19">
        <f t="shared" si="121"/>
        <v>5420.275450465796</v>
      </c>
      <c r="AA312" s="19">
        <f>Forudsætninger!$C$62+Forudsætninger!$C$16</f>
        <v>1350</v>
      </c>
      <c r="AB312" s="19">
        <f>IF(K312&gt;Forudsætninger!$C$26,IF(K312&gt;Forudsætninger!$C$27,IF(K312&gt;Forudsætninger!$C$28,Forudsætninger!$E$28,Forudsætninger!$E$27+Forudsætninger!$F$28*(K312-Forudsætninger!$C$27)),Forudsætninger!$E$26+Forudsætninger!$F$27*(K312-Forudsætninger!$C$26)),Forudsætninger!$E$26)+IF(K312&gt;Forudsætninger!$C$28,Forudsætninger!$G$28,IF(K312&gt;Forudsætninger!$C$27,Forudsætninger!$G$27+Forudsætninger!$H$28*(K312-Forudsætninger!$C$27),IF(K312&gt;Forudsætninger!$C$26,Forudsætninger!$G$26+Forudsætninger!$H$27*(K312-Forudsætninger!$C$26),Forudsætninger!$G$26)))*(U312-Forudsætninger!$H$26)</f>
        <v>35.949532914339443</v>
      </c>
      <c r="AC312" s="19">
        <f>IF(K312&gt;Forudsætninger!$C$31,IF(K312&gt;Forudsætninger!$C$32,IF(K312&gt;Forudsætninger!$C$33,Forudsætninger!$E$33,Forudsætninger!$E$32+Forudsætninger!$F$33*(K312-Forudsætninger!$C$32)),Forudsætninger!$E$31+Forudsætninger!$F$32*(K312-Forudsætninger!$C$31)),Forudsætninger!$E$31)+IF(K312&gt;Forudsætninger!$C$33,Forudsætninger!$G$33,IF(K312&gt;Forudsætninger!$C$32,Forudsætninger!$G$32+Forudsætninger!$H$33*(K312-Forudsætninger!$C$32),IF(K312&gt;Forudsætninger!$C$31,Forudsætninger!$G$31+Forudsætninger!$H$32*(K312-Forudsætninger!$C$31),Forudsætninger!$G$31)))*(V312-Forudsætninger!$H$31)</f>
        <v>28.875440375040146</v>
      </c>
      <c r="AD312" s="19">
        <f t="shared" si="111"/>
        <v>8358.9083795813676</v>
      </c>
      <c r="AE312" s="19">
        <f t="shared" si="112"/>
        <v>35.595828287374474</v>
      </c>
      <c r="AF312">
        <f>IF(G312&lt;=Forudsætninger!$C$97,Forudsætninger!$C$98,(IF(G312&lt;=Forudsætninger!$D$97,Forudsætninger!$D$98,IF(G312&lt;=Forudsætninger!$E$97,Forudsætninger!$E$98,IF(G312&lt;=Forudsætninger!$F$97,Forudsætninger!$F$98,IF(G312&lt;=Forudsætninger!$G$97,Forudsætninger!$G$98,IF(G312&lt;=Forudsætninger!$H$97,Forudsætninger!$H$98,IF(G312&lt;=Forudsætninger!$I$97,Forudsætninger!$I$98,Forudsætninger!$I$98))))))))</f>
        <v>4.4000000000000004</v>
      </c>
      <c r="AG312" s="1">
        <f t="shared" si="122"/>
        <v>4.4000000000000004</v>
      </c>
      <c r="AH312" s="1">
        <f t="shared" si="126"/>
        <v>1039.1999999999962</v>
      </c>
      <c r="AI312" s="1">
        <f t="shared" si="113"/>
        <v>3.3522580645161169</v>
      </c>
      <c r="AJ312" s="20">
        <f>+(W312*Forudsætninger!$C$12)</f>
        <v>900</v>
      </c>
      <c r="AK312" s="20">
        <f>Forudsætninger!$C$17</f>
        <v>250</v>
      </c>
      <c r="AL312" s="20">
        <f>IF(A312&lt;92,Forudsætninger!$C$20,Forudsætninger!$C$21)</f>
        <v>1.0566762728146013</v>
      </c>
      <c r="AM312" s="20">
        <f t="shared" si="123"/>
        <v>596.07512742581639</v>
      </c>
      <c r="AN312" s="20">
        <f>IFERROR(AD312+AJ312-AA312-Z312-AK312-AM312-Forudsætninger!$C$75,-99999999)</f>
        <v>1460.1636091403607</v>
      </c>
      <c r="AO312" s="19">
        <f>IFERROR(AN312/(A312+Forudsætninger!$C$74),-99999999)</f>
        <v>4.7102051907753566</v>
      </c>
      <c r="AP312" s="19">
        <f>IFERROR(((365/(A312+Forudsætninger!$C$74))*AN312)/(AI312+Forudsætninger!$C$73),-9999999)</f>
        <v>496.56174167169809</v>
      </c>
      <c r="AQ312" s="18">
        <f t="shared" si="114"/>
        <v>310</v>
      </c>
      <c r="AR312" s="18">
        <f t="shared" si="124"/>
        <v>7616.3505778916124</v>
      </c>
      <c r="AS312" s="52">
        <f t="shared" si="105"/>
        <v>11.5</v>
      </c>
      <c r="AT312" s="50">
        <f t="shared" si="127"/>
        <v>-1.0727958561224114</v>
      </c>
      <c r="AU312" s="50">
        <f t="shared" si="128"/>
        <v>-1.8715213744005865E-2</v>
      </c>
      <c r="AV312" s="2">
        <f t="shared" si="129"/>
        <v>-2.4617220805060924</v>
      </c>
      <c r="AW312" s="61">
        <f t="shared" si="125"/>
        <v>6.6330281824715387</v>
      </c>
      <c r="BA312" s="16"/>
      <c r="BB312" s="2"/>
    </row>
    <row r="313" spans="1:54" x14ac:dyDescent="0.25">
      <c r="A313">
        <v>311</v>
      </c>
      <c r="B313" s="1">
        <f>ROUND((A313+Forudsætninger!$C$60)/30.4,1)</f>
        <v>11.5</v>
      </c>
      <c r="C313" s="1">
        <f>VLOOKUP((A313+Forudsætninger!$C$60),'Model tilvækst, slagteform, fe'!A:B,2,FALSE)</f>
        <v>493.60591514801501</v>
      </c>
      <c r="D313" s="3">
        <f t="shared" si="115"/>
        <v>1045.1355459813954</v>
      </c>
      <c r="E313" s="1">
        <f>(1+Forudsætninger!$C$78)*C313</f>
        <v>459.05350108765396</v>
      </c>
      <c r="F313" s="2">
        <f t="shared" si="116"/>
        <v>0</v>
      </c>
      <c r="G313" s="1">
        <f t="shared" si="106"/>
        <v>459.05350108765396</v>
      </c>
      <c r="H313" s="3">
        <f t="shared" si="107"/>
        <v>971.97605776273122</v>
      </c>
      <c r="I313" s="3">
        <f t="shared" si="108"/>
        <v>1254.1913218252539</v>
      </c>
      <c r="J313" s="1">
        <f>VLOOKUP((A313+Forudsætninger!$C$60),'Model tilvækst, slagteform, fe'!G:K,2,FALSE)*(1+Forudsætninger!$C$79)</f>
        <v>51.271914769124272</v>
      </c>
      <c r="K313" s="17">
        <f t="shared" si="104"/>
        <v>235.36551982234289</v>
      </c>
      <c r="L313" s="17">
        <f t="shared" si="117"/>
        <v>537.20477099182062</v>
      </c>
      <c r="M313" s="3">
        <f>((K313-(('Model tilvækst, slagteform, fe'!$H$9/100)*'Model tilvækst, slagteform, fe'!$B$9))*1000/(A313+Forudsætninger!$C$60))</f>
        <v>614.05318798266853</v>
      </c>
      <c r="N313" s="17">
        <f t="shared" si="118"/>
        <v>1875.362819883524</v>
      </c>
      <c r="O313" s="19">
        <f>IF( A313&lt;Forudsætninger!$C$14,(G313/100)*Forudsætninger!$C$13,(Forudsætninger!$C$15/1000)*Forudsætninger!$C$13)</f>
        <v>2.9838477570697508</v>
      </c>
      <c r="P313" s="17" cm="1">
        <f t="array" ref="P313">INDEX('Model tilvækst, slagteform, fe'!$N$9:$N$375,MATCH(MIN(ABS('Model tilvækst, slagteform, fe'!$M$9:$M$375-'Vækstfunktion, hol'!G313)),ABS('Model tilvækst, slagteform, fe'!$M$9:$M$375-'Vækstfunktion, hol'!G313),0))*(1+Forudsætninger!$C$80)</f>
        <v>8.3469980309888161</v>
      </c>
      <c r="Q313" s="17">
        <f t="shared" si="119"/>
        <v>15.537833023295889</v>
      </c>
      <c r="R313" s="17">
        <f t="shared" si="120"/>
        <v>9.2270677890141943</v>
      </c>
      <c r="S313" s="17">
        <f t="shared" si="109"/>
        <v>4.8079630477719695</v>
      </c>
      <c r="T313" s="19">
        <f>(P313)*IF(N313&lt;Forudsætninger!$B$228,IF(N313&lt;Forudsætninger!$B$227,Forudsætninger!$B$225,Forudsætninger!$C$9),Forudsætninger!$C$11)+O313</f>
        <v>22.515823149583579</v>
      </c>
      <c r="U313" s="2">
        <f>Forudsætninger!$C$68+((K313-(Forudsætninger!$C$84)))*0.01</f>
        <v>4.0507080572120691</v>
      </c>
      <c r="V313" s="2">
        <f>U313+Forudsætninger!$C$69</f>
        <v>3.0507080572120691</v>
      </c>
      <c r="W313">
        <f t="shared" si="110"/>
        <v>1</v>
      </c>
      <c r="X313">
        <f>IF(A313+Forudsætninger!$C$60&gt;248,IF(A313+Forudsætninger!$C$60&lt;365,IF(K313&gt;180,IF(K313&lt;260,1,0),0),0),0)</f>
        <v>1</v>
      </c>
      <c r="Y313" s="22">
        <f>IF(X313=0,0,IF('Vækstfunktion, hol'!A313&lt;Forudsætninger!$C$66,Forudsætninger!$C$67+(('Vækstfunktion, hol'!A313-Forudsætninger!$C$66)/7)*Forudsætninger!$C$64,Forudsætninger!$C$67))</f>
        <v>0.95</v>
      </c>
      <c r="Z313" s="19">
        <f t="shared" si="121"/>
        <v>5442.7912736153794</v>
      </c>
      <c r="AA313" s="19">
        <f>Forudsætninger!$C$62+Forudsætninger!$C$16</f>
        <v>1350</v>
      </c>
      <c r="AB313" s="19">
        <f>IF(K313&gt;Forudsætninger!$C$26,IF(K313&gt;Forudsætninger!$C$27,IF(K313&gt;Forudsætninger!$C$28,Forudsætninger!$E$28,Forudsætninger!$E$27+Forudsætninger!$F$28*(K313-Forudsætninger!$C$27)),Forudsætninger!$E$26+Forudsætninger!$F$27*(K313-Forudsætninger!$C$26)),Forudsætninger!$E$26)+IF(K313&gt;Forudsætninger!$C$28,Forudsætninger!$G$28,IF(K313&gt;Forudsætninger!$C$27,Forudsætninger!$G$27+Forudsætninger!$H$28*(K313-Forudsætninger!$C$27),IF(K313&gt;Forudsætninger!$C$26,Forudsætninger!$G$26+Forudsætninger!$H$27*(K313-Forudsætninger!$C$26),Forudsætninger!$G$26)))*(U313-Forudsætninger!$H$26)</f>
        <v>35.963634539577988</v>
      </c>
      <c r="AC313" s="19">
        <f>IF(K313&gt;Forudsætninger!$C$31,IF(K313&gt;Forudsætninger!$C$32,IF(K313&gt;Forudsætninger!$C$33,Forudsætninger!$E$33,Forudsætninger!$E$32+Forudsætninger!$F$33*(K313-Forudsætninger!$C$32)),Forudsætninger!$E$31+Forudsætninger!$F$32*(K313-Forudsætninger!$C$31)),Forudsætninger!$E$31)+IF(K313&gt;Forudsætninger!$C$33,Forudsætninger!$G$33,IF(K313&gt;Forudsætninger!$C$32,Forudsætninger!$G$32+Forudsætninger!$H$33*(K313-Forudsætninger!$C$32),IF(K313&gt;Forudsætninger!$C$31,Forudsætninger!$G$31+Forudsætninger!$H$32*(K313-Forudsætninger!$C$31),Forudsætninger!$G$31)))*(V313-Forudsætninger!$H$31)</f>
        <v>28.889678333701511</v>
      </c>
      <c r="AD313" s="19">
        <f t="shared" si="111"/>
        <v>8381.3512691287087</v>
      </c>
      <c r="AE313" s="19">
        <f t="shared" si="112"/>
        <v>35.609936729284165</v>
      </c>
      <c r="AF313">
        <f>IF(G313&lt;=Forudsætninger!$C$97,Forudsætninger!$C$98,(IF(G313&lt;=Forudsætninger!$D$97,Forudsætninger!$D$98,IF(G313&lt;=Forudsætninger!$E$97,Forudsætninger!$E$98,IF(G313&lt;=Forudsætninger!$F$97,Forudsætninger!$F$98,IF(G313&lt;=Forudsætninger!$G$97,Forudsætninger!$G$98,IF(G313&lt;=Forudsætninger!$H$97,Forudsætninger!$H$98,IF(G313&lt;=Forudsætninger!$I$97,Forudsætninger!$I$98,Forudsætninger!$I$98))))))))</f>
        <v>4.4000000000000004</v>
      </c>
      <c r="AG313" s="1">
        <f t="shared" si="122"/>
        <v>4.4000000000000004</v>
      </c>
      <c r="AH313" s="1">
        <f t="shared" si="126"/>
        <v>1043.5999999999963</v>
      </c>
      <c r="AI313" s="1">
        <f t="shared" si="113"/>
        <v>3.3556270096462901</v>
      </c>
      <c r="AJ313" s="20">
        <f>+(W313*Forudsætninger!$C$12)</f>
        <v>900</v>
      </c>
      <c r="AK313" s="20">
        <f>Forudsætninger!$C$17</f>
        <v>250</v>
      </c>
      <c r="AL313" s="20">
        <f>IF(A313&lt;92,Forudsætninger!$C$20,Forudsætninger!$C$21)</f>
        <v>1.0566762728146013</v>
      </c>
      <c r="AM313" s="20">
        <f t="shared" si="123"/>
        <v>597.13180369863096</v>
      </c>
      <c r="AN313" s="20">
        <f>IFERROR(AD313+AJ313-AA313-Z313-AK313-AM313-Forudsætninger!$C$75,-99999999)</f>
        <v>1459.0339992653039</v>
      </c>
      <c r="AO313" s="19">
        <f>IFERROR(AN313/(A313+Forudsætninger!$C$74),-99999999)</f>
        <v>4.6914276503707519</v>
      </c>
      <c r="AP313" s="19">
        <f>IFERROR(((365/(A313+Forudsætninger!$C$74))*AN313)/(AI313+Forudsætninger!$C$73),-9999999)</f>
        <v>494.10138125628617</v>
      </c>
      <c r="AQ313" s="18">
        <f t="shared" si="114"/>
        <v>311</v>
      </c>
      <c r="AR313" s="18">
        <f t="shared" si="124"/>
        <v>7639.9230773140107</v>
      </c>
      <c r="AS313" s="52">
        <f t="shared" si="105"/>
        <v>11.5</v>
      </c>
      <c r="AT313" s="50">
        <f t="shared" si="127"/>
        <v>-1.129609875056758</v>
      </c>
      <c r="AU313" s="50">
        <f t="shared" si="128"/>
        <v>-1.8777540404604665E-2</v>
      </c>
      <c r="AV313" s="2">
        <f t="shared" si="129"/>
        <v>-2.4603604154119125</v>
      </c>
      <c r="AW313" s="61">
        <f t="shared" si="125"/>
        <v>6.6114656043856419</v>
      </c>
      <c r="BA313" s="16"/>
      <c r="BB313" s="2"/>
    </row>
    <row r="314" spans="1:54" x14ac:dyDescent="0.25">
      <c r="A314">
        <v>312</v>
      </c>
      <c r="B314" s="1">
        <f>ROUND((A314+Forudsætninger!$C$60)/30.4,1)</f>
        <v>11.5</v>
      </c>
      <c r="C314" s="1">
        <f>VLOOKUP((A314+Forudsætninger!$C$60),'Model tilvækst, slagteform, fe'!A:B,2,FALSE)</f>
        <v>494.64740333900289</v>
      </c>
      <c r="D314" s="3">
        <f t="shared" si="115"/>
        <v>1041.4881909878773</v>
      </c>
      <c r="E314" s="1">
        <f>(1+Forudsætninger!$C$78)*C314</f>
        <v>460.02208510527265</v>
      </c>
      <c r="F314" s="2">
        <f t="shared" si="116"/>
        <v>0</v>
      </c>
      <c r="G314" s="1">
        <f t="shared" si="106"/>
        <v>460.02208510527265</v>
      </c>
      <c r="H314" s="3">
        <f t="shared" si="107"/>
        <v>968.58401761869573</v>
      </c>
      <c r="I314" s="3">
        <f t="shared" si="108"/>
        <v>1253.2759137989508</v>
      </c>
      <c r="J314" s="1">
        <f>VLOOKUP((A314+Forudsætninger!$C$60),'Model tilvækst, slagteform, fe'!G:K,2,FALSE)*(1+Forudsætninger!$C$79)</f>
        <v>51.280400681305309</v>
      </c>
      <c r="K314" s="17">
        <f t="shared" si="104"/>
        <v>235.9011684644791</v>
      </c>
      <c r="L314" s="17">
        <f t="shared" si="117"/>
        <v>535.64864213620922</v>
      </c>
      <c r="M314" s="3">
        <f>((K314-(('Model tilvækst, slagteform, fe'!$H$9/100)*'Model tilvækst, slagteform, fe'!$B$9))*1000/(A314+Forudsætninger!$C$60))</f>
        <v>613.82981320817726</v>
      </c>
      <c r="N314" s="17">
        <f t="shared" si="118"/>
        <v>1883.7234982790733</v>
      </c>
      <c r="O314" s="19">
        <f>IF( A314&lt;Forudsætninger!$C$14,(G314/100)*Forudsætninger!$C$13,(Forudsætninger!$C$15/1000)*Forudsætninger!$C$13)</f>
        <v>2.9901435531842724</v>
      </c>
      <c r="P314" s="17" cm="1">
        <f t="array" ref="P314">INDEX('Model tilvækst, slagteform, fe'!$N$9:$N$375,MATCH(MIN(ABS('Model tilvækst, slagteform, fe'!$M$9:$M$375-'Vækstfunktion, hol'!G314)),ABS('Model tilvækst, slagteform, fe'!$M$9:$M$375-'Vækstfunktion, hol'!G314),0))*(1+Forudsætninger!$C$80)</f>
        <v>8.360678395549197</v>
      </c>
      <c r="Q314" s="17">
        <f t="shared" si="119"/>
        <v>15.608512255731947</v>
      </c>
      <c r="R314" s="17">
        <f t="shared" si="120"/>
        <v>9.2438417004944409</v>
      </c>
      <c r="S314" s="17">
        <f t="shared" si="109"/>
        <v>4.8174350504318166</v>
      </c>
      <c r="T314" s="19">
        <f>(P314)*IF(N314&lt;Forudsætninger!$B$228,IF(N314&lt;Forudsætninger!$B$227,Forudsætninger!$B$225,Forudsætninger!$C$9),Forudsætninger!$C$11)+O314</f>
        <v>22.554130998769391</v>
      </c>
      <c r="U314" s="2">
        <f>Forudsætninger!$C$68+((K314-(Forudsætninger!$C$84)))*0.01</f>
        <v>4.0560645436334308</v>
      </c>
      <c r="V314" s="2">
        <f>U314+Forudsætninger!$C$69</f>
        <v>3.0560645436334308</v>
      </c>
      <c r="W314">
        <f t="shared" si="110"/>
        <v>1</v>
      </c>
      <c r="X314">
        <f>IF(A314+Forudsætninger!$C$60&gt;248,IF(A314+Forudsætninger!$C$60&lt;365,IF(K314&gt;180,IF(K314&lt;260,1,0),0),0),0)</f>
        <v>1</v>
      </c>
      <c r="Y314" s="22">
        <f>IF(X314=0,0,IF('Vækstfunktion, hol'!A314&lt;Forudsætninger!$C$66,Forudsætninger!$C$67+(('Vækstfunktion, hol'!A314-Forudsætninger!$C$66)/7)*Forudsætninger!$C$64,Forudsætninger!$C$67))</f>
        <v>0.95</v>
      </c>
      <c r="Z314" s="19">
        <f t="shared" si="121"/>
        <v>5465.3454046141487</v>
      </c>
      <c r="AA314" s="19">
        <f>Forudsætninger!$C$62+Forudsætninger!$C$16</f>
        <v>1350</v>
      </c>
      <c r="AB314" s="19">
        <f>IF(K314&gt;Forudsætninger!$C$26,IF(K314&gt;Forudsætninger!$C$27,IF(K314&gt;Forudsætninger!$C$28,Forudsætninger!$E$28,Forudsætninger!$E$27+Forudsætninger!$F$28*(K314-Forudsætninger!$C$27)),Forudsætninger!$E$26+Forudsætninger!$F$27*(K314-Forudsætninger!$C$26)),Forudsætninger!$E$26)+IF(K314&gt;Forudsætninger!$C$28,Forudsætninger!$G$28,IF(K314&gt;Forudsætninger!$C$27,Forudsætninger!$G$27+Forudsætninger!$H$28*(K314-Forudsætninger!$C$27),IF(K314&gt;Forudsætninger!$C$26,Forudsætninger!$G$26+Forudsætninger!$H$27*(K314-Forudsætninger!$C$26),Forudsætninger!$G$26)))*(U314-Forudsætninger!$H$26)</f>
        <v>35.977695316434065</v>
      </c>
      <c r="AC314" s="19">
        <f>IF(K314&gt;Forudsætninger!$C$31,IF(K314&gt;Forudsætninger!$C$32,IF(K314&gt;Forudsætninger!$C$33,Forudsætninger!$E$33,Forudsætninger!$E$32+Forudsætninger!$F$33*(K314-Forudsætninger!$C$32)),Forudsætninger!$E$31+Forudsætninger!$F$32*(K314-Forudsætninger!$C$31)),Forudsætninger!$E$31)+IF(K314&gt;Forudsætninger!$C$33,Forudsætninger!$G$33,IF(K314&gt;Forudsætninger!$C$32,Forudsætninger!$G$32+Forudsætninger!$H$33*(K314-Forudsætninger!$C$32),IF(K314&gt;Forudsætninger!$C$31,Forudsætninger!$G$31+Forudsætninger!$H$32*(K314-Forudsætninger!$C$31),Forudsætninger!$G$31)))*(V314-Forudsætninger!$H$31)</f>
        <v>28.903853498843642</v>
      </c>
      <c r="AD314" s="19">
        <f t="shared" si="111"/>
        <v>8403.7439862906904</v>
      </c>
      <c r="AE314" s="19">
        <f t="shared" si="112"/>
        <v>35.624003225554546</v>
      </c>
      <c r="AF314">
        <f>IF(G314&lt;=Forudsætninger!$C$97,Forudsætninger!$C$98,(IF(G314&lt;=Forudsætninger!$D$97,Forudsætninger!$D$98,IF(G314&lt;=Forudsætninger!$E$97,Forudsætninger!$E$98,IF(G314&lt;=Forudsætninger!$F$97,Forudsætninger!$F$98,IF(G314&lt;=Forudsætninger!$G$97,Forudsætninger!$G$98,IF(G314&lt;=Forudsætninger!$H$97,Forudsætninger!$H$98,IF(G314&lt;=Forudsætninger!$I$97,Forudsætninger!$I$98,Forudsætninger!$I$98))))))))</f>
        <v>4.4000000000000004</v>
      </c>
      <c r="AG314" s="1">
        <f t="shared" si="122"/>
        <v>4.4000000000000004</v>
      </c>
      <c r="AH314" s="1">
        <f t="shared" si="126"/>
        <v>1047.9999999999964</v>
      </c>
      <c r="AI314" s="1">
        <f t="shared" si="113"/>
        <v>3.3589743589743475</v>
      </c>
      <c r="AJ314" s="20">
        <f>+(W314*Forudsætninger!$C$12)</f>
        <v>900</v>
      </c>
      <c r="AK314" s="20">
        <f>Forudsætninger!$C$17</f>
        <v>250</v>
      </c>
      <c r="AL314" s="20">
        <f>IF(A314&lt;92,Forudsætninger!$C$20,Forudsætninger!$C$21)</f>
        <v>1.0566762728146013</v>
      </c>
      <c r="AM314" s="20">
        <f t="shared" si="123"/>
        <v>598.18847997144553</v>
      </c>
      <c r="AN314" s="20">
        <f>IFERROR(AD314+AJ314-AA314-Z314-AK314-AM314-Forudsætninger!$C$75,-99999999)</f>
        <v>1457.8159091557015</v>
      </c>
      <c r="AO314" s="19">
        <f>IFERROR(AN314/(A314+Forudsætninger!$C$74),-99999999)</f>
        <v>4.6724868883195558</v>
      </c>
      <c r="AP314" s="19">
        <f>IFERROR(((365/(A314+Forudsætninger!$C$74))*AN314)/(AI314+Forudsætninger!$C$73),-9999999)</f>
        <v>491.63168641606262</v>
      </c>
      <c r="AQ314" s="18">
        <f t="shared" si="114"/>
        <v>312</v>
      </c>
      <c r="AR314" s="18">
        <f t="shared" si="124"/>
        <v>7663.533884585594</v>
      </c>
      <c r="AS314" s="52">
        <f t="shared" si="105"/>
        <v>11.5</v>
      </c>
      <c r="AT314" s="50">
        <f t="shared" si="127"/>
        <v>-1.2180901096023717</v>
      </c>
      <c r="AU314" s="50">
        <f t="shared" si="128"/>
        <v>-1.8940762051196103E-2</v>
      </c>
      <c r="AV314" s="2">
        <f t="shared" si="129"/>
        <v>-2.4696948402235535</v>
      </c>
      <c r="AW314" s="61">
        <f t="shared" si="125"/>
        <v>6.5897576574588044</v>
      </c>
      <c r="BA314" s="16"/>
      <c r="BB314" s="2"/>
    </row>
    <row r="315" spans="1:54" x14ac:dyDescent="0.25">
      <c r="A315">
        <v>313</v>
      </c>
      <c r="B315" s="1">
        <f>ROUND((A315+Forudsætninger!$C$60)/30.4,1)</f>
        <v>11.6</v>
      </c>
      <c r="C315" s="1">
        <f>VLOOKUP((A315+Forudsætninger!$C$60),'Model tilvækst, slagteform, fe'!A:B,2,FALSE)</f>
        <v>495.6852715508146</v>
      </c>
      <c r="D315" s="3">
        <f t="shared" si="115"/>
        <v>1037.8682118117126</v>
      </c>
      <c r="E315" s="1">
        <f>(1+Forudsætninger!$C$78)*C315</f>
        <v>460.98730254225757</v>
      </c>
      <c r="F315" s="2">
        <f t="shared" si="116"/>
        <v>0</v>
      </c>
      <c r="G315" s="1">
        <f t="shared" si="106"/>
        <v>460.98730254225757</v>
      </c>
      <c r="H315" s="3">
        <f t="shared" si="107"/>
        <v>965.21743698491491</v>
      </c>
      <c r="I315" s="3">
        <f t="shared" si="108"/>
        <v>1252.3555991765418</v>
      </c>
      <c r="J315" s="1">
        <f>VLOOKUP((A315+Forudsætninger!$C$60),'Model tilvækst, slagteform, fe'!G:K,2,FALSE)*(1+Forudsætninger!$C$79)</f>
        <v>51.288890351179617</v>
      </c>
      <c r="K315" s="17">
        <f t="shared" si="104"/>
        <v>236.43527213375913</v>
      </c>
      <c r="L315" s="17">
        <f t="shared" si="117"/>
        <v>534.10366928002873</v>
      </c>
      <c r="M315" s="3">
        <f>((K315-(('Model tilvækst, slagteform, fe'!$H$9/100)*'Model tilvækst, slagteform, fe'!$B$9))*1000/(A315+Forudsætninger!$C$60))</f>
        <v>613.60331848110854</v>
      </c>
      <c r="N315" s="17">
        <f t="shared" si="118"/>
        <v>1892.0978752477542</v>
      </c>
      <c r="O315" s="19">
        <f>IF( A315&lt;Forudsætninger!$C$14,(G315/100)*Forudsætninger!$C$13,(Forudsætninger!$C$15/1000)*Forudsætninger!$C$13)</f>
        <v>2.9964174665246741</v>
      </c>
      <c r="P315" s="17" cm="1">
        <f t="array" ref="P315">INDEX('Model tilvækst, slagteform, fe'!$N$9:$N$375,MATCH(MIN(ABS('Model tilvækst, slagteform, fe'!$M$9:$M$375-'Vækstfunktion, hol'!G315)),ABS('Model tilvækst, slagteform, fe'!$M$9:$M$375-'Vækstfunktion, hol'!G315),0))*(1+Forudsætninger!$C$80)</f>
        <v>8.3743769686810285</v>
      </c>
      <c r="Q315" s="17">
        <f t="shared" si="119"/>
        <v>15.679309936158427</v>
      </c>
      <c r="R315" s="17">
        <f t="shared" si="120"/>
        <v>9.2606647326936553</v>
      </c>
      <c r="S315" s="17">
        <f t="shared" si="109"/>
        <v>4.8269366455914211</v>
      </c>
      <c r="T315" s="19">
        <f>(P315)*IF(N315&lt;Forudsætninger!$B$228,IF(N315&lt;Forudsætninger!$B$227,Forudsætninger!$B$225,Forudsætninger!$C$9),Forudsætninger!$C$11)+O315</f>
        <v>22.59245957323828</v>
      </c>
      <c r="U315" s="2">
        <f>Forudsætninger!$C$68+((K315-(Forudsætninger!$C$84)))*0.01</f>
        <v>4.0614055803262312</v>
      </c>
      <c r="V315" s="2">
        <f>U315+Forudsætninger!$C$69</f>
        <v>3.0614055803262312</v>
      </c>
      <c r="W315">
        <f t="shared" si="110"/>
        <v>1</v>
      </c>
      <c r="X315">
        <f>IF(A315+Forudsætninger!$C$60&gt;248,IF(A315+Forudsætninger!$C$60&lt;365,IF(K315&gt;180,IF(K315&lt;260,1,0),0),0),0)</f>
        <v>1</v>
      </c>
      <c r="Y315" s="22">
        <f>IF(X315=0,0,IF('Vækstfunktion, hol'!A315&lt;Forudsætninger!$C$66,Forudsætninger!$C$67+(('Vækstfunktion, hol'!A315-Forudsætninger!$C$66)/7)*Forudsætninger!$C$64,Forudsætninger!$C$67))</f>
        <v>0.95</v>
      </c>
      <c r="Z315" s="19">
        <f t="shared" si="121"/>
        <v>5487.9378641873873</v>
      </c>
      <c r="AA315" s="19">
        <f>Forudsætninger!$C$62+Forudsætninger!$C$16</f>
        <v>1350</v>
      </c>
      <c r="AB315" s="19">
        <f>IF(K315&gt;Forudsætninger!$C$26,IF(K315&gt;Forudsætninger!$C$27,IF(K315&gt;Forudsætninger!$C$28,Forudsætninger!$E$28,Forudsætninger!$E$27+Forudsætninger!$F$28*(K315-Forudsætninger!$C$27)),Forudsætninger!$E$26+Forudsætninger!$F$27*(K315-Forudsætninger!$C$26)),Forudsætninger!$E$26)+IF(K315&gt;Forudsætninger!$C$28,Forudsætninger!$G$28,IF(K315&gt;Forudsætninger!$C$27,Forudsætninger!$G$27+Forudsætninger!$H$28*(K315-Forudsætninger!$C$27),IF(K315&gt;Forudsætninger!$C$26,Forudsætninger!$G$26+Forudsætninger!$H$27*(K315-Forudsætninger!$C$26),Forudsætninger!$G$26)))*(U315-Forudsætninger!$H$26)</f>
        <v>35.991715537752654</v>
      </c>
      <c r="AC315" s="19">
        <f>IF(K315&gt;Forudsætninger!$C$31,IF(K315&gt;Forudsætninger!$C$32,IF(K315&gt;Forudsætninger!$C$33,Forudsætninger!$E$33,Forudsætninger!$E$32+Forudsætninger!$F$33*(K315-Forudsætninger!$C$32)),Forudsætninger!$E$31+Forudsætninger!$F$32*(K315-Forudsætninger!$C$31)),Forudsætninger!$E$31)+IF(K315&gt;Forudsætninger!$C$33,Forudsætninger!$G$33,IF(K315&gt;Forudsætninger!$C$32,Forudsætninger!$G$32+Forudsætninger!$H$33*(K315-Forudsætninger!$C$32),IF(K315&gt;Forudsætninger!$C$31,Forudsætninger!$G$31+Forudsætninger!$H$32*(K315-Forudsætninger!$C$31),Forudsætninger!$G$31)))*(V315-Forudsætninger!$H$31)</f>
        <v>28.917966352569046</v>
      </c>
      <c r="AD315" s="19">
        <f t="shared" si="111"/>
        <v>8426.0868670491545</v>
      </c>
      <c r="AE315" s="19">
        <f t="shared" si="112"/>
        <v>35.638028078493477</v>
      </c>
      <c r="AF315">
        <f>IF(G315&lt;=Forudsætninger!$C$97,Forudsætninger!$C$98,(IF(G315&lt;=Forudsætninger!$D$97,Forudsætninger!$D$98,IF(G315&lt;=Forudsætninger!$E$97,Forudsætninger!$E$98,IF(G315&lt;=Forudsætninger!$F$97,Forudsætninger!$F$98,IF(G315&lt;=Forudsætninger!$G$97,Forudsætninger!$G$98,IF(G315&lt;=Forudsætninger!$H$97,Forudsætninger!$H$98,IF(G315&lt;=Forudsætninger!$I$97,Forudsætninger!$I$98,Forudsætninger!$I$98))))))))</f>
        <v>4.4000000000000004</v>
      </c>
      <c r="AG315" s="1">
        <f t="shared" si="122"/>
        <v>4.4000000000000004</v>
      </c>
      <c r="AH315" s="1">
        <f t="shared" si="126"/>
        <v>1052.3999999999965</v>
      </c>
      <c r="AI315" s="1">
        <f t="shared" si="113"/>
        <v>3.3623003194888064</v>
      </c>
      <c r="AJ315" s="20">
        <f>+(W315*Forudsætninger!$C$12)</f>
        <v>900</v>
      </c>
      <c r="AK315" s="20">
        <f>Forudsætninger!$C$17</f>
        <v>250</v>
      </c>
      <c r="AL315" s="20">
        <f>IF(A315&lt;92,Forudsætninger!$C$20,Forudsætninger!$C$21)</f>
        <v>1.0566762728146013</v>
      </c>
      <c r="AM315" s="20">
        <f t="shared" si="123"/>
        <v>599.2451562442601</v>
      </c>
      <c r="AN315" s="20">
        <f>IFERROR(AD315+AJ315-AA315-Z315-AK315-AM315-Forudsætninger!$C$75,-99999999)</f>
        <v>1456.5096540681125</v>
      </c>
      <c r="AO315" s="19">
        <f>IFERROR(AN315/(A315+Forudsætninger!$C$74),-99999999)</f>
        <v>4.6533854762559503</v>
      </c>
      <c r="AP315" s="19">
        <f>IFERROR(((365/(A315+Forudsætninger!$C$74))*AN315)/(AI315+Forudsætninger!$C$73),-9999999)</f>
        <v>489.15287923121628</v>
      </c>
      <c r="AQ315" s="18">
        <f t="shared" si="114"/>
        <v>313</v>
      </c>
      <c r="AR315" s="18">
        <f t="shared" si="124"/>
        <v>7687.1830204316475</v>
      </c>
      <c r="AS315" s="52">
        <f t="shared" si="105"/>
        <v>11.6</v>
      </c>
      <c r="AT315" s="50">
        <f t="shared" si="127"/>
        <v>-1.3062550875890793</v>
      </c>
      <c r="AU315" s="50">
        <f t="shared" si="128"/>
        <v>-1.9101412063605494E-2</v>
      </c>
      <c r="AV315" s="2">
        <f t="shared" si="129"/>
        <v>-2.478807184846346</v>
      </c>
      <c r="AW315" s="61">
        <f t="shared" si="125"/>
        <v>6.5679067422120534</v>
      </c>
      <c r="BA315" s="16"/>
      <c r="BB315" s="2"/>
    </row>
    <row r="316" spans="1:54" x14ac:dyDescent="0.25">
      <c r="A316">
        <v>314</v>
      </c>
      <c r="B316" s="1">
        <f>ROUND((A316+Forudsætninger!$C$60)/30.4,1)</f>
        <v>11.6</v>
      </c>
      <c r="C316" s="1">
        <f>VLOOKUP((A316+Forudsætninger!$C$60),'Model tilvækst, slagteform, fe'!A:B,2,FALSE)</f>
        <v>496.71954769361508</v>
      </c>
      <c r="D316" s="3">
        <f t="shared" si="115"/>
        <v>1034.2761428004792</v>
      </c>
      <c r="E316" s="1">
        <f>(1+Forudsætninger!$C$78)*C316</f>
        <v>461.94917935506197</v>
      </c>
      <c r="F316" s="2">
        <f t="shared" si="116"/>
        <v>0</v>
      </c>
      <c r="G316" s="1">
        <f t="shared" si="106"/>
        <v>461.94917935506197</v>
      </c>
      <c r="H316" s="3">
        <f t="shared" si="107"/>
        <v>961.87681280440529</v>
      </c>
      <c r="I316" s="3">
        <f t="shared" si="108"/>
        <v>1251.4305075001973</v>
      </c>
      <c r="J316" s="1">
        <f>VLOOKUP((A316+Forudsætninger!$C$60),'Model tilvækst, slagteform, fe'!G:K,2,FALSE)*(1+Forudsætninger!$C$79)</f>
        <v>51.297383528234342</v>
      </c>
      <c r="K316" s="17">
        <f t="shared" si="104"/>
        <v>236.96784223929728</v>
      </c>
      <c r="L316" s="17">
        <f t="shared" si="117"/>
        <v>532.57010553815576</v>
      </c>
      <c r="M316" s="3">
        <f>((K316-(('Model tilvækst, slagteform, fe'!$H$9/100)*'Model tilvækst, slagteform, fe'!$B$9))*1000/(A316+Forudsætninger!$C$60))</f>
        <v>613.37376263707768</v>
      </c>
      <c r="N316" s="17">
        <f t="shared" si="118"/>
        <v>1900.4859673428139</v>
      </c>
      <c r="O316" s="19">
        <f>IF( A316&lt;Forudsætninger!$C$14,(G316/100)*Forudsætninger!$C$13,(Forudsætninger!$C$15/1000)*Forudsætninger!$C$13)</f>
        <v>3.0026696658079031</v>
      </c>
      <c r="P316" s="17" cm="1">
        <f t="array" ref="P316">INDEX('Model tilvækst, slagteform, fe'!$N$9:$N$375,MATCH(MIN(ABS('Model tilvækst, slagteform, fe'!$M$9:$M$375-'Vækstfunktion, hol'!G316)),ABS('Model tilvækst, slagteform, fe'!$M$9:$M$375-'Vækstfunktion, hol'!G316),0))*(1+Forudsætninger!$C$80)</f>
        <v>8.3880920950596281</v>
      </c>
      <c r="Q316" s="17">
        <f t="shared" si="119"/>
        <v>15.75021205252135</v>
      </c>
      <c r="R316" s="17">
        <f t="shared" si="120"/>
        <v>9.2775364461227561</v>
      </c>
      <c r="S316" s="17">
        <f t="shared" si="109"/>
        <v>4.8364675820472147</v>
      </c>
      <c r="T316" s="19">
        <f>(P316)*IF(N316&lt;Forudsætninger!$B$228,IF(N316&lt;Forudsætninger!$B$227,Forudsætninger!$B$225,Forudsætninger!$C$9),Forudsætninger!$C$11)+O316</f>
        <v>22.630805168247431</v>
      </c>
      <c r="U316" s="2">
        <f>Forudsætninger!$C$68+((K316-(Forudsætninger!$C$84)))*0.01</f>
        <v>4.066731281381613</v>
      </c>
      <c r="V316" s="2">
        <f>U316+Forudsætninger!$C$69</f>
        <v>3.066731281381613</v>
      </c>
      <c r="W316">
        <f t="shared" si="110"/>
        <v>1</v>
      </c>
      <c r="X316">
        <f>IF(A316+Forudsætninger!$C$60&gt;248,IF(A316+Forudsætninger!$C$60&lt;365,IF(K316&gt;180,IF(K316&lt;260,1,0),0),0),0)</f>
        <v>1</v>
      </c>
      <c r="Y316" s="22">
        <f>IF(X316=0,0,IF('Vækstfunktion, hol'!A316&lt;Forudsætninger!$C$66,Forudsætninger!$C$67+(('Vækstfunktion, hol'!A316-Forudsætninger!$C$66)/7)*Forudsætninger!$C$64,Forudsætninger!$C$67))</f>
        <v>0.95</v>
      </c>
      <c r="Z316" s="19">
        <f t="shared" si="121"/>
        <v>5510.5686693556345</v>
      </c>
      <c r="AA316" s="19">
        <f>Forudsætninger!$C$62+Forudsætninger!$C$16</f>
        <v>1350</v>
      </c>
      <c r="AB316" s="19">
        <f>IF(K316&gt;Forudsætninger!$C$26,IF(K316&gt;Forudsætninger!$C$27,IF(K316&gt;Forudsætninger!$C$28,Forudsætninger!$E$28,Forudsætninger!$E$27+Forudsætninger!$F$28*(K316-Forudsætninger!$C$27)),Forudsætninger!$E$26+Forudsætninger!$F$27*(K316-Forudsætninger!$C$26)),Forudsætninger!$E$26)+IF(K316&gt;Forudsætninger!$C$28,Forudsætninger!$G$28,IF(K316&gt;Forudsætninger!$C$27,Forudsætninger!$G$27+Forudsætninger!$H$28*(K316-Forudsætninger!$C$27),IF(K316&gt;Forudsætninger!$C$26,Forudsætninger!$G$26+Forudsætninger!$H$27*(K316-Forudsætninger!$C$26),Forudsætninger!$G$26)))*(U316-Forudsætninger!$H$26)</f>
        <v>36.005695503023041</v>
      </c>
      <c r="AC316" s="19">
        <f>IF(K316&gt;Forudsætninger!$C$31,IF(K316&gt;Forudsætninger!$C$32,IF(K316&gt;Forudsætninger!$C$33,Forudsætninger!$E$33,Forudsætninger!$E$32+Forudsætninger!$F$33*(K316-Forudsætninger!$C$32)),Forudsætninger!$E$31+Forudsætninger!$F$32*(K316-Forudsætninger!$C$31)),Forudsætninger!$E$31)+IF(K316&gt;Forudsætninger!$C$33,Forudsætninger!$G$33,IF(K316&gt;Forudsætninger!$C$32,Forudsætninger!$G$32+Forudsætninger!$H$33*(K316-Forudsætninger!$C$32),IF(K316&gt;Forudsætninger!$C$31,Forudsætninger!$G$31+Forudsætninger!$H$32*(K316-Forudsætninger!$C$31),Forudsætninger!$G$31)))*(V316-Forudsætninger!$H$31)</f>
        <v>28.932017381326023</v>
      </c>
      <c r="AD316" s="19">
        <f t="shared" si="111"/>
        <v>8448.3802596168462</v>
      </c>
      <c r="AE316" s="19">
        <f t="shared" si="112"/>
        <v>35.652011596938188</v>
      </c>
      <c r="AF316">
        <f>IF(G316&lt;=Forudsætninger!$C$97,Forudsætninger!$C$98,(IF(G316&lt;=Forudsætninger!$D$97,Forudsætninger!$D$98,IF(G316&lt;=Forudsætninger!$E$97,Forudsætninger!$E$98,IF(G316&lt;=Forudsætninger!$F$97,Forudsætninger!$F$98,IF(G316&lt;=Forudsætninger!$G$97,Forudsætninger!$G$98,IF(G316&lt;=Forudsætninger!$H$97,Forudsætninger!$H$98,IF(G316&lt;=Forudsætninger!$I$97,Forudsætninger!$I$98,Forudsætninger!$I$98))))))))</f>
        <v>4.4000000000000004</v>
      </c>
      <c r="AG316" s="1">
        <f t="shared" si="122"/>
        <v>4.4000000000000004</v>
      </c>
      <c r="AH316" s="1">
        <f t="shared" si="126"/>
        <v>1056.7999999999965</v>
      </c>
      <c r="AI316" s="1">
        <f t="shared" si="113"/>
        <v>3.3656050955413903</v>
      </c>
      <c r="AJ316" s="20">
        <f>+(W316*Forudsætninger!$C$12)</f>
        <v>900</v>
      </c>
      <c r="AK316" s="20">
        <f>Forudsætninger!$C$17</f>
        <v>250</v>
      </c>
      <c r="AL316" s="20">
        <f>IF(A316&lt;92,Forudsætninger!$C$20,Forudsætninger!$C$21)</f>
        <v>1.0566762728146013</v>
      </c>
      <c r="AM316" s="20">
        <f t="shared" si="123"/>
        <v>600.30183251707467</v>
      </c>
      <c r="AN316" s="20">
        <f>IFERROR(AD316+AJ316-AA316-Z316-AK316-AM316-Forudsætninger!$C$75,-99999999)</f>
        <v>1455.1155651947424</v>
      </c>
      <c r="AO316" s="19">
        <f>IFERROR(AN316/(A316+Forudsætninger!$C$74),-99999999)</f>
        <v>4.6341260038049121</v>
      </c>
      <c r="AP316" s="19">
        <f>IFERROR(((365/(A316+Forudsætninger!$C$74))*AN316)/(AI316+Forudsætninger!$C$73),-9999999)</f>
        <v>486.66518344061677</v>
      </c>
      <c r="AQ316" s="18">
        <f t="shared" si="114"/>
        <v>314</v>
      </c>
      <c r="AR316" s="18">
        <f t="shared" si="124"/>
        <v>7710.8705018727087</v>
      </c>
      <c r="AS316" s="52">
        <f t="shared" si="105"/>
        <v>11.6</v>
      </c>
      <c r="AT316" s="50">
        <f t="shared" si="127"/>
        <v>-1.3940888733700376</v>
      </c>
      <c r="AU316" s="50">
        <f t="shared" si="128"/>
        <v>-1.9259472451038206E-2</v>
      </c>
      <c r="AV316" s="2">
        <f t="shared" si="129"/>
        <v>-2.4876957905995027</v>
      </c>
      <c r="AW316" s="61">
        <f t="shared" si="125"/>
        <v>6.545915279336997</v>
      </c>
      <c r="BA316" s="16"/>
      <c r="BB316" s="2"/>
    </row>
    <row r="317" spans="1:54" x14ac:dyDescent="0.25">
      <c r="A317">
        <v>315</v>
      </c>
      <c r="B317" s="1">
        <f>ROUND((A317+Forudsætninger!$C$60)/30.4,1)</f>
        <v>11.6</v>
      </c>
      <c r="C317" s="1">
        <f>VLOOKUP((A317+Forudsætninger!$C$60),'Model tilvækst, slagteform, fe'!A:B,2,FALSE)</f>
        <v>497.75026021191559</v>
      </c>
      <c r="D317" s="3">
        <f t="shared" si="115"/>
        <v>1030.7125183005041</v>
      </c>
      <c r="E317" s="1">
        <f>(1+Forudsætninger!$C$78)*C317</f>
        <v>462.90774199708147</v>
      </c>
      <c r="F317" s="2">
        <f t="shared" si="116"/>
        <v>0</v>
      </c>
      <c r="G317" s="1">
        <f t="shared" si="106"/>
        <v>462.90774199708147</v>
      </c>
      <c r="H317" s="3">
        <f t="shared" si="107"/>
        <v>958.56264201950125</v>
      </c>
      <c r="I317" s="3">
        <f t="shared" si="108"/>
        <v>1250.5007682447031</v>
      </c>
      <c r="J317" s="1">
        <f>VLOOKUP((A317+Forudsætninger!$C$60),'Model tilvækst, slagteform, fe'!G:K,2,FALSE)*(1+Forudsætninger!$C$79)</f>
        <v>51.305879961956606</v>
      </c>
      <c r="K317" s="17">
        <f t="shared" si="104"/>
        <v>237.49889044362638</v>
      </c>
      <c r="L317" s="17">
        <f t="shared" si="117"/>
        <v>531.04820432909605</v>
      </c>
      <c r="M317" s="3">
        <f>((K317-(('Model tilvækst, slagteform, fe'!$H$9/100)*'Model tilvækst, slagteform, fe'!$B$9))*1000/(A317+Forudsætninger!$C$60))</f>
        <v>613.14120456276123</v>
      </c>
      <c r="N317" s="17">
        <f t="shared" si="118"/>
        <v>1908.8877894621742</v>
      </c>
      <c r="O317" s="19">
        <f>IF( A317&lt;Forudsætninger!$C$14,(G317/100)*Forudsætninger!$C$13,(Forudsætninger!$C$15/1000)*Forudsætninger!$C$13)</f>
        <v>3.0089003229810301</v>
      </c>
      <c r="P317" s="17" cm="1">
        <f t="array" ref="P317">INDEX('Model tilvækst, slagteform, fe'!$N$9:$N$375,MATCH(MIN(ABS('Model tilvækst, slagteform, fe'!$M$9:$M$375-'Vækstfunktion, hol'!G317)),ABS('Model tilvækst, slagteform, fe'!$M$9:$M$375-'Vækstfunktion, hol'!G317),0))*(1+Forudsætninger!$C$80)</f>
        <v>8.4018221193603218</v>
      </c>
      <c r="Q317" s="17">
        <f t="shared" si="119"/>
        <v>15.821204272736088</v>
      </c>
      <c r="R317" s="17">
        <f t="shared" si="120"/>
        <v>9.2944563847669333</v>
      </c>
      <c r="S317" s="17">
        <f t="shared" si="109"/>
        <v>4.8460275997223672</v>
      </c>
      <c r="T317" s="19">
        <f>(P317)*IF(N317&lt;Forudsætninger!$B$228,IF(N317&lt;Forudsætninger!$B$227,Forudsætninger!$B$225,Forudsætninger!$C$9),Forudsætninger!$C$11)+O317</f>
        <v>22.669164082284183</v>
      </c>
      <c r="U317" s="2">
        <f>Forudsætninger!$C$68+((K317-(Forudsætninger!$C$84)))*0.01</f>
        <v>4.0720417634249042</v>
      </c>
      <c r="V317" s="2">
        <f>U317+Forudsætninger!$C$69</f>
        <v>3.0720417634249042</v>
      </c>
      <c r="W317">
        <f t="shared" si="110"/>
        <v>1</v>
      </c>
      <c r="X317">
        <f>IF(A317+Forudsætninger!$C$60&gt;248,IF(A317+Forudsætninger!$C$60&lt;365,IF(K317&gt;180,IF(K317&lt;260,1,0),0),0),0)</f>
        <v>1</v>
      </c>
      <c r="Y317" s="22">
        <f>IF(X317=0,0,IF('Vækstfunktion, hol'!A317&lt;Forudsætninger!$C$66,Forudsætninger!$C$67+(('Vækstfunktion, hol'!A317-Forudsætninger!$C$66)/7)*Forudsætninger!$C$64,Forudsætninger!$C$67))</f>
        <v>0.95</v>
      </c>
      <c r="Z317" s="19">
        <f t="shared" si="121"/>
        <v>5533.2378334379191</v>
      </c>
      <c r="AA317" s="19">
        <f>Forudsætninger!$C$62+Forudsætninger!$C$16</f>
        <v>1350</v>
      </c>
      <c r="AB317" s="19">
        <f>IF(K317&gt;Forudsætninger!$C$26,IF(K317&gt;Forudsætninger!$C$27,IF(K317&gt;Forudsætninger!$C$28,Forudsætninger!$E$28,Forudsætninger!$E$27+Forudsætninger!$F$28*(K317-Forudsætninger!$C$27)),Forudsætninger!$E$26+Forudsætninger!$F$27*(K317-Forudsætninger!$C$26)),Forudsætninger!$E$26)+IF(K317&gt;Forudsætninger!$C$28,Forudsætninger!$G$28,IF(K317&gt;Forudsætninger!$C$27,Forudsætninger!$G$27+Forudsætninger!$H$28*(K317-Forudsætninger!$C$27),IF(K317&gt;Forudsætninger!$C$26,Forudsætninger!$G$26+Forudsætninger!$H$27*(K317-Forudsætninger!$C$26),Forudsætninger!$G$26)))*(U317-Forudsætninger!$H$26)</f>
        <v>36.019635518386671</v>
      </c>
      <c r="AC317" s="19">
        <f>IF(K317&gt;Forudsætninger!$C$31,IF(K317&gt;Forudsætninger!$C$32,IF(K317&gt;Forudsætninger!$C$33,Forudsætninger!$E$33,Forudsætninger!$E$32+Forudsætninger!$F$33*(K317-Forudsætninger!$C$32)),Forudsætninger!$E$31+Forudsætninger!$F$32*(K317-Forudsætninger!$C$31)),Forudsætninger!$E$31)+IF(K317&gt;Forudsætninger!$C$33,Forudsætninger!$G$33,IF(K317&gt;Forudsætninger!$C$32,Forudsætninger!$G$32+Forudsætninger!$H$33*(K317-Forudsætninger!$C$32),IF(K317&gt;Forudsætninger!$C$31,Forudsætninger!$G$31+Forudsætninger!$H$32*(K317-Forudsætninger!$C$31),Forudsætninger!$G$31)))*(V317-Forudsætninger!$H$31)</f>
        <v>28.946007075879137</v>
      </c>
      <c r="AD317" s="19">
        <f t="shared" si="111"/>
        <v>8470.6245244753682</v>
      </c>
      <c r="AE317" s="19">
        <f t="shared" si="112"/>
        <v>35.665954096261295</v>
      </c>
      <c r="AF317">
        <f>IF(G317&lt;=Forudsætninger!$C$97,Forudsætninger!$C$98,(IF(G317&lt;=Forudsætninger!$D$97,Forudsætninger!$D$98,IF(G317&lt;=Forudsætninger!$E$97,Forudsætninger!$E$98,IF(G317&lt;=Forudsætninger!$F$97,Forudsætninger!$F$98,IF(G317&lt;=Forudsætninger!$G$97,Forudsætninger!$G$98,IF(G317&lt;=Forudsætninger!$H$97,Forudsætninger!$H$98,IF(G317&lt;=Forudsætninger!$I$97,Forudsætninger!$I$98,Forudsætninger!$I$98))))))))</f>
        <v>4.4000000000000004</v>
      </c>
      <c r="AG317" s="1">
        <f t="shared" si="122"/>
        <v>4.4000000000000004</v>
      </c>
      <c r="AH317" s="1">
        <f t="shared" si="126"/>
        <v>1061.1999999999966</v>
      </c>
      <c r="AI317" s="1">
        <f t="shared" si="113"/>
        <v>3.3688888888888782</v>
      </c>
      <c r="AJ317" s="20">
        <f>+(W317*Forudsætninger!$C$12)</f>
        <v>900</v>
      </c>
      <c r="AK317" s="20">
        <f>Forudsætninger!$C$17</f>
        <v>250</v>
      </c>
      <c r="AL317" s="20">
        <f>IF(A317&lt;92,Forudsætninger!$C$20,Forudsætninger!$C$21)</f>
        <v>1.0566762728146013</v>
      </c>
      <c r="AM317" s="20">
        <f t="shared" si="123"/>
        <v>601.35850878988924</v>
      </c>
      <c r="AN317" s="20">
        <f>IFERROR(AD317+AJ317-AA317-Z317-AK317-AM317-Forudsætninger!$C$75,-99999999)</f>
        <v>1453.6339896981654</v>
      </c>
      <c r="AO317" s="19">
        <f>IFERROR(AN317/(A317+Forudsætninger!$C$74),-99999999)</f>
        <v>4.6147110784068746</v>
      </c>
      <c r="AP317" s="19">
        <f>IFERROR(((365/(A317+Forudsætninger!$C$74))*AN317)/(AI317+Forudsætninger!$C$73),-9999999)</f>
        <v>484.16882441924719</v>
      </c>
      <c r="AQ317" s="18">
        <f t="shared" si="114"/>
        <v>315</v>
      </c>
      <c r="AR317" s="18">
        <f t="shared" si="124"/>
        <v>7734.5963422278082</v>
      </c>
      <c r="AS317" s="52">
        <f t="shared" si="105"/>
        <v>11.6</v>
      </c>
      <c r="AT317" s="50">
        <f t="shared" si="127"/>
        <v>-1.4815754965770793</v>
      </c>
      <c r="AU317" s="50">
        <f t="shared" si="128"/>
        <v>-1.9414925398037575E-2</v>
      </c>
      <c r="AV317" s="2">
        <f t="shared" si="129"/>
        <v>-2.4963590213695852</v>
      </c>
      <c r="AW317" s="61">
        <f t="shared" si="125"/>
        <v>6.5237857094858871</v>
      </c>
      <c r="BA317" s="16"/>
      <c r="BB317" s="2"/>
    </row>
    <row r="318" spans="1:54" x14ac:dyDescent="0.25">
      <c r="A318">
        <v>316</v>
      </c>
      <c r="B318" s="1">
        <f>ROUND((A318+Forudsætninger!$C$60)/30.4,1)</f>
        <v>11.7</v>
      </c>
      <c r="C318" s="1">
        <f>VLOOKUP((A318+Forudsætninger!$C$60),'Model tilvækst, slagteform, fe'!A:B,2,FALSE)</f>
        <v>498.77743808457609</v>
      </c>
      <c r="D318" s="3">
        <f t="shared" si="115"/>
        <v>1027.1778726605021</v>
      </c>
      <c r="E318" s="1">
        <f>(1+Forudsætninger!$C$78)*C318</f>
        <v>463.86301741865572</v>
      </c>
      <c r="F318" s="2">
        <f t="shared" si="116"/>
        <v>0</v>
      </c>
      <c r="G318" s="1">
        <f t="shared" si="106"/>
        <v>463.86301741865572</v>
      </c>
      <c r="H318" s="3">
        <f t="shared" si="107"/>
        <v>955.2754215742425</v>
      </c>
      <c r="I318" s="3">
        <f t="shared" si="108"/>
        <v>1249.5665108185308</v>
      </c>
      <c r="J318" s="1">
        <f>VLOOKUP((A318+Forudsætninger!$C$60),'Model tilvækst, slagteform, fe'!G:K,2,FALSE)*(1+Forudsætninger!$C$79)</f>
        <v>51.314379401833506</v>
      </c>
      <c r="K318" s="17">
        <f t="shared" si="104"/>
        <v>238.02842866300205</v>
      </c>
      <c r="L318" s="17">
        <f t="shared" si="117"/>
        <v>529.53821937566659</v>
      </c>
      <c r="M318" s="3">
        <f>((K318-(('Model tilvækst, slagteform, fe'!$H$9/100)*'Model tilvækst, slagteform, fe'!$B$9))*1000/(A318+Forudsætninger!$C$60))</f>
        <v>612.90570319603705</v>
      </c>
      <c r="N318" s="17">
        <f t="shared" si="118"/>
        <v>1917.3033548484325</v>
      </c>
      <c r="O318" s="19">
        <f>IF( A318&lt;Forudsætninger!$C$14,(G318/100)*Forudsætninger!$C$13,(Forudsætninger!$C$15/1000)*Forudsætninger!$C$13)</f>
        <v>3.015109613221262</v>
      </c>
      <c r="P318" s="17" cm="1">
        <f t="array" ref="P318">INDEX('Model tilvækst, slagteform, fe'!$N$9:$N$375,MATCH(MIN(ABS('Model tilvækst, slagteform, fe'!$M$9:$M$375-'Vækstfunktion, hol'!G318)),ABS('Model tilvækst, slagteform, fe'!$M$9:$M$375-'Vækstfunktion, hol'!G318),0))*(1+Forudsætninger!$C$80)</f>
        <v>8.4155653862584323</v>
      </c>
      <c r="Q318" s="17">
        <f t="shared" si="119"/>
        <v>15.892271942487001</v>
      </c>
      <c r="R318" s="17">
        <f t="shared" si="120"/>
        <v>9.3114240761205203</v>
      </c>
      <c r="S318" s="17">
        <f t="shared" si="109"/>
        <v>4.8556164296733844</v>
      </c>
      <c r="T318" s="19">
        <f>(P318)*IF(N318&lt;Forudsætninger!$B$228,IF(N318&lt;Forudsætninger!$B$227,Forudsætninger!$B$225,Forudsætninger!$C$9),Forudsætninger!$C$11)+O318</f>
        <v>22.707532617065993</v>
      </c>
      <c r="U318" s="2">
        <f>Forudsætninger!$C$68+((K318-(Forudsætninger!$C$84)))*0.01</f>
        <v>4.0773371456186611</v>
      </c>
      <c r="V318" s="2">
        <f>U318+Forudsætninger!$C$69</f>
        <v>3.0773371456186611</v>
      </c>
      <c r="W318">
        <f t="shared" si="110"/>
        <v>1</v>
      </c>
      <c r="X318">
        <f>IF(A318+Forudsætninger!$C$60&gt;248,IF(A318+Forudsætninger!$C$60&lt;365,IF(K318&gt;180,IF(K318&lt;260,1,0),0),0),0)</f>
        <v>1</v>
      </c>
      <c r="Y318" s="22">
        <f>IF(X318=0,0,IF('Vækstfunktion, hol'!A318&lt;Forudsætninger!$C$66,Forudsætninger!$C$67+(('Vækstfunktion, hol'!A318-Forudsætninger!$C$66)/7)*Forudsætninger!$C$64,Forudsætninger!$C$67))</f>
        <v>0.95</v>
      </c>
      <c r="Z318" s="19">
        <f t="shared" si="121"/>
        <v>5555.9453660549852</v>
      </c>
      <c r="AA318" s="19">
        <f>Forudsætninger!$C$62+Forudsætninger!$C$16</f>
        <v>1350</v>
      </c>
      <c r="AB318" s="19">
        <f>IF(K318&gt;Forudsætninger!$C$26,IF(K318&gt;Forudsætninger!$C$27,IF(K318&gt;Forudsætninger!$C$28,Forudsætninger!$E$28,Forudsætninger!$E$27+Forudsætninger!$F$28*(K318-Forudsætninger!$C$27)),Forudsætninger!$E$26+Forudsætninger!$F$27*(K318-Forudsætninger!$C$26)),Forudsætninger!$E$26)+IF(K318&gt;Forudsætninger!$C$28,Forudsætninger!$G$28,IF(K318&gt;Forudsætninger!$C$27,Forudsætninger!$G$27+Forudsætninger!$H$28*(K318-Forudsætninger!$C$27),IF(K318&gt;Forudsætninger!$C$26,Forudsætninger!$G$26+Forudsætninger!$H$27*(K318-Forudsætninger!$C$26),Forudsætninger!$G$26)))*(U318-Forudsætninger!$H$26)</f>
        <v>36.033535896645283</v>
      </c>
      <c r="AC318" s="19">
        <f>IF(K318&gt;Forudsætninger!$C$31,IF(K318&gt;Forudsætninger!$C$32,IF(K318&gt;Forudsætninger!$C$33,Forudsætninger!$E$33,Forudsætninger!$E$32+Forudsætninger!$F$33*(K318-Forudsætninger!$C$32)),Forudsætninger!$E$31+Forudsætninger!$F$32*(K318-Forudsætninger!$C$31)),Forudsætninger!$E$31)+IF(K318&gt;Forudsætninger!$C$33,Forudsætninger!$G$33,IF(K318&gt;Forudsætninger!$C$32,Forudsætninger!$G$32+Forudsætninger!$H$33*(K318-Forudsætninger!$C$32),IF(K318&gt;Forudsætninger!$C$31,Forudsætninger!$G$31+Forudsætninger!$H$32*(K318-Forudsætninger!$C$31),Forudsætninger!$G$31)))*(V318-Forudsætninger!$H$31)</f>
        <v>28.959935931279944</v>
      </c>
      <c r="AD318" s="19">
        <f t="shared" si="111"/>
        <v>8492.8200344130255</v>
      </c>
      <c r="AE318" s="19">
        <f t="shared" si="112"/>
        <v>35.679855898377014</v>
      </c>
      <c r="AF318">
        <f>IF(G318&lt;=Forudsætninger!$C$97,Forudsætninger!$C$98,(IF(G318&lt;=Forudsætninger!$D$97,Forudsætninger!$D$98,IF(G318&lt;=Forudsætninger!$E$97,Forudsætninger!$E$98,IF(G318&lt;=Forudsætninger!$F$97,Forudsætninger!$F$98,IF(G318&lt;=Forudsætninger!$G$97,Forudsætninger!$G$98,IF(G318&lt;=Forudsætninger!$H$97,Forudsætninger!$H$98,IF(G318&lt;=Forudsætninger!$I$97,Forudsætninger!$I$98,Forudsætninger!$I$98))))))))</f>
        <v>4.4000000000000004</v>
      </c>
      <c r="AG318" s="1">
        <f t="shared" si="122"/>
        <v>4.4000000000000004</v>
      </c>
      <c r="AH318" s="1">
        <f t="shared" si="126"/>
        <v>1065.5999999999967</v>
      </c>
      <c r="AI318" s="1">
        <f t="shared" si="113"/>
        <v>3.3721518987341668</v>
      </c>
      <c r="AJ318" s="20">
        <f>+(W318*Forudsætninger!$C$12)</f>
        <v>900</v>
      </c>
      <c r="AK318" s="20">
        <f>Forudsætninger!$C$17</f>
        <v>250</v>
      </c>
      <c r="AL318" s="20">
        <f>IF(A318&lt;92,Forudsætninger!$C$20,Forudsætninger!$C$21)</f>
        <v>1.0566762728146013</v>
      </c>
      <c r="AM318" s="20">
        <f t="shared" si="123"/>
        <v>602.41518506270381</v>
      </c>
      <c r="AN318" s="20">
        <f>IFERROR(AD318+AJ318-AA318-Z318-AK318-AM318-Forudsætninger!$C$75,-99999999)</f>
        <v>1452.0652907459419</v>
      </c>
      <c r="AO318" s="19">
        <f>IFERROR(AN318/(A318+Forudsætninger!$C$74),-99999999)</f>
        <v>4.5951433251453855</v>
      </c>
      <c r="AP318" s="19">
        <f>IFERROR(((365/(A318+Forudsætninger!$C$74))*AN318)/(AI318+Forudsætninger!$C$73),-9999999)</f>
        <v>481.66402915615834</v>
      </c>
      <c r="AQ318" s="18">
        <f t="shared" si="114"/>
        <v>316</v>
      </c>
      <c r="AR318" s="18">
        <f t="shared" si="124"/>
        <v>7758.3605511176893</v>
      </c>
      <c r="AS318" s="52">
        <f t="shared" si="105"/>
        <v>11.7</v>
      </c>
      <c r="AT318" s="50">
        <f t="shared" si="127"/>
        <v>-1.5686989522234853</v>
      </c>
      <c r="AU318" s="50">
        <f t="shared" si="128"/>
        <v>-1.9567753261489074E-2</v>
      </c>
      <c r="AV318" s="2">
        <f t="shared" si="129"/>
        <v>-2.5047952630888517</v>
      </c>
      <c r="AW318" s="61">
        <f t="shared" si="125"/>
        <v>6.5015204930653345</v>
      </c>
      <c r="BA318" s="16"/>
      <c r="BB318" s="2"/>
    </row>
    <row r="319" spans="1:54" x14ac:dyDescent="0.25">
      <c r="A319">
        <v>317</v>
      </c>
      <c r="B319" s="1">
        <f>ROUND((A319+Forudsætninger!$C$60)/30.4,1)</f>
        <v>11.7</v>
      </c>
      <c r="C319" s="1">
        <f>VLOOKUP((A319+Forudsætninger!$C$60),'Model tilvækst, slagteform, fe'!A:B,2,FALSE)</f>
        <v>499.80111082480329</v>
      </c>
      <c r="D319" s="3">
        <f t="shared" si="115"/>
        <v>1023.6727402271981</v>
      </c>
      <c r="E319" s="1">
        <f>(1+Forudsætninger!$C$78)*C319</f>
        <v>464.81503306706702</v>
      </c>
      <c r="F319" s="2">
        <f t="shared" si="116"/>
        <v>0</v>
      </c>
      <c r="G319" s="1">
        <f t="shared" si="106"/>
        <v>464.81503306706702</v>
      </c>
      <c r="H319" s="3">
        <f t="shared" si="107"/>
        <v>952.01564841130448</v>
      </c>
      <c r="I319" s="3">
        <f t="shared" si="108"/>
        <v>1248.6278645648802</v>
      </c>
      <c r="J319" s="1">
        <f>VLOOKUP((A319+Forudsætninger!$C$60),'Model tilvækst, slagteform, fe'!G:K,2,FALSE)*(1+Forudsætninger!$C$79)</f>
        <v>51.322881597352151</v>
      </c>
      <c r="K319" s="17">
        <f t="shared" si="104"/>
        <v>238.55646906770409</v>
      </c>
      <c r="L319" s="17">
        <f t="shared" si="117"/>
        <v>528.04040470203972</v>
      </c>
      <c r="M319" s="3">
        <f>((K319-(('Model tilvækst, slagteform, fe'!$H$9/100)*'Model tilvækst, slagteform, fe'!$B$9))*1000/(A319+Forudsætninger!$C$60))</f>
        <v>612.66731752611008</v>
      </c>
      <c r="N319" s="17">
        <f t="shared" si="118"/>
        <v>1925.7189202346908</v>
      </c>
      <c r="O319" s="19">
        <f>IF( A319&lt;Forudsætninger!$C$14,(G319/100)*Forudsætninger!$C$13,(Forudsætninger!$C$15/1000)*Forudsætninger!$C$13)</f>
        <v>3.0212977149359359</v>
      </c>
      <c r="P319" s="17" cm="1">
        <f t="array" ref="P319">INDEX('Model tilvækst, slagteform, fe'!$N$9:$N$375,MATCH(MIN(ABS('Model tilvækst, slagteform, fe'!$M$9:$M$375-'Vækstfunktion, hol'!G319)),ABS('Model tilvækst, slagteform, fe'!$M$9:$M$375-'Vækstfunktion, hol'!G319),0))*(1+Forudsætninger!$C$80)</f>
        <v>8.4155653862584323</v>
      </c>
      <c r="Q319" s="17">
        <f t="shared" si="119"/>
        <v>15.937351216536412</v>
      </c>
      <c r="R319" s="17">
        <f t="shared" si="120"/>
        <v>9.3283724013487372</v>
      </c>
      <c r="S319" s="17">
        <f t="shared" si="109"/>
        <v>4.8651990433834698</v>
      </c>
      <c r="T319" s="19">
        <f>(P319)*IF(N319&lt;Forudsætninger!$B$228,IF(N319&lt;Forudsætninger!$B$227,Forudsætninger!$B$225,Forudsætninger!$C$9),Forudsætninger!$C$11)+O319</f>
        <v>22.713720718780667</v>
      </c>
      <c r="U319" s="2">
        <f>Forudsætninger!$C$68+((K319-(Forudsætninger!$C$84)))*0.01</f>
        <v>4.0826175496656809</v>
      </c>
      <c r="V319" s="2">
        <f>U319+Forudsætninger!$C$69</f>
        <v>3.0826175496656809</v>
      </c>
      <c r="W319">
        <f t="shared" si="110"/>
        <v>1</v>
      </c>
      <c r="X319">
        <f>IF(A319+Forudsætninger!$C$60&gt;248,IF(A319+Forudsætninger!$C$60&lt;365,IF(K319&gt;180,IF(K319&lt;260,1,0),0),0),0)</f>
        <v>1</v>
      </c>
      <c r="Y319" s="22">
        <f>IF(X319=0,0,IF('Vækstfunktion, hol'!A319&lt;Forudsætninger!$C$66,Forudsætninger!$C$67+(('Vækstfunktion, hol'!A319-Forudsætninger!$C$66)/7)*Forudsætninger!$C$64,Forudsætninger!$C$67))</f>
        <v>0.95</v>
      </c>
      <c r="Z319" s="19">
        <f t="shared" si="121"/>
        <v>5578.6590867737659</v>
      </c>
      <c r="AA319" s="19">
        <f>Forudsætninger!$C$62+Forudsætninger!$C$16</f>
        <v>1350</v>
      </c>
      <c r="AB319" s="19">
        <f>IF(K319&gt;Forudsætninger!$C$26,IF(K319&gt;Forudsætninger!$C$27,IF(K319&gt;Forudsætninger!$C$28,Forudsætninger!$E$28,Forudsætninger!$E$27+Forudsætninger!$F$28*(K319-Forudsætninger!$C$27)),Forudsætninger!$E$26+Forudsætninger!$F$27*(K319-Forudsætninger!$C$26)),Forudsætninger!$E$26)+IF(K319&gt;Forudsætninger!$C$28,Forudsætninger!$G$28,IF(K319&gt;Forudsætninger!$C$27,Forudsætninger!$G$27+Forudsætninger!$H$28*(K319-Forudsætninger!$C$27),IF(K319&gt;Forudsætninger!$C$26,Forudsætninger!$G$26+Forudsætninger!$H$27*(K319-Forudsætninger!$C$26),Forudsætninger!$G$26)))*(U319-Forudsætninger!$H$26)</f>
        <v>36.047396957268717</v>
      </c>
      <c r="AC319" s="19">
        <f>IF(K319&gt;Forudsætninger!$C$31,IF(K319&gt;Forudsætninger!$C$32,IF(K319&gt;Forudsætninger!$C$33,Forudsætninger!$E$33,Forudsætninger!$E$32+Forudsætninger!$F$33*(K319-Forudsætninger!$C$32)),Forudsætninger!$E$31+Forudsætninger!$F$32*(K319-Forudsætninger!$C$31)),Forudsætninger!$E$31)+IF(K319&gt;Forudsætninger!$C$33,Forudsætninger!$G$33,IF(K319&gt;Forudsætninger!$C$32,Forudsætninger!$G$32+Forudsætninger!$H$33*(K319-Forudsætninger!$C$32),IF(K319&gt;Forudsætninger!$C$31,Forudsætninger!$G$31+Forudsætninger!$H$32*(K319-Forudsætninger!$C$31),Forudsætninger!$G$31)))*(V319-Forudsætninger!$H$31)</f>
        <v>28.973804446837942</v>
      </c>
      <c r="AD319" s="19">
        <f t="shared" si="111"/>
        <v>8514.9671745623182</v>
      </c>
      <c r="AE319" s="19">
        <f t="shared" si="112"/>
        <v>35.693717331747173</v>
      </c>
      <c r="AF319">
        <f>IF(G319&lt;=Forudsætninger!$C$97,Forudsætninger!$C$98,(IF(G319&lt;=Forudsætninger!$D$97,Forudsætninger!$D$98,IF(G319&lt;=Forudsætninger!$E$97,Forudsætninger!$E$98,IF(G319&lt;=Forudsætninger!$F$97,Forudsætninger!$F$98,IF(G319&lt;=Forudsætninger!$G$97,Forudsætninger!$G$98,IF(G319&lt;=Forudsætninger!$H$97,Forudsætninger!$H$98,IF(G319&lt;=Forudsætninger!$I$97,Forudsætninger!$I$98,Forudsætninger!$I$98))))))))</f>
        <v>4.4000000000000004</v>
      </c>
      <c r="AG319" s="1">
        <f t="shared" si="122"/>
        <v>4.4000000000000004</v>
      </c>
      <c r="AH319" s="1">
        <f t="shared" si="126"/>
        <v>1069.9999999999968</v>
      </c>
      <c r="AI319" s="1">
        <f t="shared" si="113"/>
        <v>3.3753943217665516</v>
      </c>
      <c r="AJ319" s="20">
        <f>+(W319*Forudsætninger!$C$12)</f>
        <v>900</v>
      </c>
      <c r="AK319" s="20">
        <f>Forudsætninger!$C$17</f>
        <v>250</v>
      </c>
      <c r="AL319" s="20">
        <f>IF(A319&lt;92,Forudsætninger!$C$20,Forudsætninger!$C$21)</f>
        <v>1.0566762728146013</v>
      </c>
      <c r="AM319" s="20">
        <f t="shared" si="123"/>
        <v>603.47186133551838</v>
      </c>
      <c r="AN319" s="20">
        <f>IFERROR(AD319+AJ319-AA319-Z319-AK319-AM319-Forudsætninger!$C$75,-99999999)</f>
        <v>1450.4420339036392</v>
      </c>
      <c r="AO319" s="19">
        <f>IFERROR(AN319/(A319+Forudsætninger!$C$74),-99999999)</f>
        <v>4.5755269208316696</v>
      </c>
      <c r="AP319" s="19">
        <f>IFERROR(((365/(A319+Forudsætninger!$C$74))*AN319)/(AI319+Forudsætninger!$C$73),-9999999)</f>
        <v>479.16165917694372</v>
      </c>
      <c r="AQ319" s="18">
        <f t="shared" si="114"/>
        <v>317</v>
      </c>
      <c r="AR319" s="18">
        <f t="shared" si="124"/>
        <v>7782.130948109284</v>
      </c>
      <c r="AS319" s="52">
        <f t="shared" si="105"/>
        <v>11.7</v>
      </c>
      <c r="AT319" s="50">
        <f t="shared" si="127"/>
        <v>-1.6232568423026805</v>
      </c>
      <c r="AU319" s="50">
        <f t="shared" si="128"/>
        <v>-1.9616404313715918E-2</v>
      </c>
      <c r="AV319" s="2">
        <f t="shared" si="129"/>
        <v>-2.5023699792146203</v>
      </c>
      <c r="AW319" s="61">
        <f t="shared" si="125"/>
        <v>6.4792236442875639</v>
      </c>
      <c r="BA319" s="16"/>
      <c r="BB319" s="2"/>
    </row>
    <row r="320" spans="1:54" x14ac:dyDescent="0.25">
      <c r="A320">
        <v>318</v>
      </c>
      <c r="B320" s="1">
        <f>ROUND((A320+Forudsætninger!$C$60)/30.4,1)</f>
        <v>11.7</v>
      </c>
      <c r="C320" s="1">
        <f>VLOOKUP((A320+Forudsætninger!$C$60),'Model tilvækst, slagteform, fe'!A:B,2,FALSE)</f>
        <v>500.82130848015134</v>
      </c>
      <c r="D320" s="3">
        <f t="shared" si="115"/>
        <v>1020.1976553480563</v>
      </c>
      <c r="E320" s="1">
        <f>(1+Forudsætninger!$C$78)*C320</f>
        <v>465.76381688654072</v>
      </c>
      <c r="F320" s="2">
        <f t="shared" si="116"/>
        <v>0</v>
      </c>
      <c r="G320" s="1">
        <f t="shared" si="106"/>
        <v>465.76381688654072</v>
      </c>
      <c r="H320" s="3">
        <f t="shared" si="107"/>
        <v>948.78381947370372</v>
      </c>
      <c r="I320" s="3">
        <f t="shared" si="108"/>
        <v>1247.6849587627066</v>
      </c>
      <c r="J320" s="1">
        <f>VLOOKUP((A320+Forudsætninger!$C$60),'Model tilvækst, slagteform, fe'!G:K,2,FALSE)*(1+Forudsætninger!$C$79)</f>
        <v>51.331386297999664</v>
      </c>
      <c r="K320" s="17">
        <f t="shared" si="104"/>
        <v>239.083024082338</v>
      </c>
      <c r="L320" s="17">
        <f t="shared" si="117"/>
        <v>526.55501463391374</v>
      </c>
      <c r="M320" s="3">
        <f>((K320-(('Model tilvækst, slagteform, fe'!$H$9/100)*'Model tilvækst, slagteform, fe'!$B$9))*1000/(A320+Forudsætninger!$C$60))</f>
        <v>612.42610659363902</v>
      </c>
      <c r="N320" s="17">
        <f t="shared" si="118"/>
        <v>1934.14824047512</v>
      </c>
      <c r="O320" s="19">
        <f>IF( A320&lt;Forudsætninger!$C$14,(G320/100)*Forudsætninger!$C$13,(Forudsætninger!$C$15/1000)*Forudsætninger!$C$13)</f>
        <v>3.027464809762515</v>
      </c>
      <c r="P320" s="17" cm="1">
        <f t="array" ref="P320">INDEX('Model tilvækst, slagteform, fe'!$N$9:$N$375,MATCH(MIN(ABS('Model tilvækst, slagteform, fe'!$M$9:$M$375-'Vækstfunktion, hol'!G320)),ABS('Model tilvækst, slagteform, fe'!$M$9:$M$375-'Vækstfunktion, hol'!G320),0))*(1+Forudsætninger!$C$80)</f>
        <v>8.4293202404292824</v>
      </c>
      <c r="Q320" s="17">
        <f t="shared" si="119"/>
        <v>16.008432179284721</v>
      </c>
      <c r="R320" s="17">
        <f t="shared" si="120"/>
        <v>9.3453677759780067</v>
      </c>
      <c r="S320" s="17">
        <f t="shared" si="109"/>
        <v>4.8748100460688244</v>
      </c>
      <c r="T320" s="19">
        <f>(P320)*IF(N320&lt;Forudsætninger!$B$228,IF(N320&lt;Forudsætninger!$B$227,Forudsætninger!$B$225,Forudsætninger!$C$9),Forudsætninger!$C$11)+O320</f>
        <v>22.752074172367031</v>
      </c>
      <c r="U320" s="2">
        <f>Forudsætninger!$C$68+((K320-(Forudsætninger!$C$84)))*0.01</f>
        <v>4.0878830998120206</v>
      </c>
      <c r="V320" s="2">
        <f>U320+Forudsætninger!$C$69</f>
        <v>3.0878830998120206</v>
      </c>
      <c r="W320">
        <f t="shared" si="110"/>
        <v>1</v>
      </c>
      <c r="X320">
        <f>IF(A320+Forudsætninger!$C$60&gt;248,IF(A320+Forudsætninger!$C$60&lt;365,IF(K320&gt;180,IF(K320&lt;260,1,0),0),0),0)</f>
        <v>1</v>
      </c>
      <c r="Y320" s="22">
        <f>IF(X320=0,0,IF('Vækstfunktion, hol'!A320&lt;Forudsætninger!$C$66,Forudsætninger!$C$67+(('Vækstfunktion, hol'!A320-Forudsætninger!$C$66)/7)*Forudsætninger!$C$64,Forudsætninger!$C$67))</f>
        <v>0.95</v>
      </c>
      <c r="Z320" s="19">
        <f t="shared" si="121"/>
        <v>5601.4111609461334</v>
      </c>
      <c r="AA320" s="19">
        <f>Forudsætninger!$C$62+Forudsætninger!$C$16</f>
        <v>1350</v>
      </c>
      <c r="AB320" s="19">
        <f>IF(K320&gt;Forudsætninger!$C$26,IF(K320&gt;Forudsætninger!$C$27,IF(K320&gt;Forudsætninger!$C$28,Forudsætninger!$E$28,Forudsætninger!$E$27+Forudsætninger!$F$28*(K320-Forudsætninger!$C$27)),Forudsætninger!$E$26+Forudsætninger!$F$27*(K320-Forudsætninger!$C$26)),Forudsætninger!$E$26)+IF(K320&gt;Forudsætninger!$C$28,Forudsætninger!$G$28,IF(K320&gt;Forudsætninger!$C$27,Forudsætninger!$G$27+Forudsætninger!$H$28*(K320-Forudsætninger!$C$27),IF(K320&gt;Forudsætninger!$C$26,Forudsætninger!$G$26+Forudsætninger!$H$27*(K320-Forudsætninger!$C$26),Forudsætninger!$G$26)))*(U320-Forudsætninger!$H$26)</f>
        <v>36.061219026402853</v>
      </c>
      <c r="AC320" s="19">
        <f>IF(K320&gt;Forudsætninger!$C$31,IF(K320&gt;Forudsætninger!$C$32,IF(K320&gt;Forudsætninger!$C$33,Forudsætninger!$E$33,Forudsætninger!$E$32+Forudsætninger!$F$33*(K320-Forudsætninger!$C$32)),Forudsætninger!$E$31+Forudsætninger!$F$32*(K320-Forudsætninger!$C$31)),Forudsætninger!$E$31)+IF(K320&gt;Forudsætninger!$C$33,Forudsætninger!$G$33,IF(K320&gt;Forudsætninger!$C$32,Forudsætninger!$G$32+Forudsætninger!$H$33*(K320-Forudsætninger!$C$32),IF(K320&gt;Forudsætninger!$C$31,Forudsætninger!$G$31+Forudsætninger!$H$32*(K320-Forudsætninger!$C$31),Forudsætninger!$G$31)))*(V320-Forudsætninger!$H$31)</f>
        <v>28.987613126091759</v>
      </c>
      <c r="AD320" s="19">
        <f t="shared" si="111"/>
        <v>8537.0663424372869</v>
      </c>
      <c r="AE320" s="19">
        <f t="shared" si="112"/>
        <v>35.707538731387302</v>
      </c>
      <c r="AF320">
        <f>IF(G320&lt;=Forudsætninger!$C$97,Forudsætninger!$C$98,(IF(G320&lt;=Forudsætninger!$D$97,Forudsætninger!$D$98,IF(G320&lt;=Forudsætninger!$E$97,Forudsætninger!$E$98,IF(G320&lt;=Forudsætninger!$F$97,Forudsætninger!$F$98,IF(G320&lt;=Forudsætninger!$G$97,Forudsætninger!$G$98,IF(G320&lt;=Forudsætninger!$H$97,Forudsætninger!$H$98,IF(G320&lt;=Forudsætninger!$I$97,Forudsætninger!$I$98,Forudsætninger!$I$98))))))))</f>
        <v>4.4000000000000004</v>
      </c>
      <c r="AG320" s="1">
        <f t="shared" si="122"/>
        <v>4.4000000000000004</v>
      </c>
      <c r="AH320" s="1">
        <f t="shared" si="126"/>
        <v>1074.3999999999969</v>
      </c>
      <c r="AI320" s="1">
        <f t="shared" si="113"/>
        <v>3.3786163522012482</v>
      </c>
      <c r="AJ320" s="20">
        <f>+(W320*Forudsætninger!$C$12)</f>
        <v>900</v>
      </c>
      <c r="AK320" s="20">
        <f>Forudsætninger!$C$17</f>
        <v>250</v>
      </c>
      <c r="AL320" s="20">
        <f>IF(A320&lt;92,Forudsætninger!$C$20,Forudsætninger!$C$21)</f>
        <v>1.0566762728146013</v>
      </c>
      <c r="AM320" s="20">
        <f t="shared" si="123"/>
        <v>604.52853760833295</v>
      </c>
      <c r="AN320" s="20">
        <f>IFERROR(AD320+AJ320-AA320-Z320-AK320-AM320-Forudsætninger!$C$75,-99999999)</f>
        <v>1448.7324513334261</v>
      </c>
      <c r="AO320" s="19">
        <f>IFERROR(AN320/(A320+Forudsætninger!$C$74),-99999999)</f>
        <v>4.5557624255768117</v>
      </c>
      <c r="AP320" s="19">
        <f>IFERROR(((365/(A320+Forudsætninger!$C$74))*AN320)/(AI320+Forudsætninger!$C$73),-9999999)</f>
        <v>476.65123288386491</v>
      </c>
      <c r="AQ320" s="18">
        <f t="shared" si="114"/>
        <v>318</v>
      </c>
      <c r="AR320" s="18">
        <f t="shared" si="124"/>
        <v>7805.9396985544663</v>
      </c>
      <c r="AS320" s="52">
        <f t="shared" si="105"/>
        <v>11.7</v>
      </c>
      <c r="AT320" s="50">
        <f t="shared" si="127"/>
        <v>-1.7095825702131151</v>
      </c>
      <c r="AU320" s="50">
        <f t="shared" si="128"/>
        <v>-1.9764495254857906E-2</v>
      </c>
      <c r="AV320" s="2">
        <f t="shared" si="129"/>
        <v>-2.5104262930788082</v>
      </c>
      <c r="AW320" s="61">
        <f t="shared" si="125"/>
        <v>6.4567955627099343</v>
      </c>
      <c r="BA320" s="16"/>
      <c r="BB320" s="2"/>
    </row>
    <row r="321" spans="1:54" x14ac:dyDescent="0.25">
      <c r="A321">
        <v>319</v>
      </c>
      <c r="B321" s="1">
        <f>ROUND((A321+Forudsætninger!$C$60)/30.4,1)</f>
        <v>11.8</v>
      </c>
      <c r="C321" s="1">
        <f>VLOOKUP((A321+Forudsætninger!$C$60),'Model tilvækst, slagteform, fe'!A:B,2,FALSE)</f>
        <v>501.83806163252228</v>
      </c>
      <c r="D321" s="3">
        <f t="shared" si="115"/>
        <v>1016.7531523709386</v>
      </c>
      <c r="E321" s="1">
        <f>(1+Forudsætninger!$C$78)*C321</f>
        <v>466.70939731824569</v>
      </c>
      <c r="F321" s="2">
        <f t="shared" si="116"/>
        <v>0</v>
      </c>
      <c r="G321" s="1">
        <f t="shared" si="106"/>
        <v>466.70939731824569</v>
      </c>
      <c r="H321" s="3">
        <f t="shared" si="107"/>
        <v>945.5804317049683</v>
      </c>
      <c r="I321" s="3">
        <f t="shared" si="108"/>
        <v>1246.7379226277294</v>
      </c>
      <c r="J321" s="1">
        <f>VLOOKUP((A321+Forudsætninger!$C$60),'Model tilvækst, slagteform, fe'!G:K,2,FALSE)*(1+Forudsætninger!$C$79)</f>
        <v>51.33989325326317</v>
      </c>
      <c r="K321" s="17">
        <f t="shared" si="104"/>
        <v>239.6081063861352</v>
      </c>
      <c r="L321" s="17">
        <f t="shared" si="117"/>
        <v>525.08230379720544</v>
      </c>
      <c r="M321" s="3">
        <f>((K321-(('Model tilvækst, slagteform, fe'!$H$9/100)*'Model tilvækst, slagteform, fe'!$B$9))*1000/(A321+Forudsætninger!$C$60))</f>
        <v>612.18212949085569</v>
      </c>
      <c r="N321" s="17">
        <f t="shared" si="118"/>
        <v>1942.5913255016683</v>
      </c>
      <c r="O321" s="19">
        <f>IF( A321&lt;Forudsætninger!$C$14,(G321/100)*Forudsætninger!$C$13,(Forudsætninger!$C$15/1000)*Forudsætninger!$C$13)</f>
        <v>3.0336110825685969</v>
      </c>
      <c r="P321" s="17" cm="1">
        <f t="array" ref="P321">INDEX('Model tilvækst, slagteform, fe'!$N$9:$N$375,MATCH(MIN(ABS('Model tilvækst, slagteform, fe'!$M$9:$M$375-'Vækstfunktion, hol'!G321)),ABS('Model tilvækst, slagteform, fe'!$M$9:$M$375-'Vækstfunktion, hol'!G321),0))*(1+Forudsætninger!$C$80)</f>
        <v>8.4430850265481965</v>
      </c>
      <c r="Q321" s="17">
        <f t="shared" si="119"/>
        <v>16.079545940685598</v>
      </c>
      <c r="R321" s="17">
        <f t="shared" si="120"/>
        <v>9.3624096825614025</v>
      </c>
      <c r="S321" s="17">
        <f t="shared" si="109"/>
        <v>4.8844491445275393</v>
      </c>
      <c r="T321" s="19">
        <f>(P321)*IF(N321&lt;Forudsætninger!$B$228,IF(N321&lt;Forudsætninger!$B$227,Forudsætninger!$B$225,Forudsætninger!$C$9),Forudsætninger!$C$11)+O321</f>
        <v>22.790430044691377</v>
      </c>
      <c r="U321" s="2">
        <f>Forudsætninger!$C$68+((K321-(Forudsætninger!$C$84)))*0.01</f>
        <v>4.0931339228499919</v>
      </c>
      <c r="V321" s="2">
        <f>U321+Forudsætninger!$C$69</f>
        <v>3.0931339228499919</v>
      </c>
      <c r="W321">
        <f t="shared" si="110"/>
        <v>1</v>
      </c>
      <c r="X321">
        <f>IF(A321+Forudsætninger!$C$60&gt;248,IF(A321+Forudsætninger!$C$60&lt;365,IF(K321&gt;180,IF(K321&lt;260,1,0),0),0),0)</f>
        <v>1</v>
      </c>
      <c r="Y321" s="22">
        <f>IF(X321=0,0,IF('Vækstfunktion, hol'!A321&lt;Forudsætninger!$C$66,Forudsætninger!$C$67+(('Vækstfunktion, hol'!A321-Forudsætninger!$C$66)/7)*Forudsætninger!$C$64,Forudsætninger!$C$67))</f>
        <v>0.95</v>
      </c>
      <c r="Z321" s="19">
        <f t="shared" si="121"/>
        <v>5624.201590990825</v>
      </c>
      <c r="AA321" s="19">
        <f>Forudsætninger!$C$62+Forudsætninger!$C$16</f>
        <v>1350</v>
      </c>
      <c r="AB321" s="19">
        <f>IF(K321&gt;Forudsætninger!$C$26,IF(K321&gt;Forudsætninger!$C$27,IF(K321&gt;Forudsætninger!$C$28,Forudsætninger!$E$28,Forudsætninger!$E$27+Forudsætninger!$F$28*(K321-Forudsætninger!$C$27)),Forudsætninger!$E$26+Forudsætninger!$F$27*(K321-Forudsætninger!$C$26)),Forudsætninger!$E$26)+IF(K321&gt;Forudsætninger!$C$28,Forudsætninger!$G$28,IF(K321&gt;Forudsætninger!$C$27,Forudsætninger!$G$27+Forudsætninger!$H$28*(K321-Forudsætninger!$C$27),IF(K321&gt;Forudsætninger!$C$26,Forudsætninger!$G$26+Forudsætninger!$H$27*(K321-Forudsætninger!$C$26),Forudsætninger!$G$26)))*(U321-Forudsætninger!$H$26)</f>
        <v>36.075002436877533</v>
      </c>
      <c r="AC321" s="19">
        <f>IF(K321&gt;Forudsætninger!$C$31,IF(K321&gt;Forudsætninger!$C$32,IF(K321&gt;Forudsætninger!$C$33,Forudsætninger!$E$33,Forudsætninger!$E$32+Forudsætninger!$F$33*(K321-Forudsætninger!$C$32)),Forudsætninger!$E$31+Forudsætninger!$F$32*(K321-Forudsætninger!$C$31)),Forudsætninger!$E$31)+IF(K321&gt;Forudsætninger!$C$33,Forudsætninger!$G$33,IF(K321&gt;Forudsætninger!$C$32,Forudsætninger!$G$32+Forudsætninger!$H$33*(K321-Forudsætninger!$C$32),IF(K321&gt;Forudsætninger!$C$31,Forudsætninger!$G$31+Forudsætninger!$H$32*(K321-Forudsætninger!$C$31),Forudsætninger!$G$31)))*(V321-Forudsætninger!$H$31)</f>
        <v>29.001362476780518</v>
      </c>
      <c r="AD321" s="19">
        <f t="shared" si="111"/>
        <v>8559.1179479706316</v>
      </c>
      <c r="AE321" s="19">
        <f t="shared" si="112"/>
        <v>35.721320438872681</v>
      </c>
      <c r="AF321">
        <f>IF(G321&lt;=Forudsætninger!$C$97,Forudsætninger!$C$98,(IF(G321&lt;=Forudsætninger!$D$97,Forudsætninger!$D$98,IF(G321&lt;=Forudsætninger!$E$97,Forudsætninger!$E$98,IF(G321&lt;=Forudsætninger!$F$97,Forudsætninger!$F$98,IF(G321&lt;=Forudsætninger!$G$97,Forudsætninger!$G$98,IF(G321&lt;=Forudsætninger!$H$97,Forudsætninger!$H$98,IF(G321&lt;=Forudsætninger!$I$97,Forudsætninger!$I$98,Forudsætninger!$I$98))))))))</f>
        <v>4.4000000000000004</v>
      </c>
      <c r="AG321" s="1">
        <f t="shared" si="122"/>
        <v>4.4000000000000004</v>
      </c>
      <c r="AH321" s="1">
        <f t="shared" si="126"/>
        <v>1078.799999999997</v>
      </c>
      <c r="AI321" s="1">
        <f t="shared" si="113"/>
        <v>3.3818181818181725</v>
      </c>
      <c r="AJ321" s="20">
        <f>+(W321*Forudsætninger!$C$12)</f>
        <v>900</v>
      </c>
      <c r="AK321" s="20">
        <f>Forudsætninger!$C$17</f>
        <v>250</v>
      </c>
      <c r="AL321" s="20">
        <f>IF(A321&lt;92,Forudsætninger!$C$20,Forudsætninger!$C$21)</f>
        <v>1.0566762728146013</v>
      </c>
      <c r="AM321" s="20">
        <f t="shared" si="123"/>
        <v>605.58521388114752</v>
      </c>
      <c r="AN321" s="20">
        <f>IFERROR(AD321+AJ321-AA321-Z321-AK321-AM321-Forudsætninger!$C$75,-99999999)</f>
        <v>1446.9369505492646</v>
      </c>
      <c r="AO321" s="19">
        <f>IFERROR(AN321/(A321+Forudsætninger!$C$74),-99999999)</f>
        <v>4.5358525095588229</v>
      </c>
      <c r="AP321" s="19">
        <f>IFERROR(((365/(A321+Forudsætninger!$C$74))*AN321)/(AI321+Forudsætninger!$C$73),-9999999)</f>
        <v>474.13298166828235</v>
      </c>
      <c r="AQ321" s="18">
        <f t="shared" si="114"/>
        <v>319</v>
      </c>
      <c r="AR321" s="18">
        <f t="shared" si="124"/>
        <v>7829.7868048719729</v>
      </c>
      <c r="AS321" s="52">
        <f t="shared" si="105"/>
        <v>11.8</v>
      </c>
      <c r="AT321" s="50">
        <f t="shared" si="127"/>
        <v>-1.7955007841615043</v>
      </c>
      <c r="AU321" s="50">
        <f t="shared" si="128"/>
        <v>-1.9909916017988749E-2</v>
      </c>
      <c r="AV321" s="2">
        <f t="shared" si="129"/>
        <v>-2.518251215582552</v>
      </c>
      <c r="AW321" s="61">
        <f t="shared" si="125"/>
        <v>6.4342387599699435</v>
      </c>
      <c r="BA321" s="16"/>
      <c r="BB321" s="2"/>
    </row>
    <row r="322" spans="1:54" x14ac:dyDescent="0.25">
      <c r="A322">
        <v>320</v>
      </c>
      <c r="B322" s="1">
        <f>ROUND((A322+Forudsætninger!$C$60)/30.4,1)</f>
        <v>11.8</v>
      </c>
      <c r="C322" s="1">
        <f>VLOOKUP((A322+Forudsætninger!$C$60),'Model tilvækst, slagteform, fe'!A:B,2,FALSE)</f>
        <v>502.85140139816474</v>
      </c>
      <c r="D322" s="3">
        <f t="shared" si="115"/>
        <v>1013.3397656424563</v>
      </c>
      <c r="E322" s="1">
        <f>(1+Forudsætninger!$C$78)*C322</f>
        <v>467.65180330029318</v>
      </c>
      <c r="F322" s="2">
        <f t="shared" si="116"/>
        <v>0</v>
      </c>
      <c r="G322" s="1">
        <f t="shared" si="106"/>
        <v>467.65180330029318</v>
      </c>
      <c r="H322" s="3">
        <f t="shared" si="107"/>
        <v>942.40598204748949</v>
      </c>
      <c r="I322" s="3">
        <f t="shared" si="108"/>
        <v>1245.7868853134162</v>
      </c>
      <c r="J322" s="1">
        <f>VLOOKUP((A322+Forudsætninger!$C$60),'Model tilvækst, slagteform, fe'!G:K,2,FALSE)*(1+Forudsætninger!$C$79)</f>
        <v>51.348402212629743</v>
      </c>
      <c r="K322" s="17">
        <f t="shared" ref="K322:K367" si="130">G322*(J322/100)</f>
        <v>240.13172891325061</v>
      </c>
      <c r="L322" s="17">
        <f t="shared" si="117"/>
        <v>523.62252711540691</v>
      </c>
      <c r="M322" s="3">
        <f>((K322-(('Model tilvækst, slagteform, fe'!$H$9/100)*'Model tilvækst, slagteform, fe'!$B$9))*1000/(A322+Forudsætninger!$C$60))</f>
        <v>611.9354453616761</v>
      </c>
      <c r="N322" s="17">
        <f t="shared" si="118"/>
        <v>1951.0481835909588</v>
      </c>
      <c r="O322" s="19">
        <f>IF( A322&lt;Forudsætninger!$C$14,(G322/100)*Forudsætninger!$C$13,(Forudsætninger!$C$15/1000)*Forudsætninger!$C$13)</f>
        <v>3.0397367214519058</v>
      </c>
      <c r="P322" s="17" cm="1">
        <f t="array" ref="P322">INDEX('Model tilvækst, slagteform, fe'!$N$9:$N$375,MATCH(MIN(ABS('Model tilvækst, slagteform, fe'!$M$9:$M$375-'Vækstfunktion, hol'!G322)),ABS('Model tilvækst, slagteform, fe'!$M$9:$M$375-'Vækstfunktion, hol'!G322),0))*(1+Forudsætninger!$C$80)</f>
        <v>8.4568580892904937</v>
      </c>
      <c r="Q322" s="17">
        <f t="shared" si="119"/>
        <v>16.150676587347423</v>
      </c>
      <c r="R322" s="17">
        <f t="shared" si="120"/>
        <v>9.3794975872587329</v>
      </c>
      <c r="S322" s="17">
        <f t="shared" si="109"/>
        <v>4.8941160366990468</v>
      </c>
      <c r="T322" s="19">
        <f>(P322)*IF(N322&lt;Forudsætninger!$B$228,IF(N322&lt;Forudsætninger!$B$227,Forudsætninger!$B$225,Forudsætninger!$C$9),Forudsætninger!$C$11)+O322</f>
        <v>22.828784650391661</v>
      </c>
      <c r="U322" s="2">
        <f>Forudsætninger!$C$68+((K322-(Forudsætninger!$C$84)))*0.01</f>
        <v>4.0983701481211465</v>
      </c>
      <c r="V322" s="2">
        <f>U322+Forudsætninger!$C$69</f>
        <v>3.0983701481211465</v>
      </c>
      <c r="W322">
        <f t="shared" si="110"/>
        <v>1</v>
      </c>
      <c r="X322">
        <f>IF(A322+Forudsætninger!$C$60&gt;248,IF(A322+Forudsætninger!$C$60&lt;365,IF(K322&gt;180,IF(K322&lt;260,1,0),0),0),0)</f>
        <v>1</v>
      </c>
      <c r="Y322" s="22">
        <f>IF(X322=0,0,IF('Vækstfunktion, hol'!A322&lt;Forudsætninger!$C$66,Forudsætninger!$C$67+(('Vækstfunktion, hol'!A322-Forudsætninger!$C$66)/7)*Forudsætninger!$C$64,Forudsætninger!$C$67))</f>
        <v>0.95</v>
      </c>
      <c r="Z322" s="19">
        <f t="shared" si="121"/>
        <v>5647.0303756412168</v>
      </c>
      <c r="AA322" s="19">
        <f>Forudsætninger!$C$62+Forudsætninger!$C$16</f>
        <v>1350</v>
      </c>
      <c r="AB322" s="19">
        <f>IF(K322&gt;Forudsætninger!$C$26,IF(K322&gt;Forudsætninger!$C$27,IF(K322&gt;Forudsætninger!$C$28,Forudsætninger!$E$28,Forudsætninger!$E$27+Forudsætninger!$F$28*(K322-Forudsætninger!$C$27)),Forudsætninger!$E$26+Forudsætninger!$F$27*(K322-Forudsætninger!$C$26)),Forudsætninger!$E$26)+IF(K322&gt;Forudsætninger!$C$28,Forudsætninger!$G$28,IF(K322&gt;Forudsætninger!$C$27,Forudsætninger!$G$27+Forudsætninger!$H$28*(K322-Forudsætninger!$C$27),IF(K322&gt;Forudsætninger!$C$26,Forudsætninger!$G$26+Forudsætninger!$H$27*(K322-Forudsætninger!$C$26),Forudsætninger!$G$26)))*(U322-Forudsætninger!$H$26)</f>
        <v>36.088747528214313</v>
      </c>
      <c r="AC322" s="19">
        <f>IF(K322&gt;Forudsætninger!$C$31,IF(K322&gt;Forudsætninger!$C$32,IF(K322&gt;Forudsætninger!$C$33,Forudsætninger!$E$33,Forudsætninger!$E$32+Forudsætninger!$F$33*(K322-Forudsætninger!$C$32)),Forudsætninger!$E$31+Forudsætninger!$F$32*(K322-Forudsætninger!$C$31)),Forudsætninger!$E$31)+IF(K322&gt;Forudsætninger!$C$33,Forudsætninger!$G$33,IF(K322&gt;Forudsætninger!$C$32,Forudsætninger!$G$32+Forudsætninger!$H$33*(K322-Forudsætninger!$C$32),IF(K322&gt;Forudsætninger!$C$31,Forudsætninger!$G$31+Forudsætninger!$H$32*(K322-Forudsætninger!$C$31),Forudsætninger!$G$31)))*(V322-Forudsætninger!$H$31)</f>
        <v>29.015053010815421</v>
      </c>
      <c r="AD322" s="19">
        <f t="shared" si="111"/>
        <v>8581.1224135505436</v>
      </c>
      <c r="AE322" s="19">
        <f t="shared" si="112"/>
        <v>35.735062802344366</v>
      </c>
      <c r="AF322">
        <f>IF(G322&lt;=Forudsætninger!$C$97,Forudsætninger!$C$98,(IF(G322&lt;=Forudsætninger!$D$97,Forudsætninger!$D$98,IF(G322&lt;=Forudsætninger!$E$97,Forudsætninger!$E$98,IF(G322&lt;=Forudsætninger!$F$97,Forudsætninger!$F$98,IF(G322&lt;=Forudsætninger!$G$97,Forudsætninger!$G$98,IF(G322&lt;=Forudsætninger!$H$97,Forudsætninger!$H$98,IF(G322&lt;=Forudsætninger!$I$97,Forudsætninger!$I$98,Forudsætninger!$I$98))))))))</f>
        <v>4.4000000000000004</v>
      </c>
      <c r="AG322" s="1">
        <f t="shared" si="122"/>
        <v>4.4000000000000004</v>
      </c>
      <c r="AH322" s="1">
        <f t="shared" si="126"/>
        <v>1083.1999999999971</v>
      </c>
      <c r="AI322" s="1">
        <f t="shared" si="113"/>
        <v>3.3849999999999909</v>
      </c>
      <c r="AJ322" s="20">
        <f>+(W322*Forudsætninger!$C$12)</f>
        <v>900</v>
      </c>
      <c r="AK322" s="20">
        <f>Forudsætninger!$C$17</f>
        <v>250</v>
      </c>
      <c r="AL322" s="20">
        <f>IF(A322&lt;92,Forudsætninger!$C$20,Forudsætninger!$C$21)</f>
        <v>1.0566762728146013</v>
      </c>
      <c r="AM322" s="20">
        <f t="shared" si="123"/>
        <v>606.64189015396209</v>
      </c>
      <c r="AN322" s="20">
        <f>IFERROR(AD322+AJ322-AA322-Z322-AK322-AM322-Forudsætninger!$C$75,-99999999)</f>
        <v>1445.0559552059701</v>
      </c>
      <c r="AO322" s="19">
        <f>IFERROR(AN322/(A322+Forudsætninger!$C$74),-99999999)</f>
        <v>4.5157998600186566</v>
      </c>
      <c r="AP322" s="19">
        <f>IFERROR(((365/(A322+Forudsætninger!$C$74))*AN322)/(AI322+Forudsætninger!$C$73),-9999999)</f>
        <v>471.60713845688525</v>
      </c>
      <c r="AQ322" s="18">
        <f t="shared" si="114"/>
        <v>320</v>
      </c>
      <c r="AR322" s="18">
        <f t="shared" si="124"/>
        <v>7853.6722657951786</v>
      </c>
      <c r="AS322" s="52">
        <f t="shared" ref="AS322:AS367" si="131">B322</f>
        <v>11.8</v>
      </c>
      <c r="AT322" s="50">
        <f t="shared" si="127"/>
        <v>-1.880995343294444</v>
      </c>
      <c r="AU322" s="50">
        <f t="shared" si="128"/>
        <v>-2.0052649540166279E-2</v>
      </c>
      <c r="AV322" s="2">
        <f t="shared" si="129"/>
        <v>-2.5258432113971026</v>
      </c>
      <c r="AW322" s="61">
        <f t="shared" si="125"/>
        <v>6.411555766749788</v>
      </c>
      <c r="BA322" s="16"/>
      <c r="BB322" s="2"/>
    </row>
    <row r="323" spans="1:54" x14ac:dyDescent="0.25">
      <c r="A323">
        <v>321</v>
      </c>
      <c r="B323" s="1">
        <f>ROUND((A323+Forudsætninger!$C$60)/30.4,1)</f>
        <v>11.8</v>
      </c>
      <c r="C323" s="1">
        <f>VLOOKUP((A323+Forudsætninger!$C$60),'Model tilvækst, slagteform, fe'!A:B,2,FALSE)</f>
        <v>503.86135942767538</v>
      </c>
      <c r="D323" s="3">
        <f t="shared" si="115"/>
        <v>1009.9580295106421</v>
      </c>
      <c r="E323" s="1">
        <f>(1+Forudsætninger!$C$78)*C323</f>
        <v>468.59106426773809</v>
      </c>
      <c r="F323" s="2">
        <f t="shared" si="116"/>
        <v>0</v>
      </c>
      <c r="G323" s="1">
        <f t="shared" ref="G323:G367" si="132">E323+F323</f>
        <v>468.59106426773809</v>
      </c>
      <c r="H323" s="3">
        <f t="shared" ref="H323:H367" si="133">(G323-G322)*1000</f>
        <v>939.26096744490906</v>
      </c>
      <c r="I323" s="3">
        <f t="shared" ref="I323:I367" si="134">(G323-$G$2)*1000/A323</f>
        <v>1244.8319759119565</v>
      </c>
      <c r="J323" s="1">
        <f>VLOOKUP((A323+Forudsætninger!$C$60),'Model tilvækst, slagteform, fe'!G:K,2,FALSE)*(1+Forudsætninger!$C$79)</f>
        <v>51.356912925586535</v>
      </c>
      <c r="K323" s="17">
        <f t="shared" si="130"/>
        <v>240.6539048530615</v>
      </c>
      <c r="L323" s="17">
        <f t="shared" si="117"/>
        <v>522.17593981089294</v>
      </c>
      <c r="M323" s="3">
        <f>((K323-(('Model tilvækst, slagteform, fe'!$H$9/100)*'Model tilvækst, slagteform, fe'!$B$9))*1000/(A323+Forudsætninger!$C$60))</f>
        <v>611.68611340181269</v>
      </c>
      <c r="N323" s="17">
        <f t="shared" si="118"/>
        <v>1959.5188213642903</v>
      </c>
      <c r="O323" s="19">
        <f>IF( A323&lt;Forudsætninger!$C$14,(G323/100)*Forudsætninger!$C$13,(Forudsætninger!$C$15/1000)*Forudsætninger!$C$13)</f>
        <v>3.0458419177402978</v>
      </c>
      <c r="P323" s="17" cm="1">
        <f t="array" ref="P323">INDEX('Model tilvækst, slagteform, fe'!$N$9:$N$375,MATCH(MIN(ABS('Model tilvækst, slagteform, fe'!$M$9:$M$375-'Vækstfunktion, hol'!G323)),ABS('Model tilvækst, slagteform, fe'!$M$9:$M$375-'Vækstfunktion, hol'!G323),0))*(1+Forudsætninger!$C$80)</f>
        <v>8.4706377733315001</v>
      </c>
      <c r="Q323" s="17">
        <f t="shared" si="119"/>
        <v>16.221807876477722</v>
      </c>
      <c r="R323" s="17">
        <f t="shared" si="120"/>
        <v>9.3966309398590653</v>
      </c>
      <c r="S323" s="17">
        <f t="shared" ref="S323:S367" si="135">N323/(G323-$G$2)</f>
        <v>4.9038104116646446</v>
      </c>
      <c r="T323" s="19">
        <f>(P323)*IF(N323&lt;Forudsætninger!$B$228,IF(N323&lt;Forudsætninger!$B$227,Forudsætninger!$B$225,Forudsætninger!$C$9),Forudsætninger!$C$11)+O323</f>
        <v>22.867134307336006</v>
      </c>
      <c r="U323" s="2">
        <f>Forudsætninger!$C$68+((K323-(Forudsætninger!$C$84)))*0.01</f>
        <v>4.1035919075192551</v>
      </c>
      <c r="V323" s="2">
        <f>U323+Forudsætninger!$C$69</f>
        <v>3.1035919075192551</v>
      </c>
      <c r="W323">
        <f t="shared" ref="W323:W367" si="136">IF(K323&gt;130,1,0)</f>
        <v>1</v>
      </c>
      <c r="X323">
        <f>IF(A323+Forudsætninger!$C$60&gt;248,IF(A323+Forudsætninger!$C$60&lt;365,IF(K323&gt;180,IF(K323&lt;260,1,0),0),0),0)</f>
        <v>1</v>
      </c>
      <c r="Y323" s="22">
        <f>IF(X323=0,0,IF('Vækstfunktion, hol'!A323&lt;Forudsætninger!$C$66,Forudsætninger!$C$67+(('Vækstfunktion, hol'!A323-Forudsætninger!$C$66)/7)*Forudsætninger!$C$64,Forudsætninger!$C$67))</f>
        <v>0.95</v>
      </c>
      <c r="Z323" s="19">
        <f t="shared" si="121"/>
        <v>5669.8975099485524</v>
      </c>
      <c r="AA323" s="19">
        <f>Forudsætninger!$C$62+Forudsætninger!$C$16</f>
        <v>1350</v>
      </c>
      <c r="AB323" s="19">
        <f>IF(K323&gt;Forudsætninger!$C$26,IF(K323&gt;Forudsætninger!$C$27,IF(K323&gt;Forudsætninger!$C$28,Forudsætninger!$E$28,Forudsætninger!$E$27+Forudsætninger!$F$28*(K323-Forudsætninger!$C$27)),Forudsætninger!$E$26+Forudsætninger!$F$27*(K323-Forudsætninger!$C$26)),Forudsætninger!$E$26)+IF(K323&gt;Forudsætninger!$C$28,Forudsætninger!$G$28,IF(K323&gt;Forudsætninger!$C$27,Forudsætninger!$G$27+Forudsætninger!$H$28*(K323-Forudsætninger!$C$27),IF(K323&gt;Forudsætninger!$C$26,Forudsætninger!$G$26+Forudsætninger!$H$27*(K323-Forudsætninger!$C$26),Forudsætninger!$G$26)))*(U323-Forudsætninger!$H$26)</f>
        <v>36.102454646634349</v>
      </c>
      <c r="AC323" s="19">
        <f>IF(K323&gt;Forudsætninger!$C$31,IF(K323&gt;Forudsætninger!$C$32,IF(K323&gt;Forudsætninger!$C$33,Forudsætninger!$E$33,Forudsætninger!$E$32+Forudsætninger!$F$33*(K323-Forudsætninger!$C$32)),Forudsætninger!$E$31+Forudsætninger!$F$32*(K323-Forudsætninger!$C$31)),Forudsætninger!$E$31)+IF(K323&gt;Forudsætninger!$C$33,Forudsætninger!$G$33,IF(K323&gt;Forudsætninger!$C$32,Forudsætninger!$G$32+Forudsætninger!$H$33*(K323-Forudsætninger!$C$32),IF(K323&gt;Forudsætninger!$C$31,Forudsætninger!$G$31+Forudsætninger!$H$32*(K323-Forudsætninger!$C$31),Forudsætninger!$G$31)))*(V323-Forudsætninger!$H$31)</f>
        <v>29.028685244251573</v>
      </c>
      <c r="AD323" s="19">
        <f t="shared" ref="AD323:AD367" si="137">(K323*(Y323*AB323+((1-Y323)*AC323)))</f>
        <v>8603.0801740574352</v>
      </c>
      <c r="AE323" s="19">
        <f t="shared" ref="AE323:AE367" si="138">AD323/K323</f>
        <v>35.748766176515211</v>
      </c>
      <c r="AF323">
        <f>IF(G323&lt;=Forudsætninger!$C$97,Forudsætninger!$C$98,(IF(G323&lt;=Forudsætninger!$D$97,Forudsætninger!$D$98,IF(G323&lt;=Forudsætninger!$E$97,Forudsætninger!$E$98,IF(G323&lt;=Forudsætninger!$F$97,Forudsætninger!$F$98,IF(G323&lt;=Forudsætninger!$G$97,Forudsætninger!$G$98,IF(G323&lt;=Forudsætninger!$H$97,Forudsætninger!$H$98,IF(G323&lt;=Forudsætninger!$I$97,Forudsætninger!$I$98,Forudsætninger!$I$98))))))))</f>
        <v>4.4000000000000004</v>
      </c>
      <c r="AG323" s="1">
        <f t="shared" si="122"/>
        <v>4.4000000000000004</v>
      </c>
      <c r="AH323" s="1">
        <f t="shared" si="126"/>
        <v>1087.5999999999972</v>
      </c>
      <c r="AI323" s="1">
        <f t="shared" ref="AI323:AI367" si="139">AH323/A323</f>
        <v>3.3881619937694616</v>
      </c>
      <c r="AJ323" s="20">
        <f>+(W323*Forudsætninger!$C$12)</f>
        <v>900</v>
      </c>
      <c r="AK323" s="20">
        <f>Forudsætninger!$C$17</f>
        <v>250</v>
      </c>
      <c r="AL323" s="20">
        <f>IF(A323&lt;92,Forudsætninger!$C$20,Forudsætninger!$C$21)</f>
        <v>1.0566762728146013</v>
      </c>
      <c r="AM323" s="20">
        <f t="shared" si="123"/>
        <v>607.69856642677667</v>
      </c>
      <c r="AN323" s="20">
        <f>IFERROR(AD323+AJ323-AA323-Z323-AK323-AM323-Forudsætninger!$C$75,-99999999)</f>
        <v>1443.0899051327115</v>
      </c>
      <c r="AO323" s="19">
        <f>IFERROR(AN323/(A323+Forudsætninger!$C$74),-99999999)</f>
        <v>4.4956071810987899</v>
      </c>
      <c r="AP323" s="19">
        <f>IFERROR(((365/(A323+Forudsætninger!$C$74))*AN323)/(AI323+Forudsætninger!$C$73),-9999999)</f>
        <v>469.07393769174826</v>
      </c>
      <c r="AQ323" s="18">
        <f t="shared" ref="AQ323:AQ367" si="140">A323</f>
        <v>321</v>
      </c>
      <c r="AR323" s="18">
        <f t="shared" si="124"/>
        <v>7877.5960763753292</v>
      </c>
      <c r="AS323" s="52">
        <f t="shared" si="131"/>
        <v>11.8</v>
      </c>
      <c r="AT323" s="50">
        <f t="shared" si="127"/>
        <v>-1.966050073258657</v>
      </c>
      <c r="AU323" s="50">
        <f t="shared" si="128"/>
        <v>-2.0192678919866758E-2</v>
      </c>
      <c r="AV323" s="2">
        <f t="shared" si="129"/>
        <v>-2.5332007651369963</v>
      </c>
      <c r="AW323" s="61">
        <f t="shared" si="125"/>
        <v>6.388749132584076</v>
      </c>
      <c r="BA323" s="16"/>
      <c r="BB323" s="2"/>
    </row>
    <row r="324" spans="1:54" x14ac:dyDescent="0.25">
      <c r="A324">
        <v>322</v>
      </c>
      <c r="B324" s="1">
        <f>ROUND((A324+Forudsætninger!$C$60)/30.4,1)</f>
        <v>11.9</v>
      </c>
      <c r="C324" s="1">
        <f>VLOOKUP((A324+Forudsætninger!$C$60),'Model tilvækst, slagteform, fe'!A:B,2,FALSE)</f>
        <v>504.86796790599868</v>
      </c>
      <c r="D324" s="3">
        <f t="shared" ref="D324:D341" si="141">(C324-C323)*1000</f>
        <v>1006.6084783233009</v>
      </c>
      <c r="E324" s="1">
        <f>(1+Forudsætninger!$C$78)*C324</f>
        <v>469.52721015257873</v>
      </c>
      <c r="F324" s="2">
        <f t="shared" ref="F324:F367" si="142">MAX(F323-((D324/1000)/35),0)</f>
        <v>0</v>
      </c>
      <c r="G324" s="1">
        <f t="shared" si="132"/>
        <v>469.52721015257873</v>
      </c>
      <c r="H324" s="3">
        <f t="shared" si="133"/>
        <v>936.14588484064143</v>
      </c>
      <c r="I324" s="3">
        <f t="shared" si="134"/>
        <v>1243.8733234552135</v>
      </c>
      <c r="J324" s="1">
        <f>VLOOKUP((A324+Forudsætninger!$C$60),'Model tilvækst, slagteform, fe'!G:K,2,FALSE)*(1+Forudsætninger!$C$79)</f>
        <v>51.365425141620662</v>
      </c>
      <c r="K324" s="17">
        <f t="shared" si="130"/>
        <v>241.17464765046273</v>
      </c>
      <c r="L324" s="17">
        <f t="shared" ref="L324:L367" si="143">(K324-K323)*1000</f>
        <v>520.7427974012262</v>
      </c>
      <c r="M324" s="3">
        <f>((K324-(('Model tilvækst, slagteform, fe'!$H$9/100)*'Model tilvækst, slagteform, fe'!$B$9))*1000/(A324+Forudsætninger!$C$60))</f>
        <v>611.43419285887489</v>
      </c>
      <c r="N324" s="17">
        <f t="shared" ref="N324:N367" si="144">N323+P324</f>
        <v>1968.0032437876368</v>
      </c>
      <c r="O324" s="19">
        <f>IF( A324&lt;Forudsætninger!$C$14,(G324/100)*Forudsætninger!$C$13,(Forudsætninger!$C$15/1000)*Forudsætninger!$C$13)</f>
        <v>3.0519268659917618</v>
      </c>
      <c r="P324" s="17" cm="1">
        <f t="array" ref="P324">INDEX('Model tilvækst, slagteform, fe'!$N$9:$N$375,MATCH(MIN(ABS('Model tilvækst, slagteform, fe'!$M$9:$M$375-'Vækstfunktion, hol'!G324)),ABS('Model tilvækst, slagteform, fe'!$M$9:$M$375-'Vækstfunktion, hol'!G324),0))*(1+Forudsætninger!$C$80)</f>
        <v>8.4844224233465368</v>
      </c>
      <c r="Q324" s="17">
        <f t="shared" ref="Q324:Q367" si="145">P324/(L324/1000)</f>
        <v>16.292923235209702</v>
      </c>
      <c r="R324" s="17">
        <f t="shared" ref="R324:R367" si="146">N324/(K324-$K$2)</f>
        <v>9.4138091738010701</v>
      </c>
      <c r="S324" s="17">
        <f t="shared" si="135"/>
        <v>4.9135319496469076</v>
      </c>
      <c r="T324" s="19">
        <f>(P324)*IF(N324&lt;Forudsætninger!$B$228,IF(N324&lt;Forudsætninger!$B$227,Forudsætninger!$B$225,Forudsætninger!$C$9),Forudsætninger!$C$11)+O324</f>
        <v>22.905475336622658</v>
      </c>
      <c r="U324" s="2">
        <f>Forudsætninger!$C$68+((K324-(Forudsætninger!$C$84)))*0.01</f>
        <v>4.1087993354932673</v>
      </c>
      <c r="V324" s="2">
        <f>U324+Forudsætninger!$C$69</f>
        <v>3.1087993354932673</v>
      </c>
      <c r="W324">
        <f t="shared" si="136"/>
        <v>1</v>
      </c>
      <c r="X324">
        <f>IF(A324+Forudsætninger!$C$60&gt;248,IF(A324+Forudsætninger!$C$60&lt;365,IF(K324&gt;180,IF(K324&lt;260,1,0),0),0),0)</f>
        <v>1</v>
      </c>
      <c r="Y324" s="22">
        <f>IF(X324=0,0,IF('Vækstfunktion, hol'!A324&lt;Forudsætninger!$C$66,Forudsætninger!$C$67+(('Vækstfunktion, hol'!A324-Forudsætninger!$C$66)/7)*Forudsætninger!$C$64,Forudsætninger!$C$67))</f>
        <v>0.95</v>
      </c>
      <c r="Z324" s="19">
        <f t="shared" ref="Z324:Z367" si="147">Z323+T324</f>
        <v>5692.8029852851751</v>
      </c>
      <c r="AA324" s="19">
        <f>Forudsætninger!$C$62+Forudsætninger!$C$16</f>
        <v>1350</v>
      </c>
      <c r="AB324" s="19">
        <f>IF(K324&gt;Forudsætninger!$C$26,IF(K324&gt;Forudsætninger!$C$27,IF(K324&gt;Forudsætninger!$C$28,Forudsætninger!$E$28,Forudsætninger!$E$27+Forudsætninger!$F$28*(K324-Forudsætninger!$C$27)),Forudsætninger!$E$26+Forudsætninger!$F$27*(K324-Forudsætninger!$C$26)),Forudsætninger!$E$26)+IF(K324&gt;Forudsætninger!$C$28,Forudsætninger!$G$28,IF(K324&gt;Forudsætninger!$C$27,Forudsætninger!$G$27+Forudsætninger!$H$28*(K324-Forudsætninger!$C$27),IF(K324&gt;Forudsætninger!$C$26,Forudsætninger!$G$26+Forudsætninger!$H$27*(K324-Forudsætninger!$C$26),Forudsætninger!$G$26)))*(U324-Forudsætninger!$H$26)</f>
        <v>36.116124145066124</v>
      </c>
      <c r="AC324" s="19">
        <f>IF(K324&gt;Forudsætninger!$C$31,IF(K324&gt;Forudsætninger!$C$32,IF(K324&gt;Forudsætninger!$C$33,Forudsætninger!$E$33,Forudsætninger!$E$32+Forudsætninger!$F$33*(K324-Forudsætninger!$C$32)),Forudsætninger!$E$31+Forudsætninger!$F$32*(K324-Forudsætninger!$C$31)),Forudsætninger!$E$31)+IF(K324&gt;Forudsætninger!$C$33,Forudsætninger!$G$33,IF(K324&gt;Forudsætninger!$C$32,Forudsætninger!$G$32+Forudsætninger!$H$33*(K324-Forudsætninger!$C$32),IF(K324&gt;Forudsætninger!$C$31,Forudsætninger!$G$31+Forudsætninger!$H$32*(K324-Forudsætninger!$C$31),Forudsætninger!$G$31)))*(V324-Forudsætninger!$H$31)</f>
        <v>29.042259697259915</v>
      </c>
      <c r="AD324" s="19">
        <f t="shared" si="137"/>
        <v>8624.9916769003539</v>
      </c>
      <c r="AE324" s="19">
        <f t="shared" si="138"/>
        <v>35.762430922675819</v>
      </c>
      <c r="AF324">
        <f>IF(G324&lt;=Forudsætninger!$C$97,Forudsætninger!$C$98,(IF(G324&lt;=Forudsætninger!$D$97,Forudsætninger!$D$98,IF(G324&lt;=Forudsætninger!$E$97,Forudsætninger!$E$98,IF(G324&lt;=Forudsætninger!$F$97,Forudsætninger!$F$98,IF(G324&lt;=Forudsætninger!$G$97,Forudsætninger!$G$98,IF(G324&lt;=Forudsætninger!$H$97,Forudsætninger!$H$98,IF(G324&lt;=Forudsætninger!$I$97,Forudsætninger!$I$98,Forudsætninger!$I$98))))))))</f>
        <v>4.4000000000000004</v>
      </c>
      <c r="AG324" s="1">
        <f t="shared" ref="AG324:AG367" si="148">IF(AF324&lt;=3.2,IF(AF324&lt;=2.2,2.2,3.2),4.4)</f>
        <v>4.4000000000000004</v>
      </c>
      <c r="AH324" s="1">
        <f t="shared" si="126"/>
        <v>1091.9999999999973</v>
      </c>
      <c r="AI324" s="1">
        <f t="shared" si="139"/>
        <v>3.3913043478260785</v>
      </c>
      <c r="AJ324" s="20">
        <f>+(W324*Forudsætninger!$C$12)</f>
        <v>900</v>
      </c>
      <c r="AK324" s="20">
        <f>Forudsætninger!$C$17</f>
        <v>250</v>
      </c>
      <c r="AL324" s="20">
        <f>IF(A324&lt;92,Forudsætninger!$C$20,Forudsætninger!$C$21)</f>
        <v>1.0566762728146013</v>
      </c>
      <c r="AM324" s="20">
        <f t="shared" ref="AM324:AM367" si="149">AL324+AM323</f>
        <v>608.75524269959124</v>
      </c>
      <c r="AN324" s="20">
        <f>IFERROR(AD324+AJ324-AA324-Z324-AK324-AM324-Forudsætninger!$C$75,-99999999)</f>
        <v>1441.0392563661931</v>
      </c>
      <c r="AO324" s="19">
        <f>IFERROR(AN324/(A324+Forudsætninger!$C$74),-99999999)</f>
        <v>4.4752771936838291</v>
      </c>
      <c r="AP324" s="19">
        <f>IFERROR(((365/(A324+Forudsætninger!$C$74))*AN324)/(AI324+Forudsætninger!$C$73),-9999999)</f>
        <v>466.53361531076428</v>
      </c>
      <c r="AQ324" s="18">
        <f t="shared" si="140"/>
        <v>322</v>
      </c>
      <c r="AR324" s="18">
        <f t="shared" ref="AR324:AR367" si="150">AA324+Z324+AK324+AM324</f>
        <v>7901.5582279847658</v>
      </c>
      <c r="AS324" s="52">
        <f t="shared" si="131"/>
        <v>11.9</v>
      </c>
      <c r="AT324" s="50">
        <f t="shared" si="127"/>
        <v>-2.0506487665184068</v>
      </c>
      <c r="AU324" s="50">
        <f t="shared" si="128"/>
        <v>-2.0329987414960726E-2</v>
      </c>
      <c r="AV324" s="2">
        <f t="shared" si="129"/>
        <v>-2.5403223809839801</v>
      </c>
      <c r="AW324" s="61">
        <f t="shared" ref="AW324:AW367" si="151">((AN324+AM324)/A324)</f>
        <v>6.3658214256701378</v>
      </c>
      <c r="BA324" s="16"/>
      <c r="BB324" s="2"/>
    </row>
    <row r="325" spans="1:54" x14ac:dyDescent="0.25">
      <c r="A325">
        <v>323</v>
      </c>
      <c r="B325" s="1">
        <f>ROUND((A325+Forudsætninger!$C$60)/30.4,1)</f>
        <v>11.9</v>
      </c>
      <c r="C325" s="1">
        <f>VLOOKUP((A325+Forudsætninger!$C$60),'Model tilvækst, slagteform, fe'!A:B,2,FALSE)</f>
        <v>505.87125955242504</v>
      </c>
      <c r="D325" s="3">
        <f t="shared" si="141"/>
        <v>1003.2916464263621</v>
      </c>
      <c r="E325" s="1">
        <f>(1+Forudsætninger!$C$78)*C325</f>
        <v>470.46027138375524</v>
      </c>
      <c r="F325" s="2">
        <f t="shared" si="142"/>
        <v>0</v>
      </c>
      <c r="G325" s="1">
        <f t="shared" si="132"/>
        <v>470.46027138375524</v>
      </c>
      <c r="H325" s="3">
        <f t="shared" si="133"/>
        <v>933.06123117650941</v>
      </c>
      <c r="I325" s="3">
        <f t="shared" si="134"/>
        <v>1242.911056915651</v>
      </c>
      <c r="J325" s="1">
        <f>VLOOKUP((A325+Forudsætninger!$C$60),'Model tilvækst, slagteform, fe'!G:K,2,FALSE)*(1+Forudsætninger!$C$79)</f>
        <v>51.373938610219206</v>
      </c>
      <c r="K325" s="17">
        <f t="shared" si="130"/>
        <v>241.69397100616109</v>
      </c>
      <c r="L325" s="17">
        <f t="shared" si="143"/>
        <v>519.32335569836141</v>
      </c>
      <c r="M325" s="3">
        <f>((K325-(('Model tilvækst, slagteform, fe'!$H$9/100)*'Model tilvækst, slagteform, fe'!$B$9))*1000/(A325+Forudsætninger!$C$60))</f>
        <v>611.17974303246467</v>
      </c>
      <c r="N325" s="17">
        <f t="shared" si="144"/>
        <v>1976.4876662109834</v>
      </c>
      <c r="O325" s="19">
        <f>IF( A325&lt;Forudsætninger!$C$14,(G325/100)*Forudsætninger!$C$13,(Forudsætninger!$C$15/1000)*Forudsætninger!$C$13)</f>
        <v>3.057991763994409</v>
      </c>
      <c r="P325" s="17" cm="1">
        <f t="array" ref="P325">INDEX('Model tilvækst, slagteform, fe'!$N$9:$N$375,MATCH(MIN(ABS('Model tilvækst, slagteform, fe'!$M$9:$M$375-'Vækstfunktion, hol'!G325)),ABS('Model tilvækst, slagteform, fe'!$M$9:$M$375-'Vækstfunktion, hol'!G325),0))*(1+Forudsætninger!$C$80)</f>
        <v>8.4844224233465368</v>
      </c>
      <c r="Q325" s="17">
        <f t="shared" si="145"/>
        <v>16.337455903436286</v>
      </c>
      <c r="R325" s="17">
        <f t="shared" si="146"/>
        <v>9.4309659158554116</v>
      </c>
      <c r="S325" s="17">
        <f t="shared" si="135"/>
        <v>4.9232459774871771</v>
      </c>
      <c r="T325" s="19">
        <f>(P325)*IF(N325&lt;Forudsætninger!$B$228,IF(N325&lt;Forudsætninger!$B$227,Forudsætninger!$B$225,Forudsætninger!$C$9),Forudsætninger!$C$11)+O325</f>
        <v>22.911540234625303</v>
      </c>
      <c r="U325" s="2">
        <f>Forudsætninger!$C$68+((K325-(Forudsætninger!$C$84)))*0.01</f>
        <v>4.113992569050251</v>
      </c>
      <c r="V325" s="2">
        <f>U325+Forudsætninger!$C$69</f>
        <v>3.113992569050251</v>
      </c>
      <c r="W325">
        <f t="shared" si="136"/>
        <v>1</v>
      </c>
      <c r="X325">
        <f>IF(A325+Forudsætninger!$C$60&gt;248,IF(A325+Forudsætninger!$C$60&lt;365,IF(K325&gt;180,IF(K325&lt;260,1,0),0),0),0)</f>
        <v>1</v>
      </c>
      <c r="Y325" s="22">
        <f>IF(X325=0,0,IF('Vækstfunktion, hol'!A325&lt;Forudsætninger!$C$66,Forudsætninger!$C$67+(('Vækstfunktion, hol'!A325-Forudsætninger!$C$66)/7)*Forudsætninger!$C$64,Forudsætninger!$C$67))</f>
        <v>0.95</v>
      </c>
      <c r="Z325" s="19">
        <f t="shared" si="147"/>
        <v>5715.7145255198002</v>
      </c>
      <c r="AA325" s="19">
        <f>Forudsætninger!$C$62+Forudsætninger!$C$16</f>
        <v>1350</v>
      </c>
      <c r="AB325" s="19">
        <f>IF(K325&gt;Forudsætninger!$C$26,IF(K325&gt;Forudsætninger!$C$27,IF(K325&gt;Forudsætninger!$C$28,Forudsætninger!$E$28,Forudsætninger!$E$27+Forudsætninger!$F$28*(K325-Forudsætninger!$C$27)),Forudsætninger!$E$26+Forudsætninger!$F$27*(K325-Forudsætninger!$C$26)),Forudsætninger!$E$26)+IF(K325&gt;Forudsætninger!$C$28,Forudsætninger!$G$28,IF(K325&gt;Forudsætninger!$C$27,Forudsætninger!$G$27+Forudsætninger!$H$28*(K325-Forudsætninger!$C$27),IF(K325&gt;Forudsætninger!$C$26,Forudsætninger!$G$26+Forudsætninger!$H$27*(K325-Forudsætninger!$C$26),Forudsætninger!$G$26)))*(U325-Forudsætninger!$H$26)</f>
        <v>36.129756383153214</v>
      </c>
      <c r="AC325" s="19">
        <f>IF(K325&gt;Forudsætninger!$C$31,IF(K325&gt;Forudsætninger!$C$32,IF(K325&gt;Forudsætninger!$C$33,Forudsætninger!$E$33,Forudsætninger!$E$32+Forudsætninger!$F$33*(K325-Forudsætninger!$C$32)),Forudsætninger!$E$31+Forudsætninger!$F$32*(K325-Forudsætninger!$C$31)),Forudsætninger!$E$31)+IF(K325&gt;Forudsætninger!$C$33,Forudsætninger!$G$33,IF(K325&gt;Forudsætninger!$C$32,Forudsætninger!$G$32+Forudsætninger!$H$33*(K325-Forudsætninger!$C$32),IF(K325&gt;Forudsætninger!$C$31,Forudsætninger!$G$31+Forudsætninger!$H$32*(K325-Forudsætninger!$C$31),Forudsætninger!$G$31)))*(V325-Forudsætninger!$H$31)</f>
        <v>29.055776894099374</v>
      </c>
      <c r="AD325" s="19">
        <f t="shared" si="137"/>
        <v>8646.8573820532183</v>
      </c>
      <c r="AE325" s="19">
        <f t="shared" si="138"/>
        <v>35.776057408700524</v>
      </c>
      <c r="AF325">
        <f>IF(G325&lt;=Forudsætninger!$C$97,Forudsætninger!$C$98,(IF(G325&lt;=Forudsætninger!$D$97,Forudsætninger!$D$98,IF(G325&lt;=Forudsætninger!$E$97,Forudsætninger!$E$98,IF(G325&lt;=Forudsætninger!$F$97,Forudsætninger!$F$98,IF(G325&lt;=Forudsætninger!$G$97,Forudsætninger!$G$98,IF(G325&lt;=Forudsætninger!$H$97,Forudsætninger!$H$98,IF(G325&lt;=Forudsætninger!$I$97,Forudsætninger!$I$98,Forudsætninger!$I$98))))))))</f>
        <v>4.4000000000000004</v>
      </c>
      <c r="AG325" s="1">
        <f t="shared" si="148"/>
        <v>4.4000000000000004</v>
      </c>
      <c r="AH325" s="1">
        <f t="shared" ref="AH325:AH367" si="152">AH324+AG325</f>
        <v>1096.3999999999974</v>
      </c>
      <c r="AI325" s="1">
        <f t="shared" si="139"/>
        <v>3.3944272445820354</v>
      </c>
      <c r="AJ325" s="20">
        <f>+(W325*Forudsætninger!$C$12)</f>
        <v>900</v>
      </c>
      <c r="AK325" s="20">
        <f>Forudsætninger!$C$17</f>
        <v>250</v>
      </c>
      <c r="AL325" s="20">
        <f>IF(A325&lt;92,Forudsætninger!$C$20,Forudsætninger!$C$21)</f>
        <v>1.0566762728146013</v>
      </c>
      <c r="AM325" s="20">
        <f t="shared" si="149"/>
        <v>609.81191897240581</v>
      </c>
      <c r="AN325" s="20">
        <f>IFERROR(AD325+AJ325-AA325-Z325-AK325-AM325-Forudsætninger!$C$75,-99999999)</f>
        <v>1438.9367450116179</v>
      </c>
      <c r="AO325" s="19">
        <f>IFERROR(AN325/(A325+Forudsætninger!$C$74),-99999999)</f>
        <v>4.4549125232557829</v>
      </c>
      <c r="AP325" s="19">
        <f>IFERROR(((365/(A325+Forudsætninger!$C$74))*AN325)/(AI325+Forudsætninger!$C$73),-9999999)</f>
        <v>463.9968124612314</v>
      </c>
      <c r="AQ325" s="18">
        <f t="shared" si="140"/>
        <v>323</v>
      </c>
      <c r="AR325" s="18">
        <f t="shared" si="150"/>
        <v>7925.5264444922059</v>
      </c>
      <c r="AS325" s="52">
        <f t="shared" si="131"/>
        <v>11.9</v>
      </c>
      <c r="AT325" s="50">
        <f t="shared" ref="AT325:AT367" si="153">AN325-AN324</f>
        <v>-2.1025113545751992</v>
      </c>
      <c r="AU325" s="50">
        <f t="shared" ref="AU325:AU367" si="154">AO325-AO324</f>
        <v>-2.0364670428046239E-2</v>
      </c>
      <c r="AV325" s="2">
        <f t="shared" ref="AV325:AV367" si="155">AP325-AP324</f>
        <v>-2.5368028495328758</v>
      </c>
      <c r="AW325" s="61">
        <f t="shared" si="151"/>
        <v>6.342875120693571</v>
      </c>
      <c r="BA325" s="16"/>
      <c r="BB325" s="2"/>
    </row>
    <row r="326" spans="1:54" x14ac:dyDescent="0.25">
      <c r="A326">
        <v>324</v>
      </c>
      <c r="B326" s="1">
        <f>ROUND((A326+Forudsætninger!$C$60)/30.4,1)</f>
        <v>11.9</v>
      </c>
      <c r="C326" s="1">
        <f>VLOOKUP((A326+Forudsætninger!$C$60),'Model tilvækst, slagteform, fe'!A:B,2,FALSE)</f>
        <v>506.87126762059376</v>
      </c>
      <c r="D326" s="3">
        <f t="shared" si="141"/>
        <v>1000.0080681687109</v>
      </c>
      <c r="E326" s="1">
        <f>(1+Forudsætninger!$C$78)*C326</f>
        <v>471.39027888715214</v>
      </c>
      <c r="F326" s="2">
        <f t="shared" si="142"/>
        <v>0</v>
      </c>
      <c r="G326" s="1">
        <f t="shared" si="132"/>
        <v>471.39027888715214</v>
      </c>
      <c r="H326" s="3">
        <f t="shared" si="133"/>
        <v>930.00750339689375</v>
      </c>
      <c r="I326" s="3">
        <f t="shared" si="134"/>
        <v>1241.9453052072597</v>
      </c>
      <c r="J326" s="1">
        <f>VLOOKUP((A326+Forudsætninger!$C$60),'Model tilvækst, slagteform, fe'!G:K,2,FALSE)*(1+Forudsætninger!$C$79)</f>
        <v>51.382453080869311</v>
      </c>
      <c r="K326" s="17">
        <f t="shared" si="130"/>
        <v>242.21188887696991</v>
      </c>
      <c r="L326" s="17">
        <f t="shared" si="143"/>
        <v>517.91787080881591</v>
      </c>
      <c r="M326" s="3">
        <f>((K326-(('Model tilvækst, slagteform, fe'!$H$9/100)*'Model tilvækst, slagteform, fe'!$B$9))*1000/(A326+Forudsætninger!$C$60))</f>
        <v>610.92282327427279</v>
      </c>
      <c r="N326" s="17">
        <f t="shared" si="144"/>
        <v>1984.9858765949944</v>
      </c>
      <c r="O326" s="19">
        <f>IF( A326&lt;Forudsætninger!$C$14,(G326/100)*Forudsætninger!$C$13,(Forudsætninger!$C$15/1000)*Forudsætninger!$C$13)</f>
        <v>3.064036812766489</v>
      </c>
      <c r="P326" s="17" cm="1">
        <f t="array" ref="P326">INDEX('Model tilvækst, slagteform, fe'!$N$9:$N$375,MATCH(MIN(ABS('Model tilvækst, slagteform, fe'!$M$9:$M$375-'Vækstfunktion, hol'!G326)),ABS('Model tilvækst, slagteform, fe'!$M$9:$M$375-'Vækstfunktion, hol'!G326),0))*(1+Forudsætninger!$C$80)</f>
        <v>8.49821038401093</v>
      </c>
      <c r="Q326" s="17">
        <f t="shared" si="145"/>
        <v>16.408413115267763</v>
      </c>
      <c r="R326" s="17">
        <f t="shared" si="146"/>
        <v>9.4481666736405945</v>
      </c>
      <c r="S326" s="17">
        <f t="shared" si="135"/>
        <v>4.9329866568463281</v>
      </c>
      <c r="T326" s="19">
        <f>(P326)*IF(N326&lt;Forudsætninger!$B$228,IF(N326&lt;Forudsætninger!$B$227,Forudsætninger!$B$225,Forudsætninger!$C$9),Forudsætninger!$C$11)+O326</f>
        <v>22.949849111352062</v>
      </c>
      <c r="U326" s="2">
        <f>Forudsætninger!$C$68+((K326-(Forudsætninger!$C$84)))*0.01</f>
        <v>4.1191717477583394</v>
      </c>
      <c r="V326" s="2">
        <f>U326+Forudsætninger!$C$69</f>
        <v>3.1191717477583394</v>
      </c>
      <c r="W326">
        <f t="shared" si="136"/>
        <v>1</v>
      </c>
      <c r="X326">
        <f>IF(A326+Forudsætninger!$C$60&gt;248,IF(A326+Forudsætninger!$C$60&lt;365,IF(K326&gt;180,IF(K326&lt;260,1,0),0),0),0)</f>
        <v>1</v>
      </c>
      <c r="Y326" s="22">
        <f>IF(X326=0,0,IF('Vækstfunktion, hol'!A326&lt;Forudsætninger!$C$66,Forudsætninger!$C$67+(('Vækstfunktion, hol'!A326-Forudsætninger!$C$66)/7)*Forudsætninger!$C$64,Forudsætninger!$C$67))</f>
        <v>0.95</v>
      </c>
      <c r="Z326" s="19">
        <f t="shared" si="147"/>
        <v>5738.664374631152</v>
      </c>
      <c r="AA326" s="19">
        <f>Forudsætninger!$C$62+Forudsætninger!$C$16</f>
        <v>1350</v>
      </c>
      <c r="AB326" s="19">
        <f>IF(K326&gt;Forudsætninger!$C$26,IF(K326&gt;Forudsætninger!$C$27,IF(K326&gt;Forudsætninger!$C$28,Forudsætninger!$E$28,Forudsætninger!$E$27+Forudsætninger!$F$28*(K326-Forudsætninger!$C$27)),Forudsætninger!$E$26+Forudsætninger!$F$27*(K326-Forudsætninger!$C$26)),Forudsætninger!$E$26)+IF(K326&gt;Forudsætninger!$C$28,Forudsætninger!$G$28,IF(K326&gt;Forudsætninger!$C$27,Forudsætninger!$G$27+Forudsætninger!$H$28*(K326-Forudsætninger!$C$27),IF(K326&gt;Forudsætninger!$C$26,Forudsætninger!$G$26+Forudsætninger!$H$27*(K326-Forudsætninger!$C$26),Forudsætninger!$G$26)))*(U326-Forudsætninger!$H$26)</f>
        <v>36.143351727261944</v>
      </c>
      <c r="AC326" s="19">
        <f>IF(K326&gt;Forudsætninger!$C$31,IF(K326&gt;Forudsætninger!$C$32,IF(K326&gt;Forudsætninger!$C$33,Forudsætninger!$E$33,Forudsætninger!$E$32+Forudsætninger!$F$33*(K326-Forudsætninger!$C$32)),Forudsætninger!$E$31+Forudsætninger!$F$32*(K326-Forudsætninger!$C$31)),Forudsætninger!$E$31)+IF(K326&gt;Forudsætninger!$C$33,Forudsætninger!$G$33,IF(K326&gt;Forudsætninger!$C$32,Forudsætninger!$G$32+Forudsætninger!$H$33*(K326-Forudsætninger!$C$32),IF(K326&gt;Forudsætninger!$C$31,Forudsætninger!$G$31+Forudsætninger!$H$32*(K326-Forudsætninger!$C$31),Forudsætninger!$G$31)))*(V326-Forudsætninger!$H$31)</f>
        <v>29.069237363089208</v>
      </c>
      <c r="AD326" s="19">
        <f t="shared" si="137"/>
        <v>8668.6777620909088</v>
      </c>
      <c r="AE326" s="19">
        <f t="shared" si="138"/>
        <v>35.789646009053307</v>
      </c>
      <c r="AF326">
        <f>IF(G326&lt;=Forudsætninger!$C$97,Forudsætninger!$C$98,(IF(G326&lt;=Forudsætninger!$D$97,Forudsætninger!$D$98,IF(G326&lt;=Forudsætninger!$E$97,Forudsætninger!$E$98,IF(G326&lt;=Forudsætninger!$F$97,Forudsætninger!$F$98,IF(G326&lt;=Forudsætninger!$G$97,Forudsætninger!$G$98,IF(G326&lt;=Forudsætninger!$H$97,Forudsætninger!$H$98,IF(G326&lt;=Forudsætninger!$I$97,Forudsætninger!$I$98,Forudsætninger!$I$98))))))))</f>
        <v>4.4000000000000004</v>
      </c>
      <c r="AG326" s="1">
        <f t="shared" si="148"/>
        <v>4.4000000000000004</v>
      </c>
      <c r="AH326" s="1">
        <f t="shared" si="152"/>
        <v>1100.7999999999975</v>
      </c>
      <c r="AI326" s="1">
        <f t="shared" si="139"/>
        <v>3.397530864197523</v>
      </c>
      <c r="AJ326" s="20">
        <f>+(W326*Forudsætninger!$C$12)</f>
        <v>900</v>
      </c>
      <c r="AK326" s="20">
        <f>Forudsætninger!$C$17</f>
        <v>250</v>
      </c>
      <c r="AL326" s="20">
        <f>IF(A326&lt;92,Forudsætninger!$C$20,Forudsætninger!$C$21)</f>
        <v>1.0566762728146013</v>
      </c>
      <c r="AM326" s="20">
        <f t="shared" si="149"/>
        <v>610.86859524522038</v>
      </c>
      <c r="AN326" s="20">
        <f>IFERROR(AD326+AJ326-AA326-Z326-AK326-AM326-Forudsætninger!$C$75,-99999999)</f>
        <v>1436.7505996651419</v>
      </c>
      <c r="AO326" s="19">
        <f>IFERROR(AN326/(A326+Forudsætninger!$C$74),-99999999)</f>
        <v>4.4344154310652524</v>
      </c>
      <c r="AP326" s="19">
        <f>IFERROR(((365/(A326+Forudsætninger!$C$74))*AN326)/(AI326+Forudsætninger!$C$73),-9999999)</f>
        <v>461.45328295183026</v>
      </c>
      <c r="AQ326" s="18">
        <f t="shared" si="140"/>
        <v>324</v>
      </c>
      <c r="AR326" s="18">
        <f t="shared" si="150"/>
        <v>7949.5329698763726</v>
      </c>
      <c r="AS326" s="52">
        <f t="shared" si="131"/>
        <v>11.9</v>
      </c>
      <c r="AT326" s="50">
        <f t="shared" si="153"/>
        <v>-2.1861453464759961</v>
      </c>
      <c r="AU326" s="50">
        <f t="shared" si="154"/>
        <v>-2.049709219053053E-2</v>
      </c>
      <c r="AV326" s="2">
        <f t="shared" si="155"/>
        <v>-2.5435295094011394</v>
      </c>
      <c r="AW326" s="61">
        <f t="shared" si="151"/>
        <v>6.3198123299702536</v>
      </c>
      <c r="BA326" s="16"/>
      <c r="BB326" s="2"/>
    </row>
    <row r="327" spans="1:54" x14ac:dyDescent="0.25">
      <c r="A327">
        <v>325</v>
      </c>
      <c r="B327" s="1">
        <f>ROUND((A327+Forudsætninger!$C$60)/30.4,1)</f>
        <v>12</v>
      </c>
      <c r="C327" s="1">
        <f>VLOOKUP((A327+Forudsætninger!$C$60),'Model tilvækst, slagteform, fe'!A:B,2,FALSE)</f>
        <v>507.86802589849077</v>
      </c>
      <c r="D327" s="3">
        <f t="shared" si="141"/>
        <v>996.75827789701543</v>
      </c>
      <c r="E327" s="1">
        <f>(1+Forudsætninger!$C$78)*C327</f>
        <v>472.31726408559638</v>
      </c>
      <c r="F327" s="2">
        <f t="shared" si="142"/>
        <v>0</v>
      </c>
      <c r="G327" s="1">
        <f t="shared" si="132"/>
        <v>472.31726408559638</v>
      </c>
      <c r="H327" s="3">
        <f t="shared" si="133"/>
        <v>926.98519844424254</v>
      </c>
      <c r="I327" s="3">
        <f t="shared" si="134"/>
        <v>1240.9761971864505</v>
      </c>
      <c r="J327" s="1">
        <f>VLOOKUP((A327+Forudsætninger!$C$60),'Model tilvækst, slagteform, fe'!G:K,2,FALSE)*(1+Forudsætninger!$C$79)</f>
        <v>51.390968303058067</v>
      </c>
      <c r="K327" s="17">
        <f t="shared" si="130"/>
        <v>242.72841547609991</v>
      </c>
      <c r="L327" s="17">
        <f t="shared" si="143"/>
        <v>516.52659913000321</v>
      </c>
      <c r="M327" s="3">
        <f>((K327-(('Model tilvækst, slagteform, fe'!$H$9/100)*'Model tilvækst, slagteform, fe'!$B$9))*1000/(A327+Forudsætninger!$C$60))</f>
        <v>610.66349298816215</v>
      </c>
      <c r="N327" s="17">
        <f t="shared" si="144"/>
        <v>1993.4978765949943</v>
      </c>
      <c r="O327" s="19">
        <f>IF( A327&lt;Forudsætninger!$C$14,(G327/100)*Forudsætninger!$C$13,(Forudsætninger!$C$15/1000)*Forudsætninger!$C$13)</f>
        <v>3.0700622165563765</v>
      </c>
      <c r="P327" s="17" cm="1">
        <f t="array" ref="P327">INDEX('Model tilvækst, slagteform, fe'!$N$9:$N$375,MATCH(MIN(ABS('Model tilvækst, slagteform, fe'!$M$9:$M$375-'Vækstfunktion, hol'!G327)),ABS('Model tilvækst, slagteform, fe'!$M$9:$M$375-'Vækstfunktion, hol'!G327),0))*(1+Forudsætninger!$C$80)</f>
        <v>8.5119999999999987</v>
      </c>
      <c r="Q327" s="17">
        <f t="shared" si="145"/>
        <v>16.479306224184665</v>
      </c>
      <c r="R327" s="17">
        <f t="shared" si="146"/>
        <v>9.4654108358715767</v>
      </c>
      <c r="S327" s="17">
        <f t="shared" si="135"/>
        <v>4.9427536436226358</v>
      </c>
      <c r="T327" s="19">
        <f>(P327)*IF(N327&lt;Forudsætninger!$B$228,IF(N327&lt;Forudsætninger!$B$227,Forudsætninger!$B$225,Forudsætninger!$C$9),Forudsætninger!$C$11)+O327</f>
        <v>22.988142216556373</v>
      </c>
      <c r="U327" s="2">
        <f>Forudsætninger!$C$68+((K327-(Forudsætninger!$C$84)))*0.01</f>
        <v>4.1243370137496393</v>
      </c>
      <c r="V327" s="2">
        <f>U327+Forudsætninger!$C$69</f>
        <v>3.1243370137496393</v>
      </c>
      <c r="W327">
        <f t="shared" si="136"/>
        <v>1</v>
      </c>
      <c r="X327">
        <f>IF(A327+Forudsætninger!$C$60&gt;248,IF(A327+Forudsætninger!$C$60&lt;365,IF(K327&gt;180,IF(K327&lt;260,1,0),0),0),0)</f>
        <v>1</v>
      </c>
      <c r="Y327" s="22">
        <f>IF(X327=0,0,IF('Vækstfunktion, hol'!A327&lt;Forudsætninger!$C$66,Forudsætninger!$C$67+(('Vækstfunktion, hol'!A327-Forudsætninger!$C$66)/7)*Forudsætninger!$C$64,Forudsætninger!$C$67))</f>
        <v>0.95</v>
      </c>
      <c r="Z327" s="19">
        <f t="shared" si="147"/>
        <v>5761.6525168477083</v>
      </c>
      <c r="AA327" s="19">
        <f>Forudsætninger!$C$62+Forudsætninger!$C$16</f>
        <v>1350</v>
      </c>
      <c r="AB327" s="19">
        <f>IF(K327&gt;Forudsætninger!$C$26,IF(K327&gt;Forudsætninger!$C$27,IF(K327&gt;Forudsætninger!$C$28,Forudsætninger!$E$28,Forudsætninger!$E$27+Forudsætninger!$F$28*(K327-Forudsætninger!$C$27)),Forudsætninger!$E$26+Forudsætninger!$F$27*(K327-Forudsætninger!$C$26)),Forudsætninger!$E$26)+IF(K327&gt;Forudsætninger!$C$28,Forudsætninger!$G$28,IF(K327&gt;Forudsætninger!$C$27,Forudsætninger!$G$27+Forudsætninger!$H$28*(K327-Forudsætninger!$C$27),IF(K327&gt;Forudsætninger!$C$26,Forudsætninger!$G$26+Forudsætninger!$H$27*(K327-Forudsætninger!$C$26),Forudsætninger!$G$26)))*(U327-Forudsætninger!$H$26)</f>
        <v>36.156910550489108</v>
      </c>
      <c r="AC327" s="19">
        <f>IF(K327&gt;Forudsætninger!$C$31,IF(K327&gt;Forudsætninger!$C$32,IF(K327&gt;Forudsætninger!$C$33,Forudsætninger!$E$33,Forudsætninger!$E$32+Forudsætninger!$F$33*(K327-Forudsætninger!$C$32)),Forudsætninger!$E$31+Forudsætninger!$F$32*(K327-Forudsætninger!$C$31)),Forudsætninger!$E$31)+IF(K327&gt;Forudsætninger!$C$33,Forudsætninger!$G$33,IF(K327&gt;Forudsætninger!$C$32,Forudsætninger!$G$32+Forudsætninger!$H$33*(K327-Forudsætninger!$C$32),IF(K327&gt;Forudsætninger!$C$31,Forudsætninger!$G$31+Forudsætninger!$H$32*(K327-Forudsætninger!$C$31),Forudsætninger!$G$31)))*(V327-Forudsætninger!$H$31)</f>
        <v>29.08264163658146</v>
      </c>
      <c r="AD327" s="19">
        <f t="shared" si="137"/>
        <v>8690.4533022250689</v>
      </c>
      <c r="AE327" s="19">
        <f t="shared" si="138"/>
        <v>35.803197104793725</v>
      </c>
      <c r="AF327">
        <f>IF(G327&lt;=Forudsætninger!$C$97,Forudsætninger!$C$98,(IF(G327&lt;=Forudsætninger!$D$97,Forudsætninger!$D$98,IF(G327&lt;=Forudsætninger!$E$97,Forudsætninger!$E$98,IF(G327&lt;=Forudsætninger!$F$97,Forudsætninger!$F$98,IF(G327&lt;=Forudsætninger!$G$97,Forudsætninger!$G$98,IF(G327&lt;=Forudsætninger!$H$97,Forudsætninger!$H$98,IF(G327&lt;=Forudsætninger!$I$97,Forudsætninger!$I$98,Forudsætninger!$I$98))))))))</f>
        <v>4.4000000000000004</v>
      </c>
      <c r="AG327" s="1">
        <f t="shared" si="148"/>
        <v>4.4000000000000004</v>
      </c>
      <c r="AH327" s="1">
        <f t="shared" si="152"/>
        <v>1105.1999999999975</v>
      </c>
      <c r="AI327" s="1">
        <f t="shared" si="139"/>
        <v>3.400615384615377</v>
      </c>
      <c r="AJ327" s="20">
        <f>+(W327*Forudsætninger!$C$12)</f>
        <v>900</v>
      </c>
      <c r="AK327" s="20">
        <f>Forudsætninger!$C$17</f>
        <v>250</v>
      </c>
      <c r="AL327" s="20">
        <f>IF(A327&lt;92,Forudsætninger!$C$20,Forudsætninger!$C$21)</f>
        <v>1.0566762728146013</v>
      </c>
      <c r="AM327" s="20">
        <f t="shared" si="149"/>
        <v>611.92527151803495</v>
      </c>
      <c r="AN327" s="20">
        <f>IFERROR(AD327+AJ327-AA327-Z327-AK327-AM327-Forudsætninger!$C$75,-99999999)</f>
        <v>1434.481321309931</v>
      </c>
      <c r="AO327" s="19">
        <f>IFERROR(AN327/(A327+Forudsætninger!$C$74),-99999999)</f>
        <v>4.4137886809536342</v>
      </c>
      <c r="AP327" s="19">
        <f>IFERROR(((365/(A327+Forudsætninger!$C$74))*AN327)/(AI327+Forudsætninger!$C$73),-9999999)</f>
        <v>458.90326681986585</v>
      </c>
      <c r="AQ327" s="18">
        <f t="shared" si="140"/>
        <v>325</v>
      </c>
      <c r="AR327" s="18">
        <f t="shared" si="150"/>
        <v>7973.5777883657429</v>
      </c>
      <c r="AS327" s="52">
        <f t="shared" si="131"/>
        <v>12</v>
      </c>
      <c r="AT327" s="50">
        <f t="shared" si="153"/>
        <v>-2.2692783552108722</v>
      </c>
      <c r="AU327" s="50">
        <f t="shared" si="154"/>
        <v>-2.0626750111618186E-2</v>
      </c>
      <c r="AV327" s="2">
        <f t="shared" si="155"/>
        <v>-2.5500161319644121</v>
      </c>
      <c r="AW327" s="61">
        <f t="shared" si="151"/>
        <v>6.2966356702398958</v>
      </c>
      <c r="BA327" s="16"/>
      <c r="BB327" s="2"/>
    </row>
    <row r="328" spans="1:54" x14ac:dyDescent="0.25">
      <c r="A328">
        <v>326</v>
      </c>
      <c r="B328" s="1">
        <f>ROUND((A328+Forudsætninger!$C$60)/30.4,1)</f>
        <v>12</v>
      </c>
      <c r="C328" s="1">
        <f>VLOOKUP((A328+Forudsætninger!$C$60),'Model tilvækst, slagteform, fe'!A:B,2,FALSE)</f>
        <v>508.86156870845036</v>
      </c>
      <c r="D328" s="3">
        <f t="shared" si="141"/>
        <v>993.54280995959243</v>
      </c>
      <c r="E328" s="1">
        <f>(1+Forudsætninger!$C$78)*C328</f>
        <v>473.2412588988588</v>
      </c>
      <c r="F328" s="2">
        <f t="shared" si="142"/>
        <v>0</v>
      </c>
      <c r="G328" s="1">
        <f t="shared" si="132"/>
        <v>473.2412588988588</v>
      </c>
      <c r="H328" s="3">
        <f t="shared" si="133"/>
        <v>923.99481326242494</v>
      </c>
      <c r="I328" s="3">
        <f t="shared" si="134"/>
        <v>1240.0038616529412</v>
      </c>
      <c r="J328" s="1">
        <f>VLOOKUP((A328+Forudsætninger!$C$60),'Model tilvækst, slagteform, fe'!G:K,2,FALSE)*(1+Forudsætninger!$C$79)</f>
        <v>51.399484026272582</v>
      </c>
      <c r="K328" s="17">
        <f t="shared" si="130"/>
        <v>243.2435652734502</v>
      </c>
      <c r="L328" s="17">
        <f t="shared" si="143"/>
        <v>515.14979735028987</v>
      </c>
      <c r="M328" s="3">
        <f>((K328-(('Model tilvækst, slagteform, fe'!$H$9/100)*'Model tilvækst, slagteform, fe'!$B$9))*1000/(A328+Forudsætninger!$C$60))</f>
        <v>610.40181163025022</v>
      </c>
      <c r="N328" s="17">
        <f t="shared" si="144"/>
        <v>2002.0098765949942</v>
      </c>
      <c r="O328" s="19">
        <f>IF( A328&lt;Forudsætninger!$C$14,(G328/100)*Forudsætninger!$C$13,(Forudsætninger!$C$15/1000)*Forudsætninger!$C$13)</f>
        <v>3.0760681828425822</v>
      </c>
      <c r="P328" s="17" cm="1">
        <f t="array" ref="P328">INDEX('Model tilvækst, slagteform, fe'!$N$9:$N$375,MATCH(MIN(ABS('Model tilvækst, slagteform, fe'!$M$9:$M$375-'Vækstfunktion, hol'!G328)),ABS('Model tilvækst, slagteform, fe'!$M$9:$M$375-'Vækstfunktion, hol'!G328),0))*(1+Forudsætninger!$C$80)</f>
        <v>8.5119999999999987</v>
      </c>
      <c r="Q328" s="17">
        <f t="shared" si="145"/>
        <v>16.523349215669082</v>
      </c>
      <c r="R328" s="17">
        <f t="shared" si="146"/>
        <v>9.4826324596699862</v>
      </c>
      <c r="S328" s="17">
        <f t="shared" si="135"/>
        <v>4.9525124724982543</v>
      </c>
      <c r="T328" s="19">
        <f>(P328)*IF(N328&lt;Forudsætninger!$B$228,IF(N328&lt;Forudsætninger!$B$227,Forudsætninger!$B$225,Forudsætninger!$C$9),Forudsætninger!$C$11)+O328</f>
        <v>22.994148182842579</v>
      </c>
      <c r="U328" s="2">
        <f>Forudsætninger!$C$68+((K328-(Forudsætninger!$C$84)))*0.01</f>
        <v>4.1294885117231424</v>
      </c>
      <c r="V328" s="2">
        <f>U328+Forudsætninger!$C$69</f>
        <v>3.1294885117231424</v>
      </c>
      <c r="W328">
        <f t="shared" si="136"/>
        <v>1</v>
      </c>
      <c r="X328">
        <f>IF(A328+Forudsætninger!$C$60&gt;248,IF(A328+Forudsætninger!$C$60&lt;365,IF(K328&gt;180,IF(K328&lt;260,1,0),0),0),0)</f>
        <v>0</v>
      </c>
      <c r="Y328" s="22">
        <f>IF(X328=0,0,IF('Vækstfunktion, hol'!A328&lt;Forudsætninger!$C$66,Forudsætninger!$C$67+(('Vækstfunktion, hol'!A328-Forudsætninger!$C$66)/7)*Forudsætninger!$C$64,Forudsætninger!$C$67))</f>
        <v>0</v>
      </c>
      <c r="Z328" s="19">
        <f t="shared" si="147"/>
        <v>5784.646665030551</v>
      </c>
      <c r="AA328" s="19">
        <f>Forudsætninger!$C$62+Forudsætninger!$C$16</f>
        <v>1350</v>
      </c>
      <c r="AB328" s="19">
        <f>IF(K328&gt;Forudsætninger!$C$26,IF(K328&gt;Forudsætninger!$C$27,IF(K328&gt;Forudsætninger!$C$28,Forudsætninger!$E$28,Forudsætninger!$E$27+Forudsætninger!$F$28*(K328-Forudsætninger!$C$27)),Forudsætninger!$E$26+Forudsætninger!$F$27*(K328-Forudsætninger!$C$26)),Forudsætninger!$E$26)+IF(K328&gt;Forudsætninger!$C$28,Forudsætninger!$G$28,IF(K328&gt;Forudsætninger!$C$27,Forudsætninger!$G$27+Forudsætninger!$H$28*(K328-Forudsætninger!$C$27),IF(K328&gt;Forudsætninger!$C$26,Forudsætninger!$G$26+Forudsætninger!$H$27*(K328-Forudsætninger!$C$26),Forudsætninger!$G$26)))*(U328-Forudsætninger!$H$26)</f>
        <v>36.170433232669545</v>
      </c>
      <c r="AC328" s="19">
        <f>IF(K328&gt;Forudsætninger!$C$31,IF(K328&gt;Forudsætninger!$C$32,IF(K328&gt;Forudsætninger!$C$33,Forudsætninger!$E$33,Forudsætninger!$E$32+Forudsætninger!$F$33*(K328-Forudsætninger!$C$32)),Forudsætninger!$E$31+Forudsætninger!$F$32*(K328-Forudsætninger!$C$31)),Forudsætninger!$E$31)+IF(K328&gt;Forudsætninger!$C$33,Forudsætninger!$G$33,IF(K328&gt;Forudsætninger!$C$32,Forudsætninger!$G$32+Forudsætninger!$H$33*(K328-Forudsætninger!$C$32),IF(K328&gt;Forudsætninger!$C$31,Forudsætninger!$G$31+Forudsætninger!$H$32*(K328-Forudsætninger!$C$31),Forudsætninger!$G$31)))*(V328-Forudsætninger!$H$31)</f>
        <v>29.095990250933607</v>
      </c>
      <c r="AD328" s="19">
        <f t="shared" si="137"/>
        <v>7077.4124037986394</v>
      </c>
      <c r="AE328" s="19">
        <f t="shared" si="138"/>
        <v>29.095990250933607</v>
      </c>
      <c r="AF328">
        <f>IF(G328&lt;=Forudsætninger!$C$97,Forudsætninger!$C$98,(IF(G328&lt;=Forudsætninger!$D$97,Forudsætninger!$D$98,IF(G328&lt;=Forudsætninger!$E$97,Forudsætninger!$E$98,IF(G328&lt;=Forudsætninger!$F$97,Forudsætninger!$F$98,IF(G328&lt;=Forudsætninger!$G$97,Forudsætninger!$G$98,IF(G328&lt;=Forudsætninger!$H$97,Forudsætninger!$H$98,IF(G328&lt;=Forudsætninger!$I$97,Forudsætninger!$I$98,Forudsætninger!$I$98))))))))</f>
        <v>4.4000000000000004</v>
      </c>
      <c r="AG328" s="1">
        <f t="shared" si="148"/>
        <v>4.4000000000000004</v>
      </c>
      <c r="AH328" s="1">
        <f t="shared" si="152"/>
        <v>1109.5999999999976</v>
      </c>
      <c r="AI328" s="1">
        <f t="shared" si="139"/>
        <v>3.4036809815950848</v>
      </c>
      <c r="AJ328" s="20">
        <f>+(W328*Forudsætninger!$C$12)</f>
        <v>900</v>
      </c>
      <c r="AK328" s="20">
        <f>Forudsætninger!$C$17</f>
        <v>250</v>
      </c>
      <c r="AL328" s="20">
        <f>IF(A328&lt;92,Forudsætninger!$C$20,Forudsætninger!$C$21)</f>
        <v>1.0566762728146013</v>
      </c>
      <c r="AM328" s="20">
        <f t="shared" si="149"/>
        <v>612.98194779084952</v>
      </c>
      <c r="AN328" s="20">
        <f>IFERROR(AD328+AJ328-AA328-Z328-AK328-AM328-Forudsætninger!$C$75,-99999999)</f>
        <v>-202.61040157215572</v>
      </c>
      <c r="AO328" s="19">
        <f>IFERROR(AN328/(A328+Forudsætninger!$C$74),-99999999)</f>
        <v>-0.62150429930109119</v>
      </c>
      <c r="AP328" s="19">
        <f>IFERROR(((365/(A328+Forudsætninger!$C$74))*AN328)/(AI328+Forudsætninger!$C$73),-9999999)</f>
        <v>-64.561657826407725</v>
      </c>
      <c r="AQ328" s="18">
        <f t="shared" si="140"/>
        <v>326</v>
      </c>
      <c r="AR328" s="18">
        <f t="shared" si="150"/>
        <v>7997.6286128214006</v>
      </c>
      <c r="AS328" s="52">
        <f t="shared" si="131"/>
        <v>12</v>
      </c>
      <c r="AT328" s="50">
        <f t="shared" si="153"/>
        <v>-1637.0917228820867</v>
      </c>
      <c r="AU328" s="50">
        <f t="shared" si="154"/>
        <v>-5.0352929802547255</v>
      </c>
      <c r="AV328" s="2">
        <f t="shared" si="155"/>
        <v>-523.46492464627363</v>
      </c>
      <c r="AW328" s="61">
        <f t="shared" si="151"/>
        <v>1.2588084239837232</v>
      </c>
      <c r="BA328" s="16"/>
      <c r="BB328" s="2"/>
    </row>
    <row r="329" spans="1:54" x14ac:dyDescent="0.25">
      <c r="A329">
        <v>327</v>
      </c>
      <c r="B329" s="1">
        <f>ROUND((A329+Forudsætninger!$C$60)/30.4,1)</f>
        <v>12</v>
      </c>
      <c r="C329" s="1">
        <f>VLOOKUP((A329+Forudsætninger!$C$60),'Model tilvækst, slagteform, fe'!A:B,2,FALSE)</f>
        <v>509.85193090715325</v>
      </c>
      <c r="D329" s="3">
        <f t="shared" si="141"/>
        <v>990.36219870288278</v>
      </c>
      <c r="E329" s="1">
        <f>(1+Forudsætninger!$C$78)*C329</f>
        <v>474.16229574365246</v>
      </c>
      <c r="F329" s="2">
        <f t="shared" si="142"/>
        <v>0</v>
      </c>
      <c r="G329" s="1">
        <f t="shared" si="132"/>
        <v>474.16229574365246</v>
      </c>
      <c r="H329" s="3">
        <f t="shared" si="133"/>
        <v>921.03684479366166</v>
      </c>
      <c r="I329" s="3">
        <f t="shared" si="134"/>
        <v>1239.028427350619</v>
      </c>
      <c r="J329" s="1">
        <f>VLOOKUP((A329+Forudsætninger!$C$60),'Model tilvækst, slagteform, fe'!G:K,2,FALSE)*(1+Forudsætninger!$C$79)</f>
        <v>51.407999999999994</v>
      </c>
      <c r="K329" s="17">
        <f t="shared" si="130"/>
        <v>243.75735299589684</v>
      </c>
      <c r="L329" s="17">
        <f t="shared" si="143"/>
        <v>513.78772244663651</v>
      </c>
      <c r="M329" s="3">
        <f>((K329-(('Model tilvækst, slagteform, fe'!$H$9/100)*'Model tilvækst, slagteform, fe'!$B$9))*1000/(A329+Forudsætninger!$C$60))</f>
        <v>610.13783870898351</v>
      </c>
      <c r="N329" s="17">
        <f t="shared" si="144"/>
        <v>2010.5218765949942</v>
      </c>
      <c r="O329" s="19">
        <f>IF( A329&lt;Forudsætninger!$C$14,(G329/100)*Forudsætninger!$C$13,(Forudsætninger!$C$15/1000)*Forudsætninger!$C$13)</f>
        <v>3.0820549223337408</v>
      </c>
      <c r="P329" s="17" cm="1">
        <f t="array" ref="P329">INDEX('Model tilvækst, slagteform, fe'!$N$9:$N$375,MATCH(MIN(ABS('Model tilvækst, slagteform, fe'!$M$9:$M$375-'Vækstfunktion, hol'!G329)),ABS('Model tilvækst, slagteform, fe'!$M$9:$M$375-'Vækstfunktion, hol'!G329),0))*(1+Forudsætninger!$C$80)</f>
        <v>8.5119999999999987</v>
      </c>
      <c r="Q329" s="17">
        <f t="shared" si="145"/>
        <v>16.567153375067424</v>
      </c>
      <c r="R329" s="17">
        <f t="shared" si="146"/>
        <v>9.4998313846742324</v>
      </c>
      <c r="S329" s="17">
        <f t="shared" si="135"/>
        <v>4.962263018341317</v>
      </c>
      <c r="T329" s="19">
        <f>(P329)*IF(N329&lt;Forudsætninger!$B$228,IF(N329&lt;Forudsætninger!$B$227,Forudsætninger!$B$225,Forudsætninger!$C$9),Forudsætninger!$C$11)+O329</f>
        <v>23.000134922333736</v>
      </c>
      <c r="U329" s="2">
        <f>Forudsætninger!$C$68+((K329-(Forudsætninger!$C$84)))*0.01</f>
        <v>4.1346263889476083</v>
      </c>
      <c r="V329" s="2">
        <f>U329+Forudsætninger!$C$69</f>
        <v>3.1346263889476083</v>
      </c>
      <c r="W329">
        <f t="shared" si="136"/>
        <v>1</v>
      </c>
      <c r="X329">
        <f>IF(A329+Forudsætninger!$C$60&gt;248,IF(A329+Forudsætninger!$C$60&lt;365,IF(K329&gt;180,IF(K329&lt;260,1,0),0),0),0)</f>
        <v>0</v>
      </c>
      <c r="Y329" s="22">
        <f>IF(X329=0,0,IF('Vækstfunktion, hol'!A329&lt;Forudsætninger!$C$66,Forudsætninger!$C$67+(('Vækstfunktion, hol'!A329-Forudsætninger!$C$66)/7)*Forudsætninger!$C$64,Forudsætninger!$C$67))</f>
        <v>0</v>
      </c>
      <c r="Z329" s="19">
        <f t="shared" si="147"/>
        <v>5807.646799952885</v>
      </c>
      <c r="AA329" s="19">
        <f>Forudsætninger!$C$62+Forudsætninger!$C$16</f>
        <v>1350</v>
      </c>
      <c r="AB329" s="19">
        <f>IF(K329&gt;Forudsætninger!$C$26,IF(K329&gt;Forudsætninger!$C$27,IF(K329&gt;Forudsætninger!$C$28,Forudsætninger!$E$28,Forudsætninger!$E$27+Forudsætninger!$F$28*(K329-Forudsætninger!$C$27)),Forudsætninger!$E$26+Forudsætninger!$F$27*(K329-Forudsætninger!$C$26)),Forudsætninger!$E$26)+IF(K329&gt;Forudsætninger!$C$28,Forudsætninger!$G$28,IF(K329&gt;Forudsætninger!$C$27,Forudsætninger!$G$27+Forudsætninger!$H$28*(K329-Forudsætninger!$C$27),IF(K329&gt;Forudsætninger!$C$26,Forudsætninger!$G$26+Forudsætninger!$H$27*(K329-Forudsætninger!$C$26),Forudsætninger!$G$26)))*(U329-Forudsætninger!$H$26)</f>
        <v>36.183920160383771</v>
      </c>
      <c r="AC329" s="19">
        <f>IF(K329&gt;Forudsætninger!$C$31,IF(K329&gt;Forudsætninger!$C$32,IF(K329&gt;Forudsætninger!$C$33,Forudsætninger!$E$33,Forudsætninger!$E$32+Forudsætninger!$F$33*(K329-Forudsætninger!$C$32)),Forudsætninger!$E$31+Forudsætninger!$F$32*(K329-Forudsætninger!$C$31)),Forudsætninger!$E$31)+IF(K329&gt;Forudsætninger!$C$33,Forudsætninger!$G$33,IF(K329&gt;Forudsætninger!$C$32,Forudsætninger!$G$32+Forudsætninger!$H$33*(K329-Forudsætninger!$C$32),IF(K329&gt;Forudsætninger!$C$31,Forudsætninger!$G$31+Forudsætninger!$H$32*(K329-Forudsætninger!$C$31),Forudsætninger!$G$31)))*(V329-Forudsætninger!$H$31)</f>
        <v>29.109283746481303</v>
      </c>
      <c r="AD329" s="19">
        <f t="shared" si="137"/>
        <v>7095.6019536487656</v>
      </c>
      <c r="AE329" s="19">
        <f t="shared" si="138"/>
        <v>29.109283746481303</v>
      </c>
      <c r="AF329">
        <f>IF(G329&lt;=Forudsætninger!$C$97,Forudsætninger!$C$98,(IF(G329&lt;=Forudsætninger!$D$97,Forudsætninger!$D$98,IF(G329&lt;=Forudsætninger!$E$97,Forudsætninger!$E$98,IF(G329&lt;=Forudsætninger!$F$97,Forudsætninger!$F$98,IF(G329&lt;=Forudsætninger!$G$97,Forudsætninger!$G$98,IF(G329&lt;=Forudsætninger!$H$97,Forudsætninger!$H$98,IF(G329&lt;=Forudsætninger!$I$97,Forudsætninger!$I$98,Forudsætninger!$I$98))))))))</f>
        <v>4.4000000000000004</v>
      </c>
      <c r="AG329" s="1">
        <f t="shared" si="148"/>
        <v>4.4000000000000004</v>
      </c>
      <c r="AH329" s="1">
        <f t="shared" si="152"/>
        <v>1113.9999999999977</v>
      </c>
      <c r="AI329" s="1">
        <f t="shared" si="139"/>
        <v>3.4067278287461704</v>
      </c>
      <c r="AJ329" s="20">
        <f>+(W329*Forudsætninger!$C$12)</f>
        <v>900</v>
      </c>
      <c r="AK329" s="20">
        <f>Forudsætninger!$C$17</f>
        <v>250</v>
      </c>
      <c r="AL329" s="20">
        <f>IF(A329&lt;92,Forudsætninger!$C$20,Forudsætninger!$C$21)</f>
        <v>1.0566762728146013</v>
      </c>
      <c r="AM329" s="20">
        <f t="shared" si="149"/>
        <v>614.03862406366409</v>
      </c>
      <c r="AN329" s="20">
        <f>IFERROR(AD329+AJ329-AA329-Z329-AK329-AM329-Forudsætninger!$C$75,-99999999)</f>
        <v>-208.47766291717798</v>
      </c>
      <c r="AO329" s="19">
        <f>IFERROR(AN329/(A329+Forudsætninger!$C$74),-99999999)</f>
        <v>-0.63754636977730272</v>
      </c>
      <c r="AP329" s="19">
        <f>IFERROR(((365/(A329+Forudsætninger!$C$74))*AN329)/(AI329+Forudsætninger!$C$73),-9999999)</f>
        <v>-66.170723553458018</v>
      </c>
      <c r="AQ329" s="18">
        <f t="shared" si="140"/>
        <v>327</v>
      </c>
      <c r="AR329" s="18">
        <f t="shared" si="150"/>
        <v>8021.6854240165494</v>
      </c>
      <c r="AS329" s="52">
        <f t="shared" si="131"/>
        <v>12</v>
      </c>
      <c r="AT329" s="50">
        <f t="shared" si="153"/>
        <v>-5.867261345022257</v>
      </c>
      <c r="AU329" s="50">
        <f t="shared" si="154"/>
        <v>-1.6042070476211534E-2</v>
      </c>
      <c r="AV329" s="2">
        <f t="shared" si="155"/>
        <v>-1.609065727050293</v>
      </c>
      <c r="AW329" s="61">
        <f t="shared" si="151"/>
        <v>1.2402475876039329</v>
      </c>
      <c r="BA329" s="16"/>
      <c r="BB329" s="2"/>
    </row>
    <row r="330" spans="1:54" x14ac:dyDescent="0.25">
      <c r="A330">
        <v>328</v>
      </c>
      <c r="B330" s="1">
        <f>ROUND((A330+Forudsætninger!$C$60)/30.4,1)</f>
        <v>12.1</v>
      </c>
      <c r="C330" s="1" t="e">
        <f>VLOOKUP((A330+Forudsætninger!$C$60),'Model tilvækst, slagteform, fe'!A:B,2,FALSE)</f>
        <v>#N/A</v>
      </c>
      <c r="D330" s="3" t="e">
        <f t="shared" si="141"/>
        <v>#N/A</v>
      </c>
      <c r="E330" s="1" t="e">
        <f>(1+Forudsætninger!$C$78)*C330</f>
        <v>#N/A</v>
      </c>
      <c r="F330" s="2" t="e">
        <f t="shared" si="142"/>
        <v>#N/A</v>
      </c>
      <c r="G330" s="1" t="e">
        <f t="shared" si="132"/>
        <v>#N/A</v>
      </c>
      <c r="H330" s="3" t="e">
        <f t="shared" si="133"/>
        <v>#N/A</v>
      </c>
      <c r="I330" s="3" t="e">
        <f t="shared" si="134"/>
        <v>#N/A</v>
      </c>
      <c r="J330" s="1" t="e">
        <f>VLOOKUP((A330+Forudsætninger!$C$60),'Model tilvækst, slagteform, fe'!G:K,2,FALSE)*(1+Forudsætninger!$C$79)</f>
        <v>#N/A</v>
      </c>
      <c r="K330" s="17" t="e">
        <f t="shared" si="130"/>
        <v>#N/A</v>
      </c>
      <c r="L330" s="17" t="e">
        <f t="shared" si="143"/>
        <v>#N/A</v>
      </c>
      <c r="M330" s="3" t="e">
        <f>((K330-(('Model tilvækst, slagteform, fe'!$H$9/100)*'Model tilvækst, slagteform, fe'!$B$9))*1000/(A330+Forudsætninger!$C$60))</f>
        <v>#N/A</v>
      </c>
      <c r="N330" s="17" t="e">
        <f t="shared" si="144"/>
        <v>#N/A</v>
      </c>
      <c r="O330" s="19" t="e">
        <f>IF( A330&lt;Forudsætninger!$C$14,(G330/100)*Forudsætninger!$C$13,(Forudsætninger!$C$15/1000)*Forudsætninger!$C$13)</f>
        <v>#N/A</v>
      </c>
      <c r="P330" s="17" t="e" cm="1">
        <f t="array" ref="P330">INDEX('Model tilvækst, slagteform, fe'!$N$9:$N$375,MATCH(MIN(ABS('Model tilvækst, slagteform, fe'!$M$9:$M$375-'Vækstfunktion, hol'!G330)),ABS('Model tilvækst, slagteform, fe'!$M$9:$M$375-'Vækstfunktion, hol'!G330),0))*(1+Forudsætninger!$C$80)</f>
        <v>#N/A</v>
      </c>
      <c r="Q330" s="17" t="e">
        <f t="shared" si="145"/>
        <v>#N/A</v>
      </c>
      <c r="R330" s="17" t="e">
        <f t="shared" si="146"/>
        <v>#N/A</v>
      </c>
      <c r="S330" s="17" t="e">
        <f t="shared" si="135"/>
        <v>#N/A</v>
      </c>
      <c r="T330" s="19" t="e">
        <f>(P330)*IF(N330&lt;Forudsætninger!$B$228,IF(N330&lt;Forudsætninger!$B$227,Forudsætninger!$B$225,Forudsætninger!$C$9),Forudsætninger!$C$11)+O330</f>
        <v>#N/A</v>
      </c>
      <c r="U330" s="2" t="e">
        <f>Forudsætninger!$C$68+((K330-(Forudsætninger!$C$84)))*0.01</f>
        <v>#N/A</v>
      </c>
      <c r="V330" s="2" t="e">
        <f>U330+Forudsætninger!$C$69</f>
        <v>#N/A</v>
      </c>
      <c r="W330" t="e">
        <f t="shared" si="136"/>
        <v>#N/A</v>
      </c>
      <c r="X330">
        <f>IF(A330+Forudsætninger!$C$60&gt;248,IF(A330+Forudsætninger!$C$60&lt;365,IF(K330&gt;180,IF(K330&lt;260,1,0),0),0),0)</f>
        <v>0</v>
      </c>
      <c r="Y330" s="22">
        <f>IF(X330=0,0,IF('Vækstfunktion, hol'!A330&lt;Forudsætninger!$C$66,Forudsætninger!$C$67+(('Vækstfunktion, hol'!A330-Forudsætninger!$C$66)/7)*Forudsætninger!$C$64,Forudsætninger!$C$67))</f>
        <v>0</v>
      </c>
      <c r="Z330" s="19" t="e">
        <f t="shared" si="147"/>
        <v>#N/A</v>
      </c>
      <c r="AA330" s="19">
        <f>Forudsætninger!$C$62+Forudsætninger!$C$16</f>
        <v>1350</v>
      </c>
      <c r="AB330" s="19" t="e">
        <f>IF(K330&gt;Forudsætninger!$C$26,IF(K330&gt;Forudsætninger!$C$27,IF(K330&gt;Forudsætninger!$C$28,Forudsætninger!$E$28,Forudsætninger!$E$27+Forudsætninger!$F$28*(K330-Forudsætninger!$C$27)),Forudsætninger!$E$26+Forudsætninger!$F$27*(K330-Forudsætninger!$C$26)),Forudsætninger!$E$26)+IF(K330&gt;Forudsætninger!$C$28,Forudsætninger!$G$28,IF(K330&gt;Forudsætninger!$C$27,Forudsætninger!$G$27+Forudsætninger!$H$28*(K330-Forudsætninger!$C$27),IF(K330&gt;Forudsætninger!$C$26,Forudsætninger!$G$26+Forudsætninger!$H$27*(K330-Forudsætninger!$C$26),Forudsætninger!$G$26)))*(U330-Forudsætninger!$H$26)</f>
        <v>#N/A</v>
      </c>
      <c r="AC330" s="19" t="e">
        <f>IF(K330&gt;Forudsætninger!$C$31,IF(K330&gt;Forudsætninger!$C$32,IF(K330&gt;Forudsætninger!$C$33,Forudsætninger!$E$33,Forudsætninger!$E$32+Forudsætninger!$F$33*(K330-Forudsætninger!$C$32)),Forudsætninger!$E$31+Forudsætninger!$F$32*(K330-Forudsætninger!$C$31)),Forudsætninger!$E$31)+IF(K330&gt;Forudsætninger!$C$33,Forudsætninger!$G$33,IF(K330&gt;Forudsætninger!$C$32,Forudsætninger!$G$32+Forudsætninger!$H$33*(K330-Forudsætninger!$C$32),IF(K330&gt;Forudsætninger!$C$31,Forudsætninger!$G$31+Forudsætninger!$H$32*(K330-Forudsætninger!$C$31),Forudsætninger!$G$31)))*(V330-Forudsætninger!$H$31)</f>
        <v>#N/A</v>
      </c>
      <c r="AD330" s="19" t="e">
        <f t="shared" si="137"/>
        <v>#N/A</v>
      </c>
      <c r="AE330" s="19" t="e">
        <f t="shared" si="138"/>
        <v>#N/A</v>
      </c>
      <c r="AF330" t="e">
        <f>IF(G330&lt;=Forudsætninger!$C$97,Forudsætninger!$C$98,(IF(G330&lt;=Forudsætninger!$D$97,Forudsætninger!$D$98,IF(G330&lt;=Forudsætninger!$E$97,Forudsætninger!$E$98,IF(G330&lt;=Forudsætninger!$F$97,Forudsætninger!$F$98,IF(G330&lt;=Forudsætninger!$G$97,Forudsætninger!$G$98,IF(G330&lt;=Forudsætninger!$H$97,Forudsætninger!$H$98,IF(G330&lt;=Forudsætninger!$I$97,Forudsætninger!$I$98,Forudsætninger!$I$98))))))))</f>
        <v>#N/A</v>
      </c>
      <c r="AG330" s="1" t="e">
        <f t="shared" si="148"/>
        <v>#N/A</v>
      </c>
      <c r="AH330" s="1" t="e">
        <f t="shared" si="152"/>
        <v>#N/A</v>
      </c>
      <c r="AI330" s="1" t="e">
        <f t="shared" si="139"/>
        <v>#N/A</v>
      </c>
      <c r="AJ330" s="20" t="e">
        <f>+(W330*Forudsætninger!$C$12)</f>
        <v>#N/A</v>
      </c>
      <c r="AK330" s="20">
        <f>Forudsætninger!$C$17</f>
        <v>250</v>
      </c>
      <c r="AL330" s="20">
        <f>IF(A330&lt;92,Forudsætninger!$C$20,Forudsætninger!$C$21)</f>
        <v>1.0566762728146013</v>
      </c>
      <c r="AM330" s="20">
        <f t="shared" si="149"/>
        <v>615.09530033647866</v>
      </c>
      <c r="AN330" s="20">
        <f>IFERROR(AD330+AJ330-AA330-Z330-AK330-AM330-Forudsætninger!$C$75,-99999999)</f>
        <v>-99999999</v>
      </c>
      <c r="AO330" s="19">
        <f>IFERROR(AN330/(A330+Forudsætninger!$C$74),-99999999)</f>
        <v>-304878.0457317073</v>
      </c>
      <c r="AP330" s="19">
        <f>IFERROR(((365/(A330+Forudsætninger!$C$74))*AN330)/(AI330+Forudsætninger!$C$73),-9999999)</f>
        <v>-9999999</v>
      </c>
      <c r="AQ330" s="18">
        <f t="shared" si="140"/>
        <v>328</v>
      </c>
      <c r="AR330" s="18" t="e">
        <f t="shared" si="150"/>
        <v>#N/A</v>
      </c>
      <c r="AS330" s="52">
        <f t="shared" si="131"/>
        <v>12.1</v>
      </c>
      <c r="AT330" s="50">
        <f t="shared" si="153"/>
        <v>-99999790.522337079</v>
      </c>
      <c r="AU330" s="50">
        <f t="shared" si="154"/>
        <v>-304877.4081853375</v>
      </c>
      <c r="AV330" s="2">
        <f t="shared" si="155"/>
        <v>-9999932.8292764463</v>
      </c>
      <c r="AW330" s="61">
        <f t="shared" si="151"/>
        <v>-304876.17044115753</v>
      </c>
      <c r="BA330" s="16"/>
      <c r="BB330" s="2"/>
    </row>
    <row r="331" spans="1:54" x14ac:dyDescent="0.25">
      <c r="A331">
        <v>329</v>
      </c>
      <c r="B331" s="1">
        <f>ROUND((A331+Forudsætninger!$C$60)/30.4,1)</f>
        <v>12.1</v>
      </c>
      <c r="C331" s="1" t="e">
        <f>VLOOKUP((A331+Forudsætninger!$C$60),'Model tilvækst, slagteform, fe'!A:B,2,FALSE)</f>
        <v>#N/A</v>
      </c>
      <c r="D331" s="3" t="e">
        <f t="shared" si="141"/>
        <v>#N/A</v>
      </c>
      <c r="E331" s="1" t="e">
        <f>(1+Forudsætninger!$C$78)*C331</f>
        <v>#N/A</v>
      </c>
      <c r="F331" s="2" t="e">
        <f t="shared" si="142"/>
        <v>#N/A</v>
      </c>
      <c r="G331" s="1" t="e">
        <f t="shared" si="132"/>
        <v>#N/A</v>
      </c>
      <c r="H331" s="3" t="e">
        <f t="shared" si="133"/>
        <v>#N/A</v>
      </c>
      <c r="I331" s="3" t="e">
        <f t="shared" si="134"/>
        <v>#N/A</v>
      </c>
      <c r="J331" s="1" t="e">
        <f>VLOOKUP((A331+Forudsætninger!$C$60),'Model tilvækst, slagteform, fe'!G:K,2,FALSE)*(1+Forudsætninger!$C$79)</f>
        <v>#N/A</v>
      </c>
      <c r="K331" s="17" t="e">
        <f t="shared" si="130"/>
        <v>#N/A</v>
      </c>
      <c r="L331" s="17" t="e">
        <f t="shared" si="143"/>
        <v>#N/A</v>
      </c>
      <c r="M331" s="3" t="e">
        <f>((K331-(('Model tilvækst, slagteform, fe'!$H$9/100)*'Model tilvækst, slagteform, fe'!$B$9))*1000/(A331+Forudsætninger!$C$60))</f>
        <v>#N/A</v>
      </c>
      <c r="N331" s="17" t="e">
        <f t="shared" si="144"/>
        <v>#N/A</v>
      </c>
      <c r="O331" s="19" t="e">
        <f>IF( A331&lt;Forudsætninger!$C$14,(G331/100)*Forudsætninger!$C$13,(Forudsætninger!$C$15/1000)*Forudsætninger!$C$13)</f>
        <v>#N/A</v>
      </c>
      <c r="P331" s="17" t="e" cm="1">
        <f t="array" ref="P331">INDEX('Model tilvækst, slagteform, fe'!$N$9:$N$375,MATCH(MIN(ABS('Model tilvækst, slagteform, fe'!$M$9:$M$375-'Vækstfunktion, hol'!G331)),ABS('Model tilvækst, slagteform, fe'!$M$9:$M$375-'Vækstfunktion, hol'!G331),0))*(1+Forudsætninger!$C$80)</f>
        <v>#N/A</v>
      </c>
      <c r="Q331" s="17" t="e">
        <f t="shared" si="145"/>
        <v>#N/A</v>
      </c>
      <c r="R331" s="17" t="e">
        <f t="shared" si="146"/>
        <v>#N/A</v>
      </c>
      <c r="S331" s="17" t="e">
        <f t="shared" si="135"/>
        <v>#N/A</v>
      </c>
      <c r="T331" s="19" t="e">
        <f>(P331)*IF(N331&lt;Forudsætninger!$B$228,IF(N331&lt;Forudsætninger!$B$227,Forudsætninger!$B$225,Forudsætninger!$C$9),Forudsætninger!$C$11)+O331</f>
        <v>#N/A</v>
      </c>
      <c r="U331" s="2" t="e">
        <f>Forudsætninger!$C$68+((K331-(Forudsætninger!$C$84)))*0.01</f>
        <v>#N/A</v>
      </c>
      <c r="V331" s="2" t="e">
        <f>U331+Forudsætninger!$C$69</f>
        <v>#N/A</v>
      </c>
      <c r="W331" t="e">
        <f t="shared" si="136"/>
        <v>#N/A</v>
      </c>
      <c r="X331">
        <f>IF(A331+Forudsætninger!$C$60&gt;248,IF(A331+Forudsætninger!$C$60&lt;365,IF(K331&gt;180,IF(K331&lt;260,1,0),0),0),0)</f>
        <v>0</v>
      </c>
      <c r="Y331" s="22">
        <f>IF(X331=0,0,IF('Vækstfunktion, hol'!A331&lt;Forudsætninger!$C$66,Forudsætninger!$C$67+(('Vækstfunktion, hol'!A331-Forudsætninger!$C$66)/7)*Forudsætninger!$C$64,Forudsætninger!$C$67))</f>
        <v>0</v>
      </c>
      <c r="Z331" s="19" t="e">
        <f t="shared" si="147"/>
        <v>#N/A</v>
      </c>
      <c r="AA331" s="19">
        <f>Forudsætninger!$C$62+Forudsætninger!$C$16</f>
        <v>1350</v>
      </c>
      <c r="AB331" s="19" t="e">
        <f>IF(K331&gt;Forudsætninger!$C$26,IF(K331&gt;Forudsætninger!$C$27,IF(K331&gt;Forudsætninger!$C$28,Forudsætninger!$E$28,Forudsætninger!$E$27+Forudsætninger!$F$28*(K331-Forudsætninger!$C$27)),Forudsætninger!$E$26+Forudsætninger!$F$27*(K331-Forudsætninger!$C$26)),Forudsætninger!$E$26)+IF(K331&gt;Forudsætninger!$C$28,Forudsætninger!$G$28,IF(K331&gt;Forudsætninger!$C$27,Forudsætninger!$G$27+Forudsætninger!$H$28*(K331-Forudsætninger!$C$27),IF(K331&gt;Forudsætninger!$C$26,Forudsætninger!$G$26+Forudsætninger!$H$27*(K331-Forudsætninger!$C$26),Forudsætninger!$G$26)))*(U331-Forudsætninger!$H$26)</f>
        <v>#N/A</v>
      </c>
      <c r="AC331" s="19" t="e">
        <f>IF(K331&gt;Forudsætninger!$C$31,IF(K331&gt;Forudsætninger!$C$32,IF(K331&gt;Forudsætninger!$C$33,Forudsætninger!$E$33,Forudsætninger!$E$32+Forudsætninger!$F$33*(K331-Forudsætninger!$C$32)),Forudsætninger!$E$31+Forudsætninger!$F$32*(K331-Forudsætninger!$C$31)),Forudsætninger!$E$31)+IF(K331&gt;Forudsætninger!$C$33,Forudsætninger!$G$33,IF(K331&gt;Forudsætninger!$C$32,Forudsætninger!$G$32+Forudsætninger!$H$33*(K331-Forudsætninger!$C$32),IF(K331&gt;Forudsætninger!$C$31,Forudsætninger!$G$31+Forudsætninger!$H$32*(K331-Forudsætninger!$C$31),Forudsætninger!$G$31)))*(V331-Forudsætninger!$H$31)</f>
        <v>#N/A</v>
      </c>
      <c r="AD331" s="19" t="e">
        <f t="shared" si="137"/>
        <v>#N/A</v>
      </c>
      <c r="AE331" s="19" t="e">
        <f t="shared" si="138"/>
        <v>#N/A</v>
      </c>
      <c r="AF331" t="e">
        <f>IF(G331&lt;=Forudsætninger!$C$97,Forudsætninger!$C$98,(IF(G331&lt;=Forudsætninger!$D$97,Forudsætninger!$D$98,IF(G331&lt;=Forudsætninger!$E$97,Forudsætninger!$E$98,IF(G331&lt;=Forudsætninger!$F$97,Forudsætninger!$F$98,IF(G331&lt;=Forudsætninger!$G$97,Forudsætninger!$G$98,IF(G331&lt;=Forudsætninger!$H$97,Forudsætninger!$H$98,IF(G331&lt;=Forudsætninger!$I$97,Forudsætninger!$I$98,Forudsætninger!$I$98))))))))</f>
        <v>#N/A</v>
      </c>
      <c r="AG331" s="1" t="e">
        <f t="shared" si="148"/>
        <v>#N/A</v>
      </c>
      <c r="AH331" s="1" t="e">
        <f t="shared" si="152"/>
        <v>#N/A</v>
      </c>
      <c r="AI331" s="1" t="e">
        <f t="shared" si="139"/>
        <v>#N/A</v>
      </c>
      <c r="AJ331" s="20" t="e">
        <f>+(W331*Forudsætninger!$C$12)</f>
        <v>#N/A</v>
      </c>
      <c r="AK331" s="20">
        <f>Forudsætninger!$C$17</f>
        <v>250</v>
      </c>
      <c r="AL331" s="20">
        <f>IF(A331&lt;92,Forudsætninger!$C$20,Forudsætninger!$C$21)</f>
        <v>1.0566762728146013</v>
      </c>
      <c r="AM331" s="20">
        <f t="shared" si="149"/>
        <v>616.15197660929323</v>
      </c>
      <c r="AN331" s="20">
        <f>IFERROR(AD331+AJ331-AA331-Z331-AK331-AM331-Forudsætninger!$C$75,-99999999)</f>
        <v>-99999999</v>
      </c>
      <c r="AO331" s="19">
        <f>IFERROR(AN331/(A331+Forudsætninger!$C$74),-99999999)</f>
        <v>-303951.36474164133</v>
      </c>
      <c r="AP331" s="19">
        <f>IFERROR(((365/(A331+Forudsætninger!$C$74))*AN331)/(AI331+Forudsætninger!$C$73),-9999999)</f>
        <v>-9999999</v>
      </c>
      <c r="AQ331" s="18">
        <f t="shared" si="140"/>
        <v>329</v>
      </c>
      <c r="AR331" s="18" t="e">
        <f t="shared" si="150"/>
        <v>#N/A</v>
      </c>
      <c r="AS331" s="52">
        <f t="shared" si="131"/>
        <v>12.1</v>
      </c>
      <c r="AT331" s="50">
        <f t="shared" si="153"/>
        <v>0</v>
      </c>
      <c r="AU331" s="50">
        <f t="shared" si="154"/>
        <v>926.68099006597186</v>
      </c>
      <c r="AV331" s="2">
        <f t="shared" si="155"/>
        <v>0</v>
      </c>
      <c r="AW331" s="61">
        <f t="shared" si="151"/>
        <v>-303949.49193928082</v>
      </c>
      <c r="BA331" s="16"/>
      <c r="BB331" s="2"/>
    </row>
    <row r="332" spans="1:54" x14ac:dyDescent="0.25">
      <c r="A332">
        <v>330</v>
      </c>
      <c r="B332" s="1">
        <f>ROUND((A332+Forudsætninger!$C$60)/30.4,1)</f>
        <v>12.1</v>
      </c>
      <c r="C332" s="1" t="e">
        <f>VLOOKUP((A332+Forudsætninger!$C$60),'Model tilvækst, slagteform, fe'!A:B,2,FALSE)</f>
        <v>#N/A</v>
      </c>
      <c r="D332" s="3" t="e">
        <f t="shared" si="141"/>
        <v>#N/A</v>
      </c>
      <c r="E332" s="1" t="e">
        <f>(1+Forudsætninger!$C$78)*C332</f>
        <v>#N/A</v>
      </c>
      <c r="F332" s="2" t="e">
        <f t="shared" si="142"/>
        <v>#N/A</v>
      </c>
      <c r="G332" s="1" t="e">
        <f t="shared" si="132"/>
        <v>#N/A</v>
      </c>
      <c r="H332" s="3" t="e">
        <f t="shared" si="133"/>
        <v>#N/A</v>
      </c>
      <c r="I332" s="3" t="e">
        <f t="shared" si="134"/>
        <v>#N/A</v>
      </c>
      <c r="J332" s="1" t="e">
        <f>VLOOKUP((A332+Forudsætninger!$C$60),'Model tilvækst, slagteform, fe'!G:K,2,FALSE)*(1+Forudsætninger!$C$79)</f>
        <v>#N/A</v>
      </c>
      <c r="K332" s="17" t="e">
        <f t="shared" si="130"/>
        <v>#N/A</v>
      </c>
      <c r="L332" s="17" t="e">
        <f t="shared" si="143"/>
        <v>#N/A</v>
      </c>
      <c r="M332" s="3" t="e">
        <f>((K332-(('Model tilvækst, slagteform, fe'!$H$9/100)*'Model tilvækst, slagteform, fe'!$B$9))*1000/(A332+Forudsætninger!$C$60))</f>
        <v>#N/A</v>
      </c>
      <c r="N332" s="17" t="e">
        <f t="shared" si="144"/>
        <v>#N/A</v>
      </c>
      <c r="O332" s="19" t="e">
        <f>IF( A332&lt;Forudsætninger!$C$14,(G332/100)*Forudsætninger!$C$13,(Forudsætninger!$C$15/1000)*Forudsætninger!$C$13)</f>
        <v>#N/A</v>
      </c>
      <c r="P332" s="17" t="e" cm="1">
        <f t="array" ref="P332">INDEX('Model tilvækst, slagteform, fe'!$N$9:$N$375,MATCH(MIN(ABS('Model tilvækst, slagteform, fe'!$M$9:$M$375-'Vækstfunktion, hol'!G332)),ABS('Model tilvækst, slagteform, fe'!$M$9:$M$375-'Vækstfunktion, hol'!G332),0))*(1+Forudsætninger!$C$80)</f>
        <v>#N/A</v>
      </c>
      <c r="Q332" s="17" t="e">
        <f t="shared" si="145"/>
        <v>#N/A</v>
      </c>
      <c r="R332" s="17" t="e">
        <f t="shared" si="146"/>
        <v>#N/A</v>
      </c>
      <c r="S332" s="17" t="e">
        <f t="shared" si="135"/>
        <v>#N/A</v>
      </c>
      <c r="T332" s="19" t="e">
        <f>(P332)*IF(N332&lt;Forudsætninger!$B$228,IF(N332&lt;Forudsætninger!$B$227,Forudsætninger!$B$225,Forudsætninger!$C$9),Forudsætninger!$C$11)+O332</f>
        <v>#N/A</v>
      </c>
      <c r="U332" s="2" t="e">
        <f>Forudsætninger!$C$68+((K332-(Forudsætninger!$C$84)))*0.01</f>
        <v>#N/A</v>
      </c>
      <c r="V332" s="2" t="e">
        <f>U332+Forudsætninger!$C$69</f>
        <v>#N/A</v>
      </c>
      <c r="W332" t="e">
        <f t="shared" si="136"/>
        <v>#N/A</v>
      </c>
      <c r="X332">
        <f>IF(A332+Forudsætninger!$C$60&gt;248,IF(A332+Forudsætninger!$C$60&lt;365,IF(K332&gt;180,IF(K332&lt;260,1,0),0),0),0)</f>
        <v>0</v>
      </c>
      <c r="Y332" s="22">
        <f>IF(X332=0,0,IF('Vækstfunktion, hol'!A332&lt;Forudsætninger!$C$66,Forudsætninger!$C$67+(('Vækstfunktion, hol'!A332-Forudsætninger!$C$66)/7)*Forudsætninger!$C$64,Forudsætninger!$C$67))</f>
        <v>0</v>
      </c>
      <c r="Z332" s="19" t="e">
        <f t="shared" si="147"/>
        <v>#N/A</v>
      </c>
      <c r="AA332" s="19">
        <f>Forudsætninger!$C$62+Forudsætninger!$C$16</f>
        <v>1350</v>
      </c>
      <c r="AB332" s="19" t="e">
        <f>IF(K332&gt;Forudsætninger!$C$26,IF(K332&gt;Forudsætninger!$C$27,IF(K332&gt;Forudsætninger!$C$28,Forudsætninger!$E$28,Forudsætninger!$E$27+Forudsætninger!$F$28*(K332-Forudsætninger!$C$27)),Forudsætninger!$E$26+Forudsætninger!$F$27*(K332-Forudsætninger!$C$26)),Forudsætninger!$E$26)+IF(K332&gt;Forudsætninger!$C$28,Forudsætninger!$G$28,IF(K332&gt;Forudsætninger!$C$27,Forudsætninger!$G$27+Forudsætninger!$H$28*(K332-Forudsætninger!$C$27),IF(K332&gt;Forudsætninger!$C$26,Forudsætninger!$G$26+Forudsætninger!$H$27*(K332-Forudsætninger!$C$26),Forudsætninger!$G$26)))*(U332-Forudsætninger!$H$26)</f>
        <v>#N/A</v>
      </c>
      <c r="AC332" s="19" t="e">
        <f>IF(K332&gt;Forudsætninger!$C$31,IF(K332&gt;Forudsætninger!$C$32,IF(K332&gt;Forudsætninger!$C$33,Forudsætninger!$E$33,Forudsætninger!$E$32+Forudsætninger!$F$33*(K332-Forudsætninger!$C$32)),Forudsætninger!$E$31+Forudsætninger!$F$32*(K332-Forudsætninger!$C$31)),Forudsætninger!$E$31)+IF(K332&gt;Forudsætninger!$C$33,Forudsætninger!$G$33,IF(K332&gt;Forudsætninger!$C$32,Forudsætninger!$G$32+Forudsætninger!$H$33*(K332-Forudsætninger!$C$32),IF(K332&gt;Forudsætninger!$C$31,Forudsætninger!$G$31+Forudsætninger!$H$32*(K332-Forudsætninger!$C$31),Forudsætninger!$G$31)))*(V332-Forudsætninger!$H$31)</f>
        <v>#N/A</v>
      </c>
      <c r="AD332" s="19" t="e">
        <f t="shared" si="137"/>
        <v>#N/A</v>
      </c>
      <c r="AE332" s="19" t="e">
        <f t="shared" si="138"/>
        <v>#N/A</v>
      </c>
      <c r="AF332" t="e">
        <f>IF(G332&lt;=Forudsætninger!$C$97,Forudsætninger!$C$98,(IF(G332&lt;=Forudsætninger!$D$97,Forudsætninger!$D$98,IF(G332&lt;=Forudsætninger!$E$97,Forudsætninger!$E$98,IF(G332&lt;=Forudsætninger!$F$97,Forudsætninger!$F$98,IF(G332&lt;=Forudsætninger!$G$97,Forudsætninger!$G$98,IF(G332&lt;=Forudsætninger!$H$97,Forudsætninger!$H$98,IF(G332&lt;=Forudsætninger!$I$97,Forudsætninger!$I$98,Forudsætninger!$I$98))))))))</f>
        <v>#N/A</v>
      </c>
      <c r="AG332" s="1" t="e">
        <f t="shared" si="148"/>
        <v>#N/A</v>
      </c>
      <c r="AH332" s="1" t="e">
        <f t="shared" si="152"/>
        <v>#N/A</v>
      </c>
      <c r="AI332" s="1" t="e">
        <f t="shared" si="139"/>
        <v>#N/A</v>
      </c>
      <c r="AJ332" s="20" t="e">
        <f>+(W332*Forudsætninger!$C$12)</f>
        <v>#N/A</v>
      </c>
      <c r="AK332" s="20">
        <f>Forudsætninger!$C$17</f>
        <v>250</v>
      </c>
      <c r="AL332" s="20">
        <f>IF(A332&lt;92,Forudsætninger!$C$20,Forudsætninger!$C$21)</f>
        <v>1.0566762728146013</v>
      </c>
      <c r="AM332" s="20">
        <f t="shared" si="149"/>
        <v>617.2086528821078</v>
      </c>
      <c r="AN332" s="20">
        <f>IFERROR(AD332+AJ332-AA332-Z332-AK332-AM332-Forudsætninger!$C$75,-99999999)</f>
        <v>-99999999</v>
      </c>
      <c r="AO332" s="19">
        <f>IFERROR(AN332/(A332+Forudsætninger!$C$74),-99999999)</f>
        <v>-303030.3</v>
      </c>
      <c r="AP332" s="19">
        <f>IFERROR(((365/(A332+Forudsætninger!$C$74))*AN332)/(AI332+Forudsætninger!$C$73),-9999999)</f>
        <v>-9999999</v>
      </c>
      <c r="AQ332" s="18">
        <f t="shared" si="140"/>
        <v>330</v>
      </c>
      <c r="AR332" s="18" t="e">
        <f t="shared" si="150"/>
        <v>#N/A</v>
      </c>
      <c r="AS332" s="52">
        <f t="shared" si="131"/>
        <v>12.1</v>
      </c>
      <c r="AT332" s="50">
        <f t="shared" si="153"/>
        <v>0</v>
      </c>
      <c r="AU332" s="50">
        <f t="shared" si="154"/>
        <v>921.06474164134124</v>
      </c>
      <c r="AV332" s="2">
        <f t="shared" si="155"/>
        <v>0</v>
      </c>
      <c r="AW332" s="61">
        <f t="shared" si="151"/>
        <v>-303028.42967074882</v>
      </c>
      <c r="BA332" s="16"/>
      <c r="BB332" s="2"/>
    </row>
    <row r="333" spans="1:54" x14ac:dyDescent="0.25">
      <c r="A333">
        <v>331</v>
      </c>
      <c r="B333" s="1">
        <f>ROUND((A333+Forudsætninger!$C$60)/30.4,1)</f>
        <v>12.2</v>
      </c>
      <c r="C333" s="1" t="e">
        <f>VLOOKUP((A333+Forudsætninger!$C$60),'Model tilvækst, slagteform, fe'!A:B,2,FALSE)</f>
        <v>#N/A</v>
      </c>
      <c r="D333" s="3" t="e">
        <f t="shared" si="141"/>
        <v>#N/A</v>
      </c>
      <c r="E333" s="1" t="e">
        <f>(1+Forudsætninger!$C$78)*C333</f>
        <v>#N/A</v>
      </c>
      <c r="F333" s="2" t="e">
        <f t="shared" si="142"/>
        <v>#N/A</v>
      </c>
      <c r="G333" s="1" t="e">
        <f t="shared" si="132"/>
        <v>#N/A</v>
      </c>
      <c r="H333" s="3" t="e">
        <f t="shared" si="133"/>
        <v>#N/A</v>
      </c>
      <c r="I333" s="3" t="e">
        <f t="shared" si="134"/>
        <v>#N/A</v>
      </c>
      <c r="J333" s="1" t="e">
        <f>VLOOKUP((A333+Forudsætninger!$C$60),'Model tilvækst, slagteform, fe'!G:K,2,FALSE)*(1+Forudsætninger!$C$79)</f>
        <v>#N/A</v>
      </c>
      <c r="K333" s="17" t="e">
        <f t="shared" si="130"/>
        <v>#N/A</v>
      </c>
      <c r="L333" s="17" t="e">
        <f t="shared" si="143"/>
        <v>#N/A</v>
      </c>
      <c r="M333" s="3" t="e">
        <f>((K333-(('Model tilvækst, slagteform, fe'!$H$9/100)*'Model tilvækst, slagteform, fe'!$B$9))*1000/(A333+Forudsætninger!$C$60))</f>
        <v>#N/A</v>
      </c>
      <c r="N333" s="17" t="e">
        <f t="shared" si="144"/>
        <v>#N/A</v>
      </c>
      <c r="O333" s="19" t="e">
        <f>IF( A333&lt;Forudsætninger!$C$14,(G333/100)*Forudsætninger!$C$13,(Forudsætninger!$C$15/1000)*Forudsætninger!$C$13)</f>
        <v>#N/A</v>
      </c>
      <c r="P333" s="17" t="e" cm="1">
        <f t="array" ref="P333">INDEX('Model tilvækst, slagteform, fe'!$N$9:$N$375,MATCH(MIN(ABS('Model tilvækst, slagteform, fe'!$M$9:$M$375-'Vækstfunktion, hol'!G333)),ABS('Model tilvækst, slagteform, fe'!$M$9:$M$375-'Vækstfunktion, hol'!G333),0))*(1+Forudsætninger!$C$80)</f>
        <v>#N/A</v>
      </c>
      <c r="Q333" s="17" t="e">
        <f t="shared" si="145"/>
        <v>#N/A</v>
      </c>
      <c r="R333" s="17" t="e">
        <f t="shared" si="146"/>
        <v>#N/A</v>
      </c>
      <c r="S333" s="17" t="e">
        <f t="shared" si="135"/>
        <v>#N/A</v>
      </c>
      <c r="T333" s="19" t="e">
        <f>(P333)*IF(N333&lt;Forudsætninger!$B$228,IF(N333&lt;Forudsætninger!$B$227,Forudsætninger!$B$225,Forudsætninger!$C$9),Forudsætninger!$C$11)+O333</f>
        <v>#N/A</v>
      </c>
      <c r="U333" s="2" t="e">
        <f>Forudsætninger!$C$68+((K333-(Forudsætninger!$C$84)))*0.01</f>
        <v>#N/A</v>
      </c>
      <c r="V333" s="2" t="e">
        <f>U333+Forudsætninger!$C$69</f>
        <v>#N/A</v>
      </c>
      <c r="W333" t="e">
        <f t="shared" si="136"/>
        <v>#N/A</v>
      </c>
      <c r="X333">
        <f>IF(A333+Forudsætninger!$C$60&gt;248,IF(A333+Forudsætninger!$C$60&lt;365,IF(K333&gt;180,IF(K333&lt;260,1,0),0),0),0)</f>
        <v>0</v>
      </c>
      <c r="Y333" s="22">
        <f>IF(X333=0,0,IF('Vækstfunktion, hol'!A333&lt;Forudsætninger!$C$66,Forudsætninger!$C$67+(('Vækstfunktion, hol'!A333-Forudsætninger!$C$66)/7)*Forudsætninger!$C$64,Forudsætninger!$C$67))</f>
        <v>0</v>
      </c>
      <c r="Z333" s="19" t="e">
        <f t="shared" si="147"/>
        <v>#N/A</v>
      </c>
      <c r="AA333" s="19">
        <f>Forudsætninger!$C$62+Forudsætninger!$C$16</f>
        <v>1350</v>
      </c>
      <c r="AB333" s="19" t="e">
        <f>IF(K333&gt;Forudsætninger!$C$26,IF(K333&gt;Forudsætninger!$C$27,IF(K333&gt;Forudsætninger!$C$28,Forudsætninger!$E$28,Forudsætninger!$E$27+Forudsætninger!$F$28*(K333-Forudsætninger!$C$27)),Forudsætninger!$E$26+Forudsætninger!$F$27*(K333-Forudsætninger!$C$26)),Forudsætninger!$E$26)+IF(K333&gt;Forudsætninger!$C$28,Forudsætninger!$G$28,IF(K333&gt;Forudsætninger!$C$27,Forudsætninger!$G$27+Forudsætninger!$H$28*(K333-Forudsætninger!$C$27),IF(K333&gt;Forudsætninger!$C$26,Forudsætninger!$G$26+Forudsætninger!$H$27*(K333-Forudsætninger!$C$26),Forudsætninger!$G$26)))*(U333-Forudsætninger!$H$26)</f>
        <v>#N/A</v>
      </c>
      <c r="AC333" s="19" t="e">
        <f>IF(K333&gt;Forudsætninger!$C$31,IF(K333&gt;Forudsætninger!$C$32,IF(K333&gt;Forudsætninger!$C$33,Forudsætninger!$E$33,Forudsætninger!$E$32+Forudsætninger!$F$33*(K333-Forudsætninger!$C$32)),Forudsætninger!$E$31+Forudsætninger!$F$32*(K333-Forudsætninger!$C$31)),Forudsætninger!$E$31)+IF(K333&gt;Forudsætninger!$C$33,Forudsætninger!$G$33,IF(K333&gt;Forudsætninger!$C$32,Forudsætninger!$G$32+Forudsætninger!$H$33*(K333-Forudsætninger!$C$32),IF(K333&gt;Forudsætninger!$C$31,Forudsætninger!$G$31+Forudsætninger!$H$32*(K333-Forudsætninger!$C$31),Forudsætninger!$G$31)))*(V333-Forudsætninger!$H$31)</f>
        <v>#N/A</v>
      </c>
      <c r="AD333" s="19" t="e">
        <f t="shared" si="137"/>
        <v>#N/A</v>
      </c>
      <c r="AE333" s="19" t="e">
        <f t="shared" si="138"/>
        <v>#N/A</v>
      </c>
      <c r="AF333" t="e">
        <f>IF(G333&lt;=Forudsætninger!$C$97,Forudsætninger!$C$98,(IF(G333&lt;=Forudsætninger!$D$97,Forudsætninger!$D$98,IF(G333&lt;=Forudsætninger!$E$97,Forudsætninger!$E$98,IF(G333&lt;=Forudsætninger!$F$97,Forudsætninger!$F$98,IF(G333&lt;=Forudsætninger!$G$97,Forudsætninger!$G$98,IF(G333&lt;=Forudsætninger!$H$97,Forudsætninger!$H$98,IF(G333&lt;=Forudsætninger!$I$97,Forudsætninger!$I$98,Forudsætninger!$I$98))))))))</f>
        <v>#N/A</v>
      </c>
      <c r="AG333" s="1" t="e">
        <f t="shared" si="148"/>
        <v>#N/A</v>
      </c>
      <c r="AH333" s="1" t="e">
        <f t="shared" si="152"/>
        <v>#N/A</v>
      </c>
      <c r="AI333" s="1" t="e">
        <f t="shared" si="139"/>
        <v>#N/A</v>
      </c>
      <c r="AJ333" s="20" t="e">
        <f>+(W333*Forudsætninger!$C$12)</f>
        <v>#N/A</v>
      </c>
      <c r="AK333" s="20">
        <f>Forudsætninger!$C$17</f>
        <v>250</v>
      </c>
      <c r="AL333" s="20">
        <f>IF(A333&lt;92,Forudsætninger!$C$20,Forudsætninger!$C$21)</f>
        <v>1.0566762728146013</v>
      </c>
      <c r="AM333" s="20">
        <f t="shared" si="149"/>
        <v>618.26532915492237</v>
      </c>
      <c r="AN333" s="20">
        <f>IFERROR(AD333+AJ333-AA333-Z333-AK333-AM333-Forudsætninger!$C$75,-99999999)</f>
        <v>-99999999</v>
      </c>
      <c r="AO333" s="19">
        <f>IFERROR(AN333/(A333+Forudsætninger!$C$74),-99999999)</f>
        <v>-302114.80060422962</v>
      </c>
      <c r="AP333" s="19">
        <f>IFERROR(((365/(A333+Forudsætninger!$C$74))*AN333)/(AI333+Forudsætninger!$C$73),-9999999)</f>
        <v>-9999999</v>
      </c>
      <c r="AQ333" s="18">
        <f t="shared" si="140"/>
        <v>331</v>
      </c>
      <c r="AR333" s="18" t="e">
        <f t="shared" si="150"/>
        <v>#N/A</v>
      </c>
      <c r="AS333" s="52">
        <f t="shared" si="131"/>
        <v>12.2</v>
      </c>
      <c r="AT333" s="50">
        <f t="shared" si="153"/>
        <v>0</v>
      </c>
      <c r="AU333" s="50">
        <f t="shared" si="154"/>
        <v>915.49939577037003</v>
      </c>
      <c r="AV333" s="2">
        <f t="shared" si="155"/>
        <v>0</v>
      </c>
      <c r="AW333" s="61">
        <f t="shared" si="151"/>
        <v>-302112.93273314455</v>
      </c>
      <c r="BA333" s="16"/>
      <c r="BB333" s="2"/>
    </row>
    <row r="334" spans="1:54" x14ac:dyDescent="0.25">
      <c r="A334">
        <v>332</v>
      </c>
      <c r="B334" s="1">
        <f>ROUND((A334+Forudsætninger!$C$60)/30.4,1)</f>
        <v>12.2</v>
      </c>
      <c r="C334" s="1" t="e">
        <f>VLOOKUP((A334+Forudsætninger!$C$60),'Model tilvækst, slagteform, fe'!A:B,2,FALSE)</f>
        <v>#N/A</v>
      </c>
      <c r="D334" s="3" t="e">
        <f t="shared" si="141"/>
        <v>#N/A</v>
      </c>
      <c r="E334" s="1" t="e">
        <f>(1+Forudsætninger!$C$78)*C334</f>
        <v>#N/A</v>
      </c>
      <c r="F334" s="2" t="e">
        <f t="shared" si="142"/>
        <v>#N/A</v>
      </c>
      <c r="G334" s="1" t="e">
        <f t="shared" si="132"/>
        <v>#N/A</v>
      </c>
      <c r="H334" s="3" t="e">
        <f t="shared" si="133"/>
        <v>#N/A</v>
      </c>
      <c r="I334" s="3" t="e">
        <f t="shared" si="134"/>
        <v>#N/A</v>
      </c>
      <c r="J334" s="1" t="e">
        <f>VLOOKUP((A334+Forudsætninger!$C$60),'Model tilvækst, slagteform, fe'!G:K,2,FALSE)*(1+Forudsætninger!$C$79)</f>
        <v>#N/A</v>
      </c>
      <c r="K334" s="17" t="e">
        <f t="shared" si="130"/>
        <v>#N/A</v>
      </c>
      <c r="L334" s="17" t="e">
        <f t="shared" si="143"/>
        <v>#N/A</v>
      </c>
      <c r="M334" s="3" t="e">
        <f>((K334-(('Model tilvækst, slagteform, fe'!$H$9/100)*'Model tilvækst, slagteform, fe'!$B$9))*1000/(A334+Forudsætninger!$C$60))</f>
        <v>#N/A</v>
      </c>
      <c r="N334" s="17" t="e">
        <f t="shared" si="144"/>
        <v>#N/A</v>
      </c>
      <c r="O334" s="19" t="e">
        <f>IF( A334&lt;Forudsætninger!$C$14,(G334/100)*Forudsætninger!$C$13,(Forudsætninger!$C$15/1000)*Forudsætninger!$C$13)</f>
        <v>#N/A</v>
      </c>
      <c r="P334" s="17" t="e" cm="1">
        <f t="array" ref="P334">INDEX('Model tilvækst, slagteform, fe'!$N$9:$N$375,MATCH(MIN(ABS('Model tilvækst, slagteform, fe'!$M$9:$M$375-'Vækstfunktion, hol'!G334)),ABS('Model tilvækst, slagteform, fe'!$M$9:$M$375-'Vækstfunktion, hol'!G334),0))*(1+Forudsætninger!$C$80)</f>
        <v>#N/A</v>
      </c>
      <c r="Q334" s="17" t="e">
        <f t="shared" si="145"/>
        <v>#N/A</v>
      </c>
      <c r="R334" s="17" t="e">
        <f t="shared" si="146"/>
        <v>#N/A</v>
      </c>
      <c r="S334" s="17" t="e">
        <f t="shared" si="135"/>
        <v>#N/A</v>
      </c>
      <c r="T334" s="19" t="e">
        <f>(P334)*IF(N334&lt;Forudsætninger!$B$228,IF(N334&lt;Forudsætninger!$B$227,Forudsætninger!$B$225,Forudsætninger!$C$9),Forudsætninger!$C$11)+O334</f>
        <v>#N/A</v>
      </c>
      <c r="U334" s="2" t="e">
        <f>Forudsætninger!$C$68+((K334-(Forudsætninger!$C$84)))*0.01</f>
        <v>#N/A</v>
      </c>
      <c r="V334" s="2" t="e">
        <f>U334+Forudsætninger!$C$69</f>
        <v>#N/A</v>
      </c>
      <c r="W334" t="e">
        <f t="shared" si="136"/>
        <v>#N/A</v>
      </c>
      <c r="X334">
        <f>IF(A334+Forudsætninger!$C$60&gt;248,IF(A334+Forudsætninger!$C$60&lt;365,IF(K334&gt;180,IF(K334&lt;260,1,0),0),0),0)</f>
        <v>0</v>
      </c>
      <c r="Y334" s="22">
        <f>IF(X334=0,0,IF('Vækstfunktion, hol'!A334&lt;Forudsætninger!$C$66,Forudsætninger!$C$67+(('Vækstfunktion, hol'!A334-Forudsætninger!$C$66)/7)*Forudsætninger!$C$64,Forudsætninger!$C$67))</f>
        <v>0</v>
      </c>
      <c r="Z334" s="19" t="e">
        <f t="shared" si="147"/>
        <v>#N/A</v>
      </c>
      <c r="AA334" s="19">
        <f>Forudsætninger!$C$62+Forudsætninger!$C$16</f>
        <v>1350</v>
      </c>
      <c r="AB334" s="19" t="e">
        <f>IF(K334&gt;Forudsætninger!$C$26,IF(K334&gt;Forudsætninger!$C$27,IF(K334&gt;Forudsætninger!$C$28,Forudsætninger!$E$28,Forudsætninger!$E$27+Forudsætninger!$F$28*(K334-Forudsætninger!$C$27)),Forudsætninger!$E$26+Forudsætninger!$F$27*(K334-Forudsætninger!$C$26)),Forudsætninger!$E$26)+IF(K334&gt;Forudsætninger!$C$28,Forudsætninger!$G$28,IF(K334&gt;Forudsætninger!$C$27,Forudsætninger!$G$27+Forudsætninger!$H$28*(K334-Forudsætninger!$C$27),IF(K334&gt;Forudsætninger!$C$26,Forudsætninger!$G$26+Forudsætninger!$H$27*(K334-Forudsætninger!$C$26),Forudsætninger!$G$26)))*(U334-Forudsætninger!$H$26)</f>
        <v>#N/A</v>
      </c>
      <c r="AC334" s="19" t="e">
        <f>IF(K334&gt;Forudsætninger!$C$31,IF(K334&gt;Forudsætninger!$C$32,IF(K334&gt;Forudsætninger!$C$33,Forudsætninger!$E$33,Forudsætninger!$E$32+Forudsætninger!$F$33*(K334-Forudsætninger!$C$32)),Forudsætninger!$E$31+Forudsætninger!$F$32*(K334-Forudsætninger!$C$31)),Forudsætninger!$E$31)+IF(K334&gt;Forudsætninger!$C$33,Forudsætninger!$G$33,IF(K334&gt;Forudsætninger!$C$32,Forudsætninger!$G$32+Forudsætninger!$H$33*(K334-Forudsætninger!$C$32),IF(K334&gt;Forudsætninger!$C$31,Forudsætninger!$G$31+Forudsætninger!$H$32*(K334-Forudsætninger!$C$31),Forudsætninger!$G$31)))*(V334-Forudsætninger!$H$31)</f>
        <v>#N/A</v>
      </c>
      <c r="AD334" s="19" t="e">
        <f t="shared" si="137"/>
        <v>#N/A</v>
      </c>
      <c r="AE334" s="19" t="e">
        <f t="shared" si="138"/>
        <v>#N/A</v>
      </c>
      <c r="AF334" t="e">
        <f>IF(G334&lt;=Forudsætninger!$C$97,Forudsætninger!$C$98,(IF(G334&lt;=Forudsætninger!$D$97,Forudsætninger!$D$98,IF(G334&lt;=Forudsætninger!$E$97,Forudsætninger!$E$98,IF(G334&lt;=Forudsætninger!$F$97,Forudsætninger!$F$98,IF(G334&lt;=Forudsætninger!$G$97,Forudsætninger!$G$98,IF(G334&lt;=Forudsætninger!$H$97,Forudsætninger!$H$98,IF(G334&lt;=Forudsætninger!$I$97,Forudsætninger!$I$98,Forudsætninger!$I$98))))))))</f>
        <v>#N/A</v>
      </c>
      <c r="AG334" s="1" t="e">
        <f t="shared" si="148"/>
        <v>#N/A</v>
      </c>
      <c r="AH334" s="1" t="e">
        <f t="shared" si="152"/>
        <v>#N/A</v>
      </c>
      <c r="AI334" s="1" t="e">
        <f t="shared" si="139"/>
        <v>#N/A</v>
      </c>
      <c r="AJ334" s="20" t="e">
        <f>+(W334*Forudsætninger!$C$12)</f>
        <v>#N/A</v>
      </c>
      <c r="AK334" s="20">
        <f>Forudsætninger!$C$17</f>
        <v>250</v>
      </c>
      <c r="AL334" s="20">
        <f>IF(A334&lt;92,Forudsætninger!$C$20,Forudsætninger!$C$21)</f>
        <v>1.0566762728146013</v>
      </c>
      <c r="AM334" s="20">
        <f t="shared" si="149"/>
        <v>619.32200542773694</v>
      </c>
      <c r="AN334" s="20">
        <f>IFERROR(AD334+AJ334-AA334-Z334-AK334-AM334-Forudsætninger!$C$75,-99999999)</f>
        <v>-99999999</v>
      </c>
      <c r="AO334" s="19">
        <f>IFERROR(AN334/(A334+Forudsætninger!$C$74),-99999999)</f>
        <v>-301204.81626506022</v>
      </c>
      <c r="AP334" s="19">
        <f>IFERROR(((365/(A334+Forudsætninger!$C$74))*AN334)/(AI334+Forudsætninger!$C$73),-9999999)</f>
        <v>-9999999</v>
      </c>
      <c r="AQ334" s="18">
        <f t="shared" si="140"/>
        <v>332</v>
      </c>
      <c r="AR334" s="18" t="e">
        <f t="shared" si="150"/>
        <v>#N/A</v>
      </c>
      <c r="AS334" s="52">
        <f t="shared" si="131"/>
        <v>12.2</v>
      </c>
      <c r="AT334" s="50">
        <f t="shared" si="153"/>
        <v>0</v>
      </c>
      <c r="AU334" s="50">
        <f t="shared" si="154"/>
        <v>909.98433916940121</v>
      </c>
      <c r="AV334" s="2">
        <f t="shared" si="155"/>
        <v>0</v>
      </c>
      <c r="AW334" s="61">
        <f t="shared" si="151"/>
        <v>-301202.95083733305</v>
      </c>
      <c r="BA334" s="16"/>
      <c r="BB334" s="2"/>
    </row>
    <row r="335" spans="1:54" x14ac:dyDescent="0.25">
      <c r="A335">
        <v>333</v>
      </c>
      <c r="B335" s="1">
        <f>ROUND((A335+Forudsætninger!$C$60)/30.4,1)</f>
        <v>12.2</v>
      </c>
      <c r="C335" s="1" t="e">
        <f>VLOOKUP((A335+Forudsætninger!$C$60),'Model tilvækst, slagteform, fe'!A:B,2,FALSE)</f>
        <v>#N/A</v>
      </c>
      <c r="D335" s="3" t="e">
        <f t="shared" si="141"/>
        <v>#N/A</v>
      </c>
      <c r="E335" s="1" t="e">
        <f>(1+Forudsætninger!$C$78)*C335</f>
        <v>#N/A</v>
      </c>
      <c r="F335" s="2" t="e">
        <f t="shared" si="142"/>
        <v>#N/A</v>
      </c>
      <c r="G335" s="1" t="e">
        <f t="shared" si="132"/>
        <v>#N/A</v>
      </c>
      <c r="H335" s="3" t="e">
        <f t="shared" si="133"/>
        <v>#N/A</v>
      </c>
      <c r="I335" s="3" t="e">
        <f t="shared" si="134"/>
        <v>#N/A</v>
      </c>
      <c r="J335" s="1" t="e">
        <f>VLOOKUP((A335+Forudsætninger!$C$60),'Model tilvækst, slagteform, fe'!G:K,2,FALSE)*(1+Forudsætninger!$C$79)</f>
        <v>#N/A</v>
      </c>
      <c r="K335" s="17" t="e">
        <f t="shared" si="130"/>
        <v>#N/A</v>
      </c>
      <c r="L335" s="17" t="e">
        <f t="shared" si="143"/>
        <v>#N/A</v>
      </c>
      <c r="M335" s="3" t="e">
        <f>((K335-(('Model tilvækst, slagteform, fe'!$H$9/100)*'Model tilvækst, slagteform, fe'!$B$9))*1000/(A335+Forudsætninger!$C$60))</f>
        <v>#N/A</v>
      </c>
      <c r="N335" s="17" t="e">
        <f t="shared" si="144"/>
        <v>#N/A</v>
      </c>
      <c r="O335" s="19" t="e">
        <f>IF( A335&lt;Forudsætninger!$C$14,(G335/100)*Forudsætninger!$C$13,(Forudsætninger!$C$15/1000)*Forudsætninger!$C$13)</f>
        <v>#N/A</v>
      </c>
      <c r="P335" s="17" t="e" cm="1">
        <f t="array" ref="P335">INDEX('Model tilvækst, slagteform, fe'!$N$9:$N$375,MATCH(MIN(ABS('Model tilvækst, slagteform, fe'!$M$9:$M$375-'Vækstfunktion, hol'!G335)),ABS('Model tilvækst, slagteform, fe'!$M$9:$M$375-'Vækstfunktion, hol'!G335),0))*(1+Forudsætninger!$C$80)</f>
        <v>#N/A</v>
      </c>
      <c r="Q335" s="17" t="e">
        <f t="shared" si="145"/>
        <v>#N/A</v>
      </c>
      <c r="R335" s="17" t="e">
        <f t="shared" si="146"/>
        <v>#N/A</v>
      </c>
      <c r="S335" s="17" t="e">
        <f t="shared" si="135"/>
        <v>#N/A</v>
      </c>
      <c r="T335" s="19" t="e">
        <f>(P335)*IF(N335&lt;Forudsætninger!$B$228,IF(N335&lt;Forudsætninger!$B$227,Forudsætninger!$B$225,Forudsætninger!$C$9),Forudsætninger!$C$11)+O335</f>
        <v>#N/A</v>
      </c>
      <c r="U335" s="2" t="e">
        <f>Forudsætninger!$C$68+((K335-(Forudsætninger!$C$84)))*0.01</f>
        <v>#N/A</v>
      </c>
      <c r="V335" s="2" t="e">
        <f>U335+Forudsætninger!$C$69</f>
        <v>#N/A</v>
      </c>
      <c r="W335" t="e">
        <f t="shared" si="136"/>
        <v>#N/A</v>
      </c>
      <c r="X335">
        <f>IF(A335+Forudsætninger!$C$60&gt;248,IF(A335+Forudsætninger!$C$60&lt;365,IF(K335&gt;180,IF(K335&lt;260,1,0),0),0),0)</f>
        <v>0</v>
      </c>
      <c r="Y335" s="22">
        <f>IF(X335=0,0,IF('Vækstfunktion, hol'!A335&lt;Forudsætninger!$C$66,Forudsætninger!$C$67+(('Vækstfunktion, hol'!A335-Forudsætninger!$C$66)/7)*Forudsætninger!$C$64,Forudsætninger!$C$67))</f>
        <v>0</v>
      </c>
      <c r="Z335" s="19" t="e">
        <f t="shared" si="147"/>
        <v>#N/A</v>
      </c>
      <c r="AA335" s="19">
        <f>Forudsætninger!$C$62+Forudsætninger!$C$16</f>
        <v>1350</v>
      </c>
      <c r="AB335" s="19" t="e">
        <f>IF(K335&gt;Forudsætninger!$C$26,IF(K335&gt;Forudsætninger!$C$27,IF(K335&gt;Forudsætninger!$C$28,Forudsætninger!$E$28,Forudsætninger!$E$27+Forudsætninger!$F$28*(K335-Forudsætninger!$C$27)),Forudsætninger!$E$26+Forudsætninger!$F$27*(K335-Forudsætninger!$C$26)),Forudsætninger!$E$26)+IF(K335&gt;Forudsætninger!$C$28,Forudsætninger!$G$28,IF(K335&gt;Forudsætninger!$C$27,Forudsætninger!$G$27+Forudsætninger!$H$28*(K335-Forudsætninger!$C$27),IF(K335&gt;Forudsætninger!$C$26,Forudsætninger!$G$26+Forudsætninger!$H$27*(K335-Forudsætninger!$C$26),Forudsætninger!$G$26)))*(U335-Forudsætninger!$H$26)</f>
        <v>#N/A</v>
      </c>
      <c r="AC335" s="19" t="e">
        <f>IF(K335&gt;Forudsætninger!$C$31,IF(K335&gt;Forudsætninger!$C$32,IF(K335&gt;Forudsætninger!$C$33,Forudsætninger!$E$33,Forudsætninger!$E$32+Forudsætninger!$F$33*(K335-Forudsætninger!$C$32)),Forudsætninger!$E$31+Forudsætninger!$F$32*(K335-Forudsætninger!$C$31)),Forudsætninger!$E$31)+IF(K335&gt;Forudsætninger!$C$33,Forudsætninger!$G$33,IF(K335&gt;Forudsætninger!$C$32,Forudsætninger!$G$32+Forudsætninger!$H$33*(K335-Forudsætninger!$C$32),IF(K335&gt;Forudsætninger!$C$31,Forudsætninger!$G$31+Forudsætninger!$H$32*(K335-Forudsætninger!$C$31),Forudsætninger!$G$31)))*(V335-Forudsætninger!$H$31)</f>
        <v>#N/A</v>
      </c>
      <c r="AD335" s="19" t="e">
        <f t="shared" si="137"/>
        <v>#N/A</v>
      </c>
      <c r="AE335" s="19" t="e">
        <f t="shared" si="138"/>
        <v>#N/A</v>
      </c>
      <c r="AF335" t="e">
        <f>IF(G335&lt;=Forudsætninger!$C$97,Forudsætninger!$C$98,(IF(G335&lt;=Forudsætninger!$D$97,Forudsætninger!$D$98,IF(G335&lt;=Forudsætninger!$E$97,Forudsætninger!$E$98,IF(G335&lt;=Forudsætninger!$F$97,Forudsætninger!$F$98,IF(G335&lt;=Forudsætninger!$G$97,Forudsætninger!$G$98,IF(G335&lt;=Forudsætninger!$H$97,Forudsætninger!$H$98,IF(G335&lt;=Forudsætninger!$I$97,Forudsætninger!$I$98,Forudsætninger!$I$98))))))))</f>
        <v>#N/A</v>
      </c>
      <c r="AG335" s="1" t="e">
        <f t="shared" si="148"/>
        <v>#N/A</v>
      </c>
      <c r="AH335" s="1" t="e">
        <f t="shared" si="152"/>
        <v>#N/A</v>
      </c>
      <c r="AI335" s="1" t="e">
        <f t="shared" si="139"/>
        <v>#N/A</v>
      </c>
      <c r="AJ335" s="20" t="e">
        <f>+(W335*Forudsætninger!$C$12)</f>
        <v>#N/A</v>
      </c>
      <c r="AK335" s="20">
        <f>Forudsætninger!$C$17</f>
        <v>250</v>
      </c>
      <c r="AL335" s="20">
        <f>IF(A335&lt;92,Forudsætninger!$C$20,Forudsætninger!$C$21)</f>
        <v>1.0566762728146013</v>
      </c>
      <c r="AM335" s="20">
        <f t="shared" si="149"/>
        <v>620.37868170055151</v>
      </c>
      <c r="AN335" s="20">
        <f>IFERROR(AD335+AJ335-AA335-Z335-AK335-AM335-Forudsætninger!$C$75,-99999999)</f>
        <v>-99999999</v>
      </c>
      <c r="AO335" s="19">
        <f>IFERROR(AN335/(A335+Forudsætninger!$C$74),-99999999)</f>
        <v>-300300.29729729728</v>
      </c>
      <c r="AP335" s="19">
        <f>IFERROR(((365/(A335+Forudsætninger!$C$74))*AN335)/(AI335+Forudsætninger!$C$73),-9999999)</f>
        <v>-9999999</v>
      </c>
      <c r="AQ335" s="18">
        <f t="shared" si="140"/>
        <v>333</v>
      </c>
      <c r="AR335" s="18" t="e">
        <f t="shared" si="150"/>
        <v>#N/A</v>
      </c>
      <c r="AS335" s="52">
        <f t="shared" si="131"/>
        <v>12.2</v>
      </c>
      <c r="AT335" s="50">
        <f t="shared" si="153"/>
        <v>0</v>
      </c>
      <c r="AU335" s="50">
        <f t="shared" si="154"/>
        <v>904.5189677629387</v>
      </c>
      <c r="AV335" s="2">
        <f t="shared" si="155"/>
        <v>0</v>
      </c>
      <c r="AW335" s="61">
        <f t="shared" si="151"/>
        <v>-300298.43429825315</v>
      </c>
      <c r="BA335" s="16"/>
      <c r="BB335" s="2"/>
    </row>
    <row r="336" spans="1:54" x14ac:dyDescent="0.25">
      <c r="A336">
        <v>334</v>
      </c>
      <c r="B336" s="1">
        <f>ROUND((A336+Forudsætninger!$C$60)/30.4,1)</f>
        <v>12.3</v>
      </c>
      <c r="C336" s="1" t="e">
        <f>VLOOKUP((A336+Forudsætninger!$C$60),'Model tilvækst, slagteform, fe'!A:B,2,FALSE)</f>
        <v>#N/A</v>
      </c>
      <c r="D336" s="3" t="e">
        <f t="shared" si="141"/>
        <v>#N/A</v>
      </c>
      <c r="E336" s="1" t="e">
        <f>(1+Forudsætninger!$C$78)*C336</f>
        <v>#N/A</v>
      </c>
      <c r="F336" s="2" t="e">
        <f t="shared" si="142"/>
        <v>#N/A</v>
      </c>
      <c r="G336" s="1" t="e">
        <f t="shared" si="132"/>
        <v>#N/A</v>
      </c>
      <c r="H336" s="3" t="e">
        <f t="shared" si="133"/>
        <v>#N/A</v>
      </c>
      <c r="I336" s="3" t="e">
        <f t="shared" si="134"/>
        <v>#N/A</v>
      </c>
      <c r="J336" s="1" t="e">
        <f>VLOOKUP((A336+Forudsætninger!$C$60),'Model tilvækst, slagteform, fe'!G:K,2,FALSE)*(1+Forudsætninger!$C$79)</f>
        <v>#N/A</v>
      </c>
      <c r="K336" s="17" t="e">
        <f t="shared" si="130"/>
        <v>#N/A</v>
      </c>
      <c r="L336" s="17" t="e">
        <f t="shared" si="143"/>
        <v>#N/A</v>
      </c>
      <c r="M336" s="3" t="e">
        <f>((K336-(('Model tilvækst, slagteform, fe'!$H$9/100)*'Model tilvækst, slagteform, fe'!$B$9))*1000/(A336+Forudsætninger!$C$60))</f>
        <v>#N/A</v>
      </c>
      <c r="N336" s="17" t="e">
        <f t="shared" si="144"/>
        <v>#N/A</v>
      </c>
      <c r="O336" s="19" t="e">
        <f>IF( A336&lt;Forudsætninger!$C$14,(G336/100)*Forudsætninger!$C$13,(Forudsætninger!$C$15/1000)*Forudsætninger!$C$13)</f>
        <v>#N/A</v>
      </c>
      <c r="P336" s="17" t="e" cm="1">
        <f t="array" ref="P336">INDEX('Model tilvækst, slagteform, fe'!$N$9:$N$375,MATCH(MIN(ABS('Model tilvækst, slagteform, fe'!$M$9:$M$375-'Vækstfunktion, hol'!G336)),ABS('Model tilvækst, slagteform, fe'!$M$9:$M$375-'Vækstfunktion, hol'!G336),0))*(1+Forudsætninger!$C$80)</f>
        <v>#N/A</v>
      </c>
      <c r="Q336" s="17" t="e">
        <f t="shared" si="145"/>
        <v>#N/A</v>
      </c>
      <c r="R336" s="17" t="e">
        <f t="shared" si="146"/>
        <v>#N/A</v>
      </c>
      <c r="S336" s="17" t="e">
        <f t="shared" si="135"/>
        <v>#N/A</v>
      </c>
      <c r="T336" s="19" t="e">
        <f>(P336)*IF(N336&lt;Forudsætninger!$B$228,IF(N336&lt;Forudsætninger!$B$227,Forudsætninger!$B$225,Forudsætninger!$C$9),Forudsætninger!$C$11)+O336</f>
        <v>#N/A</v>
      </c>
      <c r="U336" s="2" t="e">
        <f>Forudsætninger!$C$68+((K336-(Forudsætninger!$C$84)))*0.01</f>
        <v>#N/A</v>
      </c>
      <c r="V336" s="2" t="e">
        <f>U336+Forudsætninger!$C$69</f>
        <v>#N/A</v>
      </c>
      <c r="W336" t="e">
        <f t="shared" si="136"/>
        <v>#N/A</v>
      </c>
      <c r="X336">
        <f>IF(A336+Forudsætninger!$C$60&gt;248,IF(A336+Forudsætninger!$C$60&lt;365,IF(K336&gt;180,IF(K336&lt;260,1,0),0),0),0)</f>
        <v>0</v>
      </c>
      <c r="Y336" s="22">
        <f>IF(X336=0,0,IF('Vækstfunktion, hol'!A336&lt;Forudsætninger!$C$66,Forudsætninger!$C$67+(('Vækstfunktion, hol'!A336-Forudsætninger!$C$66)/7)*Forudsætninger!$C$64,Forudsætninger!$C$67))</f>
        <v>0</v>
      </c>
      <c r="Z336" s="19" t="e">
        <f t="shared" si="147"/>
        <v>#N/A</v>
      </c>
      <c r="AA336" s="19">
        <f>Forudsætninger!$C$62+Forudsætninger!$C$16</f>
        <v>1350</v>
      </c>
      <c r="AB336" s="19" t="e">
        <f>IF(K336&gt;Forudsætninger!$C$26,IF(K336&gt;Forudsætninger!$C$27,IF(K336&gt;Forudsætninger!$C$28,Forudsætninger!$E$28,Forudsætninger!$E$27+Forudsætninger!$F$28*(K336-Forudsætninger!$C$27)),Forudsætninger!$E$26+Forudsætninger!$F$27*(K336-Forudsætninger!$C$26)),Forudsætninger!$E$26)+IF(K336&gt;Forudsætninger!$C$28,Forudsætninger!$G$28,IF(K336&gt;Forudsætninger!$C$27,Forudsætninger!$G$27+Forudsætninger!$H$28*(K336-Forudsætninger!$C$27),IF(K336&gt;Forudsætninger!$C$26,Forudsætninger!$G$26+Forudsætninger!$H$27*(K336-Forudsætninger!$C$26),Forudsætninger!$G$26)))*(U336-Forudsætninger!$H$26)</f>
        <v>#N/A</v>
      </c>
      <c r="AC336" s="19" t="e">
        <f>IF(K336&gt;Forudsætninger!$C$31,IF(K336&gt;Forudsætninger!$C$32,IF(K336&gt;Forudsætninger!$C$33,Forudsætninger!$E$33,Forudsætninger!$E$32+Forudsætninger!$F$33*(K336-Forudsætninger!$C$32)),Forudsætninger!$E$31+Forudsætninger!$F$32*(K336-Forudsætninger!$C$31)),Forudsætninger!$E$31)+IF(K336&gt;Forudsætninger!$C$33,Forudsætninger!$G$33,IF(K336&gt;Forudsætninger!$C$32,Forudsætninger!$G$32+Forudsætninger!$H$33*(K336-Forudsætninger!$C$32),IF(K336&gt;Forudsætninger!$C$31,Forudsætninger!$G$31+Forudsætninger!$H$32*(K336-Forudsætninger!$C$31),Forudsætninger!$G$31)))*(V336-Forudsætninger!$H$31)</f>
        <v>#N/A</v>
      </c>
      <c r="AD336" s="19" t="e">
        <f t="shared" si="137"/>
        <v>#N/A</v>
      </c>
      <c r="AE336" s="19" t="e">
        <f t="shared" si="138"/>
        <v>#N/A</v>
      </c>
      <c r="AF336" t="e">
        <f>IF(G336&lt;=Forudsætninger!$C$97,Forudsætninger!$C$98,(IF(G336&lt;=Forudsætninger!$D$97,Forudsætninger!$D$98,IF(G336&lt;=Forudsætninger!$E$97,Forudsætninger!$E$98,IF(G336&lt;=Forudsætninger!$F$97,Forudsætninger!$F$98,IF(G336&lt;=Forudsætninger!$G$97,Forudsætninger!$G$98,IF(G336&lt;=Forudsætninger!$H$97,Forudsætninger!$H$98,IF(G336&lt;=Forudsætninger!$I$97,Forudsætninger!$I$98,Forudsætninger!$I$98))))))))</f>
        <v>#N/A</v>
      </c>
      <c r="AG336" s="1" t="e">
        <f t="shared" si="148"/>
        <v>#N/A</v>
      </c>
      <c r="AH336" s="1" t="e">
        <f t="shared" si="152"/>
        <v>#N/A</v>
      </c>
      <c r="AI336" s="1" t="e">
        <f t="shared" si="139"/>
        <v>#N/A</v>
      </c>
      <c r="AJ336" s="20" t="e">
        <f>+(W336*Forudsætninger!$C$12)</f>
        <v>#N/A</v>
      </c>
      <c r="AK336" s="20">
        <f>Forudsætninger!$C$17</f>
        <v>250</v>
      </c>
      <c r="AL336" s="20">
        <f>IF(A336&lt;92,Forudsætninger!$C$20,Forudsætninger!$C$21)</f>
        <v>1.0566762728146013</v>
      </c>
      <c r="AM336" s="20">
        <f t="shared" si="149"/>
        <v>621.43535797336608</v>
      </c>
      <c r="AN336" s="20">
        <f>IFERROR(AD336+AJ336-AA336-Z336-AK336-AM336-Forudsætninger!$C$75,-99999999)</f>
        <v>-99999999</v>
      </c>
      <c r="AO336" s="19">
        <f>IFERROR(AN336/(A336+Forudsætninger!$C$74),-99999999)</f>
        <v>-299401.19461077842</v>
      </c>
      <c r="AP336" s="19">
        <f>IFERROR(((365/(A336+Forudsætninger!$C$74))*AN336)/(AI336+Forudsætninger!$C$73),-9999999)</f>
        <v>-9999999</v>
      </c>
      <c r="AQ336" s="18">
        <f t="shared" si="140"/>
        <v>334</v>
      </c>
      <c r="AR336" s="18" t="e">
        <f t="shared" si="150"/>
        <v>#N/A</v>
      </c>
      <c r="AS336" s="52">
        <f t="shared" si="131"/>
        <v>12.3</v>
      </c>
      <c r="AT336" s="50">
        <f t="shared" si="153"/>
        <v>0</v>
      </c>
      <c r="AU336" s="50">
        <f t="shared" si="154"/>
        <v>899.10268651886145</v>
      </c>
      <c r="AV336" s="2">
        <f t="shared" si="155"/>
        <v>0</v>
      </c>
      <c r="AW336" s="61">
        <f t="shared" si="151"/>
        <v>-299399.33402587433</v>
      </c>
      <c r="BA336" s="16"/>
      <c r="BB336" s="2"/>
    </row>
    <row r="337" spans="1:54" x14ac:dyDescent="0.25">
      <c r="A337">
        <v>335</v>
      </c>
      <c r="B337" s="1">
        <f>ROUND((A337+Forudsætninger!$C$60)/30.4,1)</f>
        <v>12.3</v>
      </c>
      <c r="C337" s="1" t="e">
        <f>VLOOKUP((A337+Forudsætninger!$C$60),'Model tilvækst, slagteform, fe'!A:B,2,FALSE)</f>
        <v>#N/A</v>
      </c>
      <c r="D337" s="3" t="e">
        <f t="shared" si="141"/>
        <v>#N/A</v>
      </c>
      <c r="E337" s="1" t="e">
        <f>(1+Forudsætninger!$C$78)*C337</f>
        <v>#N/A</v>
      </c>
      <c r="F337" s="2" t="e">
        <f t="shared" si="142"/>
        <v>#N/A</v>
      </c>
      <c r="G337" s="1" t="e">
        <f t="shared" si="132"/>
        <v>#N/A</v>
      </c>
      <c r="H337" s="3" t="e">
        <f t="shared" si="133"/>
        <v>#N/A</v>
      </c>
      <c r="I337" s="3" t="e">
        <f t="shared" si="134"/>
        <v>#N/A</v>
      </c>
      <c r="J337" s="1" t="e">
        <f>VLOOKUP((A337+Forudsætninger!$C$60),'Model tilvækst, slagteform, fe'!G:K,2,FALSE)*(1+Forudsætninger!$C$79)</f>
        <v>#N/A</v>
      </c>
      <c r="K337" s="17" t="e">
        <f t="shared" si="130"/>
        <v>#N/A</v>
      </c>
      <c r="L337" s="17" t="e">
        <f t="shared" si="143"/>
        <v>#N/A</v>
      </c>
      <c r="M337" s="3" t="e">
        <f>((K337-(('Model tilvækst, slagteform, fe'!$H$9/100)*'Model tilvækst, slagteform, fe'!$B$9))*1000/(A337+Forudsætninger!$C$60))</f>
        <v>#N/A</v>
      </c>
      <c r="N337" s="17" t="e">
        <f t="shared" si="144"/>
        <v>#N/A</v>
      </c>
      <c r="O337" s="19" t="e">
        <f>IF( A337&lt;Forudsætninger!$C$14,(G337/100)*Forudsætninger!$C$13,(Forudsætninger!$C$15/1000)*Forudsætninger!$C$13)</f>
        <v>#N/A</v>
      </c>
      <c r="P337" s="17" t="e" cm="1">
        <f t="array" ref="P337">INDEX('Model tilvækst, slagteform, fe'!$N$9:$N$375,MATCH(MIN(ABS('Model tilvækst, slagteform, fe'!$M$9:$M$375-'Vækstfunktion, hol'!G337)),ABS('Model tilvækst, slagteform, fe'!$M$9:$M$375-'Vækstfunktion, hol'!G337),0))*(1+Forudsætninger!$C$80)</f>
        <v>#N/A</v>
      </c>
      <c r="Q337" s="17" t="e">
        <f t="shared" si="145"/>
        <v>#N/A</v>
      </c>
      <c r="R337" s="17" t="e">
        <f t="shared" si="146"/>
        <v>#N/A</v>
      </c>
      <c r="S337" s="17" t="e">
        <f t="shared" si="135"/>
        <v>#N/A</v>
      </c>
      <c r="T337" s="19" t="e">
        <f>(P337)*IF(N337&lt;Forudsætninger!$B$228,IF(N337&lt;Forudsætninger!$B$227,Forudsætninger!$B$225,Forudsætninger!$C$9),Forudsætninger!$C$11)+O337</f>
        <v>#N/A</v>
      </c>
      <c r="U337" s="2" t="e">
        <f>Forudsætninger!$C$68+((K337-(Forudsætninger!$C$84)))*0.01</f>
        <v>#N/A</v>
      </c>
      <c r="V337" s="2" t="e">
        <f>U337+Forudsætninger!$C$69</f>
        <v>#N/A</v>
      </c>
      <c r="W337" t="e">
        <f t="shared" si="136"/>
        <v>#N/A</v>
      </c>
      <c r="X337">
        <f>IF(A337+Forudsætninger!$C$60&gt;248,IF(A337+Forudsætninger!$C$60&lt;365,IF(K337&gt;180,IF(K337&lt;260,1,0),0),0),0)</f>
        <v>0</v>
      </c>
      <c r="Y337" s="22">
        <f>IF(X337=0,0,IF('Vækstfunktion, hol'!A337&lt;Forudsætninger!$C$66,Forudsætninger!$C$67+(('Vækstfunktion, hol'!A337-Forudsætninger!$C$66)/7)*Forudsætninger!$C$64,Forudsætninger!$C$67))</f>
        <v>0</v>
      </c>
      <c r="Z337" s="19" t="e">
        <f t="shared" si="147"/>
        <v>#N/A</v>
      </c>
      <c r="AA337" s="19">
        <f>Forudsætninger!$C$62+Forudsætninger!$C$16</f>
        <v>1350</v>
      </c>
      <c r="AB337" s="19" t="e">
        <f>IF(K337&gt;Forudsætninger!$C$26,IF(K337&gt;Forudsætninger!$C$27,IF(K337&gt;Forudsætninger!$C$28,Forudsætninger!$E$28,Forudsætninger!$E$27+Forudsætninger!$F$28*(K337-Forudsætninger!$C$27)),Forudsætninger!$E$26+Forudsætninger!$F$27*(K337-Forudsætninger!$C$26)),Forudsætninger!$E$26)+IF(K337&gt;Forudsætninger!$C$28,Forudsætninger!$G$28,IF(K337&gt;Forudsætninger!$C$27,Forudsætninger!$G$27+Forudsætninger!$H$28*(K337-Forudsætninger!$C$27),IF(K337&gt;Forudsætninger!$C$26,Forudsætninger!$G$26+Forudsætninger!$H$27*(K337-Forudsætninger!$C$26),Forudsætninger!$G$26)))*(U337-Forudsætninger!$H$26)</f>
        <v>#N/A</v>
      </c>
      <c r="AC337" s="19" t="e">
        <f>IF(K337&gt;Forudsætninger!$C$31,IF(K337&gt;Forudsætninger!$C$32,IF(K337&gt;Forudsætninger!$C$33,Forudsætninger!$E$33,Forudsætninger!$E$32+Forudsætninger!$F$33*(K337-Forudsætninger!$C$32)),Forudsætninger!$E$31+Forudsætninger!$F$32*(K337-Forudsætninger!$C$31)),Forudsætninger!$E$31)+IF(K337&gt;Forudsætninger!$C$33,Forudsætninger!$G$33,IF(K337&gt;Forudsætninger!$C$32,Forudsætninger!$G$32+Forudsætninger!$H$33*(K337-Forudsætninger!$C$32),IF(K337&gt;Forudsætninger!$C$31,Forudsætninger!$G$31+Forudsætninger!$H$32*(K337-Forudsætninger!$C$31),Forudsætninger!$G$31)))*(V337-Forudsætninger!$H$31)</f>
        <v>#N/A</v>
      </c>
      <c r="AD337" s="19" t="e">
        <f t="shared" si="137"/>
        <v>#N/A</v>
      </c>
      <c r="AE337" s="19" t="e">
        <f t="shared" si="138"/>
        <v>#N/A</v>
      </c>
      <c r="AF337" t="e">
        <f>IF(G337&lt;=Forudsætninger!$C$97,Forudsætninger!$C$98,(IF(G337&lt;=Forudsætninger!$D$97,Forudsætninger!$D$98,IF(G337&lt;=Forudsætninger!$E$97,Forudsætninger!$E$98,IF(G337&lt;=Forudsætninger!$F$97,Forudsætninger!$F$98,IF(G337&lt;=Forudsætninger!$G$97,Forudsætninger!$G$98,IF(G337&lt;=Forudsætninger!$H$97,Forudsætninger!$H$98,IF(G337&lt;=Forudsætninger!$I$97,Forudsætninger!$I$98,Forudsætninger!$I$98))))))))</f>
        <v>#N/A</v>
      </c>
      <c r="AG337" s="1" t="e">
        <f t="shared" si="148"/>
        <v>#N/A</v>
      </c>
      <c r="AH337" s="1" t="e">
        <f t="shared" si="152"/>
        <v>#N/A</v>
      </c>
      <c r="AI337" s="1" t="e">
        <f t="shared" si="139"/>
        <v>#N/A</v>
      </c>
      <c r="AJ337" s="20" t="e">
        <f>+(W337*Forudsætninger!$C$12)</f>
        <v>#N/A</v>
      </c>
      <c r="AK337" s="20">
        <f>Forudsætninger!$C$17</f>
        <v>250</v>
      </c>
      <c r="AL337" s="20">
        <f>IF(A337&lt;92,Forudsætninger!$C$20,Forudsætninger!$C$21)</f>
        <v>1.0566762728146013</v>
      </c>
      <c r="AM337" s="20">
        <f t="shared" si="149"/>
        <v>622.49203424618065</v>
      </c>
      <c r="AN337" s="20">
        <f>IFERROR(AD337+AJ337-AA337-Z337-AK337-AM337-Forudsætninger!$C$75,-99999999)</f>
        <v>-99999999</v>
      </c>
      <c r="AO337" s="19">
        <f>IFERROR(AN337/(A337+Forudsætninger!$C$74),-99999999)</f>
        <v>-298507.45970149251</v>
      </c>
      <c r="AP337" s="19">
        <f>IFERROR(((365/(A337+Forudsætninger!$C$74))*AN337)/(AI337+Forudsætninger!$C$73),-9999999)</f>
        <v>-9999999</v>
      </c>
      <c r="AQ337" s="18">
        <f t="shared" si="140"/>
        <v>335</v>
      </c>
      <c r="AR337" s="18" t="e">
        <f t="shared" si="150"/>
        <v>#N/A</v>
      </c>
      <c r="AS337" s="52">
        <f t="shared" si="131"/>
        <v>12.3</v>
      </c>
      <c r="AT337" s="50">
        <f t="shared" si="153"/>
        <v>0</v>
      </c>
      <c r="AU337" s="50">
        <f t="shared" si="154"/>
        <v>893.73490928590763</v>
      </c>
      <c r="AV337" s="2">
        <f t="shared" si="155"/>
        <v>0</v>
      </c>
      <c r="AW337" s="61">
        <f t="shared" si="151"/>
        <v>-298505.60151631571</v>
      </c>
      <c r="BA337" s="16"/>
      <c r="BB337" s="2"/>
    </row>
    <row r="338" spans="1:54" x14ac:dyDescent="0.25">
      <c r="A338">
        <v>336</v>
      </c>
      <c r="B338" s="1">
        <f>ROUND((A338+Forudsætninger!$C$60)/30.4,1)</f>
        <v>12.3</v>
      </c>
      <c r="C338" s="1" t="e">
        <f>VLOOKUP((A338+Forudsætninger!$C$60),'Model tilvækst, slagteform, fe'!A:B,2,FALSE)</f>
        <v>#N/A</v>
      </c>
      <c r="D338" s="3" t="e">
        <f t="shared" si="141"/>
        <v>#N/A</v>
      </c>
      <c r="E338" s="1" t="e">
        <f>(1+Forudsætninger!$C$78)*C338</f>
        <v>#N/A</v>
      </c>
      <c r="F338" s="2" t="e">
        <f t="shared" si="142"/>
        <v>#N/A</v>
      </c>
      <c r="G338" s="1" t="e">
        <f t="shared" si="132"/>
        <v>#N/A</v>
      </c>
      <c r="H338" s="3" t="e">
        <f t="shared" si="133"/>
        <v>#N/A</v>
      </c>
      <c r="I338" s="3" t="e">
        <f t="shared" si="134"/>
        <v>#N/A</v>
      </c>
      <c r="J338" s="1" t="e">
        <f>VLOOKUP((A338+Forudsætninger!$C$60),'Model tilvækst, slagteform, fe'!G:K,2,FALSE)*(1+Forudsætninger!$C$79)</f>
        <v>#N/A</v>
      </c>
      <c r="K338" s="17" t="e">
        <f t="shared" si="130"/>
        <v>#N/A</v>
      </c>
      <c r="L338" s="17" t="e">
        <f t="shared" si="143"/>
        <v>#N/A</v>
      </c>
      <c r="M338" s="3" t="e">
        <f>((K338-(('Model tilvækst, slagteform, fe'!$H$9/100)*'Model tilvækst, slagteform, fe'!$B$9))*1000/(A338+Forudsætninger!$C$60))</f>
        <v>#N/A</v>
      </c>
      <c r="N338" s="17" t="e">
        <f t="shared" si="144"/>
        <v>#N/A</v>
      </c>
      <c r="O338" s="19" t="e">
        <f>IF( A338&lt;Forudsætninger!$C$14,(G338/100)*Forudsætninger!$C$13,(Forudsætninger!$C$15/1000)*Forudsætninger!$C$13)</f>
        <v>#N/A</v>
      </c>
      <c r="P338" s="17" t="e" cm="1">
        <f t="array" ref="P338">INDEX('Model tilvækst, slagteform, fe'!$N$9:$N$375,MATCH(MIN(ABS('Model tilvækst, slagteform, fe'!$M$9:$M$375-'Vækstfunktion, hol'!G338)),ABS('Model tilvækst, slagteform, fe'!$M$9:$M$375-'Vækstfunktion, hol'!G338),0))*(1+Forudsætninger!$C$80)</f>
        <v>#N/A</v>
      </c>
      <c r="Q338" s="17" t="e">
        <f t="shared" si="145"/>
        <v>#N/A</v>
      </c>
      <c r="R338" s="17" t="e">
        <f t="shared" si="146"/>
        <v>#N/A</v>
      </c>
      <c r="S338" s="17" t="e">
        <f t="shared" si="135"/>
        <v>#N/A</v>
      </c>
      <c r="T338" s="19" t="e">
        <f>(P338)*IF(N338&lt;Forudsætninger!$B$228,IF(N338&lt;Forudsætninger!$B$227,Forudsætninger!$B$225,Forudsætninger!$C$9),Forudsætninger!$C$11)+O338</f>
        <v>#N/A</v>
      </c>
      <c r="V338" s="2">
        <f>U338+Forudsætninger!$C$69</f>
        <v>-1</v>
      </c>
      <c r="W338" t="e">
        <f t="shared" si="136"/>
        <v>#N/A</v>
      </c>
      <c r="X338">
        <f>IF(A338+Forudsætninger!$C$60&gt;248,IF(A338+Forudsætninger!$C$60&lt;365,IF(K338&gt;180,IF(K338&lt;260,1,0),0),0),0)</f>
        <v>0</v>
      </c>
      <c r="Y338" s="22">
        <f>IF(X338=0,0,IF('Vækstfunktion, hol'!A338&lt;Forudsætninger!$C$66,Forudsætninger!$C$67+(('Vækstfunktion, hol'!A338-Forudsætninger!$C$66)/7)*Forudsætninger!$C$64,Forudsætninger!$C$67))</f>
        <v>0</v>
      </c>
      <c r="Z338" s="19" t="e">
        <f t="shared" si="147"/>
        <v>#N/A</v>
      </c>
      <c r="AA338" s="19">
        <f>Forudsætninger!$C$62+Forudsætninger!$C$16</f>
        <v>1350</v>
      </c>
      <c r="AB338" s="19" t="e">
        <f>IF(K338&gt;Forudsætninger!$C$26,IF(K338&gt;Forudsætninger!$C$27,IF(K338&gt;Forudsætninger!$C$28,Forudsætninger!$E$28,Forudsætninger!$E$27+Forudsætninger!$F$28*(K338-Forudsætninger!$C$27)),Forudsætninger!$E$26+Forudsætninger!$F$27*(K338-Forudsætninger!$C$26)),Forudsætninger!$E$26)+IF(K338&gt;Forudsætninger!$C$28,Forudsætninger!$G$28,IF(K338&gt;Forudsætninger!$C$27,Forudsætninger!$G$27+Forudsætninger!$H$28*(K338-Forudsætninger!$C$27),IF(K338&gt;Forudsætninger!$C$26,Forudsætninger!$G$26+Forudsætninger!$H$27*(K338-Forudsætninger!$C$26),Forudsætninger!$G$26)))*(U338-Forudsætninger!$H$26)</f>
        <v>#N/A</v>
      </c>
      <c r="AC338" s="19" t="e">
        <f>IF(K338&gt;Forudsætninger!$C$31,IF(K338&gt;Forudsætninger!$C$32,IF(K338&gt;Forudsætninger!$C$33,Forudsætninger!$E$33,Forudsætninger!$E$32+Forudsætninger!$F$33*(K338-Forudsætninger!$C$32)),Forudsætninger!$E$31+Forudsætninger!$F$32*(K338-Forudsætninger!$C$31)),Forudsætninger!$E$31)+IF(K338&gt;Forudsætninger!$C$33,Forudsætninger!$G$33,IF(K338&gt;Forudsætninger!$C$32,Forudsætninger!$G$32+Forudsætninger!$H$33*(K338-Forudsætninger!$C$32),IF(K338&gt;Forudsætninger!$C$31,Forudsætninger!$G$31+Forudsætninger!$H$32*(K338-Forudsætninger!$C$31),Forudsætninger!$G$31)))*(V338-Forudsætninger!$H$31)</f>
        <v>#N/A</v>
      </c>
      <c r="AD338" s="19" t="e">
        <f t="shared" si="137"/>
        <v>#N/A</v>
      </c>
      <c r="AE338" s="19" t="e">
        <f t="shared" si="138"/>
        <v>#N/A</v>
      </c>
      <c r="AF338" t="e">
        <f>IF(G338&lt;=Forudsætninger!$C$97,Forudsætninger!$C$98,(IF(G338&lt;=Forudsætninger!$D$97,Forudsætninger!$D$98,IF(G338&lt;=Forudsætninger!$E$97,Forudsætninger!$E$98,IF(G338&lt;=Forudsætninger!$F$97,Forudsætninger!$F$98,IF(G338&lt;=Forudsætninger!$G$97,Forudsætninger!$G$98,IF(G338&lt;=Forudsætninger!$H$97,Forudsætninger!$H$98,IF(G338&lt;=Forudsætninger!$I$97,Forudsætninger!$I$98,Forudsætninger!$I$98))))))))</f>
        <v>#N/A</v>
      </c>
      <c r="AG338" s="1" t="e">
        <f t="shared" si="148"/>
        <v>#N/A</v>
      </c>
      <c r="AH338" s="1" t="e">
        <f t="shared" si="152"/>
        <v>#N/A</v>
      </c>
      <c r="AI338" s="1" t="e">
        <f t="shared" si="139"/>
        <v>#N/A</v>
      </c>
      <c r="AJ338" s="20" t="e">
        <f>+(W338*Forudsætninger!$C$12)</f>
        <v>#N/A</v>
      </c>
      <c r="AK338" s="20">
        <f>Forudsætninger!$C$17</f>
        <v>250</v>
      </c>
      <c r="AL338" s="20">
        <f>IF(A338&lt;92,Forudsætninger!$C$20,Forudsætninger!$C$21)</f>
        <v>1.0566762728146013</v>
      </c>
      <c r="AM338" s="20">
        <f t="shared" si="149"/>
        <v>623.54871051899522</v>
      </c>
      <c r="AN338" s="20">
        <f>IFERROR(AD338+AJ338-AA338-Z338-AK338-AM338-Forudsætninger!$C$75,-99999999)</f>
        <v>-99999999</v>
      </c>
      <c r="AO338" s="19">
        <f>IFERROR(AN338/(A338+Forudsætninger!$C$74),-99999999)</f>
        <v>-297619.04464285716</v>
      </c>
      <c r="AP338" s="19">
        <f>IFERROR(((365/(A338+Forudsætninger!$C$74))*AN338)/(AI338+Forudsætninger!$C$73),-9999999)</f>
        <v>-9999999</v>
      </c>
      <c r="AQ338" s="18">
        <f t="shared" si="140"/>
        <v>336</v>
      </c>
      <c r="AR338" s="18" t="e">
        <f t="shared" si="150"/>
        <v>#N/A</v>
      </c>
      <c r="AS338" s="52">
        <f t="shared" si="131"/>
        <v>12.3</v>
      </c>
      <c r="AT338" s="50">
        <f t="shared" si="153"/>
        <v>0</v>
      </c>
      <c r="AU338" s="50">
        <f t="shared" si="154"/>
        <v>888.41505863534985</v>
      </c>
      <c r="AV338" s="2">
        <f t="shared" si="155"/>
        <v>0</v>
      </c>
      <c r="AW338" s="61">
        <f t="shared" si="151"/>
        <v>-297617.18884312344</v>
      </c>
      <c r="BA338" s="16"/>
      <c r="BB338" s="2"/>
    </row>
    <row r="339" spans="1:54" x14ac:dyDescent="0.25">
      <c r="A339">
        <v>337</v>
      </c>
      <c r="B339" s="1">
        <f>ROUND((A339+Forudsætninger!$C$60)/30.4,1)</f>
        <v>12.4</v>
      </c>
      <c r="C339" s="1" t="e">
        <f>VLOOKUP((A339+Forudsætninger!$C$60),'Model tilvækst, slagteform, fe'!A:B,2,FALSE)</f>
        <v>#N/A</v>
      </c>
      <c r="D339" s="3" t="e">
        <f t="shared" si="141"/>
        <v>#N/A</v>
      </c>
      <c r="E339" s="1" t="e">
        <f>(1+Forudsætninger!$C$78)*C339</f>
        <v>#N/A</v>
      </c>
      <c r="F339" s="2" t="e">
        <f t="shared" si="142"/>
        <v>#N/A</v>
      </c>
      <c r="G339" s="1" t="e">
        <f t="shared" si="132"/>
        <v>#N/A</v>
      </c>
      <c r="H339" s="3" t="e">
        <f t="shared" si="133"/>
        <v>#N/A</v>
      </c>
      <c r="I339" s="3" t="e">
        <f t="shared" si="134"/>
        <v>#N/A</v>
      </c>
      <c r="J339" s="1" t="e">
        <f>VLOOKUP((A339+Forudsætninger!$C$60),'Model tilvækst, slagteform, fe'!G:K,2,FALSE)*(1+Forudsætninger!$C$79)</f>
        <v>#N/A</v>
      </c>
      <c r="K339" s="17" t="e">
        <f t="shared" si="130"/>
        <v>#N/A</v>
      </c>
      <c r="L339" s="17" t="e">
        <f t="shared" si="143"/>
        <v>#N/A</v>
      </c>
      <c r="M339" s="3" t="e">
        <f>((K339-(('Model tilvækst, slagteform, fe'!$H$9/100)*'Model tilvækst, slagteform, fe'!$B$9))*1000/(A339+Forudsætninger!$C$60))</f>
        <v>#N/A</v>
      </c>
      <c r="N339" s="17" t="e">
        <f t="shared" si="144"/>
        <v>#N/A</v>
      </c>
      <c r="O339" s="19" t="e">
        <f>IF( A339&lt;Forudsætninger!$C$14,(G339/100)*Forudsætninger!$C$13,(Forudsætninger!$C$15/1000)*Forudsætninger!$C$13)</f>
        <v>#N/A</v>
      </c>
      <c r="P339" s="17" t="e" cm="1">
        <f t="array" ref="P339">INDEX('Model tilvækst, slagteform, fe'!$N$9:$N$375,MATCH(MIN(ABS('Model tilvækst, slagteform, fe'!$M$9:$M$375-'Vækstfunktion, hol'!G339)),ABS('Model tilvækst, slagteform, fe'!$M$9:$M$375-'Vækstfunktion, hol'!G339),0))*(1+Forudsætninger!$C$80)</f>
        <v>#N/A</v>
      </c>
      <c r="Q339" s="17" t="e">
        <f t="shared" si="145"/>
        <v>#N/A</v>
      </c>
      <c r="R339" s="17" t="e">
        <f t="shared" si="146"/>
        <v>#N/A</v>
      </c>
      <c r="S339" s="17" t="e">
        <f t="shared" si="135"/>
        <v>#N/A</v>
      </c>
      <c r="T339" s="19" t="e">
        <f>(P339)*IF(N339&lt;Forudsætninger!$B$228,IF(N339&lt;Forudsætninger!$B$227,Forudsætninger!$B$225,Forudsætninger!$C$9),Forudsætninger!$C$11)+O339</f>
        <v>#N/A</v>
      </c>
      <c r="V339" s="2">
        <f>U339+Forudsætninger!$C$69</f>
        <v>-1</v>
      </c>
      <c r="W339" t="e">
        <f t="shared" si="136"/>
        <v>#N/A</v>
      </c>
      <c r="X339">
        <f>IF(A339+Forudsætninger!$C$60&gt;248,IF(A339+Forudsætninger!$C$60&lt;365,IF(K339&gt;180,IF(K339&lt;260,1,0),0),0),0)</f>
        <v>0</v>
      </c>
      <c r="Y339" s="22">
        <f>IF(X339=0,0,IF('Vækstfunktion, hol'!A339&lt;Forudsætninger!$C$66,Forudsætninger!$C$67+(('Vækstfunktion, hol'!A339-Forudsætninger!$C$66)/7)*Forudsætninger!$C$64,Forudsætninger!$C$67))</f>
        <v>0</v>
      </c>
      <c r="Z339" s="19" t="e">
        <f t="shared" si="147"/>
        <v>#N/A</v>
      </c>
      <c r="AA339" s="19">
        <f>Forudsætninger!$C$62+Forudsætninger!$C$16</f>
        <v>1350</v>
      </c>
      <c r="AB339" s="19" t="e">
        <f>IF(K339&gt;Forudsætninger!$C$26,IF(K339&gt;Forudsætninger!$C$27,IF(K339&gt;Forudsætninger!$C$28,Forudsætninger!$E$28,Forudsætninger!$E$27+Forudsætninger!$F$28*(K339-Forudsætninger!$C$27)),Forudsætninger!$E$26+Forudsætninger!$F$27*(K339-Forudsætninger!$C$26)),Forudsætninger!$E$26)+IF(K339&gt;Forudsætninger!$C$28,Forudsætninger!$G$28,IF(K339&gt;Forudsætninger!$C$27,Forudsætninger!$G$27+Forudsætninger!$H$28*(K339-Forudsætninger!$C$27),IF(K339&gt;Forudsætninger!$C$26,Forudsætninger!$G$26+Forudsætninger!$H$27*(K339-Forudsætninger!$C$26),Forudsætninger!$G$26)))*(U339-Forudsætninger!$H$26)</f>
        <v>#N/A</v>
      </c>
      <c r="AC339" s="19" t="e">
        <f>IF(K339&gt;Forudsætninger!$C$31,IF(K339&gt;Forudsætninger!$C$32,IF(K339&gt;Forudsætninger!$C$33,Forudsætninger!$E$33,Forudsætninger!$E$32+Forudsætninger!$F$33*(K339-Forudsætninger!$C$32)),Forudsætninger!$E$31+Forudsætninger!$F$32*(K339-Forudsætninger!$C$31)),Forudsætninger!$E$31)+IF(K339&gt;Forudsætninger!$C$33,Forudsætninger!$G$33,IF(K339&gt;Forudsætninger!$C$32,Forudsætninger!$G$32+Forudsætninger!$H$33*(K339-Forudsætninger!$C$32),IF(K339&gt;Forudsætninger!$C$31,Forudsætninger!$G$31+Forudsætninger!$H$32*(K339-Forudsætninger!$C$31),Forudsætninger!$G$31)))*(V339-Forudsætninger!$H$31)</f>
        <v>#N/A</v>
      </c>
      <c r="AD339" s="19" t="e">
        <f t="shared" si="137"/>
        <v>#N/A</v>
      </c>
      <c r="AE339" s="19" t="e">
        <f t="shared" si="138"/>
        <v>#N/A</v>
      </c>
      <c r="AF339" t="e">
        <f>IF(G339&lt;=Forudsætninger!$C$97,Forudsætninger!$C$98,(IF(G339&lt;=Forudsætninger!$D$97,Forudsætninger!$D$98,IF(G339&lt;=Forudsætninger!$E$97,Forudsætninger!$E$98,IF(G339&lt;=Forudsætninger!$F$97,Forudsætninger!$F$98,IF(G339&lt;=Forudsætninger!$G$97,Forudsætninger!$G$98,IF(G339&lt;=Forudsætninger!$H$97,Forudsætninger!$H$98,IF(G339&lt;=Forudsætninger!$I$97,Forudsætninger!$I$98,Forudsætninger!$I$98))))))))</f>
        <v>#N/A</v>
      </c>
      <c r="AG339" s="1" t="e">
        <f t="shared" si="148"/>
        <v>#N/A</v>
      </c>
      <c r="AH339" s="1" t="e">
        <f t="shared" si="152"/>
        <v>#N/A</v>
      </c>
      <c r="AI339" s="1" t="e">
        <f t="shared" si="139"/>
        <v>#N/A</v>
      </c>
      <c r="AJ339" s="20" t="e">
        <f>+(W339*Forudsætninger!$C$12)</f>
        <v>#N/A</v>
      </c>
      <c r="AK339" s="20">
        <f>Forudsætninger!$C$17</f>
        <v>250</v>
      </c>
      <c r="AL339" s="20">
        <f>IF(A339&lt;92,Forudsætninger!$C$20,Forudsætninger!$C$21)</f>
        <v>1.0566762728146013</v>
      </c>
      <c r="AM339" s="20">
        <f t="shared" si="149"/>
        <v>624.60538679180979</v>
      </c>
      <c r="AN339" s="20">
        <f>IFERROR(AD339+AJ339-AA339-Z339-AK339-AM339-Forudsætninger!$C$75,-99999999)</f>
        <v>-99999999</v>
      </c>
      <c r="AO339" s="19">
        <f>IFERROR(AN339/(A339+Forudsætninger!$C$74),-99999999)</f>
        <v>-296735.90207715135</v>
      </c>
      <c r="AP339" s="19">
        <f>IFERROR(((365/(A339+Forudsætninger!$C$74))*AN339)/(AI339+Forudsætninger!$C$73),-9999999)</f>
        <v>-9999999</v>
      </c>
      <c r="AQ339" s="18">
        <f t="shared" si="140"/>
        <v>337</v>
      </c>
      <c r="AR339" s="18" t="e">
        <f t="shared" si="150"/>
        <v>#N/A</v>
      </c>
      <c r="AS339" s="52">
        <f t="shared" si="131"/>
        <v>12.4</v>
      </c>
      <c r="AT339" s="50">
        <f t="shared" si="153"/>
        <v>0</v>
      </c>
      <c r="AU339" s="50">
        <f t="shared" si="154"/>
        <v>883.14256570581347</v>
      </c>
      <c r="AV339" s="2">
        <f t="shared" si="155"/>
        <v>0</v>
      </c>
      <c r="AW339" s="61">
        <f t="shared" si="151"/>
        <v>-296734.0486487039</v>
      </c>
      <c r="BA339" s="16"/>
      <c r="BB339" s="2"/>
    </row>
    <row r="340" spans="1:54" x14ac:dyDescent="0.25">
      <c r="A340">
        <v>338</v>
      </c>
      <c r="B340" s="1">
        <f>ROUND((A340+Forudsætninger!$C$60)/30.4,1)</f>
        <v>12.4</v>
      </c>
      <c r="C340" s="1" t="e">
        <f>VLOOKUP((A340+Forudsætninger!$C$60),'Model tilvækst, slagteform, fe'!A:B,2,FALSE)</f>
        <v>#N/A</v>
      </c>
      <c r="D340" s="3" t="e">
        <f t="shared" si="141"/>
        <v>#N/A</v>
      </c>
      <c r="E340" s="1" t="e">
        <f>(1+Forudsætninger!$C$78)*C340</f>
        <v>#N/A</v>
      </c>
      <c r="F340" s="2" t="e">
        <f t="shared" si="142"/>
        <v>#N/A</v>
      </c>
      <c r="G340" s="1" t="e">
        <f t="shared" si="132"/>
        <v>#N/A</v>
      </c>
      <c r="H340" s="3" t="e">
        <f t="shared" si="133"/>
        <v>#N/A</v>
      </c>
      <c r="I340" s="3" t="e">
        <f t="shared" si="134"/>
        <v>#N/A</v>
      </c>
      <c r="J340" s="1" t="e">
        <f>VLOOKUP((A340+Forudsætninger!$C$60),'Model tilvækst, slagteform, fe'!G:K,2,FALSE)*(1+Forudsætninger!$C$79)</f>
        <v>#N/A</v>
      </c>
      <c r="K340" s="17" t="e">
        <f t="shared" si="130"/>
        <v>#N/A</v>
      </c>
      <c r="L340" s="17" t="e">
        <f t="shared" si="143"/>
        <v>#N/A</v>
      </c>
      <c r="M340" s="3" t="e">
        <f>((K340-(('Model tilvækst, slagteform, fe'!$H$9/100)*'Model tilvækst, slagteform, fe'!$B$9))*1000/(A340+Forudsætninger!$C$60))</f>
        <v>#N/A</v>
      </c>
      <c r="N340" s="17" t="e">
        <f t="shared" si="144"/>
        <v>#N/A</v>
      </c>
      <c r="O340" s="19" t="e">
        <f>IF( A340&lt;Forudsætninger!$C$14,(G340/100)*Forudsætninger!$C$13,(Forudsætninger!$C$15/1000)*Forudsætninger!$C$13)</f>
        <v>#N/A</v>
      </c>
      <c r="P340" s="17" t="e" cm="1">
        <f t="array" ref="P340">INDEX('Model tilvækst, slagteform, fe'!$N$9:$N$375,MATCH(MIN(ABS('Model tilvækst, slagteform, fe'!$M$9:$M$375-'Vækstfunktion, hol'!G340)),ABS('Model tilvækst, slagteform, fe'!$M$9:$M$375-'Vækstfunktion, hol'!G340),0))*(1+Forudsætninger!$C$80)</f>
        <v>#N/A</v>
      </c>
      <c r="Q340" s="17" t="e">
        <f t="shared" si="145"/>
        <v>#N/A</v>
      </c>
      <c r="R340" s="17" t="e">
        <f t="shared" si="146"/>
        <v>#N/A</v>
      </c>
      <c r="S340" s="17" t="e">
        <f t="shared" si="135"/>
        <v>#N/A</v>
      </c>
      <c r="T340" s="19" t="e">
        <f>(P340)*IF(N340&lt;Forudsætninger!$B$228,IF(N340&lt;Forudsætninger!$B$227,Forudsætninger!$B$225,Forudsætninger!$C$9),Forudsætninger!$C$11)+O340</f>
        <v>#N/A</v>
      </c>
      <c r="V340" s="2">
        <f>U340+Forudsætninger!$C$69</f>
        <v>-1</v>
      </c>
      <c r="W340" t="e">
        <f t="shared" si="136"/>
        <v>#N/A</v>
      </c>
      <c r="X340">
        <f>IF(A340+Forudsætninger!$C$60&gt;248,IF(A340+Forudsætninger!$C$60&lt;365,IF(K340&gt;180,IF(K340&lt;260,1,0),0),0),0)</f>
        <v>0</v>
      </c>
      <c r="Y340" s="22">
        <f>IF(X340=0,0,IF('Vækstfunktion, hol'!A340&lt;Forudsætninger!$C$66,Forudsætninger!$C$67+(('Vækstfunktion, hol'!A340-Forudsætninger!$C$66)/7)*Forudsætninger!$C$64,Forudsætninger!$C$67))</f>
        <v>0</v>
      </c>
      <c r="Z340" s="19" t="e">
        <f t="shared" si="147"/>
        <v>#N/A</v>
      </c>
      <c r="AA340" s="19">
        <f>Forudsætninger!$C$62+Forudsætninger!$C$16</f>
        <v>1350</v>
      </c>
      <c r="AB340" s="19" t="e">
        <f>IF(K340&gt;Forudsætninger!$C$26,IF(K340&gt;Forudsætninger!$C$27,IF(K340&gt;Forudsætninger!$C$28,Forudsætninger!$E$28,Forudsætninger!$E$27+Forudsætninger!$F$28*(K340-Forudsætninger!$C$27)),Forudsætninger!$E$26+Forudsætninger!$F$27*(K340-Forudsætninger!$C$26)),Forudsætninger!$E$26)+IF(K340&gt;Forudsætninger!$C$28,Forudsætninger!$G$28,IF(K340&gt;Forudsætninger!$C$27,Forudsætninger!$G$27+Forudsætninger!$H$28*(K340-Forudsætninger!$C$27),IF(K340&gt;Forudsætninger!$C$26,Forudsætninger!$G$26+Forudsætninger!$H$27*(K340-Forudsætninger!$C$26),Forudsætninger!$G$26)))*(U340-Forudsætninger!$H$26)</f>
        <v>#N/A</v>
      </c>
      <c r="AC340" s="19" t="e">
        <f>IF(K340&gt;Forudsætninger!$C$31,IF(K340&gt;Forudsætninger!$C$32,IF(K340&gt;Forudsætninger!$C$33,Forudsætninger!$E$33,Forudsætninger!$E$32+Forudsætninger!$F$33*(K340-Forudsætninger!$C$32)),Forudsætninger!$E$31+Forudsætninger!$F$32*(K340-Forudsætninger!$C$31)),Forudsætninger!$E$31)+IF(K340&gt;Forudsætninger!$C$33,Forudsætninger!$G$33,IF(K340&gt;Forudsætninger!$C$32,Forudsætninger!$G$32+Forudsætninger!$H$33*(K340-Forudsætninger!$C$32),IF(K340&gt;Forudsætninger!$C$31,Forudsætninger!$G$31+Forudsætninger!$H$32*(K340-Forudsætninger!$C$31),Forudsætninger!$G$31)))*(V340-Forudsætninger!$H$31)</f>
        <v>#N/A</v>
      </c>
      <c r="AD340" s="19" t="e">
        <f t="shared" si="137"/>
        <v>#N/A</v>
      </c>
      <c r="AE340" s="19" t="e">
        <f t="shared" si="138"/>
        <v>#N/A</v>
      </c>
      <c r="AF340" t="e">
        <f>IF(G340&lt;=Forudsætninger!$C$97,Forudsætninger!$C$98,(IF(G340&lt;=Forudsætninger!$D$97,Forudsætninger!$D$98,IF(G340&lt;=Forudsætninger!$E$97,Forudsætninger!$E$98,IF(G340&lt;=Forudsætninger!$F$97,Forudsætninger!$F$98,IF(G340&lt;=Forudsætninger!$G$97,Forudsætninger!$G$98,IF(G340&lt;=Forudsætninger!$H$97,Forudsætninger!$H$98,IF(G340&lt;=Forudsætninger!$I$97,Forudsætninger!$I$98,Forudsætninger!$I$98))))))))</f>
        <v>#N/A</v>
      </c>
      <c r="AG340" s="1" t="e">
        <f t="shared" si="148"/>
        <v>#N/A</v>
      </c>
      <c r="AH340" s="1" t="e">
        <f t="shared" si="152"/>
        <v>#N/A</v>
      </c>
      <c r="AI340" s="1" t="e">
        <f t="shared" si="139"/>
        <v>#N/A</v>
      </c>
      <c r="AJ340" s="20" t="e">
        <f>+(W340*Forudsætninger!$C$12)</f>
        <v>#N/A</v>
      </c>
      <c r="AK340" s="20">
        <f>Forudsætninger!$C$17</f>
        <v>250</v>
      </c>
      <c r="AL340" s="20">
        <f>IF(A340&lt;92,Forudsætninger!$C$20,Forudsætninger!$C$21)</f>
        <v>1.0566762728146013</v>
      </c>
      <c r="AM340" s="20">
        <f t="shared" si="149"/>
        <v>625.66206306462436</v>
      </c>
      <c r="AN340" s="20">
        <f>IFERROR(AD340+AJ340-AA340-Z340-AK340-AM340-Forudsætninger!$C$75,-99999999)</f>
        <v>-99999999</v>
      </c>
      <c r="AO340" s="19">
        <f>IFERROR(AN340/(A340+Forudsætninger!$C$74),-99999999)</f>
        <v>-295857.98520710057</v>
      </c>
      <c r="AP340" s="19">
        <f>IFERROR(((365/(A340+Forudsætninger!$C$74))*AN340)/(AI340+Forudsætninger!$C$73),-9999999)</f>
        <v>-9999999</v>
      </c>
      <c r="AQ340" s="18">
        <f t="shared" si="140"/>
        <v>338</v>
      </c>
      <c r="AR340" s="18" t="e">
        <f t="shared" si="150"/>
        <v>#N/A</v>
      </c>
      <c r="AS340" s="52">
        <f t="shared" si="131"/>
        <v>12.4</v>
      </c>
      <c r="AT340" s="50">
        <f t="shared" si="153"/>
        <v>0</v>
      </c>
      <c r="AU340" s="50">
        <f t="shared" si="154"/>
        <v>877.91687005077256</v>
      </c>
      <c r="AV340" s="2">
        <f t="shared" si="155"/>
        <v>0</v>
      </c>
      <c r="AW340" s="61">
        <f t="shared" si="151"/>
        <v>-295856.1341359081</v>
      </c>
      <c r="BA340" s="16"/>
      <c r="BB340" s="2"/>
    </row>
    <row r="341" spans="1:54" x14ac:dyDescent="0.25">
      <c r="A341">
        <v>339</v>
      </c>
      <c r="B341" s="1">
        <f>ROUND((A341+Forudsætninger!$C$60)/30.4,1)</f>
        <v>12.4</v>
      </c>
      <c r="C341" s="1" t="e">
        <f>VLOOKUP((A341+Forudsætninger!$C$60),'Model tilvækst, slagteform, fe'!A:B,2,FALSE)</f>
        <v>#N/A</v>
      </c>
      <c r="D341" s="3" t="e">
        <f t="shared" si="141"/>
        <v>#N/A</v>
      </c>
      <c r="E341" s="1" t="e">
        <f>(1+Forudsætninger!$C$78)*C341</f>
        <v>#N/A</v>
      </c>
      <c r="F341" s="2" t="e">
        <f t="shared" si="142"/>
        <v>#N/A</v>
      </c>
      <c r="G341" s="1" t="e">
        <f t="shared" si="132"/>
        <v>#N/A</v>
      </c>
      <c r="H341" s="3" t="e">
        <f t="shared" si="133"/>
        <v>#N/A</v>
      </c>
      <c r="I341" s="3" t="e">
        <f t="shared" si="134"/>
        <v>#N/A</v>
      </c>
      <c r="J341" s="1" t="e">
        <f>VLOOKUP((A341+Forudsætninger!$C$60),'Model tilvækst, slagteform, fe'!G:K,2,FALSE)*(1+Forudsætninger!$C$79)</f>
        <v>#N/A</v>
      </c>
      <c r="K341" s="17" t="e">
        <f t="shared" si="130"/>
        <v>#N/A</v>
      </c>
      <c r="L341" s="17" t="e">
        <f t="shared" si="143"/>
        <v>#N/A</v>
      </c>
      <c r="M341" s="3" t="e">
        <f>((K341-(('Model tilvækst, slagteform, fe'!$H$9/100)*'Model tilvækst, slagteform, fe'!$B$9))*1000/(A341+Forudsætninger!$C$60))</f>
        <v>#N/A</v>
      </c>
      <c r="N341" s="17" t="e">
        <f t="shared" si="144"/>
        <v>#N/A</v>
      </c>
      <c r="O341" s="19" t="e">
        <f>IF( A341&lt;Forudsætninger!$C$14,(G341/100)*Forudsætninger!$C$13,(Forudsætninger!$C$15/1000)*Forudsætninger!$C$13)</f>
        <v>#N/A</v>
      </c>
      <c r="P341" s="17" t="e" cm="1">
        <f t="array" ref="P341">INDEX('Model tilvækst, slagteform, fe'!$N$9:$N$375,MATCH(MIN(ABS('Model tilvækst, slagteform, fe'!$M$9:$M$375-'Vækstfunktion, hol'!G341)),ABS('Model tilvækst, slagteform, fe'!$M$9:$M$375-'Vækstfunktion, hol'!G341),0))*(1+Forudsætninger!$C$80)</f>
        <v>#N/A</v>
      </c>
      <c r="Q341" s="17" t="e">
        <f t="shared" si="145"/>
        <v>#N/A</v>
      </c>
      <c r="R341" s="17" t="e">
        <f t="shared" si="146"/>
        <v>#N/A</v>
      </c>
      <c r="S341" s="17" t="e">
        <f t="shared" si="135"/>
        <v>#N/A</v>
      </c>
      <c r="T341" s="19" t="e">
        <f>(P341)*IF(N341&lt;Forudsætninger!$B$228,IF(N341&lt;Forudsætninger!$B$227,Forudsætninger!$B$225,Forudsætninger!$C$9),Forudsætninger!$C$11)+O341</f>
        <v>#N/A</v>
      </c>
      <c r="V341" s="2">
        <f>U341+Forudsætninger!$C$69</f>
        <v>-1</v>
      </c>
      <c r="W341" t="e">
        <f t="shared" si="136"/>
        <v>#N/A</v>
      </c>
      <c r="X341">
        <f>IF(A341+Forudsætninger!$C$60&gt;248,IF(A341+Forudsætninger!$C$60&lt;365,IF(K341&gt;180,IF(K341&lt;260,1,0),0),0),0)</f>
        <v>0</v>
      </c>
      <c r="Y341" s="22">
        <f>IF(X341=0,0,IF('Vækstfunktion, hol'!A341&lt;Forudsætninger!$C$66,Forudsætninger!$C$67+(('Vækstfunktion, hol'!A341-Forudsætninger!$C$66)/7)*Forudsætninger!$C$64,Forudsætninger!$C$67))</f>
        <v>0</v>
      </c>
      <c r="Z341" s="19" t="e">
        <f t="shared" si="147"/>
        <v>#N/A</v>
      </c>
      <c r="AA341" s="19">
        <f>Forudsætninger!$C$62+Forudsætninger!$C$16</f>
        <v>1350</v>
      </c>
      <c r="AB341" s="19" t="e">
        <f>IF(K341&gt;Forudsætninger!$C$26,IF(K341&gt;Forudsætninger!$C$27,IF(K341&gt;Forudsætninger!$C$28,Forudsætninger!$E$28,Forudsætninger!$E$27+Forudsætninger!$F$28*(K341-Forudsætninger!$C$27)),Forudsætninger!$E$26+Forudsætninger!$F$27*(K341-Forudsætninger!$C$26)),Forudsætninger!$E$26)+IF(K341&gt;Forudsætninger!$C$28,Forudsætninger!$G$28,IF(K341&gt;Forudsætninger!$C$27,Forudsætninger!$G$27+Forudsætninger!$H$28*(K341-Forudsætninger!$C$27),IF(K341&gt;Forudsætninger!$C$26,Forudsætninger!$G$26+Forudsætninger!$H$27*(K341-Forudsætninger!$C$26),Forudsætninger!$G$26)))*(U341-Forudsætninger!$H$26)</f>
        <v>#N/A</v>
      </c>
      <c r="AC341" s="19" t="e">
        <f>IF(K341&gt;Forudsætninger!$C$31,IF(K341&gt;Forudsætninger!$C$32,IF(K341&gt;Forudsætninger!$C$33,Forudsætninger!$E$33,Forudsætninger!$E$32+Forudsætninger!$F$33*(K341-Forudsætninger!$C$32)),Forudsætninger!$E$31+Forudsætninger!$F$32*(K341-Forudsætninger!$C$31)),Forudsætninger!$E$31)+IF(K341&gt;Forudsætninger!$C$33,Forudsætninger!$G$33,IF(K341&gt;Forudsætninger!$C$32,Forudsætninger!$G$32+Forudsætninger!$H$33*(K341-Forudsætninger!$C$32),IF(K341&gt;Forudsætninger!$C$31,Forudsætninger!$G$31+Forudsætninger!$H$32*(K341-Forudsætninger!$C$31),Forudsætninger!$G$31)))*(V341-Forudsætninger!$H$31)</f>
        <v>#N/A</v>
      </c>
      <c r="AD341" s="19" t="e">
        <f t="shared" si="137"/>
        <v>#N/A</v>
      </c>
      <c r="AE341" s="19" t="e">
        <f t="shared" si="138"/>
        <v>#N/A</v>
      </c>
      <c r="AF341" t="e">
        <f>IF(G341&lt;=Forudsætninger!$C$97,Forudsætninger!$C$98,(IF(G341&lt;=Forudsætninger!$D$97,Forudsætninger!$D$98,IF(G341&lt;=Forudsætninger!$E$97,Forudsætninger!$E$98,IF(G341&lt;=Forudsætninger!$F$97,Forudsætninger!$F$98,IF(G341&lt;=Forudsætninger!$G$97,Forudsætninger!$G$98,IF(G341&lt;=Forudsætninger!$H$97,Forudsætninger!$H$98,IF(G341&lt;=Forudsætninger!$I$97,Forudsætninger!$I$98,Forudsætninger!$I$98))))))))</f>
        <v>#N/A</v>
      </c>
      <c r="AG341" s="1" t="e">
        <f t="shared" si="148"/>
        <v>#N/A</v>
      </c>
      <c r="AH341" s="1" t="e">
        <f t="shared" si="152"/>
        <v>#N/A</v>
      </c>
      <c r="AI341" s="1" t="e">
        <f t="shared" si="139"/>
        <v>#N/A</v>
      </c>
      <c r="AJ341" s="20" t="e">
        <f>+(W341*Forudsætninger!$C$12)</f>
        <v>#N/A</v>
      </c>
      <c r="AK341" s="20">
        <f>Forudsætninger!$C$17</f>
        <v>250</v>
      </c>
      <c r="AL341" s="20">
        <f>IF(A341&lt;92,Forudsætninger!$C$20,Forudsætninger!$C$21)</f>
        <v>1.0566762728146013</v>
      </c>
      <c r="AM341" s="20">
        <f t="shared" si="149"/>
        <v>626.71873933743893</v>
      </c>
      <c r="AN341" s="20">
        <f>IFERROR(AD341+AJ341-AA341-Z341-AK341-AM341-Forudsætninger!$C$75,-99999999)</f>
        <v>-99999999</v>
      </c>
      <c r="AO341" s="19">
        <f>IFERROR(AN341/(A341+Forudsætninger!$C$74),-99999999)</f>
        <v>-294985.24778761063</v>
      </c>
      <c r="AP341" s="19">
        <f>IFERROR(((365/(A341+Forudsætninger!$C$74))*AN341)/(AI341+Forudsætninger!$C$73),-9999999)</f>
        <v>-9999999</v>
      </c>
      <c r="AQ341" s="18">
        <f t="shared" si="140"/>
        <v>339</v>
      </c>
      <c r="AR341" s="18" t="e">
        <f t="shared" si="150"/>
        <v>#N/A</v>
      </c>
      <c r="AS341" s="52">
        <f t="shared" si="131"/>
        <v>12.4</v>
      </c>
      <c r="AT341" s="50">
        <f t="shared" si="153"/>
        <v>0</v>
      </c>
      <c r="AU341" s="50">
        <f t="shared" si="154"/>
        <v>872.73741948994575</v>
      </c>
      <c r="AV341" s="2">
        <f t="shared" si="155"/>
        <v>0</v>
      </c>
      <c r="AW341" s="61">
        <f t="shared" si="151"/>
        <v>-294983.39905976597</v>
      </c>
      <c r="BA341" s="16"/>
      <c r="BB341" s="2"/>
    </row>
    <row r="342" spans="1:54" x14ac:dyDescent="0.25">
      <c r="A342">
        <v>340</v>
      </c>
      <c r="B342" s="1">
        <f>ROUND((A342+Forudsætninger!$C$60)/30.4,1)</f>
        <v>12.5</v>
      </c>
      <c r="C342" s="1" t="e">
        <f>VLOOKUP((A342+Forudsætninger!$C$60),'Model tilvækst, slagteform, fe'!A:B,2,FALSE)</f>
        <v>#N/A</v>
      </c>
      <c r="D342" s="3" t="e">
        <f t="shared" ref="D342:D349" si="156">(C342-C341)*1000</f>
        <v>#N/A</v>
      </c>
      <c r="E342" s="1" t="e">
        <f>(1+Forudsætninger!$C$78)*C342</f>
        <v>#N/A</v>
      </c>
      <c r="F342" s="2" t="e">
        <f t="shared" si="142"/>
        <v>#N/A</v>
      </c>
      <c r="G342" s="1" t="e">
        <f t="shared" si="132"/>
        <v>#N/A</v>
      </c>
      <c r="H342" s="3" t="e">
        <f t="shared" si="133"/>
        <v>#N/A</v>
      </c>
      <c r="I342" s="3" t="e">
        <f t="shared" si="134"/>
        <v>#N/A</v>
      </c>
      <c r="J342" s="1" t="e">
        <f>VLOOKUP((A342+Forudsætninger!$C$60),'Model tilvækst, slagteform, fe'!G:K,2,FALSE)*(1+Forudsætninger!$C$79)</f>
        <v>#N/A</v>
      </c>
      <c r="K342" s="17" t="e">
        <f t="shared" si="130"/>
        <v>#N/A</v>
      </c>
      <c r="L342" s="17" t="e">
        <f t="shared" si="143"/>
        <v>#N/A</v>
      </c>
      <c r="M342" s="3" t="e">
        <f>((K342-(('Model tilvækst, slagteform, fe'!$H$9/100)*'Model tilvækst, slagteform, fe'!$B$9))*1000/(A342+Forudsætninger!$C$60))</f>
        <v>#N/A</v>
      </c>
      <c r="N342" s="17" t="e">
        <f t="shared" si="144"/>
        <v>#N/A</v>
      </c>
      <c r="O342" s="19" t="e">
        <f>IF( A342&lt;Forudsætninger!$C$14,(G342/100)*Forudsætninger!$C$13,(Forudsætninger!$C$15/1000)*Forudsætninger!$C$13)</f>
        <v>#N/A</v>
      </c>
      <c r="P342" s="17" t="e" cm="1">
        <f t="array" ref="P342">INDEX('Model tilvækst, slagteform, fe'!$N$9:$N$375,MATCH(MIN(ABS('Model tilvækst, slagteform, fe'!$M$9:$M$375-'Vækstfunktion, hol'!G342)),ABS('Model tilvækst, slagteform, fe'!$M$9:$M$375-'Vækstfunktion, hol'!G342),0))*(1+Forudsætninger!$C$80)</f>
        <v>#N/A</v>
      </c>
      <c r="Q342" s="17" t="e">
        <f t="shared" si="145"/>
        <v>#N/A</v>
      </c>
      <c r="R342" s="17" t="e">
        <f t="shared" si="146"/>
        <v>#N/A</v>
      </c>
      <c r="S342" s="17" t="e">
        <f t="shared" si="135"/>
        <v>#N/A</v>
      </c>
      <c r="T342" s="19" t="e">
        <f>(P342)*IF(N342&lt;Forudsætninger!$B$228,IF(N342&lt;Forudsætninger!$B$227,Forudsætninger!$B$225,Forudsætninger!$C$9),Forudsætninger!$C$11)+O342</f>
        <v>#N/A</v>
      </c>
      <c r="V342" s="2">
        <f>U342+Forudsætninger!$C$69</f>
        <v>-1</v>
      </c>
      <c r="W342" t="e">
        <f t="shared" si="136"/>
        <v>#N/A</v>
      </c>
      <c r="X342">
        <f>IF(A342+Forudsætninger!$C$60&gt;248,IF(A342+Forudsætninger!$C$60&lt;365,IF(K342&gt;180,IF(K342&lt;260,1,0),0),0),0)</f>
        <v>0</v>
      </c>
      <c r="Y342" s="22">
        <f>IF(X342=0,0,IF('Vækstfunktion, hol'!A342&lt;Forudsætninger!$C$66,Forudsætninger!$C$67+(('Vækstfunktion, hol'!A342-Forudsætninger!$C$66)/7)*Forudsætninger!$C$64,Forudsætninger!$C$67))</f>
        <v>0</v>
      </c>
      <c r="Z342" s="19" t="e">
        <f t="shared" si="147"/>
        <v>#N/A</v>
      </c>
      <c r="AA342" s="19">
        <f>Forudsætninger!$C$62+Forudsætninger!$C$16</f>
        <v>1350</v>
      </c>
      <c r="AB342" s="19" t="e">
        <f>IF(K342&gt;Forudsætninger!$C$26,IF(K342&gt;Forudsætninger!$C$27,IF(K342&gt;Forudsætninger!$C$28,Forudsætninger!$E$28,Forudsætninger!$E$27+Forudsætninger!$F$28*(K342-Forudsætninger!$C$27)),Forudsætninger!$E$26+Forudsætninger!$F$27*(K342-Forudsætninger!$C$26)),Forudsætninger!$E$26)+IF(K342&gt;Forudsætninger!$C$28,Forudsætninger!$G$28,IF(K342&gt;Forudsætninger!$C$27,Forudsætninger!$G$27+Forudsætninger!$H$28*(K342-Forudsætninger!$C$27),IF(K342&gt;Forudsætninger!$C$26,Forudsætninger!$G$26+Forudsætninger!$H$27*(K342-Forudsætninger!$C$26),Forudsætninger!$G$26)))*(U342-Forudsætninger!$H$26)</f>
        <v>#N/A</v>
      </c>
      <c r="AC342" s="19" t="e">
        <f>IF(K342&gt;Forudsætninger!$C$31,IF(K342&gt;Forudsætninger!$C$32,IF(K342&gt;Forudsætninger!$C$33,Forudsætninger!$E$33,Forudsætninger!$E$32+Forudsætninger!$F$33*(K342-Forudsætninger!$C$32)),Forudsætninger!$E$31+Forudsætninger!$F$32*(K342-Forudsætninger!$C$31)),Forudsætninger!$E$31)+IF(K342&gt;Forudsætninger!$C$33,Forudsætninger!$G$33,IF(K342&gt;Forudsætninger!$C$32,Forudsætninger!$G$32+Forudsætninger!$H$33*(K342-Forudsætninger!$C$32),IF(K342&gt;Forudsætninger!$C$31,Forudsætninger!$G$31+Forudsætninger!$H$32*(K342-Forudsætninger!$C$31),Forudsætninger!$G$31)))*(V342-Forudsætninger!$H$31)</f>
        <v>#N/A</v>
      </c>
      <c r="AD342" s="19" t="e">
        <f t="shared" si="137"/>
        <v>#N/A</v>
      </c>
      <c r="AE342" s="19" t="e">
        <f t="shared" si="138"/>
        <v>#N/A</v>
      </c>
      <c r="AF342" t="e">
        <f>IF(G342&lt;=Forudsætninger!$C$97,Forudsætninger!$C$98,(IF(G342&lt;=Forudsætninger!$D$97,Forudsætninger!$D$98,IF(G342&lt;=Forudsætninger!$E$97,Forudsætninger!$E$98,IF(G342&lt;=Forudsætninger!$F$97,Forudsætninger!$F$98,IF(G342&lt;=Forudsætninger!$G$97,Forudsætninger!$G$98,IF(G342&lt;=Forudsætninger!$H$97,Forudsætninger!$H$98,IF(G342&lt;=Forudsætninger!$I$97,Forudsætninger!$I$98,Forudsætninger!$I$98))))))))</f>
        <v>#N/A</v>
      </c>
      <c r="AG342" s="1" t="e">
        <f t="shared" si="148"/>
        <v>#N/A</v>
      </c>
      <c r="AH342" s="1" t="e">
        <f t="shared" si="152"/>
        <v>#N/A</v>
      </c>
      <c r="AI342" s="1" t="e">
        <f t="shared" si="139"/>
        <v>#N/A</v>
      </c>
      <c r="AJ342" s="20" t="e">
        <f>+(W342*Forudsætninger!$C$12)</f>
        <v>#N/A</v>
      </c>
      <c r="AK342" s="20">
        <f>Forudsætninger!$C$17</f>
        <v>250</v>
      </c>
      <c r="AL342" s="20">
        <f>IF(A342&lt;92,Forudsætninger!$C$20,Forudsætninger!$C$21)</f>
        <v>1.0566762728146013</v>
      </c>
      <c r="AM342" s="20">
        <f t="shared" si="149"/>
        <v>627.7754156102535</v>
      </c>
      <c r="AN342" s="20">
        <f>IFERROR(AD342+AJ342-AA342-Z342-AK342-AM342-Forudsætninger!$C$75,-99999999)</f>
        <v>-99999999</v>
      </c>
      <c r="AO342" s="19">
        <f>IFERROR(AN342/(A342+Forudsætninger!$C$74),-99999999)</f>
        <v>-294117.64411764708</v>
      </c>
      <c r="AP342" s="19">
        <f>IFERROR(((365/(A342+Forudsætninger!$C$74))*AN342)/(AI342+Forudsætninger!$C$73),-9999999)</f>
        <v>-9999999</v>
      </c>
      <c r="AQ342" s="18">
        <f t="shared" si="140"/>
        <v>340</v>
      </c>
      <c r="AR342" s="18" t="e">
        <f t="shared" si="150"/>
        <v>#N/A</v>
      </c>
      <c r="AS342" s="52">
        <f t="shared" si="131"/>
        <v>12.5</v>
      </c>
      <c r="AT342" s="50">
        <f t="shared" si="153"/>
        <v>0</v>
      </c>
      <c r="AU342" s="50">
        <f t="shared" si="154"/>
        <v>867.60366996354423</v>
      </c>
      <c r="AV342" s="2">
        <f t="shared" si="155"/>
        <v>0</v>
      </c>
      <c r="AW342" s="61">
        <f t="shared" si="151"/>
        <v>-294115.79771936586</v>
      </c>
      <c r="BA342" s="16"/>
      <c r="BB342" s="2"/>
    </row>
    <row r="343" spans="1:54" x14ac:dyDescent="0.25">
      <c r="A343">
        <v>341</v>
      </c>
      <c r="B343" s="1">
        <f>ROUND((A343+Forudsætninger!$C$60)/30.4,1)</f>
        <v>12.5</v>
      </c>
      <c r="C343" s="1" t="e">
        <f>VLOOKUP((A343+Forudsætninger!$C$60),'Model tilvækst, slagteform, fe'!A:B,2,FALSE)</f>
        <v>#N/A</v>
      </c>
      <c r="D343" s="3" t="e">
        <f t="shared" si="156"/>
        <v>#N/A</v>
      </c>
      <c r="E343" s="1" t="e">
        <f>(1+Forudsætninger!$C$78)*C343</f>
        <v>#N/A</v>
      </c>
      <c r="F343" s="2" t="e">
        <f t="shared" si="142"/>
        <v>#N/A</v>
      </c>
      <c r="G343" s="1" t="e">
        <f t="shared" si="132"/>
        <v>#N/A</v>
      </c>
      <c r="H343" s="3" t="e">
        <f t="shared" si="133"/>
        <v>#N/A</v>
      </c>
      <c r="I343" s="3" t="e">
        <f t="shared" si="134"/>
        <v>#N/A</v>
      </c>
      <c r="J343" s="1" t="e">
        <f>VLOOKUP((A343+Forudsætninger!$C$60),'Model tilvækst, slagteform, fe'!G:K,2,FALSE)*(1+Forudsætninger!$C$79)</f>
        <v>#N/A</v>
      </c>
      <c r="K343" s="17" t="e">
        <f t="shared" si="130"/>
        <v>#N/A</v>
      </c>
      <c r="L343" s="17" t="e">
        <f t="shared" si="143"/>
        <v>#N/A</v>
      </c>
      <c r="M343" s="3" t="e">
        <f>((K343-(('Model tilvækst, slagteform, fe'!$H$9/100)*'Model tilvækst, slagteform, fe'!$B$9))*1000/(A343+Forudsætninger!$C$60))</f>
        <v>#N/A</v>
      </c>
      <c r="N343" s="17" t="e">
        <f t="shared" si="144"/>
        <v>#N/A</v>
      </c>
      <c r="O343" s="19" t="e">
        <f>IF( A343&lt;Forudsætninger!$C$14,(G343/100)*Forudsætninger!$C$13,(Forudsætninger!$C$15/1000)*Forudsætninger!$C$13)</f>
        <v>#N/A</v>
      </c>
      <c r="P343" s="17" t="e" cm="1">
        <f t="array" ref="P343">INDEX('Model tilvækst, slagteform, fe'!$N$9:$N$375,MATCH(MIN(ABS('Model tilvækst, slagteform, fe'!$M$9:$M$375-'Vækstfunktion, hol'!G343)),ABS('Model tilvækst, slagteform, fe'!$M$9:$M$375-'Vækstfunktion, hol'!G343),0))*(1+Forudsætninger!$C$80)</f>
        <v>#N/A</v>
      </c>
      <c r="Q343" s="17" t="e">
        <f t="shared" si="145"/>
        <v>#N/A</v>
      </c>
      <c r="R343" s="17" t="e">
        <f t="shared" si="146"/>
        <v>#N/A</v>
      </c>
      <c r="S343" s="17" t="e">
        <f t="shared" si="135"/>
        <v>#N/A</v>
      </c>
      <c r="T343" s="19" t="e">
        <f>(P343)*IF(N343&lt;Forudsætninger!$B$228,IF(N343&lt;Forudsætninger!$B$227,Forudsætninger!$B$225,Forudsætninger!$C$9),Forudsætninger!$C$11)+O343</f>
        <v>#N/A</v>
      </c>
      <c r="V343" s="2">
        <f>U343+Forudsætninger!$C$69</f>
        <v>-1</v>
      </c>
      <c r="W343" t="e">
        <f t="shared" si="136"/>
        <v>#N/A</v>
      </c>
      <c r="X343">
        <f>IF(A343+Forudsætninger!$C$60&gt;248,IF(A343+Forudsætninger!$C$60&lt;365,IF(K343&gt;180,IF(K343&lt;260,1,0),0),0),0)</f>
        <v>0</v>
      </c>
      <c r="Y343" s="22">
        <f>IF(X343=0,0,IF('Vækstfunktion, hol'!A343&lt;Forudsætninger!$C$66,Forudsætninger!$C$67+(('Vækstfunktion, hol'!A343-Forudsætninger!$C$66)/7)*Forudsætninger!$C$64,Forudsætninger!$C$67))</f>
        <v>0</v>
      </c>
      <c r="Z343" s="19" t="e">
        <f t="shared" si="147"/>
        <v>#N/A</v>
      </c>
      <c r="AA343" s="19">
        <f>Forudsætninger!$C$62+Forudsætninger!$C$16</f>
        <v>1350</v>
      </c>
      <c r="AB343" s="19" t="e">
        <f>IF(K343&gt;Forudsætninger!$C$26,IF(K343&gt;Forudsætninger!$C$27,IF(K343&gt;Forudsætninger!$C$28,Forudsætninger!$E$28,Forudsætninger!$E$27+Forudsætninger!$F$28*(K343-Forudsætninger!$C$27)),Forudsætninger!$E$26+Forudsætninger!$F$27*(K343-Forudsætninger!$C$26)),Forudsætninger!$E$26)+IF(K343&gt;Forudsætninger!$C$28,Forudsætninger!$G$28,IF(K343&gt;Forudsætninger!$C$27,Forudsætninger!$G$27+Forudsætninger!$H$28*(K343-Forudsætninger!$C$27),IF(K343&gt;Forudsætninger!$C$26,Forudsætninger!$G$26+Forudsætninger!$H$27*(K343-Forudsætninger!$C$26),Forudsætninger!$G$26)))*(U343-Forudsætninger!$H$26)</f>
        <v>#N/A</v>
      </c>
      <c r="AC343" s="19" t="e">
        <f>IF(K343&gt;Forudsætninger!$C$31,IF(K343&gt;Forudsætninger!$C$32,IF(K343&gt;Forudsætninger!$C$33,Forudsætninger!$E$33,Forudsætninger!$E$32+Forudsætninger!$F$33*(K343-Forudsætninger!$C$32)),Forudsætninger!$E$31+Forudsætninger!$F$32*(K343-Forudsætninger!$C$31)),Forudsætninger!$E$31)+IF(K343&gt;Forudsætninger!$C$33,Forudsætninger!$G$33,IF(K343&gt;Forudsætninger!$C$32,Forudsætninger!$G$32+Forudsætninger!$H$33*(K343-Forudsætninger!$C$32),IF(K343&gt;Forudsætninger!$C$31,Forudsætninger!$G$31+Forudsætninger!$H$32*(K343-Forudsætninger!$C$31),Forudsætninger!$G$31)))*(V343-Forudsætninger!$H$31)</f>
        <v>#N/A</v>
      </c>
      <c r="AD343" s="19" t="e">
        <f t="shared" si="137"/>
        <v>#N/A</v>
      </c>
      <c r="AE343" s="19" t="e">
        <f t="shared" si="138"/>
        <v>#N/A</v>
      </c>
      <c r="AF343" t="e">
        <f>IF(G343&lt;=Forudsætninger!$C$97,Forudsætninger!$C$98,(IF(G343&lt;=Forudsætninger!$D$97,Forudsætninger!$D$98,IF(G343&lt;=Forudsætninger!$E$97,Forudsætninger!$E$98,IF(G343&lt;=Forudsætninger!$F$97,Forudsætninger!$F$98,IF(G343&lt;=Forudsætninger!$G$97,Forudsætninger!$G$98,IF(G343&lt;=Forudsætninger!$H$97,Forudsætninger!$H$98,IF(G343&lt;=Forudsætninger!$I$97,Forudsætninger!$I$98,Forudsætninger!$I$98))))))))</f>
        <v>#N/A</v>
      </c>
      <c r="AG343" s="1" t="e">
        <f t="shared" si="148"/>
        <v>#N/A</v>
      </c>
      <c r="AH343" s="1" t="e">
        <f t="shared" si="152"/>
        <v>#N/A</v>
      </c>
      <c r="AI343" s="1" t="e">
        <f t="shared" si="139"/>
        <v>#N/A</v>
      </c>
      <c r="AJ343" s="20" t="e">
        <f>+(W343*Forudsætninger!$C$12)</f>
        <v>#N/A</v>
      </c>
      <c r="AK343" s="20">
        <f>Forudsætninger!$C$17</f>
        <v>250</v>
      </c>
      <c r="AL343" s="20">
        <f>IF(A343&lt;92,Forudsætninger!$C$20,Forudsætninger!$C$21)</f>
        <v>1.0566762728146013</v>
      </c>
      <c r="AM343" s="20">
        <f t="shared" si="149"/>
        <v>628.83209188306807</v>
      </c>
      <c r="AN343" s="20">
        <f>IFERROR(AD343+AJ343-AA343-Z343-AK343-AM343-Forudsætninger!$C$75,-99999999)</f>
        <v>-99999999</v>
      </c>
      <c r="AO343" s="19">
        <f>IFERROR(AN343/(A343+Forudsætninger!$C$74),-99999999)</f>
        <v>-293255.12903225806</v>
      </c>
      <c r="AP343" s="19">
        <f>IFERROR(((365/(A343+Forudsætninger!$C$74))*AN343)/(AI343+Forudsætninger!$C$73),-9999999)</f>
        <v>-9999999</v>
      </c>
      <c r="AQ343" s="18">
        <f t="shared" si="140"/>
        <v>341</v>
      </c>
      <c r="AR343" s="18" t="e">
        <f t="shared" si="150"/>
        <v>#N/A</v>
      </c>
      <c r="AS343" s="52">
        <f t="shared" si="131"/>
        <v>12.5</v>
      </c>
      <c r="AT343" s="50">
        <f t="shared" si="153"/>
        <v>0</v>
      </c>
      <c r="AU343" s="50">
        <f t="shared" si="154"/>
        <v>862.51508538902272</v>
      </c>
      <c r="AV343" s="2">
        <f t="shared" si="155"/>
        <v>0</v>
      </c>
      <c r="AW343" s="61">
        <f t="shared" si="151"/>
        <v>-293253.28494987718</v>
      </c>
      <c r="BA343" s="16"/>
      <c r="BB343" s="2"/>
    </row>
    <row r="344" spans="1:54" x14ac:dyDescent="0.25">
      <c r="A344">
        <v>342</v>
      </c>
      <c r="B344" s="1">
        <f>ROUND((A344+Forudsætninger!$C$60)/30.4,1)</f>
        <v>12.5</v>
      </c>
      <c r="C344" s="1" t="e">
        <f>VLOOKUP((A344+Forudsætninger!$C$60),'Model tilvækst, slagteform, fe'!A:B,2,FALSE)</f>
        <v>#N/A</v>
      </c>
      <c r="D344" s="3" t="e">
        <f t="shared" si="156"/>
        <v>#N/A</v>
      </c>
      <c r="E344" s="1" t="e">
        <f>(1+Forudsætninger!$C$78)*C344</f>
        <v>#N/A</v>
      </c>
      <c r="F344" s="2" t="e">
        <f t="shared" si="142"/>
        <v>#N/A</v>
      </c>
      <c r="G344" s="1" t="e">
        <f t="shared" si="132"/>
        <v>#N/A</v>
      </c>
      <c r="H344" s="3" t="e">
        <f t="shared" si="133"/>
        <v>#N/A</v>
      </c>
      <c r="I344" s="3" t="e">
        <f t="shared" si="134"/>
        <v>#N/A</v>
      </c>
      <c r="J344" s="1" t="e">
        <f>VLOOKUP((A344+Forudsætninger!$C$60),'Model tilvækst, slagteform, fe'!G:K,2,FALSE)*(1+Forudsætninger!$C$79)</f>
        <v>#N/A</v>
      </c>
      <c r="K344" s="17" t="e">
        <f t="shared" si="130"/>
        <v>#N/A</v>
      </c>
      <c r="L344" s="17" t="e">
        <f t="shared" si="143"/>
        <v>#N/A</v>
      </c>
      <c r="M344" s="3" t="e">
        <f>((K344-(('Model tilvækst, slagteform, fe'!$H$9/100)*'Model tilvækst, slagteform, fe'!$B$9))*1000/(A344+Forudsætninger!$C$60))</f>
        <v>#N/A</v>
      </c>
      <c r="N344" s="17" t="e">
        <f t="shared" si="144"/>
        <v>#N/A</v>
      </c>
      <c r="O344" s="19" t="e">
        <f>IF( A344&lt;Forudsætninger!$C$14,(G344/100)*Forudsætninger!$C$13,(Forudsætninger!$C$15/1000)*Forudsætninger!$C$13)</f>
        <v>#N/A</v>
      </c>
      <c r="P344" s="17" t="e" cm="1">
        <f t="array" ref="P344">INDEX('Model tilvækst, slagteform, fe'!$N$9:$N$375,MATCH(MIN(ABS('Model tilvækst, slagteform, fe'!$M$9:$M$375-'Vækstfunktion, hol'!G344)),ABS('Model tilvækst, slagteform, fe'!$M$9:$M$375-'Vækstfunktion, hol'!G344),0))*(1+Forudsætninger!$C$80)</f>
        <v>#N/A</v>
      </c>
      <c r="Q344" s="17" t="e">
        <f t="shared" si="145"/>
        <v>#N/A</v>
      </c>
      <c r="R344" s="17" t="e">
        <f t="shared" si="146"/>
        <v>#N/A</v>
      </c>
      <c r="S344" s="17" t="e">
        <f t="shared" si="135"/>
        <v>#N/A</v>
      </c>
      <c r="T344" s="19" t="e">
        <f>(P344)*IF(N344&lt;Forudsætninger!$B$228,IF(N344&lt;Forudsætninger!$B$227,Forudsætninger!$B$225,Forudsætninger!$C$9),Forudsætninger!$C$11)+O344</f>
        <v>#N/A</v>
      </c>
      <c r="V344" s="2">
        <f>U344+Forudsætninger!$C$69</f>
        <v>-1</v>
      </c>
      <c r="W344" t="e">
        <f t="shared" si="136"/>
        <v>#N/A</v>
      </c>
      <c r="X344">
        <f>IF(A344+Forudsætninger!$C$60&gt;248,IF(A344+Forudsætninger!$C$60&lt;365,IF(K344&gt;180,IF(K344&lt;260,1,0),0),0),0)</f>
        <v>0</v>
      </c>
      <c r="Y344" s="22">
        <f>IF(X344=0,0,IF('Vækstfunktion, hol'!A344&lt;Forudsætninger!$C$66,Forudsætninger!$C$67+(('Vækstfunktion, hol'!A344-Forudsætninger!$C$66)/7)*Forudsætninger!$C$64,Forudsætninger!$C$67))</f>
        <v>0</v>
      </c>
      <c r="Z344" s="19" t="e">
        <f t="shared" si="147"/>
        <v>#N/A</v>
      </c>
      <c r="AA344" s="19">
        <f>Forudsætninger!$C$62+Forudsætninger!$C$16</f>
        <v>1350</v>
      </c>
      <c r="AB344" s="19" t="e">
        <f>IF(K344&gt;Forudsætninger!$C$26,IF(K344&gt;Forudsætninger!$C$27,IF(K344&gt;Forudsætninger!$C$28,Forudsætninger!$E$28,Forudsætninger!$E$27+Forudsætninger!$F$28*(K344-Forudsætninger!$C$27)),Forudsætninger!$E$26+Forudsætninger!$F$27*(K344-Forudsætninger!$C$26)),Forudsætninger!$E$26)+IF(K344&gt;Forudsætninger!$C$28,Forudsætninger!$G$28,IF(K344&gt;Forudsætninger!$C$27,Forudsætninger!$G$27+Forudsætninger!$H$28*(K344-Forudsætninger!$C$27),IF(K344&gt;Forudsætninger!$C$26,Forudsætninger!$G$26+Forudsætninger!$H$27*(K344-Forudsætninger!$C$26),Forudsætninger!$G$26)))*(U344-Forudsætninger!$H$26)</f>
        <v>#N/A</v>
      </c>
      <c r="AC344" s="19" t="e">
        <f>IF(K344&gt;Forudsætninger!$C$31,IF(K344&gt;Forudsætninger!$C$32,IF(K344&gt;Forudsætninger!$C$33,Forudsætninger!$E$33,Forudsætninger!$E$32+Forudsætninger!$F$33*(K344-Forudsætninger!$C$32)),Forudsætninger!$E$31+Forudsætninger!$F$32*(K344-Forudsætninger!$C$31)),Forudsætninger!$E$31)+IF(K344&gt;Forudsætninger!$C$33,Forudsætninger!$G$33,IF(K344&gt;Forudsætninger!$C$32,Forudsætninger!$G$32+Forudsætninger!$H$33*(K344-Forudsætninger!$C$32),IF(K344&gt;Forudsætninger!$C$31,Forudsætninger!$G$31+Forudsætninger!$H$32*(K344-Forudsætninger!$C$31),Forudsætninger!$G$31)))*(V344-Forudsætninger!$H$31)</f>
        <v>#N/A</v>
      </c>
      <c r="AD344" s="19" t="e">
        <f t="shared" si="137"/>
        <v>#N/A</v>
      </c>
      <c r="AE344" s="19" t="e">
        <f t="shared" si="138"/>
        <v>#N/A</v>
      </c>
      <c r="AF344" t="e">
        <f>IF(G344&lt;=Forudsætninger!$C$97,Forudsætninger!$C$98,(IF(G344&lt;=Forudsætninger!$D$97,Forudsætninger!$D$98,IF(G344&lt;=Forudsætninger!$E$97,Forudsætninger!$E$98,IF(G344&lt;=Forudsætninger!$F$97,Forudsætninger!$F$98,IF(G344&lt;=Forudsætninger!$G$97,Forudsætninger!$G$98,IF(G344&lt;=Forudsætninger!$H$97,Forudsætninger!$H$98,IF(G344&lt;=Forudsætninger!$I$97,Forudsætninger!$I$98,Forudsætninger!$I$98))))))))</f>
        <v>#N/A</v>
      </c>
      <c r="AG344" s="1" t="e">
        <f t="shared" si="148"/>
        <v>#N/A</v>
      </c>
      <c r="AH344" s="1" t="e">
        <f t="shared" si="152"/>
        <v>#N/A</v>
      </c>
      <c r="AI344" s="1" t="e">
        <f t="shared" si="139"/>
        <v>#N/A</v>
      </c>
      <c r="AJ344" s="20" t="e">
        <f>+(W344*Forudsætninger!$C$12)</f>
        <v>#N/A</v>
      </c>
      <c r="AK344" s="20">
        <f>Forudsætninger!$C$17</f>
        <v>250</v>
      </c>
      <c r="AL344" s="20">
        <f>IF(A344&lt;92,Forudsætninger!$C$20,Forudsætninger!$C$21)</f>
        <v>1.0566762728146013</v>
      </c>
      <c r="AM344" s="20">
        <f t="shared" si="149"/>
        <v>629.88876815588264</v>
      </c>
      <c r="AN344" s="20">
        <f>IFERROR(AD344+AJ344-AA344-Z344-AK344-AM344-Forudsætninger!$C$75,-99999999)</f>
        <v>-99999999</v>
      </c>
      <c r="AO344" s="19">
        <f>IFERROR(AN344/(A344+Forudsætninger!$C$74),-99999999)</f>
        <v>-292397.65789473685</v>
      </c>
      <c r="AP344" s="19">
        <f>IFERROR(((365/(A344+Forudsætninger!$C$74))*AN344)/(AI344+Forudsætninger!$C$73),-9999999)</f>
        <v>-9999999</v>
      </c>
      <c r="AQ344" s="18">
        <f t="shared" si="140"/>
        <v>342</v>
      </c>
      <c r="AR344" s="18" t="e">
        <f t="shared" si="150"/>
        <v>#N/A</v>
      </c>
      <c r="AS344" s="52">
        <f t="shared" si="131"/>
        <v>12.5</v>
      </c>
      <c r="AT344" s="50">
        <f t="shared" si="153"/>
        <v>0</v>
      </c>
      <c r="AU344" s="50">
        <f t="shared" si="154"/>
        <v>857.4711375212064</v>
      </c>
      <c r="AV344" s="2">
        <f t="shared" si="155"/>
        <v>0</v>
      </c>
      <c r="AW344" s="61">
        <f t="shared" si="151"/>
        <v>-292395.81611471303</v>
      </c>
      <c r="BA344" s="16"/>
      <c r="BB344" s="2"/>
    </row>
    <row r="345" spans="1:54" x14ac:dyDescent="0.25">
      <c r="A345">
        <v>343</v>
      </c>
      <c r="B345" s="1">
        <f>ROUND((A345+Forudsætninger!$C$60)/30.4,1)</f>
        <v>12.6</v>
      </c>
      <c r="C345" s="1" t="e">
        <f>VLOOKUP((A345+Forudsætninger!$C$60),'Model tilvækst, slagteform, fe'!A:B,2,FALSE)</f>
        <v>#N/A</v>
      </c>
      <c r="D345" s="3" t="e">
        <f t="shared" si="156"/>
        <v>#N/A</v>
      </c>
      <c r="E345" s="1" t="e">
        <f>(1+Forudsætninger!$C$78)*C345</f>
        <v>#N/A</v>
      </c>
      <c r="F345" s="2" t="e">
        <f t="shared" si="142"/>
        <v>#N/A</v>
      </c>
      <c r="G345" s="1" t="e">
        <f t="shared" si="132"/>
        <v>#N/A</v>
      </c>
      <c r="H345" s="3" t="e">
        <f t="shared" si="133"/>
        <v>#N/A</v>
      </c>
      <c r="I345" s="3" t="e">
        <f t="shared" si="134"/>
        <v>#N/A</v>
      </c>
      <c r="J345" s="1" t="e">
        <f>VLOOKUP((A345+Forudsætninger!$C$60),'Model tilvækst, slagteform, fe'!G:K,2,FALSE)*(1+Forudsætninger!$C$79)</f>
        <v>#N/A</v>
      </c>
      <c r="K345" s="17" t="e">
        <f t="shared" si="130"/>
        <v>#N/A</v>
      </c>
      <c r="L345" s="17" t="e">
        <f t="shared" si="143"/>
        <v>#N/A</v>
      </c>
      <c r="M345" s="3" t="e">
        <f>((K345-(('Model tilvækst, slagteform, fe'!$H$9/100)*'Model tilvækst, slagteform, fe'!$B$9))*1000/(A345+Forudsætninger!$C$60))</f>
        <v>#N/A</v>
      </c>
      <c r="N345" s="17" t="e">
        <f t="shared" si="144"/>
        <v>#N/A</v>
      </c>
      <c r="O345" s="19" t="e">
        <f>IF( A345&lt;Forudsætninger!$C$14,(G345/100)*Forudsætninger!$C$13,(Forudsætninger!$C$15/1000)*Forudsætninger!$C$13)</f>
        <v>#N/A</v>
      </c>
      <c r="P345" s="17" t="e" cm="1">
        <f t="array" ref="P345">INDEX('Model tilvækst, slagteform, fe'!$N$9:$N$375,MATCH(MIN(ABS('Model tilvækst, slagteform, fe'!$M$9:$M$375-'Vækstfunktion, hol'!G345)),ABS('Model tilvækst, slagteform, fe'!$M$9:$M$375-'Vækstfunktion, hol'!G345),0))*(1+Forudsætninger!$C$80)</f>
        <v>#N/A</v>
      </c>
      <c r="Q345" s="17" t="e">
        <f t="shared" si="145"/>
        <v>#N/A</v>
      </c>
      <c r="R345" s="17" t="e">
        <f t="shared" si="146"/>
        <v>#N/A</v>
      </c>
      <c r="S345" s="17" t="e">
        <f t="shared" si="135"/>
        <v>#N/A</v>
      </c>
      <c r="T345" s="19" t="e">
        <f>(P345)*IF(N345&lt;Forudsætninger!$B$228,IF(N345&lt;Forudsætninger!$B$227,Forudsætninger!$B$225,Forudsætninger!$C$9),Forudsætninger!$C$11)+O345</f>
        <v>#N/A</v>
      </c>
      <c r="V345" s="2">
        <f>U345+Forudsætninger!$C$69</f>
        <v>-1</v>
      </c>
      <c r="W345" t="e">
        <f t="shared" si="136"/>
        <v>#N/A</v>
      </c>
      <c r="X345">
        <f>IF(A345+Forudsætninger!$C$60&gt;248,IF(A345+Forudsætninger!$C$60&lt;365,IF(K345&gt;180,IF(K345&lt;260,1,0),0),0),0)</f>
        <v>0</v>
      </c>
      <c r="Y345" s="22">
        <f>IF(X345=0,0,IF('Vækstfunktion, hol'!A345&lt;Forudsætninger!$C$66,Forudsætninger!$C$67+(('Vækstfunktion, hol'!A345-Forudsætninger!$C$66)/7)*Forudsætninger!$C$64,Forudsætninger!$C$67))</f>
        <v>0</v>
      </c>
      <c r="Z345" s="19" t="e">
        <f t="shared" si="147"/>
        <v>#N/A</v>
      </c>
      <c r="AA345" s="19">
        <f>Forudsætninger!$C$62+Forudsætninger!$C$16</f>
        <v>1350</v>
      </c>
      <c r="AB345" s="19" t="e">
        <f>IF(K345&gt;Forudsætninger!$C$26,IF(K345&gt;Forudsætninger!$C$27,IF(K345&gt;Forudsætninger!$C$28,Forudsætninger!$E$28,Forudsætninger!$E$27+Forudsætninger!$F$28*(K345-Forudsætninger!$C$27)),Forudsætninger!$E$26+Forudsætninger!$F$27*(K345-Forudsætninger!$C$26)),Forudsætninger!$E$26)+IF(K345&gt;Forudsætninger!$C$28,Forudsætninger!$G$28,IF(K345&gt;Forudsætninger!$C$27,Forudsætninger!$G$27+Forudsætninger!$H$28*(K345-Forudsætninger!$C$27),IF(K345&gt;Forudsætninger!$C$26,Forudsætninger!$G$26+Forudsætninger!$H$27*(K345-Forudsætninger!$C$26),Forudsætninger!$G$26)))*(U345-Forudsætninger!$H$26)</f>
        <v>#N/A</v>
      </c>
      <c r="AC345" s="19" t="e">
        <f>IF(K345&gt;Forudsætninger!$C$31,IF(K345&gt;Forudsætninger!$C$32,IF(K345&gt;Forudsætninger!$C$33,Forudsætninger!$E$33,Forudsætninger!$E$32+Forudsætninger!$F$33*(K345-Forudsætninger!$C$32)),Forudsætninger!$E$31+Forudsætninger!$F$32*(K345-Forudsætninger!$C$31)),Forudsætninger!$E$31)+IF(K345&gt;Forudsætninger!$C$33,Forudsætninger!$G$33,IF(K345&gt;Forudsætninger!$C$32,Forudsætninger!$G$32+Forudsætninger!$H$33*(K345-Forudsætninger!$C$32),IF(K345&gt;Forudsætninger!$C$31,Forudsætninger!$G$31+Forudsætninger!$H$32*(K345-Forudsætninger!$C$31),Forudsætninger!$G$31)))*(V345-Forudsætninger!$H$31)</f>
        <v>#N/A</v>
      </c>
      <c r="AD345" s="19" t="e">
        <f t="shared" si="137"/>
        <v>#N/A</v>
      </c>
      <c r="AE345" s="19" t="e">
        <f t="shared" si="138"/>
        <v>#N/A</v>
      </c>
      <c r="AF345" t="e">
        <f>IF(G345&lt;=Forudsætninger!$C$97,Forudsætninger!$C$98,(IF(G345&lt;=Forudsætninger!$D$97,Forudsætninger!$D$98,IF(G345&lt;=Forudsætninger!$E$97,Forudsætninger!$E$98,IF(G345&lt;=Forudsætninger!$F$97,Forudsætninger!$F$98,IF(G345&lt;=Forudsætninger!$G$97,Forudsætninger!$G$98,IF(G345&lt;=Forudsætninger!$H$97,Forudsætninger!$H$98,IF(G345&lt;=Forudsætninger!$I$97,Forudsætninger!$I$98,Forudsætninger!$I$98))))))))</f>
        <v>#N/A</v>
      </c>
      <c r="AG345" s="1" t="e">
        <f t="shared" si="148"/>
        <v>#N/A</v>
      </c>
      <c r="AH345" s="1" t="e">
        <f t="shared" si="152"/>
        <v>#N/A</v>
      </c>
      <c r="AI345" s="1" t="e">
        <f t="shared" si="139"/>
        <v>#N/A</v>
      </c>
      <c r="AJ345" s="20" t="e">
        <f>+(W345*Forudsætninger!$C$12)</f>
        <v>#N/A</v>
      </c>
      <c r="AK345" s="20">
        <f>Forudsætninger!$C$17</f>
        <v>250</v>
      </c>
      <c r="AL345" s="20">
        <f>IF(A345&lt;92,Forudsætninger!$C$20,Forudsætninger!$C$21)</f>
        <v>1.0566762728146013</v>
      </c>
      <c r="AM345" s="20">
        <f t="shared" si="149"/>
        <v>630.94544442869721</v>
      </c>
      <c r="AN345" s="20">
        <f>IFERROR(AD345+AJ345-AA345-Z345-AK345-AM345-Forudsætninger!$C$75,-99999999)</f>
        <v>-99999999</v>
      </c>
      <c r="AO345" s="19">
        <f>IFERROR(AN345/(A345+Forudsætninger!$C$74),-99999999)</f>
        <v>-291545.18658892129</v>
      </c>
      <c r="AP345" s="19">
        <f>IFERROR(((365/(A345+Forudsætninger!$C$74))*AN345)/(AI345+Forudsætninger!$C$73),-9999999)</f>
        <v>-9999999</v>
      </c>
      <c r="AQ345" s="18">
        <f t="shared" si="140"/>
        <v>343</v>
      </c>
      <c r="AR345" s="18" t="e">
        <f t="shared" si="150"/>
        <v>#N/A</v>
      </c>
      <c r="AS345" s="52">
        <f t="shared" si="131"/>
        <v>12.6</v>
      </c>
      <c r="AT345" s="50">
        <f t="shared" si="153"/>
        <v>0</v>
      </c>
      <c r="AU345" s="50">
        <f t="shared" si="154"/>
        <v>852.47130581556121</v>
      </c>
      <c r="AV345" s="2">
        <f t="shared" si="155"/>
        <v>0</v>
      </c>
      <c r="AW345" s="61">
        <f t="shared" si="151"/>
        <v>-291543.34709782962</v>
      </c>
      <c r="BA345" s="16"/>
      <c r="BB345" s="2"/>
    </row>
    <row r="346" spans="1:54" x14ac:dyDescent="0.25">
      <c r="A346">
        <v>344</v>
      </c>
      <c r="B346" s="1">
        <f>ROUND((A346+Forudsætninger!$C$60)/30.4,1)</f>
        <v>12.6</v>
      </c>
      <c r="C346" s="1" t="e">
        <f>VLOOKUP((A346+Forudsætninger!$C$60),'Model tilvækst, slagteform, fe'!A:B,2,FALSE)</f>
        <v>#N/A</v>
      </c>
      <c r="D346" s="3" t="e">
        <f t="shared" si="156"/>
        <v>#N/A</v>
      </c>
      <c r="E346" s="1" t="e">
        <f>(1+Forudsætninger!$C$78)*C346</f>
        <v>#N/A</v>
      </c>
      <c r="F346" s="2" t="e">
        <f t="shared" si="142"/>
        <v>#N/A</v>
      </c>
      <c r="G346" s="1" t="e">
        <f t="shared" si="132"/>
        <v>#N/A</v>
      </c>
      <c r="H346" s="3" t="e">
        <f t="shared" si="133"/>
        <v>#N/A</v>
      </c>
      <c r="I346" s="3" t="e">
        <f t="shared" si="134"/>
        <v>#N/A</v>
      </c>
      <c r="J346" s="1" t="e">
        <f>VLOOKUP((A346+Forudsætninger!$C$60),'Model tilvækst, slagteform, fe'!G:K,2,FALSE)*(1+Forudsætninger!$C$79)</f>
        <v>#N/A</v>
      </c>
      <c r="K346" s="17" t="e">
        <f t="shared" si="130"/>
        <v>#N/A</v>
      </c>
      <c r="L346" s="17" t="e">
        <f t="shared" si="143"/>
        <v>#N/A</v>
      </c>
      <c r="M346" s="3" t="e">
        <f>((K346-(('Model tilvækst, slagteform, fe'!$H$9/100)*'Model tilvækst, slagteform, fe'!$B$9))*1000/(A346+Forudsætninger!$C$60))</f>
        <v>#N/A</v>
      </c>
      <c r="N346" s="17" t="e">
        <f t="shared" si="144"/>
        <v>#N/A</v>
      </c>
      <c r="O346" s="19" t="e">
        <f>IF( A346&lt;Forudsætninger!$C$14,(G346/100)*Forudsætninger!$C$13,(Forudsætninger!$C$15/1000)*Forudsætninger!$C$13)</f>
        <v>#N/A</v>
      </c>
      <c r="P346" s="17" t="e" cm="1">
        <f t="array" ref="P346">INDEX('Model tilvækst, slagteform, fe'!$N$9:$N$375,MATCH(MIN(ABS('Model tilvækst, slagteform, fe'!$M$9:$M$375-'Vækstfunktion, hol'!G346)),ABS('Model tilvækst, slagteform, fe'!$M$9:$M$375-'Vækstfunktion, hol'!G346),0))*(1+Forudsætninger!$C$80)</f>
        <v>#N/A</v>
      </c>
      <c r="Q346" s="17" t="e">
        <f t="shared" si="145"/>
        <v>#N/A</v>
      </c>
      <c r="R346" s="17" t="e">
        <f t="shared" si="146"/>
        <v>#N/A</v>
      </c>
      <c r="S346" s="17" t="e">
        <f t="shared" si="135"/>
        <v>#N/A</v>
      </c>
      <c r="T346" s="19" t="e">
        <f>(P346)*IF(N346&lt;Forudsætninger!$B$228,IF(N346&lt;Forudsætninger!$B$227,Forudsætninger!$B$225,Forudsætninger!$C$9),Forudsætninger!$C$11)+O346</f>
        <v>#N/A</v>
      </c>
      <c r="V346" s="2">
        <f>U346+Forudsætninger!$C$69</f>
        <v>-1</v>
      </c>
      <c r="W346" t="e">
        <f t="shared" si="136"/>
        <v>#N/A</v>
      </c>
      <c r="X346">
        <f>IF(A346+Forudsætninger!$C$60&gt;248,IF(A346+Forudsætninger!$C$60&lt;365,IF(K346&gt;180,IF(K346&lt;260,1,0),0),0),0)</f>
        <v>0</v>
      </c>
      <c r="Y346" s="22">
        <f>IF(X346=0,0,IF('Vækstfunktion, hol'!A346&lt;Forudsætninger!$C$66,Forudsætninger!$C$67+(('Vækstfunktion, hol'!A346-Forudsætninger!$C$66)/7)*Forudsætninger!$C$64,Forudsætninger!$C$67))</f>
        <v>0</v>
      </c>
      <c r="Z346" s="19" t="e">
        <f t="shared" si="147"/>
        <v>#N/A</v>
      </c>
      <c r="AA346" s="19">
        <f>Forudsætninger!$C$62+Forudsætninger!$C$16</f>
        <v>1350</v>
      </c>
      <c r="AB346" s="19" t="e">
        <f>IF(K346&gt;Forudsætninger!$C$26,IF(K346&gt;Forudsætninger!$C$27,IF(K346&gt;Forudsætninger!$C$28,Forudsætninger!$E$28,Forudsætninger!$E$27+Forudsætninger!$F$28*(K346-Forudsætninger!$C$27)),Forudsætninger!$E$26+Forudsætninger!$F$27*(K346-Forudsætninger!$C$26)),Forudsætninger!$E$26)+IF(K346&gt;Forudsætninger!$C$28,Forudsætninger!$G$28,IF(K346&gt;Forudsætninger!$C$27,Forudsætninger!$G$27+Forudsætninger!$H$28*(K346-Forudsætninger!$C$27),IF(K346&gt;Forudsætninger!$C$26,Forudsætninger!$G$26+Forudsætninger!$H$27*(K346-Forudsætninger!$C$26),Forudsætninger!$G$26)))*(U346-Forudsætninger!$H$26)</f>
        <v>#N/A</v>
      </c>
      <c r="AC346" s="19" t="e">
        <f>IF(K346&gt;Forudsætninger!$C$31,IF(K346&gt;Forudsætninger!$C$32,IF(K346&gt;Forudsætninger!$C$33,Forudsætninger!$E$33,Forudsætninger!$E$32+Forudsætninger!$F$33*(K346-Forudsætninger!$C$32)),Forudsætninger!$E$31+Forudsætninger!$F$32*(K346-Forudsætninger!$C$31)),Forudsætninger!$E$31)+IF(K346&gt;Forudsætninger!$C$33,Forudsætninger!$G$33,IF(K346&gt;Forudsætninger!$C$32,Forudsætninger!$G$32+Forudsætninger!$H$33*(K346-Forudsætninger!$C$32),IF(K346&gt;Forudsætninger!$C$31,Forudsætninger!$G$31+Forudsætninger!$H$32*(K346-Forudsætninger!$C$31),Forudsætninger!$G$31)))*(V346-Forudsætninger!$H$31)</f>
        <v>#N/A</v>
      </c>
      <c r="AD346" s="19" t="e">
        <f t="shared" si="137"/>
        <v>#N/A</v>
      </c>
      <c r="AE346" s="19" t="e">
        <f t="shared" si="138"/>
        <v>#N/A</v>
      </c>
      <c r="AF346" t="e">
        <f>IF(G346&lt;=Forudsætninger!$C$97,Forudsætninger!$C$98,(IF(G346&lt;=Forudsætninger!$D$97,Forudsætninger!$D$98,IF(G346&lt;=Forudsætninger!$E$97,Forudsætninger!$E$98,IF(G346&lt;=Forudsætninger!$F$97,Forudsætninger!$F$98,IF(G346&lt;=Forudsætninger!$G$97,Forudsætninger!$G$98,IF(G346&lt;=Forudsætninger!$H$97,Forudsætninger!$H$98,IF(G346&lt;=Forudsætninger!$I$97,Forudsætninger!$I$98,Forudsætninger!$I$98))))))))</f>
        <v>#N/A</v>
      </c>
      <c r="AG346" s="1" t="e">
        <f t="shared" si="148"/>
        <v>#N/A</v>
      </c>
      <c r="AH346" s="1" t="e">
        <f t="shared" si="152"/>
        <v>#N/A</v>
      </c>
      <c r="AI346" s="1" t="e">
        <f t="shared" si="139"/>
        <v>#N/A</v>
      </c>
      <c r="AJ346" s="20" t="e">
        <f>+(W346*Forudsætninger!$C$12)</f>
        <v>#N/A</v>
      </c>
      <c r="AK346" s="20">
        <f>Forudsætninger!$C$17</f>
        <v>250</v>
      </c>
      <c r="AL346" s="20">
        <f>IF(A346&lt;92,Forudsætninger!$C$20,Forudsætninger!$C$21)</f>
        <v>1.0566762728146013</v>
      </c>
      <c r="AM346" s="20">
        <f t="shared" si="149"/>
        <v>632.00212070151179</v>
      </c>
      <c r="AN346" s="20">
        <f>IFERROR(AD346+AJ346-AA346-Z346-AK346-AM346-Forudsætninger!$C$75,-99999999)</f>
        <v>-99999999</v>
      </c>
      <c r="AO346" s="19">
        <f>IFERROR(AN346/(A346+Forudsætninger!$C$74),-99999999)</f>
        <v>-290697.67151162791</v>
      </c>
      <c r="AP346" s="19">
        <f>IFERROR(((365/(A346+Forudsætninger!$C$74))*AN346)/(AI346+Forudsætninger!$C$73),-9999999)</f>
        <v>-9999999</v>
      </c>
      <c r="AQ346" s="18">
        <f t="shared" si="140"/>
        <v>344</v>
      </c>
      <c r="AR346" s="18" t="e">
        <f t="shared" si="150"/>
        <v>#N/A</v>
      </c>
      <c r="AS346" s="52">
        <f t="shared" si="131"/>
        <v>12.6</v>
      </c>
      <c r="AT346" s="50">
        <f t="shared" si="153"/>
        <v>0</v>
      </c>
      <c r="AU346" s="50">
        <f t="shared" si="154"/>
        <v>847.51507729338482</v>
      </c>
      <c r="AV346" s="2">
        <f t="shared" si="155"/>
        <v>0</v>
      </c>
      <c r="AW346" s="61">
        <f t="shared" si="151"/>
        <v>-290695.83429616073</v>
      </c>
      <c r="BA346" s="16"/>
      <c r="BB346" s="2"/>
    </row>
    <row r="347" spans="1:54" x14ac:dyDescent="0.25">
      <c r="A347">
        <v>345</v>
      </c>
      <c r="B347" s="1">
        <f>ROUND((A347+Forudsætninger!$C$60)/30.4,1)</f>
        <v>12.6</v>
      </c>
      <c r="C347" s="1" t="e">
        <f>VLOOKUP((A347+Forudsætninger!$C$60),'Model tilvækst, slagteform, fe'!A:B,2,FALSE)</f>
        <v>#N/A</v>
      </c>
      <c r="D347" s="3" t="e">
        <f t="shared" si="156"/>
        <v>#N/A</v>
      </c>
      <c r="E347" s="1" t="e">
        <f>(1+Forudsætninger!$C$78)*C347</f>
        <v>#N/A</v>
      </c>
      <c r="F347" s="2" t="e">
        <f t="shared" si="142"/>
        <v>#N/A</v>
      </c>
      <c r="G347" s="1" t="e">
        <f t="shared" si="132"/>
        <v>#N/A</v>
      </c>
      <c r="H347" s="3" t="e">
        <f t="shared" si="133"/>
        <v>#N/A</v>
      </c>
      <c r="I347" s="3" t="e">
        <f t="shared" si="134"/>
        <v>#N/A</v>
      </c>
      <c r="J347" s="1" t="e">
        <f>VLOOKUP((A347+Forudsætninger!$C$60),'Model tilvækst, slagteform, fe'!G:K,2,FALSE)*(1+Forudsætninger!$C$79)</f>
        <v>#N/A</v>
      </c>
      <c r="K347" s="17" t="e">
        <f t="shared" si="130"/>
        <v>#N/A</v>
      </c>
      <c r="L347" s="17" t="e">
        <f t="shared" si="143"/>
        <v>#N/A</v>
      </c>
      <c r="M347" s="3" t="e">
        <f>((K347-(('Model tilvækst, slagteform, fe'!$H$9/100)*'Model tilvækst, slagteform, fe'!$B$9))*1000/(A347+Forudsætninger!$C$60))</f>
        <v>#N/A</v>
      </c>
      <c r="N347" s="17" t="e">
        <f t="shared" si="144"/>
        <v>#N/A</v>
      </c>
      <c r="O347" s="19" t="e">
        <f>IF( A347&lt;Forudsætninger!$C$14,(G347/100)*Forudsætninger!$C$13,(Forudsætninger!$C$15/1000)*Forudsætninger!$C$13)</f>
        <v>#N/A</v>
      </c>
      <c r="P347" s="17" t="e" cm="1">
        <f t="array" ref="P347">INDEX('Model tilvækst, slagteform, fe'!$N$9:$N$375,MATCH(MIN(ABS('Model tilvækst, slagteform, fe'!$M$9:$M$375-'Vækstfunktion, hol'!G347)),ABS('Model tilvækst, slagteform, fe'!$M$9:$M$375-'Vækstfunktion, hol'!G347),0))*(1+Forudsætninger!$C$80)</f>
        <v>#N/A</v>
      </c>
      <c r="Q347" s="17" t="e">
        <f t="shared" si="145"/>
        <v>#N/A</v>
      </c>
      <c r="R347" s="17" t="e">
        <f t="shared" si="146"/>
        <v>#N/A</v>
      </c>
      <c r="S347" s="17" t="e">
        <f t="shared" si="135"/>
        <v>#N/A</v>
      </c>
      <c r="T347" s="19" t="e">
        <f>(P347)*IF(N347&lt;Forudsætninger!$B$228,IF(N347&lt;Forudsætninger!$B$227,Forudsætninger!$B$225,Forudsætninger!$C$9),Forudsætninger!$C$11)+O347</f>
        <v>#N/A</v>
      </c>
      <c r="V347" s="2">
        <f>U347+Forudsætninger!$C$69</f>
        <v>-1</v>
      </c>
      <c r="W347" t="e">
        <f t="shared" si="136"/>
        <v>#N/A</v>
      </c>
      <c r="X347">
        <f>IF(A347+Forudsætninger!$C$60&gt;248,IF(A347+Forudsætninger!$C$60&lt;365,IF(K347&gt;180,IF(K347&lt;260,1,0),0),0),0)</f>
        <v>0</v>
      </c>
      <c r="Y347" s="22">
        <f>IF(X347=0,0,IF('Vækstfunktion, hol'!A347&lt;Forudsætninger!$C$66,Forudsætninger!$C$67+(('Vækstfunktion, hol'!A347-Forudsætninger!$C$66)/7)*Forudsætninger!$C$64,Forudsætninger!$C$67))</f>
        <v>0</v>
      </c>
      <c r="Z347" s="19" t="e">
        <f t="shared" si="147"/>
        <v>#N/A</v>
      </c>
      <c r="AA347" s="19">
        <f>Forudsætninger!$C$62+Forudsætninger!$C$16</f>
        <v>1350</v>
      </c>
      <c r="AB347" s="19" t="e">
        <f>IF(K347&gt;Forudsætninger!$C$26,IF(K347&gt;Forudsætninger!$C$27,IF(K347&gt;Forudsætninger!$C$28,Forudsætninger!$E$28,Forudsætninger!$E$27+Forudsætninger!$F$28*(K347-Forudsætninger!$C$27)),Forudsætninger!$E$26+Forudsætninger!$F$27*(K347-Forudsætninger!$C$26)),Forudsætninger!$E$26)+IF(K347&gt;Forudsætninger!$C$28,Forudsætninger!$G$28,IF(K347&gt;Forudsætninger!$C$27,Forudsætninger!$G$27+Forudsætninger!$H$28*(K347-Forudsætninger!$C$27),IF(K347&gt;Forudsætninger!$C$26,Forudsætninger!$G$26+Forudsætninger!$H$27*(K347-Forudsætninger!$C$26),Forudsætninger!$G$26)))*(U347-Forudsætninger!$H$26)</f>
        <v>#N/A</v>
      </c>
      <c r="AC347" s="19" t="e">
        <f>IF(K347&gt;Forudsætninger!$C$31,IF(K347&gt;Forudsætninger!$C$32,IF(K347&gt;Forudsætninger!$C$33,Forudsætninger!$E$33,Forudsætninger!$E$32+Forudsætninger!$F$33*(K347-Forudsætninger!$C$32)),Forudsætninger!$E$31+Forudsætninger!$F$32*(K347-Forudsætninger!$C$31)),Forudsætninger!$E$31)+IF(K347&gt;Forudsætninger!$C$33,Forudsætninger!$G$33,IF(K347&gt;Forudsætninger!$C$32,Forudsætninger!$G$32+Forudsætninger!$H$33*(K347-Forudsætninger!$C$32),IF(K347&gt;Forudsætninger!$C$31,Forudsætninger!$G$31+Forudsætninger!$H$32*(K347-Forudsætninger!$C$31),Forudsætninger!$G$31)))*(V347-Forudsætninger!$H$31)</f>
        <v>#N/A</v>
      </c>
      <c r="AD347" s="19" t="e">
        <f t="shared" si="137"/>
        <v>#N/A</v>
      </c>
      <c r="AE347" s="19" t="e">
        <f t="shared" si="138"/>
        <v>#N/A</v>
      </c>
      <c r="AF347" t="e">
        <f>IF(G347&lt;=Forudsætninger!$C$97,Forudsætninger!$C$98,(IF(G347&lt;=Forudsætninger!$D$97,Forudsætninger!$D$98,IF(G347&lt;=Forudsætninger!$E$97,Forudsætninger!$E$98,IF(G347&lt;=Forudsætninger!$F$97,Forudsætninger!$F$98,IF(G347&lt;=Forudsætninger!$G$97,Forudsætninger!$G$98,IF(G347&lt;=Forudsætninger!$H$97,Forudsætninger!$H$98,IF(G347&lt;=Forudsætninger!$I$97,Forudsætninger!$I$98,Forudsætninger!$I$98))))))))</f>
        <v>#N/A</v>
      </c>
      <c r="AG347" s="1" t="e">
        <f t="shared" si="148"/>
        <v>#N/A</v>
      </c>
      <c r="AH347" s="1" t="e">
        <f t="shared" si="152"/>
        <v>#N/A</v>
      </c>
      <c r="AI347" s="1" t="e">
        <f t="shared" si="139"/>
        <v>#N/A</v>
      </c>
      <c r="AJ347" s="20" t="e">
        <f>+(W347*Forudsætninger!$C$12)</f>
        <v>#N/A</v>
      </c>
      <c r="AK347" s="20">
        <f>Forudsætninger!$C$17</f>
        <v>250</v>
      </c>
      <c r="AL347" s="20">
        <f>IF(A347&lt;92,Forudsætninger!$C$20,Forudsætninger!$C$21)</f>
        <v>1.0566762728146013</v>
      </c>
      <c r="AM347" s="20">
        <f t="shared" si="149"/>
        <v>633.05879697432636</v>
      </c>
      <c r="AN347" s="20">
        <f>IFERROR(AD347+AJ347-AA347-Z347-AK347-AM347-Forudsætninger!$C$75,-99999999)</f>
        <v>-99999999</v>
      </c>
      <c r="AO347" s="19">
        <f>IFERROR(AN347/(A347+Forudsætninger!$C$74),-99999999)</f>
        <v>-289855.06956521742</v>
      </c>
      <c r="AP347" s="19">
        <f>IFERROR(((365/(A347+Forudsætninger!$C$74))*AN347)/(AI347+Forudsætninger!$C$73),-9999999)</f>
        <v>-9999999</v>
      </c>
      <c r="AQ347" s="18">
        <f t="shared" si="140"/>
        <v>345</v>
      </c>
      <c r="AR347" s="18" t="e">
        <f t="shared" si="150"/>
        <v>#N/A</v>
      </c>
      <c r="AS347" s="52">
        <f t="shared" si="131"/>
        <v>12.6</v>
      </c>
      <c r="AT347" s="50">
        <f t="shared" si="153"/>
        <v>0</v>
      </c>
      <c r="AU347" s="50">
        <f t="shared" si="154"/>
        <v>842.6019464104902</v>
      </c>
      <c r="AV347" s="2">
        <f t="shared" si="155"/>
        <v>0</v>
      </c>
      <c r="AW347" s="61">
        <f t="shared" si="151"/>
        <v>-289853.23461218271</v>
      </c>
      <c r="BA347" s="16"/>
      <c r="BB347" s="2"/>
    </row>
    <row r="348" spans="1:54" x14ac:dyDescent="0.25">
      <c r="A348">
        <v>346</v>
      </c>
      <c r="B348" s="1">
        <f>ROUND((A348+Forudsætninger!$C$60)/30.4,1)</f>
        <v>12.7</v>
      </c>
      <c r="C348" s="1" t="e">
        <f>VLOOKUP((A348+Forudsætninger!$C$60),'Model tilvækst, slagteform, fe'!A:B,2,FALSE)</f>
        <v>#N/A</v>
      </c>
      <c r="D348" s="3" t="e">
        <f t="shared" si="156"/>
        <v>#N/A</v>
      </c>
      <c r="E348" s="1" t="e">
        <f>(1+Forudsætninger!$C$78)*C348</f>
        <v>#N/A</v>
      </c>
      <c r="F348" s="2" t="e">
        <f t="shared" si="142"/>
        <v>#N/A</v>
      </c>
      <c r="G348" s="1" t="e">
        <f t="shared" si="132"/>
        <v>#N/A</v>
      </c>
      <c r="H348" s="3" t="e">
        <f t="shared" si="133"/>
        <v>#N/A</v>
      </c>
      <c r="I348" s="3" t="e">
        <f t="shared" si="134"/>
        <v>#N/A</v>
      </c>
      <c r="J348" s="1" t="e">
        <f>VLOOKUP((A348+Forudsætninger!$C$60),'Model tilvækst, slagteform, fe'!G:K,2,FALSE)*(1+Forudsætninger!$C$79)</f>
        <v>#N/A</v>
      </c>
      <c r="K348" s="17" t="e">
        <f t="shared" si="130"/>
        <v>#N/A</v>
      </c>
      <c r="L348" s="17" t="e">
        <f t="shared" si="143"/>
        <v>#N/A</v>
      </c>
      <c r="M348" s="3" t="e">
        <f>((K348-(('Model tilvækst, slagteform, fe'!$H$9/100)*'Model tilvækst, slagteform, fe'!$B$9))*1000/(A348+Forudsætninger!$C$60))</f>
        <v>#N/A</v>
      </c>
      <c r="N348" s="17" t="e">
        <f t="shared" si="144"/>
        <v>#N/A</v>
      </c>
      <c r="O348" s="19" t="e">
        <f>IF( A348&lt;Forudsætninger!$C$14,(G348/100)*Forudsætninger!$C$13,(Forudsætninger!$C$15/1000)*Forudsætninger!$C$13)</f>
        <v>#N/A</v>
      </c>
      <c r="P348" s="17" t="e" cm="1">
        <f t="array" ref="P348">INDEX('Model tilvækst, slagteform, fe'!$N$9:$N$375,MATCH(MIN(ABS('Model tilvækst, slagteform, fe'!$M$9:$M$375-'Vækstfunktion, hol'!G348)),ABS('Model tilvækst, slagteform, fe'!$M$9:$M$375-'Vækstfunktion, hol'!G348),0))*(1+Forudsætninger!$C$80)</f>
        <v>#N/A</v>
      </c>
      <c r="Q348" s="17" t="e">
        <f t="shared" si="145"/>
        <v>#N/A</v>
      </c>
      <c r="R348" s="17" t="e">
        <f t="shared" si="146"/>
        <v>#N/A</v>
      </c>
      <c r="S348" s="17" t="e">
        <f t="shared" si="135"/>
        <v>#N/A</v>
      </c>
      <c r="T348" s="19" t="e">
        <f>(P348)*IF(N348&lt;Forudsætninger!$B$228,IF(N348&lt;Forudsætninger!$B$227,Forudsætninger!$B$225,Forudsætninger!$C$9),Forudsætninger!$C$11)+O348</f>
        <v>#N/A</v>
      </c>
      <c r="V348" s="2">
        <f>U348+Forudsætninger!$C$69</f>
        <v>-1</v>
      </c>
      <c r="W348" t="e">
        <f t="shared" si="136"/>
        <v>#N/A</v>
      </c>
      <c r="X348">
        <f>IF(A348+Forudsætninger!$C$60&gt;248,IF(A348+Forudsætninger!$C$60&lt;365,IF(K348&gt;180,IF(K348&lt;260,1,0),0),0),0)</f>
        <v>0</v>
      </c>
      <c r="Y348" s="22">
        <f>IF(X348=0,0,IF('Vækstfunktion, hol'!A348&lt;Forudsætninger!$C$66,Forudsætninger!$C$67+(('Vækstfunktion, hol'!A348-Forudsætninger!$C$66)/7)*Forudsætninger!$C$64,Forudsætninger!$C$67))</f>
        <v>0</v>
      </c>
      <c r="Z348" s="19" t="e">
        <f t="shared" si="147"/>
        <v>#N/A</v>
      </c>
      <c r="AA348" s="19">
        <f>Forudsætninger!$C$62+Forudsætninger!$C$16</f>
        <v>1350</v>
      </c>
      <c r="AB348" s="19" t="e">
        <f>IF(K348&gt;Forudsætninger!$C$26,IF(K348&gt;Forudsætninger!$C$27,IF(K348&gt;Forudsætninger!$C$28,Forudsætninger!$E$28,Forudsætninger!$E$27+Forudsætninger!$F$28*(K348-Forudsætninger!$C$27)),Forudsætninger!$E$26+Forudsætninger!$F$27*(K348-Forudsætninger!$C$26)),Forudsætninger!$E$26)+IF(K348&gt;Forudsætninger!$C$28,Forudsætninger!$G$28,IF(K348&gt;Forudsætninger!$C$27,Forudsætninger!$G$27+Forudsætninger!$H$28*(K348-Forudsætninger!$C$27),IF(K348&gt;Forudsætninger!$C$26,Forudsætninger!$G$26+Forudsætninger!$H$27*(K348-Forudsætninger!$C$26),Forudsætninger!$G$26)))*(U348-Forudsætninger!$H$26)</f>
        <v>#N/A</v>
      </c>
      <c r="AC348" s="19" t="e">
        <f>IF(K348&gt;Forudsætninger!$C$31,IF(K348&gt;Forudsætninger!$C$32,IF(K348&gt;Forudsætninger!$C$33,Forudsætninger!$E$33,Forudsætninger!$E$32+Forudsætninger!$F$33*(K348-Forudsætninger!$C$32)),Forudsætninger!$E$31+Forudsætninger!$F$32*(K348-Forudsætninger!$C$31)),Forudsætninger!$E$31)+IF(K348&gt;Forudsætninger!$C$33,Forudsætninger!$G$33,IF(K348&gt;Forudsætninger!$C$32,Forudsætninger!$G$32+Forudsætninger!$H$33*(K348-Forudsætninger!$C$32),IF(K348&gt;Forudsætninger!$C$31,Forudsætninger!$G$31+Forudsætninger!$H$32*(K348-Forudsætninger!$C$31),Forudsætninger!$G$31)))*(V348-Forudsætninger!$H$31)</f>
        <v>#N/A</v>
      </c>
      <c r="AD348" s="19" t="e">
        <f t="shared" si="137"/>
        <v>#N/A</v>
      </c>
      <c r="AE348" s="19" t="e">
        <f t="shared" si="138"/>
        <v>#N/A</v>
      </c>
      <c r="AF348" t="e">
        <f>IF(G348&lt;=Forudsætninger!$C$97,Forudsætninger!$C$98,(IF(G348&lt;=Forudsætninger!$D$97,Forudsætninger!$D$98,IF(G348&lt;=Forudsætninger!$E$97,Forudsætninger!$E$98,IF(G348&lt;=Forudsætninger!$F$97,Forudsætninger!$F$98,IF(G348&lt;=Forudsætninger!$G$97,Forudsætninger!$G$98,IF(G348&lt;=Forudsætninger!$H$97,Forudsætninger!$H$98,IF(G348&lt;=Forudsætninger!$I$97,Forudsætninger!$I$98,Forudsætninger!$I$98))))))))</f>
        <v>#N/A</v>
      </c>
      <c r="AG348" s="1" t="e">
        <f t="shared" si="148"/>
        <v>#N/A</v>
      </c>
      <c r="AH348" s="1" t="e">
        <f t="shared" si="152"/>
        <v>#N/A</v>
      </c>
      <c r="AI348" s="1" t="e">
        <f t="shared" si="139"/>
        <v>#N/A</v>
      </c>
      <c r="AJ348" s="20" t="e">
        <f>+(W348*Forudsætninger!$C$12)</f>
        <v>#N/A</v>
      </c>
      <c r="AK348" s="20">
        <f>Forudsætninger!$C$17</f>
        <v>250</v>
      </c>
      <c r="AL348" s="20">
        <f>IF(A348&lt;92,Forudsætninger!$C$20,Forudsætninger!$C$21)</f>
        <v>1.0566762728146013</v>
      </c>
      <c r="AM348" s="20">
        <f t="shared" si="149"/>
        <v>634.11547324714093</v>
      </c>
      <c r="AN348" s="20">
        <f>IFERROR(AD348+AJ348-AA348-Z348-AK348-AM348-Forudsætninger!$C$75,-99999999)</f>
        <v>-99999999</v>
      </c>
      <c r="AO348" s="19">
        <f>IFERROR(AN348/(A348+Forudsætninger!$C$74),-99999999)</f>
        <v>-289017.33815028903</v>
      </c>
      <c r="AP348" s="19">
        <f>IFERROR(((365/(A348+Forudsætninger!$C$74))*AN348)/(AI348+Forudsætninger!$C$73),-9999999)</f>
        <v>-9999999</v>
      </c>
      <c r="AQ348" s="18">
        <f t="shared" si="140"/>
        <v>346</v>
      </c>
      <c r="AR348" s="18" t="e">
        <f t="shared" si="150"/>
        <v>#N/A</v>
      </c>
      <c r="AS348" s="52">
        <f t="shared" si="131"/>
        <v>12.7</v>
      </c>
      <c r="AT348" s="50">
        <f t="shared" si="153"/>
        <v>0</v>
      </c>
      <c r="AU348" s="50">
        <f t="shared" si="154"/>
        <v>837.73141492839204</v>
      </c>
      <c r="AV348" s="2">
        <f t="shared" si="155"/>
        <v>0</v>
      </c>
      <c r="AW348" s="61">
        <f t="shared" si="151"/>
        <v>-289015.50544660911</v>
      </c>
      <c r="BA348" s="16"/>
      <c r="BB348" s="2"/>
    </row>
    <row r="349" spans="1:54" x14ac:dyDescent="0.25">
      <c r="A349">
        <v>347</v>
      </c>
      <c r="B349" s="1">
        <f>ROUND((A349+Forudsætninger!$C$60)/30.4,1)</f>
        <v>12.7</v>
      </c>
      <c r="C349" s="1" t="e">
        <f>VLOOKUP((A349+Forudsætninger!$C$60),'Model tilvækst, slagteform, fe'!A:B,2,FALSE)</f>
        <v>#N/A</v>
      </c>
      <c r="D349" s="3" t="e">
        <f t="shared" si="156"/>
        <v>#N/A</v>
      </c>
      <c r="E349" s="1" t="e">
        <f>(1+Forudsætninger!$C$78)*C349</f>
        <v>#N/A</v>
      </c>
      <c r="F349" s="2" t="e">
        <f t="shared" si="142"/>
        <v>#N/A</v>
      </c>
      <c r="G349" s="1" t="e">
        <f t="shared" si="132"/>
        <v>#N/A</v>
      </c>
      <c r="H349" s="3" t="e">
        <f t="shared" si="133"/>
        <v>#N/A</v>
      </c>
      <c r="I349" s="3" t="e">
        <f t="shared" si="134"/>
        <v>#N/A</v>
      </c>
      <c r="J349" s="1" t="e">
        <f>VLOOKUP((A349+Forudsætninger!$C$60),'Model tilvækst, slagteform, fe'!G:K,2,FALSE)*(1+Forudsætninger!$C$79)</f>
        <v>#N/A</v>
      </c>
      <c r="K349" s="17" t="e">
        <f t="shared" si="130"/>
        <v>#N/A</v>
      </c>
      <c r="L349" s="17" t="e">
        <f t="shared" si="143"/>
        <v>#N/A</v>
      </c>
      <c r="M349" s="3" t="e">
        <f>((K349-(('Model tilvækst, slagteform, fe'!$H$9/100)*'Model tilvækst, slagteform, fe'!$B$9))*1000/(A349+Forudsætninger!$C$60))</f>
        <v>#N/A</v>
      </c>
      <c r="N349" s="17" t="e">
        <f t="shared" si="144"/>
        <v>#N/A</v>
      </c>
      <c r="O349" s="19" t="e">
        <f>IF( A349&lt;Forudsætninger!$C$14,(G349/100)*Forudsætninger!$C$13,(Forudsætninger!$C$15/1000)*Forudsætninger!$C$13)</f>
        <v>#N/A</v>
      </c>
      <c r="P349" s="17" t="e" cm="1">
        <f t="array" ref="P349">INDEX('Model tilvækst, slagteform, fe'!$N$9:$N$375,MATCH(MIN(ABS('Model tilvækst, slagteform, fe'!$M$9:$M$375-'Vækstfunktion, hol'!G349)),ABS('Model tilvækst, slagteform, fe'!$M$9:$M$375-'Vækstfunktion, hol'!G349),0))*(1+Forudsætninger!$C$80)</f>
        <v>#N/A</v>
      </c>
      <c r="Q349" s="17" t="e">
        <f t="shared" si="145"/>
        <v>#N/A</v>
      </c>
      <c r="R349" s="17" t="e">
        <f t="shared" si="146"/>
        <v>#N/A</v>
      </c>
      <c r="S349" s="17" t="e">
        <f t="shared" si="135"/>
        <v>#N/A</v>
      </c>
      <c r="T349" s="19" t="e">
        <f>(P349)*IF(N349&lt;Forudsætninger!$B$228,IF(N349&lt;Forudsætninger!$B$227,Forudsætninger!$B$225,Forudsætninger!$C$9),Forudsætninger!$C$11)+O349</f>
        <v>#N/A</v>
      </c>
      <c r="V349" s="2">
        <f>U349+Forudsætninger!$C$69</f>
        <v>-1</v>
      </c>
      <c r="W349" t="e">
        <f t="shared" si="136"/>
        <v>#N/A</v>
      </c>
      <c r="X349">
        <f>IF(A349+Forudsætninger!$C$60&gt;248,IF(A349+Forudsætninger!$C$60&lt;365,IF(K349&gt;180,IF(K349&lt;260,1,0),0),0),0)</f>
        <v>0</v>
      </c>
      <c r="Y349" s="22">
        <f>IF(X349=0,0,IF('Vækstfunktion, hol'!A349&lt;Forudsætninger!$C$66,Forudsætninger!$C$67+(('Vækstfunktion, hol'!A349-Forudsætninger!$C$66)/7)*Forudsætninger!$C$64,Forudsætninger!$C$67))</f>
        <v>0</v>
      </c>
      <c r="Z349" s="19" t="e">
        <f t="shared" si="147"/>
        <v>#N/A</v>
      </c>
      <c r="AA349" s="19">
        <f>Forudsætninger!$C$62+Forudsætninger!$C$16</f>
        <v>1350</v>
      </c>
      <c r="AB349" s="19" t="e">
        <f>IF(K349&gt;Forudsætninger!$C$26,IF(K349&gt;Forudsætninger!$C$27,IF(K349&gt;Forudsætninger!$C$28,Forudsætninger!$E$28,Forudsætninger!$E$27+Forudsætninger!$F$28*(K349-Forudsætninger!$C$27)),Forudsætninger!$E$26+Forudsætninger!$F$27*(K349-Forudsætninger!$C$26)),Forudsætninger!$E$26)+IF(K349&gt;Forudsætninger!$C$28,Forudsætninger!$G$28,IF(K349&gt;Forudsætninger!$C$27,Forudsætninger!$G$27+Forudsætninger!$H$28*(K349-Forudsætninger!$C$27),IF(K349&gt;Forudsætninger!$C$26,Forudsætninger!$G$26+Forudsætninger!$H$27*(K349-Forudsætninger!$C$26),Forudsætninger!$G$26)))*(U349-Forudsætninger!$H$26)</f>
        <v>#N/A</v>
      </c>
      <c r="AC349" s="19" t="e">
        <f>IF(K349&gt;Forudsætninger!$C$31,IF(K349&gt;Forudsætninger!$C$32,IF(K349&gt;Forudsætninger!$C$33,Forudsætninger!$E$33,Forudsætninger!$E$32+Forudsætninger!$F$33*(K349-Forudsætninger!$C$32)),Forudsætninger!$E$31+Forudsætninger!$F$32*(K349-Forudsætninger!$C$31)),Forudsætninger!$E$31)+IF(K349&gt;Forudsætninger!$C$33,Forudsætninger!$G$33,IF(K349&gt;Forudsætninger!$C$32,Forudsætninger!$G$32+Forudsætninger!$H$33*(K349-Forudsætninger!$C$32),IF(K349&gt;Forudsætninger!$C$31,Forudsætninger!$G$31+Forudsætninger!$H$32*(K349-Forudsætninger!$C$31),Forudsætninger!$G$31)))*(V349-Forudsætninger!$H$31)</f>
        <v>#N/A</v>
      </c>
      <c r="AD349" s="19" t="e">
        <f t="shared" si="137"/>
        <v>#N/A</v>
      </c>
      <c r="AE349" s="19" t="e">
        <f t="shared" si="138"/>
        <v>#N/A</v>
      </c>
      <c r="AF349" t="e">
        <f>IF(G349&lt;=Forudsætninger!$C$97,Forudsætninger!$C$98,(IF(G349&lt;=Forudsætninger!$D$97,Forudsætninger!$D$98,IF(G349&lt;=Forudsætninger!$E$97,Forudsætninger!$E$98,IF(G349&lt;=Forudsætninger!$F$97,Forudsætninger!$F$98,IF(G349&lt;=Forudsætninger!$G$97,Forudsætninger!$G$98,IF(G349&lt;=Forudsætninger!$H$97,Forudsætninger!$H$98,IF(G349&lt;=Forudsætninger!$I$97,Forudsætninger!$I$98,Forudsætninger!$I$98))))))))</f>
        <v>#N/A</v>
      </c>
      <c r="AG349" s="1" t="e">
        <f t="shared" si="148"/>
        <v>#N/A</v>
      </c>
      <c r="AH349" s="1" t="e">
        <f t="shared" si="152"/>
        <v>#N/A</v>
      </c>
      <c r="AI349" s="1" t="e">
        <f t="shared" si="139"/>
        <v>#N/A</v>
      </c>
      <c r="AJ349" s="20" t="e">
        <f>+(W349*Forudsætninger!$C$12)</f>
        <v>#N/A</v>
      </c>
      <c r="AK349" s="20">
        <f>Forudsætninger!$C$17</f>
        <v>250</v>
      </c>
      <c r="AL349" s="20">
        <f>IF(A349&lt;92,Forudsætninger!$C$20,Forudsætninger!$C$21)</f>
        <v>1.0566762728146013</v>
      </c>
      <c r="AM349" s="20">
        <f t="shared" si="149"/>
        <v>635.1721495199555</v>
      </c>
      <c r="AN349" s="20">
        <f>IFERROR(AD349+AJ349-AA349-Z349-AK349-AM349-Forudsætninger!$C$75,-99999999)</f>
        <v>-99999999</v>
      </c>
      <c r="AO349" s="19">
        <f>IFERROR(AN349/(A349+Forudsætninger!$C$74),-99999999)</f>
        <v>-288184.43515850144</v>
      </c>
      <c r="AP349" s="19">
        <f>IFERROR(((365/(A349+Forudsætninger!$C$74))*AN349)/(AI349+Forudsætninger!$C$73),-9999999)</f>
        <v>-9999999</v>
      </c>
      <c r="AQ349" s="18">
        <f t="shared" si="140"/>
        <v>347</v>
      </c>
      <c r="AR349" s="18" t="e">
        <f t="shared" si="150"/>
        <v>#N/A</v>
      </c>
      <c r="AS349" s="52">
        <f t="shared" si="131"/>
        <v>12.7</v>
      </c>
      <c r="AT349" s="50">
        <f t="shared" si="153"/>
        <v>0</v>
      </c>
      <c r="AU349" s="50">
        <f t="shared" si="154"/>
        <v>832.90299178758869</v>
      </c>
      <c r="AV349" s="2">
        <f t="shared" si="155"/>
        <v>0</v>
      </c>
      <c r="AW349" s="61">
        <f t="shared" si="151"/>
        <v>-288182.60469121177</v>
      </c>
      <c r="BA349" s="16"/>
      <c r="BB349" s="2"/>
    </row>
    <row r="350" spans="1:54" x14ac:dyDescent="0.25">
      <c r="A350">
        <v>348</v>
      </c>
      <c r="B350" s="1">
        <f>ROUND((A350+Forudsætninger!$C$60)/30.4,1)</f>
        <v>12.7</v>
      </c>
      <c r="C350" s="1" t="e">
        <f>VLOOKUP((A350+Forudsætninger!$C$60),'Model tilvækst, slagteform, fe'!A:B,2,FALSE)</f>
        <v>#N/A</v>
      </c>
      <c r="D350" s="3" t="e">
        <f t="shared" ref="D350:D367" si="157">(C350-C349)*1000</f>
        <v>#N/A</v>
      </c>
      <c r="E350" s="1" t="e">
        <f>(1+Forudsætninger!$C$78)*C350</f>
        <v>#N/A</v>
      </c>
      <c r="F350" s="2" t="e">
        <f t="shared" si="142"/>
        <v>#N/A</v>
      </c>
      <c r="G350" s="1" t="e">
        <f t="shared" si="132"/>
        <v>#N/A</v>
      </c>
      <c r="H350" s="3" t="e">
        <f t="shared" si="133"/>
        <v>#N/A</v>
      </c>
      <c r="I350" s="3" t="e">
        <f t="shared" si="134"/>
        <v>#N/A</v>
      </c>
      <c r="J350" s="1" t="e">
        <f>VLOOKUP((A350+Forudsætninger!$C$60),'Model tilvækst, slagteform, fe'!G:K,2,FALSE)*(1+Forudsætninger!$C$79)</f>
        <v>#N/A</v>
      </c>
      <c r="K350" s="17" t="e">
        <f t="shared" si="130"/>
        <v>#N/A</v>
      </c>
      <c r="L350" s="17" t="e">
        <f t="shared" si="143"/>
        <v>#N/A</v>
      </c>
      <c r="M350" s="3" t="e">
        <f>((K350-(('Model tilvækst, slagteform, fe'!$H$9/100)*'Model tilvækst, slagteform, fe'!$B$9))*1000/(A350+Forudsætninger!$C$60))</f>
        <v>#N/A</v>
      </c>
      <c r="N350" s="17" t="e">
        <f t="shared" si="144"/>
        <v>#N/A</v>
      </c>
      <c r="O350" s="19" t="e">
        <f>IF( A350&lt;Forudsætninger!$C$14,(G350/100)*Forudsætninger!$C$13,(Forudsætninger!$C$15/1000)*Forudsætninger!$C$13)</f>
        <v>#N/A</v>
      </c>
      <c r="P350" s="17" t="e" cm="1">
        <f t="array" ref="P350">INDEX('Model tilvækst, slagteform, fe'!$N$9:$N$375,MATCH(MIN(ABS('Model tilvækst, slagteform, fe'!$M$9:$M$375-'Vækstfunktion, hol'!G350)),ABS('Model tilvækst, slagteform, fe'!$M$9:$M$375-'Vækstfunktion, hol'!G350),0))*(1+Forudsætninger!$C$80)</f>
        <v>#N/A</v>
      </c>
      <c r="Q350" s="17" t="e">
        <f t="shared" si="145"/>
        <v>#N/A</v>
      </c>
      <c r="R350" s="17" t="e">
        <f t="shared" si="146"/>
        <v>#N/A</v>
      </c>
      <c r="S350" s="17" t="e">
        <f t="shared" si="135"/>
        <v>#N/A</v>
      </c>
      <c r="T350" s="19" t="e">
        <f>(P350)*IF(N350&lt;Forudsætninger!$B$228,IF(N350&lt;Forudsætninger!$B$227,Forudsætninger!$B$225,Forudsætninger!$C$9),Forudsætninger!$C$11)+O350</f>
        <v>#N/A</v>
      </c>
      <c r="V350" s="2">
        <f>U350+Forudsætninger!$C$69</f>
        <v>-1</v>
      </c>
      <c r="W350" t="e">
        <f t="shared" si="136"/>
        <v>#N/A</v>
      </c>
      <c r="X350">
        <f>IF(A350+Forudsætninger!$C$60&gt;248,IF(A350+Forudsætninger!$C$60&lt;365,IF(K350&gt;180,IF(K350&lt;260,1,0),0),0),0)</f>
        <v>0</v>
      </c>
      <c r="Y350" s="22">
        <f>IF(X350=0,0,IF('Vækstfunktion, hol'!A350&lt;Forudsætninger!$C$66,Forudsætninger!$C$67+(('Vækstfunktion, hol'!A350-Forudsætninger!$C$66)/7)*Forudsætninger!$C$64,Forudsætninger!$C$67))</f>
        <v>0</v>
      </c>
      <c r="Z350" s="19" t="e">
        <f>Z349+T350</f>
        <v>#N/A</v>
      </c>
      <c r="AA350" s="19">
        <f>Forudsætninger!$C$62+Forudsætninger!$C$16</f>
        <v>1350</v>
      </c>
      <c r="AB350" s="19" t="e">
        <f>IF(K350&gt;Forudsætninger!$C$26,IF(K350&gt;Forudsætninger!$C$27,IF(K350&gt;Forudsætninger!$C$28,Forudsætninger!$E$28,Forudsætninger!$E$27+Forudsætninger!$F$28*(K350-Forudsætninger!$C$27)),Forudsætninger!$E$26+Forudsætninger!$F$27*(K350-Forudsætninger!$C$26)),Forudsætninger!$E$26)+IF(K350&gt;Forudsætninger!$C$28,Forudsætninger!$G$28,IF(K350&gt;Forudsætninger!$C$27,Forudsætninger!$G$27+Forudsætninger!$H$28*(K350-Forudsætninger!$C$27),IF(K350&gt;Forudsætninger!$C$26,Forudsætninger!$G$26+Forudsætninger!$H$27*(K350-Forudsætninger!$C$26),Forudsætninger!$G$26)))*(U350-Forudsætninger!$H$26)</f>
        <v>#N/A</v>
      </c>
      <c r="AC350" s="19" t="e">
        <f>IF(K350&gt;Forudsætninger!$C$31,IF(K350&gt;Forudsætninger!$C$32,IF(K350&gt;Forudsætninger!$C$33,Forudsætninger!$E$33,Forudsætninger!$E$32+Forudsætninger!$F$33*(K350-Forudsætninger!$C$32)),Forudsætninger!$E$31+Forudsætninger!$F$32*(K350-Forudsætninger!$C$31)),Forudsætninger!$E$31)+IF(K350&gt;Forudsætninger!$C$33,Forudsætninger!$G$33,IF(K350&gt;Forudsætninger!$C$32,Forudsætninger!$G$32+Forudsætninger!$H$33*(K350-Forudsætninger!$C$32),IF(K350&gt;Forudsætninger!$C$31,Forudsætninger!$G$31+Forudsætninger!$H$32*(K350-Forudsætninger!$C$31),Forudsætninger!$G$31)))*(V350-Forudsætninger!$H$31)</f>
        <v>#N/A</v>
      </c>
      <c r="AD350" s="19" t="e">
        <f t="shared" si="137"/>
        <v>#N/A</v>
      </c>
      <c r="AE350" s="19" t="e">
        <f t="shared" si="138"/>
        <v>#N/A</v>
      </c>
      <c r="AF350" t="e">
        <f>IF(G350&lt;=Forudsætninger!$C$97,Forudsætninger!$C$98,(IF(G350&lt;=Forudsætninger!$D$97,Forudsætninger!$D$98,IF(G350&lt;=Forudsætninger!$E$97,Forudsætninger!$E$98,IF(G350&lt;=Forudsætninger!$F$97,Forudsætninger!$F$98,IF(G350&lt;=Forudsætninger!$G$97,Forudsætninger!$G$98,IF(G350&lt;=Forudsætninger!$H$97,Forudsætninger!$H$98,IF(G350&lt;=Forudsætninger!$I$97,Forudsætninger!$I$98,Forudsætninger!$I$98))))))))</f>
        <v>#N/A</v>
      </c>
      <c r="AG350" s="1" t="e">
        <f t="shared" si="148"/>
        <v>#N/A</v>
      </c>
      <c r="AH350" s="1" t="e">
        <f t="shared" si="152"/>
        <v>#N/A</v>
      </c>
      <c r="AI350" s="1" t="e">
        <f t="shared" si="139"/>
        <v>#N/A</v>
      </c>
      <c r="AJ350" s="20" t="e">
        <f>+(W350*Forudsætninger!$C$12)</f>
        <v>#N/A</v>
      </c>
      <c r="AK350" s="20">
        <f>Forudsætninger!$C$17</f>
        <v>250</v>
      </c>
      <c r="AL350" s="20">
        <f>IF(A350&lt;92,Forudsætninger!$C$20,Forudsætninger!$C$21)</f>
        <v>1.0566762728146013</v>
      </c>
      <c r="AM350" s="20">
        <f t="shared" si="149"/>
        <v>636.22882579277007</v>
      </c>
      <c r="AN350" s="20">
        <f>IFERROR(AD350+AJ350-AA350-Z350-AK350-AM350-Forudsætninger!$C$75,-99999999)</f>
        <v>-99999999</v>
      </c>
      <c r="AO350" s="19">
        <f>IFERROR(AN350/(A350+Forudsætninger!$C$74),-99999999)</f>
        <v>-287356.31896551722</v>
      </c>
      <c r="AP350" s="19">
        <f>IFERROR(((365/(A350+Forudsætninger!$C$74))*AN350)/(AI350+Forudsætninger!$C$73),-9999999)</f>
        <v>-9999999</v>
      </c>
      <c r="AQ350" s="18">
        <f t="shared" si="140"/>
        <v>348</v>
      </c>
      <c r="AR350" s="18" t="e">
        <f t="shared" si="150"/>
        <v>#N/A</v>
      </c>
      <c r="AS350" s="52">
        <f t="shared" si="131"/>
        <v>12.7</v>
      </c>
      <c r="AT350" s="50">
        <f t="shared" si="153"/>
        <v>0</v>
      </c>
      <c r="AU350" s="50">
        <f t="shared" si="154"/>
        <v>828.11619298422011</v>
      </c>
      <c r="AV350" s="2">
        <f t="shared" si="155"/>
        <v>0</v>
      </c>
      <c r="AW350" s="61">
        <f t="shared" si="151"/>
        <v>-287354.49072176497</v>
      </c>
      <c r="BA350" s="16"/>
      <c r="BB350" s="2"/>
    </row>
    <row r="351" spans="1:54" x14ac:dyDescent="0.25">
      <c r="A351">
        <v>349</v>
      </c>
      <c r="B351" s="1">
        <f>ROUND((A351+Forudsætninger!$C$60)/30.4,1)</f>
        <v>12.8</v>
      </c>
      <c r="C351" s="1" t="e">
        <f>VLOOKUP((A351+Forudsætninger!$C$60),'Model tilvækst, slagteform, fe'!A:B,2,FALSE)</f>
        <v>#N/A</v>
      </c>
      <c r="D351" s="3" t="e">
        <f t="shared" si="157"/>
        <v>#N/A</v>
      </c>
      <c r="E351" s="1" t="e">
        <f>(1+Forudsætninger!$C$78)*C351</f>
        <v>#N/A</v>
      </c>
      <c r="F351" s="2" t="e">
        <f t="shared" si="142"/>
        <v>#N/A</v>
      </c>
      <c r="G351" s="1" t="e">
        <f t="shared" si="132"/>
        <v>#N/A</v>
      </c>
      <c r="H351" s="3" t="e">
        <f t="shared" si="133"/>
        <v>#N/A</v>
      </c>
      <c r="I351" s="3" t="e">
        <f t="shared" si="134"/>
        <v>#N/A</v>
      </c>
      <c r="J351" s="1" t="e">
        <f>VLOOKUP((A351+Forudsætninger!$C$60),'Model tilvækst, slagteform, fe'!G:K,2,FALSE)*(1+Forudsætninger!$C$79)</f>
        <v>#N/A</v>
      </c>
      <c r="K351" s="17" t="e">
        <f t="shared" si="130"/>
        <v>#N/A</v>
      </c>
      <c r="L351" s="17" t="e">
        <f t="shared" si="143"/>
        <v>#N/A</v>
      </c>
      <c r="M351" s="3" t="e">
        <f>((K351-(('Model tilvækst, slagteform, fe'!$H$9/100)*'Model tilvækst, slagteform, fe'!$B$9))*1000/(A351+Forudsætninger!$C$60))</f>
        <v>#N/A</v>
      </c>
      <c r="N351" s="17" t="e">
        <f t="shared" si="144"/>
        <v>#N/A</v>
      </c>
      <c r="O351" s="19" t="e">
        <f>IF( A351&lt;Forudsætninger!$C$14,(G351/100)*Forudsætninger!$C$13,(Forudsætninger!$C$15/1000)*Forudsætninger!$C$13)</f>
        <v>#N/A</v>
      </c>
      <c r="P351" s="17" t="e" cm="1">
        <f t="array" ref="P351">INDEX('Model tilvækst, slagteform, fe'!$N$9:$N$375,MATCH(MIN(ABS('Model tilvækst, slagteform, fe'!$M$9:$M$375-'Vækstfunktion, hol'!G351)),ABS('Model tilvækst, slagteform, fe'!$M$9:$M$375-'Vækstfunktion, hol'!G351),0))*(1+Forudsætninger!$C$80)</f>
        <v>#N/A</v>
      </c>
      <c r="Q351" s="17" t="e">
        <f t="shared" si="145"/>
        <v>#N/A</v>
      </c>
      <c r="R351" s="17" t="e">
        <f t="shared" si="146"/>
        <v>#N/A</v>
      </c>
      <c r="S351" s="17" t="e">
        <f t="shared" si="135"/>
        <v>#N/A</v>
      </c>
      <c r="T351" s="19" t="e">
        <f>(P351)*IF(N351&lt;Forudsætninger!$B$228,IF(N351&lt;Forudsætninger!$B$227,Forudsætninger!$B$225,Forudsætninger!$C$9),Forudsætninger!$C$11)+O351</f>
        <v>#N/A</v>
      </c>
      <c r="V351" s="2">
        <f>U351+Forudsætninger!$C$69</f>
        <v>-1</v>
      </c>
      <c r="W351" t="e">
        <f t="shared" si="136"/>
        <v>#N/A</v>
      </c>
      <c r="X351">
        <f>IF(A351+Forudsætninger!$C$60&gt;248,IF(A351+Forudsætninger!$C$60&lt;365,IF(K351&gt;180,IF(K351&lt;260,1,0),0),0),0)</f>
        <v>0</v>
      </c>
      <c r="Y351" s="22">
        <f>IF(X351=0,0,IF('Vækstfunktion, hol'!A351&lt;Forudsætninger!$C$66,Forudsætninger!$C$67+(('Vækstfunktion, hol'!A351-Forudsætninger!$C$66)/7)*Forudsætninger!$C$64,Forudsætninger!$C$67))</f>
        <v>0</v>
      </c>
      <c r="Z351" s="19" t="e">
        <f t="shared" si="147"/>
        <v>#N/A</v>
      </c>
      <c r="AA351" s="19">
        <f>Forudsætninger!$C$62+Forudsætninger!$C$16</f>
        <v>1350</v>
      </c>
      <c r="AB351" s="19" t="e">
        <f>IF(K351&gt;Forudsætninger!$C$26,IF(K351&gt;Forudsætninger!$C$27,IF(K351&gt;Forudsætninger!$C$28,Forudsætninger!$E$28,Forudsætninger!$E$27+Forudsætninger!$F$28*(K351-Forudsætninger!$C$27)),Forudsætninger!$E$26+Forudsætninger!$F$27*(K351-Forudsætninger!$C$26)),Forudsætninger!$E$26)+IF(K351&gt;Forudsætninger!$C$28,Forudsætninger!$G$28,IF(K351&gt;Forudsætninger!$C$27,Forudsætninger!$G$27+Forudsætninger!$H$28*(K351-Forudsætninger!$C$27),IF(K351&gt;Forudsætninger!$C$26,Forudsætninger!$G$26+Forudsætninger!$H$27*(K351-Forudsætninger!$C$26),Forudsætninger!$G$26)))*(U351-Forudsætninger!$H$26)</f>
        <v>#N/A</v>
      </c>
      <c r="AC351" s="19" t="e">
        <f>IF(K351&gt;Forudsætninger!$C$31,IF(K351&gt;Forudsætninger!$C$32,IF(K351&gt;Forudsætninger!$C$33,Forudsætninger!$E$33,Forudsætninger!$E$32+Forudsætninger!$F$33*(K351-Forudsætninger!$C$32)),Forudsætninger!$E$31+Forudsætninger!$F$32*(K351-Forudsætninger!$C$31)),Forudsætninger!$E$31)+IF(K351&gt;Forudsætninger!$C$33,Forudsætninger!$G$33,IF(K351&gt;Forudsætninger!$C$32,Forudsætninger!$G$32+Forudsætninger!$H$33*(K351-Forudsætninger!$C$32),IF(K351&gt;Forudsætninger!$C$31,Forudsætninger!$G$31+Forudsætninger!$H$32*(K351-Forudsætninger!$C$31),Forudsætninger!$G$31)))*(V351-Forudsætninger!$H$31)</f>
        <v>#N/A</v>
      </c>
      <c r="AD351" s="19" t="e">
        <f t="shared" si="137"/>
        <v>#N/A</v>
      </c>
      <c r="AE351" s="19" t="e">
        <f t="shared" si="138"/>
        <v>#N/A</v>
      </c>
      <c r="AF351" t="e">
        <f>IF(G351&lt;=Forudsætninger!$C$97,Forudsætninger!$C$98,(IF(G351&lt;=Forudsætninger!$D$97,Forudsætninger!$D$98,IF(G351&lt;=Forudsætninger!$E$97,Forudsætninger!$E$98,IF(G351&lt;=Forudsætninger!$F$97,Forudsætninger!$F$98,IF(G351&lt;=Forudsætninger!$G$97,Forudsætninger!$G$98,IF(G351&lt;=Forudsætninger!$H$97,Forudsætninger!$H$98,IF(G351&lt;=Forudsætninger!$I$97,Forudsætninger!$I$98,Forudsætninger!$I$98))))))))</f>
        <v>#N/A</v>
      </c>
      <c r="AG351" s="1" t="e">
        <f t="shared" si="148"/>
        <v>#N/A</v>
      </c>
      <c r="AH351" s="1" t="e">
        <f t="shared" si="152"/>
        <v>#N/A</v>
      </c>
      <c r="AI351" s="1" t="e">
        <f t="shared" si="139"/>
        <v>#N/A</v>
      </c>
      <c r="AJ351" s="20" t="e">
        <f>+(W351*Forudsætninger!$C$12)</f>
        <v>#N/A</v>
      </c>
      <c r="AK351" s="20">
        <f>Forudsætninger!$C$17</f>
        <v>250</v>
      </c>
      <c r="AL351" s="20">
        <f>IF(A351&lt;92,Forudsætninger!$C$20,Forudsætninger!$C$21)</f>
        <v>1.0566762728146013</v>
      </c>
      <c r="AM351" s="20">
        <f t="shared" si="149"/>
        <v>637.28550206558464</v>
      </c>
      <c r="AN351" s="20">
        <f>IFERROR(AD351+AJ351-AA351-Z351-AK351-AM351-Forudsætninger!$C$75,-99999999)</f>
        <v>-99999999</v>
      </c>
      <c r="AO351" s="19">
        <f>IFERROR(AN351/(A351+Forudsætninger!$C$74),-99999999)</f>
        <v>-286532.94842406875</v>
      </c>
      <c r="AP351" s="19">
        <f>IFERROR(((365/(A351+Forudsætninger!$C$74))*AN351)/(AI351+Forudsætninger!$C$73),-9999999)</f>
        <v>-9999999</v>
      </c>
      <c r="AQ351" s="18">
        <f t="shared" si="140"/>
        <v>349</v>
      </c>
      <c r="AR351" s="18" t="e">
        <f t="shared" si="150"/>
        <v>#N/A</v>
      </c>
      <c r="AS351" s="52">
        <f t="shared" si="131"/>
        <v>12.8</v>
      </c>
      <c r="AT351" s="50">
        <f t="shared" si="153"/>
        <v>0</v>
      </c>
      <c r="AU351" s="50">
        <f t="shared" si="154"/>
        <v>823.37054144847207</v>
      </c>
      <c r="AV351" s="2">
        <f t="shared" si="155"/>
        <v>0</v>
      </c>
      <c r="AW351" s="61">
        <f t="shared" si="151"/>
        <v>-286531.12239111157</v>
      </c>
      <c r="BA351" s="16"/>
      <c r="BB351" s="2"/>
    </row>
    <row r="352" spans="1:54" x14ac:dyDescent="0.25">
      <c r="A352">
        <v>350</v>
      </c>
      <c r="B352" s="1">
        <f>ROUND((A352+Forudsætninger!$C$60)/30.4,1)</f>
        <v>12.8</v>
      </c>
      <c r="C352" s="1" t="e">
        <f>VLOOKUP((A352+Forudsætninger!$C$60),'Model tilvækst, slagteform, fe'!A:B,2,FALSE)</f>
        <v>#N/A</v>
      </c>
      <c r="D352" s="3" t="e">
        <f t="shared" si="157"/>
        <v>#N/A</v>
      </c>
      <c r="E352" s="1" t="e">
        <f>(1+Forudsætninger!$C$78)*C352</f>
        <v>#N/A</v>
      </c>
      <c r="F352" s="2" t="e">
        <f t="shared" si="142"/>
        <v>#N/A</v>
      </c>
      <c r="G352" s="1" t="e">
        <f t="shared" si="132"/>
        <v>#N/A</v>
      </c>
      <c r="H352" s="3" t="e">
        <f t="shared" si="133"/>
        <v>#N/A</v>
      </c>
      <c r="I352" s="3" t="e">
        <f t="shared" si="134"/>
        <v>#N/A</v>
      </c>
      <c r="J352" s="1" t="e">
        <f>VLOOKUP((A352+Forudsætninger!$C$60),'Model tilvækst, slagteform, fe'!G:K,2,FALSE)*(1+Forudsætninger!$C$79)</f>
        <v>#N/A</v>
      </c>
      <c r="K352" s="17" t="e">
        <f t="shared" si="130"/>
        <v>#N/A</v>
      </c>
      <c r="L352" s="17" t="e">
        <f t="shared" si="143"/>
        <v>#N/A</v>
      </c>
      <c r="M352" s="3" t="e">
        <f>((K352-(('Model tilvækst, slagteform, fe'!$H$9/100)*'Model tilvækst, slagteform, fe'!$B$9))*1000/(A352+Forudsætninger!$C$60))</f>
        <v>#N/A</v>
      </c>
      <c r="N352" s="17" t="e">
        <f t="shared" si="144"/>
        <v>#N/A</v>
      </c>
      <c r="O352" s="19" t="e">
        <f>IF( A352&lt;Forudsætninger!$C$14,(G352/100)*Forudsætninger!$C$13,(Forudsætninger!$C$15/1000)*Forudsætninger!$C$13)</f>
        <v>#N/A</v>
      </c>
      <c r="P352" s="17" t="e" cm="1">
        <f t="array" ref="P352">INDEX('Model tilvækst, slagteform, fe'!$N$9:$N$375,MATCH(MIN(ABS('Model tilvækst, slagteform, fe'!$M$9:$M$375-'Vækstfunktion, hol'!G352)),ABS('Model tilvækst, slagteform, fe'!$M$9:$M$375-'Vækstfunktion, hol'!G352),0))*(1+Forudsætninger!$C$80)</f>
        <v>#N/A</v>
      </c>
      <c r="Q352" s="17" t="e">
        <f t="shared" si="145"/>
        <v>#N/A</v>
      </c>
      <c r="R352" s="17" t="e">
        <f t="shared" si="146"/>
        <v>#N/A</v>
      </c>
      <c r="S352" s="17" t="e">
        <f t="shared" si="135"/>
        <v>#N/A</v>
      </c>
      <c r="T352" s="19" t="e">
        <f>(P352)*IF(N352&lt;Forudsætninger!$B$228,IF(N352&lt;Forudsætninger!$B$227,Forudsætninger!$B$225,Forudsætninger!$C$9),Forudsætninger!$C$11)+O352</f>
        <v>#N/A</v>
      </c>
      <c r="V352" s="2">
        <f>U352+Forudsætninger!$C$69</f>
        <v>-1</v>
      </c>
      <c r="W352" t="e">
        <f t="shared" si="136"/>
        <v>#N/A</v>
      </c>
      <c r="X352">
        <f>IF(A352+Forudsætninger!$C$60&gt;248,IF(A352+Forudsætninger!$C$60&lt;365,IF(K352&gt;180,IF(K352&lt;260,1,0),0),0),0)</f>
        <v>0</v>
      </c>
      <c r="Y352" s="22">
        <f>IF(X352=0,0,IF('Vækstfunktion, hol'!A352&lt;Forudsætninger!$C$66,Forudsætninger!$C$67+(('Vækstfunktion, hol'!A352-Forudsætninger!$C$66)/7)*Forudsætninger!$C$64,Forudsætninger!$C$67))</f>
        <v>0</v>
      </c>
      <c r="Z352" s="19" t="e">
        <f t="shared" si="147"/>
        <v>#N/A</v>
      </c>
      <c r="AA352" s="19">
        <f>Forudsætninger!$C$62+Forudsætninger!$C$16</f>
        <v>1350</v>
      </c>
      <c r="AB352" s="19" t="e">
        <f>IF(K352&gt;Forudsætninger!$C$26,IF(K352&gt;Forudsætninger!$C$27,IF(K352&gt;Forudsætninger!$C$28,Forudsætninger!$E$28,Forudsætninger!$E$27+Forudsætninger!$F$28*(K352-Forudsætninger!$C$27)),Forudsætninger!$E$26+Forudsætninger!$F$27*(K352-Forudsætninger!$C$26)),Forudsætninger!$E$26)+IF(K352&gt;Forudsætninger!$C$28,Forudsætninger!$G$28,IF(K352&gt;Forudsætninger!$C$27,Forudsætninger!$G$27+Forudsætninger!$H$28*(K352-Forudsætninger!$C$27),IF(K352&gt;Forudsætninger!$C$26,Forudsætninger!$G$26+Forudsætninger!$H$27*(K352-Forudsætninger!$C$26),Forudsætninger!$G$26)))*(U352-Forudsætninger!$H$26)</f>
        <v>#N/A</v>
      </c>
      <c r="AC352" s="19" t="e">
        <f>IF(K352&gt;Forudsætninger!$C$31,IF(K352&gt;Forudsætninger!$C$32,IF(K352&gt;Forudsætninger!$C$33,Forudsætninger!$E$33,Forudsætninger!$E$32+Forudsætninger!$F$33*(K352-Forudsætninger!$C$32)),Forudsætninger!$E$31+Forudsætninger!$F$32*(K352-Forudsætninger!$C$31)),Forudsætninger!$E$31)+IF(K352&gt;Forudsætninger!$C$33,Forudsætninger!$G$33,IF(K352&gt;Forudsætninger!$C$32,Forudsætninger!$G$32+Forudsætninger!$H$33*(K352-Forudsætninger!$C$32),IF(K352&gt;Forudsætninger!$C$31,Forudsætninger!$G$31+Forudsætninger!$H$32*(K352-Forudsætninger!$C$31),Forudsætninger!$G$31)))*(V352-Forudsætninger!$H$31)</f>
        <v>#N/A</v>
      </c>
      <c r="AD352" s="19" t="e">
        <f t="shared" si="137"/>
        <v>#N/A</v>
      </c>
      <c r="AE352" s="19" t="e">
        <f t="shared" si="138"/>
        <v>#N/A</v>
      </c>
      <c r="AF352" t="e">
        <f>IF(G352&lt;=Forudsætninger!$C$97,Forudsætninger!$C$98,(IF(G352&lt;=Forudsætninger!$D$97,Forudsætninger!$D$98,IF(G352&lt;=Forudsætninger!$E$97,Forudsætninger!$E$98,IF(G352&lt;=Forudsætninger!$F$97,Forudsætninger!$F$98,IF(G352&lt;=Forudsætninger!$G$97,Forudsætninger!$G$98,IF(G352&lt;=Forudsætninger!$H$97,Forudsætninger!$H$98,IF(G352&lt;=Forudsætninger!$I$97,Forudsætninger!$I$98,Forudsætninger!$I$98))))))))</f>
        <v>#N/A</v>
      </c>
      <c r="AG352" s="1" t="e">
        <f t="shared" si="148"/>
        <v>#N/A</v>
      </c>
      <c r="AH352" s="1" t="e">
        <f t="shared" si="152"/>
        <v>#N/A</v>
      </c>
      <c r="AI352" s="1" t="e">
        <f t="shared" si="139"/>
        <v>#N/A</v>
      </c>
      <c r="AJ352" s="20" t="e">
        <f>+(W352*Forudsætninger!$C$12)</f>
        <v>#N/A</v>
      </c>
      <c r="AK352" s="20">
        <f>Forudsætninger!$C$17</f>
        <v>250</v>
      </c>
      <c r="AL352" s="20">
        <f>IF(A352&lt;92,Forudsætninger!$C$20,Forudsætninger!$C$21)</f>
        <v>1.0566762728146013</v>
      </c>
      <c r="AM352" s="20">
        <f t="shared" si="149"/>
        <v>638.34217833839921</v>
      </c>
      <c r="AN352" s="20">
        <f>IFERROR(AD352+AJ352-AA352-Z352-AK352-AM352-Forudsætninger!$C$75,-99999999)</f>
        <v>-99999999</v>
      </c>
      <c r="AO352" s="19">
        <f>IFERROR(AN352/(A352+Forudsætninger!$C$74),-99999999)</f>
        <v>-285714.28285714285</v>
      </c>
      <c r="AP352" s="19">
        <f>IFERROR(((365/(A352+Forudsætninger!$C$74))*AN352)/(AI352+Forudsætninger!$C$73),-9999999)</f>
        <v>-9999999</v>
      </c>
      <c r="AQ352" s="18">
        <f t="shared" si="140"/>
        <v>350</v>
      </c>
      <c r="AR352" s="18" t="e">
        <f t="shared" si="150"/>
        <v>#N/A</v>
      </c>
      <c r="AS352" s="52">
        <f t="shared" si="131"/>
        <v>12.8</v>
      </c>
      <c r="AT352" s="50">
        <f t="shared" si="153"/>
        <v>0</v>
      </c>
      <c r="AU352" s="50">
        <f t="shared" si="154"/>
        <v>818.66556692589074</v>
      </c>
      <c r="AV352" s="2">
        <f t="shared" si="155"/>
        <v>0</v>
      </c>
      <c r="AW352" s="61">
        <f t="shared" si="151"/>
        <v>-285712.45902234758</v>
      </c>
      <c r="BA352" s="16"/>
      <c r="BB352" s="2"/>
    </row>
    <row r="353" spans="1:54" x14ac:dyDescent="0.25">
      <c r="A353">
        <v>351</v>
      </c>
      <c r="B353" s="1">
        <f>ROUND((A353+Forudsætninger!$C$60)/30.4,1)</f>
        <v>12.8</v>
      </c>
      <c r="C353" s="1" t="e">
        <f>VLOOKUP((A353+Forudsætninger!$C$60),'Model tilvækst, slagteform, fe'!A:B,2,FALSE)</f>
        <v>#N/A</v>
      </c>
      <c r="D353" s="3" t="e">
        <f t="shared" si="157"/>
        <v>#N/A</v>
      </c>
      <c r="E353" s="1" t="e">
        <f>(1+Forudsætninger!$C$78)*C353</f>
        <v>#N/A</v>
      </c>
      <c r="F353" s="2" t="e">
        <f t="shared" si="142"/>
        <v>#N/A</v>
      </c>
      <c r="G353" s="1" t="e">
        <f t="shared" si="132"/>
        <v>#N/A</v>
      </c>
      <c r="H353" s="3" t="e">
        <f t="shared" si="133"/>
        <v>#N/A</v>
      </c>
      <c r="I353" s="3" t="e">
        <f t="shared" si="134"/>
        <v>#N/A</v>
      </c>
      <c r="J353" s="1" t="e">
        <f>VLOOKUP((A353+Forudsætninger!$C$60),'Model tilvækst, slagteform, fe'!G:K,2,FALSE)*(1+Forudsætninger!$C$79)</f>
        <v>#N/A</v>
      </c>
      <c r="K353" s="17" t="e">
        <f t="shared" si="130"/>
        <v>#N/A</v>
      </c>
      <c r="L353" s="17" t="e">
        <f t="shared" si="143"/>
        <v>#N/A</v>
      </c>
      <c r="M353" s="3" t="e">
        <f>((K353-(('Model tilvækst, slagteform, fe'!$H$9/100)*'Model tilvækst, slagteform, fe'!$B$9))*1000/(A353+Forudsætninger!$C$60))</f>
        <v>#N/A</v>
      </c>
      <c r="N353" s="17" t="e">
        <f t="shared" si="144"/>
        <v>#N/A</v>
      </c>
      <c r="O353" s="19" t="e">
        <f>IF( A353&lt;Forudsætninger!$C$14,(G353/100)*Forudsætninger!$C$13,(Forudsætninger!$C$15/1000)*Forudsætninger!$C$13)</f>
        <v>#N/A</v>
      </c>
      <c r="P353" s="17" t="e" cm="1">
        <f t="array" ref="P353">INDEX('Model tilvækst, slagteform, fe'!$N$9:$N$375,MATCH(MIN(ABS('Model tilvækst, slagteform, fe'!$M$9:$M$375-'Vækstfunktion, hol'!G353)),ABS('Model tilvækst, slagteform, fe'!$M$9:$M$375-'Vækstfunktion, hol'!G353),0))*(1+Forudsætninger!$C$80)</f>
        <v>#N/A</v>
      </c>
      <c r="Q353" s="17" t="e">
        <f t="shared" si="145"/>
        <v>#N/A</v>
      </c>
      <c r="R353" s="17" t="e">
        <f t="shared" si="146"/>
        <v>#N/A</v>
      </c>
      <c r="S353" s="17" t="e">
        <f t="shared" si="135"/>
        <v>#N/A</v>
      </c>
      <c r="T353" s="19" t="e">
        <f>(P353)*IF(N353&lt;Forudsætninger!$B$228,IF(N353&lt;Forudsætninger!$B$227,Forudsætninger!$B$225,Forudsætninger!$C$9),Forudsætninger!$C$11)+O353</f>
        <v>#N/A</v>
      </c>
      <c r="V353" s="2">
        <f>U353+Forudsætninger!$C$69</f>
        <v>-1</v>
      </c>
      <c r="W353" t="e">
        <f t="shared" si="136"/>
        <v>#N/A</v>
      </c>
      <c r="X353">
        <f>IF(A353+Forudsætninger!$C$60&gt;248,IF(A353+Forudsætninger!$C$60&lt;365,IF(K353&gt;180,IF(K353&lt;260,1,0),0),0),0)</f>
        <v>0</v>
      </c>
      <c r="Y353" s="22">
        <f>IF(X353=0,0,IF('Vækstfunktion, hol'!A353&lt;Forudsætninger!$C$66,Forudsætninger!$C$67+(('Vækstfunktion, hol'!A353-Forudsætninger!$C$66)/7)*Forudsætninger!$C$64,Forudsætninger!$C$67))</f>
        <v>0</v>
      </c>
      <c r="Z353" s="19" t="e">
        <f t="shared" si="147"/>
        <v>#N/A</v>
      </c>
      <c r="AA353" s="19">
        <f>Forudsætninger!$C$62+Forudsætninger!$C$16</f>
        <v>1350</v>
      </c>
      <c r="AB353" s="19" t="e">
        <f>IF(K353&gt;Forudsætninger!$C$26,IF(K353&gt;Forudsætninger!$C$27,IF(K353&gt;Forudsætninger!$C$28,Forudsætninger!$E$28,Forudsætninger!$E$27+Forudsætninger!$F$28*(K353-Forudsætninger!$C$27)),Forudsætninger!$E$26+Forudsætninger!$F$27*(K353-Forudsætninger!$C$26)),Forudsætninger!$E$26)+IF(K353&gt;Forudsætninger!$C$28,Forudsætninger!$G$28,IF(K353&gt;Forudsætninger!$C$27,Forudsætninger!$G$27+Forudsætninger!$H$28*(K353-Forudsætninger!$C$27),IF(K353&gt;Forudsætninger!$C$26,Forudsætninger!$G$26+Forudsætninger!$H$27*(K353-Forudsætninger!$C$26),Forudsætninger!$G$26)))*(U353-Forudsætninger!$H$26)</f>
        <v>#N/A</v>
      </c>
      <c r="AC353" s="19" t="e">
        <f>IF(K353&gt;Forudsætninger!$C$31,IF(K353&gt;Forudsætninger!$C$32,IF(K353&gt;Forudsætninger!$C$33,Forudsætninger!$E$33,Forudsætninger!$E$32+Forudsætninger!$F$33*(K353-Forudsætninger!$C$32)),Forudsætninger!$E$31+Forudsætninger!$F$32*(K353-Forudsætninger!$C$31)),Forudsætninger!$E$31)+IF(K353&gt;Forudsætninger!$C$33,Forudsætninger!$G$33,IF(K353&gt;Forudsætninger!$C$32,Forudsætninger!$G$32+Forudsætninger!$H$33*(K353-Forudsætninger!$C$32),IF(K353&gt;Forudsætninger!$C$31,Forudsætninger!$G$31+Forudsætninger!$H$32*(K353-Forudsætninger!$C$31),Forudsætninger!$G$31)))*(V353-Forudsætninger!$H$31)</f>
        <v>#N/A</v>
      </c>
      <c r="AD353" s="19" t="e">
        <f t="shared" si="137"/>
        <v>#N/A</v>
      </c>
      <c r="AE353" s="19" t="e">
        <f t="shared" si="138"/>
        <v>#N/A</v>
      </c>
      <c r="AF353" t="e">
        <f>IF(G353&lt;=Forudsætninger!$C$97,Forudsætninger!$C$98,(IF(G353&lt;=Forudsætninger!$D$97,Forudsætninger!$D$98,IF(G353&lt;=Forudsætninger!$E$97,Forudsætninger!$E$98,IF(G353&lt;=Forudsætninger!$F$97,Forudsætninger!$F$98,IF(G353&lt;=Forudsætninger!$G$97,Forudsætninger!$G$98,IF(G353&lt;=Forudsætninger!$H$97,Forudsætninger!$H$98,IF(G353&lt;=Forudsætninger!$I$97,Forudsætninger!$I$98,Forudsætninger!$I$98))))))))</f>
        <v>#N/A</v>
      </c>
      <c r="AG353" s="1" t="e">
        <f t="shared" si="148"/>
        <v>#N/A</v>
      </c>
      <c r="AH353" s="1" t="e">
        <f t="shared" si="152"/>
        <v>#N/A</v>
      </c>
      <c r="AI353" s="1" t="e">
        <f t="shared" si="139"/>
        <v>#N/A</v>
      </c>
      <c r="AJ353" s="20" t="e">
        <f>+(W353*Forudsætninger!$C$12)</f>
        <v>#N/A</v>
      </c>
      <c r="AK353" s="20">
        <f>Forudsætninger!$C$17</f>
        <v>250</v>
      </c>
      <c r="AL353" s="20">
        <f>IF(A353&lt;92,Forudsætninger!$C$20,Forudsætninger!$C$21)</f>
        <v>1.0566762728146013</v>
      </c>
      <c r="AM353" s="20">
        <f t="shared" si="149"/>
        <v>639.39885461121378</v>
      </c>
      <c r="AN353" s="20">
        <f>IFERROR(AD353+AJ353-AA353-Z353-AK353-AM353-Forudsætninger!$C$75,-99999999)</f>
        <v>-99999999</v>
      </c>
      <c r="AO353" s="19">
        <f>IFERROR(AN353/(A353+Forudsætninger!$C$74),-99999999)</f>
        <v>-284900.28205128206</v>
      </c>
      <c r="AP353" s="19">
        <f>IFERROR(((365/(A353+Forudsætninger!$C$74))*AN353)/(AI353+Forudsætninger!$C$73),-9999999)</f>
        <v>-9999999</v>
      </c>
      <c r="AQ353" s="18">
        <f t="shared" si="140"/>
        <v>351</v>
      </c>
      <c r="AR353" s="18" t="e">
        <f t="shared" si="150"/>
        <v>#N/A</v>
      </c>
      <c r="AS353" s="52">
        <f t="shared" si="131"/>
        <v>12.8</v>
      </c>
      <c r="AT353" s="50">
        <f t="shared" si="153"/>
        <v>0</v>
      </c>
      <c r="AU353" s="50">
        <f t="shared" si="154"/>
        <v>814.00080586079275</v>
      </c>
      <c r="AV353" s="2">
        <f t="shared" si="155"/>
        <v>0</v>
      </c>
      <c r="AW353" s="61">
        <f t="shared" si="151"/>
        <v>-284898.46040212363</v>
      </c>
      <c r="BA353" s="16"/>
      <c r="BB353" s="2"/>
    </row>
    <row r="354" spans="1:54" x14ac:dyDescent="0.25">
      <c r="A354">
        <v>352</v>
      </c>
      <c r="B354" s="1">
        <f>ROUND((A354+Forudsætninger!$C$60)/30.4,1)</f>
        <v>12.9</v>
      </c>
      <c r="C354" s="1" t="e">
        <f>VLOOKUP((A354+Forudsætninger!$C$60),'Model tilvækst, slagteform, fe'!A:B,2,FALSE)</f>
        <v>#N/A</v>
      </c>
      <c r="D354" s="3" t="e">
        <f t="shared" si="157"/>
        <v>#N/A</v>
      </c>
      <c r="E354" s="1" t="e">
        <f>(1+Forudsætninger!$C$78)*C354</f>
        <v>#N/A</v>
      </c>
      <c r="F354" s="2" t="e">
        <f t="shared" si="142"/>
        <v>#N/A</v>
      </c>
      <c r="G354" s="1" t="e">
        <f t="shared" si="132"/>
        <v>#N/A</v>
      </c>
      <c r="H354" s="3" t="e">
        <f t="shared" si="133"/>
        <v>#N/A</v>
      </c>
      <c r="I354" s="3" t="e">
        <f t="shared" si="134"/>
        <v>#N/A</v>
      </c>
      <c r="J354" s="1" t="e">
        <f>VLOOKUP((A354+Forudsætninger!$C$60),'Model tilvækst, slagteform, fe'!G:K,2,FALSE)*(1+Forudsætninger!$C$79)</f>
        <v>#N/A</v>
      </c>
      <c r="K354" s="17" t="e">
        <f t="shared" si="130"/>
        <v>#N/A</v>
      </c>
      <c r="L354" s="17" t="e">
        <f t="shared" si="143"/>
        <v>#N/A</v>
      </c>
      <c r="M354" s="3" t="e">
        <f>((K354-(('Model tilvækst, slagteform, fe'!$H$9/100)*'Model tilvækst, slagteform, fe'!$B$9))*1000/(A354+Forudsætninger!$C$60))</f>
        <v>#N/A</v>
      </c>
      <c r="N354" s="17" t="e">
        <f t="shared" si="144"/>
        <v>#N/A</v>
      </c>
      <c r="O354" s="19" t="e">
        <f>IF( A354&lt;Forudsætninger!$C$14,(G354/100)*Forudsætninger!$C$13,(Forudsætninger!$C$15/1000)*Forudsætninger!$C$13)</f>
        <v>#N/A</v>
      </c>
      <c r="P354" s="17" t="e" cm="1">
        <f t="array" ref="P354">INDEX('Model tilvækst, slagteform, fe'!$N$9:$N$375,MATCH(MIN(ABS('Model tilvækst, slagteform, fe'!$M$9:$M$375-'Vækstfunktion, hol'!G354)),ABS('Model tilvækst, slagteform, fe'!$M$9:$M$375-'Vækstfunktion, hol'!G354),0))*(1+Forudsætninger!$C$80)</f>
        <v>#N/A</v>
      </c>
      <c r="Q354" s="17" t="e">
        <f t="shared" si="145"/>
        <v>#N/A</v>
      </c>
      <c r="R354" s="17" t="e">
        <f t="shared" si="146"/>
        <v>#N/A</v>
      </c>
      <c r="S354" s="17" t="e">
        <f t="shared" si="135"/>
        <v>#N/A</v>
      </c>
      <c r="T354" s="19" t="e">
        <f>(P354)*IF(N354&lt;Forudsætninger!$B$228,IF(N354&lt;Forudsætninger!$B$227,Forudsætninger!$B$225,Forudsætninger!$C$9),Forudsætninger!$C$11)+O354</f>
        <v>#N/A</v>
      </c>
      <c r="V354" s="2">
        <f>U354+Forudsætninger!$C$69</f>
        <v>-1</v>
      </c>
      <c r="W354" t="e">
        <f t="shared" si="136"/>
        <v>#N/A</v>
      </c>
      <c r="X354">
        <f>IF(A354+Forudsætninger!$C$60&gt;248,IF(A354+Forudsætninger!$C$60&lt;365,IF(K354&gt;180,IF(K354&lt;260,1,0),0),0),0)</f>
        <v>0</v>
      </c>
      <c r="Y354" s="22">
        <f>IF(X354=0,0,IF('Vækstfunktion, hol'!A354&lt;Forudsætninger!$C$66,Forudsætninger!$C$67+(('Vækstfunktion, hol'!A354-Forudsætninger!$C$66)/7)*Forudsætninger!$C$64,Forudsætninger!$C$67))</f>
        <v>0</v>
      </c>
      <c r="Z354" s="19" t="e">
        <f t="shared" si="147"/>
        <v>#N/A</v>
      </c>
      <c r="AA354" s="19">
        <f>Forudsætninger!$C$62+Forudsætninger!$C$16</f>
        <v>1350</v>
      </c>
      <c r="AB354" s="19" t="e">
        <f>IF(K354&gt;Forudsætninger!$C$26,IF(K354&gt;Forudsætninger!$C$27,IF(K354&gt;Forudsætninger!$C$28,Forudsætninger!$E$28,Forudsætninger!$E$27+Forudsætninger!$F$28*(K354-Forudsætninger!$C$27)),Forudsætninger!$E$26+Forudsætninger!$F$27*(K354-Forudsætninger!$C$26)),Forudsætninger!$E$26)+IF(K354&gt;Forudsætninger!$C$28,Forudsætninger!$G$28,IF(K354&gt;Forudsætninger!$C$27,Forudsætninger!$G$27+Forudsætninger!$H$28*(K354-Forudsætninger!$C$27),IF(K354&gt;Forudsætninger!$C$26,Forudsætninger!$G$26+Forudsætninger!$H$27*(K354-Forudsætninger!$C$26),Forudsætninger!$G$26)))*(U354-Forudsætninger!$H$26)</f>
        <v>#N/A</v>
      </c>
      <c r="AC354" s="19" t="e">
        <f>IF(K354&gt;Forudsætninger!$C$31,IF(K354&gt;Forudsætninger!$C$32,IF(K354&gt;Forudsætninger!$C$33,Forudsætninger!$E$33,Forudsætninger!$E$32+Forudsætninger!$F$33*(K354-Forudsætninger!$C$32)),Forudsætninger!$E$31+Forudsætninger!$F$32*(K354-Forudsætninger!$C$31)),Forudsætninger!$E$31)+IF(K354&gt;Forudsætninger!$C$33,Forudsætninger!$G$33,IF(K354&gt;Forudsætninger!$C$32,Forudsætninger!$G$32+Forudsætninger!$H$33*(K354-Forudsætninger!$C$32),IF(K354&gt;Forudsætninger!$C$31,Forudsætninger!$G$31+Forudsætninger!$H$32*(K354-Forudsætninger!$C$31),Forudsætninger!$G$31)))*(V354-Forudsætninger!$H$31)</f>
        <v>#N/A</v>
      </c>
      <c r="AD354" s="19" t="e">
        <f t="shared" si="137"/>
        <v>#N/A</v>
      </c>
      <c r="AE354" s="19" t="e">
        <f t="shared" si="138"/>
        <v>#N/A</v>
      </c>
      <c r="AF354" t="e">
        <f>IF(G354&lt;=Forudsætninger!$C$97,Forudsætninger!$C$98,(IF(G354&lt;=Forudsætninger!$D$97,Forudsætninger!$D$98,IF(G354&lt;=Forudsætninger!$E$97,Forudsætninger!$E$98,IF(G354&lt;=Forudsætninger!$F$97,Forudsætninger!$F$98,IF(G354&lt;=Forudsætninger!$G$97,Forudsætninger!$G$98,IF(G354&lt;=Forudsætninger!$H$97,Forudsætninger!$H$98,IF(G354&lt;=Forudsætninger!$I$97,Forudsætninger!$I$98,Forudsætninger!$I$98))))))))</f>
        <v>#N/A</v>
      </c>
      <c r="AG354" s="1" t="e">
        <f t="shared" si="148"/>
        <v>#N/A</v>
      </c>
      <c r="AH354" s="1" t="e">
        <f t="shared" si="152"/>
        <v>#N/A</v>
      </c>
      <c r="AI354" s="1" t="e">
        <f t="shared" si="139"/>
        <v>#N/A</v>
      </c>
      <c r="AJ354" s="20" t="e">
        <f>+(W354*Forudsætninger!$C$12)</f>
        <v>#N/A</v>
      </c>
      <c r="AK354" s="20">
        <f>Forudsætninger!$C$17</f>
        <v>250</v>
      </c>
      <c r="AL354" s="20">
        <f>IF(A354&lt;92,Forudsætninger!$C$20,Forudsætninger!$C$21)</f>
        <v>1.0566762728146013</v>
      </c>
      <c r="AM354" s="20">
        <f t="shared" si="149"/>
        <v>640.45553088402835</v>
      </c>
      <c r="AN354" s="20">
        <f>IFERROR(AD354+AJ354-AA354-Z354-AK354-AM354-Forudsætninger!$C$75,-99999999)</f>
        <v>-99999999</v>
      </c>
      <c r="AO354" s="19">
        <f>IFERROR(AN354/(A354+Forudsætninger!$C$74),-99999999)</f>
        <v>-284090.90625</v>
      </c>
      <c r="AP354" s="19">
        <f>IFERROR(((365/(A354+Forudsætninger!$C$74))*AN354)/(AI354+Forudsætninger!$C$73),-9999999)</f>
        <v>-9999999</v>
      </c>
      <c r="AQ354" s="18">
        <f t="shared" si="140"/>
        <v>352</v>
      </c>
      <c r="AR354" s="18" t="e">
        <f t="shared" si="150"/>
        <v>#N/A</v>
      </c>
      <c r="AS354" s="52">
        <f t="shared" si="131"/>
        <v>12.9</v>
      </c>
      <c r="AT354" s="50">
        <f t="shared" si="153"/>
        <v>0</v>
      </c>
      <c r="AU354" s="50">
        <f t="shared" si="154"/>
        <v>809.37580128206173</v>
      </c>
      <c r="AV354" s="2">
        <f t="shared" si="155"/>
        <v>0</v>
      </c>
      <c r="AW354" s="61">
        <f t="shared" si="151"/>
        <v>-284089.08677405998</v>
      </c>
      <c r="BA354" s="16"/>
      <c r="BB354" s="2"/>
    </row>
    <row r="355" spans="1:54" x14ac:dyDescent="0.25">
      <c r="A355">
        <v>353</v>
      </c>
      <c r="B355" s="1">
        <f>ROUND((A355+Forudsætninger!$C$60)/30.4,1)</f>
        <v>12.9</v>
      </c>
      <c r="C355" s="1" t="e">
        <f>VLOOKUP((A355+Forudsætninger!$C$60),'Model tilvækst, slagteform, fe'!A:B,2,FALSE)</f>
        <v>#N/A</v>
      </c>
      <c r="D355" s="3" t="e">
        <f t="shared" si="157"/>
        <v>#N/A</v>
      </c>
      <c r="E355" s="1" t="e">
        <f>(1+Forudsætninger!$C$78)*C355</f>
        <v>#N/A</v>
      </c>
      <c r="F355" s="2" t="e">
        <f t="shared" si="142"/>
        <v>#N/A</v>
      </c>
      <c r="G355" s="1" t="e">
        <f t="shared" si="132"/>
        <v>#N/A</v>
      </c>
      <c r="H355" s="3" t="e">
        <f t="shared" si="133"/>
        <v>#N/A</v>
      </c>
      <c r="I355" s="3" t="e">
        <f t="shared" si="134"/>
        <v>#N/A</v>
      </c>
      <c r="J355" s="1" t="e">
        <f>VLOOKUP((A355+Forudsætninger!$C$60),'Model tilvækst, slagteform, fe'!G:K,2,FALSE)*(1+Forudsætninger!$C$79)</f>
        <v>#N/A</v>
      </c>
      <c r="K355" s="17" t="e">
        <f t="shared" si="130"/>
        <v>#N/A</v>
      </c>
      <c r="L355" s="17" t="e">
        <f t="shared" si="143"/>
        <v>#N/A</v>
      </c>
      <c r="M355" s="3" t="e">
        <f>((K355-(('Model tilvækst, slagteform, fe'!$H$9/100)*'Model tilvækst, slagteform, fe'!$B$9))*1000/(A355+Forudsætninger!$C$60))</f>
        <v>#N/A</v>
      </c>
      <c r="N355" s="17" t="e">
        <f t="shared" si="144"/>
        <v>#N/A</v>
      </c>
      <c r="O355" s="19" t="e">
        <f>IF( A355&lt;Forudsætninger!$C$14,(G355/100)*Forudsætninger!$C$13,(Forudsætninger!$C$15/1000)*Forudsætninger!$C$13)</f>
        <v>#N/A</v>
      </c>
      <c r="P355" s="17" t="e" cm="1">
        <f t="array" ref="P355">INDEX('Model tilvækst, slagteform, fe'!$N$9:$N$375,MATCH(MIN(ABS('Model tilvækst, slagteform, fe'!$M$9:$M$375-'Vækstfunktion, hol'!G355)),ABS('Model tilvækst, slagteform, fe'!$M$9:$M$375-'Vækstfunktion, hol'!G355),0))*(1+Forudsætninger!$C$80)</f>
        <v>#N/A</v>
      </c>
      <c r="Q355" s="17" t="e">
        <f t="shared" si="145"/>
        <v>#N/A</v>
      </c>
      <c r="R355" s="17" t="e">
        <f t="shared" si="146"/>
        <v>#N/A</v>
      </c>
      <c r="S355" s="17" t="e">
        <f t="shared" si="135"/>
        <v>#N/A</v>
      </c>
      <c r="T355" s="19" t="e">
        <f>(P355)*IF(N355&lt;Forudsætninger!$B$228,IF(N355&lt;Forudsætninger!$B$227,Forudsætninger!$B$225,Forudsætninger!$C$9),Forudsætninger!$C$11)+O355</f>
        <v>#N/A</v>
      </c>
      <c r="V355" s="2">
        <f>U355+Forudsætninger!$C$69</f>
        <v>-1</v>
      </c>
      <c r="W355" t="e">
        <f t="shared" si="136"/>
        <v>#N/A</v>
      </c>
      <c r="X355">
        <f>IF(A355+Forudsætninger!$C$60&gt;248,IF(A355+Forudsætninger!$C$60&lt;365,IF(K355&gt;180,IF(K355&lt;260,1,0),0),0),0)</f>
        <v>0</v>
      </c>
      <c r="Y355" s="22">
        <f>IF(X355=0,0,IF('Vækstfunktion, hol'!A355&lt;Forudsætninger!$C$66,Forudsætninger!$C$67+(('Vækstfunktion, hol'!A355-Forudsætninger!$C$66)/7)*Forudsætninger!$C$64,Forudsætninger!$C$67))</f>
        <v>0</v>
      </c>
      <c r="Z355" s="19" t="e">
        <f t="shared" si="147"/>
        <v>#N/A</v>
      </c>
      <c r="AA355" s="19">
        <f>Forudsætninger!$C$62+Forudsætninger!$C$16</f>
        <v>1350</v>
      </c>
      <c r="AB355" s="19" t="e">
        <f>IF(K355&gt;Forudsætninger!$C$26,IF(K355&gt;Forudsætninger!$C$27,IF(K355&gt;Forudsætninger!$C$28,Forudsætninger!$E$28,Forudsætninger!$E$27+Forudsætninger!$F$28*(K355-Forudsætninger!$C$27)),Forudsætninger!$E$26+Forudsætninger!$F$27*(K355-Forudsætninger!$C$26)),Forudsætninger!$E$26)+IF(K355&gt;Forudsætninger!$C$28,Forudsætninger!$G$28,IF(K355&gt;Forudsætninger!$C$27,Forudsætninger!$G$27+Forudsætninger!$H$28*(K355-Forudsætninger!$C$27),IF(K355&gt;Forudsætninger!$C$26,Forudsætninger!$G$26+Forudsætninger!$H$27*(K355-Forudsætninger!$C$26),Forudsætninger!$G$26)))*(U355-Forudsætninger!$H$26)</f>
        <v>#N/A</v>
      </c>
      <c r="AC355" s="19" t="e">
        <f>IF(K355&gt;Forudsætninger!$C$31,IF(K355&gt;Forudsætninger!$C$32,IF(K355&gt;Forudsætninger!$C$33,Forudsætninger!$E$33,Forudsætninger!$E$32+Forudsætninger!$F$33*(K355-Forudsætninger!$C$32)),Forudsætninger!$E$31+Forudsætninger!$F$32*(K355-Forudsætninger!$C$31)),Forudsætninger!$E$31)+IF(K355&gt;Forudsætninger!$C$33,Forudsætninger!$G$33,IF(K355&gt;Forudsætninger!$C$32,Forudsætninger!$G$32+Forudsætninger!$H$33*(K355-Forudsætninger!$C$32),IF(K355&gt;Forudsætninger!$C$31,Forudsætninger!$G$31+Forudsætninger!$H$32*(K355-Forudsætninger!$C$31),Forudsætninger!$G$31)))*(V355-Forudsætninger!$H$31)</f>
        <v>#N/A</v>
      </c>
      <c r="AD355" s="19" t="e">
        <f t="shared" si="137"/>
        <v>#N/A</v>
      </c>
      <c r="AE355" s="19" t="e">
        <f t="shared" si="138"/>
        <v>#N/A</v>
      </c>
      <c r="AF355" t="e">
        <f>IF(G355&lt;=Forudsætninger!$C$97,Forudsætninger!$C$98,(IF(G355&lt;=Forudsætninger!$D$97,Forudsætninger!$D$98,IF(G355&lt;=Forudsætninger!$E$97,Forudsætninger!$E$98,IF(G355&lt;=Forudsætninger!$F$97,Forudsætninger!$F$98,IF(G355&lt;=Forudsætninger!$G$97,Forudsætninger!$G$98,IF(G355&lt;=Forudsætninger!$H$97,Forudsætninger!$H$98,IF(G355&lt;=Forudsætninger!$I$97,Forudsætninger!$I$98,Forudsætninger!$I$98))))))))</f>
        <v>#N/A</v>
      </c>
      <c r="AG355" s="1" t="e">
        <f t="shared" si="148"/>
        <v>#N/A</v>
      </c>
      <c r="AH355" s="1" t="e">
        <f t="shared" si="152"/>
        <v>#N/A</v>
      </c>
      <c r="AI355" s="1" t="e">
        <f t="shared" si="139"/>
        <v>#N/A</v>
      </c>
      <c r="AJ355" s="20" t="e">
        <f>+(W355*Forudsætninger!$C$12)</f>
        <v>#N/A</v>
      </c>
      <c r="AK355" s="20">
        <f>Forudsætninger!$C$17</f>
        <v>250</v>
      </c>
      <c r="AL355" s="20">
        <f>IF(A355&lt;92,Forudsætninger!$C$20,Forudsætninger!$C$21)</f>
        <v>1.0566762728146013</v>
      </c>
      <c r="AM355" s="20">
        <f t="shared" si="149"/>
        <v>641.51220715684292</v>
      </c>
      <c r="AN355" s="20">
        <f>IFERROR(AD355+AJ355-AA355-Z355-AK355-AM355-Forudsætninger!$C$75,-99999999)</f>
        <v>-99999999</v>
      </c>
      <c r="AO355" s="19">
        <f>IFERROR(AN355/(A355+Forudsætninger!$C$74),-99999999)</f>
        <v>-283286.11614730879</v>
      </c>
      <c r="AP355" s="19">
        <f>IFERROR(((365/(A355+Forudsætninger!$C$74))*AN355)/(AI355+Forudsætninger!$C$73),-9999999)</f>
        <v>-9999999</v>
      </c>
      <c r="AQ355" s="18">
        <f t="shared" si="140"/>
        <v>353</v>
      </c>
      <c r="AR355" s="18" t="e">
        <f t="shared" si="150"/>
        <v>#N/A</v>
      </c>
      <c r="AS355" s="52">
        <f t="shared" si="131"/>
        <v>12.9</v>
      </c>
      <c r="AT355" s="50">
        <f t="shared" si="153"/>
        <v>0</v>
      </c>
      <c r="AU355" s="50">
        <f t="shared" si="154"/>
        <v>804.790102691215</v>
      </c>
      <c r="AV355" s="2">
        <f t="shared" si="155"/>
        <v>0</v>
      </c>
      <c r="AW355" s="61">
        <f t="shared" si="151"/>
        <v>-283284.29883227433</v>
      </c>
      <c r="BA355" s="16"/>
      <c r="BB355" s="2"/>
    </row>
    <row r="356" spans="1:54" x14ac:dyDescent="0.25">
      <c r="A356">
        <v>354</v>
      </c>
      <c r="B356" s="1">
        <f>ROUND((A356+Forudsætninger!$C$60)/30.4,1)</f>
        <v>12.9</v>
      </c>
      <c r="C356" s="1" t="e">
        <f>VLOOKUP((A356+Forudsætninger!$C$60),'Model tilvækst, slagteform, fe'!A:B,2,FALSE)</f>
        <v>#N/A</v>
      </c>
      <c r="D356" s="3" t="e">
        <f t="shared" si="157"/>
        <v>#N/A</v>
      </c>
      <c r="E356" s="1" t="e">
        <f>(1+Forudsætninger!$C$78)*C356</f>
        <v>#N/A</v>
      </c>
      <c r="F356" s="2" t="e">
        <f t="shared" si="142"/>
        <v>#N/A</v>
      </c>
      <c r="G356" s="1" t="e">
        <f t="shared" si="132"/>
        <v>#N/A</v>
      </c>
      <c r="H356" s="3" t="e">
        <f t="shared" si="133"/>
        <v>#N/A</v>
      </c>
      <c r="I356" s="3" t="e">
        <f t="shared" si="134"/>
        <v>#N/A</v>
      </c>
      <c r="J356" s="1" t="e">
        <f>VLOOKUP((A356+Forudsætninger!$C$60),'Model tilvækst, slagteform, fe'!G:K,2,FALSE)*(1+Forudsætninger!$C$79)</f>
        <v>#N/A</v>
      </c>
      <c r="K356" s="17" t="e">
        <f t="shared" si="130"/>
        <v>#N/A</v>
      </c>
      <c r="L356" s="17" t="e">
        <f t="shared" si="143"/>
        <v>#N/A</v>
      </c>
      <c r="M356" s="3" t="e">
        <f>((K356-(('Model tilvækst, slagteform, fe'!$H$9/100)*'Model tilvækst, slagteform, fe'!$B$9))*1000/(A356+Forudsætninger!$C$60))</f>
        <v>#N/A</v>
      </c>
      <c r="N356" s="17" t="e">
        <f t="shared" si="144"/>
        <v>#N/A</v>
      </c>
      <c r="O356" s="19" t="e">
        <f>IF( A356&lt;Forudsætninger!$C$14,(G356/100)*Forudsætninger!$C$13,(Forudsætninger!$C$15/1000)*Forudsætninger!$C$13)</f>
        <v>#N/A</v>
      </c>
      <c r="P356" s="17" t="e" cm="1">
        <f t="array" ref="P356">INDEX('Model tilvækst, slagteform, fe'!$N$9:$N$375,MATCH(MIN(ABS('Model tilvækst, slagteform, fe'!$M$9:$M$375-'Vækstfunktion, hol'!G356)),ABS('Model tilvækst, slagteform, fe'!$M$9:$M$375-'Vækstfunktion, hol'!G356),0))*(1+Forudsætninger!$C$80)</f>
        <v>#N/A</v>
      </c>
      <c r="Q356" s="17" t="e">
        <f t="shared" si="145"/>
        <v>#N/A</v>
      </c>
      <c r="R356" s="17" t="e">
        <f t="shared" si="146"/>
        <v>#N/A</v>
      </c>
      <c r="S356" s="17" t="e">
        <f t="shared" si="135"/>
        <v>#N/A</v>
      </c>
      <c r="T356" s="19" t="e">
        <f>(P356)*IF(N356&lt;Forudsætninger!$B$228,IF(N356&lt;Forudsætninger!$B$227,Forudsætninger!$B$225,Forudsætninger!$C$9),Forudsætninger!$C$11)+O356</f>
        <v>#N/A</v>
      </c>
      <c r="V356" s="2">
        <f>U356+Forudsætninger!$C$69</f>
        <v>-1</v>
      </c>
      <c r="W356" t="e">
        <f t="shared" si="136"/>
        <v>#N/A</v>
      </c>
      <c r="X356">
        <f>IF(A356+Forudsætninger!$C$60&gt;248,IF(A356+Forudsætninger!$C$60&lt;365,IF(K356&gt;180,IF(K356&lt;260,1,0),0),0),0)</f>
        <v>0</v>
      </c>
      <c r="Y356" s="22">
        <f>IF(X356=0,0,IF('Vækstfunktion, hol'!A356&lt;Forudsætninger!$C$66,Forudsætninger!$C$67+(('Vækstfunktion, hol'!A356-Forudsætninger!$C$66)/7)*Forudsætninger!$C$64,Forudsætninger!$C$67))</f>
        <v>0</v>
      </c>
      <c r="Z356" s="19" t="e">
        <f t="shared" si="147"/>
        <v>#N/A</v>
      </c>
      <c r="AA356" s="19">
        <f>Forudsætninger!$C$62+Forudsætninger!$C$16</f>
        <v>1350</v>
      </c>
      <c r="AB356" s="19" t="e">
        <f>IF(K356&gt;Forudsætninger!$C$26,IF(K356&gt;Forudsætninger!$C$27,IF(K356&gt;Forudsætninger!$C$28,Forudsætninger!$E$28,Forudsætninger!$E$27+Forudsætninger!$F$28*(K356-Forudsætninger!$C$27)),Forudsætninger!$E$26+Forudsætninger!$F$27*(K356-Forudsætninger!$C$26)),Forudsætninger!$E$26)+IF(K356&gt;Forudsætninger!$C$28,Forudsætninger!$G$28,IF(K356&gt;Forudsætninger!$C$27,Forudsætninger!$G$27+Forudsætninger!$H$28*(K356-Forudsætninger!$C$27),IF(K356&gt;Forudsætninger!$C$26,Forudsætninger!$G$26+Forudsætninger!$H$27*(K356-Forudsætninger!$C$26),Forudsætninger!$G$26)))*(U356-Forudsætninger!$H$26)</f>
        <v>#N/A</v>
      </c>
      <c r="AC356" s="19" t="e">
        <f>IF(K356&gt;Forudsætninger!$C$31,IF(K356&gt;Forudsætninger!$C$32,IF(K356&gt;Forudsætninger!$C$33,Forudsætninger!$E$33,Forudsætninger!$E$32+Forudsætninger!$F$33*(K356-Forudsætninger!$C$32)),Forudsætninger!$E$31+Forudsætninger!$F$32*(K356-Forudsætninger!$C$31)),Forudsætninger!$E$31)+IF(K356&gt;Forudsætninger!$C$33,Forudsætninger!$G$33,IF(K356&gt;Forudsætninger!$C$32,Forudsætninger!$G$32+Forudsætninger!$H$33*(K356-Forudsætninger!$C$32),IF(K356&gt;Forudsætninger!$C$31,Forudsætninger!$G$31+Forudsætninger!$H$32*(K356-Forudsætninger!$C$31),Forudsætninger!$G$31)))*(V356-Forudsætninger!$H$31)</f>
        <v>#N/A</v>
      </c>
      <c r="AD356" s="19" t="e">
        <f t="shared" si="137"/>
        <v>#N/A</v>
      </c>
      <c r="AE356" s="19" t="e">
        <f t="shared" si="138"/>
        <v>#N/A</v>
      </c>
      <c r="AF356" t="e">
        <f>IF(G356&lt;=Forudsætninger!$C$97,Forudsætninger!$C$98,(IF(G356&lt;=Forudsætninger!$D$97,Forudsætninger!$D$98,IF(G356&lt;=Forudsætninger!$E$97,Forudsætninger!$E$98,IF(G356&lt;=Forudsætninger!$F$97,Forudsætninger!$F$98,IF(G356&lt;=Forudsætninger!$G$97,Forudsætninger!$G$98,IF(G356&lt;=Forudsætninger!$H$97,Forudsætninger!$H$98,IF(G356&lt;=Forudsætninger!$I$97,Forudsætninger!$I$98,Forudsætninger!$I$98))))))))</f>
        <v>#N/A</v>
      </c>
      <c r="AG356" s="1" t="e">
        <f t="shared" si="148"/>
        <v>#N/A</v>
      </c>
      <c r="AH356" s="1" t="e">
        <f t="shared" si="152"/>
        <v>#N/A</v>
      </c>
      <c r="AI356" s="1" t="e">
        <f t="shared" si="139"/>
        <v>#N/A</v>
      </c>
      <c r="AJ356" s="20" t="e">
        <f>+(W356*Forudsætninger!$C$12)</f>
        <v>#N/A</v>
      </c>
      <c r="AK356" s="20">
        <f>Forudsætninger!$C$17</f>
        <v>250</v>
      </c>
      <c r="AL356" s="20">
        <f>IF(A356&lt;92,Forudsætninger!$C$20,Forudsætninger!$C$21)</f>
        <v>1.0566762728146013</v>
      </c>
      <c r="AM356" s="20">
        <f t="shared" si="149"/>
        <v>642.56888342965749</v>
      </c>
      <c r="AN356" s="20">
        <f>IFERROR(AD356+AJ356-AA356-Z356-AK356-AM356-Forudsætninger!$C$75,-99999999)</f>
        <v>-99999999</v>
      </c>
      <c r="AO356" s="19">
        <f>IFERROR(AN356/(A356+Forudsætninger!$C$74),-99999999)</f>
        <v>-282485.87288135593</v>
      </c>
      <c r="AP356" s="19">
        <f>IFERROR(((365/(A356+Forudsætninger!$C$74))*AN356)/(AI356+Forudsætninger!$C$73),-9999999)</f>
        <v>-9999999</v>
      </c>
      <c r="AQ356" s="18">
        <f t="shared" si="140"/>
        <v>354</v>
      </c>
      <c r="AR356" s="18" t="e">
        <f t="shared" si="150"/>
        <v>#N/A</v>
      </c>
      <c r="AS356" s="52">
        <f t="shared" si="131"/>
        <v>12.9</v>
      </c>
      <c r="AT356" s="50">
        <f t="shared" si="153"/>
        <v>0</v>
      </c>
      <c r="AU356" s="50">
        <f t="shared" si="154"/>
        <v>800.24326595285675</v>
      </c>
      <c r="AV356" s="2">
        <f t="shared" si="155"/>
        <v>0</v>
      </c>
      <c r="AW356" s="61">
        <f t="shared" si="151"/>
        <v>-282484.05771501857</v>
      </c>
      <c r="BA356" s="16"/>
      <c r="BB356" s="2"/>
    </row>
    <row r="357" spans="1:54" x14ac:dyDescent="0.25">
      <c r="A357">
        <v>355</v>
      </c>
      <c r="B357" s="1">
        <f>ROUND((A357+Forudsætninger!$C$60)/30.4,1)</f>
        <v>13</v>
      </c>
      <c r="C357" s="1" t="e">
        <f>VLOOKUP((A357+Forudsætninger!$C$60),'Model tilvækst, slagteform, fe'!A:B,2,FALSE)</f>
        <v>#N/A</v>
      </c>
      <c r="D357" s="3" t="e">
        <f t="shared" si="157"/>
        <v>#N/A</v>
      </c>
      <c r="E357" s="1" t="e">
        <f>(1+Forudsætninger!$C$78)*C357</f>
        <v>#N/A</v>
      </c>
      <c r="F357" s="2" t="e">
        <f t="shared" si="142"/>
        <v>#N/A</v>
      </c>
      <c r="G357" s="1" t="e">
        <f t="shared" si="132"/>
        <v>#N/A</v>
      </c>
      <c r="H357" s="3" t="e">
        <f t="shared" si="133"/>
        <v>#N/A</v>
      </c>
      <c r="I357" s="3" t="e">
        <f t="shared" si="134"/>
        <v>#N/A</v>
      </c>
      <c r="J357" s="1" t="e">
        <f>VLOOKUP((A357+Forudsætninger!$C$60),'Model tilvækst, slagteform, fe'!G:K,2,FALSE)*(1+Forudsætninger!$C$79)</f>
        <v>#N/A</v>
      </c>
      <c r="K357" s="17" t="e">
        <f t="shared" si="130"/>
        <v>#N/A</v>
      </c>
      <c r="L357" s="17" t="e">
        <f t="shared" si="143"/>
        <v>#N/A</v>
      </c>
      <c r="M357" s="3" t="e">
        <f>((K357-(('Model tilvækst, slagteform, fe'!$H$9/100)*'Model tilvækst, slagteform, fe'!$B$9))*1000/(A357+Forudsætninger!$C$60))</f>
        <v>#N/A</v>
      </c>
      <c r="N357" s="17" t="e">
        <f t="shared" si="144"/>
        <v>#N/A</v>
      </c>
      <c r="O357" s="19" t="e">
        <f>IF( A357&lt;Forudsætninger!$C$14,(G357/100)*Forudsætninger!$C$13,(Forudsætninger!$C$15/1000)*Forudsætninger!$C$13)</f>
        <v>#N/A</v>
      </c>
      <c r="P357" s="17" t="e" cm="1">
        <f t="array" ref="P357">INDEX('Model tilvækst, slagteform, fe'!$N$9:$N$375,MATCH(MIN(ABS('Model tilvækst, slagteform, fe'!$M$9:$M$375-'Vækstfunktion, hol'!G357)),ABS('Model tilvækst, slagteform, fe'!$M$9:$M$375-'Vækstfunktion, hol'!G357),0))*(1+Forudsætninger!$C$80)</f>
        <v>#N/A</v>
      </c>
      <c r="Q357" s="17" t="e">
        <f t="shared" si="145"/>
        <v>#N/A</v>
      </c>
      <c r="R357" s="17" t="e">
        <f t="shared" si="146"/>
        <v>#N/A</v>
      </c>
      <c r="S357" s="17" t="e">
        <f t="shared" si="135"/>
        <v>#N/A</v>
      </c>
      <c r="T357" s="19" t="e">
        <f>(P357)*IF(N357&lt;Forudsætninger!$B$228,IF(N357&lt;Forudsætninger!$B$227,Forudsætninger!$B$225,Forudsætninger!$C$9),Forudsætninger!$C$11)+O357</f>
        <v>#N/A</v>
      </c>
      <c r="V357" s="2">
        <f>U357+Forudsætninger!$C$69</f>
        <v>-1</v>
      </c>
      <c r="W357" t="e">
        <f t="shared" si="136"/>
        <v>#N/A</v>
      </c>
      <c r="X357">
        <f>IF(A357+Forudsætninger!$C$60&gt;248,IF(A357+Forudsætninger!$C$60&lt;365,IF(K357&gt;180,IF(K357&lt;260,1,0),0),0),0)</f>
        <v>0</v>
      </c>
      <c r="Y357" s="22">
        <f>IF(X357=0,0,IF('Vækstfunktion, hol'!A357&lt;Forudsætninger!$C$66,Forudsætninger!$C$67+(('Vækstfunktion, hol'!A357-Forudsætninger!$C$66)/7)*Forudsætninger!$C$64,Forudsætninger!$C$67))</f>
        <v>0</v>
      </c>
      <c r="Z357" s="19" t="e">
        <f t="shared" si="147"/>
        <v>#N/A</v>
      </c>
      <c r="AA357" s="19">
        <f>Forudsætninger!$C$62+Forudsætninger!$C$16</f>
        <v>1350</v>
      </c>
      <c r="AB357" s="19" t="e">
        <f>IF(K357&gt;Forudsætninger!$C$26,IF(K357&gt;Forudsætninger!$C$27,IF(K357&gt;Forudsætninger!$C$28,Forudsætninger!$E$28,Forudsætninger!$E$27+Forudsætninger!$F$28*(K357-Forudsætninger!$C$27)),Forudsætninger!$E$26+Forudsætninger!$F$27*(K357-Forudsætninger!$C$26)),Forudsætninger!$E$26)+IF(K357&gt;Forudsætninger!$C$28,Forudsætninger!$G$28,IF(K357&gt;Forudsætninger!$C$27,Forudsætninger!$G$27+Forudsætninger!$H$28*(K357-Forudsætninger!$C$27),IF(K357&gt;Forudsætninger!$C$26,Forudsætninger!$G$26+Forudsætninger!$H$27*(K357-Forudsætninger!$C$26),Forudsætninger!$G$26)))*(U357-Forudsætninger!$H$26)</f>
        <v>#N/A</v>
      </c>
      <c r="AC357" s="19" t="e">
        <f>IF(K357&gt;Forudsætninger!$C$31,IF(K357&gt;Forudsætninger!$C$32,IF(K357&gt;Forudsætninger!$C$33,Forudsætninger!$E$33,Forudsætninger!$E$32+Forudsætninger!$F$33*(K357-Forudsætninger!$C$32)),Forudsætninger!$E$31+Forudsætninger!$F$32*(K357-Forudsætninger!$C$31)),Forudsætninger!$E$31)+IF(K357&gt;Forudsætninger!$C$33,Forudsætninger!$G$33,IF(K357&gt;Forudsætninger!$C$32,Forudsætninger!$G$32+Forudsætninger!$H$33*(K357-Forudsætninger!$C$32),IF(K357&gt;Forudsætninger!$C$31,Forudsætninger!$G$31+Forudsætninger!$H$32*(K357-Forudsætninger!$C$31),Forudsætninger!$G$31)))*(V357-Forudsætninger!$H$31)</f>
        <v>#N/A</v>
      </c>
      <c r="AD357" s="19" t="e">
        <f t="shared" si="137"/>
        <v>#N/A</v>
      </c>
      <c r="AE357" s="19" t="e">
        <f t="shared" si="138"/>
        <v>#N/A</v>
      </c>
      <c r="AF357" t="e">
        <f>IF(G357&lt;=Forudsætninger!$C$97,Forudsætninger!$C$98,(IF(G357&lt;=Forudsætninger!$D$97,Forudsætninger!$D$98,IF(G357&lt;=Forudsætninger!$E$97,Forudsætninger!$E$98,IF(G357&lt;=Forudsætninger!$F$97,Forudsætninger!$F$98,IF(G357&lt;=Forudsætninger!$G$97,Forudsætninger!$G$98,IF(G357&lt;=Forudsætninger!$H$97,Forudsætninger!$H$98,IF(G357&lt;=Forudsætninger!$I$97,Forudsætninger!$I$98,Forudsætninger!$I$98))))))))</f>
        <v>#N/A</v>
      </c>
      <c r="AG357" s="1" t="e">
        <f t="shared" si="148"/>
        <v>#N/A</v>
      </c>
      <c r="AH357" s="1" t="e">
        <f t="shared" si="152"/>
        <v>#N/A</v>
      </c>
      <c r="AI357" s="1" t="e">
        <f t="shared" si="139"/>
        <v>#N/A</v>
      </c>
      <c r="AJ357" s="20" t="e">
        <f>+(W357*Forudsætninger!$C$12)</f>
        <v>#N/A</v>
      </c>
      <c r="AK357" s="20">
        <f>Forudsætninger!$C$17</f>
        <v>250</v>
      </c>
      <c r="AL357" s="20">
        <f>IF(A357&lt;92,Forudsætninger!$C$20,Forudsætninger!$C$21)</f>
        <v>1.0566762728146013</v>
      </c>
      <c r="AM357" s="20">
        <f t="shared" si="149"/>
        <v>643.62555970247206</v>
      </c>
      <c r="AN357" s="20">
        <f>IFERROR(AD357+AJ357-AA357-Z357-AK357-AM357-Forudsætninger!$C$75,-99999999)</f>
        <v>-99999999</v>
      </c>
      <c r="AO357" s="19">
        <f>IFERROR(AN357/(A357+Forudsætninger!$C$74),-99999999)</f>
        <v>-281690.13802816899</v>
      </c>
      <c r="AP357" s="19">
        <f>IFERROR(((365/(A357+Forudsætninger!$C$74))*AN357)/(AI357+Forudsætninger!$C$73),-9999999)</f>
        <v>-9999999</v>
      </c>
      <c r="AQ357" s="18">
        <f t="shared" si="140"/>
        <v>355</v>
      </c>
      <c r="AR357" s="18" t="e">
        <f t="shared" si="150"/>
        <v>#N/A</v>
      </c>
      <c r="AS357" s="52">
        <f t="shared" si="131"/>
        <v>13</v>
      </c>
      <c r="AT357" s="50">
        <f t="shared" si="153"/>
        <v>0</v>
      </c>
      <c r="AU357" s="50">
        <f t="shared" si="154"/>
        <v>795.73485318693565</v>
      </c>
      <c r="AV357" s="2">
        <f t="shared" si="155"/>
        <v>0</v>
      </c>
      <c r="AW357" s="61">
        <f t="shared" si="151"/>
        <v>-281688.3249984234</v>
      </c>
      <c r="BA357" s="16"/>
      <c r="BB357" s="2"/>
    </row>
    <row r="358" spans="1:54" x14ac:dyDescent="0.25">
      <c r="A358">
        <v>356</v>
      </c>
      <c r="B358" s="1">
        <f>ROUND((A358+Forudsætninger!$C$60)/30.4,1)</f>
        <v>13</v>
      </c>
      <c r="C358" s="1" t="e">
        <f>VLOOKUP((A358+Forudsætninger!$C$60),'Model tilvækst, slagteform, fe'!A:B,2,FALSE)</f>
        <v>#N/A</v>
      </c>
      <c r="D358" s="3" t="e">
        <f t="shared" si="157"/>
        <v>#N/A</v>
      </c>
      <c r="E358" s="1" t="e">
        <f>(1+Forudsætninger!$C$78)*C358</f>
        <v>#N/A</v>
      </c>
      <c r="F358" s="2" t="e">
        <f t="shared" si="142"/>
        <v>#N/A</v>
      </c>
      <c r="G358" s="1" t="e">
        <f t="shared" si="132"/>
        <v>#N/A</v>
      </c>
      <c r="H358" s="3" t="e">
        <f t="shared" si="133"/>
        <v>#N/A</v>
      </c>
      <c r="I358" s="3" t="e">
        <f t="shared" si="134"/>
        <v>#N/A</v>
      </c>
      <c r="J358" s="1" t="e">
        <f>VLOOKUP((A358+Forudsætninger!$C$60),'Model tilvækst, slagteform, fe'!G:K,2,FALSE)*(1+Forudsætninger!$C$79)</f>
        <v>#N/A</v>
      </c>
      <c r="K358" s="17" t="e">
        <f t="shared" si="130"/>
        <v>#N/A</v>
      </c>
      <c r="L358" s="17" t="e">
        <f t="shared" si="143"/>
        <v>#N/A</v>
      </c>
      <c r="M358" s="3" t="e">
        <f>((K358-(('Model tilvækst, slagteform, fe'!$H$9/100)*'Model tilvækst, slagteform, fe'!$B$9))*1000/(A358+Forudsætninger!$C$60))</f>
        <v>#N/A</v>
      </c>
      <c r="N358" s="17" t="e">
        <f t="shared" si="144"/>
        <v>#N/A</v>
      </c>
      <c r="O358" s="19" t="e">
        <f>IF( A358&lt;Forudsætninger!$C$14,(G358/100)*Forudsætninger!$C$13,(Forudsætninger!$C$15/1000)*Forudsætninger!$C$13)</f>
        <v>#N/A</v>
      </c>
      <c r="P358" s="17" t="e" cm="1">
        <f t="array" ref="P358">INDEX('Model tilvækst, slagteform, fe'!$N$9:$N$375,MATCH(MIN(ABS('Model tilvækst, slagteform, fe'!$M$9:$M$375-'Vækstfunktion, hol'!G358)),ABS('Model tilvækst, slagteform, fe'!$M$9:$M$375-'Vækstfunktion, hol'!G358),0))*(1+Forudsætninger!$C$80)</f>
        <v>#N/A</v>
      </c>
      <c r="Q358" s="17" t="e">
        <f t="shared" si="145"/>
        <v>#N/A</v>
      </c>
      <c r="R358" s="17" t="e">
        <f t="shared" si="146"/>
        <v>#N/A</v>
      </c>
      <c r="S358" s="17" t="e">
        <f t="shared" si="135"/>
        <v>#N/A</v>
      </c>
      <c r="T358" s="19" t="e">
        <f>(P358)*IF(N358&lt;Forudsætninger!$B$228,IF(N358&lt;Forudsætninger!$B$227,Forudsætninger!$B$225,Forudsætninger!$C$9),Forudsætninger!$C$11)+O358</f>
        <v>#N/A</v>
      </c>
      <c r="V358" s="2">
        <f>U358+Forudsætninger!$C$69</f>
        <v>-1</v>
      </c>
      <c r="W358" t="e">
        <f t="shared" si="136"/>
        <v>#N/A</v>
      </c>
      <c r="X358">
        <f>IF(A358+Forudsætninger!$C$60&gt;248,IF(A358+Forudsætninger!$C$60&lt;365,IF(K358&gt;180,IF(K358&lt;260,1,0),0),0),0)</f>
        <v>0</v>
      </c>
      <c r="Y358" s="22">
        <f>IF(X358=0,0,IF('Vækstfunktion, hol'!A358&lt;Forudsætninger!$C$66,Forudsætninger!$C$67+(('Vækstfunktion, hol'!A358-Forudsætninger!$C$66)/7)*Forudsætninger!$C$64,Forudsætninger!$C$67))</f>
        <v>0</v>
      </c>
      <c r="Z358" s="19" t="e">
        <f t="shared" si="147"/>
        <v>#N/A</v>
      </c>
      <c r="AA358" s="19">
        <f>Forudsætninger!$C$62+Forudsætninger!$C$16</f>
        <v>1350</v>
      </c>
      <c r="AB358" s="19" t="e">
        <f>IF(K358&gt;Forudsætninger!$C$26,IF(K358&gt;Forudsætninger!$C$27,IF(K358&gt;Forudsætninger!$C$28,Forudsætninger!$E$28,Forudsætninger!$E$27+Forudsætninger!$F$28*(K358-Forudsætninger!$C$27)),Forudsætninger!$E$26+Forudsætninger!$F$27*(K358-Forudsætninger!$C$26)),Forudsætninger!$E$26)+IF(K358&gt;Forudsætninger!$C$28,Forudsætninger!$G$28,IF(K358&gt;Forudsætninger!$C$27,Forudsætninger!$G$27+Forudsætninger!$H$28*(K358-Forudsætninger!$C$27),IF(K358&gt;Forudsætninger!$C$26,Forudsætninger!$G$26+Forudsætninger!$H$27*(K358-Forudsætninger!$C$26),Forudsætninger!$G$26)))*(U358-Forudsætninger!$H$26)</f>
        <v>#N/A</v>
      </c>
      <c r="AC358" s="19" t="e">
        <f>IF(K358&gt;Forudsætninger!$C$31,IF(K358&gt;Forudsætninger!$C$32,IF(K358&gt;Forudsætninger!$C$33,Forudsætninger!$E$33,Forudsætninger!$E$32+Forudsætninger!$F$33*(K358-Forudsætninger!$C$32)),Forudsætninger!$E$31+Forudsætninger!$F$32*(K358-Forudsætninger!$C$31)),Forudsætninger!$E$31)+IF(K358&gt;Forudsætninger!$C$33,Forudsætninger!$G$33,IF(K358&gt;Forudsætninger!$C$32,Forudsætninger!$G$32+Forudsætninger!$H$33*(K358-Forudsætninger!$C$32),IF(K358&gt;Forudsætninger!$C$31,Forudsætninger!$G$31+Forudsætninger!$H$32*(K358-Forudsætninger!$C$31),Forudsætninger!$G$31)))*(V358-Forudsætninger!$H$31)</f>
        <v>#N/A</v>
      </c>
      <c r="AD358" s="19" t="e">
        <f t="shared" si="137"/>
        <v>#N/A</v>
      </c>
      <c r="AE358" s="19" t="e">
        <f t="shared" si="138"/>
        <v>#N/A</v>
      </c>
      <c r="AF358" t="e">
        <f>IF(G358&lt;=Forudsætninger!$C$97,Forudsætninger!$C$98,(IF(G358&lt;=Forudsætninger!$D$97,Forudsætninger!$D$98,IF(G358&lt;=Forudsætninger!$E$97,Forudsætninger!$E$98,IF(G358&lt;=Forudsætninger!$F$97,Forudsætninger!$F$98,IF(G358&lt;=Forudsætninger!$G$97,Forudsætninger!$G$98,IF(G358&lt;=Forudsætninger!$H$97,Forudsætninger!$H$98,IF(G358&lt;=Forudsætninger!$I$97,Forudsætninger!$I$98,Forudsætninger!$I$98))))))))</f>
        <v>#N/A</v>
      </c>
      <c r="AG358" s="1" t="e">
        <f t="shared" si="148"/>
        <v>#N/A</v>
      </c>
      <c r="AH358" s="1" t="e">
        <f t="shared" si="152"/>
        <v>#N/A</v>
      </c>
      <c r="AI358" s="1" t="e">
        <f t="shared" si="139"/>
        <v>#N/A</v>
      </c>
      <c r="AJ358" s="20" t="e">
        <f>+(W358*Forudsætninger!$C$12)</f>
        <v>#N/A</v>
      </c>
      <c r="AK358" s="20">
        <f>Forudsætninger!$C$17</f>
        <v>250</v>
      </c>
      <c r="AL358" s="20">
        <f>IF(A358&lt;92,Forudsætninger!$C$20,Forudsætninger!$C$21)</f>
        <v>1.0566762728146013</v>
      </c>
      <c r="AM358" s="20">
        <f t="shared" si="149"/>
        <v>644.68223597528663</v>
      </c>
      <c r="AN358" s="20">
        <f>IFERROR(AD358+AJ358-AA358-Z358-AK358-AM358-Forudsætninger!$C$75,-99999999)</f>
        <v>-99999999</v>
      </c>
      <c r="AO358" s="19">
        <f>IFERROR(AN358/(A358+Forudsætninger!$C$74),-99999999)</f>
        <v>-280898.8735955056</v>
      </c>
      <c r="AP358" s="19">
        <f>IFERROR(((365/(A358+Forudsætninger!$C$74))*AN358)/(AI358+Forudsætninger!$C$73),-9999999)</f>
        <v>-9999999</v>
      </c>
      <c r="AQ358" s="18">
        <f t="shared" si="140"/>
        <v>356</v>
      </c>
      <c r="AR358" s="18" t="e">
        <f t="shared" si="150"/>
        <v>#N/A</v>
      </c>
      <c r="AS358" s="52">
        <f t="shared" si="131"/>
        <v>13</v>
      </c>
      <c r="AT358" s="50">
        <f t="shared" si="153"/>
        <v>0</v>
      </c>
      <c r="AU358" s="50">
        <f t="shared" si="154"/>
        <v>791.26443266338902</v>
      </c>
      <c r="AV358" s="2">
        <f t="shared" si="155"/>
        <v>0</v>
      </c>
      <c r="AW358" s="61">
        <f t="shared" si="151"/>
        <v>-280897.06269034842</v>
      </c>
      <c r="BA358" s="16"/>
      <c r="BB358" s="2"/>
    </row>
    <row r="359" spans="1:54" x14ac:dyDescent="0.25">
      <c r="A359">
        <v>357</v>
      </c>
      <c r="B359" s="1">
        <f>ROUND((A359+Forudsætninger!$C$60)/30.4,1)</f>
        <v>13</v>
      </c>
      <c r="C359" s="1" t="e">
        <f>VLOOKUP((A359+Forudsætninger!$C$60),'Model tilvækst, slagteform, fe'!A:B,2,FALSE)</f>
        <v>#N/A</v>
      </c>
      <c r="D359" s="3" t="e">
        <f t="shared" si="157"/>
        <v>#N/A</v>
      </c>
      <c r="E359" s="1" t="e">
        <f>(1+Forudsætninger!$C$78)*C359</f>
        <v>#N/A</v>
      </c>
      <c r="F359" s="2" t="e">
        <f t="shared" si="142"/>
        <v>#N/A</v>
      </c>
      <c r="G359" s="1" t="e">
        <f t="shared" si="132"/>
        <v>#N/A</v>
      </c>
      <c r="H359" s="3" t="e">
        <f t="shared" si="133"/>
        <v>#N/A</v>
      </c>
      <c r="I359" s="3" t="e">
        <f t="shared" si="134"/>
        <v>#N/A</v>
      </c>
      <c r="J359" s="1" t="e">
        <f>VLOOKUP((A359+Forudsætninger!$C$60),'Model tilvækst, slagteform, fe'!G:K,2,FALSE)*(1+Forudsætninger!$C$79)</f>
        <v>#N/A</v>
      </c>
      <c r="K359" s="17" t="e">
        <f t="shared" si="130"/>
        <v>#N/A</v>
      </c>
      <c r="L359" s="17" t="e">
        <f t="shared" si="143"/>
        <v>#N/A</v>
      </c>
      <c r="M359" s="3" t="e">
        <f>((K359-(('Model tilvækst, slagteform, fe'!$H$9/100)*'Model tilvækst, slagteform, fe'!$B$9))*1000/(A359+Forudsætninger!$C$60))</f>
        <v>#N/A</v>
      </c>
      <c r="N359" s="17" t="e">
        <f t="shared" si="144"/>
        <v>#N/A</v>
      </c>
      <c r="O359" s="19" t="e">
        <f>IF( A359&lt;Forudsætninger!$C$14,(G359/100)*Forudsætninger!$C$13,(Forudsætninger!$C$15/1000)*Forudsætninger!$C$13)</f>
        <v>#N/A</v>
      </c>
      <c r="P359" s="17" t="e" cm="1">
        <f t="array" ref="P359">INDEX('Model tilvækst, slagteform, fe'!$N$9:$N$375,MATCH(MIN(ABS('Model tilvækst, slagteform, fe'!$M$9:$M$375-'Vækstfunktion, hol'!G359)),ABS('Model tilvækst, slagteform, fe'!$M$9:$M$375-'Vækstfunktion, hol'!G359),0))*(1+Forudsætninger!$C$80)</f>
        <v>#N/A</v>
      </c>
      <c r="Q359" s="17" t="e">
        <f t="shared" si="145"/>
        <v>#N/A</v>
      </c>
      <c r="R359" s="17" t="e">
        <f t="shared" si="146"/>
        <v>#N/A</v>
      </c>
      <c r="S359" s="17" t="e">
        <f t="shared" si="135"/>
        <v>#N/A</v>
      </c>
      <c r="T359" s="19" t="e">
        <f>(P359)*IF(N359&lt;Forudsætninger!$B$228,IF(N359&lt;Forudsætninger!$B$227,Forudsætninger!$B$225,Forudsætninger!$C$9),Forudsætninger!$C$11)+O359</f>
        <v>#N/A</v>
      </c>
      <c r="V359" s="2">
        <f>U359+Forudsætninger!$C$69</f>
        <v>-1</v>
      </c>
      <c r="W359" t="e">
        <f t="shared" si="136"/>
        <v>#N/A</v>
      </c>
      <c r="X359">
        <f>IF(A359+Forudsætninger!$C$60&gt;248,IF(A359+Forudsætninger!$C$60&lt;365,IF(K359&gt;180,IF(K359&lt;260,1,0),0),0),0)</f>
        <v>0</v>
      </c>
      <c r="Y359" s="22">
        <f>IF(X359=0,0,IF('Vækstfunktion, hol'!A359&lt;Forudsætninger!$C$66,Forudsætninger!$C$67+(('Vækstfunktion, hol'!A359-Forudsætninger!$C$66)/7)*Forudsætninger!$C$64,Forudsætninger!$C$67))</f>
        <v>0</v>
      </c>
      <c r="Z359" s="19" t="e">
        <f t="shared" si="147"/>
        <v>#N/A</v>
      </c>
      <c r="AA359" s="19">
        <f>Forudsætninger!$C$62+Forudsætninger!$C$16</f>
        <v>1350</v>
      </c>
      <c r="AB359" s="19" t="e">
        <f>IF(K359&gt;Forudsætninger!$C$26,IF(K359&gt;Forudsætninger!$C$27,IF(K359&gt;Forudsætninger!$C$28,Forudsætninger!$E$28,Forudsætninger!$E$27+Forudsætninger!$F$28*(K359-Forudsætninger!$C$27)),Forudsætninger!$E$26+Forudsætninger!$F$27*(K359-Forudsætninger!$C$26)),Forudsætninger!$E$26)+IF(K359&gt;Forudsætninger!$C$28,Forudsætninger!$G$28,IF(K359&gt;Forudsætninger!$C$27,Forudsætninger!$G$27+Forudsætninger!$H$28*(K359-Forudsætninger!$C$27),IF(K359&gt;Forudsætninger!$C$26,Forudsætninger!$G$26+Forudsætninger!$H$27*(K359-Forudsætninger!$C$26),Forudsætninger!$G$26)))*(U359-Forudsætninger!$H$26)</f>
        <v>#N/A</v>
      </c>
      <c r="AC359" s="19" t="e">
        <f>IF(K359&gt;Forudsætninger!$C$31,IF(K359&gt;Forudsætninger!$C$32,IF(K359&gt;Forudsætninger!$C$33,Forudsætninger!$E$33,Forudsætninger!$E$32+Forudsætninger!$F$33*(K359-Forudsætninger!$C$32)),Forudsætninger!$E$31+Forudsætninger!$F$32*(K359-Forudsætninger!$C$31)),Forudsætninger!$E$31)+IF(K359&gt;Forudsætninger!$C$33,Forudsætninger!$G$33,IF(K359&gt;Forudsætninger!$C$32,Forudsætninger!$G$32+Forudsætninger!$H$33*(K359-Forudsætninger!$C$32),IF(K359&gt;Forudsætninger!$C$31,Forudsætninger!$G$31+Forudsætninger!$H$32*(K359-Forudsætninger!$C$31),Forudsætninger!$G$31)))*(V359-Forudsætninger!$H$31)</f>
        <v>#N/A</v>
      </c>
      <c r="AD359" s="19" t="e">
        <f t="shared" si="137"/>
        <v>#N/A</v>
      </c>
      <c r="AE359" s="19" t="e">
        <f t="shared" si="138"/>
        <v>#N/A</v>
      </c>
      <c r="AF359" t="e">
        <f>IF(G359&lt;=Forudsætninger!$C$97,Forudsætninger!$C$98,(IF(G359&lt;=Forudsætninger!$D$97,Forudsætninger!$D$98,IF(G359&lt;=Forudsætninger!$E$97,Forudsætninger!$E$98,IF(G359&lt;=Forudsætninger!$F$97,Forudsætninger!$F$98,IF(G359&lt;=Forudsætninger!$G$97,Forudsætninger!$G$98,IF(G359&lt;=Forudsætninger!$H$97,Forudsætninger!$H$98,IF(G359&lt;=Forudsætninger!$I$97,Forudsætninger!$I$98,Forudsætninger!$I$98))))))))</f>
        <v>#N/A</v>
      </c>
      <c r="AG359" s="1" t="e">
        <f t="shared" si="148"/>
        <v>#N/A</v>
      </c>
      <c r="AH359" s="1" t="e">
        <f t="shared" si="152"/>
        <v>#N/A</v>
      </c>
      <c r="AI359" s="1" t="e">
        <f t="shared" si="139"/>
        <v>#N/A</v>
      </c>
      <c r="AJ359" s="20" t="e">
        <f>+(W359*Forudsætninger!$C$12)</f>
        <v>#N/A</v>
      </c>
      <c r="AK359" s="20">
        <f>Forudsætninger!$C$17</f>
        <v>250</v>
      </c>
      <c r="AL359" s="20">
        <f>IF(A359&lt;92,Forudsætninger!$C$20,Forudsætninger!$C$21)</f>
        <v>1.0566762728146013</v>
      </c>
      <c r="AM359" s="20">
        <f t="shared" si="149"/>
        <v>645.7389122481012</v>
      </c>
      <c r="AN359" s="20">
        <f>IFERROR(AD359+AJ359-AA359-Z359-AK359-AM359-Forudsætninger!$C$75,-99999999)</f>
        <v>-99999999</v>
      </c>
      <c r="AO359" s="19">
        <f>IFERROR(AN359/(A359+Forudsætninger!$C$74),-99999999)</f>
        <v>-280112.04201680672</v>
      </c>
      <c r="AP359" s="19">
        <f>IFERROR(((365/(A359+Forudsætninger!$C$74))*AN359)/(AI359+Forudsætninger!$C$73),-9999999)</f>
        <v>-9999999</v>
      </c>
      <c r="AQ359" s="18">
        <f t="shared" si="140"/>
        <v>357</v>
      </c>
      <c r="AR359" s="18" t="e">
        <f t="shared" si="150"/>
        <v>#N/A</v>
      </c>
      <c r="AS359" s="52">
        <f t="shared" si="131"/>
        <v>13</v>
      </c>
      <c r="AT359" s="50">
        <f t="shared" si="153"/>
        <v>0</v>
      </c>
      <c r="AU359" s="50">
        <f t="shared" si="154"/>
        <v>786.83157869888237</v>
      </c>
      <c r="AV359" s="2">
        <f t="shared" si="155"/>
        <v>0</v>
      </c>
      <c r="AW359" s="61">
        <f t="shared" si="151"/>
        <v>-280110.23322433542</v>
      </c>
      <c r="BA359" s="16"/>
      <c r="BB359" s="2"/>
    </row>
    <row r="360" spans="1:54" x14ac:dyDescent="0.25">
      <c r="A360">
        <v>358</v>
      </c>
      <c r="B360" s="1">
        <f>ROUND((A360+Forudsætninger!$C$60)/30.4,1)</f>
        <v>13.1</v>
      </c>
      <c r="C360" s="1" t="e">
        <f>VLOOKUP((A360+Forudsætninger!$C$60),'Model tilvækst, slagteform, fe'!A:B,2,FALSE)</f>
        <v>#N/A</v>
      </c>
      <c r="D360" s="3" t="e">
        <f t="shared" si="157"/>
        <v>#N/A</v>
      </c>
      <c r="E360" s="1" t="e">
        <f>(1+Forudsætninger!$C$78)*C360</f>
        <v>#N/A</v>
      </c>
      <c r="F360" s="2" t="e">
        <f t="shared" si="142"/>
        <v>#N/A</v>
      </c>
      <c r="G360" s="1" t="e">
        <f t="shared" si="132"/>
        <v>#N/A</v>
      </c>
      <c r="H360" s="3" t="e">
        <f t="shared" si="133"/>
        <v>#N/A</v>
      </c>
      <c r="I360" s="3" t="e">
        <f t="shared" si="134"/>
        <v>#N/A</v>
      </c>
      <c r="J360" s="1" t="e">
        <f>VLOOKUP((A360+Forudsætninger!$C$60),'Model tilvækst, slagteform, fe'!G:K,2,FALSE)*(1+Forudsætninger!$C$79)</f>
        <v>#N/A</v>
      </c>
      <c r="K360" s="17" t="e">
        <f t="shared" si="130"/>
        <v>#N/A</v>
      </c>
      <c r="L360" s="17" t="e">
        <f t="shared" si="143"/>
        <v>#N/A</v>
      </c>
      <c r="M360" s="3" t="e">
        <f>((K360-(('Model tilvækst, slagteform, fe'!$H$9/100)*'Model tilvækst, slagteform, fe'!$B$9))*1000/(A360+Forudsætninger!$C$60))</f>
        <v>#N/A</v>
      </c>
      <c r="N360" s="17" t="e">
        <f t="shared" si="144"/>
        <v>#N/A</v>
      </c>
      <c r="O360" s="19" t="e">
        <f>IF( A360&lt;Forudsætninger!$C$14,(G360/100)*Forudsætninger!$C$13,(Forudsætninger!$C$15/1000)*Forudsætninger!$C$13)</f>
        <v>#N/A</v>
      </c>
      <c r="P360" s="17" t="e" cm="1">
        <f t="array" ref="P360">INDEX('Model tilvækst, slagteform, fe'!$N$9:$N$375,MATCH(MIN(ABS('Model tilvækst, slagteform, fe'!$M$9:$M$375-'Vækstfunktion, hol'!G360)),ABS('Model tilvækst, slagteform, fe'!$M$9:$M$375-'Vækstfunktion, hol'!G360),0))*(1+Forudsætninger!$C$80)</f>
        <v>#N/A</v>
      </c>
      <c r="Q360" s="17" t="e">
        <f t="shared" si="145"/>
        <v>#N/A</v>
      </c>
      <c r="R360" s="17" t="e">
        <f t="shared" si="146"/>
        <v>#N/A</v>
      </c>
      <c r="S360" s="17" t="e">
        <f t="shared" si="135"/>
        <v>#N/A</v>
      </c>
      <c r="T360" s="19" t="e">
        <f>(P360)*IF(N360&lt;Forudsætninger!$B$228,IF(N360&lt;Forudsætninger!$B$227,Forudsætninger!$B$225,Forudsætninger!$C$9),Forudsætninger!$C$11)+O360</f>
        <v>#N/A</v>
      </c>
      <c r="V360" s="2">
        <f>U360+Forudsætninger!$C$69</f>
        <v>-1</v>
      </c>
      <c r="W360" t="e">
        <f t="shared" si="136"/>
        <v>#N/A</v>
      </c>
      <c r="X360">
        <f>IF(A360+Forudsætninger!$C$60&gt;248,IF(A360+Forudsætninger!$C$60&lt;365,IF(K360&gt;180,IF(K360&lt;260,1,0),0),0),0)</f>
        <v>0</v>
      </c>
      <c r="Y360" s="22">
        <f>IF(X360=0,0,IF('Vækstfunktion, hol'!A360&lt;Forudsætninger!$C$66,Forudsætninger!$C$67+(('Vækstfunktion, hol'!A360-Forudsætninger!$C$66)/7)*Forudsætninger!$C$64,Forudsætninger!$C$67))</f>
        <v>0</v>
      </c>
      <c r="Z360" s="19" t="e">
        <f t="shared" si="147"/>
        <v>#N/A</v>
      </c>
      <c r="AA360" s="19">
        <f>Forudsætninger!$C$62+Forudsætninger!$C$16</f>
        <v>1350</v>
      </c>
      <c r="AB360" s="19" t="e">
        <f>IF(K360&gt;Forudsætninger!$C$26,IF(K360&gt;Forudsætninger!$C$27,IF(K360&gt;Forudsætninger!$C$28,Forudsætninger!$E$28,Forudsætninger!$E$27+Forudsætninger!$F$28*(K360-Forudsætninger!$C$27)),Forudsætninger!$E$26+Forudsætninger!$F$27*(K360-Forudsætninger!$C$26)),Forudsætninger!$E$26)+IF(K360&gt;Forudsætninger!$C$28,Forudsætninger!$G$28,IF(K360&gt;Forudsætninger!$C$27,Forudsætninger!$G$27+Forudsætninger!$H$28*(K360-Forudsætninger!$C$27),IF(K360&gt;Forudsætninger!$C$26,Forudsætninger!$G$26+Forudsætninger!$H$27*(K360-Forudsætninger!$C$26),Forudsætninger!$G$26)))*(U360-Forudsætninger!$H$26)</f>
        <v>#N/A</v>
      </c>
      <c r="AC360" s="19" t="e">
        <f>IF(K360&gt;Forudsætninger!$C$31,IF(K360&gt;Forudsætninger!$C$32,IF(K360&gt;Forudsætninger!$C$33,Forudsætninger!$E$33,Forudsætninger!$E$32+Forudsætninger!$F$33*(K360-Forudsætninger!$C$32)),Forudsætninger!$E$31+Forudsætninger!$F$32*(K360-Forudsætninger!$C$31)),Forudsætninger!$E$31)+IF(K360&gt;Forudsætninger!$C$33,Forudsætninger!$G$33,IF(K360&gt;Forudsætninger!$C$32,Forudsætninger!$G$32+Forudsætninger!$H$33*(K360-Forudsætninger!$C$32),IF(K360&gt;Forudsætninger!$C$31,Forudsætninger!$G$31+Forudsætninger!$H$32*(K360-Forudsætninger!$C$31),Forudsætninger!$G$31)))*(V360-Forudsætninger!$H$31)</f>
        <v>#N/A</v>
      </c>
      <c r="AD360" s="19" t="e">
        <f t="shared" si="137"/>
        <v>#N/A</v>
      </c>
      <c r="AE360" s="19" t="e">
        <f t="shared" si="138"/>
        <v>#N/A</v>
      </c>
      <c r="AF360" t="e">
        <f>IF(G360&lt;=Forudsætninger!$C$97,Forudsætninger!$C$98,(IF(G360&lt;=Forudsætninger!$D$97,Forudsætninger!$D$98,IF(G360&lt;=Forudsætninger!$E$97,Forudsætninger!$E$98,IF(G360&lt;=Forudsætninger!$F$97,Forudsætninger!$F$98,IF(G360&lt;=Forudsætninger!$G$97,Forudsætninger!$G$98,IF(G360&lt;=Forudsætninger!$H$97,Forudsætninger!$H$98,IF(G360&lt;=Forudsætninger!$I$97,Forudsætninger!$I$98,Forudsætninger!$I$98))))))))</f>
        <v>#N/A</v>
      </c>
      <c r="AG360" s="1" t="e">
        <f t="shared" si="148"/>
        <v>#N/A</v>
      </c>
      <c r="AH360" s="1" t="e">
        <f t="shared" si="152"/>
        <v>#N/A</v>
      </c>
      <c r="AI360" s="1" t="e">
        <f t="shared" si="139"/>
        <v>#N/A</v>
      </c>
      <c r="AJ360" s="20" t="e">
        <f>+(W360*Forudsætninger!$C$12)</f>
        <v>#N/A</v>
      </c>
      <c r="AK360" s="20">
        <f>Forudsætninger!$C$17</f>
        <v>250</v>
      </c>
      <c r="AL360" s="20">
        <f>IF(A360&lt;92,Forudsætninger!$C$20,Forudsætninger!$C$21)</f>
        <v>1.0566762728146013</v>
      </c>
      <c r="AM360" s="20">
        <f t="shared" si="149"/>
        <v>646.79558852091577</v>
      </c>
      <c r="AN360" s="20">
        <f>IFERROR(AD360+AJ360-AA360-Z360-AK360-AM360-Forudsætninger!$C$75,-99999999)</f>
        <v>-99999999</v>
      </c>
      <c r="AO360" s="19">
        <f>IFERROR(AN360/(A360+Forudsætninger!$C$74),-99999999)</f>
        <v>-279329.60614525137</v>
      </c>
      <c r="AP360" s="19">
        <f>IFERROR(((365/(A360+Forudsætninger!$C$74))*AN360)/(AI360+Forudsætninger!$C$73),-9999999)</f>
        <v>-9999999</v>
      </c>
      <c r="AQ360" s="18">
        <f t="shared" si="140"/>
        <v>358</v>
      </c>
      <c r="AR360" s="18" t="e">
        <f t="shared" si="150"/>
        <v>#N/A</v>
      </c>
      <c r="AS360" s="52">
        <f t="shared" si="131"/>
        <v>13.1</v>
      </c>
      <c r="AT360" s="50">
        <f t="shared" si="153"/>
        <v>0</v>
      </c>
      <c r="AU360" s="50">
        <f t="shared" si="154"/>
        <v>782.43587155535351</v>
      </c>
      <c r="AV360" s="2">
        <f t="shared" si="155"/>
        <v>0</v>
      </c>
      <c r="AW360" s="61">
        <f t="shared" si="151"/>
        <v>-279327.79945366335</v>
      </c>
      <c r="BA360" s="16"/>
      <c r="BB360" s="2"/>
    </row>
    <row r="361" spans="1:54" x14ac:dyDescent="0.25">
      <c r="A361">
        <v>359</v>
      </c>
      <c r="B361" s="1">
        <f>ROUND((A361+Forudsætninger!$C$60)/30.4,1)</f>
        <v>13.1</v>
      </c>
      <c r="C361" s="1" t="e">
        <f>VLOOKUP((A361+Forudsætninger!$C$60),'Model tilvækst, slagteform, fe'!A:B,2,FALSE)</f>
        <v>#N/A</v>
      </c>
      <c r="D361" s="3" t="e">
        <f t="shared" si="157"/>
        <v>#N/A</v>
      </c>
      <c r="E361" s="1" t="e">
        <f>(1+Forudsætninger!$C$78)*C361</f>
        <v>#N/A</v>
      </c>
      <c r="F361" s="2" t="e">
        <f t="shared" si="142"/>
        <v>#N/A</v>
      </c>
      <c r="G361" s="1" t="e">
        <f t="shared" si="132"/>
        <v>#N/A</v>
      </c>
      <c r="H361" s="3" t="e">
        <f t="shared" si="133"/>
        <v>#N/A</v>
      </c>
      <c r="I361" s="3" t="e">
        <f t="shared" si="134"/>
        <v>#N/A</v>
      </c>
      <c r="J361" s="1" t="e">
        <f>VLOOKUP((A361+Forudsætninger!$C$60),'Model tilvækst, slagteform, fe'!G:K,2,FALSE)*(1+Forudsætninger!$C$79)</f>
        <v>#N/A</v>
      </c>
      <c r="K361" s="17" t="e">
        <f t="shared" si="130"/>
        <v>#N/A</v>
      </c>
      <c r="L361" s="17" t="e">
        <f t="shared" si="143"/>
        <v>#N/A</v>
      </c>
      <c r="M361" s="3" t="e">
        <f>((K361-(('Model tilvækst, slagteform, fe'!$H$9/100)*'Model tilvækst, slagteform, fe'!$B$9))*1000/(A361+Forudsætninger!$C$60))</f>
        <v>#N/A</v>
      </c>
      <c r="N361" s="17" t="e">
        <f t="shared" si="144"/>
        <v>#N/A</v>
      </c>
      <c r="O361" s="19" t="e">
        <f>IF( A361&lt;Forudsætninger!$C$14,(G361/100)*Forudsætninger!$C$13,(Forudsætninger!$C$15/1000)*Forudsætninger!$C$13)</f>
        <v>#N/A</v>
      </c>
      <c r="P361" s="17" t="e" cm="1">
        <f t="array" ref="P361">INDEX('Model tilvækst, slagteform, fe'!$N$9:$N$375,MATCH(MIN(ABS('Model tilvækst, slagteform, fe'!$M$9:$M$375-'Vækstfunktion, hol'!G361)),ABS('Model tilvækst, slagteform, fe'!$M$9:$M$375-'Vækstfunktion, hol'!G361),0))*(1+Forudsætninger!$C$80)</f>
        <v>#N/A</v>
      </c>
      <c r="Q361" s="17" t="e">
        <f t="shared" si="145"/>
        <v>#N/A</v>
      </c>
      <c r="R361" s="17" t="e">
        <f t="shared" si="146"/>
        <v>#N/A</v>
      </c>
      <c r="S361" s="17" t="e">
        <f t="shared" si="135"/>
        <v>#N/A</v>
      </c>
      <c r="T361" s="19" t="e">
        <f>(P361)*IF(N361&lt;Forudsætninger!$B$228,IF(N361&lt;Forudsætninger!$B$227,Forudsætninger!$B$225,Forudsætninger!$C$9),Forudsætninger!$C$11)+O361</f>
        <v>#N/A</v>
      </c>
      <c r="V361" s="2">
        <f>U361+Forudsætninger!$C$69</f>
        <v>-1</v>
      </c>
      <c r="W361" t="e">
        <f t="shared" si="136"/>
        <v>#N/A</v>
      </c>
      <c r="X361">
        <f>IF(A361+Forudsætninger!$C$60&gt;248,IF(A361+Forudsætninger!$C$60&lt;365,IF(K361&gt;180,IF(K361&lt;260,1,0),0),0),0)</f>
        <v>0</v>
      </c>
      <c r="Y361" s="22">
        <f>IF(X361=0,0,IF('Vækstfunktion, hol'!A361&lt;Forudsætninger!$C$66,Forudsætninger!$C$67+(('Vækstfunktion, hol'!A361-Forudsætninger!$C$66)/7)*Forudsætninger!$C$64,Forudsætninger!$C$67))</f>
        <v>0</v>
      </c>
      <c r="Z361" s="19" t="e">
        <f t="shared" si="147"/>
        <v>#N/A</v>
      </c>
      <c r="AA361" s="19">
        <f>Forudsætninger!$C$62+Forudsætninger!$C$16</f>
        <v>1350</v>
      </c>
      <c r="AB361" s="19" t="e">
        <f>IF(K361&gt;Forudsætninger!$C$26,IF(K361&gt;Forudsætninger!$C$27,IF(K361&gt;Forudsætninger!$C$28,Forudsætninger!$E$28,Forudsætninger!$E$27+Forudsætninger!$F$28*(K361-Forudsætninger!$C$27)),Forudsætninger!$E$26+Forudsætninger!$F$27*(K361-Forudsætninger!$C$26)),Forudsætninger!$E$26)+IF(K361&gt;Forudsætninger!$C$28,Forudsætninger!$G$28,IF(K361&gt;Forudsætninger!$C$27,Forudsætninger!$G$27+Forudsætninger!$H$28*(K361-Forudsætninger!$C$27),IF(K361&gt;Forudsætninger!$C$26,Forudsætninger!$G$26+Forudsætninger!$H$27*(K361-Forudsætninger!$C$26),Forudsætninger!$G$26)))*(U361-Forudsætninger!$H$26)</f>
        <v>#N/A</v>
      </c>
      <c r="AC361" s="19" t="e">
        <f>IF(K361&gt;Forudsætninger!$C$31,IF(K361&gt;Forudsætninger!$C$32,IF(K361&gt;Forudsætninger!$C$33,Forudsætninger!$E$33,Forudsætninger!$E$32+Forudsætninger!$F$33*(K361-Forudsætninger!$C$32)),Forudsætninger!$E$31+Forudsætninger!$F$32*(K361-Forudsætninger!$C$31)),Forudsætninger!$E$31)+IF(K361&gt;Forudsætninger!$C$33,Forudsætninger!$G$33,IF(K361&gt;Forudsætninger!$C$32,Forudsætninger!$G$32+Forudsætninger!$H$33*(K361-Forudsætninger!$C$32),IF(K361&gt;Forudsætninger!$C$31,Forudsætninger!$G$31+Forudsætninger!$H$32*(K361-Forudsætninger!$C$31),Forudsætninger!$G$31)))*(V361-Forudsætninger!$H$31)</f>
        <v>#N/A</v>
      </c>
      <c r="AD361" s="19" t="e">
        <f t="shared" si="137"/>
        <v>#N/A</v>
      </c>
      <c r="AE361" s="19" t="e">
        <f t="shared" si="138"/>
        <v>#N/A</v>
      </c>
      <c r="AF361" t="e">
        <f>IF(G361&lt;=Forudsætninger!$C$97,Forudsætninger!$C$98,(IF(G361&lt;=Forudsætninger!$D$97,Forudsætninger!$D$98,IF(G361&lt;=Forudsætninger!$E$97,Forudsætninger!$E$98,IF(G361&lt;=Forudsætninger!$F$97,Forudsætninger!$F$98,IF(G361&lt;=Forudsætninger!$G$97,Forudsætninger!$G$98,IF(G361&lt;=Forudsætninger!$H$97,Forudsætninger!$H$98,IF(G361&lt;=Forudsætninger!$I$97,Forudsætninger!$I$98,Forudsætninger!$I$98))))))))</f>
        <v>#N/A</v>
      </c>
      <c r="AG361" s="1" t="e">
        <f t="shared" si="148"/>
        <v>#N/A</v>
      </c>
      <c r="AH361" s="1" t="e">
        <f t="shared" si="152"/>
        <v>#N/A</v>
      </c>
      <c r="AI361" s="1" t="e">
        <f t="shared" si="139"/>
        <v>#N/A</v>
      </c>
      <c r="AJ361" s="20" t="e">
        <f>+(W361*Forudsætninger!$C$12)</f>
        <v>#N/A</v>
      </c>
      <c r="AK361" s="20">
        <f>Forudsætninger!$C$17</f>
        <v>250</v>
      </c>
      <c r="AL361" s="20">
        <f>IF(A361&lt;92,Forudsætninger!$C$20,Forudsætninger!$C$21)</f>
        <v>1.0566762728146013</v>
      </c>
      <c r="AM361" s="20">
        <f t="shared" si="149"/>
        <v>647.85226479373034</v>
      </c>
      <c r="AN361" s="20">
        <f>IFERROR(AD361+AJ361-AA361-Z361-AK361-AM361-Forudsætninger!$C$75,-99999999)</f>
        <v>-99999999</v>
      </c>
      <c r="AO361" s="19">
        <f>IFERROR(AN361/(A361+Forudsætninger!$C$74),-99999999)</f>
        <v>-278551.52924791089</v>
      </c>
      <c r="AP361" s="19">
        <f>IFERROR(((365/(A361+Forudsætninger!$C$74))*AN361)/(AI361+Forudsætninger!$C$73),-9999999)</f>
        <v>-9999999</v>
      </c>
      <c r="AQ361" s="18">
        <f t="shared" si="140"/>
        <v>359</v>
      </c>
      <c r="AR361" s="18" t="e">
        <f t="shared" si="150"/>
        <v>#N/A</v>
      </c>
      <c r="AS361" s="52">
        <f t="shared" si="131"/>
        <v>13.1</v>
      </c>
      <c r="AT361" s="50">
        <f t="shared" si="153"/>
        <v>0</v>
      </c>
      <c r="AU361" s="50">
        <f t="shared" si="154"/>
        <v>778.07689734047744</v>
      </c>
      <c r="AV361" s="2">
        <f t="shared" si="155"/>
        <v>0</v>
      </c>
      <c r="AW361" s="61">
        <f t="shared" si="151"/>
        <v>-278549.72464550199</v>
      </c>
      <c r="BA361" s="16"/>
      <c r="BB361" s="2"/>
    </row>
    <row r="362" spans="1:54" x14ac:dyDescent="0.25">
      <c r="A362">
        <v>360</v>
      </c>
      <c r="B362" s="1">
        <f>ROUND((A362+Forudsætninger!$C$60)/30.4,1)</f>
        <v>13.1</v>
      </c>
      <c r="C362" s="1" t="e">
        <f>VLOOKUP((A362+Forudsætninger!$C$60),'Model tilvækst, slagteform, fe'!A:B,2,FALSE)</f>
        <v>#N/A</v>
      </c>
      <c r="D362" s="3" t="e">
        <f t="shared" si="157"/>
        <v>#N/A</v>
      </c>
      <c r="E362" s="1" t="e">
        <f>(1+Forudsætninger!$C$78)*C362</f>
        <v>#N/A</v>
      </c>
      <c r="F362" s="2" t="e">
        <f t="shared" si="142"/>
        <v>#N/A</v>
      </c>
      <c r="G362" s="1" t="e">
        <f t="shared" si="132"/>
        <v>#N/A</v>
      </c>
      <c r="H362" s="3" t="e">
        <f t="shared" si="133"/>
        <v>#N/A</v>
      </c>
      <c r="I362" s="3" t="e">
        <f t="shared" si="134"/>
        <v>#N/A</v>
      </c>
      <c r="J362" s="1" t="e">
        <f>VLOOKUP((A362+Forudsætninger!$C$60),'Model tilvækst, slagteform, fe'!G:K,2,FALSE)*(1+Forudsætninger!$C$79)</f>
        <v>#N/A</v>
      </c>
      <c r="K362" s="17" t="e">
        <f t="shared" si="130"/>
        <v>#N/A</v>
      </c>
      <c r="L362" s="17" t="e">
        <f t="shared" si="143"/>
        <v>#N/A</v>
      </c>
      <c r="M362" s="3" t="e">
        <f>((K362-(('Model tilvækst, slagteform, fe'!$H$9/100)*'Model tilvækst, slagteform, fe'!$B$9))*1000/(A362+Forudsætninger!$C$60))</f>
        <v>#N/A</v>
      </c>
      <c r="N362" s="17" t="e">
        <f t="shared" si="144"/>
        <v>#N/A</v>
      </c>
      <c r="O362" s="19" t="e">
        <f>IF( A362&lt;Forudsætninger!$C$14,(G362/100)*Forudsætninger!$C$13,(Forudsætninger!$C$15/1000)*Forudsætninger!$C$13)</f>
        <v>#N/A</v>
      </c>
      <c r="P362" s="17" t="e" cm="1">
        <f t="array" ref="P362">INDEX('Model tilvækst, slagteform, fe'!$N$9:$N$375,MATCH(MIN(ABS('Model tilvækst, slagteform, fe'!$M$9:$M$375-'Vækstfunktion, hol'!G362)),ABS('Model tilvækst, slagteform, fe'!$M$9:$M$375-'Vækstfunktion, hol'!G362),0))*(1+Forudsætninger!$C$80)</f>
        <v>#N/A</v>
      </c>
      <c r="Q362" s="17" t="e">
        <f t="shared" si="145"/>
        <v>#N/A</v>
      </c>
      <c r="R362" s="17" t="e">
        <f t="shared" si="146"/>
        <v>#N/A</v>
      </c>
      <c r="S362" s="17" t="e">
        <f t="shared" si="135"/>
        <v>#N/A</v>
      </c>
      <c r="T362" s="19" t="e">
        <f>(P362)*IF(N362&lt;Forudsætninger!$B$228,IF(N362&lt;Forudsætninger!$B$227,Forudsætninger!$B$225,Forudsætninger!$C$9),Forudsætninger!$C$11)+O362</f>
        <v>#N/A</v>
      </c>
      <c r="V362" s="2">
        <f>U362+Forudsætninger!$C$69</f>
        <v>-1</v>
      </c>
      <c r="W362" t="e">
        <f t="shared" si="136"/>
        <v>#N/A</v>
      </c>
      <c r="X362">
        <f>IF(A362+Forudsætninger!$C$60&gt;248,IF(A362+Forudsætninger!$C$60&lt;365,IF(K362&gt;180,IF(K362&lt;260,1,0),0),0),0)</f>
        <v>0</v>
      </c>
      <c r="Y362" s="22">
        <f>IF(X362=0,0,IF('Vækstfunktion, hol'!A362&lt;Forudsætninger!$C$66,Forudsætninger!$C$67+(('Vækstfunktion, hol'!A362-Forudsætninger!$C$66)/7)*Forudsætninger!$C$64,Forudsætninger!$C$67))</f>
        <v>0</v>
      </c>
      <c r="Z362" s="19" t="e">
        <f t="shared" si="147"/>
        <v>#N/A</v>
      </c>
      <c r="AA362" s="19">
        <f>Forudsætninger!$C$62+Forudsætninger!$C$16</f>
        <v>1350</v>
      </c>
      <c r="AB362" s="19" t="e">
        <f>IF(K362&gt;Forudsætninger!$C$26,IF(K362&gt;Forudsætninger!$C$27,IF(K362&gt;Forudsætninger!$C$28,Forudsætninger!$E$28,Forudsætninger!$E$27+Forudsætninger!$F$28*(K362-Forudsætninger!$C$27)),Forudsætninger!$E$26+Forudsætninger!$F$27*(K362-Forudsætninger!$C$26)),Forudsætninger!$E$26)+IF(K362&gt;Forudsætninger!$C$28,Forudsætninger!$G$28,IF(K362&gt;Forudsætninger!$C$27,Forudsætninger!$G$27+Forudsætninger!$H$28*(K362-Forudsætninger!$C$27),IF(K362&gt;Forudsætninger!$C$26,Forudsætninger!$G$26+Forudsætninger!$H$27*(K362-Forudsætninger!$C$26),Forudsætninger!$G$26)))*(U362-Forudsætninger!$H$26)</f>
        <v>#N/A</v>
      </c>
      <c r="AC362" s="19" t="e">
        <f>IF(K362&gt;Forudsætninger!$C$31,IF(K362&gt;Forudsætninger!$C$32,IF(K362&gt;Forudsætninger!$C$33,Forudsætninger!$E$33,Forudsætninger!$E$32+Forudsætninger!$F$33*(K362-Forudsætninger!$C$32)),Forudsætninger!$E$31+Forudsætninger!$F$32*(K362-Forudsætninger!$C$31)),Forudsætninger!$E$31)+IF(K362&gt;Forudsætninger!$C$33,Forudsætninger!$G$33,IF(K362&gt;Forudsætninger!$C$32,Forudsætninger!$G$32+Forudsætninger!$H$33*(K362-Forudsætninger!$C$32),IF(K362&gt;Forudsætninger!$C$31,Forudsætninger!$G$31+Forudsætninger!$H$32*(K362-Forudsætninger!$C$31),Forudsætninger!$G$31)))*(V362-Forudsætninger!$H$31)</f>
        <v>#N/A</v>
      </c>
      <c r="AD362" s="19" t="e">
        <f t="shared" si="137"/>
        <v>#N/A</v>
      </c>
      <c r="AE362" s="19" t="e">
        <f t="shared" si="138"/>
        <v>#N/A</v>
      </c>
      <c r="AF362" t="e">
        <f>IF(G362&lt;=Forudsætninger!$C$97,Forudsætninger!$C$98,(IF(G362&lt;=Forudsætninger!$D$97,Forudsætninger!$D$98,IF(G362&lt;=Forudsætninger!$E$97,Forudsætninger!$E$98,IF(G362&lt;=Forudsætninger!$F$97,Forudsætninger!$F$98,IF(G362&lt;=Forudsætninger!$G$97,Forudsætninger!$G$98,IF(G362&lt;=Forudsætninger!$H$97,Forudsætninger!$H$98,IF(G362&lt;=Forudsætninger!$I$97,Forudsætninger!$I$98,Forudsætninger!$I$98))))))))</f>
        <v>#N/A</v>
      </c>
      <c r="AG362" s="1" t="e">
        <f t="shared" si="148"/>
        <v>#N/A</v>
      </c>
      <c r="AH362" s="1" t="e">
        <f t="shared" si="152"/>
        <v>#N/A</v>
      </c>
      <c r="AI362" s="1" t="e">
        <f t="shared" si="139"/>
        <v>#N/A</v>
      </c>
      <c r="AJ362" s="20" t="e">
        <f>+(W362*Forudsætninger!$C$12)</f>
        <v>#N/A</v>
      </c>
      <c r="AK362" s="20">
        <f>Forudsætninger!$C$17</f>
        <v>250</v>
      </c>
      <c r="AL362" s="20">
        <f>IF(A362&lt;92,Forudsætninger!$C$20,Forudsætninger!$C$21)</f>
        <v>1.0566762728146013</v>
      </c>
      <c r="AM362" s="20">
        <f t="shared" si="149"/>
        <v>648.90894106654491</v>
      </c>
      <c r="AN362" s="20">
        <f>IFERROR(AD362+AJ362-AA362-Z362-AK362-AM362-Forudsætninger!$C$75,-99999999)</f>
        <v>-99999999</v>
      </c>
      <c r="AO362" s="19">
        <f>IFERROR(AN362/(A362+Forudsætninger!$C$74),-99999999)</f>
        <v>-277777.77500000002</v>
      </c>
      <c r="AP362" s="19">
        <f>IFERROR(((365/(A362+Forudsætninger!$C$74))*AN362)/(AI362+Forudsætninger!$C$73),-9999999)</f>
        <v>-9999999</v>
      </c>
      <c r="AQ362" s="18">
        <f t="shared" si="140"/>
        <v>360</v>
      </c>
      <c r="AR362" s="18" t="e">
        <f t="shared" si="150"/>
        <v>#N/A</v>
      </c>
      <c r="AS362" s="52">
        <f t="shared" si="131"/>
        <v>13.1</v>
      </c>
      <c r="AT362" s="50">
        <f t="shared" si="153"/>
        <v>0</v>
      </c>
      <c r="AU362" s="50">
        <f t="shared" si="154"/>
        <v>773.75424791086698</v>
      </c>
      <c r="AV362" s="2">
        <f t="shared" si="155"/>
        <v>0</v>
      </c>
      <c r="AW362" s="61">
        <f t="shared" si="151"/>
        <v>-277775.9724751637</v>
      </c>
      <c r="BA362" s="16"/>
      <c r="BB362" s="2"/>
    </row>
    <row r="363" spans="1:54" x14ac:dyDescent="0.25">
      <c r="A363">
        <v>361</v>
      </c>
      <c r="B363" s="1">
        <f>ROUND((A363+Forudsætninger!$C$60)/30.4,1)</f>
        <v>13.2</v>
      </c>
      <c r="C363" s="1" t="e">
        <f>VLOOKUP((A363+Forudsætninger!$C$60),'Model tilvækst, slagteform, fe'!A:B,2,FALSE)</f>
        <v>#N/A</v>
      </c>
      <c r="D363" s="3" t="e">
        <f t="shared" si="157"/>
        <v>#N/A</v>
      </c>
      <c r="E363" s="1" t="e">
        <f>(1+Forudsætninger!$C$78)*C363</f>
        <v>#N/A</v>
      </c>
      <c r="F363" s="2" t="e">
        <f t="shared" si="142"/>
        <v>#N/A</v>
      </c>
      <c r="G363" s="1" t="e">
        <f t="shared" si="132"/>
        <v>#N/A</v>
      </c>
      <c r="H363" s="3" t="e">
        <f t="shared" si="133"/>
        <v>#N/A</v>
      </c>
      <c r="I363" s="3" t="e">
        <f t="shared" si="134"/>
        <v>#N/A</v>
      </c>
      <c r="J363" s="1" t="e">
        <f>VLOOKUP((A363+Forudsætninger!$C$60),'Model tilvækst, slagteform, fe'!G:K,2,FALSE)*(1+Forudsætninger!$C$79)</f>
        <v>#N/A</v>
      </c>
      <c r="K363" s="17" t="e">
        <f t="shared" si="130"/>
        <v>#N/A</v>
      </c>
      <c r="L363" s="17" t="e">
        <f t="shared" si="143"/>
        <v>#N/A</v>
      </c>
      <c r="M363" s="3" t="e">
        <f>((K363-(('Model tilvækst, slagteform, fe'!$H$9/100)*'Model tilvækst, slagteform, fe'!$B$9))*1000/(A363+Forudsætninger!$C$60))</f>
        <v>#N/A</v>
      </c>
      <c r="N363" s="17" t="e">
        <f t="shared" si="144"/>
        <v>#N/A</v>
      </c>
      <c r="O363" s="19" t="e">
        <f>IF( A363&lt;Forudsætninger!$C$14,(G363/100)*Forudsætninger!$C$13,(Forudsætninger!$C$15/1000)*Forudsætninger!$C$13)</f>
        <v>#N/A</v>
      </c>
      <c r="P363" s="17" t="e" cm="1">
        <f t="array" ref="P363">INDEX('Model tilvækst, slagteform, fe'!$N$9:$N$375,MATCH(MIN(ABS('Model tilvækst, slagteform, fe'!$M$9:$M$375-'Vækstfunktion, hol'!G363)),ABS('Model tilvækst, slagteform, fe'!$M$9:$M$375-'Vækstfunktion, hol'!G363),0))*(1+Forudsætninger!$C$80)</f>
        <v>#N/A</v>
      </c>
      <c r="Q363" s="17" t="e">
        <f t="shared" si="145"/>
        <v>#N/A</v>
      </c>
      <c r="R363" s="17" t="e">
        <f t="shared" si="146"/>
        <v>#N/A</v>
      </c>
      <c r="S363" s="17" t="e">
        <f t="shared" si="135"/>
        <v>#N/A</v>
      </c>
      <c r="T363" s="19" t="e">
        <f>(P363)*IF(N363&lt;Forudsætninger!$B$228,IF(N363&lt;Forudsætninger!$B$227,Forudsætninger!$B$225,Forudsætninger!$C$9),Forudsætninger!$C$11)+O363</f>
        <v>#N/A</v>
      </c>
      <c r="V363" s="2">
        <f>U363+Forudsætninger!$C$69</f>
        <v>-1</v>
      </c>
      <c r="W363" t="e">
        <f t="shared" si="136"/>
        <v>#N/A</v>
      </c>
      <c r="X363">
        <f>IF(A363+Forudsætninger!$C$60&gt;248,IF(A363+Forudsætninger!$C$60&lt;365,IF(K363&gt;180,IF(K363&lt;260,1,0),0),0),0)</f>
        <v>0</v>
      </c>
      <c r="Y363" s="22">
        <f>IF(X363=0,0,IF('Vækstfunktion, hol'!A363&lt;Forudsætninger!$C$66,Forudsætninger!$C$67+(('Vækstfunktion, hol'!A363-Forudsætninger!$C$66)/7)*Forudsætninger!$C$64,Forudsætninger!$C$67))</f>
        <v>0</v>
      </c>
      <c r="Z363" s="19" t="e">
        <f t="shared" si="147"/>
        <v>#N/A</v>
      </c>
      <c r="AA363" s="19">
        <f>Forudsætninger!$C$62+Forudsætninger!$C$16</f>
        <v>1350</v>
      </c>
      <c r="AB363" s="19" t="e">
        <f>IF(K363&gt;Forudsætninger!$C$26,IF(K363&gt;Forudsætninger!$C$27,IF(K363&gt;Forudsætninger!$C$28,Forudsætninger!$E$28,Forudsætninger!$E$27+Forudsætninger!$F$28*(K363-Forudsætninger!$C$27)),Forudsætninger!$E$26+Forudsætninger!$F$27*(K363-Forudsætninger!$C$26)),Forudsætninger!$E$26)+IF(K363&gt;Forudsætninger!$C$28,Forudsætninger!$G$28,IF(K363&gt;Forudsætninger!$C$27,Forudsætninger!$G$27+Forudsætninger!$H$28*(K363-Forudsætninger!$C$27),IF(K363&gt;Forudsætninger!$C$26,Forudsætninger!$G$26+Forudsætninger!$H$27*(K363-Forudsætninger!$C$26),Forudsætninger!$G$26)))*(U363-Forudsætninger!$H$26)</f>
        <v>#N/A</v>
      </c>
      <c r="AC363" s="19" t="e">
        <f>IF(K363&gt;Forudsætninger!$C$31,IF(K363&gt;Forudsætninger!$C$32,IF(K363&gt;Forudsætninger!$C$33,Forudsætninger!$E$33,Forudsætninger!$E$32+Forudsætninger!$F$33*(K363-Forudsætninger!$C$32)),Forudsætninger!$E$31+Forudsætninger!$F$32*(K363-Forudsætninger!$C$31)),Forudsætninger!$E$31)+IF(K363&gt;Forudsætninger!$C$33,Forudsætninger!$G$33,IF(K363&gt;Forudsætninger!$C$32,Forudsætninger!$G$32+Forudsætninger!$H$33*(K363-Forudsætninger!$C$32),IF(K363&gt;Forudsætninger!$C$31,Forudsætninger!$G$31+Forudsætninger!$H$32*(K363-Forudsætninger!$C$31),Forudsætninger!$G$31)))*(V363-Forudsætninger!$H$31)</f>
        <v>#N/A</v>
      </c>
      <c r="AD363" s="19" t="e">
        <f t="shared" si="137"/>
        <v>#N/A</v>
      </c>
      <c r="AE363" s="19" t="e">
        <f t="shared" si="138"/>
        <v>#N/A</v>
      </c>
      <c r="AF363" t="e">
        <f>IF(G363&lt;=Forudsætninger!$C$97,Forudsætninger!$C$98,(IF(G363&lt;=Forudsætninger!$D$97,Forudsætninger!$D$98,IF(G363&lt;=Forudsætninger!$E$97,Forudsætninger!$E$98,IF(G363&lt;=Forudsætninger!$F$97,Forudsætninger!$F$98,IF(G363&lt;=Forudsætninger!$G$97,Forudsætninger!$G$98,IF(G363&lt;=Forudsætninger!$H$97,Forudsætninger!$H$98,IF(G363&lt;=Forudsætninger!$I$97,Forudsætninger!$I$98,Forudsætninger!$I$98))))))))</f>
        <v>#N/A</v>
      </c>
      <c r="AG363" s="1" t="e">
        <f t="shared" si="148"/>
        <v>#N/A</v>
      </c>
      <c r="AH363" s="1" t="e">
        <f t="shared" si="152"/>
        <v>#N/A</v>
      </c>
      <c r="AI363" s="1" t="e">
        <f t="shared" si="139"/>
        <v>#N/A</v>
      </c>
      <c r="AJ363" s="20" t="e">
        <f>+(W363*Forudsætninger!$C$12)</f>
        <v>#N/A</v>
      </c>
      <c r="AK363" s="20">
        <f>Forudsætninger!$C$17</f>
        <v>250</v>
      </c>
      <c r="AL363" s="20">
        <f>IF(A363&lt;92,Forudsætninger!$C$20,Forudsætninger!$C$21)</f>
        <v>1.0566762728146013</v>
      </c>
      <c r="AM363" s="20">
        <f t="shared" si="149"/>
        <v>649.96561733935948</v>
      </c>
      <c r="AN363" s="20">
        <f>IFERROR(AD363+AJ363-AA363-Z363-AK363-AM363-Forudsætninger!$C$75,-99999999)</f>
        <v>-99999999</v>
      </c>
      <c r="AO363" s="19">
        <f>IFERROR(AN363/(A363+Forudsætninger!$C$74),-99999999)</f>
        <v>-277008.3074792244</v>
      </c>
      <c r="AP363" s="19">
        <f>IFERROR(((365/(A363+Forudsætninger!$C$74))*AN363)/(AI363+Forudsætninger!$C$73),-9999999)</f>
        <v>-9999999</v>
      </c>
      <c r="AQ363" s="18">
        <f t="shared" si="140"/>
        <v>361</v>
      </c>
      <c r="AR363" s="18" t="e">
        <f t="shared" si="150"/>
        <v>#N/A</v>
      </c>
      <c r="AS363" s="52">
        <f t="shared" si="131"/>
        <v>13.2</v>
      </c>
      <c r="AT363" s="50">
        <f t="shared" si="153"/>
        <v>0</v>
      </c>
      <c r="AU363" s="50">
        <f t="shared" si="154"/>
        <v>769.46752077562269</v>
      </c>
      <c r="AV363" s="2">
        <f t="shared" si="155"/>
        <v>0</v>
      </c>
      <c r="AW363" s="61">
        <f t="shared" si="151"/>
        <v>-277006.50702045055</v>
      </c>
      <c r="BA363" s="16"/>
      <c r="BB363" s="2"/>
    </row>
    <row r="364" spans="1:54" x14ac:dyDescent="0.25">
      <c r="A364">
        <v>362</v>
      </c>
      <c r="B364" s="1">
        <f>ROUND((A364+Forudsætninger!$C$60)/30.4,1)</f>
        <v>13.2</v>
      </c>
      <c r="C364" s="1" t="e">
        <f>VLOOKUP((A364+Forudsætninger!$C$60),'Model tilvækst, slagteform, fe'!A:B,2,FALSE)</f>
        <v>#N/A</v>
      </c>
      <c r="D364" s="3" t="e">
        <f t="shared" si="157"/>
        <v>#N/A</v>
      </c>
      <c r="E364" s="1" t="e">
        <f>(1+Forudsætninger!$C$78)*C364</f>
        <v>#N/A</v>
      </c>
      <c r="F364" s="2" t="e">
        <f t="shared" si="142"/>
        <v>#N/A</v>
      </c>
      <c r="G364" s="1" t="e">
        <f t="shared" si="132"/>
        <v>#N/A</v>
      </c>
      <c r="H364" s="3" t="e">
        <f t="shared" si="133"/>
        <v>#N/A</v>
      </c>
      <c r="I364" s="3" t="e">
        <f t="shared" si="134"/>
        <v>#N/A</v>
      </c>
      <c r="J364" s="1" t="e">
        <f>VLOOKUP((A364+Forudsætninger!$C$60),'Model tilvækst, slagteform, fe'!G:K,2,FALSE)*(1+Forudsætninger!$C$79)</f>
        <v>#N/A</v>
      </c>
      <c r="K364" s="17" t="e">
        <f t="shared" si="130"/>
        <v>#N/A</v>
      </c>
      <c r="L364" s="17" t="e">
        <f t="shared" si="143"/>
        <v>#N/A</v>
      </c>
      <c r="M364" s="3" t="e">
        <f>((K364-(('Model tilvækst, slagteform, fe'!$H$9/100)*'Model tilvækst, slagteform, fe'!$B$9))*1000/(A364+Forudsætninger!$C$60))</f>
        <v>#N/A</v>
      </c>
      <c r="N364" s="17" t="e">
        <f t="shared" si="144"/>
        <v>#N/A</v>
      </c>
      <c r="O364" s="19" t="e">
        <f>IF( A364&lt;Forudsætninger!$C$14,(G364/100)*Forudsætninger!$C$13,(Forudsætninger!$C$15/1000)*Forudsætninger!$C$13)</f>
        <v>#N/A</v>
      </c>
      <c r="P364" s="17" t="e" cm="1">
        <f t="array" ref="P364">INDEX('Model tilvækst, slagteform, fe'!$N$9:$N$375,MATCH(MIN(ABS('Model tilvækst, slagteform, fe'!$M$9:$M$375-'Vækstfunktion, hol'!G364)),ABS('Model tilvækst, slagteform, fe'!$M$9:$M$375-'Vækstfunktion, hol'!G364),0))*(1+Forudsætninger!$C$80)</f>
        <v>#N/A</v>
      </c>
      <c r="Q364" s="17" t="e">
        <f t="shared" si="145"/>
        <v>#N/A</v>
      </c>
      <c r="R364" s="17" t="e">
        <f t="shared" si="146"/>
        <v>#N/A</v>
      </c>
      <c r="S364" s="17" t="e">
        <f t="shared" si="135"/>
        <v>#N/A</v>
      </c>
      <c r="T364" s="19" t="e">
        <f>(P364)*IF(N364&lt;Forudsætninger!$B$228,IF(N364&lt;Forudsætninger!$B$227,Forudsætninger!$B$225,Forudsætninger!$C$9),Forudsætninger!$C$11)+O364</f>
        <v>#N/A</v>
      </c>
      <c r="V364" s="2">
        <f>U364+Forudsætninger!$C$69</f>
        <v>-1</v>
      </c>
      <c r="W364" t="e">
        <f t="shared" si="136"/>
        <v>#N/A</v>
      </c>
      <c r="X364">
        <f>IF(A364+Forudsætninger!$C$60&gt;248,IF(A364+Forudsætninger!$C$60&lt;365,IF(K364&gt;180,IF(K364&lt;260,1,0),0),0),0)</f>
        <v>0</v>
      </c>
      <c r="Y364" s="22">
        <f>IF(X364=0,0,IF('Vækstfunktion, hol'!A364&lt;Forudsætninger!$C$66,Forudsætninger!$C$67+(('Vækstfunktion, hol'!A364-Forudsætninger!$C$66)/7)*Forudsætninger!$C$64,Forudsætninger!$C$67))</f>
        <v>0</v>
      </c>
      <c r="Z364" s="19" t="e">
        <f t="shared" si="147"/>
        <v>#N/A</v>
      </c>
      <c r="AA364" s="19">
        <f>Forudsætninger!$C$62+Forudsætninger!$C$16</f>
        <v>1350</v>
      </c>
      <c r="AB364" s="19" t="e">
        <f>IF(K364&gt;Forudsætninger!$C$26,IF(K364&gt;Forudsætninger!$C$27,IF(K364&gt;Forudsætninger!$C$28,Forudsætninger!$E$28,Forudsætninger!$E$27+Forudsætninger!$F$28*(K364-Forudsætninger!$C$27)),Forudsætninger!$E$26+Forudsætninger!$F$27*(K364-Forudsætninger!$C$26)),Forudsætninger!$E$26)+IF(K364&gt;Forudsætninger!$C$28,Forudsætninger!$G$28,IF(K364&gt;Forudsætninger!$C$27,Forudsætninger!$G$27+Forudsætninger!$H$28*(K364-Forudsætninger!$C$27),IF(K364&gt;Forudsætninger!$C$26,Forudsætninger!$G$26+Forudsætninger!$H$27*(K364-Forudsætninger!$C$26),Forudsætninger!$G$26)))*(U364-Forudsætninger!$H$26)</f>
        <v>#N/A</v>
      </c>
      <c r="AC364" s="19" t="e">
        <f>IF(K364&gt;Forudsætninger!$C$31,IF(K364&gt;Forudsætninger!$C$32,IF(K364&gt;Forudsætninger!$C$33,Forudsætninger!$E$33,Forudsætninger!$E$32+Forudsætninger!$F$33*(K364-Forudsætninger!$C$32)),Forudsætninger!$E$31+Forudsætninger!$F$32*(K364-Forudsætninger!$C$31)),Forudsætninger!$E$31)+IF(K364&gt;Forudsætninger!$C$33,Forudsætninger!$G$33,IF(K364&gt;Forudsætninger!$C$32,Forudsætninger!$G$32+Forudsætninger!$H$33*(K364-Forudsætninger!$C$32),IF(K364&gt;Forudsætninger!$C$31,Forudsætninger!$G$31+Forudsætninger!$H$32*(K364-Forudsætninger!$C$31),Forudsætninger!$G$31)))*(V364-Forudsætninger!$H$31)</f>
        <v>#N/A</v>
      </c>
      <c r="AD364" s="19" t="e">
        <f t="shared" si="137"/>
        <v>#N/A</v>
      </c>
      <c r="AE364" s="19" t="e">
        <f t="shared" si="138"/>
        <v>#N/A</v>
      </c>
      <c r="AF364" t="e">
        <f>IF(G364&lt;=Forudsætninger!$C$97,Forudsætninger!$C$98,(IF(G364&lt;=Forudsætninger!$D$97,Forudsætninger!$D$98,IF(G364&lt;=Forudsætninger!$E$97,Forudsætninger!$E$98,IF(G364&lt;=Forudsætninger!$F$97,Forudsætninger!$F$98,IF(G364&lt;=Forudsætninger!$G$97,Forudsætninger!$G$98,IF(G364&lt;=Forudsætninger!$H$97,Forudsætninger!$H$98,IF(G364&lt;=Forudsætninger!$I$97,Forudsætninger!$I$98,Forudsætninger!$I$98))))))))</f>
        <v>#N/A</v>
      </c>
      <c r="AG364" s="1" t="e">
        <f t="shared" si="148"/>
        <v>#N/A</v>
      </c>
      <c r="AH364" s="1" t="e">
        <f t="shared" si="152"/>
        <v>#N/A</v>
      </c>
      <c r="AI364" s="1" t="e">
        <f t="shared" si="139"/>
        <v>#N/A</v>
      </c>
      <c r="AJ364" s="20" t="e">
        <f>+(W364*Forudsætninger!$C$12)</f>
        <v>#N/A</v>
      </c>
      <c r="AK364" s="20">
        <f>Forudsætninger!$C$17</f>
        <v>250</v>
      </c>
      <c r="AL364" s="20">
        <f>IF(A364&lt;92,Forudsætninger!$C$20,Forudsætninger!$C$21)</f>
        <v>1.0566762728146013</v>
      </c>
      <c r="AM364" s="20">
        <f t="shared" si="149"/>
        <v>651.02229361217405</v>
      </c>
      <c r="AN364" s="20">
        <f>IFERROR(AD364+AJ364-AA364-Z364-AK364-AM364-Forudsætninger!$C$75,-99999999)</f>
        <v>-99999999</v>
      </c>
      <c r="AO364" s="19">
        <f>IFERROR(AN364/(A364+Forudsætninger!$C$74),-99999999)</f>
        <v>-276243.09116022097</v>
      </c>
      <c r="AP364" s="19">
        <f>IFERROR(((365/(A364+Forudsætninger!$C$74))*AN364)/(AI364+Forudsætninger!$C$73),-9999999)</f>
        <v>-9999999</v>
      </c>
      <c r="AQ364" s="18">
        <f t="shared" si="140"/>
        <v>362</v>
      </c>
      <c r="AR364" s="18" t="e">
        <f t="shared" si="150"/>
        <v>#N/A</v>
      </c>
      <c r="AS364" s="52">
        <f t="shared" si="131"/>
        <v>13.2</v>
      </c>
      <c r="AT364" s="50">
        <f t="shared" si="153"/>
        <v>0</v>
      </c>
      <c r="AU364" s="50">
        <f t="shared" si="154"/>
        <v>765.21631900343345</v>
      </c>
      <c r="AV364" s="2">
        <f t="shared" si="155"/>
        <v>0</v>
      </c>
      <c r="AW364" s="61">
        <f t="shared" si="151"/>
        <v>-276241.292756095</v>
      </c>
      <c r="BA364" s="16"/>
      <c r="BB364" s="2"/>
    </row>
    <row r="365" spans="1:54" x14ac:dyDescent="0.25">
      <c r="A365">
        <v>363</v>
      </c>
      <c r="B365" s="1">
        <f>ROUND((A365+Forudsætninger!$C$60)/30.4,1)</f>
        <v>13.2</v>
      </c>
      <c r="C365" s="1" t="e">
        <f>VLOOKUP((A365+Forudsætninger!$C$60),'Model tilvækst, slagteform, fe'!A:B,2,FALSE)</f>
        <v>#N/A</v>
      </c>
      <c r="D365" s="3" t="e">
        <f t="shared" si="157"/>
        <v>#N/A</v>
      </c>
      <c r="E365" s="1" t="e">
        <f>(1+Forudsætninger!$C$78)*C365</f>
        <v>#N/A</v>
      </c>
      <c r="F365" s="2" t="e">
        <f t="shared" si="142"/>
        <v>#N/A</v>
      </c>
      <c r="G365" s="1" t="e">
        <f t="shared" si="132"/>
        <v>#N/A</v>
      </c>
      <c r="H365" s="3" t="e">
        <f t="shared" si="133"/>
        <v>#N/A</v>
      </c>
      <c r="I365" s="3" t="e">
        <f t="shared" si="134"/>
        <v>#N/A</v>
      </c>
      <c r="J365" s="1" t="e">
        <f>VLOOKUP((A365+Forudsætninger!$C$60),'Model tilvækst, slagteform, fe'!G:K,2,FALSE)*(1+Forudsætninger!$C$79)</f>
        <v>#N/A</v>
      </c>
      <c r="K365" s="17" t="e">
        <f t="shared" si="130"/>
        <v>#N/A</v>
      </c>
      <c r="L365" s="17" t="e">
        <f t="shared" si="143"/>
        <v>#N/A</v>
      </c>
      <c r="M365" s="3" t="e">
        <f>((K365-(('Model tilvækst, slagteform, fe'!$H$9/100)*'Model tilvækst, slagteform, fe'!$B$9))*1000/(A365+Forudsætninger!$C$60))</f>
        <v>#N/A</v>
      </c>
      <c r="N365" s="17" t="e">
        <f t="shared" si="144"/>
        <v>#N/A</v>
      </c>
      <c r="O365" s="19" t="e">
        <f>IF( A365&lt;Forudsætninger!$C$14,(G365/100)*Forudsætninger!$C$13,(Forudsætninger!$C$15/1000)*Forudsætninger!$C$13)</f>
        <v>#N/A</v>
      </c>
      <c r="P365" s="17" t="e" cm="1">
        <f t="array" ref="P365">INDEX('Model tilvækst, slagteform, fe'!$N$9:$N$375,MATCH(MIN(ABS('Model tilvækst, slagteform, fe'!$M$9:$M$375-'Vækstfunktion, hol'!G365)),ABS('Model tilvækst, slagteform, fe'!$M$9:$M$375-'Vækstfunktion, hol'!G365),0))*(1+Forudsætninger!$C$80)</f>
        <v>#N/A</v>
      </c>
      <c r="Q365" s="17" t="e">
        <f t="shared" si="145"/>
        <v>#N/A</v>
      </c>
      <c r="R365" s="17" t="e">
        <f t="shared" si="146"/>
        <v>#N/A</v>
      </c>
      <c r="S365" s="17" t="e">
        <f t="shared" si="135"/>
        <v>#N/A</v>
      </c>
      <c r="T365" s="19" t="e">
        <f>(P365)*IF(N365&lt;Forudsætninger!$B$228,IF(N365&lt;Forudsætninger!$B$227,Forudsætninger!$B$225,Forudsætninger!$C$9),Forudsætninger!$C$11)+O365</f>
        <v>#N/A</v>
      </c>
      <c r="V365" s="2">
        <f>U365+Forudsætninger!$C$69</f>
        <v>-1</v>
      </c>
      <c r="W365" t="e">
        <f t="shared" si="136"/>
        <v>#N/A</v>
      </c>
      <c r="X365">
        <f>IF(A365+Forudsætninger!$C$60&gt;248,IF(A365+Forudsætninger!$C$60&lt;365,IF(K365&gt;180,IF(K365&lt;260,1,0),0),0),0)</f>
        <v>0</v>
      </c>
      <c r="Y365" s="22">
        <f>IF(X365=0,0,IF('Vækstfunktion, hol'!A365&lt;Forudsætninger!$C$66,Forudsætninger!$C$67+(('Vækstfunktion, hol'!A365-Forudsætninger!$C$66)/7)*Forudsætninger!$C$64,Forudsætninger!$C$67))</f>
        <v>0</v>
      </c>
      <c r="Z365" s="19" t="e">
        <f t="shared" si="147"/>
        <v>#N/A</v>
      </c>
      <c r="AA365" s="19">
        <f>Forudsætninger!$C$62+Forudsætninger!$C$16</f>
        <v>1350</v>
      </c>
      <c r="AB365" s="19" t="e">
        <f>IF(K365&gt;Forudsætninger!$C$26,IF(K365&gt;Forudsætninger!$C$27,IF(K365&gt;Forudsætninger!$C$28,Forudsætninger!$E$28,Forudsætninger!$E$27+Forudsætninger!$F$28*(K365-Forudsætninger!$C$27)),Forudsætninger!$E$26+Forudsætninger!$F$27*(K365-Forudsætninger!$C$26)),Forudsætninger!$E$26)+IF(K365&gt;Forudsætninger!$C$28,Forudsætninger!$G$28,IF(K365&gt;Forudsætninger!$C$27,Forudsætninger!$G$27+Forudsætninger!$H$28*(K365-Forudsætninger!$C$27),IF(K365&gt;Forudsætninger!$C$26,Forudsætninger!$G$26+Forudsætninger!$H$27*(K365-Forudsætninger!$C$26),Forudsætninger!$G$26)))*(U365-Forudsætninger!$H$26)</f>
        <v>#N/A</v>
      </c>
      <c r="AC365" s="19" t="e">
        <f>IF(K365&gt;Forudsætninger!$C$31,IF(K365&gt;Forudsætninger!$C$32,IF(K365&gt;Forudsætninger!$C$33,Forudsætninger!$E$33,Forudsætninger!$E$32+Forudsætninger!$F$33*(K365-Forudsætninger!$C$32)),Forudsætninger!$E$31+Forudsætninger!$F$32*(K365-Forudsætninger!$C$31)),Forudsætninger!$E$31)+IF(K365&gt;Forudsætninger!$C$33,Forudsætninger!$G$33,IF(K365&gt;Forudsætninger!$C$32,Forudsætninger!$G$32+Forudsætninger!$H$33*(K365-Forudsætninger!$C$32),IF(K365&gt;Forudsætninger!$C$31,Forudsætninger!$G$31+Forudsætninger!$H$32*(K365-Forudsætninger!$C$31),Forudsætninger!$G$31)))*(V365-Forudsætninger!$H$31)</f>
        <v>#N/A</v>
      </c>
      <c r="AD365" s="19" t="e">
        <f t="shared" si="137"/>
        <v>#N/A</v>
      </c>
      <c r="AE365" s="19" t="e">
        <f t="shared" si="138"/>
        <v>#N/A</v>
      </c>
      <c r="AF365" t="e">
        <f>IF(G365&lt;=Forudsætninger!$C$97,Forudsætninger!$C$98,(IF(G365&lt;=Forudsætninger!$D$97,Forudsætninger!$D$98,IF(G365&lt;=Forudsætninger!$E$97,Forudsætninger!$E$98,IF(G365&lt;=Forudsætninger!$F$97,Forudsætninger!$F$98,IF(G365&lt;=Forudsætninger!$G$97,Forudsætninger!$G$98,IF(G365&lt;=Forudsætninger!$H$97,Forudsætninger!$H$98,IF(G365&lt;=Forudsætninger!$I$97,Forudsætninger!$I$98,Forudsætninger!$I$98))))))))</f>
        <v>#N/A</v>
      </c>
      <c r="AG365" s="1" t="e">
        <f t="shared" si="148"/>
        <v>#N/A</v>
      </c>
      <c r="AH365" s="1" t="e">
        <f t="shared" si="152"/>
        <v>#N/A</v>
      </c>
      <c r="AI365" s="1" t="e">
        <f t="shared" si="139"/>
        <v>#N/A</v>
      </c>
      <c r="AJ365" s="20" t="e">
        <f>+(W365*Forudsætninger!$C$12)</f>
        <v>#N/A</v>
      </c>
      <c r="AK365" s="20">
        <f>Forudsætninger!$C$17</f>
        <v>250</v>
      </c>
      <c r="AL365" s="20">
        <f>IF(A365&lt;92,Forudsætninger!$C$20,Forudsætninger!$C$21)</f>
        <v>1.0566762728146013</v>
      </c>
      <c r="AM365" s="20">
        <f t="shared" si="149"/>
        <v>652.07896988498862</v>
      </c>
      <c r="AN365" s="20">
        <f>IFERROR(AD365+AJ365-AA365-Z365-AK365-AM365-Forudsætninger!$C$75,-99999999)</f>
        <v>-99999999</v>
      </c>
      <c r="AO365" s="19">
        <f>IFERROR(AN365/(A365+Forudsætninger!$C$74),-99999999)</f>
        <v>-275482.09090909088</v>
      </c>
      <c r="AP365" s="19">
        <f>IFERROR(((365/(A365+Forudsætninger!$C$74))*AN365)/(AI365+Forudsætninger!$C$73),-9999999)</f>
        <v>-9999999</v>
      </c>
      <c r="AQ365" s="18">
        <f t="shared" si="140"/>
        <v>363</v>
      </c>
      <c r="AR365" s="18" t="e">
        <f t="shared" si="150"/>
        <v>#N/A</v>
      </c>
      <c r="AS365" s="52">
        <f t="shared" si="131"/>
        <v>13.2</v>
      </c>
      <c r="AT365" s="50">
        <f t="shared" si="153"/>
        <v>0</v>
      </c>
      <c r="AU365" s="50">
        <f t="shared" si="154"/>
        <v>761.00025113008451</v>
      </c>
      <c r="AV365" s="2">
        <f t="shared" si="155"/>
        <v>0</v>
      </c>
      <c r="AW365" s="61">
        <f t="shared" si="151"/>
        <v>-275480.29454829235</v>
      </c>
      <c r="BA365" s="16"/>
      <c r="BB365" s="2"/>
    </row>
    <row r="366" spans="1:54" x14ac:dyDescent="0.25">
      <c r="A366">
        <v>364</v>
      </c>
      <c r="B366" s="1">
        <f>ROUND((A366+Forudsætninger!$C$60)/30.4,1)</f>
        <v>13.3</v>
      </c>
      <c r="C366" s="1" t="e">
        <f>VLOOKUP((A366+Forudsætninger!$C$60),'Model tilvækst, slagteform, fe'!A:B,2,FALSE)</f>
        <v>#N/A</v>
      </c>
      <c r="D366" s="3" t="e">
        <f t="shared" si="157"/>
        <v>#N/A</v>
      </c>
      <c r="E366" s="1" t="e">
        <f>(1+Forudsætninger!$C$78)*C366</f>
        <v>#N/A</v>
      </c>
      <c r="F366" s="2" t="e">
        <f t="shared" si="142"/>
        <v>#N/A</v>
      </c>
      <c r="G366" s="1" t="e">
        <f t="shared" si="132"/>
        <v>#N/A</v>
      </c>
      <c r="H366" s="3" t="e">
        <f t="shared" si="133"/>
        <v>#N/A</v>
      </c>
      <c r="I366" s="3" t="e">
        <f t="shared" si="134"/>
        <v>#N/A</v>
      </c>
      <c r="J366" s="1" t="e">
        <f>VLOOKUP((A366+Forudsætninger!$C$60),'Model tilvækst, slagteform, fe'!G:K,2,FALSE)*(1+Forudsætninger!$C$79)</f>
        <v>#N/A</v>
      </c>
      <c r="K366" s="17" t="e">
        <f t="shared" si="130"/>
        <v>#N/A</v>
      </c>
      <c r="L366" s="17" t="e">
        <f t="shared" si="143"/>
        <v>#N/A</v>
      </c>
      <c r="M366" s="3" t="e">
        <f>((K366-(('Model tilvækst, slagteform, fe'!$H$9/100)*'Model tilvækst, slagteform, fe'!$B$9))*1000/(A366+Forudsætninger!$C$60))</f>
        <v>#N/A</v>
      </c>
      <c r="N366" s="17" t="e">
        <f t="shared" si="144"/>
        <v>#N/A</v>
      </c>
      <c r="O366" s="19" t="e">
        <f>IF( A366&lt;Forudsætninger!$C$14,(G366/100)*Forudsætninger!$C$13,(Forudsætninger!$C$15/1000)*Forudsætninger!$C$13)</f>
        <v>#N/A</v>
      </c>
      <c r="P366" s="17" t="e" cm="1">
        <f t="array" ref="P366">INDEX('Model tilvækst, slagteform, fe'!$N$9:$N$375,MATCH(MIN(ABS('Model tilvækst, slagteform, fe'!$M$9:$M$375-'Vækstfunktion, hol'!G366)),ABS('Model tilvækst, slagteform, fe'!$M$9:$M$375-'Vækstfunktion, hol'!G366),0))*(1+Forudsætninger!$C$80)</f>
        <v>#N/A</v>
      </c>
      <c r="Q366" s="17" t="e">
        <f t="shared" si="145"/>
        <v>#N/A</v>
      </c>
      <c r="R366" s="17" t="e">
        <f t="shared" si="146"/>
        <v>#N/A</v>
      </c>
      <c r="S366" s="17" t="e">
        <f t="shared" si="135"/>
        <v>#N/A</v>
      </c>
      <c r="T366" s="19" t="e">
        <f>(P366)*IF(N366&lt;Forudsætninger!$B$228,IF(N366&lt;Forudsætninger!$B$227,Forudsætninger!$B$225,Forudsætninger!$C$9),Forudsætninger!$C$11)+O366</f>
        <v>#N/A</v>
      </c>
      <c r="V366" s="2">
        <f>U366+Forudsætninger!$C$69</f>
        <v>-1</v>
      </c>
      <c r="W366" t="e">
        <f t="shared" si="136"/>
        <v>#N/A</v>
      </c>
      <c r="X366">
        <f>IF(A366+Forudsætninger!$C$60&gt;248,IF(A366+Forudsætninger!$C$60&lt;365,IF(K366&gt;180,IF(K366&lt;260,1,0),0),0),0)</f>
        <v>0</v>
      </c>
      <c r="Y366" s="22">
        <f>IF(X366=0,0,IF('Vækstfunktion, hol'!A366&lt;Forudsætninger!$C$66,Forudsætninger!$C$67+(('Vækstfunktion, hol'!A366-Forudsætninger!$C$66)/7)*Forudsætninger!$C$64,Forudsætninger!$C$67))</f>
        <v>0</v>
      </c>
      <c r="Z366" s="19" t="e">
        <f t="shared" si="147"/>
        <v>#N/A</v>
      </c>
      <c r="AA366" s="19">
        <f>Forudsætninger!$C$62+Forudsætninger!$C$16</f>
        <v>1350</v>
      </c>
      <c r="AB366" s="19" t="e">
        <f>IF(K366&gt;Forudsætninger!$C$26,IF(K366&gt;Forudsætninger!$C$27,IF(K366&gt;Forudsætninger!$C$28,Forudsætninger!$E$28,Forudsætninger!$E$27+Forudsætninger!$F$28*(K366-Forudsætninger!$C$27)),Forudsætninger!$E$26+Forudsætninger!$F$27*(K366-Forudsætninger!$C$26)),Forudsætninger!$E$26)+IF(K366&gt;Forudsætninger!$C$28,Forudsætninger!$G$28,IF(K366&gt;Forudsætninger!$C$27,Forudsætninger!$G$27+Forudsætninger!$H$28*(K366-Forudsætninger!$C$27),IF(K366&gt;Forudsætninger!$C$26,Forudsætninger!$G$26+Forudsætninger!$H$27*(K366-Forudsætninger!$C$26),Forudsætninger!$G$26)))*(U366-Forudsætninger!$H$26)</f>
        <v>#N/A</v>
      </c>
      <c r="AC366" s="19" t="e">
        <f>IF(K366&gt;Forudsætninger!$C$31,IF(K366&gt;Forudsætninger!$C$32,IF(K366&gt;Forudsætninger!$C$33,Forudsætninger!$E$33,Forudsætninger!$E$32+Forudsætninger!$F$33*(K366-Forudsætninger!$C$32)),Forudsætninger!$E$31+Forudsætninger!$F$32*(K366-Forudsætninger!$C$31)),Forudsætninger!$E$31)+IF(K366&gt;Forudsætninger!$C$33,Forudsætninger!$G$33,IF(K366&gt;Forudsætninger!$C$32,Forudsætninger!$G$32+Forudsætninger!$H$33*(K366-Forudsætninger!$C$32),IF(K366&gt;Forudsætninger!$C$31,Forudsætninger!$G$31+Forudsætninger!$H$32*(K366-Forudsætninger!$C$31),Forudsætninger!$G$31)))*(V366-Forudsætninger!$H$31)</f>
        <v>#N/A</v>
      </c>
      <c r="AD366" s="19" t="e">
        <f t="shared" si="137"/>
        <v>#N/A</v>
      </c>
      <c r="AE366" s="19" t="e">
        <f t="shared" si="138"/>
        <v>#N/A</v>
      </c>
      <c r="AF366" t="e">
        <f>IF(G366&lt;=Forudsætninger!$C$97,Forudsætninger!$C$98,(IF(G366&lt;=Forudsætninger!$D$97,Forudsætninger!$D$98,IF(G366&lt;=Forudsætninger!$E$97,Forudsætninger!$E$98,IF(G366&lt;=Forudsætninger!$F$97,Forudsætninger!$F$98,IF(G366&lt;=Forudsætninger!$G$97,Forudsætninger!$G$98,IF(G366&lt;=Forudsætninger!$H$97,Forudsætninger!$H$98,IF(G366&lt;=Forudsætninger!$I$97,Forudsætninger!$I$98,Forudsætninger!$I$98))))))))</f>
        <v>#N/A</v>
      </c>
      <c r="AG366" s="1" t="e">
        <f t="shared" si="148"/>
        <v>#N/A</v>
      </c>
      <c r="AH366" s="1" t="e">
        <f t="shared" si="152"/>
        <v>#N/A</v>
      </c>
      <c r="AI366" s="1" t="e">
        <f t="shared" si="139"/>
        <v>#N/A</v>
      </c>
      <c r="AJ366" s="20" t="e">
        <f>+(W366*Forudsætninger!$C$12)</f>
        <v>#N/A</v>
      </c>
      <c r="AK366" s="20">
        <f>Forudsætninger!$C$17</f>
        <v>250</v>
      </c>
      <c r="AL366" s="20">
        <f>IF(A366&lt;92,Forudsætninger!$C$20,Forudsætninger!$C$21)</f>
        <v>1.0566762728146013</v>
      </c>
      <c r="AM366" s="20">
        <f t="shared" si="149"/>
        <v>653.13564615780319</v>
      </c>
      <c r="AN366" s="20">
        <f>IFERROR(AD366+AJ366-AA366-Z366-AK366-AM366-Forudsætninger!$C$75,-99999999)</f>
        <v>-99999999</v>
      </c>
      <c r="AO366" s="19">
        <f>IFERROR(AN366/(A366+Forudsætninger!$C$74),-99999999)</f>
        <v>-274725.27197802201</v>
      </c>
      <c r="AP366" s="19">
        <f>IFERROR(((365/(A366+Forudsætninger!$C$74))*AN366)/(AI366+Forudsætninger!$C$73),-9999999)</f>
        <v>-9999999</v>
      </c>
      <c r="AQ366" s="18">
        <f t="shared" si="140"/>
        <v>364</v>
      </c>
      <c r="AR366" s="18" t="e">
        <f t="shared" si="150"/>
        <v>#N/A</v>
      </c>
      <c r="AS366" s="52">
        <f t="shared" si="131"/>
        <v>13.3</v>
      </c>
      <c r="AT366" s="50">
        <f t="shared" si="153"/>
        <v>0</v>
      </c>
      <c r="AU366" s="50">
        <f t="shared" si="154"/>
        <v>756.81893106887583</v>
      </c>
      <c r="AV366" s="2">
        <f t="shared" si="155"/>
        <v>0</v>
      </c>
      <c r="AW366" s="61">
        <f t="shared" si="151"/>
        <v>-274723.4776493237</v>
      </c>
      <c r="BA366" s="16"/>
      <c r="BB366" s="2"/>
    </row>
    <row r="367" spans="1:54" x14ac:dyDescent="0.25">
      <c r="A367">
        <v>365</v>
      </c>
      <c r="B367" s="1">
        <f>ROUND((A367+Forudsætninger!$C$60)/30.4,1)</f>
        <v>13.3</v>
      </c>
      <c r="C367" s="1" t="e">
        <f>VLOOKUP((A367+Forudsætninger!$C$60),'Model tilvækst, slagteform, fe'!A:B,2,FALSE)</f>
        <v>#N/A</v>
      </c>
      <c r="D367" s="3" t="e">
        <f t="shared" si="157"/>
        <v>#N/A</v>
      </c>
      <c r="E367" s="1" t="e">
        <f>(1+Forudsætninger!$C$78)*C367</f>
        <v>#N/A</v>
      </c>
      <c r="F367" s="2" t="e">
        <f t="shared" si="142"/>
        <v>#N/A</v>
      </c>
      <c r="G367" s="1" t="e">
        <f t="shared" si="132"/>
        <v>#N/A</v>
      </c>
      <c r="H367" s="3" t="e">
        <f t="shared" si="133"/>
        <v>#N/A</v>
      </c>
      <c r="I367" s="3" t="e">
        <f t="shared" si="134"/>
        <v>#N/A</v>
      </c>
      <c r="J367" s="1" t="e">
        <f>VLOOKUP((A367+Forudsætninger!$C$60),'Model tilvækst, slagteform, fe'!G:K,2,FALSE)*(1+Forudsætninger!$C$79)</f>
        <v>#N/A</v>
      </c>
      <c r="K367" s="17" t="e">
        <f t="shared" si="130"/>
        <v>#N/A</v>
      </c>
      <c r="L367" s="17" t="e">
        <f t="shared" si="143"/>
        <v>#N/A</v>
      </c>
      <c r="M367" s="3" t="e">
        <f>((K367-(('Model tilvækst, slagteform, fe'!$H$9/100)*'Model tilvækst, slagteform, fe'!$B$9))*1000/(A367+Forudsætninger!$C$60))</f>
        <v>#N/A</v>
      </c>
      <c r="N367" s="17" t="e">
        <f t="shared" si="144"/>
        <v>#N/A</v>
      </c>
      <c r="O367" s="19" t="e">
        <f>IF( A367&lt;Forudsætninger!$C$14,(G367/100)*Forudsætninger!$C$13,(Forudsætninger!$C$15/1000)*Forudsætninger!$C$13)</f>
        <v>#N/A</v>
      </c>
      <c r="P367" s="17" t="e" cm="1">
        <f t="array" ref="P367">INDEX('Model tilvækst, slagteform, fe'!$N$9:$N$375,MATCH(MIN(ABS('Model tilvækst, slagteform, fe'!$M$9:$M$375-'Vækstfunktion, hol'!G367)),ABS('Model tilvækst, slagteform, fe'!$M$9:$M$375-'Vækstfunktion, hol'!G367),0))*(1+Forudsætninger!$C$80)</f>
        <v>#N/A</v>
      </c>
      <c r="Q367" s="17" t="e">
        <f t="shared" si="145"/>
        <v>#N/A</v>
      </c>
      <c r="R367" s="17" t="e">
        <f t="shared" si="146"/>
        <v>#N/A</v>
      </c>
      <c r="S367" s="17" t="e">
        <f t="shared" si="135"/>
        <v>#N/A</v>
      </c>
      <c r="T367" s="19" t="e">
        <f>(P367)*IF(N367&lt;Forudsætninger!$B$228,IF(N367&lt;Forudsætninger!$B$227,Forudsætninger!$B$225,Forudsætninger!$C$9),Forudsætninger!$C$11)+O367</f>
        <v>#N/A</v>
      </c>
      <c r="V367" s="2">
        <f>U367+Forudsætninger!$C$69</f>
        <v>-1</v>
      </c>
      <c r="W367" t="e">
        <f t="shared" si="136"/>
        <v>#N/A</v>
      </c>
      <c r="X367">
        <f>IF(A367+Forudsætninger!$C$60&gt;248,IF(A367+Forudsætninger!$C$60&lt;365,IF(K367&gt;180,IF(K367&lt;260,1,0),0),0),0)</f>
        <v>0</v>
      </c>
      <c r="Y367" s="22">
        <f>IF(X367=0,0,IF('Vækstfunktion, hol'!A367&lt;Forudsætninger!$C$66,Forudsætninger!$C$67+(('Vækstfunktion, hol'!A367-Forudsætninger!$C$66)/7)*Forudsætninger!$C$64,Forudsætninger!$C$67))</f>
        <v>0</v>
      </c>
      <c r="Z367" s="19" t="e">
        <f t="shared" si="147"/>
        <v>#N/A</v>
      </c>
      <c r="AA367" s="19">
        <f>Forudsætninger!$C$62+Forudsætninger!$C$16</f>
        <v>1350</v>
      </c>
      <c r="AB367" s="19" t="e">
        <f>IF(K367&gt;Forudsætninger!$C$26,IF(K367&gt;Forudsætninger!$C$27,IF(K367&gt;Forudsætninger!$C$28,Forudsætninger!$E$28,Forudsætninger!$E$27+Forudsætninger!$F$28*(K367-Forudsætninger!$C$27)),Forudsætninger!$E$26+Forudsætninger!$F$27*(K367-Forudsætninger!$C$26)),Forudsætninger!$E$26)+IF(K367&gt;Forudsætninger!$C$28,Forudsætninger!$G$28,IF(K367&gt;Forudsætninger!$C$27,Forudsætninger!$G$27+Forudsætninger!$H$28*(K367-Forudsætninger!$C$27),IF(K367&gt;Forudsætninger!$C$26,Forudsætninger!$G$26+Forudsætninger!$H$27*(K367-Forudsætninger!$C$26),Forudsætninger!$G$26)))*(U367-Forudsætninger!$H$26)</f>
        <v>#N/A</v>
      </c>
      <c r="AC367" s="19" t="e">
        <f>IF(K367&gt;Forudsætninger!$C$31,IF(K367&gt;Forudsætninger!$C$32,IF(K367&gt;Forudsætninger!$C$33,Forudsætninger!$E$33,Forudsætninger!$E$32+Forudsætninger!$F$33*(K367-Forudsætninger!$C$32)),Forudsætninger!$E$31+Forudsætninger!$F$32*(K367-Forudsætninger!$C$31)),Forudsætninger!$E$31)+IF(K367&gt;Forudsætninger!$C$33,Forudsætninger!$G$33,IF(K367&gt;Forudsætninger!$C$32,Forudsætninger!$G$32+Forudsætninger!$H$33*(K367-Forudsætninger!$C$32),IF(K367&gt;Forudsætninger!$C$31,Forudsætninger!$G$31+Forudsætninger!$H$32*(K367-Forudsætninger!$C$31),Forudsætninger!$G$31)))*(V367-Forudsætninger!$H$31)</f>
        <v>#N/A</v>
      </c>
      <c r="AD367" s="19" t="e">
        <f t="shared" si="137"/>
        <v>#N/A</v>
      </c>
      <c r="AE367" s="19" t="e">
        <f t="shared" si="138"/>
        <v>#N/A</v>
      </c>
      <c r="AF367" t="e">
        <f>IF(G367&lt;=Forudsætninger!$C$97,Forudsætninger!$C$98,(IF(G367&lt;=Forudsætninger!$D$97,Forudsætninger!$D$98,IF(G367&lt;=Forudsætninger!$E$97,Forudsætninger!$E$98,IF(G367&lt;=Forudsætninger!$F$97,Forudsætninger!$F$98,IF(G367&lt;=Forudsætninger!$G$97,Forudsætninger!$G$98,IF(G367&lt;=Forudsætninger!$H$97,Forudsætninger!$H$98,IF(G367&lt;=Forudsætninger!$I$97,Forudsætninger!$I$98,Forudsætninger!$I$98))))))))</f>
        <v>#N/A</v>
      </c>
      <c r="AG367" s="1" t="e">
        <f t="shared" si="148"/>
        <v>#N/A</v>
      </c>
      <c r="AH367" s="1" t="e">
        <f t="shared" si="152"/>
        <v>#N/A</v>
      </c>
      <c r="AI367" s="1" t="e">
        <f t="shared" si="139"/>
        <v>#N/A</v>
      </c>
      <c r="AJ367" s="20" t="e">
        <f>+(W367*Forudsætninger!$C$12)</f>
        <v>#N/A</v>
      </c>
      <c r="AK367" s="20">
        <f>Forudsætninger!$C$17</f>
        <v>250</v>
      </c>
      <c r="AL367" s="20">
        <f>IF(A367&lt;92,Forudsætninger!$C$20,Forudsætninger!$C$21)</f>
        <v>1.0566762728146013</v>
      </c>
      <c r="AM367" s="20">
        <f t="shared" si="149"/>
        <v>654.19232243061776</v>
      </c>
      <c r="AN367" s="20">
        <f>IFERROR(AD367+AJ367-AA367-Z367-AK367-AM367-Forudsætninger!$C$75,-99999999)</f>
        <v>-99999999</v>
      </c>
      <c r="AO367" s="19">
        <f>IFERROR(AN367/(A367+Forudsætninger!$C$74),-99999999)</f>
        <v>-273972.59999999998</v>
      </c>
      <c r="AP367" s="19">
        <f>IFERROR(((365/(A367+Forudsætninger!$C$74))*AN367)/(AI367+Forudsætninger!$C$73),-9999999)</f>
        <v>-9999999</v>
      </c>
      <c r="AQ367" s="18">
        <f t="shared" si="140"/>
        <v>365</v>
      </c>
      <c r="AR367" s="18" t="e">
        <f t="shared" si="150"/>
        <v>#N/A</v>
      </c>
      <c r="AS367" s="52">
        <f t="shared" si="131"/>
        <v>13.3</v>
      </c>
      <c r="AT367" s="50">
        <f t="shared" si="153"/>
        <v>0</v>
      </c>
      <c r="AU367" s="50">
        <f t="shared" si="154"/>
        <v>752.67197802203009</v>
      </c>
      <c r="AV367" s="2">
        <f t="shared" si="155"/>
        <v>0</v>
      </c>
      <c r="AW367" s="61">
        <f t="shared" si="151"/>
        <v>-273970.80769226729</v>
      </c>
      <c r="BA367" s="16"/>
      <c r="BB367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B0FF-01CB-40FF-ABC5-0350CE9635AD}">
  <dimension ref="A1:BG367"/>
  <sheetViews>
    <sheetView workbookViewId="0">
      <selection activeCell="F9" sqref="F9"/>
    </sheetView>
  </sheetViews>
  <sheetFormatPr defaultRowHeight="15" x14ac:dyDescent="0.25"/>
  <cols>
    <col min="1" max="1" width="20.7109375" customWidth="1"/>
    <col min="2" max="2" width="12.85546875" style="1" customWidth="1"/>
    <col min="3" max="3" width="24" style="1" customWidth="1"/>
    <col min="4" max="6" width="22" style="3" customWidth="1"/>
    <col min="7" max="7" width="16.28515625" style="1" customWidth="1"/>
    <col min="8" max="8" width="19.28515625" style="1" customWidth="1"/>
    <col min="9" max="9" width="8.140625" style="3" customWidth="1"/>
    <col min="10" max="10" width="13.28515625" style="3" bestFit="1" customWidth="1"/>
    <col min="11" max="12" width="11.42578125" style="17" customWidth="1"/>
    <col min="13" max="13" width="21.7109375" style="3" customWidth="1"/>
    <col min="14" max="14" width="22.7109375" style="17" customWidth="1"/>
    <col min="15" max="15" width="19.140625" style="19" customWidth="1"/>
    <col min="16" max="16" width="20.85546875" style="17" bestFit="1" customWidth="1"/>
    <col min="17" max="18" width="20.85546875" style="17" customWidth="1"/>
    <col min="19" max="19" width="20.85546875" style="2" customWidth="1"/>
    <col min="20" max="20" width="24.7109375" style="19" customWidth="1"/>
    <col min="22" max="22" width="12.28515625" style="2" customWidth="1"/>
    <col min="23" max="23" width="14.42578125" customWidth="1"/>
    <col min="24" max="24" width="21.85546875" bestFit="1" customWidth="1"/>
    <col min="25" max="25" width="16.85546875" style="22" customWidth="1"/>
    <col min="26" max="26" width="21" style="19" customWidth="1"/>
    <col min="27" max="27" width="22.85546875" style="19" customWidth="1"/>
    <col min="28" max="28" width="15.28515625" style="19" customWidth="1"/>
    <col min="29" max="29" width="15.85546875" style="19" bestFit="1" customWidth="1"/>
    <col min="30" max="30" width="11.5703125" style="19" customWidth="1"/>
    <col min="31" max="31" width="9.140625" style="19"/>
    <col min="32" max="33" width="11.85546875" customWidth="1"/>
    <col min="34" max="34" width="12.140625" style="1" bestFit="1" customWidth="1"/>
    <col min="35" max="35" width="12.42578125" style="1" customWidth="1"/>
    <col min="36" max="39" width="18.42578125" style="3" customWidth="1"/>
    <col min="40" max="40" width="12.85546875" style="2" customWidth="1"/>
    <col min="41" max="41" width="24" style="58" bestFit="1" customWidth="1"/>
    <col min="42" max="42" width="24.28515625" style="2" customWidth="1"/>
    <col min="43" max="43" width="18.5703125" style="18" customWidth="1"/>
    <col min="44" max="44" width="15.7109375" style="18" customWidth="1"/>
    <col min="45" max="45" width="15.7109375" style="50" customWidth="1"/>
    <col min="46" max="46" width="15.7109375" style="18" customWidth="1"/>
    <col min="47" max="47" width="16" customWidth="1"/>
    <col min="49" max="49" width="9.140625" style="5"/>
    <col min="50" max="50" width="19.5703125" style="3" bestFit="1" customWidth="1"/>
    <col min="54" max="54" width="19.5703125" style="3" bestFit="1" customWidth="1"/>
    <col min="55" max="55" width="9.140625" style="5"/>
    <col min="56" max="57" width="9.140625" style="2"/>
    <col min="58" max="58" width="19.5703125" style="2" bestFit="1" customWidth="1"/>
  </cols>
  <sheetData>
    <row r="1" spans="1:59" x14ac:dyDescent="0.25">
      <c r="A1" t="s">
        <v>53</v>
      </c>
      <c r="B1" s="1" t="s">
        <v>21</v>
      </c>
      <c r="C1" s="1" t="s">
        <v>11</v>
      </c>
      <c r="D1" s="3" t="s">
        <v>12</v>
      </c>
      <c r="E1" s="1" t="s">
        <v>140</v>
      </c>
      <c r="F1" s="3" t="s">
        <v>141</v>
      </c>
      <c r="G1" s="1" t="s">
        <v>22</v>
      </c>
      <c r="H1" s="1" t="s">
        <v>97</v>
      </c>
      <c r="I1" s="1" t="s">
        <v>121</v>
      </c>
      <c r="J1" s="1" t="s">
        <v>98</v>
      </c>
      <c r="K1" s="17" t="s">
        <v>0</v>
      </c>
      <c r="L1" s="17" t="s">
        <v>99</v>
      </c>
      <c r="M1" s="17" t="s">
        <v>100</v>
      </c>
      <c r="N1" s="17" t="s">
        <v>101</v>
      </c>
      <c r="O1" s="19" t="s">
        <v>23</v>
      </c>
      <c r="P1" s="17" t="s">
        <v>102</v>
      </c>
      <c r="Q1" s="17" t="s">
        <v>103</v>
      </c>
      <c r="R1" s="17" t="s">
        <v>104</v>
      </c>
      <c r="S1" s="2" t="s">
        <v>105</v>
      </c>
      <c r="T1" s="19" t="s">
        <v>106</v>
      </c>
      <c r="U1" s="2" t="s">
        <v>4</v>
      </c>
      <c r="V1" s="17" t="s">
        <v>107</v>
      </c>
      <c r="W1" t="s">
        <v>1</v>
      </c>
      <c r="X1" t="s">
        <v>26</v>
      </c>
      <c r="Y1" s="22" t="s">
        <v>25</v>
      </c>
      <c r="Z1" s="19" t="s">
        <v>27</v>
      </c>
      <c r="AA1" s="19" t="s">
        <v>28</v>
      </c>
      <c r="AB1" s="19" t="s">
        <v>108</v>
      </c>
      <c r="AC1" s="19" t="s">
        <v>108</v>
      </c>
      <c r="AD1" s="19" t="s">
        <v>5</v>
      </c>
      <c r="AE1" s="19" t="s">
        <v>14</v>
      </c>
      <c r="AF1" s="23" t="s">
        <v>109</v>
      </c>
      <c r="AG1" s="7" t="s">
        <v>6</v>
      </c>
      <c r="AH1" s="21" t="s">
        <v>110</v>
      </c>
      <c r="AI1" s="21" t="s">
        <v>111</v>
      </c>
      <c r="AJ1" s="20" t="s">
        <v>7</v>
      </c>
      <c r="AK1" s="20" t="s">
        <v>112</v>
      </c>
      <c r="AL1" s="20" t="s">
        <v>113</v>
      </c>
      <c r="AM1" s="20" t="s">
        <v>114</v>
      </c>
      <c r="AN1" s="19" t="s">
        <v>115</v>
      </c>
      <c r="AO1" s="55" t="s">
        <v>116</v>
      </c>
      <c r="AP1" s="30" t="s">
        <v>117</v>
      </c>
      <c r="AQ1" s="18" t="s">
        <v>15</v>
      </c>
      <c r="AR1" s="18" t="s">
        <v>118</v>
      </c>
      <c r="AS1" s="50" t="s">
        <v>88</v>
      </c>
      <c r="AT1" s="50" t="s">
        <v>119</v>
      </c>
      <c r="AU1" s="50" t="s">
        <v>119</v>
      </c>
      <c r="AV1" s="50" t="s">
        <v>119</v>
      </c>
      <c r="AW1" s="50" t="s">
        <v>166</v>
      </c>
      <c r="AX1" s="5"/>
      <c r="AY1" s="3"/>
      <c r="BB1"/>
      <c r="BC1" s="3"/>
      <c r="BD1"/>
      <c r="BE1"/>
      <c r="BF1"/>
      <c r="BG1" s="2"/>
    </row>
    <row r="2" spans="1:59" x14ac:dyDescent="0.25">
      <c r="A2" s="6">
        <v>0</v>
      </c>
      <c r="B2" s="1" t="s">
        <v>120</v>
      </c>
      <c r="C2" s="1">
        <f>VLOOKUP((A2+Forudsætninger!$D$60),'Model tilvækst, slagteform, fe'!A:C,3,FALSE)</f>
        <v>69.366534250762825</v>
      </c>
      <c r="D2" s="3" t="s">
        <v>123</v>
      </c>
      <c r="E2" s="3">
        <f>(1+Forudsætninger!$D$78)*C2</f>
        <v>58.267888770640774</v>
      </c>
      <c r="F2" s="2">
        <f>(Forudsætninger!$D$61-$E$2)</f>
        <v>13.732111229359226</v>
      </c>
      <c r="G2" s="1">
        <f>E2+F2</f>
        <v>72</v>
      </c>
      <c r="H2" s="1" t="s">
        <v>123</v>
      </c>
      <c r="I2" s="1" t="s">
        <v>122</v>
      </c>
      <c r="J2" s="1">
        <f>VLOOKUP((A2+Forudsætninger!$D$60),'Model tilvækst, slagteform, fe'!G:K,3,FALSE)*(1+Forudsætninger!$D$79)</f>
        <v>48.555087235764191</v>
      </c>
      <c r="K2" s="17">
        <f>G2*(J2/100)</f>
        <v>34.959662809750213</v>
      </c>
      <c r="L2" s="17" t="s">
        <v>124</v>
      </c>
      <c r="M2" s="17" t="s">
        <v>125</v>
      </c>
      <c r="N2" s="17">
        <v>0</v>
      </c>
      <c r="O2" s="19" t="s">
        <v>126</v>
      </c>
      <c r="P2" s="17" t="s">
        <v>24</v>
      </c>
      <c r="Q2" s="17" t="s">
        <v>127</v>
      </c>
      <c r="T2" s="19" t="s">
        <v>128</v>
      </c>
      <c r="U2" s="2" t="s">
        <v>84</v>
      </c>
      <c r="V2" s="17" t="s">
        <v>30</v>
      </c>
      <c r="W2" t="s">
        <v>8</v>
      </c>
      <c r="X2" s="2" t="s">
        <v>9</v>
      </c>
      <c r="Y2" s="22" t="s">
        <v>10</v>
      </c>
      <c r="Z2" s="19">
        <v>0</v>
      </c>
      <c r="AA2" s="19" t="s">
        <v>129</v>
      </c>
      <c r="AB2" s="19" t="s">
        <v>31</v>
      </c>
      <c r="AC2" s="19" t="s">
        <v>30</v>
      </c>
      <c r="AD2" s="19" t="s">
        <v>130</v>
      </c>
      <c r="AE2" s="19" t="s">
        <v>131</v>
      </c>
      <c r="AF2" s="1" t="s">
        <v>132</v>
      </c>
      <c r="AG2" s="1" t="s">
        <v>132</v>
      </c>
      <c r="AH2" s="1" t="s">
        <v>133</v>
      </c>
      <c r="AI2" s="1" t="s">
        <v>134</v>
      </c>
      <c r="AJ2" s="4" t="str">
        <f>"Sl. præmie "&amp;Forudsætninger!C12&amp;" kr. pr. dyr"</f>
        <v>Sl. præmie 900 kr. pr. dyr</v>
      </c>
      <c r="AK2" s="4"/>
      <c r="AL2" s="4"/>
      <c r="AM2" s="4">
        <v>0</v>
      </c>
      <c r="AN2" s="11"/>
      <c r="AO2" s="56"/>
      <c r="AP2" s="11"/>
      <c r="AQ2" s="18" t="s">
        <v>29</v>
      </c>
      <c r="AR2" s="18" t="s">
        <v>135</v>
      </c>
      <c r="AS2" s="50" t="str">
        <f>B2</f>
        <v>Mdr.</v>
      </c>
      <c r="AT2" s="50" t="s">
        <v>136</v>
      </c>
      <c r="AU2" s="50" t="s">
        <v>137</v>
      </c>
      <c r="AV2" s="18" t="s">
        <v>138</v>
      </c>
      <c r="AW2" s="8" t="s">
        <v>163</v>
      </c>
      <c r="AX2" s="13"/>
      <c r="AY2" s="9"/>
      <c r="AZ2" s="9"/>
      <c r="BA2" s="9"/>
      <c r="BB2" s="14"/>
      <c r="BC2" s="10"/>
      <c r="BD2" s="10"/>
      <c r="BE2" s="10"/>
      <c r="BF2" s="15"/>
    </row>
    <row r="3" spans="1:59" x14ac:dyDescent="0.25">
      <c r="A3">
        <v>1</v>
      </c>
      <c r="B3" s="1">
        <f>ROUND((A3+Forudsætninger!$D$60)/30.4,1)</f>
        <v>1.2</v>
      </c>
      <c r="C3" s="1">
        <f>VLOOKUP((A3+Forudsætninger!$D$60),'Model tilvækst, slagteform, fe'!A:C,3,FALSE)</f>
        <v>70.34662298773128</v>
      </c>
      <c r="D3" s="3">
        <f>(C3-C2)*1000</f>
        <v>980.08873696845455</v>
      </c>
      <c r="E3" s="3">
        <f>(1+Forudsætninger!$D$78)*C3</f>
        <v>59.091163309694274</v>
      </c>
      <c r="F3" s="2">
        <f>MAX(F2-((D3/1000)/10),0)</f>
        <v>13.634102355662382</v>
      </c>
      <c r="G3" s="1">
        <f>E3+F3</f>
        <v>72.725265665356659</v>
      </c>
      <c r="H3" s="3">
        <f>(G3-G2)*1000</f>
        <v>725.26566535665893</v>
      </c>
      <c r="I3" s="3">
        <f>(G3-$G$2)*1000/A3</f>
        <v>725.26566535665893</v>
      </c>
      <c r="J3" s="1">
        <f>VLOOKUP((A3+Forudsætninger!$D$60),'Model tilvækst, slagteform, fe'!G:K,3,FALSE)*(1+Forudsætninger!$D$79)</f>
        <v>48.587314432971965</v>
      </c>
      <c r="K3" s="17">
        <f t="shared" ref="K3:K66" si="0">G3*(J3/100)</f>
        <v>35.335253501041045</v>
      </c>
      <c r="L3" s="17">
        <f>(K3-K2)*1000</f>
        <v>375.59069129083156</v>
      </c>
      <c r="M3" s="3">
        <f>((K3-(('Model tilvækst, slagteform, fe'!$I$9/100)*'Model tilvækst, slagteform, fe'!$C$9))*1000/(A3+Forudsætninger!$D$60))</f>
        <v>389.04830127633483</v>
      </c>
      <c r="N3" s="17">
        <f>N2+P3</f>
        <v>1.9046409489253098</v>
      </c>
      <c r="O3" s="19">
        <f>IF( A3&lt;Forudsætninger!$C$14,(G3/100)*Forudsætninger!$C$13,(Forudsætninger!$C$15/1000)*Forudsætninger!$C$13)</f>
        <v>0.47271422682481834</v>
      </c>
      <c r="P3" s="17" cm="1">
        <f t="array" ref="P3">INDEX('Model tilvækst, slagteform, fe'!$O$9:$O$375,MATCH(MIN(ABS('Model tilvækst, slagteform, fe'!$M$9:$M$375-G3)),ABS('Model tilvækst, slagteform, fe'!$M$9:$M$375-G3),0))*(1+Forudsætninger!$D$80)</f>
        <v>1.9046409489253098</v>
      </c>
      <c r="Q3" s="17">
        <f>P3/(L3/1000)</f>
        <v>5.0710547228405272</v>
      </c>
      <c r="R3" s="17">
        <f>N3/(K3-$K$2)</f>
        <v>5.0710547228405272</v>
      </c>
      <c r="S3" s="2">
        <f>N3/(G3-$G$2)</f>
        <v>2.6261286586463148</v>
      </c>
      <c r="T3" s="19">
        <f>(P3)*IF(N3&lt;Forudsætninger!$B$228,IF(N3&lt;Forudsætninger!$B$227,Forudsætninger!$B$225,Forudsætninger!$C$9),Forudsætninger!$C$11)+O3</f>
        <v>30.833016532343642</v>
      </c>
      <c r="U3" s="2">
        <f>Forudsætninger!$D$68+((K3-(Forudsætninger!$D$84)))*0.01</f>
        <v>5.4929632163700628</v>
      </c>
      <c r="V3" s="2">
        <f>U3+Forudsætninger!$D$69</f>
        <v>5.4929632163700628</v>
      </c>
      <c r="W3">
        <f t="shared" ref="W3:W66" si="1">IF(K3&gt;130,1,0)</f>
        <v>0</v>
      </c>
      <c r="X3">
        <f>IF(A3+Forudsætninger!$D$60&gt;248,IF(A3+Forudsætninger!$D$60&lt;365,IF(K3&gt;180,IF(K3&lt;260,1,0),0),0),0)</f>
        <v>0</v>
      </c>
      <c r="Y3" s="22">
        <f>IF(X3=0,0,IF('Vækstfunktion, kry tyr'!A3&lt;Forudsætninger!$D$66,Forudsætninger!$D$67+(('Vækstfunktion, kry tyr'!A3-Forudsætninger!$D$66)/7)*Forudsætninger!$D$64,Forudsætninger!$D$67))</f>
        <v>0</v>
      </c>
      <c r="Z3" s="19">
        <f>Z2+T3</f>
        <v>30.833016532343642</v>
      </c>
      <c r="AA3" s="19">
        <f>Forudsætninger!$D$62+Forudsætninger!$C$16</f>
        <v>2055</v>
      </c>
      <c r="AB3" s="19">
        <f>IF(K3&gt;Forudsætninger!$C$37,IF(K3&gt;Forudsætninger!$C$38,IF(K3&gt;Forudsætninger!$C$39,Forudsætninger!$E$39,Forudsætninger!$E$38+Forudsætninger!$F$39*(K3-Forudsætninger!$C$38)),Forudsætninger!$E$37+Forudsætninger!$F$38*(K3-Forudsætninger!$C$37)),Forudsætninger!$E$37)+IF(K3&gt;Forudsætninger!$C$39,Forudsætninger!$G$39,IF(K3&gt;Forudsætninger!$C$38,Forudsætninger!$G$38+Forudsætninger!$H$39*(K3-Forudsætninger!$C$38),IF(K3&gt;Forudsætninger!$C$37,Forudsætninger!$G$37+Forudsætninger!$H$38*(K3-Forudsætninger!$C$37),Forudsætninger!$G$37)))*(U3-Forudsætninger!$H$37)</f>
        <v>35.14929632163701</v>
      </c>
      <c r="AC3" s="19">
        <f>IF(K3&gt;Forudsætninger!$C$42,IF(K3&gt;Forudsætninger!$C$43,IF(K3&gt;Forudsætninger!$C$44,Forudsætninger!$E$44,Forudsætninger!$E$43+Forudsætninger!$F$44*(K3-Forudsætninger!$C$43)),Forudsætninger!$E$42+Forudsætninger!$F$43*(K3-Forudsætninger!$C$42)),Forudsætninger!$E$42)+IF(K3&gt;Forudsætninger!$C$44,Forudsætninger!$G$44,IF(K3&gt;Forudsætninger!$C$43,Forudsætninger!$G$43+Forudsætninger!$H$44*(K3-Forudsætninger!$C$43),IF(K3&gt;Forudsætninger!$C$42,Forudsætninger!$G$42+Forudsætninger!$H$43*(K3-Forudsætninger!$C$42),Forudsætninger!$G$42)))*(V3-Forudsætninger!$H$42)</f>
        <v>30.023240804092513</v>
      </c>
      <c r="AD3" s="19">
        <f t="shared" ref="AD3:AD66" si="2">(K3*(Y3*AB3+((1-Y3)*AC3)))</f>
        <v>1060.8788247354082</v>
      </c>
      <c r="AE3" s="19">
        <f t="shared" ref="AE3:AE66" si="3">AD3/K3</f>
        <v>30.023240804092509</v>
      </c>
      <c r="AF3" s="1">
        <f>IF(G3&lt;=Forudsætninger!$C$97,Forudsætninger!$C$98,(IF(G3&lt;=Forudsætninger!$D$97,Forudsætninger!$D$98,IF(G3&lt;=Forudsætninger!$E$97,Forudsætninger!$E$98,IF(G3&lt;=Forudsætninger!$F$97,Forudsætninger!$F$98,IF(G3&lt;=Forudsætninger!$G$97,Forudsætninger!$G$98,IF(G3&lt;=Forudsætninger!$H$97,Forudsætninger!$H$98,IF(G3&lt;=Forudsætninger!$I$97,Forudsætninger!$I$98,Forudsætninger!$I$98))))))))</f>
        <v>1.8</v>
      </c>
      <c r="AG3" s="1">
        <f>IF(AF3&lt;=3.2,IF(AF3&lt;=2.2,2.2,3.2),4.4)</f>
        <v>2.2000000000000002</v>
      </c>
      <c r="AH3" s="1">
        <f>AG3</f>
        <v>2.2000000000000002</v>
      </c>
      <c r="AI3" s="1">
        <f t="shared" ref="AI3:AI66" si="4">AH3/A3</f>
        <v>2.2000000000000002</v>
      </c>
      <c r="AJ3" s="20">
        <f>+(W3*Forudsætninger!$C$12)</f>
        <v>0</v>
      </c>
      <c r="AK3" s="20">
        <f>Forudsætninger!$C$17</f>
        <v>250</v>
      </c>
      <c r="AL3" s="20">
        <f>IF(A3&lt;92,Forudsætninger!$C$20,Forudsætninger!$C$21)</f>
        <v>4.0072859744990899</v>
      </c>
      <c r="AM3" s="20">
        <f>AL3+AM2</f>
        <v>4.0072859744990899</v>
      </c>
      <c r="AN3" s="19">
        <f>IFERROR(AD3+AJ3-AA3-Z3-AK3-AM3-Forudsætninger!$D$75,-99999)</f>
        <v>-1496.8534514723949</v>
      </c>
      <c r="AO3" s="57">
        <f>IFERROR(AN3/(A3+Forudsætninger!$D$74),-99999)</f>
        <v>-1496.8534514723949</v>
      </c>
      <c r="AP3" s="19">
        <f>IFERROR(((365/(A3+Forudsætninger!$D$74))*AN3)/(AI3+Forudsætninger!$D$73),-99999)</f>
        <v>-236515.80510278099</v>
      </c>
      <c r="AQ3" s="18">
        <f t="shared" ref="AQ3:AQ4" si="5">A3</f>
        <v>1</v>
      </c>
      <c r="AR3" s="18">
        <f>AA3+Z3+AK3+AM3</f>
        <v>2339.8403025068428</v>
      </c>
      <c r="AS3" s="50">
        <f t="shared" ref="AS3:AS4" si="6">B3</f>
        <v>1.2</v>
      </c>
      <c r="AT3" s="50"/>
      <c r="AU3" s="50"/>
      <c r="AV3" s="2"/>
      <c r="AW3" s="16">
        <f>((AN3+AM3)/A3)</f>
        <v>-1492.8461654978958</v>
      </c>
      <c r="AZ3" s="16"/>
      <c r="BA3" s="2"/>
    </row>
    <row r="4" spans="1:59" x14ac:dyDescent="0.25">
      <c r="A4">
        <v>2</v>
      </c>
      <c r="B4" s="1">
        <f>ROUND((A4+Forudsætninger!$D$60)/30.4,1)</f>
        <v>1.2</v>
      </c>
      <c r="C4" s="1">
        <f>VLOOKUP((A4+Forudsætninger!$D$60),'Model tilvækst, slagteform, fe'!A:C,3,FALSE)</f>
        <v>71.341848717343964</v>
      </c>
      <c r="D4" s="3">
        <f>(C4-C3)*1000</f>
        <v>995.22572961268452</v>
      </c>
      <c r="E4" s="3">
        <f>(1+Forudsætninger!$D$78)*C4</f>
        <v>59.927152922568929</v>
      </c>
      <c r="F4" s="2">
        <f t="shared" ref="F4:F30" si="7">MAX(F3-((D4/1000)/10),0)</f>
        <v>13.534579782701114</v>
      </c>
      <c r="G4" s="1">
        <f t="shared" ref="G4:G66" si="8">E4+F4</f>
        <v>73.461732705270038</v>
      </c>
      <c r="H4" s="3">
        <f t="shared" ref="H4:H67" si="9">(G4-G3)*1000</f>
        <v>736.46703991337858</v>
      </c>
      <c r="I4" s="3">
        <f t="shared" ref="I4:I67" si="10">(G4-$G$2)*1000/A4</f>
        <v>730.86635263501876</v>
      </c>
      <c r="J4" s="1">
        <f>VLOOKUP((A4+Forudsætninger!$D$60),'Model tilvækst, slagteform, fe'!G:K,3,FALSE)*(1+Forudsætninger!$D$79)</f>
        <v>48.620419323418034</v>
      </c>
      <c r="K4" s="17">
        <f t="shared" si="0"/>
        <v>35.717402483550821</v>
      </c>
      <c r="L4" s="17">
        <f t="shared" ref="L4:L67" si="11">(K4-K3)*1000</f>
        <v>382.14898250977569</v>
      </c>
      <c r="M4" s="3">
        <f>((K4-(('Model tilvækst, slagteform, fe'!$I$9/100)*'Model tilvækst, slagteform, fe'!$C$9))*1000/(A4+Forudsætninger!$D$60))</f>
        <v>388.85665353281934</v>
      </c>
      <c r="N4" s="17">
        <f t="shared" ref="N4:N67" si="12">N3+P4</f>
        <v>3.8472237224207197</v>
      </c>
      <c r="O4" s="19">
        <f>IF( A4&lt;Forudsætninger!$C$14,(G4/100)*Forudsætninger!$C$13,(Forudsætninger!$C$15/1000)*Forudsætninger!$C$13)</f>
        <v>0.47750126258425524</v>
      </c>
      <c r="P4" s="17" cm="1">
        <f t="array" ref="P4">INDEX('Model tilvækst, slagteform, fe'!$O$9:$O$375,MATCH(MIN(ABS('Model tilvækst, slagteform, fe'!$M$9:$M$375-G4)),ABS('Model tilvækst, slagteform, fe'!$M$9:$M$375-G4),0))*(1+Forudsætninger!$D$80)</f>
        <v>1.94258277349541</v>
      </c>
      <c r="Q4" s="17">
        <f t="shared" ref="Q4:Q67" si="13">P4/(L4/1000)</f>
        <v>5.0833126932261745</v>
      </c>
      <c r="R4" s="17">
        <f t="shared" ref="R4:R67" si="14">N4/(K4-$K$2)</f>
        <v>5.0772367548397419</v>
      </c>
      <c r="S4" s="2">
        <f t="shared" ref="S4:S66" si="15">N4/(G4-$G$2)</f>
        <v>2.6319611708421009</v>
      </c>
      <c r="T4" s="19">
        <f>(P4)*IF(N4&lt;Forudsætninger!$B$228,IF(N4&lt;Forudsætninger!$B$227,Forudsætninger!$B$225,Forudsætninger!$C$9),Forudsætninger!$C$11)+O4</f>
        <v>31.442602737532454</v>
      </c>
      <c r="U4" s="2">
        <f>Forudsætninger!$D$68+((K4-(Forudsætninger!$D$84)))*0.01</f>
        <v>5.4967847061951609</v>
      </c>
      <c r="V4" s="2">
        <f>U4+Forudsætninger!$D$69</f>
        <v>5.4967847061951609</v>
      </c>
      <c r="W4">
        <f t="shared" si="1"/>
        <v>0</v>
      </c>
      <c r="X4">
        <f>IF(A4+Forudsætninger!$D$60&gt;248,IF(A4+Forudsætninger!$D$60&lt;365,IF(K4&gt;180,IF(K4&lt;260,1,0),0),0),0)</f>
        <v>0</v>
      </c>
      <c r="Y4" s="22">
        <f>IF(X4=0,0,IF('Vækstfunktion, kry tyr'!A4&lt;Forudsætninger!$D$66,Forudsætninger!$D$67+(('Vækstfunktion, kry tyr'!A4-Forudsætninger!$D$66)/7)*Forudsætninger!$D$64,Forudsætninger!$D$67))</f>
        <v>0</v>
      </c>
      <c r="Z4" s="19">
        <f>Z3+T4</f>
        <v>62.275619269876096</v>
      </c>
      <c r="AA4" s="19">
        <f>Forudsætninger!$D$62+Forudsætninger!$C$16</f>
        <v>2055</v>
      </c>
      <c r="AB4" s="19">
        <f>IF(K4&gt;Forudsætninger!$C$37,IF(K4&gt;Forudsætninger!$C$38,IF(K4&gt;Forudsætninger!$C$39,Forudsætninger!$E$39,Forudsætninger!$E$38+Forudsætninger!$F$39*(K4-Forudsætninger!$C$38)),Forudsætninger!$E$37+Forudsætninger!$F$38*(K4-Forudsætninger!$C$37)),Forudsætninger!$E$37)+IF(K4&gt;Forudsætninger!$C$39,Forudsætninger!$G$39,IF(K4&gt;Forudsætninger!$C$38,Forudsætninger!$G$38+Forudsætninger!$H$39*(K4-Forudsætninger!$C$38),IF(K4&gt;Forudsætninger!$C$37,Forudsætninger!$G$37+Forudsætninger!$H$38*(K4-Forudsætninger!$C$37),Forudsætninger!$G$37)))*(U4-Forudsætninger!$H$37)</f>
        <v>35.14967847061952</v>
      </c>
      <c r="AC4" s="19">
        <f>IF(K4&gt;Forudsætninger!$C$42,IF(K4&gt;Forudsætninger!$C$43,IF(K4&gt;Forudsætninger!$C$44,Forudsætninger!$E$44,Forudsætninger!$E$43+Forudsætninger!$F$44*(K4-Forudsætninger!$C$43)),Forudsætninger!$E$42+Forudsætninger!$F$43*(K4-Forudsætninger!$C$42)),Forudsætninger!$E$42)+IF(K4&gt;Forudsætninger!$C$44,Forudsætninger!$G$44,IF(K4&gt;Forudsætninger!$C$43,Forudsætninger!$G$43+Forudsætninger!$H$44*(K4-Forudsætninger!$C$43),IF(K4&gt;Forudsætninger!$C$42,Forudsætninger!$G$42+Forudsætninger!$H$43*(K4-Forudsætninger!$C$42),Forudsætninger!$G$42)))*(V4-Forudsætninger!$H$42)</f>
        <v>30.024196176548788</v>
      </c>
      <c r="AD4" s="19">
        <f t="shared" si="2"/>
        <v>1072.3862990828807</v>
      </c>
      <c r="AE4" s="19">
        <f t="shared" si="3"/>
        <v>30.024196176548788</v>
      </c>
      <c r="AF4">
        <f>IF(G4&lt;=Forudsætninger!$C$97,Forudsætninger!$C$98,(IF(G4&lt;=Forudsætninger!$D$97,Forudsætninger!$D$98,IF(G4&lt;=Forudsætninger!$E$97,Forudsætninger!$E$98,IF(G4&lt;=Forudsætninger!$F$97,Forudsætninger!$F$98,IF(G4&lt;=Forudsætninger!$G$97,Forudsætninger!$G$98,IF(G4&lt;=Forudsætninger!$H$97,Forudsætninger!$H$98,IF(G4&lt;=Forudsætninger!$I$97,Forudsætninger!$I$98,Forudsætninger!$I$98))))))))</f>
        <v>1.8</v>
      </c>
      <c r="AG4" s="1">
        <f t="shared" ref="AG4:AG67" si="16">IF(AF4&lt;=3.2,IF(AF4&lt;=2.2,2.2,3.2),4.4)</f>
        <v>2.2000000000000002</v>
      </c>
      <c r="AH4" s="1">
        <f>AH3+AG4</f>
        <v>4.4000000000000004</v>
      </c>
      <c r="AI4" s="1">
        <f t="shared" si="4"/>
        <v>2.2000000000000002</v>
      </c>
      <c r="AJ4" s="20">
        <f>+(W4*Forudsætninger!$C$12)</f>
        <v>0</v>
      </c>
      <c r="AK4" s="20">
        <f>Forudsætninger!$C$17</f>
        <v>250</v>
      </c>
      <c r="AL4" s="20">
        <f>IF(A4&lt;92,Forudsætninger!$C$20,Forudsætninger!$C$21)</f>
        <v>4.0072859744990899</v>
      </c>
      <c r="AM4" s="20">
        <f t="shared" ref="AM4:AM67" si="17">AL4+AM3</f>
        <v>8.0145719489981797</v>
      </c>
      <c r="AN4" s="19">
        <f>IFERROR(AD4+AJ4-AA4-Z4-AK4-AM4-Forudsætninger!$D$75,-99999)</f>
        <v>-1520.7958658369539</v>
      </c>
      <c r="AO4" s="57">
        <f>IFERROR(AN4/(A4+Forudsætninger!$D$74),-99999)</f>
        <v>-760.39793291847695</v>
      </c>
      <c r="AP4" s="19">
        <f>IFERROR(((365/(A4+Forudsætninger!$D$74))*AN4)/(AI4+Forudsætninger!$D$73),-99999)</f>
        <v>-120149.45693300609</v>
      </c>
      <c r="AQ4" s="18">
        <f t="shared" si="5"/>
        <v>2</v>
      </c>
      <c r="AR4" s="18">
        <f t="shared" ref="AR4" si="18">AA4+Z4+AK4+AM4</f>
        <v>2375.2901912188745</v>
      </c>
      <c r="AS4" s="50">
        <f t="shared" si="6"/>
        <v>1.2</v>
      </c>
      <c r="AT4" s="50">
        <f>AN4-AN3</f>
        <v>-23.942414364558999</v>
      </c>
      <c r="AU4" s="50">
        <f>AO4-AO3</f>
        <v>736.45551855391795</v>
      </c>
      <c r="AV4" s="2">
        <f>AP4-AP3</f>
        <v>116366.34816977489</v>
      </c>
      <c r="AW4" s="16">
        <f t="shared" ref="AW4:AW67" si="19">((AN4+AM4)/A4)</f>
        <v>-756.39064694397791</v>
      </c>
      <c r="AZ4" s="16"/>
      <c r="BA4" s="2"/>
    </row>
    <row r="5" spans="1:59" x14ac:dyDescent="0.25">
      <c r="A5">
        <v>3</v>
      </c>
      <c r="B5" s="1">
        <f>ROUND((A5+Forudsætninger!$D$60)/30.4,1)</f>
        <v>1.2</v>
      </c>
      <c r="C5" s="1">
        <f>VLOOKUP((A5+Forudsætninger!$D$60),'Model tilvækst, slagteform, fe'!A:C,3,FALSE)</f>
        <v>72.352054763012305</v>
      </c>
      <c r="D5" s="3">
        <f>(C5-C4)*1000</f>
        <v>1010.2060456683404</v>
      </c>
      <c r="E5" s="3">
        <f>(1+Forudsætninger!$D$78)*C5</f>
        <v>60.775726000930334</v>
      </c>
      <c r="F5" s="2">
        <f t="shared" si="7"/>
        <v>13.43355917813428</v>
      </c>
      <c r="G5" s="1">
        <f t="shared" si="8"/>
        <v>74.209285179064608</v>
      </c>
      <c r="H5" s="3">
        <f t="shared" si="9"/>
        <v>747.55247379457046</v>
      </c>
      <c r="I5" s="3">
        <f t="shared" si="10"/>
        <v>736.42839302153607</v>
      </c>
      <c r="J5" s="1">
        <f>VLOOKUP((A5+Forudsætninger!$D$60),'Model tilvækst, slagteform, fe'!G:K,3,FALSE)*(1+Forudsætninger!$D$79)</f>
        <v>48.6543467645769</v>
      </c>
      <c r="K5" s="17">
        <f t="shared" si="0"/>
        <v>36.106042942535865</v>
      </c>
      <c r="L5" s="17">
        <f t="shared" si="11"/>
        <v>388.64045898504429</v>
      </c>
      <c r="M5" s="3">
        <f>((K5-(('Model tilvækst, slagteform, fe'!$I$9/100)*'Model tilvækst, slagteform, fe'!$C$9))*1000/(A5+Forudsætninger!$D$60))</f>
        <v>388.8508104369335</v>
      </c>
      <c r="N5" s="17">
        <f t="shared" si="12"/>
        <v>5.8277479457324359</v>
      </c>
      <c r="O5" s="19">
        <f>IF( A5&lt;Forudsætninger!$C$14,(G5/100)*Forudsætninger!$C$13,(Forudsætninger!$C$15/1000)*Forudsætninger!$C$13)</f>
        <v>0.48236035366391999</v>
      </c>
      <c r="P5" s="17" cm="1">
        <f t="array" ref="P5">INDEX('Model tilvækst, slagteform, fe'!$O$9:$O$375,MATCH(MIN(ABS('Model tilvækst, slagteform, fe'!$M$9:$M$375-G5)),ABS('Model tilvækst, slagteform, fe'!$M$9:$M$375-G5),0))*(1+Forudsætninger!$D$80)</f>
        <v>1.9805242233117162</v>
      </c>
      <c r="Q5" s="17">
        <f t="shared" si="13"/>
        <v>5.0960320201452083</v>
      </c>
      <c r="R5" s="17">
        <f t="shared" si="14"/>
        <v>5.083608638237016</v>
      </c>
      <c r="S5" s="2">
        <f t="shared" si="15"/>
        <v>2.6378432268304328</v>
      </c>
      <c r="T5" s="19">
        <f>(P5)*IF(N5&lt;Forudsætninger!$B$228,IF(N5&lt;Forudsætninger!$B$227,Forudsætninger!$B$225,Forudsætninger!$C$9),Forudsætninger!$C$11)+O5</f>
        <v>32.052255024401958</v>
      </c>
      <c r="U5" s="2">
        <f>Forudsætninger!$D$68+((K5-(Forudsætninger!$D$84)))*0.01</f>
        <v>5.500671110785011</v>
      </c>
      <c r="V5" s="2">
        <f>U5+Forudsætninger!$D$69</f>
        <v>5.500671110785011</v>
      </c>
      <c r="W5">
        <f t="shared" si="1"/>
        <v>0</v>
      </c>
      <c r="X5">
        <f>IF(A5+Forudsætninger!$D$60&gt;248,IF(A5+Forudsætninger!$D$60&lt;365,IF(K5&gt;180,IF(K5&lt;260,1,0),0),0),0)</f>
        <v>0</v>
      </c>
      <c r="Y5" s="22">
        <f>IF(X5=0,0,IF('Vækstfunktion, kry tyr'!A5&lt;Forudsætninger!$D$66,Forudsætninger!$D$67+(('Vækstfunktion, kry tyr'!A5-Forudsætninger!$D$66)/7)*Forudsætninger!$D$64,Forudsætninger!$D$67))</f>
        <v>0</v>
      </c>
      <c r="Z5" s="19">
        <f t="shared" ref="Z5:Z68" si="20">Z4+T5</f>
        <v>94.327874294278047</v>
      </c>
      <c r="AA5" s="19">
        <f>Forudsætninger!$D$62+Forudsætninger!$C$16</f>
        <v>2055</v>
      </c>
      <c r="AB5" s="19">
        <f>IF(K5&gt;Forudsætninger!$C$37,IF(K5&gt;Forudsætninger!$C$38,IF(K5&gt;Forudsætninger!$C$39,Forudsætninger!$E$39,Forudsætninger!$E$38+Forudsætninger!$F$39*(K5-Forudsætninger!$C$38)),Forudsætninger!$E$37+Forudsætninger!$F$38*(K5-Forudsætninger!$C$37)),Forudsætninger!$E$37)+IF(K5&gt;Forudsætninger!$C$39,Forudsætninger!$G$39,IF(K5&gt;Forudsætninger!$C$38,Forudsætninger!$G$38+Forudsætninger!$H$39*(K5-Forudsætninger!$C$38),IF(K5&gt;Forudsætninger!$C$37,Forudsætninger!$G$37+Forudsætninger!$H$38*(K5-Forudsætninger!$C$37),Forudsætninger!$G$37)))*(U5-Forudsætninger!$H$37)</f>
        <v>35.150067111078499</v>
      </c>
      <c r="AC5" s="19">
        <f>IF(K5&gt;Forudsætninger!$C$42,IF(K5&gt;Forudsætninger!$C$43,IF(K5&gt;Forudsætninger!$C$44,Forudsætninger!$E$44,Forudsætninger!$E$43+Forudsætninger!$F$44*(K5-Forudsætninger!$C$43)),Forudsætninger!$E$42+Forudsætninger!$F$43*(K5-Forudsætninger!$C$42)),Forudsætninger!$E$42)+IF(K5&gt;Forudsætninger!$C$44,Forudsætninger!$G$44,IF(K5&gt;Forudsætninger!$C$43,Forudsætninger!$G$43+Forudsætninger!$H$44*(K5-Forudsætninger!$C$43),IF(K5&gt;Forudsætninger!$C$42,Forudsætninger!$G$42+Forudsætninger!$H$43*(K5-Forudsætninger!$C$42),Forudsætninger!$G$42)))*(V5-Forudsætninger!$H$42)</f>
        <v>30.02516777769625</v>
      </c>
      <c r="AD5" s="19">
        <f t="shared" si="2"/>
        <v>1084.0899971383449</v>
      </c>
      <c r="AE5" s="19">
        <f t="shared" si="3"/>
        <v>30.025167777696247</v>
      </c>
      <c r="AF5">
        <f>IF(G5&lt;=Forudsætninger!$C$97,Forudsætninger!$C$98,(IF(G5&lt;=Forudsætninger!$D$97,Forudsætninger!$D$98,IF(G5&lt;=Forudsætninger!$E$97,Forudsætninger!$E$98,IF(G5&lt;=Forudsætninger!$F$97,Forudsætninger!$F$98,IF(G5&lt;=Forudsætninger!$G$97,Forudsætninger!$G$98,IF(G5&lt;=Forudsætninger!$H$97,Forudsætninger!$H$98,IF(G5&lt;=Forudsætninger!$I$97,Forudsætninger!$I$98,Forudsætninger!$I$98))))))))</f>
        <v>1.8</v>
      </c>
      <c r="AG5" s="1">
        <f t="shared" si="16"/>
        <v>2.2000000000000002</v>
      </c>
      <c r="AH5" s="1">
        <f t="shared" ref="AH5:AH68" si="21">AH4+AG5</f>
        <v>6.6000000000000005</v>
      </c>
      <c r="AI5" s="1">
        <f t="shared" si="4"/>
        <v>2.2000000000000002</v>
      </c>
      <c r="AJ5" s="20">
        <f>+(W5*Forudsætninger!$C$12)</f>
        <v>0</v>
      </c>
      <c r="AK5" s="20">
        <f>Forudsætninger!$C$17</f>
        <v>250</v>
      </c>
      <c r="AL5" s="20">
        <f>IF(A5&lt;92,Forudsætninger!$C$20,Forudsætninger!$C$21)</f>
        <v>4.0072859744990899</v>
      </c>
      <c r="AM5" s="20">
        <f t="shared" si="17"/>
        <v>12.021857923497269</v>
      </c>
      <c r="AN5" s="19">
        <f>IFERROR(AD5+AJ5-AA5-Z5-AK5-AM5-Forudsætninger!$D$75,-99999)</f>
        <v>-1545.1517087803907</v>
      </c>
      <c r="AO5" s="57">
        <f>IFERROR(AN5/(A5+Forudsætninger!$D$74),-99999)</f>
        <v>-515.05056959346359</v>
      </c>
      <c r="AP5" s="19">
        <f>IFERROR(((365/(A5+Forudsætninger!$D$74))*AN5)/(AI5+Forudsætninger!$D$73),-99999)</f>
        <v>-81382.449308058087</v>
      </c>
      <c r="AQ5" s="18">
        <f t="shared" ref="AQ5:AQ68" si="22">A5</f>
        <v>3</v>
      </c>
      <c r="AR5" s="18">
        <f t="shared" ref="AR5:AR68" si="23">AA5+Z5+AK5+AM5</f>
        <v>2411.3497322177755</v>
      </c>
      <c r="AS5" s="50">
        <f t="shared" ref="AS5:AS68" si="24">B5</f>
        <v>1.2</v>
      </c>
      <c r="AT5" s="50">
        <f t="shared" ref="AT5:AT68" si="25">AN5-AN4</f>
        <v>-24.355842943436755</v>
      </c>
      <c r="AU5" s="50">
        <f t="shared" ref="AU5:AU68" si="26">AO5-AO4</f>
        <v>245.34736332501336</v>
      </c>
      <c r="AV5" s="2">
        <f t="shared" ref="AV5:AV68" si="27">AP5-AP4</f>
        <v>38767.007624948004</v>
      </c>
      <c r="AW5" s="16">
        <f t="shared" si="19"/>
        <v>-511.04328361896449</v>
      </c>
      <c r="AZ5" s="16"/>
      <c r="BA5" s="2"/>
    </row>
    <row r="6" spans="1:59" x14ac:dyDescent="0.25">
      <c r="A6">
        <v>4</v>
      </c>
      <c r="B6" s="1">
        <f>ROUND((A6+Forudsætninger!$D$60)/30.4,1)</f>
        <v>1.3</v>
      </c>
      <c r="C6" s="1">
        <f>VLOOKUP((A6+Forudsætninger!$D$60),'Model tilvækst, slagteform, fe'!A:C,3,FALSE)</f>
        <v>73.377085069084444</v>
      </c>
      <c r="D6" s="3">
        <f t="shared" ref="D6:D69" si="28">(C6-C5)*1000</f>
        <v>1025.0303060721394</v>
      </c>
      <c r="E6" s="3">
        <f>(1+Forudsætninger!$D$78)*C6</f>
        <v>61.636751458030929</v>
      </c>
      <c r="F6" s="2">
        <f t="shared" si="7"/>
        <v>13.331056147527066</v>
      </c>
      <c r="G6" s="1">
        <f t="shared" si="8"/>
        <v>74.967807605557994</v>
      </c>
      <c r="H6" s="3">
        <f t="shared" si="9"/>
        <v>758.52242649338564</v>
      </c>
      <c r="I6" s="3">
        <f t="shared" si="10"/>
        <v>741.9519013894984</v>
      </c>
      <c r="J6" s="1">
        <f>VLOOKUP((A6+Forudsætninger!$D$60),'Model tilvækst, slagteform, fe'!G:K,3,FALSE)*(1+Forudsætninger!$D$79)</f>
        <v>48.689041613923102</v>
      </c>
      <c r="K6" s="17">
        <f t="shared" si="0"/>
        <v>36.50110704211594</v>
      </c>
      <c r="L6" s="17">
        <f t="shared" si="11"/>
        <v>395.06409958007538</v>
      </c>
      <c r="M6" s="3">
        <f>((K6-(('Model tilvækst, slagteform, fe'!$I$9/100)*'Model tilvækst, slagteform, fe'!$C$9))*1000/(A6+Forudsætninger!$D$60))</f>
        <v>389.01431804596353</v>
      </c>
      <c r="N6" s="17">
        <f t="shared" si="12"/>
        <v>7.8082721690441517</v>
      </c>
      <c r="O6" s="19">
        <f>IF( A6&lt;Forudsætninger!$C$14,(G6/100)*Forudsætninger!$C$13,(Forudsætninger!$C$15/1000)*Forudsætninger!$C$13)</f>
        <v>0.48729074943612694</v>
      </c>
      <c r="P6" s="17" cm="1">
        <f t="array" ref="P6">INDEX('Model tilvækst, slagteform, fe'!$O$9:$O$375,MATCH(MIN(ABS('Model tilvækst, slagteform, fe'!$M$9:$M$375-G6)),ABS('Model tilvækst, slagteform, fe'!$M$9:$M$375-G6),0))*(1+Forudsætninger!$D$80)</f>
        <v>1.9805242233117162</v>
      </c>
      <c r="Q6" s="17">
        <f>P6/(L6/1000)</f>
        <v>5.0131718508891856</v>
      </c>
      <c r="R6" s="17">
        <f t="shared" si="14"/>
        <v>5.0655560578149688</v>
      </c>
      <c r="S6" s="2">
        <f t="shared" si="15"/>
        <v>2.6309900124324521</v>
      </c>
      <c r="T6" s="19">
        <f>(P6)*IF(N6&lt;Forudsætninger!$B$228,IF(N6&lt;Forudsætninger!$B$227,Forudsætninger!$B$225,Forudsætninger!$C$9),Forudsætninger!$C$11)+O6</f>
        <v>32.057185420174164</v>
      </c>
      <c r="U6" s="2">
        <f>Forudsætninger!$D$68+((K6-(Forudsætninger!$D$84)))*0.01</f>
        <v>5.504621751780812</v>
      </c>
      <c r="V6" s="2">
        <f>U6+Forudsætninger!$D$69</f>
        <v>5.504621751780812</v>
      </c>
      <c r="W6">
        <f t="shared" si="1"/>
        <v>0</v>
      </c>
      <c r="X6">
        <f>IF(A6+Forudsætninger!$D$60&gt;248,IF(A6+Forudsætninger!$D$60&lt;365,IF(K6&gt;180,IF(K6&lt;260,1,0),0),0),0)</f>
        <v>0</v>
      </c>
      <c r="Y6" s="22">
        <f>IF(X6=0,0,IF('Vækstfunktion, kry tyr'!A6&lt;Forudsætninger!$D$66,Forudsætninger!$D$67+(('Vækstfunktion, kry tyr'!A6-Forudsætninger!$D$66)/7)*Forudsætninger!$D$64,Forudsætninger!$D$67))</f>
        <v>0</v>
      </c>
      <c r="Z6" s="19">
        <f t="shared" si="20"/>
        <v>126.38505971445221</v>
      </c>
      <c r="AA6" s="19">
        <f>Forudsætninger!$D$62+Forudsætninger!$C$16</f>
        <v>2055</v>
      </c>
      <c r="AB6" s="19">
        <f>IF(K6&gt;Forudsætninger!$C$37,IF(K6&gt;Forudsætninger!$C$38,IF(K6&gt;Forudsætninger!$C$39,Forudsætninger!$E$39,Forudsætninger!$E$38+Forudsætninger!$F$39*(K6-Forudsætninger!$C$38)),Forudsætninger!$E$37+Forudsætninger!$F$38*(K6-Forudsætninger!$C$37)),Forudsætninger!$E$37)+IF(K6&gt;Forudsætninger!$C$39,Forudsætninger!$G$39,IF(K6&gt;Forudsætninger!$C$38,Forudsætninger!$G$38+Forudsætninger!$H$39*(K6-Forudsætninger!$C$38),IF(K6&gt;Forudsætninger!$C$37,Forudsætninger!$G$37+Forudsætninger!$H$38*(K6-Forudsætninger!$C$37),Forudsætninger!$G$37)))*(U6-Forudsætninger!$H$37)</f>
        <v>35.150462175178085</v>
      </c>
      <c r="AC6" s="19">
        <f>IF(K6&gt;Forudsætninger!$C$42,IF(K6&gt;Forudsætninger!$C$43,IF(K6&gt;Forudsætninger!$C$44,Forudsætninger!$E$44,Forudsætninger!$E$43+Forudsætninger!$F$44*(K6-Forudsætninger!$C$43)),Forudsætninger!$E$42+Forudsætninger!$F$43*(K6-Forudsætninger!$C$42)),Forudsætninger!$E$42)+IF(K6&gt;Forudsætninger!$C$44,Forudsætninger!$G$44,IF(K6&gt;Forudsætninger!$C$43,Forudsætninger!$G$43+Forudsætninger!$H$44*(K6-Forudsætninger!$C$43),IF(K6&gt;Forudsætninger!$C$42,Forudsætninger!$G$42+Forudsætninger!$H$43*(K6-Forudsætninger!$C$42),Forudsætninger!$G$42)))*(V6-Forudsætninger!$H$42)</f>
        <v>30.026155437945203</v>
      </c>
      <c r="AD6" s="19">
        <f t="shared" si="2"/>
        <v>1095.9879137036494</v>
      </c>
      <c r="AE6" s="19">
        <f t="shared" si="3"/>
        <v>30.026155437945199</v>
      </c>
      <c r="AF6">
        <f>IF(G6&lt;=Forudsætninger!$C$97,Forudsætninger!$C$98,(IF(G6&lt;=Forudsætninger!$D$97,Forudsætninger!$D$98,IF(G6&lt;=Forudsætninger!$E$97,Forudsætninger!$E$98,IF(G6&lt;=Forudsætninger!$F$97,Forudsætninger!$F$98,IF(G6&lt;=Forudsætninger!$G$97,Forudsætninger!$G$98,IF(G6&lt;=Forudsætninger!$H$97,Forudsætninger!$H$98,IF(G6&lt;=Forudsætninger!$I$97,Forudsætninger!$I$98,Forudsætninger!$I$98))))))))</f>
        <v>1.8</v>
      </c>
      <c r="AG6" s="1">
        <f t="shared" si="16"/>
        <v>2.2000000000000002</v>
      </c>
      <c r="AH6" s="1">
        <f t="shared" si="21"/>
        <v>8.8000000000000007</v>
      </c>
      <c r="AI6" s="1">
        <f t="shared" si="4"/>
        <v>2.2000000000000002</v>
      </c>
      <c r="AJ6" s="20">
        <f>+(W6*Forudsætninger!$C$12)</f>
        <v>0</v>
      </c>
      <c r="AK6" s="20">
        <f>Forudsætninger!$C$17</f>
        <v>250</v>
      </c>
      <c r="AL6" s="20">
        <f>IF(A6&lt;92,Forudsætninger!$C$20,Forudsætninger!$C$21)</f>
        <v>4.0072859744990899</v>
      </c>
      <c r="AM6" s="20">
        <f t="shared" si="17"/>
        <v>16.029143897996359</v>
      </c>
      <c r="AN6" s="19">
        <f>IFERROR(AD6+AJ6-AA6-Z6-AK6-AM6-Forudsætninger!$D$75,-99999)</f>
        <v>-1569.3182636097595</v>
      </c>
      <c r="AO6" s="57">
        <f>IFERROR(AN6/(A6+Forudsætninger!$D$74),-99999)</f>
        <v>-392.32956590243987</v>
      </c>
      <c r="AP6" s="19">
        <f>IFERROR(((365/(A6+Forudsætninger!$D$74))*AN6)/(AI6+Forudsætninger!$D$73),-99999)</f>
        <v>-61991.468205363868</v>
      </c>
      <c r="AQ6" s="18">
        <f t="shared" si="22"/>
        <v>4</v>
      </c>
      <c r="AR6" s="18">
        <f t="shared" si="23"/>
        <v>2447.4142036124485</v>
      </c>
      <c r="AS6" s="50">
        <f t="shared" si="24"/>
        <v>1.3</v>
      </c>
      <c r="AT6" s="50">
        <f t="shared" si="25"/>
        <v>-24.166554829368806</v>
      </c>
      <c r="AU6" s="50">
        <f t="shared" si="26"/>
        <v>122.72100369102372</v>
      </c>
      <c r="AV6" s="2">
        <f t="shared" si="27"/>
        <v>19390.981102694219</v>
      </c>
      <c r="AW6" s="16">
        <f t="shared" si="19"/>
        <v>-388.32227992794077</v>
      </c>
      <c r="AZ6" s="16"/>
      <c r="BA6" s="2"/>
    </row>
    <row r="7" spans="1:59" x14ac:dyDescent="0.25">
      <c r="A7">
        <v>5</v>
      </c>
      <c r="B7" s="1">
        <f>ROUND((A7+Forudsætninger!$D$60)/30.4,1)</f>
        <v>1.3</v>
      </c>
      <c r="C7" s="1">
        <f>VLOOKUP((A7+Forudsætninger!$D$60),'Model tilvækst, slagteform, fe'!A:C,3,FALSE)</f>
        <v>74.416784200845086</v>
      </c>
      <c r="D7" s="3">
        <f t="shared" si="28"/>
        <v>1039.6991317606421</v>
      </c>
      <c r="E7" s="3">
        <f>(1+Forudsætninger!$D$78)*C7</f>
        <v>62.51009872870987</v>
      </c>
      <c r="F7" s="2">
        <f t="shared" si="7"/>
        <v>13.227086234351003</v>
      </c>
      <c r="G7" s="1">
        <f t="shared" si="8"/>
        <v>75.737184963060869</v>
      </c>
      <c r="H7" s="3">
        <f t="shared" si="9"/>
        <v>769.37735750287573</v>
      </c>
      <c r="I7" s="3">
        <f t="shared" si="10"/>
        <v>747.43699261217387</v>
      </c>
      <c r="J7" s="1">
        <f>VLOOKUP((A7+Forudsætninger!$D$60),'Model tilvækst, slagteform, fe'!G:K,3,FALSE)*(1+Forudsætninger!$D$79)</f>
        <v>48.724448728931172</v>
      </c>
      <c r="K7" s="17">
        <f t="shared" si="0"/>
        <v>36.902525856062361</v>
      </c>
      <c r="L7" s="17">
        <f t="shared" si="11"/>
        <v>401.41881394642098</v>
      </c>
      <c r="M7" s="3">
        <f>((K7-(('Model tilvækst, slagteform, fe'!$I$9/100)*'Model tilvækst, slagteform, fe'!$C$9))*1000/(A7+Forudsætninger!$D$60))</f>
        <v>389.33238204341114</v>
      </c>
      <c r="N7" s="17">
        <f t="shared" si="12"/>
        <v>9.8267374486806904</v>
      </c>
      <c r="O7" s="19">
        <f>IF( A7&lt;Forudsætninger!$C$14,(G7/100)*Forudsætninger!$C$13,(Forudsætninger!$C$15/1000)*Forudsætninger!$C$13)</f>
        <v>0.49229170225989566</v>
      </c>
      <c r="P7" s="17" cm="1">
        <f t="array" ref="P7">INDEX('Model tilvækst, slagteform, fe'!$O$9:$O$375,MATCH(MIN(ABS('Model tilvækst, slagteform, fe'!$M$9:$M$375-G7)),ABS('Model tilvækst, slagteform, fe'!$M$9:$M$375-G7),0))*(1+Forudsætninger!$D$80)</f>
        <v>2.0184652796365392</v>
      </c>
      <c r="Q7" s="17">
        <f t="shared" si="13"/>
        <v>5.0283275459678682</v>
      </c>
      <c r="R7" s="17">
        <f t="shared" si="14"/>
        <v>5.0578642006359358</v>
      </c>
      <c r="S7" s="2">
        <f t="shared" si="15"/>
        <v>2.6294490494343341</v>
      </c>
      <c r="T7" s="19">
        <f>(P7)*IF(N7&lt;Forudsætninger!$B$228,IF(N7&lt;Forudsætninger!$B$227,Forudsætninger!$B$225,Forudsætninger!$C$9),Forudsætninger!$C$11)+O7</f>
        <v>32.666973296466267</v>
      </c>
      <c r="U7" s="2">
        <f>Forudsætninger!$D$68+((K7-(Forudsætninger!$D$84)))*0.01</f>
        <v>5.5086359399202758</v>
      </c>
      <c r="V7" s="2">
        <f>U7+Forudsætninger!$D$69</f>
        <v>5.5086359399202758</v>
      </c>
      <c r="W7">
        <f t="shared" si="1"/>
        <v>0</v>
      </c>
      <c r="X7">
        <f>IF(A7+Forudsætninger!$D$60&gt;248,IF(A7+Forudsætninger!$D$60&lt;365,IF(K7&gt;180,IF(K7&lt;260,1,0),0),0),0)</f>
        <v>0</v>
      </c>
      <c r="Y7" s="22">
        <f>IF(X7=0,0,IF('Vækstfunktion, kry tyr'!A7&lt;Forudsætninger!$D$66,Forudsætninger!$D$67+(('Vækstfunktion, kry tyr'!A7-Forudsætninger!$D$66)/7)*Forudsætninger!$D$64,Forudsætninger!$D$67))</f>
        <v>0</v>
      </c>
      <c r="Z7" s="19">
        <f t="shared" si="20"/>
        <v>159.05203301091848</v>
      </c>
      <c r="AA7" s="19">
        <f>Forudsætninger!$D$62+Forudsætninger!$C$16</f>
        <v>2055</v>
      </c>
      <c r="AB7" s="19">
        <f>IF(K7&gt;Forudsætninger!$C$37,IF(K7&gt;Forudsætninger!$C$38,IF(K7&gt;Forudsætninger!$C$39,Forudsætninger!$E$39,Forudsætninger!$E$38+Forudsætninger!$F$39*(K7-Forudsætninger!$C$38)),Forudsætninger!$E$37+Forudsætninger!$F$38*(K7-Forudsætninger!$C$37)),Forudsætninger!$E$37)+IF(K7&gt;Forudsætninger!$C$39,Forudsætninger!$G$39,IF(K7&gt;Forudsætninger!$C$38,Forudsætninger!$G$38+Forudsætninger!$H$39*(K7-Forudsætninger!$C$38),IF(K7&gt;Forudsætninger!$C$37,Forudsætninger!$G$37+Forudsætninger!$H$38*(K7-Forudsætninger!$C$37),Forudsætninger!$G$37)))*(U7-Forudsætninger!$H$37)</f>
        <v>35.150863593992028</v>
      </c>
      <c r="AC7" s="19">
        <f>IF(K7&gt;Forudsætninger!$C$42,IF(K7&gt;Forudsætninger!$C$43,IF(K7&gt;Forudsætninger!$C$44,Forudsætninger!$E$44,Forudsætninger!$E$43+Forudsætninger!$F$44*(K7-Forudsætninger!$C$43)),Forudsætninger!$E$42+Forudsætninger!$F$43*(K7-Forudsætninger!$C$42)),Forudsætninger!$E$42)+IF(K7&gt;Forudsætninger!$C$44,Forudsætninger!$G$44,IF(K7&gt;Forudsætninger!$C$43,Forudsætninger!$G$43+Forudsætninger!$H$44*(K7-Forudsætninger!$C$43),IF(K7&gt;Forudsætninger!$C$42,Forudsætninger!$G$42+Forudsætninger!$H$43*(K7-Forudsætninger!$C$42),Forudsætninger!$G$42)))*(V7-Forudsætninger!$H$42)</f>
        <v>30.027158984980069</v>
      </c>
      <c r="AD7" s="19">
        <f t="shared" si="2"/>
        <v>1108.0780108273223</v>
      </c>
      <c r="AE7" s="19">
        <f t="shared" si="3"/>
        <v>30.027158984980069</v>
      </c>
      <c r="AF7">
        <f>IF(G7&lt;=Forudsætninger!$C$97,Forudsætninger!$C$98,(IF(G7&lt;=Forudsætninger!$D$97,Forudsætninger!$D$98,IF(G7&lt;=Forudsætninger!$E$97,Forudsætninger!$E$98,IF(G7&lt;=Forudsætninger!$F$97,Forudsætninger!$F$98,IF(G7&lt;=Forudsætninger!$G$97,Forudsætninger!$G$98,IF(G7&lt;=Forudsætninger!$H$97,Forudsætninger!$H$98,IF(G7&lt;=Forudsætninger!$I$97,Forudsætninger!$I$98,Forudsætninger!$I$98))))))))</f>
        <v>1.8</v>
      </c>
      <c r="AG7" s="1">
        <f t="shared" si="16"/>
        <v>2.2000000000000002</v>
      </c>
      <c r="AH7" s="1">
        <f t="shared" si="21"/>
        <v>11</v>
      </c>
      <c r="AI7" s="1">
        <f t="shared" si="4"/>
        <v>2.2000000000000002</v>
      </c>
      <c r="AJ7" s="20">
        <f>+(W7*Forudsætninger!$C$12)</f>
        <v>0</v>
      </c>
      <c r="AK7" s="20">
        <f>Forudsætninger!$C$17</f>
        <v>250</v>
      </c>
      <c r="AL7" s="20">
        <f>IF(A7&lt;92,Forudsætninger!$C$20,Forudsætninger!$C$21)</f>
        <v>4.0072859744990899</v>
      </c>
      <c r="AM7" s="20">
        <f t="shared" si="17"/>
        <v>20.03642987249545</v>
      </c>
      <c r="AN7" s="19">
        <f>IFERROR(AD7+AJ7-AA7-Z7-AK7-AM7-Forudsætninger!$D$75,-99999)</f>
        <v>-1593.902425757052</v>
      </c>
      <c r="AO7" s="57">
        <f>IFERROR(AN7/(A7+Forudsætninger!$D$74),-99999)</f>
        <v>-318.7804851514104</v>
      </c>
      <c r="AP7" s="19">
        <f>IFERROR(((365/(A7+Forudsætninger!$D$74))*AN7)/(AI7+Forudsætninger!$D$73),-99999)</f>
        <v>-50370.076658123282</v>
      </c>
      <c r="AQ7" s="18">
        <f t="shared" si="22"/>
        <v>5</v>
      </c>
      <c r="AR7" s="18">
        <f t="shared" si="23"/>
        <v>2484.0884628834137</v>
      </c>
      <c r="AS7" s="50">
        <f t="shared" si="24"/>
        <v>1.3</v>
      </c>
      <c r="AT7" s="50">
        <f t="shared" si="25"/>
        <v>-24.584162147292545</v>
      </c>
      <c r="AU7" s="50">
        <f t="shared" si="26"/>
        <v>73.549080751029464</v>
      </c>
      <c r="AV7" s="2">
        <f t="shared" si="27"/>
        <v>11621.391547240586</v>
      </c>
      <c r="AW7" s="16">
        <f t="shared" si="19"/>
        <v>-314.77319917691131</v>
      </c>
      <c r="AZ7" s="16"/>
      <c r="BA7" s="2"/>
    </row>
    <row r="8" spans="1:59" x14ac:dyDescent="0.25">
      <c r="A8">
        <v>6</v>
      </c>
      <c r="B8" s="1">
        <f>ROUND((A8+Forudsætninger!$D$60)/30.4,1)</f>
        <v>1.3</v>
      </c>
      <c r="C8" s="1">
        <f>VLOOKUP((A8+Forudsætninger!$D$60),'Model tilvækst, slagteform, fe'!A:C,3,FALSE)</f>
        <v>75.470997344515524</v>
      </c>
      <c r="D8" s="3">
        <f t="shared" si="28"/>
        <v>1054.2131436704381</v>
      </c>
      <c r="E8" s="3">
        <f>(1+Forudsætninger!$D$78)*C8</f>
        <v>63.395637769393041</v>
      </c>
      <c r="F8" s="2">
        <f>MAX(F7-((D8/1000)/10),0)</f>
        <v>13.121664919983958</v>
      </c>
      <c r="G8" s="1">
        <f t="shared" si="8"/>
        <v>76.517302689377004</v>
      </c>
      <c r="H8" s="3">
        <f t="shared" si="9"/>
        <v>780.11772631613496</v>
      </c>
      <c r="I8" s="3">
        <f t="shared" si="10"/>
        <v>752.88378156283397</v>
      </c>
      <c r="J8" s="1">
        <f>VLOOKUP((A8+Forudsætninger!$D$60),'Model tilvækst, slagteform, fe'!G:K,3,FALSE)*(1+Forudsætninger!$D$79)</f>
        <v>48.76051296707562</v>
      </c>
      <c r="K8" s="17">
        <f t="shared" si="0"/>
        <v>37.310229299910176</v>
      </c>
      <c r="L8" s="17">
        <f t="shared" si="11"/>
        <v>407.70344384781509</v>
      </c>
      <c r="M8" s="3">
        <f>((K8-(('Model tilvækst, slagteform, fe'!$I$9/100)*'Model tilvækst, slagteform, fe'!$C$9))*1000/(A8+Forudsætninger!$D$60))</f>
        <v>389.79165858852127</v>
      </c>
      <c r="N8" s="17">
        <f t="shared" si="12"/>
        <v>11.883143372412881</v>
      </c>
      <c r="O8" s="19">
        <f>IF( A8&lt;Forudsætninger!$C$14,(G8/100)*Forudsætninger!$C$13,(Forudsætninger!$C$15/1000)*Forudsætninger!$C$13)</f>
        <v>0.49736246748095059</v>
      </c>
      <c r="P8" s="17" cm="1">
        <f t="array" ref="P8">INDEX('Model tilvækst, slagteform, fe'!$O$9:$O$375,MATCH(MIN(ABS('Model tilvækst, slagteform, fe'!$M$9:$M$375-G8)),ABS('Model tilvækst, slagteform, fe'!$M$9:$M$375-G8),0))*(1+Forudsætninger!$D$80)</f>
        <v>2.0564059237321919</v>
      </c>
      <c r="Q8" s="17">
        <f t="shared" si="13"/>
        <v>5.0438767559191717</v>
      </c>
      <c r="R8" s="17">
        <f t="shared" si="14"/>
        <v>5.0554380921188908</v>
      </c>
      <c r="S8" s="2">
        <f t="shared" si="15"/>
        <v>2.6305838217035049</v>
      </c>
      <c r="T8" s="19">
        <f>(P8)*IF(N8&lt;Forudsætninger!$B$228,IF(N8&lt;Forudsætninger!$B$227,Forudsætninger!$B$225,Forudsætninger!$C$9),Forudsætninger!$C$11)+O8</f>
        <v>33.276824414152209</v>
      </c>
      <c r="U8" s="2">
        <f>Forudsætninger!$D$68+((K8-(Forudsætninger!$D$84)))*0.01</f>
        <v>5.5127129743587542</v>
      </c>
      <c r="V8" s="2">
        <f>U8+Forudsætninger!$D$69</f>
        <v>5.5127129743587542</v>
      </c>
      <c r="W8">
        <f t="shared" si="1"/>
        <v>0</v>
      </c>
      <c r="X8">
        <f>IF(A8+Forudsætninger!$D$60&gt;248,IF(A8+Forudsætninger!$D$60&lt;365,IF(K8&gt;180,IF(K8&lt;260,1,0),0),0),0)</f>
        <v>0</v>
      </c>
      <c r="Y8" s="22">
        <f>IF(X8=0,0,IF('Vækstfunktion, kry tyr'!A8&lt;Forudsætninger!$D$66,Forudsætninger!$D$67+(('Vækstfunktion, kry tyr'!A8-Forudsætninger!$D$66)/7)*Forudsætninger!$D$64,Forudsætninger!$D$67))</f>
        <v>0</v>
      </c>
      <c r="Z8" s="19">
        <f>Z7+T8</f>
        <v>192.32885742507068</v>
      </c>
      <c r="AA8" s="19">
        <f>Forudsætninger!$D$62+Forudsætninger!$C$16</f>
        <v>2055</v>
      </c>
      <c r="AB8" s="19">
        <f>IF(K8&gt;Forudsætninger!$C$37,IF(K8&gt;Forudsætninger!$C$38,IF(K8&gt;Forudsætninger!$C$39,Forudsætninger!$E$39,Forudsætninger!$E$38+Forudsætninger!$F$39*(K8-Forudsætninger!$C$38)),Forudsætninger!$E$37+Forudsætninger!$F$38*(K8-Forudsætninger!$C$37)),Forudsætninger!$E$37)+IF(K8&gt;Forudsætninger!$C$39,Forudsætninger!$G$39,IF(K8&gt;Forudsætninger!$C$38,Forudsætninger!$G$38+Forudsætninger!$H$39*(K8-Forudsætninger!$C$38),IF(K8&gt;Forudsætninger!$C$37,Forudsætninger!$G$37+Forudsætninger!$H$38*(K8-Forudsætninger!$C$37),Forudsætninger!$G$37)))*(U8-Forudsætninger!$H$37)</f>
        <v>35.151271297435876</v>
      </c>
      <c r="AC8" s="19">
        <f>IF(K8&gt;Forudsætninger!$C$42,IF(K8&gt;Forudsætninger!$C$43,IF(K8&gt;Forudsætninger!$C$44,Forudsætninger!$E$44,Forudsætninger!$E$43+Forudsætninger!$F$44*(K8-Forudsætninger!$C$43)),Forudsætninger!$E$42+Forudsætninger!$F$43*(K8-Forudsætninger!$C$42)),Forudsætninger!$E$42)+IF(K8&gt;Forudsætninger!$C$44,Forudsætninger!$G$44,IF(K8&gt;Forudsætninger!$C$43,Forudsætninger!$G$43+Forudsætninger!$H$44*(K8-Forudsætninger!$C$43),IF(K8&gt;Forudsætninger!$C$42,Forudsætninger!$G$42+Forudsætninger!$H$43*(K8-Forudsætninger!$C$42),Forudsætninger!$G$42)))*(V8-Forudsætninger!$H$42)</f>
        <v>30.028178243589686</v>
      </c>
      <c r="AD8" s="19">
        <f t="shared" si="2"/>
        <v>1120.3582157269052</v>
      </c>
      <c r="AE8" s="19">
        <f t="shared" si="3"/>
        <v>30.028178243589686</v>
      </c>
      <c r="AF8">
        <f>IF(G8&lt;=Forudsætninger!$C$97,Forudsætninger!$C$98,(IF(G8&lt;=Forudsætninger!$D$97,Forudsætninger!$D$98,IF(G8&lt;=Forudsætninger!$E$97,Forudsætninger!$E$98,IF(G8&lt;=Forudsætninger!$F$97,Forudsætninger!$F$98,IF(G8&lt;=Forudsætninger!$G$97,Forudsætninger!$G$98,IF(G8&lt;=Forudsætninger!$H$97,Forudsætninger!$H$98,IF(G8&lt;=Forudsætninger!$I$97,Forudsætninger!$I$98,Forudsætninger!$I$98))))))))</f>
        <v>1.8</v>
      </c>
      <c r="AG8" s="1">
        <f t="shared" si="16"/>
        <v>2.2000000000000002</v>
      </c>
      <c r="AH8" s="1">
        <f t="shared" si="21"/>
        <v>13.2</v>
      </c>
      <c r="AI8" s="1">
        <f t="shared" si="4"/>
        <v>2.1999999999999997</v>
      </c>
      <c r="AJ8" s="20">
        <f>+(W8*Forudsætninger!$C$12)</f>
        <v>0</v>
      </c>
      <c r="AK8" s="20">
        <f>Forudsætninger!$C$17</f>
        <v>250</v>
      </c>
      <c r="AL8" s="20">
        <f>IF(A8&lt;92,Forudsætninger!$C$20,Forudsætninger!$C$21)</f>
        <v>4.0072859744990899</v>
      </c>
      <c r="AM8" s="20">
        <f t="shared" si="17"/>
        <v>24.043715846994541</v>
      </c>
      <c r="AN8" s="19">
        <f>IFERROR(AD8+AJ8-AA8-Z8-AK8-AM8-Forudsætninger!$D$75,-99999)</f>
        <v>-1618.9063312461203</v>
      </c>
      <c r="AO8" s="57">
        <f>IFERROR(AN8/(A8+Forudsætninger!$D$74),-99999)</f>
        <v>-269.81772187435337</v>
      </c>
      <c r="AP8" s="19">
        <f>IFERROR(((365/(A8+Forudsætninger!$D$74))*AN8)/(AI8+Forudsætninger!$D$73),-99999)</f>
        <v>-42633.536140319913</v>
      </c>
      <c r="AQ8" s="18">
        <f t="shared" si="22"/>
        <v>6</v>
      </c>
      <c r="AR8" s="18">
        <f t="shared" si="23"/>
        <v>2521.372573272065</v>
      </c>
      <c r="AS8" s="50">
        <f t="shared" si="24"/>
        <v>1.3</v>
      </c>
      <c r="AT8" s="50">
        <f t="shared" si="25"/>
        <v>-25.003905489068302</v>
      </c>
      <c r="AU8" s="50">
        <f t="shared" si="26"/>
        <v>48.962763277057036</v>
      </c>
      <c r="AV8" s="2">
        <f t="shared" si="27"/>
        <v>7736.5405178033689</v>
      </c>
      <c r="AW8" s="16">
        <f t="shared" si="19"/>
        <v>-265.81043589985433</v>
      </c>
      <c r="AZ8" s="16"/>
      <c r="BA8" s="2"/>
    </row>
    <row r="9" spans="1:59" x14ac:dyDescent="0.25">
      <c r="A9">
        <v>7</v>
      </c>
      <c r="B9" s="1">
        <f>ROUND((A9+Forudsætninger!$D$60)/30.4,1)</f>
        <v>1.3</v>
      </c>
      <c r="C9" s="1">
        <f>VLOOKUP((A9+Forudsætninger!$D$60),'Model tilvækst, slagteform, fe'!A:C,3,FALSE)</f>
        <v>76.539570307253726</v>
      </c>
      <c r="D9" s="3">
        <f t="shared" si="28"/>
        <v>1068.5729627382016</v>
      </c>
      <c r="E9" s="3">
        <f>(1+Forudsætninger!$D$78)*C9</f>
        <v>64.293239058093121</v>
      </c>
      <c r="F9" s="2">
        <f t="shared" si="7"/>
        <v>13.014807623710139</v>
      </c>
      <c r="G9" s="1">
        <f t="shared" si="8"/>
        <v>77.308046681803262</v>
      </c>
      <c r="H9" s="3">
        <f t="shared" si="9"/>
        <v>790.74399242625759</v>
      </c>
      <c r="I9" s="3">
        <f t="shared" si="10"/>
        <v>758.29238311475171</v>
      </c>
      <c r="J9" s="1">
        <f>VLOOKUP((A9+Forudsætninger!$D$60),'Model tilvækst, slagteform, fe'!G:K,3,FALSE)*(1+Forudsætninger!$D$79)</f>
        <v>48.797179185830991</v>
      </c>
      <c r="K9" s="17">
        <f t="shared" si="0"/>
        <v>37.724146064385408</v>
      </c>
      <c r="L9" s="17">
        <f t="shared" si="11"/>
        <v>413.91676447523196</v>
      </c>
      <c r="M9" s="3">
        <f>((K9-(('Model tilvækst, slagteform, fe'!$I$9/100)*'Model tilvækst, slagteform, fe'!$C$9))*1000/(A9+Forudsætninger!$D$60))</f>
        <v>390.38007580527028</v>
      </c>
      <c r="N9" s="17">
        <f t="shared" si="12"/>
        <v>13.939549296145074</v>
      </c>
      <c r="O9" s="19">
        <f>IF( A9&lt;Forudsætninger!$C$14,(G9/100)*Forudsætninger!$C$13,(Forudsætninger!$C$15/1000)*Forudsætninger!$C$13)</f>
        <v>0.5025023034317212</v>
      </c>
      <c r="P9" s="17" cm="1">
        <f t="array" ref="P9">INDEX('Model tilvækst, slagteform, fe'!$O$9:$O$375,MATCH(MIN(ABS('Model tilvækst, slagteform, fe'!$M$9:$M$375-G9)),ABS('Model tilvækst, slagteform, fe'!$M$9:$M$375-G9),0))*(1+Forudsætninger!$D$80)</f>
        <v>2.0564059237321919</v>
      </c>
      <c r="Q9" s="17">
        <f t="shared" si="13"/>
        <v>4.9681629260397919</v>
      </c>
      <c r="R9" s="17">
        <f>N9/(K9-$K$2)</f>
        <v>5.042370675522343</v>
      </c>
      <c r="S9" s="2">
        <f>N9/(G9-$G$2)</f>
        <v>2.6261165607174912</v>
      </c>
      <c r="T9" s="19">
        <f>(P9)*IF(N9&lt;Forudsætninger!$B$228,IF(N9&lt;Forudsætninger!$B$227,Forudsætninger!$B$225,Forudsætninger!$C$9),Forudsætninger!$C$11)+O9</f>
        <v>33.28196425010298</v>
      </c>
      <c r="U9" s="2">
        <f>Forudsætninger!$D$68+((K9-(Forudsætninger!$D$84)))*0.01</f>
        <v>5.5168521420035068</v>
      </c>
      <c r="V9" s="2">
        <f>U9+Forudsætninger!$D$69</f>
        <v>5.5168521420035068</v>
      </c>
      <c r="W9">
        <f t="shared" si="1"/>
        <v>0</v>
      </c>
      <c r="X9">
        <f>IF(A9+Forudsætninger!$D$60&gt;248,IF(A9+Forudsætninger!$D$60&lt;365,IF(K9&gt;180,IF(K9&lt;260,1,0),0),0),0)</f>
        <v>0</v>
      </c>
      <c r="Y9" s="22">
        <f>IF(X9=0,0,IF('Vækstfunktion, kry tyr'!A9&lt;Forudsætninger!$D$66,Forudsætninger!$D$67+(('Vækstfunktion, kry tyr'!A9-Forudsætninger!$D$66)/7)*Forudsætninger!$D$64,Forudsætninger!$D$67))</f>
        <v>0</v>
      </c>
      <c r="Z9" s="19">
        <f t="shared" si="20"/>
        <v>225.61082167517367</v>
      </c>
      <c r="AA9" s="19">
        <f>Forudsætninger!$D$62+Forudsætninger!$C$16</f>
        <v>2055</v>
      </c>
      <c r="AB9" s="19">
        <f>IF(K9&gt;Forudsætninger!$C$37,IF(K9&gt;Forudsætninger!$C$38,IF(K9&gt;Forudsætninger!$C$39,Forudsætninger!$E$39,Forudsætninger!$E$38+Forudsætninger!$F$39*(K9-Forudsætninger!$C$38)),Forudsætninger!$E$37+Forudsætninger!$F$38*(K9-Forudsætninger!$C$37)),Forudsætninger!$E$37)+IF(K9&gt;Forudsætninger!$C$39,Forudsætninger!$G$39,IF(K9&gt;Forudsætninger!$C$38,Forudsætninger!$G$38+Forudsætninger!$H$39*(K9-Forudsætninger!$C$38),IF(K9&gt;Forudsætninger!$C$37,Forudsætninger!$G$37+Forudsætninger!$H$38*(K9-Forudsætninger!$C$37),Forudsætninger!$G$37)))*(U9-Forudsætninger!$H$37)</f>
        <v>35.151685214200349</v>
      </c>
      <c r="AC9" s="19">
        <f>IF(K9&gt;Forudsætninger!$C$42,IF(K9&gt;Forudsætninger!$C$43,IF(K9&gt;Forudsætninger!$C$44,Forudsætninger!$E$44,Forudsætninger!$E$43+Forudsætninger!$F$44*(K9-Forudsætninger!$C$43)),Forudsætninger!$E$42+Forudsætninger!$F$43*(K9-Forudsætninger!$C$42)),Forudsætninger!$E$42)+IF(K9&gt;Forudsætninger!$C$44,Forudsætninger!$G$44,IF(K9&gt;Forudsætninger!$C$43,Forudsætninger!$G$43+Forudsætninger!$H$44*(K9-Forudsætninger!$C$43),IF(K9&gt;Forudsætninger!$C$42,Forudsætninger!$G$42+Forudsætninger!$H$43*(K9-Forudsætninger!$C$42),Forudsætninger!$G$42)))*(V9-Forudsætninger!$H$42)</f>
        <v>30.029213035500874</v>
      </c>
      <c r="AD9" s="19">
        <f t="shared" si="2"/>
        <v>1132.8264187497814</v>
      </c>
      <c r="AE9" s="19">
        <f t="shared" si="3"/>
        <v>30.029213035500877</v>
      </c>
      <c r="AF9">
        <f>IF(G9&lt;=Forudsætninger!$C$97,Forudsætninger!$C$98,(IF(G9&lt;=Forudsætninger!$D$97,Forudsætninger!$D$98,IF(G9&lt;=Forudsætninger!$E$97,Forudsætninger!$E$98,IF(G9&lt;=Forudsætninger!$F$97,Forudsætninger!$F$98,IF(G9&lt;=Forudsætninger!$G$97,Forudsætninger!$G$98,IF(G9&lt;=Forudsætninger!$H$97,Forudsætninger!$H$98,IF(G9&lt;=Forudsætninger!$I$97,Forudsætninger!$I$98,Forudsætninger!$I$98))))))))</f>
        <v>1.8</v>
      </c>
      <c r="AG9" s="1">
        <f t="shared" si="16"/>
        <v>2.2000000000000002</v>
      </c>
      <c r="AH9" s="1">
        <f t="shared" si="21"/>
        <v>15.399999999999999</v>
      </c>
      <c r="AI9" s="1">
        <f t="shared" si="4"/>
        <v>2.1999999999999997</v>
      </c>
      <c r="AJ9" s="20">
        <f>+(W9*Forudsætninger!$C$12)</f>
        <v>0</v>
      </c>
      <c r="AK9" s="20">
        <f>Forudsætninger!$C$17</f>
        <v>250</v>
      </c>
      <c r="AL9" s="20">
        <f>IF(A9&lt;92,Forudsætninger!$C$20,Forudsætninger!$C$21)</f>
        <v>4.0072859744990899</v>
      </c>
      <c r="AM9" s="20">
        <f t="shared" si="17"/>
        <v>28.051001821493632</v>
      </c>
      <c r="AN9" s="19">
        <f>IFERROR(AD9+AJ9-AA9-Z9-AK9-AM9-Forudsætninger!$D$75,-99999)</f>
        <v>-1643.7273784478461</v>
      </c>
      <c r="AO9" s="57">
        <f>IFERROR(AN9/(A9+Forudsætninger!$D$74),-99999)</f>
        <v>-234.81819692112089</v>
      </c>
      <c r="AP9" s="19">
        <f>IFERROR(((365/(A9+Forudsætninger!$D$74))*AN9)/(AI9+Forudsætninger!$D$73),-99999)</f>
        <v>-37103.308171519107</v>
      </c>
      <c r="AQ9" s="18">
        <f t="shared" si="22"/>
        <v>7</v>
      </c>
      <c r="AR9" s="18">
        <f t="shared" si="23"/>
        <v>2558.6618234966672</v>
      </c>
      <c r="AS9" s="50">
        <f t="shared" si="24"/>
        <v>1.3</v>
      </c>
      <c r="AT9" s="50">
        <f t="shared" si="25"/>
        <v>-24.821047201725833</v>
      </c>
      <c r="AU9" s="50">
        <f t="shared" si="26"/>
        <v>34.999524953232481</v>
      </c>
      <c r="AV9" s="2">
        <f t="shared" si="27"/>
        <v>5530.2279688008057</v>
      </c>
      <c r="AW9" s="16">
        <f t="shared" si="19"/>
        <v>-230.81091094662179</v>
      </c>
      <c r="AZ9" s="16"/>
      <c r="BA9" s="2"/>
    </row>
    <row r="10" spans="1:59" x14ac:dyDescent="0.25">
      <c r="A10">
        <v>8</v>
      </c>
      <c r="B10" s="1">
        <f>ROUND((A10+Forudsætninger!$D$60)/30.4,1)</f>
        <v>1.4</v>
      </c>
      <c r="C10" s="1">
        <f>VLOOKUP((A10+Forudsætninger!$D$60),'Model tilvækst, slagteform, fe'!A:C,3,FALSE)</f>
        <v>77.622349517154191</v>
      </c>
      <c r="D10" s="3">
        <f t="shared" si="28"/>
        <v>1082.7792099004655</v>
      </c>
      <c r="E10" s="3">
        <f>(1+Forudsætninger!$D$78)*C10</f>
        <v>65.202773594409521</v>
      </c>
      <c r="F10" s="2">
        <f t="shared" si="7"/>
        <v>12.906529702720093</v>
      </c>
      <c r="G10" s="1">
        <f t="shared" si="8"/>
        <v>78.109303297129614</v>
      </c>
      <c r="H10" s="3">
        <f t="shared" si="9"/>
        <v>801.25661532635206</v>
      </c>
      <c r="I10" s="3">
        <f t="shared" si="10"/>
        <v>763.66291214120179</v>
      </c>
      <c r="J10" s="1">
        <f>VLOOKUP((A10+Forudsætninger!$D$60),'Model tilvækst, slagteform, fe'!G:K,3,FALSE)*(1+Forudsætninger!$D$79)</f>
        <v>48.834392242671811</v>
      </c>
      <c r="K10" s="17">
        <f t="shared" si="0"/>
        <v>38.144203550138457</v>
      </c>
      <c r="L10" s="17">
        <f t="shared" si="11"/>
        <v>420.05748575304835</v>
      </c>
      <c r="M10" s="3">
        <f>((K10-(('Model tilvækst, slagteform, fe'!$I$9/100)*'Model tilvækst, slagteform, fe'!$C$9))*1000/(A10+Forudsætninger!$D$60))</f>
        <v>391.08668080402691</v>
      </c>
      <c r="N10" s="17">
        <f t="shared" si="12"/>
        <v>16.033895433006059</v>
      </c>
      <c r="O10" s="19">
        <f>IF( A10&lt;Forudsætninger!$C$14,(G10/100)*Forudsætninger!$C$13,(Forudsætninger!$C$15/1000)*Forudsætninger!$C$13)</f>
        <v>0.50771047143134251</v>
      </c>
      <c r="P10" s="17" cm="1">
        <f t="array" ref="P10">INDEX('Model tilvækst, slagteform, fe'!$O$9:$O$375,MATCH(MIN(ABS('Model tilvækst, slagteform, fe'!$M$9:$M$375-G10)),ABS('Model tilvækst, slagteform, fe'!$M$9:$M$375-G10),0))*(1+Forudsætninger!$D$80)</f>
        <v>2.0943461368609828</v>
      </c>
      <c r="Q10" s="17">
        <f t="shared" si="13"/>
        <v>4.9858560027954084</v>
      </c>
      <c r="R10" s="17">
        <f>N10/(K10-$K$2)</f>
        <v>5.0349160962692805</v>
      </c>
      <c r="S10" s="2">
        <f>N10/(G10-$G$2)</f>
        <v>2.6245047353500031</v>
      </c>
      <c r="T10" s="19">
        <f>(P10)*IF(N10&lt;Forudsætninger!$B$228,IF(N10&lt;Forudsætninger!$B$227,Forudsætninger!$B$225,Forudsætninger!$C$9),Forudsætninger!$C$11)+O10</f>
        <v>33.89194590088205</v>
      </c>
      <c r="U10" s="2">
        <f>Forudsætninger!$D$68+((K10-(Forudsætninger!$D$84)))*0.01</f>
        <v>5.5210527168610373</v>
      </c>
      <c r="V10" s="2">
        <f>U10+Forudsætninger!$D$69</f>
        <v>5.5210527168610373</v>
      </c>
      <c r="W10">
        <f t="shared" si="1"/>
        <v>0</v>
      </c>
      <c r="X10">
        <f>IF(A10+Forudsætninger!$D$60&gt;248,IF(A10+Forudsætninger!$D$60&lt;365,IF(K10&gt;180,IF(K10&lt;260,1,0),0),0),0)</f>
        <v>0</v>
      </c>
      <c r="Y10" s="22">
        <f>IF(X10=0,0,IF('Vækstfunktion, kry tyr'!A10&lt;Forudsætninger!$D$66,Forudsætninger!$D$67+(('Vækstfunktion, kry tyr'!A10-Forudsætninger!$D$66)/7)*Forudsætninger!$D$64,Forudsætninger!$D$67))</f>
        <v>0</v>
      </c>
      <c r="Z10" s="19">
        <f t="shared" si="20"/>
        <v>259.5027675760557</v>
      </c>
      <c r="AA10" s="19">
        <f>Forudsætninger!$D$62+Forudsætninger!$C$16</f>
        <v>2055</v>
      </c>
      <c r="AB10" s="19">
        <f>IF(K10&gt;Forudsætninger!$C$37,IF(K10&gt;Forudsætninger!$C$38,IF(K10&gt;Forudsætninger!$C$39,Forudsætninger!$E$39,Forudsætninger!$E$38+Forudsætninger!$F$39*(K10-Forudsætninger!$C$38)),Forudsætninger!$E$37+Forudsætninger!$F$38*(K10-Forudsætninger!$C$37)),Forudsætninger!$E$37)+IF(K10&gt;Forudsætninger!$C$39,Forudsætninger!$G$39,IF(K10&gt;Forudsætninger!$C$38,Forudsætninger!$G$38+Forudsætninger!$H$39*(K10-Forudsætninger!$C$38),IF(K10&gt;Forudsætninger!$C$37,Forudsætninger!$G$37+Forudsætninger!$H$38*(K10-Forudsætninger!$C$37),Forudsætninger!$G$37)))*(U10-Forudsætninger!$H$37)</f>
        <v>35.152105271686104</v>
      </c>
      <c r="AC10" s="19">
        <f>IF(K10&gt;Forudsætninger!$C$42,IF(K10&gt;Forudsætninger!$C$43,IF(K10&gt;Forudsætninger!$C$44,Forudsætninger!$E$44,Forudsætninger!$E$43+Forudsætninger!$F$44*(K10-Forudsætninger!$C$43)),Forudsætninger!$E$42+Forudsætninger!$F$43*(K10-Forudsætninger!$C$42)),Forudsætninger!$E$42)+IF(K10&gt;Forudsætninger!$C$44,Forudsætninger!$G$44,IF(K10&gt;Forudsætninger!$C$43,Forudsætninger!$G$43+Forudsætninger!$H$44*(K10-Forudsætninger!$C$43),IF(K10&gt;Forudsætninger!$C$42,Forudsætninger!$G$42+Forudsætninger!$H$43*(K10-Forudsætninger!$C$42),Forudsætninger!$G$42)))*(V10-Forudsætninger!$H$42)</f>
        <v>30.030263179215257</v>
      </c>
      <c r="AD10" s="19">
        <f t="shared" si="2"/>
        <v>1145.4804713722149</v>
      </c>
      <c r="AE10" s="19">
        <f t="shared" si="3"/>
        <v>30.030263179215261</v>
      </c>
      <c r="AF10">
        <f>IF(G10&lt;=Forudsætninger!$C$97,Forudsætninger!$C$98,(IF(G10&lt;=Forudsætninger!$D$97,Forudsætninger!$D$98,IF(G10&lt;=Forudsætninger!$E$97,Forudsætninger!$E$98,IF(G10&lt;=Forudsætninger!$F$97,Forudsætninger!$F$98,IF(G10&lt;=Forudsætninger!$G$97,Forudsætninger!$G$98,IF(G10&lt;=Forudsætninger!$H$97,Forudsætninger!$H$98,IF(G10&lt;=Forudsætninger!$I$97,Forudsætninger!$I$98,Forudsætninger!$I$98))))))))</f>
        <v>1.8</v>
      </c>
      <c r="AG10" s="1">
        <f t="shared" si="16"/>
        <v>2.2000000000000002</v>
      </c>
      <c r="AH10" s="1">
        <f t="shared" si="21"/>
        <v>17.599999999999998</v>
      </c>
      <c r="AI10" s="1">
        <f t="shared" si="4"/>
        <v>2.1999999999999997</v>
      </c>
      <c r="AJ10" s="20">
        <f>+(W10*Forudsætninger!$C$12)</f>
        <v>0</v>
      </c>
      <c r="AK10" s="20">
        <f>Forudsætninger!$C$17</f>
        <v>250</v>
      </c>
      <c r="AL10" s="20">
        <f>IF(A10&lt;92,Forudsætninger!$C$20,Forudsætninger!$C$21)</f>
        <v>4.0072859744990899</v>
      </c>
      <c r="AM10" s="20">
        <f t="shared" si="17"/>
        <v>32.058287795992719</v>
      </c>
      <c r="AN10" s="19">
        <f>IFERROR(AD10+AJ10-AA10-Z10-AK10-AM10-Forudsætninger!$D$75,-99999)</f>
        <v>-1668.9725577007939</v>
      </c>
      <c r="AO10" s="57">
        <f>IFERROR(AN10/(A10+Forudsætninger!$D$74),-99999)</f>
        <v>-208.62156971259924</v>
      </c>
      <c r="AP10" s="19">
        <f>IFERROR(((365/(A10+Forudsætninger!$D$74))*AN10)/(AI10+Forudsætninger!$D$73),-99999)</f>
        <v>-32964.014261947501</v>
      </c>
      <c r="AQ10" s="18">
        <f t="shared" si="22"/>
        <v>8</v>
      </c>
      <c r="AR10" s="18">
        <f t="shared" si="23"/>
        <v>2596.5610553720485</v>
      </c>
      <c r="AS10" s="50">
        <f t="shared" si="24"/>
        <v>1.4</v>
      </c>
      <c r="AT10" s="50">
        <f t="shared" si="25"/>
        <v>-25.245179252947764</v>
      </c>
      <c r="AU10" s="50">
        <f t="shared" si="26"/>
        <v>26.196627208521647</v>
      </c>
      <c r="AV10" s="2">
        <f t="shared" si="27"/>
        <v>4139.2939095716065</v>
      </c>
      <c r="AW10" s="16">
        <f t="shared" si="19"/>
        <v>-204.61428373810014</v>
      </c>
      <c r="AZ10" s="16"/>
      <c r="BA10" s="2"/>
    </row>
    <row r="11" spans="1:59" x14ac:dyDescent="0.25">
      <c r="A11">
        <v>9</v>
      </c>
      <c r="B11" s="1">
        <f>ROUND((A11+Forudsætninger!$D$60)/30.4,1)</f>
        <v>1.4</v>
      </c>
      <c r="C11" s="1">
        <f>VLOOKUP((A11+Forudsætninger!$D$60),'Model tilvækst, slagteform, fe'!A:C,3,FALSE)</f>
        <v>78.719182023248138</v>
      </c>
      <c r="D11" s="3">
        <f t="shared" si="28"/>
        <v>1096.8325060939464</v>
      </c>
      <c r="E11" s="3">
        <f>(1+Forudsætninger!$D$78)*C11</f>
        <v>66.124112899528427</v>
      </c>
      <c r="F11" s="2">
        <f t="shared" si="7"/>
        <v>12.796846452110698</v>
      </c>
      <c r="G11" s="1">
        <f t="shared" si="8"/>
        <v>78.920959351639127</v>
      </c>
      <c r="H11" s="3">
        <f t="shared" si="9"/>
        <v>811.65605450951261</v>
      </c>
      <c r="I11" s="3">
        <f t="shared" si="10"/>
        <v>768.99548351545855</v>
      </c>
      <c r="J11" s="1">
        <f>VLOOKUP((A11+Forudsætninger!$D$60),'Model tilvækst, slagteform, fe'!G:K,3,FALSE)*(1+Forudsætninger!$D$79)</f>
        <v>48.872096995072575</v>
      </c>
      <c r="K11" s="17">
        <f t="shared" si="0"/>
        <v>38.570327803774873</v>
      </c>
      <c r="L11" s="17">
        <f t="shared" si="11"/>
        <v>426.12425363641648</v>
      </c>
      <c r="M11" s="3">
        <f>((K11-(('Model tilvækst, slagteform, fe'!$I$9/100)*'Model tilvækst, slagteform, fe'!$C$9))*1000/(A11+Forudsætninger!$D$60))</f>
        <v>391.90150807919872</v>
      </c>
      <c r="N11" s="17">
        <f t="shared" si="12"/>
        <v>18.166181333291281</v>
      </c>
      <c r="O11" s="19">
        <f>IF( A11&lt;Forudsætninger!$C$14,(G11/100)*Forudsætninger!$C$13,(Forudsætninger!$C$15/1000)*Forudsætninger!$C$13)</f>
        <v>0.51298623578565439</v>
      </c>
      <c r="P11" s="17" cm="1">
        <f t="array" ref="P11">INDEX('Model tilvækst, slagteform, fe'!$O$9:$O$375,MATCH(MIN(ABS('Model tilvækst, slagteform, fe'!$M$9:$M$375-G11)),ABS('Model tilvækst, slagteform, fe'!$M$9:$M$375-G11),0))*(1+Forudsætninger!$D$80)</f>
        <v>2.132285900285221</v>
      </c>
      <c r="Q11" s="17">
        <f t="shared" si="13"/>
        <v>5.0039064476826489</v>
      </c>
      <c r="R11" s="17">
        <f>N11/(K11-$K$2)</f>
        <v>5.0312563927572205</v>
      </c>
      <c r="S11" s="2">
        <f t="shared" si="15"/>
        <v>2.6248068237807076</v>
      </c>
      <c r="T11" s="19">
        <f>(P11)*IF(N11&lt;Forudsætninger!$B$228,IF(N11&lt;Forudsætninger!$B$227,Forudsætninger!$B$225,Forudsætninger!$C$9),Forudsætninger!$C$11)+O11</f>
        <v>34.501987979648362</v>
      </c>
      <c r="U11" s="2">
        <f>Forudsætninger!$D$68+((K11-(Forudsætninger!$D$84)))*0.01</f>
        <v>5.5253139593974012</v>
      </c>
      <c r="V11" s="2">
        <f>U11+Forudsætninger!$D$69</f>
        <v>5.5253139593974012</v>
      </c>
      <c r="W11">
        <f t="shared" si="1"/>
        <v>0</v>
      </c>
      <c r="X11">
        <f>IF(A11+Forudsætninger!$D$60&gt;248,IF(A11+Forudsætninger!$D$60&lt;365,IF(K11&gt;180,IF(K11&lt;260,1,0),0),0),0)</f>
        <v>0</v>
      </c>
      <c r="Y11" s="22">
        <f>IF(X11=0,0,IF('Vækstfunktion, kry tyr'!A11&lt;Forudsætninger!$D$66,Forudsætninger!$D$67+(('Vækstfunktion, kry tyr'!A11-Forudsætninger!$D$66)/7)*Forudsætninger!$D$64,Forudsætninger!$D$67))</f>
        <v>0</v>
      </c>
      <c r="Z11" s="19">
        <f t="shared" si="20"/>
        <v>294.00475555570404</v>
      </c>
      <c r="AA11" s="19">
        <f>Forudsætninger!$D$62+Forudsætninger!$C$16</f>
        <v>2055</v>
      </c>
      <c r="AB11" s="19">
        <f>IF(K11&gt;Forudsætninger!$C$37,IF(K11&gt;Forudsætninger!$C$38,IF(K11&gt;Forudsætninger!$C$39,Forudsætninger!$E$39,Forudsætninger!$E$38+Forudsætninger!$F$39*(K11-Forudsætninger!$C$38)),Forudsætninger!$E$37+Forudsætninger!$F$38*(K11-Forudsætninger!$C$37)),Forudsætninger!$E$37)+IF(K11&gt;Forudsætninger!$C$39,Forudsætninger!$G$39,IF(K11&gt;Forudsætninger!$C$38,Forudsætninger!$G$38+Forudsætninger!$H$39*(K11-Forudsætninger!$C$38),IF(K11&gt;Forudsætninger!$C$37,Forudsætninger!$G$37+Forudsætninger!$H$38*(K11-Forudsætninger!$C$37),Forudsætninger!$G$37)))*(U11-Forudsætninger!$H$37)</f>
        <v>35.152531395939739</v>
      </c>
      <c r="AC11" s="19">
        <f>IF(K11&gt;Forudsætninger!$C$42,IF(K11&gt;Forudsætninger!$C$43,IF(K11&gt;Forudsætninger!$C$44,Forudsætninger!$E$44,Forudsætninger!$E$43+Forudsætninger!$F$44*(K11-Forudsætninger!$C$43)),Forudsætninger!$E$42+Forudsætninger!$F$43*(K11-Forudsætninger!$C$42)),Forudsætninger!$E$42)+IF(K11&gt;Forudsætninger!$C$44,Forudsætninger!$G$44,IF(K11&gt;Forudsætninger!$C$43,Forudsætninger!$G$43+Forudsætninger!$H$44*(K11-Forudsætninger!$C$43),IF(K11&gt;Forudsætninger!$C$42,Forudsætninger!$G$42+Forudsætninger!$H$43*(K11-Forudsætninger!$C$42),Forudsætninger!$G$42)))*(V11-Forudsætninger!$H$42)</f>
        <v>30.031328489849351</v>
      </c>
      <c r="AD11" s="19">
        <f t="shared" si="2"/>
        <v>1158.3181842363329</v>
      </c>
      <c r="AE11" s="19">
        <f t="shared" si="3"/>
        <v>30.031328489849351</v>
      </c>
      <c r="AF11">
        <f>IF(G11&lt;=Forudsætninger!$C$97,Forudsætninger!$C$98,(IF(G11&lt;=Forudsætninger!$D$97,Forudsætninger!$D$98,IF(G11&lt;=Forudsætninger!$E$97,Forudsætninger!$E$98,IF(G11&lt;=Forudsætninger!$F$97,Forudsætninger!$F$98,IF(G11&lt;=Forudsætninger!$G$97,Forudsætninger!$G$98,IF(G11&lt;=Forudsætninger!$H$97,Forudsætninger!$H$98,IF(G11&lt;=Forudsætninger!$I$97,Forudsætninger!$I$98,Forudsætninger!$I$98))))))))</f>
        <v>1.8</v>
      </c>
      <c r="AG11" s="1">
        <f t="shared" si="16"/>
        <v>2.2000000000000002</v>
      </c>
      <c r="AH11" s="1">
        <f t="shared" si="21"/>
        <v>19.799999999999997</v>
      </c>
      <c r="AI11" s="1">
        <f t="shared" si="4"/>
        <v>2.1999999999999997</v>
      </c>
      <c r="AJ11" s="20">
        <f>+(W11*Forudsætninger!$C$12)</f>
        <v>0</v>
      </c>
      <c r="AK11" s="20">
        <f>Forudsætninger!$C$17</f>
        <v>250</v>
      </c>
      <c r="AL11" s="20">
        <f>IF(A11&lt;92,Forudsætninger!$C$20,Forudsætninger!$C$21)</f>
        <v>4.0072859744990899</v>
      </c>
      <c r="AM11" s="20">
        <f t="shared" si="17"/>
        <v>36.06557377049181</v>
      </c>
      <c r="AN11" s="19">
        <f>IFERROR(AD11+AJ11-AA11-Z11-AK11-AM11-Forudsætninger!$D$75,-99999)</f>
        <v>-1694.6441187908231</v>
      </c>
      <c r="AO11" s="57">
        <f>IFERROR(AN11/(A11+Forudsætninger!$D$74),-99999)</f>
        <v>-188.29379097675812</v>
      </c>
      <c r="AP11" s="19">
        <f>IFERROR(((365/(A11+Forudsætninger!$D$74))*AN11)/(AI11+Forudsætninger!$D$73),-99999)</f>
        <v>-29752.049223600319</v>
      </c>
      <c r="AQ11" s="18">
        <f t="shared" si="22"/>
        <v>9</v>
      </c>
      <c r="AR11" s="18">
        <f t="shared" si="23"/>
        <v>2635.0703293261959</v>
      </c>
      <c r="AS11" s="50">
        <f t="shared" si="24"/>
        <v>1.4</v>
      </c>
      <c r="AT11" s="50">
        <f t="shared" si="25"/>
        <v>-25.671561090029172</v>
      </c>
      <c r="AU11" s="50">
        <f t="shared" si="26"/>
        <v>20.327778735841122</v>
      </c>
      <c r="AV11" s="2">
        <f t="shared" si="27"/>
        <v>3211.9650383471817</v>
      </c>
      <c r="AW11" s="16">
        <f t="shared" si="19"/>
        <v>-184.28650500225905</v>
      </c>
      <c r="AZ11" s="16"/>
      <c r="BA11" s="2"/>
    </row>
    <row r="12" spans="1:59" x14ac:dyDescent="0.25">
      <c r="A12">
        <v>10</v>
      </c>
      <c r="B12" s="1">
        <f>ROUND((A12+Forudsætninger!$D$60)/30.4,1)</f>
        <v>1.4</v>
      </c>
      <c r="C12" s="1">
        <f>VLOOKUP((A12+Forudsætninger!$D$60),'Model tilvækst, slagteform, fe'!A:C,3,FALSE)</f>
        <v>79.8299154955033</v>
      </c>
      <c r="D12" s="3">
        <f t="shared" si="28"/>
        <v>1110.7334722551627</v>
      </c>
      <c r="E12" s="3">
        <f>(1+Forudsætninger!$D$78)*C12</f>
        <v>67.057129016222774</v>
      </c>
      <c r="F12" s="2">
        <f t="shared" si="7"/>
        <v>12.685773104885181</v>
      </c>
      <c r="G12" s="1">
        <f t="shared" si="8"/>
        <v>79.74290212110796</v>
      </c>
      <c r="H12" s="3">
        <f t="shared" si="9"/>
        <v>821.94276946883349</v>
      </c>
      <c r="I12" s="3">
        <f t="shared" si="10"/>
        <v>774.29021211079601</v>
      </c>
      <c r="J12" s="1">
        <f>VLOOKUP((A12+Forudsætninger!$D$60),'Model tilvækst, slagteform, fe'!G:K,3,FALSE)*(1+Forudsætninger!$D$79)</f>
        <v>48.910238300507849</v>
      </c>
      <c r="K12" s="17">
        <f t="shared" si="0"/>
        <v>39.002443455174628</v>
      </c>
      <c r="L12" s="17">
        <f t="shared" si="11"/>
        <v>432.11565139975505</v>
      </c>
      <c r="M12" s="3">
        <f>((K12-(('Model tilvækst, slagteform, fe'!$I$9/100)*'Model tilvækst, slagteform, fe'!$C$9))*1000/(A12+Forudsætninger!$D$60))</f>
        <v>392.81546588193868</v>
      </c>
      <c r="N12" s="17">
        <f t="shared" si="12"/>
        <v>20.298467233576503</v>
      </c>
      <c r="O12" s="19">
        <f>IF( A12&lt;Forudsætninger!$C$14,(G12/100)*Forudsætninger!$C$13,(Forudsætninger!$C$15/1000)*Forudsætninger!$C$13)</f>
        <v>0.51832886378720178</v>
      </c>
      <c r="P12" s="17" cm="1">
        <f t="array" ref="P12">INDEX('Model tilvækst, slagteform, fe'!$O$9:$O$375,MATCH(MIN(ABS('Model tilvækst, slagteform, fe'!$M$9:$M$375-G12)),ABS('Model tilvækst, slagteform, fe'!$M$9:$M$375-G12),0))*(1+Forudsætninger!$D$80)</f>
        <v>2.132285900285221</v>
      </c>
      <c r="Q12" s="17">
        <f t="shared" si="13"/>
        <v>4.9345259616912589</v>
      </c>
      <c r="R12" s="17">
        <f t="shared" si="14"/>
        <v>5.0209172878449735</v>
      </c>
      <c r="S12" s="2">
        <f t="shared" si="15"/>
        <v>2.6215580303205384</v>
      </c>
      <c r="T12" s="19">
        <f>(P12)*IF(N12&lt;Forudsætninger!$B$228,IF(N12&lt;Forudsætninger!$B$227,Forudsætninger!$B$225,Forudsætninger!$C$9),Forudsætninger!$C$11)+O12</f>
        <v>34.507330607649912</v>
      </c>
      <c r="U12" s="2">
        <f>Forudsætninger!$D$68+((K12-(Forudsætninger!$D$84)))*0.01</f>
        <v>5.5296351159113986</v>
      </c>
      <c r="V12" s="2">
        <f>U12+Forudsætninger!$D$69</f>
        <v>5.5296351159113986</v>
      </c>
      <c r="W12">
        <f t="shared" si="1"/>
        <v>0</v>
      </c>
      <c r="X12">
        <f>IF(A12+Forudsætninger!$D$60&gt;248,IF(A12+Forudsætninger!$D$60&lt;365,IF(K12&gt;180,IF(K12&lt;260,1,0),0),0),0)</f>
        <v>0</v>
      </c>
      <c r="Y12" s="22">
        <f>IF(X12=0,0,IF('Vækstfunktion, kry tyr'!A12&lt;Forudsætninger!$D$66,Forudsætninger!$D$67+(('Vækstfunktion, kry tyr'!A12-Forudsætninger!$D$66)/7)*Forudsætninger!$D$64,Forudsætninger!$D$67))</f>
        <v>0</v>
      </c>
      <c r="Z12" s="19">
        <f t="shared" si="20"/>
        <v>328.51208616335396</v>
      </c>
      <c r="AA12" s="19">
        <f>Forudsætninger!$D$62+Forudsætninger!$C$16</f>
        <v>2055</v>
      </c>
      <c r="AB12" s="19">
        <f>IF(K12&gt;Forudsætninger!$C$37,IF(K12&gt;Forudsætninger!$C$38,IF(K12&gt;Forudsætninger!$C$39,Forudsætninger!$E$39,Forudsætninger!$E$38+Forudsætninger!$F$39*(K12-Forudsætninger!$C$38)),Forudsætninger!$E$37+Forudsætninger!$F$38*(K12-Forudsætninger!$C$37)),Forudsætninger!$E$37)+IF(K12&gt;Forudsætninger!$C$39,Forudsætninger!$G$39,IF(K12&gt;Forudsætninger!$C$38,Forudsætninger!$G$38+Forudsætninger!$H$39*(K12-Forudsætninger!$C$38),IF(K12&gt;Forudsætninger!$C$37,Forudsætninger!$G$37+Forudsætninger!$H$38*(K12-Forudsætninger!$C$37),Forudsætninger!$G$37)))*(U12-Forudsætninger!$H$37)</f>
        <v>35.152963511591139</v>
      </c>
      <c r="AC12" s="19">
        <f>IF(K12&gt;Forudsætninger!$C$42,IF(K12&gt;Forudsætninger!$C$43,IF(K12&gt;Forudsætninger!$C$44,Forudsætninger!$E$44,Forudsætninger!$E$43+Forudsætninger!$F$44*(K12-Forudsætninger!$C$43)),Forudsætninger!$E$42+Forudsætninger!$F$43*(K12-Forudsætninger!$C$42)),Forudsætninger!$E$42)+IF(K12&gt;Forudsætninger!$C$44,Forudsætninger!$G$44,IF(K12&gt;Forudsætninger!$C$43,Forudsætninger!$G$43+Forudsætninger!$H$44*(K12-Forudsætninger!$C$43),IF(K12&gt;Forudsætninger!$C$42,Forudsætninger!$G$42+Forudsætninger!$H$43*(K12-Forudsætninger!$C$42),Forudsætninger!$G$42)))*(V12-Forudsætninger!$H$42)</f>
        <v>30.03240877897785</v>
      </c>
      <c r="AD12" s="19">
        <f t="shared" si="2"/>
        <v>1171.3373252247736</v>
      </c>
      <c r="AE12" s="19">
        <f t="shared" si="3"/>
        <v>30.03240877897785</v>
      </c>
      <c r="AF12">
        <f>IF(G12&lt;=Forudsætninger!$C$97,Forudsætninger!$C$98,(IF(G12&lt;=Forudsætninger!$D$97,Forudsætninger!$D$98,IF(G12&lt;=Forudsætninger!$E$97,Forudsætninger!$E$98,IF(G12&lt;=Forudsætninger!$F$97,Forudsætninger!$F$98,IF(G12&lt;=Forudsætninger!$G$97,Forudsætninger!$G$98,IF(G12&lt;=Forudsætninger!$H$97,Forudsætninger!$H$98,IF(G12&lt;=Forudsætninger!$I$97,Forudsætninger!$I$98,Forudsætninger!$I$98))))))))</f>
        <v>1.8</v>
      </c>
      <c r="AG12" s="1">
        <f t="shared" si="16"/>
        <v>2.2000000000000002</v>
      </c>
      <c r="AH12" s="1">
        <f t="shared" si="21"/>
        <v>21.999999999999996</v>
      </c>
      <c r="AI12" s="1">
        <f t="shared" si="4"/>
        <v>2.1999999999999997</v>
      </c>
      <c r="AJ12" s="20">
        <f>+(W12*Forudsætninger!$C$12)</f>
        <v>0</v>
      </c>
      <c r="AK12" s="20">
        <f>Forudsætninger!$C$17</f>
        <v>250</v>
      </c>
      <c r="AL12" s="20">
        <f>IF(A12&lt;92,Forudsætninger!$C$20,Forudsætninger!$C$21)</f>
        <v>4.0072859744990899</v>
      </c>
      <c r="AM12" s="20">
        <f t="shared" si="17"/>
        <v>40.0728597449909</v>
      </c>
      <c r="AN12" s="19">
        <f>IFERROR(AD12+AJ12-AA12-Z12-AK12-AM12-Forudsætninger!$D$75,-99999)</f>
        <v>-1720.1395943845314</v>
      </c>
      <c r="AO12" s="57">
        <f>IFERROR(AN12/(A12+Forudsætninger!$D$74),-99999)</f>
        <v>-172.01395943845313</v>
      </c>
      <c r="AP12" s="19">
        <f>IFERROR(((365/(A12+Forudsætninger!$D$74))*AN12)/(AI12+Forudsætninger!$D$73),-99999)</f>
        <v>-27179.69488962572</v>
      </c>
      <c r="AQ12" s="18">
        <f t="shared" si="22"/>
        <v>10</v>
      </c>
      <c r="AR12" s="18">
        <f t="shared" si="23"/>
        <v>2673.5849459083452</v>
      </c>
      <c r="AS12" s="50">
        <f t="shared" si="24"/>
        <v>1.4</v>
      </c>
      <c r="AT12" s="50">
        <f t="shared" si="25"/>
        <v>-25.495475593708306</v>
      </c>
      <c r="AU12" s="50">
        <f t="shared" si="26"/>
        <v>16.27983153830499</v>
      </c>
      <c r="AV12" s="2">
        <f t="shared" si="27"/>
        <v>2572.3543339745993</v>
      </c>
      <c r="AW12" s="16">
        <f t="shared" si="19"/>
        <v>-168.00667346395406</v>
      </c>
      <c r="AZ12" s="16"/>
      <c r="BA12" s="2"/>
    </row>
    <row r="13" spans="1:59" x14ac:dyDescent="0.25">
      <c r="A13">
        <v>11</v>
      </c>
      <c r="B13" s="1">
        <f>ROUND((A13+Forudsætninger!$D$60)/30.4,1)</f>
        <v>1.5</v>
      </c>
      <c r="C13" s="1">
        <f>VLOOKUP((A13+Forudsætninger!$D$60),'Model tilvækst, slagteform, fe'!A:C,3,FALSE)</f>
        <v>80.954398224824089</v>
      </c>
      <c r="D13" s="3">
        <f t="shared" si="28"/>
        <v>1124.4827293207891</v>
      </c>
      <c r="E13" s="3">
        <f>(1+Forudsætninger!$D$78)*C13</f>
        <v>68.001694508852239</v>
      </c>
      <c r="F13" s="2">
        <f t="shared" si="7"/>
        <v>12.573324831953101</v>
      </c>
      <c r="G13" s="1">
        <f t="shared" si="8"/>
        <v>80.575019340805341</v>
      </c>
      <c r="H13" s="3">
        <f t="shared" si="9"/>
        <v>832.11721969738051</v>
      </c>
      <c r="I13" s="3">
        <f t="shared" si="10"/>
        <v>779.54721280048545</v>
      </c>
      <c r="J13" s="1">
        <f>VLOOKUP((A13+Forudsætninger!$D$60),'Model tilvækst, slagteform, fe'!G:K,3,FALSE)*(1+Forudsætninger!$D$79)</f>
        <v>48.948761016452124</v>
      </c>
      <c r="K13" s="17">
        <f t="shared" si="0"/>
        <v>39.440473656090887</v>
      </c>
      <c r="L13" s="17">
        <f t="shared" si="11"/>
        <v>438.0302009162591</v>
      </c>
      <c r="M13" s="3">
        <f>((K13-(('Model tilvækst, slagteform, fe'!$I$9/100)*'Model tilvækst, slagteform, fe'!$C$9))*1000/(A13+Forudsætninger!$D$60))</f>
        <v>393.82023777159026</v>
      </c>
      <c r="N13" s="17">
        <f t="shared" si="12"/>
        <v>22.46869242884372</v>
      </c>
      <c r="O13" s="19">
        <f>IF( A13&lt;Forudsætninger!$C$14,(G13/100)*Forudsætninger!$C$13,(Forudsætninger!$C$15/1000)*Forudsætninger!$C$13)</f>
        <v>0.52373762571523474</v>
      </c>
      <c r="P13" s="17" cm="1">
        <f t="array" ref="P13">INDEX('Model tilvækst, slagteform, fe'!$O$9:$O$375,MATCH(MIN(ABS('Model tilvækst, slagteform, fe'!$M$9:$M$375-G13)),ABS('Model tilvækst, slagteform, fe'!$M$9:$M$375-G13),0))*(1+Forudsætninger!$D$80)</f>
        <v>2.1702251952672182</v>
      </c>
      <c r="Q13" s="17">
        <f t="shared" si="13"/>
        <v>4.9545104212622846</v>
      </c>
      <c r="R13" s="17">
        <f t="shared" si="14"/>
        <v>5.0144255580869119</v>
      </c>
      <c r="S13" s="2">
        <f t="shared" si="15"/>
        <v>2.6202497668924822</v>
      </c>
      <c r="T13" s="19">
        <f>(P13)*IF(N13&lt;Forudsætninger!$B$228,IF(N13&lt;Forudsætninger!$B$227,Forudsætninger!$B$225,Forudsætninger!$C$9),Forudsætninger!$C$11)+O13</f>
        <v>35.117498216940547</v>
      </c>
      <c r="U13" s="2">
        <f>Forudsætninger!$D$68+((K13-(Forudsætninger!$D$84)))*0.01</f>
        <v>5.5340154179205614</v>
      </c>
      <c r="V13" s="2">
        <f>U13+Forudsætninger!$D$69</f>
        <v>5.5340154179205614</v>
      </c>
      <c r="W13">
        <f t="shared" si="1"/>
        <v>0</v>
      </c>
      <c r="X13">
        <f>IF(A13+Forudsætninger!$D$60&gt;248,IF(A13+Forudsætninger!$D$60&lt;365,IF(K13&gt;180,IF(K13&lt;260,1,0),0),0),0)</f>
        <v>0</v>
      </c>
      <c r="Y13" s="22">
        <f>IF(X13=0,0,IF('Vækstfunktion, kry tyr'!A13&lt;Forudsætninger!$D$66,Forudsætninger!$D$67+(('Vækstfunktion, kry tyr'!A13-Forudsætninger!$D$66)/7)*Forudsætninger!$D$64,Forudsætninger!$D$67))</f>
        <v>0</v>
      </c>
      <c r="Z13" s="19">
        <f t="shared" si="20"/>
        <v>363.62958438029449</v>
      </c>
      <c r="AA13" s="19">
        <f>Forudsætninger!$D$62+Forudsætninger!$C$16</f>
        <v>2055</v>
      </c>
      <c r="AB13" s="19">
        <f>IF(K13&gt;Forudsætninger!$C$37,IF(K13&gt;Forudsætninger!$C$38,IF(K13&gt;Forudsætninger!$C$39,Forudsætninger!$E$39,Forudsætninger!$E$38+Forudsætninger!$F$39*(K13-Forudsætninger!$C$38)),Forudsætninger!$E$37+Forudsætninger!$F$38*(K13-Forudsætninger!$C$37)),Forudsætninger!$E$37)+IF(K13&gt;Forudsætninger!$C$39,Forudsætninger!$G$39,IF(K13&gt;Forudsætninger!$C$38,Forudsætninger!$G$38+Forudsætninger!$H$39*(K13-Forudsætninger!$C$38),IF(K13&gt;Forudsætninger!$C$37,Forudsætninger!$G$37+Forudsætninger!$H$38*(K13-Forudsætninger!$C$37),Forudsætninger!$G$37)))*(U13-Forudsætninger!$H$37)</f>
        <v>35.153401541792057</v>
      </c>
      <c r="AC13" s="19">
        <f>IF(K13&gt;Forudsætninger!$C$42,IF(K13&gt;Forudsætninger!$C$43,IF(K13&gt;Forudsætninger!$C$44,Forudsætninger!$E$44,Forudsætninger!$E$43+Forudsætninger!$F$44*(K13-Forudsætninger!$C$43)),Forudsætninger!$E$42+Forudsætninger!$F$43*(K13-Forudsætninger!$C$42)),Forudsætninger!$E$42)+IF(K13&gt;Forudsætninger!$C$44,Forudsætninger!$G$44,IF(K13&gt;Forudsætninger!$C$43,Forudsætninger!$G$43+Forudsætninger!$H$44*(K13-Forudsætninger!$C$43),IF(K13&gt;Forudsætninger!$C$42,Forudsætninger!$G$42+Forudsætninger!$H$43*(K13-Forudsætninger!$C$42),Forudsætninger!$G$42)))*(V13-Forudsætninger!$H$42)</f>
        <v>30.033503854480138</v>
      </c>
      <c r="AD13" s="19">
        <f t="shared" si="2"/>
        <v>1184.5356175727279</v>
      </c>
      <c r="AE13" s="19">
        <f t="shared" si="3"/>
        <v>30.033503854480134</v>
      </c>
      <c r="AF13">
        <f>IF(G13&lt;=Forudsætninger!$C$97,Forudsætninger!$C$98,(IF(G13&lt;=Forudsætninger!$D$97,Forudsætninger!$D$98,IF(G13&lt;=Forudsætninger!$E$97,Forudsætninger!$E$98,IF(G13&lt;=Forudsætninger!$F$97,Forudsætninger!$F$98,IF(G13&lt;=Forudsætninger!$G$97,Forudsætninger!$G$98,IF(G13&lt;=Forudsætninger!$H$97,Forudsætninger!$H$98,IF(G13&lt;=Forudsætninger!$I$97,Forudsætninger!$I$98,Forudsætninger!$I$98))))))))</f>
        <v>1.8</v>
      </c>
      <c r="AG13" s="1">
        <f t="shared" si="16"/>
        <v>2.2000000000000002</v>
      </c>
      <c r="AH13" s="1">
        <f t="shared" si="21"/>
        <v>24.199999999999996</v>
      </c>
      <c r="AI13" s="1">
        <f t="shared" si="4"/>
        <v>2.1999999999999997</v>
      </c>
      <c r="AJ13" s="20">
        <f>+(W13*Forudsætninger!$C$12)</f>
        <v>0</v>
      </c>
      <c r="AK13" s="20">
        <f>Forudsætninger!$C$17</f>
        <v>250</v>
      </c>
      <c r="AL13" s="20">
        <f>IF(A13&lt;92,Forudsætninger!$C$20,Forudsætninger!$C$21)</f>
        <v>4.0072859744990899</v>
      </c>
      <c r="AM13" s="20">
        <f t="shared" si="17"/>
        <v>44.080145719489991</v>
      </c>
      <c r="AN13" s="19">
        <f>IFERROR(AD13+AJ13-AA13-Z13-AK13-AM13-Forudsætninger!$D$75,-99999)</f>
        <v>-1746.066086228017</v>
      </c>
      <c r="AO13" s="57">
        <f>IFERROR(AN13/(A13+Forudsætninger!$D$74),-99999)</f>
        <v>-158.73328056618337</v>
      </c>
      <c r="AP13" s="19">
        <f>IFERROR(((365/(A13+Forudsætninger!$D$74))*AN13)/(AI13+Forudsætninger!$D$73),-99999)</f>
        <v>-25081.232643574429</v>
      </c>
      <c r="AQ13" s="18">
        <f t="shared" si="22"/>
        <v>11</v>
      </c>
      <c r="AR13" s="18">
        <f t="shared" si="23"/>
        <v>2712.7097300997843</v>
      </c>
      <c r="AS13" s="50">
        <f t="shared" si="24"/>
        <v>1.5</v>
      </c>
      <c r="AT13" s="50">
        <f t="shared" si="25"/>
        <v>-25.926491843485564</v>
      </c>
      <c r="AU13" s="50">
        <f t="shared" si="26"/>
        <v>13.28067887226976</v>
      </c>
      <c r="AV13" s="2">
        <f t="shared" si="27"/>
        <v>2098.462246051291</v>
      </c>
      <c r="AW13" s="16">
        <f t="shared" si="19"/>
        <v>-154.72599459168427</v>
      </c>
      <c r="AZ13" s="16"/>
      <c r="BA13" s="2"/>
    </row>
    <row r="14" spans="1:59" x14ac:dyDescent="0.25">
      <c r="A14">
        <v>12</v>
      </c>
      <c r="B14" s="1">
        <f>ROUND((A14+Forudsætninger!$D$60)/30.4,1)</f>
        <v>1.5</v>
      </c>
      <c r="C14" s="1">
        <f>VLOOKUP((A14+Forudsætninger!$D$60),'Model tilvækst, slagteform, fe'!A:C,3,FALSE)</f>
        <v>82.092479123051461</v>
      </c>
      <c r="D14" s="3">
        <f t="shared" si="28"/>
        <v>1138.080898227372</v>
      </c>
      <c r="E14" s="3">
        <f>(1+Forudsætninger!$D$78)*C14</f>
        <v>68.957682463363227</v>
      </c>
      <c r="F14" s="2">
        <f t="shared" si="7"/>
        <v>12.459516742130365</v>
      </c>
      <c r="G14" s="1">
        <f t="shared" si="8"/>
        <v>81.417199205493588</v>
      </c>
      <c r="H14" s="3">
        <f t="shared" si="9"/>
        <v>842.1798646882479</v>
      </c>
      <c r="I14" s="3">
        <f t="shared" si="10"/>
        <v>784.76660045779909</v>
      </c>
      <c r="J14" s="1">
        <f>VLOOKUP((A14+Forudsætninger!$D$60),'Model tilvækst, slagteform, fe'!G:K,3,FALSE)*(1+Forudsætninger!$D$79)</f>
        <v>48.987610000379952</v>
      </c>
      <c r="K14" s="17">
        <f t="shared" si="0"/>
        <v>39.884340020019643</v>
      </c>
      <c r="L14" s="17">
        <f t="shared" si="11"/>
        <v>443.86636392875545</v>
      </c>
      <c r="M14" s="3">
        <f>((K14-(('Model tilvækst, slagteform, fe'!$I$9/100)*'Model tilvækst, slagteform, fe'!$C$9))*1000/(A14+Forudsætninger!$D$60))</f>
        <v>394.90819703587641</v>
      </c>
      <c r="N14" s="17">
        <f t="shared" si="12"/>
        <v>24.676856431913006</v>
      </c>
      <c r="O14" s="19">
        <f>IF( A14&lt;Forudsætninger!$C$14,(G14/100)*Forudsætninger!$C$13,(Forudsætninger!$C$15/1000)*Forudsætninger!$C$13)</f>
        <v>0.52921179483570835</v>
      </c>
      <c r="P14" s="17" cm="1">
        <f t="array" ref="P14">INDEX('Model tilvækst, slagteform, fe'!$O$9:$O$375,MATCH(MIN(ABS('Model tilvækst, slagteform, fe'!$M$9:$M$375-G14)),ABS('Model tilvækst, slagteform, fe'!$M$9:$M$375-G14),0))*(1+Forudsætninger!$D$80)</f>
        <v>2.2081640030692848</v>
      </c>
      <c r="Q14" s="17">
        <f t="shared" si="13"/>
        <v>4.9748396871624969</v>
      </c>
      <c r="R14" s="17">
        <f t="shared" si="14"/>
        <v>5.0108576416855009</v>
      </c>
      <c r="S14" s="2">
        <f t="shared" si="15"/>
        <v>2.620402934400877</v>
      </c>
      <c r="T14" s="19">
        <f>(P14)*IF(N14&lt;Forudsætninger!$B$228,IF(N14&lt;Forudsætninger!$B$227,Forudsætninger!$B$225,Forudsætninger!$C$9),Forudsætninger!$C$11)+O14</f>
        <v>35.727723467692257</v>
      </c>
      <c r="U14" s="2">
        <f>Forudsætninger!$D$68+((K14-(Forudsætninger!$D$84)))*0.01</f>
        <v>5.5384540815598484</v>
      </c>
      <c r="V14" s="2">
        <f>U14+Forudsætninger!$D$69</f>
        <v>5.5384540815598484</v>
      </c>
      <c r="W14">
        <f t="shared" si="1"/>
        <v>0</v>
      </c>
      <c r="X14">
        <f>IF(A14+Forudsætninger!$D$60&gt;248,IF(A14+Forudsætninger!$D$60&lt;365,IF(K14&gt;180,IF(K14&lt;260,1,0),0),0),0)</f>
        <v>0</v>
      </c>
      <c r="Y14" s="22">
        <f>IF(X14=0,0,IF('Vækstfunktion, kry tyr'!A14&lt;Forudsætninger!$D$66,Forudsætninger!$D$67+(('Vækstfunktion, kry tyr'!A14-Forudsætninger!$D$66)/7)*Forudsætninger!$D$64,Forudsætninger!$D$67))</f>
        <v>0</v>
      </c>
      <c r="Z14" s="19">
        <f t="shared" si="20"/>
        <v>399.35730784798676</v>
      </c>
      <c r="AA14" s="19">
        <f>Forudsætninger!$D$62+Forudsætninger!$C$16</f>
        <v>2055</v>
      </c>
      <c r="AB14" s="19">
        <f>IF(K14&gt;Forudsætninger!$C$37,IF(K14&gt;Forudsætninger!$C$38,IF(K14&gt;Forudsætninger!$C$39,Forudsætninger!$E$39,Forudsætninger!$E$38+Forudsætninger!$F$39*(K14-Forudsætninger!$C$38)),Forudsætninger!$E$37+Forudsætninger!$F$38*(K14-Forudsætninger!$C$37)),Forudsætninger!$E$37)+IF(K14&gt;Forudsætninger!$C$39,Forudsætninger!$G$39,IF(K14&gt;Forudsætninger!$C$38,Forudsætninger!$G$38+Forudsætninger!$H$39*(K14-Forudsætninger!$C$38),IF(K14&gt;Forudsætninger!$C$37,Forudsætninger!$G$37+Forudsætninger!$H$38*(K14-Forudsætninger!$C$37),Forudsætninger!$G$37)))*(U14-Forudsætninger!$H$37)</f>
        <v>35.153845408155988</v>
      </c>
      <c r="AC14" s="19">
        <f>IF(K14&gt;Forudsætninger!$C$42,IF(K14&gt;Forudsætninger!$C$43,IF(K14&gt;Forudsætninger!$C$44,Forudsætninger!$E$44,Forudsætninger!$E$43+Forudsætninger!$F$44*(K14-Forudsætninger!$C$43)),Forudsætninger!$E$42+Forudsætninger!$F$43*(K14-Forudsætninger!$C$42)),Forudsætninger!$E$42)+IF(K14&gt;Forudsætninger!$C$44,Forudsætninger!$G$44,IF(K14&gt;Forudsætninger!$C$43,Forudsætninger!$G$43+Forudsætninger!$H$44*(K14-Forudsætninger!$C$43),IF(K14&gt;Forudsætninger!$C$42,Forudsætninger!$G$42+Forudsætninger!$H$43*(K14-Forudsætninger!$C$42),Forudsætninger!$G$42)))*(V14-Forudsætninger!$H$42)</f>
        <v>30.034613520389961</v>
      </c>
      <c r="AD14" s="19">
        <f t="shared" si="2"/>
        <v>1197.9107380171124</v>
      </c>
      <c r="AE14" s="19">
        <f t="shared" si="3"/>
        <v>30.034613520389961</v>
      </c>
      <c r="AF14">
        <f>IF(G14&lt;=Forudsætninger!$C$97,Forudsætninger!$C$98,(IF(G14&lt;=Forudsætninger!$D$97,Forudsætninger!$D$98,IF(G14&lt;=Forudsætninger!$E$97,Forudsætninger!$E$98,IF(G14&lt;=Forudsætninger!$F$97,Forudsætninger!$F$98,IF(G14&lt;=Forudsætninger!$G$97,Forudsætninger!$G$98,IF(G14&lt;=Forudsætninger!$H$97,Forudsætninger!$H$98,IF(G14&lt;=Forudsætninger!$I$97,Forudsætninger!$I$98,Forudsætninger!$I$98))))))))</f>
        <v>1.8</v>
      </c>
      <c r="AG14" s="1">
        <f t="shared" si="16"/>
        <v>2.2000000000000002</v>
      </c>
      <c r="AH14" s="1">
        <f t="shared" si="21"/>
        <v>26.399999999999995</v>
      </c>
      <c r="AI14" s="1">
        <f t="shared" si="4"/>
        <v>2.1999999999999997</v>
      </c>
      <c r="AJ14" s="20">
        <f>+(W14*Forudsætninger!$C$12)</f>
        <v>0</v>
      </c>
      <c r="AK14" s="20">
        <f>Forudsætninger!$C$17</f>
        <v>250</v>
      </c>
      <c r="AL14" s="20">
        <f>IF(A14&lt;92,Forudsætninger!$C$20,Forudsætninger!$C$21)</f>
        <v>4.0072859744990899</v>
      </c>
      <c r="AM14" s="20">
        <f t="shared" si="17"/>
        <v>48.087431693989082</v>
      </c>
      <c r="AN14" s="19">
        <f>IFERROR(AD14+AJ14-AA14-Z14-AK14-AM14-Forudsætninger!$D$75,-99999)</f>
        <v>-1772.4259752258238</v>
      </c>
      <c r="AO14" s="57">
        <f>IFERROR(AN14/(A14+Forudsætninger!$D$74),-99999)</f>
        <v>-147.70216460215198</v>
      </c>
      <c r="AP14" s="19">
        <f>IFERROR(((365/(A14+Forudsætninger!$D$74))*AN14)/(AI14+Forudsætninger!$D$73),-99999)</f>
        <v>-23338.220813759948</v>
      </c>
      <c r="AQ14" s="18">
        <f t="shared" si="22"/>
        <v>12</v>
      </c>
      <c r="AR14" s="18">
        <f t="shared" si="23"/>
        <v>2752.4447395419757</v>
      </c>
      <c r="AS14" s="50">
        <f t="shared" si="24"/>
        <v>1.5</v>
      </c>
      <c r="AT14" s="50">
        <f t="shared" si="25"/>
        <v>-26.35988899780682</v>
      </c>
      <c r="AU14" s="50">
        <f t="shared" si="26"/>
        <v>11.031115964031386</v>
      </c>
      <c r="AV14" s="2">
        <f t="shared" si="27"/>
        <v>1743.0118298144807</v>
      </c>
      <c r="AW14" s="16">
        <f t="shared" si="19"/>
        <v>-143.69487862765288</v>
      </c>
      <c r="AZ14" s="16"/>
      <c r="BA14" s="2"/>
    </row>
    <row r="15" spans="1:59" x14ac:dyDescent="0.25">
      <c r="A15">
        <v>13</v>
      </c>
      <c r="B15" s="1">
        <f>ROUND((A15+Forudsætninger!$D$60)/30.4,1)</f>
        <v>1.5</v>
      </c>
      <c r="C15" s="1">
        <f>VLOOKUP((A15+Forudsætninger!$D$60),'Model tilvækst, slagteform, fe'!A:C,3,FALSE)</f>
        <v>83.24400772296309</v>
      </c>
      <c r="D15" s="3">
        <f t="shared" si="28"/>
        <v>1151.5285999116286</v>
      </c>
      <c r="E15" s="3">
        <f>(1+Forudsætninger!$D$78)*C15</f>
        <v>69.924966487288998</v>
      </c>
      <c r="F15" s="2">
        <f t="shared" si="7"/>
        <v>12.344363882139202</v>
      </c>
      <c r="G15" s="1">
        <f t="shared" si="8"/>
        <v>82.269330369428204</v>
      </c>
      <c r="H15" s="3">
        <f t="shared" si="9"/>
        <v>852.13116393461519</v>
      </c>
      <c r="I15" s="3">
        <f t="shared" si="10"/>
        <v>789.94848995601569</v>
      </c>
      <c r="J15" s="1">
        <f>VLOOKUP((A15+Forudsætninger!$D$60),'Model tilvækst, slagteform, fe'!G:K,3,FALSE)*(1+Forudsætninger!$D$79)</f>
        <v>49.026730109765843</v>
      </c>
      <c r="K15" s="17">
        <f t="shared" si="0"/>
        <v>40.333962563331191</v>
      </c>
      <c r="L15" s="17">
        <f t="shared" si="11"/>
        <v>449.62254331154838</v>
      </c>
      <c r="M15" s="3">
        <f>((K15-(('Model tilvækst, slagteform, fe'!$I$9/100)*'Model tilvækst, slagteform, fe'!$C$9))*1000/(A15+Forudsætninger!$D$60))</f>
        <v>396.07233206301845</v>
      </c>
      <c r="N15" s="17">
        <f t="shared" si="12"/>
        <v>26.922958736866736</v>
      </c>
      <c r="O15" s="19">
        <f>IF( A15&lt;Forudsætninger!$C$14,(G15/100)*Forudsætninger!$C$13,(Forudsætninger!$C$15/1000)*Forudsætninger!$C$13)</f>
        <v>0.53475064740128331</v>
      </c>
      <c r="P15" s="17" cm="1">
        <f t="array" ref="P15">INDEX('Model tilvækst, slagteform, fe'!$O$9:$O$375,MATCH(MIN(ABS('Model tilvækst, slagteform, fe'!$M$9:$M$375-G15)),ABS('Model tilvækst, slagteform, fe'!$M$9:$M$375-G15),0))*(1+Forudsætninger!$D$80)</f>
        <v>2.2461023049537316</v>
      </c>
      <c r="Q15" s="17">
        <f t="shared" si="13"/>
        <v>4.9955286681374931</v>
      </c>
      <c r="R15" s="17">
        <f t="shared" si="14"/>
        <v>5.0095751951549703</v>
      </c>
      <c r="S15" s="2">
        <f t="shared" si="15"/>
        <v>2.6216859102143975</v>
      </c>
      <c r="T15" s="19">
        <f>(P15)*IF(N15&lt;Forudsætninger!$B$228,IF(N15&lt;Forudsætninger!$B$227,Forudsætninger!$B$225,Forudsætninger!$C$9),Forudsætninger!$C$11)+O15</f>
        <v>36.338005337475721</v>
      </c>
      <c r="U15" s="2">
        <f>Forudsætninger!$D$68+((K15-(Forudsætninger!$D$84)))*0.01</f>
        <v>5.5429503069929638</v>
      </c>
      <c r="V15" s="2">
        <f>U15+Forudsætninger!$D$69</f>
        <v>5.5429503069929638</v>
      </c>
      <c r="W15">
        <f t="shared" si="1"/>
        <v>0</v>
      </c>
      <c r="X15">
        <f>IF(A15+Forudsætninger!$D$60&gt;248,IF(A15+Forudsætninger!$D$60&lt;365,IF(K15&gt;180,IF(K15&lt;260,1,0),0),0),0)</f>
        <v>0</v>
      </c>
      <c r="Y15" s="22">
        <f>IF(X15=0,0,IF('Vækstfunktion, kry tyr'!A15&lt;Forudsætninger!$D$66,Forudsætninger!$D$67+(('Vækstfunktion, kry tyr'!A15-Forudsætninger!$D$66)/7)*Forudsætninger!$D$64,Forudsætninger!$D$67))</f>
        <v>0</v>
      </c>
      <c r="Z15" s="19">
        <f t="shared" si="20"/>
        <v>435.69531318546251</v>
      </c>
      <c r="AA15" s="19">
        <f>Forudsætninger!$D$62+Forudsætninger!$C$16</f>
        <v>2055</v>
      </c>
      <c r="AB15" s="19">
        <f>IF(K15&gt;Forudsætninger!$C$37,IF(K15&gt;Forudsætninger!$C$38,IF(K15&gt;Forudsætninger!$C$39,Forudsætninger!$E$39,Forudsætninger!$E$38+Forudsætninger!$F$39*(K15-Forudsætninger!$C$38)),Forudsætninger!$E$37+Forudsætninger!$F$38*(K15-Forudsætninger!$C$37)),Forudsætninger!$E$37)+IF(K15&gt;Forudsætninger!$C$39,Forudsætninger!$G$39,IF(K15&gt;Forudsætninger!$C$38,Forudsætninger!$G$38+Forudsætninger!$H$39*(K15-Forudsætninger!$C$38),IF(K15&gt;Forudsætninger!$C$37,Forudsætninger!$G$37+Forudsætninger!$H$38*(K15-Forudsætninger!$C$37),Forudsætninger!$G$37)))*(U15-Forudsætninger!$H$37)</f>
        <v>35.154295030699295</v>
      </c>
      <c r="AC15" s="19">
        <f>IF(K15&gt;Forudsætninger!$C$42,IF(K15&gt;Forudsætninger!$C$43,IF(K15&gt;Forudsætninger!$C$44,Forudsætninger!$E$44,Forudsætninger!$E$43+Forudsætninger!$F$44*(K15-Forudsætninger!$C$43)),Forudsætninger!$E$42+Forudsætninger!$F$43*(K15-Forudsætninger!$C$42)),Forudsætninger!$E$42)+IF(K15&gt;Forudsætninger!$C$44,Forudsætninger!$G$44,IF(K15&gt;Forudsætninger!$C$43,Forudsætninger!$G$43+Forudsætninger!$H$44*(K15-Forudsætninger!$C$43),IF(K15&gt;Forudsætninger!$C$42,Forudsætninger!$G$42+Forudsætninger!$H$43*(K15-Forudsætninger!$C$42),Forudsætninger!$G$42)))*(V15-Forudsætninger!$H$42)</f>
        <v>30.03573757674824</v>
      </c>
      <c r="AD15" s="19">
        <f t="shared" si="2"/>
        <v>1211.4603149826034</v>
      </c>
      <c r="AE15" s="19">
        <f t="shared" si="3"/>
        <v>30.03573757674824</v>
      </c>
      <c r="AF15">
        <f>IF(G15&lt;=Forudsætninger!$C$97,Forudsætninger!$C$98,(IF(G15&lt;=Forudsætninger!$D$97,Forudsætninger!$D$98,IF(G15&lt;=Forudsætninger!$E$97,Forudsætninger!$E$98,IF(G15&lt;=Forudsætninger!$F$97,Forudsætninger!$F$98,IF(G15&lt;=Forudsætninger!$G$97,Forudsætninger!$G$98,IF(G15&lt;=Forudsætninger!$H$97,Forudsætninger!$H$98,IF(G15&lt;=Forudsætninger!$I$97,Forudsætninger!$I$98,Forudsætninger!$I$98))))))))</f>
        <v>1.8</v>
      </c>
      <c r="AG15" s="1">
        <f t="shared" si="16"/>
        <v>2.2000000000000002</v>
      </c>
      <c r="AH15" s="1">
        <f t="shared" si="21"/>
        <v>28.599999999999994</v>
      </c>
      <c r="AI15" s="1">
        <f t="shared" si="4"/>
        <v>2.1999999999999997</v>
      </c>
      <c r="AJ15" s="20">
        <f>+(W15*Forudsætninger!$C$12)</f>
        <v>0</v>
      </c>
      <c r="AK15" s="20">
        <f>Forudsætninger!$C$17</f>
        <v>250</v>
      </c>
      <c r="AL15" s="20">
        <f>IF(A15&lt;92,Forudsætninger!$C$20,Forudsætninger!$C$21)</f>
        <v>4.0072859744990899</v>
      </c>
      <c r="AM15" s="20">
        <f t="shared" si="17"/>
        <v>52.094717668488173</v>
      </c>
      <c r="AN15" s="19">
        <f>IFERROR(AD15+AJ15-AA15-Z15-AK15-AM15-Forudsætninger!$D$75,-99999)</f>
        <v>-1799.2216895723075</v>
      </c>
      <c r="AO15" s="57">
        <f>IFERROR(AN15/(A15+Forudsætninger!$D$74),-99999)</f>
        <v>-138.40166842863903</v>
      </c>
      <c r="AP15" s="19">
        <f>IFERROR(((365/(A15+Forudsætninger!$D$74))*AN15)/(AI15+Forudsætninger!$D$73),-99999)</f>
        <v>-21868.661894568508</v>
      </c>
      <c r="AQ15" s="18">
        <f t="shared" si="22"/>
        <v>13</v>
      </c>
      <c r="AR15" s="18">
        <f t="shared" si="23"/>
        <v>2792.7900308539506</v>
      </c>
      <c r="AS15" s="50">
        <f t="shared" si="24"/>
        <v>1.5</v>
      </c>
      <c r="AT15" s="50">
        <f t="shared" si="25"/>
        <v>-26.795714346483692</v>
      </c>
      <c r="AU15" s="50">
        <f t="shared" si="26"/>
        <v>9.3004961735129541</v>
      </c>
      <c r="AV15" s="2">
        <f t="shared" si="27"/>
        <v>1469.5589191914405</v>
      </c>
      <c r="AW15" s="16">
        <f t="shared" si="19"/>
        <v>-134.39438245413996</v>
      </c>
      <c r="AZ15" s="16"/>
      <c r="BA15" s="2"/>
    </row>
    <row r="16" spans="1:59" x14ac:dyDescent="0.25">
      <c r="A16">
        <v>14</v>
      </c>
      <c r="B16" s="1">
        <f>ROUND((A16+Forudsætninger!$D$60)/30.4,1)</f>
        <v>1.6</v>
      </c>
      <c r="C16" s="1">
        <f>VLOOKUP((A16+Forudsætninger!$D$60),'Model tilvækst, slagteform, fe'!A:C,3,FALSE)</f>
        <v>84.408834178273182</v>
      </c>
      <c r="D16" s="3">
        <f t="shared" si="28"/>
        <v>1164.8264553100917</v>
      </c>
      <c r="E16" s="3">
        <f>(1+Forudsætninger!$D$78)*C16</f>
        <v>70.903420709749469</v>
      </c>
      <c r="F16" s="2">
        <f t="shared" si="7"/>
        <v>12.227881236608193</v>
      </c>
      <c r="G16" s="1">
        <f t="shared" si="8"/>
        <v>83.131301946357667</v>
      </c>
      <c r="H16" s="3">
        <f t="shared" si="9"/>
        <v>861.97157692946291</v>
      </c>
      <c r="I16" s="3">
        <f t="shared" si="10"/>
        <v>795.09299616840485</v>
      </c>
      <c r="J16" s="1">
        <f>VLOOKUP((A16+Forudsætninger!$D$60),'Model tilvækst, slagteform, fe'!G:K,3,FALSE)*(1+Forudsætninger!$D$79)</f>
        <v>49.066066202084336</v>
      </c>
      <c r="K16" s="17">
        <f t="shared" si="0"/>
        <v>40.789259647654475</v>
      </c>
      <c r="L16" s="17">
        <f t="shared" si="11"/>
        <v>455.2970843232842</v>
      </c>
      <c r="M16" s="3">
        <f>((K16-(('Model tilvækst, slagteform, fe'!$I$9/100)*'Model tilvækst, slagteform, fe'!$C$9))*1000/(A16+Forudsætninger!$D$60))</f>
        <v>397.30618106844059</v>
      </c>
      <c r="N16" s="17">
        <f t="shared" si="12"/>
        <v>29.169061041820466</v>
      </c>
      <c r="O16" s="19">
        <f>IF( A16&lt;Forudsætninger!$C$14,(G16/100)*Forudsætninger!$C$13,(Forudsætninger!$C$15/1000)*Forudsætninger!$C$13)</f>
        <v>0.54035346265132489</v>
      </c>
      <c r="P16" s="17" cm="1">
        <f t="array" ref="P16">INDEX('Model tilvækst, slagteform, fe'!$O$9:$O$375,MATCH(MIN(ABS('Model tilvækst, slagteform, fe'!$M$9:$M$375-G16)),ABS('Model tilvækst, slagteform, fe'!$M$9:$M$375-G16),0))*(1+Forudsætninger!$D$80)</f>
        <v>2.2461023049537316</v>
      </c>
      <c r="Q16" s="17">
        <f t="shared" si="13"/>
        <v>4.9332674912516774</v>
      </c>
      <c r="R16" s="17">
        <f t="shared" si="14"/>
        <v>5.0036154905536714</v>
      </c>
      <c r="S16" s="2">
        <f t="shared" si="15"/>
        <v>2.6204536704140913</v>
      </c>
      <c r="T16" s="19">
        <f>(P16)*IF(N16&lt;Forudsætninger!$B$228,IF(N16&lt;Forudsætninger!$B$227,Forudsætninger!$B$225,Forudsætninger!$C$9),Forudsætninger!$C$11)+O16</f>
        <v>36.343608152725764</v>
      </c>
      <c r="U16" s="2">
        <f>Forudsætninger!$D$68+((K16-(Forudsætninger!$D$84)))*0.01</f>
        <v>5.5475032778361975</v>
      </c>
      <c r="V16" s="2">
        <f>U16+Forudsætninger!$D$69</f>
        <v>5.5475032778361975</v>
      </c>
      <c r="W16">
        <f t="shared" si="1"/>
        <v>0</v>
      </c>
      <c r="X16">
        <f>IF(A16+Forudsætninger!$D$60&gt;248,IF(A16+Forudsætninger!$D$60&lt;365,IF(K16&gt;180,IF(K16&lt;260,1,0),0),0),0)</f>
        <v>0</v>
      </c>
      <c r="Y16" s="22">
        <f>IF(X16=0,0,IF('Vækstfunktion, kry tyr'!A16&lt;Forudsætninger!$D$66,Forudsætninger!$D$67+(('Vækstfunktion, kry tyr'!A16-Forudsætninger!$D$66)/7)*Forudsætninger!$D$64,Forudsætninger!$D$67))</f>
        <v>0</v>
      </c>
      <c r="Z16" s="19">
        <f t="shared" si="20"/>
        <v>472.03892133818829</v>
      </c>
      <c r="AA16" s="19">
        <f>Forudsætninger!$D$62+Forudsætninger!$C$16</f>
        <v>2055</v>
      </c>
      <c r="AB16" s="19">
        <f>IF(K16&gt;Forudsætninger!$C$37,IF(K16&gt;Forudsætninger!$C$38,IF(K16&gt;Forudsætninger!$C$39,Forudsætninger!$E$39,Forudsætninger!$E$38+Forudsætninger!$F$39*(K16-Forudsætninger!$C$38)),Forudsætninger!$E$37+Forudsætninger!$F$38*(K16-Forudsætninger!$C$37)),Forudsætninger!$E$37)+IF(K16&gt;Forudsætninger!$C$39,Forudsætninger!$G$39,IF(K16&gt;Forudsætninger!$C$38,Forudsætninger!$G$38+Forudsætninger!$H$39*(K16-Forudsætninger!$C$38),IF(K16&gt;Forudsætninger!$C$37,Forudsætninger!$G$37+Forudsætninger!$H$38*(K16-Forudsætninger!$C$37),Forudsætninger!$G$37)))*(U16-Forudsætninger!$H$37)</f>
        <v>35.154750327783624</v>
      </c>
      <c r="AC16" s="19">
        <f>IF(K16&gt;Forudsætninger!$C$42,IF(K16&gt;Forudsætninger!$C$43,IF(K16&gt;Forudsætninger!$C$44,Forudsætninger!$E$44,Forudsætninger!$E$43+Forudsætninger!$F$44*(K16-Forudsætninger!$C$43)),Forudsætninger!$E$42+Forudsætninger!$F$43*(K16-Forudsætninger!$C$42)),Forudsætninger!$E$42)+IF(K16&gt;Forudsætninger!$C$44,Forudsætninger!$G$44,IF(K16&gt;Forudsætninger!$C$43,Forudsætninger!$G$43+Forudsætninger!$H$44*(K16-Forudsætninger!$C$43),IF(K16&gt;Forudsætninger!$C$42,Forudsætninger!$G$42+Forudsætninger!$H$43*(K16-Forudsætninger!$C$42),Forudsætninger!$G$42)))*(V16-Forudsætninger!$H$42)</f>
        <v>30.036875819459048</v>
      </c>
      <c r="AD16" s="19">
        <f t="shared" si="2"/>
        <v>1225.1819268042693</v>
      </c>
      <c r="AE16" s="19">
        <f t="shared" si="3"/>
        <v>30.036875819459045</v>
      </c>
      <c r="AF16">
        <f>IF(G16&lt;=Forudsætninger!$C$97,Forudsætninger!$C$98,(IF(G16&lt;=Forudsætninger!$D$97,Forudsætninger!$D$98,IF(G16&lt;=Forudsætninger!$E$97,Forudsætninger!$E$98,IF(G16&lt;=Forudsætninger!$F$97,Forudsætninger!$F$98,IF(G16&lt;=Forudsætninger!$G$97,Forudsætninger!$G$98,IF(G16&lt;=Forudsætninger!$H$97,Forudsætninger!$H$98,IF(G16&lt;=Forudsætninger!$I$97,Forudsætninger!$I$98,Forudsætninger!$I$98))))))))</f>
        <v>1.8</v>
      </c>
      <c r="AG16" s="1">
        <f t="shared" si="16"/>
        <v>2.2000000000000002</v>
      </c>
      <c r="AH16" s="1">
        <f t="shared" si="21"/>
        <v>30.799999999999994</v>
      </c>
      <c r="AI16" s="1">
        <f t="shared" si="4"/>
        <v>2.1999999999999997</v>
      </c>
      <c r="AJ16" s="20">
        <f>+(W16*Forudsætninger!$C$12)</f>
        <v>0</v>
      </c>
      <c r="AK16" s="20">
        <f>Forudsætninger!$C$17</f>
        <v>250</v>
      </c>
      <c r="AL16" s="20">
        <f>IF(A16&lt;92,Forudsætninger!$C$20,Forudsætninger!$C$21)</f>
        <v>4.0072859744990899</v>
      </c>
      <c r="AM16" s="20">
        <f t="shared" si="17"/>
        <v>56.102003642987263</v>
      </c>
      <c r="AN16" s="19">
        <f>IFERROR(AD16+AJ16-AA16-Z16-AK16-AM16-Forudsætninger!$D$75,-99999)</f>
        <v>-1825.8509718778666</v>
      </c>
      <c r="AO16" s="57">
        <f>IFERROR(AN16/(A16+Forudsætninger!$D$74),-99999)</f>
        <v>-130.41792656270476</v>
      </c>
      <c r="AP16" s="19">
        <f>IFERROR(((365/(A16+Forudsætninger!$D$74))*AN16)/(AI16+Forudsætninger!$D$73),-99999)</f>
        <v>-20607.161556444695</v>
      </c>
      <c r="AQ16" s="18">
        <f t="shared" si="22"/>
        <v>14</v>
      </c>
      <c r="AR16" s="18">
        <f t="shared" si="23"/>
        <v>2833.1409249811754</v>
      </c>
      <c r="AS16" s="50">
        <f t="shared" si="24"/>
        <v>1.6</v>
      </c>
      <c r="AT16" s="50">
        <f t="shared" si="25"/>
        <v>-26.629282305559173</v>
      </c>
      <c r="AU16" s="50">
        <f t="shared" si="26"/>
        <v>7.9837418659342632</v>
      </c>
      <c r="AV16" s="2">
        <f t="shared" si="27"/>
        <v>1261.500338123813</v>
      </c>
      <c r="AW16" s="16">
        <f t="shared" si="19"/>
        <v>-126.41064058820567</v>
      </c>
      <c r="AZ16" s="16"/>
      <c r="BA16" s="2"/>
    </row>
    <row r="17" spans="1:53" x14ac:dyDescent="0.25">
      <c r="A17">
        <v>15</v>
      </c>
      <c r="B17" s="1">
        <f>ROUND((A17+Forudsætninger!$D$60)/30.4,1)</f>
        <v>1.6</v>
      </c>
      <c r="C17" s="1">
        <f>VLOOKUP((A17+Forudsætninger!$D$60),'Model tilvækst, slagteform, fe'!A:C,3,FALSE)</f>
        <v>85.586809263632588</v>
      </c>
      <c r="D17" s="3">
        <f>(C17-C16)*1000</f>
        <v>1177.9750853594066</v>
      </c>
      <c r="E17" s="3">
        <f>(1+Forudsætninger!$D$78)*C17</f>
        <v>71.892919781451369</v>
      </c>
      <c r="F17" s="2">
        <f t="shared" si="7"/>
        <v>12.110083728072253</v>
      </c>
      <c r="G17" s="1">
        <f t="shared" si="8"/>
        <v>84.003003509523623</v>
      </c>
      <c r="H17" s="3">
        <f t="shared" si="9"/>
        <v>871.70156316595637</v>
      </c>
      <c r="I17" s="3">
        <f t="shared" si="10"/>
        <v>800.2002339682416</v>
      </c>
      <c r="J17" s="1">
        <f>VLOOKUP((A17+Forudsætninger!$D$60),'Model tilvækst, slagteform, fe'!G:K,3,FALSE)*(1+Forudsætninger!$D$79)</f>
        <v>49.105563134809941</v>
      </c>
      <c r="K17" s="17">
        <f t="shared" si="0"/>
        <v>41.250147923505736</v>
      </c>
      <c r="L17" s="17">
        <f t="shared" si="11"/>
        <v>460.88827585126069</v>
      </c>
      <c r="M17" s="3">
        <f>((K17-(('Model tilvækst, slagteform, fe'!$I$9/100)*'Model tilvækst, slagteform, fe'!$C$9))*1000/(A17+Forudsætninger!$D$60))</f>
        <v>398.60377483951862</v>
      </c>
      <c r="N17" s="17">
        <f t="shared" si="12"/>
        <v>31.453101124003336</v>
      </c>
      <c r="O17" s="19">
        <f>IF( A17&lt;Forudsætninger!$C$14,(G17/100)*Forudsætninger!$C$13,(Forudsætninger!$C$15/1000)*Forudsætninger!$C$13)</f>
        <v>0.54601952281190358</v>
      </c>
      <c r="P17" s="17" cm="1">
        <f t="array" ref="P17">INDEX('Model tilvækst, slagteform, fe'!$O$9:$O$375,MATCH(MIN(ABS('Model tilvækst, slagteform, fe'!$M$9:$M$375-G17)),ABS('Model tilvækst, slagteform, fe'!$M$9:$M$375-G17),0))*(1+Forudsætninger!$D$80)</f>
        <v>2.2840400821828686</v>
      </c>
      <c r="Q17" s="17">
        <f t="shared" si="13"/>
        <v>4.9557348317534142</v>
      </c>
      <c r="R17" s="17">
        <f t="shared" si="14"/>
        <v>5.0001073931840718</v>
      </c>
      <c r="S17" s="2">
        <f t="shared" si="15"/>
        <v>2.6204358849888942</v>
      </c>
      <c r="T17" s="19">
        <f>(P17)*IF(N17&lt;Forudsætninger!$B$228,IF(N17&lt;Forudsætninger!$B$227,Forudsætninger!$B$225,Forudsætninger!$C$9),Forudsætninger!$C$11)+O17</f>
        <v>36.954008867008909</v>
      </c>
      <c r="U17" s="2">
        <f>Forudsætninger!$D$68+((K17-(Forudsætninger!$D$84)))*0.01</f>
        <v>5.5521121605947092</v>
      </c>
      <c r="V17" s="2">
        <f>U17+Forudsætninger!$D$69</f>
        <v>5.5521121605947092</v>
      </c>
      <c r="W17">
        <f t="shared" si="1"/>
        <v>0</v>
      </c>
      <c r="X17">
        <f>IF(A17+Forudsætninger!$D$60&gt;248,IF(A17+Forudsætninger!$D$60&lt;365,IF(K17&gt;180,IF(K17&lt;260,1,0),0),0),0)</f>
        <v>0</v>
      </c>
      <c r="Y17" s="22">
        <f>IF(X17=0,0,IF('Vækstfunktion, kry tyr'!A17&lt;Forudsætninger!$D$66,Forudsætninger!$D$67+(('Vækstfunktion, kry tyr'!A17-Forudsætninger!$D$66)/7)*Forudsætninger!$D$64,Forudsætninger!$D$67))</f>
        <v>0</v>
      </c>
      <c r="Z17" s="19">
        <f t="shared" si="20"/>
        <v>508.99293020519718</v>
      </c>
      <c r="AA17" s="19">
        <f>Forudsætninger!$D$62+Forudsætninger!$C$16</f>
        <v>2055</v>
      </c>
      <c r="AB17" s="19">
        <f>IF(K17&gt;Forudsætninger!$C$37,IF(K17&gt;Forudsætninger!$C$38,IF(K17&gt;Forudsætninger!$C$39,Forudsætninger!$E$39,Forudsætninger!$E$38+Forudsætninger!$F$39*(K17-Forudsætninger!$C$38)),Forudsætninger!$E$37+Forudsætninger!$F$38*(K17-Forudsætninger!$C$37)),Forudsætninger!$E$37)+IF(K17&gt;Forudsætninger!$C$39,Forudsætninger!$G$39,IF(K17&gt;Forudsætninger!$C$38,Forudsætninger!$G$38+Forudsætninger!$H$39*(K17-Forudsætninger!$C$38),IF(K17&gt;Forudsætninger!$C$37,Forudsætninger!$G$37+Forudsætninger!$H$38*(K17-Forudsætninger!$C$37),Forudsætninger!$G$37)))*(U17-Forudsætninger!$H$37)</f>
        <v>35.15521121605947</v>
      </c>
      <c r="AC17" s="19">
        <f>IF(K17&gt;Forudsætninger!$C$42,IF(K17&gt;Forudsætninger!$C$43,IF(K17&gt;Forudsætninger!$C$44,Forudsætninger!$E$44,Forudsætninger!$E$43+Forudsætninger!$F$44*(K17-Forudsætninger!$C$43)),Forudsætninger!$E$42+Forudsætninger!$F$43*(K17-Forudsætninger!$C$42)),Forudsætninger!$E$42)+IF(K17&gt;Forudsætninger!$C$44,Forudsætninger!$G$44,IF(K17&gt;Forudsætninger!$C$43,Forudsætninger!$G$43+Forudsætninger!$H$44*(K17-Forudsætninger!$C$43),IF(K17&gt;Forudsætninger!$C$42,Forudsætninger!$G$42+Forudsætninger!$H$43*(K17-Forudsætninger!$C$42),Forudsætninger!$G$42)))*(V17-Forudsætninger!$H$42)</f>
        <v>30.038028040148674</v>
      </c>
      <c r="AD17" s="19">
        <f t="shared" si="2"/>
        <v>1239.0730999865459</v>
      </c>
      <c r="AE17" s="19">
        <f t="shared" si="3"/>
        <v>30.038028040148674</v>
      </c>
      <c r="AF17">
        <f>IF(G17&lt;=Forudsætninger!$C$97,Forudsætninger!$C$98,(IF(G17&lt;=Forudsætninger!$D$97,Forudsætninger!$D$98,IF(G17&lt;=Forudsætninger!$E$97,Forudsætninger!$E$98,IF(G17&lt;=Forudsætninger!$F$97,Forudsætninger!$F$98,IF(G17&lt;=Forudsætninger!$G$97,Forudsætninger!$G$98,IF(G17&lt;=Forudsætninger!$H$97,Forudsætninger!$H$98,IF(G17&lt;=Forudsætninger!$I$97,Forudsætninger!$I$98,Forudsætninger!$I$98))))))))</f>
        <v>1.8</v>
      </c>
      <c r="AG17" s="1">
        <f t="shared" si="16"/>
        <v>2.2000000000000002</v>
      </c>
      <c r="AH17" s="1">
        <f t="shared" si="21"/>
        <v>32.999999999999993</v>
      </c>
      <c r="AI17" s="1">
        <f t="shared" si="4"/>
        <v>2.1999999999999997</v>
      </c>
      <c r="AJ17" s="20">
        <f>+(W17*Forudsætninger!$C$12)</f>
        <v>0</v>
      </c>
      <c r="AK17" s="20">
        <f>Forudsætninger!$C$17</f>
        <v>250</v>
      </c>
      <c r="AL17" s="20">
        <f>IF(A17&lt;92,Forudsætninger!$C$20,Forudsætninger!$C$21)</f>
        <v>4.0072859744990899</v>
      </c>
      <c r="AM17" s="20">
        <f t="shared" si="17"/>
        <v>60.109289617486354</v>
      </c>
      <c r="AN17" s="19">
        <f>IFERROR(AD17+AJ17-AA17-Z17-AK17-AM17-Forudsætninger!$D$75,-99999)</f>
        <v>-1852.9210935370979</v>
      </c>
      <c r="AO17" s="57">
        <f>IFERROR(AN17/(A17+Forudsætninger!$D$74),-99999)</f>
        <v>-123.5280729024732</v>
      </c>
      <c r="AP17" s="19">
        <f>IFERROR(((365/(A17+Forudsætninger!$D$74))*AN17)/(AI17+Forudsætninger!$D$73),-99999)</f>
        <v>-19518.505025715462</v>
      </c>
      <c r="AQ17" s="18">
        <f t="shared" si="22"/>
        <v>15</v>
      </c>
      <c r="AR17" s="18">
        <f t="shared" si="23"/>
        <v>2874.1022198226838</v>
      </c>
      <c r="AS17" s="50">
        <f t="shared" si="24"/>
        <v>1.6</v>
      </c>
      <c r="AT17" s="50">
        <f t="shared" si="25"/>
        <v>-27.07012165923129</v>
      </c>
      <c r="AU17" s="50">
        <f t="shared" si="26"/>
        <v>6.8898536602315659</v>
      </c>
      <c r="AV17" s="2">
        <f t="shared" si="27"/>
        <v>1088.6565307292331</v>
      </c>
      <c r="AW17" s="16">
        <f t="shared" si="19"/>
        <v>-119.5207869279741</v>
      </c>
      <c r="AZ17" s="16"/>
      <c r="BA17" s="2"/>
    </row>
    <row r="18" spans="1:53" x14ac:dyDescent="0.25">
      <c r="A18">
        <v>16</v>
      </c>
      <c r="B18" s="1">
        <f>ROUND((A18+Forudsætninger!$D$60)/30.4,1)</f>
        <v>1.6</v>
      </c>
      <c r="C18" s="1">
        <f>VLOOKUP((A18+Forudsætninger!$D$60),'Model tilvækst, slagteform, fe'!A:C,3,FALSE)</f>
        <v>86.777784374628723</v>
      </c>
      <c r="D18" s="3">
        <f t="shared" si="28"/>
        <v>1190.9751109961348</v>
      </c>
      <c r="E18" s="3">
        <f>(1+Forudsætninger!$D$78)*C18</f>
        <v>72.893338874688126</v>
      </c>
      <c r="F18" s="2">
        <f t="shared" si="7"/>
        <v>11.990986216972638</v>
      </c>
      <c r="G18" s="1">
        <f t="shared" si="8"/>
        <v>84.88432509166077</v>
      </c>
      <c r="H18" s="3">
        <f t="shared" si="9"/>
        <v>881.32158213714717</v>
      </c>
      <c r="I18" s="3">
        <f t="shared" si="10"/>
        <v>805.27031822879815</v>
      </c>
      <c r="J18" s="1">
        <f>VLOOKUP((A18+Forudsætninger!$D$60),'Model tilvækst, slagteform, fe'!G:K,3,FALSE)*(1+Forudsætninger!$D$79)</f>
        <v>49.14516576541719</v>
      </c>
      <c r="K18" s="17">
        <f t="shared" si="0"/>
        <v>41.7165422751523</v>
      </c>
      <c r="L18" s="17">
        <f t="shared" si="11"/>
        <v>466.39435164656362</v>
      </c>
      <c r="M18" s="3">
        <f>((K18-(('Model tilvækst, slagteform, fe'!$I$9/100)*'Model tilvækst, slagteform, fe'!$C$9))*1000/(A18+Forudsætninger!$D$60))</f>
        <v>399.95958637565951</v>
      </c>
      <c r="N18" s="17">
        <f t="shared" si="12"/>
        <v>33.775078440022341</v>
      </c>
      <c r="O18" s="19">
        <f>IF( A18&lt;Forudsætninger!$C$14,(G18/100)*Forudsætninger!$C$13,(Forudsætninger!$C$15/1000)*Forudsætninger!$C$13)</f>
        <v>0.55174811309579508</v>
      </c>
      <c r="P18" s="17" cm="1">
        <f t="array" ref="P18">INDEX('Model tilvækst, slagteform, fe'!$O$9:$O$375,MATCH(MIN(ABS('Model tilvækst, slagteform, fe'!$M$9:$M$375-G18)),ABS('Model tilvækst, slagteform, fe'!$M$9:$M$375-G18),0))*(1+Forudsætninger!$D$80)</f>
        <v>2.3219773160190047</v>
      </c>
      <c r="Q18" s="17">
        <f t="shared" si="13"/>
        <v>4.9785708335048895</v>
      </c>
      <c r="R18" s="17">
        <f t="shared" si="14"/>
        <v>4.9986208297727073</v>
      </c>
      <c r="S18" s="2">
        <f t="shared" si="15"/>
        <v>2.6214084323192735</v>
      </c>
      <c r="T18" s="19">
        <f>(P18)*IF(N18&lt;Forudsætninger!$B$228,IF(N18&lt;Forudsætninger!$B$227,Forudsætninger!$B$225,Forudsætninger!$C$9),Forudsætninger!$C$11)+O18</f>
        <v>37.564463449638048</v>
      </c>
      <c r="U18" s="2">
        <f>Forudsætninger!$D$68+((K18-(Forudsætninger!$D$84)))*0.01</f>
        <v>5.5567761041111758</v>
      </c>
      <c r="V18" s="2">
        <f>U18+Forudsætninger!$D$69</f>
        <v>5.5567761041111758</v>
      </c>
      <c r="W18">
        <f t="shared" si="1"/>
        <v>0</v>
      </c>
      <c r="X18">
        <f>IF(A18+Forudsætninger!$D$60&gt;248,IF(A18+Forudsætninger!$D$60&lt;365,IF(K18&gt;180,IF(K18&lt;260,1,0),0),0),0)</f>
        <v>0</v>
      </c>
      <c r="Y18" s="22">
        <f>IF(X18=0,0,IF('Vækstfunktion, kry tyr'!A18&lt;Forudsætninger!$D$66,Forudsætninger!$D$67+(('Vækstfunktion, kry tyr'!A18-Forudsætninger!$D$66)/7)*Forudsætninger!$D$64,Forudsætninger!$D$67))</f>
        <v>0</v>
      </c>
      <c r="Z18" s="19">
        <f t="shared" si="20"/>
        <v>546.55739365483521</v>
      </c>
      <c r="AA18" s="19">
        <f>Forudsætninger!$D$62+Forudsætninger!$C$16</f>
        <v>2055</v>
      </c>
      <c r="AB18" s="19">
        <f>IF(K18&gt;Forudsætninger!$C$37,IF(K18&gt;Forudsætninger!$C$38,IF(K18&gt;Forudsætninger!$C$39,Forudsætninger!$E$39,Forudsætninger!$E$38+Forudsætninger!$F$39*(K18-Forudsætninger!$C$38)),Forudsætninger!$E$37+Forudsætninger!$F$38*(K18-Forudsætninger!$C$37)),Forudsætninger!$E$37)+IF(K18&gt;Forudsætninger!$C$39,Forudsætninger!$G$39,IF(K18&gt;Forudsætninger!$C$38,Forudsætninger!$G$38+Forudsætninger!$H$39*(K18-Forudsætninger!$C$38),IF(K18&gt;Forudsætninger!$C$37,Forudsætninger!$G$37+Forudsætninger!$H$38*(K18-Forudsætninger!$C$37),Forudsætninger!$G$37)))*(U18-Forudsætninger!$H$37)</f>
        <v>35.155677610411118</v>
      </c>
      <c r="AC18" s="19">
        <f>IF(K18&gt;Forudsætninger!$C$42,IF(K18&gt;Forudsætninger!$C$43,IF(K18&gt;Forudsætninger!$C$44,Forudsætninger!$E$44,Forudsætninger!$E$43+Forudsætninger!$F$44*(K18-Forudsætninger!$C$43)),Forudsætninger!$E$42+Forudsætninger!$F$43*(K18-Forudsætninger!$C$42)),Forudsætninger!$E$42)+IF(K18&gt;Forudsætninger!$C$44,Forudsætninger!$G$44,IF(K18&gt;Forudsætninger!$C$43,Forudsætninger!$G$43+Forudsætninger!$H$44*(K18-Forudsætninger!$C$43),IF(K18&gt;Forudsætninger!$C$42,Forudsætninger!$G$42+Forudsætninger!$H$43*(K18-Forudsætninger!$C$42),Forudsætninger!$G$42)))*(V18-Forudsætninger!$H$42)</f>
        <v>30.039194026027793</v>
      </c>
      <c r="AD18" s="19">
        <f t="shared" si="2"/>
        <v>1253.1313074982909</v>
      </c>
      <c r="AE18" s="19">
        <f t="shared" si="3"/>
        <v>30.039194026027793</v>
      </c>
      <c r="AF18">
        <f>IF(G18&lt;=Forudsætninger!$C$97,Forudsætninger!$C$98,(IF(G18&lt;=Forudsætninger!$D$97,Forudsætninger!$D$98,IF(G18&lt;=Forudsætninger!$E$97,Forudsætninger!$E$98,IF(G18&lt;=Forudsætninger!$F$97,Forudsætninger!$F$98,IF(G18&lt;=Forudsætninger!$G$97,Forudsætninger!$G$98,IF(G18&lt;=Forudsætninger!$H$97,Forudsætninger!$H$98,IF(G18&lt;=Forudsætninger!$I$97,Forudsætninger!$I$98,Forudsætninger!$I$98))))))))</f>
        <v>1.8</v>
      </c>
      <c r="AG18" s="1">
        <f t="shared" si="16"/>
        <v>2.2000000000000002</v>
      </c>
      <c r="AH18" s="1">
        <f t="shared" si="21"/>
        <v>35.199999999999996</v>
      </c>
      <c r="AI18" s="1">
        <f t="shared" si="4"/>
        <v>2.1999999999999997</v>
      </c>
      <c r="AJ18" s="20">
        <f>+(W18*Forudsætninger!$C$12)</f>
        <v>0</v>
      </c>
      <c r="AK18" s="20">
        <f>Forudsætninger!$C$17</f>
        <v>250</v>
      </c>
      <c r="AL18" s="20">
        <f>IF(A18&lt;92,Forudsætninger!$C$20,Forudsætninger!$C$21)</f>
        <v>4.0072859744990899</v>
      </c>
      <c r="AM18" s="20">
        <f t="shared" si="17"/>
        <v>64.116575591985438</v>
      </c>
      <c r="AN18" s="19">
        <f>IFERROR(AD18+AJ18-AA18-Z18-AK18-AM18-Forudsætninger!$D$75,-99999)</f>
        <v>-1880.4346354494901</v>
      </c>
      <c r="AO18" s="57">
        <f>IFERROR(AN18/(A18+Forudsætninger!$D$74),-99999)</f>
        <v>-117.52716471559313</v>
      </c>
      <c r="AP18" s="19">
        <f>IFERROR(((365/(A18+Forudsætninger!$D$74))*AN18)/(AI18+Forudsætninger!$D$73),-99999)</f>
        <v>-18570.309576273376</v>
      </c>
      <c r="AQ18" s="18">
        <f t="shared" si="22"/>
        <v>16</v>
      </c>
      <c r="AR18" s="18">
        <f t="shared" si="23"/>
        <v>2915.6739692468209</v>
      </c>
      <c r="AS18" s="50">
        <f t="shared" si="24"/>
        <v>1.6</v>
      </c>
      <c r="AT18" s="50">
        <f t="shared" si="25"/>
        <v>-27.513541912392157</v>
      </c>
      <c r="AU18" s="50">
        <f t="shared" si="26"/>
        <v>6.0009081868800678</v>
      </c>
      <c r="AV18" s="2">
        <f t="shared" si="27"/>
        <v>948.1954494420861</v>
      </c>
      <c r="AW18" s="16">
        <f t="shared" si="19"/>
        <v>-113.51987874109405</v>
      </c>
      <c r="AZ18" s="16"/>
      <c r="BA18" s="2"/>
    </row>
    <row r="19" spans="1:53" x14ac:dyDescent="0.25">
      <c r="A19">
        <v>17</v>
      </c>
      <c r="B19" s="1">
        <f>ROUND((A19+Forudsætninger!$D$60)/30.4,1)</f>
        <v>1.7</v>
      </c>
      <c r="C19" s="1">
        <f>VLOOKUP((A19+Forudsætninger!$D$60),'Model tilvækst, slagteform, fe'!A:C,3,FALSE)</f>
        <v>87.981611527785674</v>
      </c>
      <c r="D19" s="3">
        <f t="shared" si="28"/>
        <v>1203.8271531569508</v>
      </c>
      <c r="E19" s="3">
        <f>(1+Forudsætninger!$D$78)*C19</f>
        <v>73.904553683339969</v>
      </c>
      <c r="F19" s="2">
        <f t="shared" si="7"/>
        <v>11.870603501656943</v>
      </c>
      <c r="G19" s="1">
        <f t="shared" si="8"/>
        <v>85.775157184996914</v>
      </c>
      <c r="H19" s="3">
        <f t="shared" si="9"/>
        <v>890.83209333614377</v>
      </c>
      <c r="I19" s="3">
        <f t="shared" si="10"/>
        <v>810.30336382334781</v>
      </c>
      <c r="J19" s="1">
        <f>VLOOKUP((A19+Forudsætninger!$D$60),'Model tilvækst, slagteform, fe'!G:K,3,FALSE)*(1+Forudsætninger!$D$79)</f>
        <v>49.184818951380628</v>
      </c>
      <c r="K19" s="17">
        <f t="shared" si="0"/>
        <v>42.188355766702884</v>
      </c>
      <c r="L19" s="17">
        <f t="shared" si="11"/>
        <v>471.81349155058427</v>
      </c>
      <c r="M19" s="3">
        <f>((K19-(('Model tilvækst, slagteform, fe'!$I$9/100)*'Model tilvækst, slagteform, fe'!$C$9))*1000/(A19+Forudsætninger!$D$60))</f>
        <v>401.36848647712861</v>
      </c>
      <c r="N19" s="17">
        <f t="shared" si="12"/>
        <v>36.134992427746795</v>
      </c>
      <c r="O19" s="19">
        <f>IF( A19&lt;Forudsætninger!$C$14,(G19/100)*Forudsætninger!$C$13,(Forudsætninger!$C$15/1000)*Forudsætninger!$C$13)</f>
        <v>0.55753852170247997</v>
      </c>
      <c r="P19" s="17" cm="1">
        <f t="array" ref="P19">INDEX('Model tilvækst, slagteform, fe'!$O$9:$O$375,MATCH(MIN(ABS('Model tilvækst, slagteform, fe'!$M$9:$M$375-G19)),ABS('Model tilvækst, slagteform, fe'!$M$9:$M$375-G19),0))*(1+Forudsætninger!$D$80)</f>
        <v>2.3599139877244526</v>
      </c>
      <c r="Q19" s="17">
        <f t="shared" si="13"/>
        <v>5.0017942046734385</v>
      </c>
      <c r="R19" s="17">
        <f t="shared" si="14"/>
        <v>4.9988279545047751</v>
      </c>
      <c r="S19" s="2">
        <f t="shared" si="15"/>
        <v>2.6232000072640109</v>
      </c>
      <c r="T19" s="19">
        <f>(P19)*IF(N19&lt;Forudsætninger!$B$228,IF(N19&lt;Forudsætninger!$B$227,Forudsætninger!$B$225,Forudsætninger!$C$9),Forudsætninger!$C$11)+O19</f>
        <v>38.174970890130723</v>
      </c>
      <c r="U19" s="2">
        <f>Forudsætninger!$D$68+((K19-(Forudsætninger!$D$84)))*0.01</f>
        <v>5.5614942390266808</v>
      </c>
      <c r="V19" s="2">
        <f>U19+Forudsætninger!$D$69</f>
        <v>5.5614942390266808</v>
      </c>
      <c r="W19">
        <f t="shared" si="1"/>
        <v>0</v>
      </c>
      <c r="X19">
        <f>IF(A19+Forudsætninger!$D$60&gt;248,IF(A19+Forudsætninger!$D$60&lt;365,IF(K19&gt;180,IF(K19&lt;260,1,0),0),0),0)</f>
        <v>0</v>
      </c>
      <c r="Y19" s="22">
        <f>IF(X19=0,0,IF('Vækstfunktion, kry tyr'!A19&lt;Forudsætninger!$D$66,Forudsætninger!$D$67+(('Vækstfunktion, kry tyr'!A19-Forudsætninger!$D$66)/7)*Forudsætninger!$D$64,Forudsætninger!$D$67))</f>
        <v>0</v>
      </c>
      <c r="Z19" s="19">
        <f t="shared" si="20"/>
        <v>584.73236454496589</v>
      </c>
      <c r="AA19" s="19">
        <f>Forudsætninger!$D$62+Forudsætninger!$C$16</f>
        <v>2055</v>
      </c>
      <c r="AB19" s="19">
        <f>IF(K19&gt;Forudsætninger!$C$37,IF(K19&gt;Forudsætninger!$C$38,IF(K19&gt;Forudsætninger!$C$39,Forudsætninger!$E$39,Forudsætninger!$E$38+Forudsætninger!$F$39*(K19-Forudsætninger!$C$38)),Forudsætninger!$E$37+Forudsætninger!$F$38*(K19-Forudsætninger!$C$37)),Forudsætninger!$E$37)+IF(K19&gt;Forudsætninger!$C$39,Forudsætninger!$G$39,IF(K19&gt;Forudsætninger!$C$38,Forudsætninger!$G$38+Forudsætninger!$H$39*(K19-Forudsætninger!$C$38),IF(K19&gt;Forudsætninger!$C$37,Forudsætninger!$G$37+Forudsætninger!$H$38*(K19-Forudsætninger!$C$37),Forudsætninger!$G$37)))*(U19-Forudsætninger!$H$37)</f>
        <v>35.156149423902669</v>
      </c>
      <c r="AC19" s="19">
        <f>IF(K19&gt;Forudsætninger!$C$42,IF(K19&gt;Forudsætninger!$C$43,IF(K19&gt;Forudsætninger!$C$44,Forudsætninger!$E$44,Forudsætninger!$E$43+Forudsætninger!$F$44*(K19-Forudsætninger!$C$43)),Forudsætninger!$E$42+Forudsætninger!$F$43*(K19-Forudsætninger!$C$42)),Forudsætninger!$E$42)+IF(K19&gt;Forudsætninger!$C$44,Forudsætninger!$G$44,IF(K19&gt;Forudsætninger!$C$43,Forudsætninger!$G$43+Forudsætninger!$H$44*(K19-Forudsætninger!$C$43),IF(K19&gt;Forudsætninger!$C$42,Forudsætninger!$G$42+Forudsætninger!$H$43*(K19-Forudsætninger!$C$42),Forudsætninger!$G$42)))*(V19-Forudsætninger!$H$42)</f>
        <v>30.04037355975667</v>
      </c>
      <c r="AD19" s="19">
        <f t="shared" si="2"/>
        <v>1267.3539671036692</v>
      </c>
      <c r="AE19" s="19">
        <f t="shared" si="3"/>
        <v>30.04037355975667</v>
      </c>
      <c r="AF19">
        <f>IF(G19&lt;=Forudsætninger!$C$97,Forudsætninger!$C$98,(IF(G19&lt;=Forudsætninger!$D$97,Forudsætninger!$D$98,IF(G19&lt;=Forudsætninger!$E$97,Forudsætninger!$E$98,IF(G19&lt;=Forudsætninger!$F$97,Forudsætninger!$F$98,IF(G19&lt;=Forudsætninger!$G$97,Forudsætninger!$G$98,IF(G19&lt;=Forudsætninger!$H$97,Forudsætninger!$H$98,IF(G19&lt;=Forudsætninger!$I$97,Forudsætninger!$I$98,Forudsætninger!$I$98))))))))</f>
        <v>1.8</v>
      </c>
      <c r="AG19" s="1">
        <f t="shared" si="16"/>
        <v>2.2000000000000002</v>
      </c>
      <c r="AH19" s="1">
        <f t="shared" si="21"/>
        <v>37.4</v>
      </c>
      <c r="AI19" s="1">
        <f t="shared" si="4"/>
        <v>2.1999999999999997</v>
      </c>
      <c r="AJ19" s="20">
        <f>+(W19*Forudsætninger!$C$12)</f>
        <v>0</v>
      </c>
      <c r="AK19" s="20">
        <f>Forudsætninger!$C$17</f>
        <v>250</v>
      </c>
      <c r="AL19" s="20">
        <f>IF(A19&lt;92,Forudsætninger!$C$20,Forudsætninger!$C$21)</f>
        <v>4.0072859744990899</v>
      </c>
      <c r="AM19" s="20">
        <f t="shared" si="17"/>
        <v>68.123861566484521</v>
      </c>
      <c r="AN19" s="19">
        <f>IFERROR(AD19+AJ19-AA19-Z19-AK19-AM19-Forudsætninger!$D$75,-99999)</f>
        <v>-1908.3942327087416</v>
      </c>
      <c r="AO19" s="57">
        <f>IFERROR(AN19/(A19+Forudsætninger!$D$74),-99999)</f>
        <v>-112.2584842769848</v>
      </c>
      <c r="AP19" s="19">
        <f>IFERROR(((365/(A19+Forudsætninger!$D$74))*AN19)/(AI19+Forudsætninger!$D$73),-99999)</f>
        <v>-17737.812450692403</v>
      </c>
      <c r="AQ19" s="18">
        <f t="shared" si="22"/>
        <v>17</v>
      </c>
      <c r="AR19" s="18">
        <f t="shared" si="23"/>
        <v>2957.8562261114507</v>
      </c>
      <c r="AS19" s="50">
        <f t="shared" si="24"/>
        <v>1.7</v>
      </c>
      <c r="AT19" s="50">
        <f t="shared" si="25"/>
        <v>-27.959597259251495</v>
      </c>
      <c r="AU19" s="50">
        <f t="shared" si="26"/>
        <v>5.2686804386083281</v>
      </c>
      <c r="AV19" s="2">
        <f t="shared" si="27"/>
        <v>832.49712558097235</v>
      </c>
      <c r="AW19" s="16">
        <f t="shared" si="19"/>
        <v>-108.2511983024857</v>
      </c>
      <c r="AZ19" s="16"/>
      <c r="BA19" s="2"/>
    </row>
    <row r="20" spans="1:53" x14ac:dyDescent="0.25">
      <c r="A20">
        <v>18</v>
      </c>
      <c r="B20" s="1">
        <f>ROUND((A20+Forudsætninger!$D$60)/30.4,1)</f>
        <v>1.7</v>
      </c>
      <c r="C20" s="1">
        <f>VLOOKUP((A20+Forudsætninger!$D$60),'Model tilvækst, slagteform, fe'!A:C,3,FALSE)</f>
        <v>89.198143360564146</v>
      </c>
      <c r="D20" s="3">
        <f t="shared" si="28"/>
        <v>1216.5318327784717</v>
      </c>
      <c r="E20" s="3">
        <f>(1+Forudsætninger!$D$78)*C20</f>
        <v>74.926440422873881</v>
      </c>
      <c r="F20" s="2">
        <f t="shared" si="7"/>
        <v>11.748950318379096</v>
      </c>
      <c r="G20" s="1">
        <f t="shared" si="8"/>
        <v>86.675390741252983</v>
      </c>
      <c r="H20" s="3">
        <f t="shared" si="9"/>
        <v>900.23355625606882</v>
      </c>
      <c r="I20" s="3">
        <f t="shared" si="10"/>
        <v>815.29948562516574</v>
      </c>
      <c r="J20" s="1">
        <f>VLOOKUP((A20+Forudsætninger!$D$60),'Model tilvækst, slagteform, fe'!G:K,3,FALSE)*(1+Forudsætninger!$D$79)</f>
        <v>49.22446755017473</v>
      </c>
      <c r="K20" s="17">
        <f t="shared" si="0"/>
        <v>42.665499589415226</v>
      </c>
      <c r="L20" s="17">
        <f t="shared" si="11"/>
        <v>477.14382271234257</v>
      </c>
      <c r="M20" s="3">
        <f>((K20-(('Model tilvækst, slagteform, fe'!$I$9/100)*'Model tilvækst, slagteform, fe'!$C$9))*1000/(A20+Forudsætninger!$D$60))</f>
        <v>402.82570448165194</v>
      </c>
      <c r="N20" s="17">
        <f t="shared" si="12"/>
        <v>38.494906415471249</v>
      </c>
      <c r="O20" s="19">
        <f>IF( A20&lt;Forudsætninger!$C$14,(G20/100)*Forudsætninger!$C$13,(Forudsætninger!$C$15/1000)*Forudsætninger!$C$13)</f>
        <v>0.56339003981814439</v>
      </c>
      <c r="P20" s="17" cm="1">
        <f t="array" ref="P20">INDEX('Model tilvækst, slagteform, fe'!$O$9:$O$375,MATCH(MIN(ABS('Model tilvækst, slagteform, fe'!$M$9:$M$375-G20)),ABS('Model tilvækst, slagteform, fe'!$M$9:$M$375-G20),0))*(1+Forudsætninger!$D$80)</f>
        <v>2.3599139877244526</v>
      </c>
      <c r="Q20" s="17">
        <f t="shared" si="13"/>
        <v>4.9459175103838291</v>
      </c>
      <c r="R20" s="17">
        <f t="shared" si="14"/>
        <v>4.9955517507268938</v>
      </c>
      <c r="S20" s="2">
        <f t="shared" si="15"/>
        <v>2.6230924337340378</v>
      </c>
      <c r="T20" s="19">
        <f>(P20)*IF(N20&lt;Forudsætninger!$B$228,IF(N20&lt;Forudsætninger!$B$227,Forudsætninger!$B$225,Forudsætninger!$C$9),Forudsætninger!$C$11)+O20</f>
        <v>6.4867741490065196</v>
      </c>
      <c r="U20" s="2">
        <f>Forudsætninger!$D$68+((K20-(Forudsætninger!$D$84)))*0.01</f>
        <v>5.5662656772538046</v>
      </c>
      <c r="V20" s="2">
        <f>U20+Forudsætninger!$D$69</f>
        <v>5.5662656772538046</v>
      </c>
      <c r="W20">
        <f t="shared" si="1"/>
        <v>0</v>
      </c>
      <c r="X20">
        <f>IF(A20+Forudsætninger!$D$60&gt;248,IF(A20+Forudsætninger!$D$60&lt;365,IF(K20&gt;180,IF(K20&lt;260,1,0),0),0),0)</f>
        <v>0</v>
      </c>
      <c r="Y20" s="22">
        <f>IF(X20=0,0,IF('Vækstfunktion, kry tyr'!A20&lt;Forudsætninger!$D$66,Forudsætninger!$D$67+(('Vækstfunktion, kry tyr'!A20-Forudsætninger!$D$66)/7)*Forudsætninger!$D$64,Forudsætninger!$D$67))</f>
        <v>0</v>
      </c>
      <c r="Z20" s="19">
        <f t="shared" si="20"/>
        <v>591.21913869397235</v>
      </c>
      <c r="AA20" s="19">
        <f>Forudsætninger!$D$62+Forudsætninger!$C$16</f>
        <v>2055</v>
      </c>
      <c r="AB20" s="19">
        <f>IF(K20&gt;Forudsætninger!$C$37,IF(K20&gt;Forudsætninger!$C$38,IF(K20&gt;Forudsætninger!$C$39,Forudsætninger!$E$39,Forudsætninger!$E$38+Forudsætninger!$F$39*(K20-Forudsætninger!$C$38)),Forudsætninger!$E$37+Forudsætninger!$F$38*(K20-Forudsætninger!$C$37)),Forudsætninger!$E$37)+IF(K20&gt;Forudsætninger!$C$39,Forudsætninger!$G$39,IF(K20&gt;Forudsætninger!$C$38,Forudsætninger!$G$38+Forudsætninger!$H$39*(K20-Forudsætninger!$C$38),IF(K20&gt;Forudsætninger!$C$37,Forudsætninger!$G$37+Forudsætninger!$H$38*(K20-Forudsætninger!$C$37),Forudsætninger!$G$37)))*(U20-Forudsætninger!$H$37)</f>
        <v>35.156626567725382</v>
      </c>
      <c r="AC20" s="19">
        <f>IF(K20&gt;Forudsætninger!$C$42,IF(K20&gt;Forudsætninger!$C$43,IF(K20&gt;Forudsætninger!$C$44,Forudsætninger!$E$44,Forudsætninger!$E$43+Forudsætninger!$F$44*(K20-Forudsætninger!$C$43)),Forudsætninger!$E$42+Forudsætninger!$F$43*(K20-Forudsætninger!$C$42)),Forudsætninger!$E$42)+IF(K20&gt;Forudsætninger!$C$44,Forudsætninger!$G$44,IF(K20&gt;Forudsætninger!$C$43,Forudsætninger!$G$43+Forudsætninger!$H$44*(K20-Forudsætninger!$C$43),IF(K20&gt;Forudsætninger!$C$42,Forudsætninger!$G$42+Forudsætninger!$H$43*(K20-Forudsætninger!$C$42),Forudsætninger!$G$42)))*(V20-Forudsætninger!$H$42)</f>
        <v>30.041566419313451</v>
      </c>
      <c r="AD20" s="19">
        <f t="shared" si="2"/>
        <v>1281.7384397286082</v>
      </c>
      <c r="AE20" s="19">
        <f t="shared" si="3"/>
        <v>30.041566419313451</v>
      </c>
      <c r="AF20">
        <f>IF(G20&lt;=Forudsætninger!$C$97,Forudsætninger!$C$98,(IF(G20&lt;=Forudsætninger!$D$97,Forudsætninger!$D$98,IF(G20&lt;=Forudsætninger!$E$97,Forudsætninger!$E$98,IF(G20&lt;=Forudsætninger!$F$97,Forudsætninger!$F$98,IF(G20&lt;=Forudsætninger!$G$97,Forudsætninger!$G$98,IF(G20&lt;=Forudsætninger!$H$97,Forudsætninger!$H$98,IF(G20&lt;=Forudsætninger!$I$97,Forudsætninger!$I$98,Forudsætninger!$I$98))))))))</f>
        <v>1.8</v>
      </c>
      <c r="AG20" s="1">
        <f t="shared" si="16"/>
        <v>2.2000000000000002</v>
      </c>
      <c r="AH20" s="1">
        <f t="shared" si="21"/>
        <v>39.6</v>
      </c>
      <c r="AI20" s="1">
        <f t="shared" si="4"/>
        <v>2.2000000000000002</v>
      </c>
      <c r="AJ20" s="20">
        <f>+(W20*Forudsætninger!$C$12)</f>
        <v>0</v>
      </c>
      <c r="AK20" s="20">
        <f>Forudsætninger!$C$17</f>
        <v>250</v>
      </c>
      <c r="AL20" s="20">
        <f>IF(A20&lt;92,Forudsætninger!$C$20,Forudsætninger!$C$21)</f>
        <v>4.0072859744990899</v>
      </c>
      <c r="AM20" s="20">
        <f t="shared" si="17"/>
        <v>72.131147540983605</v>
      </c>
      <c r="AN20" s="19">
        <f>IFERROR(AD20+AJ20-AA20-Z20-AK20-AM20-Forudsætninger!$D$75,-99999)</f>
        <v>-1904.5038202073081</v>
      </c>
      <c r="AO20" s="57">
        <f>IFERROR(AN20/(A20+Forudsætninger!$D$74),-99999)</f>
        <v>-105.80576778929489</v>
      </c>
      <c r="AP20" s="19">
        <f>IFERROR(((365/(A20+Forudsætninger!$D$74))*AN20)/(AI20+Forudsætninger!$D$73),-99999)</f>
        <v>-16718.227377962179</v>
      </c>
      <c r="AQ20" s="18">
        <f t="shared" si="22"/>
        <v>18</v>
      </c>
      <c r="AR20" s="18">
        <f t="shared" si="23"/>
        <v>2968.3502862349555</v>
      </c>
      <c r="AS20" s="50">
        <f t="shared" si="24"/>
        <v>1.7</v>
      </c>
      <c r="AT20" s="50">
        <f t="shared" si="25"/>
        <v>3.8904125014335023</v>
      </c>
      <c r="AU20" s="50">
        <f t="shared" si="26"/>
        <v>6.4527164876899121</v>
      </c>
      <c r="AV20" s="2">
        <f t="shared" si="27"/>
        <v>1019.5850727302241</v>
      </c>
      <c r="AW20" s="16">
        <f t="shared" si="19"/>
        <v>-101.79848181479581</v>
      </c>
      <c r="AZ20" s="16"/>
      <c r="BA20" s="2"/>
    </row>
    <row r="21" spans="1:53" x14ac:dyDescent="0.25">
      <c r="A21">
        <v>19</v>
      </c>
      <c r="B21" s="1">
        <f>ROUND((A21+Forudsætninger!$D$60)/30.4,1)</f>
        <v>1.7</v>
      </c>
      <c r="C21" s="1">
        <f>VLOOKUP((A21+Forudsætninger!$D$60),'Model tilvækst, slagteform, fe'!A:C,3,FALSE)</f>
        <v>90.427233131361433</v>
      </c>
      <c r="D21" s="3">
        <f t="shared" si="28"/>
        <v>1229.0897707972874</v>
      </c>
      <c r="E21" s="3">
        <f>(1+Forudsætninger!$D$78)*C21</f>
        <v>75.958875830343601</v>
      </c>
      <c r="F21" s="2">
        <f t="shared" si="7"/>
        <v>11.626041341299368</v>
      </c>
      <c r="G21" s="1">
        <f t="shared" si="8"/>
        <v>87.584917171642971</v>
      </c>
      <c r="H21" s="3">
        <f t="shared" si="9"/>
        <v>909.52643038998815</v>
      </c>
      <c r="I21" s="3">
        <f t="shared" si="10"/>
        <v>820.25879850752472</v>
      </c>
      <c r="J21" s="1">
        <f>VLOOKUP((A21+Forudsætninger!$D$60),'Model tilvækst, slagteform, fe'!G:K,3,FALSE)*(1+Forudsætninger!$D$79)</f>
        <v>49.264056419274077</v>
      </c>
      <c r="K21" s="17">
        <f t="shared" si="0"/>
        <v>43.147883010212659</v>
      </c>
      <c r="L21" s="17">
        <f t="shared" si="11"/>
        <v>482.3834207974329</v>
      </c>
      <c r="M21" s="3">
        <f>((K21-(('Model tilvækst, slagteform, fe'!$I$9/100)*'Model tilvækst, slagteform, fe'!$C$9))*1000/(A21+Forudsætninger!$D$60))</f>
        <v>404.32679346874215</v>
      </c>
      <c r="N21" s="17">
        <f t="shared" si="12"/>
        <v>40.892756494032767</v>
      </c>
      <c r="O21" s="19">
        <f>IF( A21&lt;Forudsætninger!$C$14,(G21/100)*Forudsætninger!$C$13,(Forudsætninger!$C$15/1000)*Forudsætninger!$C$13)</f>
        <v>0.56930196161567936</v>
      </c>
      <c r="P21" s="17" cm="1">
        <f t="array" ref="P21">INDEX('Model tilvækst, slagteform, fe'!$O$9:$O$375,MATCH(MIN(ABS('Model tilvækst, slagteform, fe'!$M$9:$M$375-G21)),ABS('Model tilvækst, slagteform, fe'!$M$9:$M$375-G21),0))*(1+Forudsætninger!$D$80)</f>
        <v>2.3978500785615209</v>
      </c>
      <c r="Q21" s="17">
        <f t="shared" si="13"/>
        <v>4.9708384973049258</v>
      </c>
      <c r="R21" s="17">
        <f t="shared" si="14"/>
        <v>4.9940958465825416</v>
      </c>
      <c r="S21" s="2">
        <f t="shared" si="15"/>
        <v>2.6238674253872745</v>
      </c>
      <c r="T21" s="19">
        <f>(P21)*IF(N21&lt;Forudsætninger!$B$228,IF(N21&lt;Forudsætninger!$B$227,Forudsætninger!$B$225,Forudsætninger!$C$9),Forudsætninger!$C$11)+O21</f>
        <v>6.5879056588050968</v>
      </c>
      <c r="U21" s="2">
        <f>Forudsætninger!$D$68+((K21-(Forudsætninger!$D$84)))*0.01</f>
        <v>5.5710895114617784</v>
      </c>
      <c r="V21" s="2">
        <f>U21+Forudsætninger!$D$69</f>
        <v>5.5710895114617784</v>
      </c>
      <c r="W21">
        <f t="shared" si="1"/>
        <v>0</v>
      </c>
      <c r="X21">
        <f>IF(A21+Forudsætninger!$D$60&gt;248,IF(A21+Forudsætninger!$D$60&lt;365,IF(K21&gt;180,IF(K21&lt;260,1,0),0),0),0)</f>
        <v>0</v>
      </c>
      <c r="Y21" s="22">
        <f>IF(X21=0,0,IF('Vækstfunktion, kry tyr'!A21&lt;Forudsætninger!$D$66,Forudsætninger!$D$67+(('Vækstfunktion, kry tyr'!A21-Forudsætninger!$D$66)/7)*Forudsætninger!$D$64,Forudsætninger!$D$67))</f>
        <v>0</v>
      </c>
      <c r="Z21" s="19">
        <f t="shared" si="20"/>
        <v>597.80704435277744</v>
      </c>
      <c r="AA21" s="19">
        <f>Forudsætninger!$D$62+Forudsætninger!$C$16</f>
        <v>2055</v>
      </c>
      <c r="AB21" s="19">
        <f>IF(K21&gt;Forudsætninger!$C$37,IF(K21&gt;Forudsætninger!$C$38,IF(K21&gt;Forudsætninger!$C$39,Forudsætninger!$E$39,Forudsætninger!$E$38+Forudsætninger!$F$39*(K21-Forudsætninger!$C$38)),Forudsætninger!$E$37+Forudsætninger!$F$38*(K21-Forudsætninger!$C$37)),Forudsætninger!$E$37)+IF(K21&gt;Forudsætninger!$C$39,Forudsætninger!$G$39,IF(K21&gt;Forudsætninger!$C$38,Forudsætninger!$G$38+Forudsætninger!$H$39*(K21-Forudsætninger!$C$38),IF(K21&gt;Forudsætninger!$C$37,Forudsætninger!$G$37+Forudsætninger!$H$38*(K21-Forudsætninger!$C$37),Forudsætninger!$G$37)))*(U21-Forudsætninger!$H$37)</f>
        <v>35.157108951146178</v>
      </c>
      <c r="AC21" s="19">
        <f>IF(K21&gt;Forudsætninger!$C$42,IF(K21&gt;Forudsætninger!$C$43,IF(K21&gt;Forudsætninger!$C$44,Forudsætninger!$E$44,Forudsætninger!$E$43+Forudsætninger!$F$44*(K21-Forudsætninger!$C$43)),Forudsætninger!$E$42+Forudsætninger!$F$43*(K21-Forudsætninger!$C$42)),Forudsætninger!$E$42)+IF(K21&gt;Forudsætninger!$C$44,Forudsætninger!$G$44,IF(K21&gt;Forudsætninger!$C$43,Forudsætninger!$G$43+Forudsætninger!$H$44*(K21-Forudsætninger!$C$43),IF(K21&gt;Forudsætninger!$C$42,Forudsætninger!$G$42+Forudsætninger!$H$43*(K21-Forudsætninger!$C$42),Forudsætninger!$G$42)))*(V21-Forudsætninger!$H$42)</f>
        <v>30.042772377865443</v>
      </c>
      <c r="AD21" s="19">
        <f t="shared" si="2"/>
        <v>1296.2820278625866</v>
      </c>
      <c r="AE21" s="19">
        <f t="shared" si="3"/>
        <v>30.042772377865443</v>
      </c>
      <c r="AF21">
        <f>IF(G21&lt;=Forudsætninger!$C$97,Forudsætninger!$C$98,(IF(G21&lt;=Forudsætninger!$D$97,Forudsætninger!$D$98,IF(G21&lt;=Forudsætninger!$E$97,Forudsætninger!$E$98,IF(G21&lt;=Forudsætninger!$F$97,Forudsætninger!$F$98,IF(G21&lt;=Forudsætninger!$G$97,Forudsætninger!$G$98,IF(G21&lt;=Forudsætninger!$H$97,Forudsætninger!$H$98,IF(G21&lt;=Forudsætninger!$I$97,Forudsætninger!$I$98,Forudsætninger!$I$98))))))))</f>
        <v>1.8</v>
      </c>
      <c r="AG21" s="1">
        <f t="shared" si="16"/>
        <v>2.2000000000000002</v>
      </c>
      <c r="AH21" s="1">
        <f t="shared" si="21"/>
        <v>41.800000000000004</v>
      </c>
      <c r="AI21" s="1">
        <f t="shared" si="4"/>
        <v>2.2000000000000002</v>
      </c>
      <c r="AJ21" s="20">
        <f>+(W21*Forudsætninger!$C$12)</f>
        <v>0</v>
      </c>
      <c r="AK21" s="20">
        <f>Forudsætninger!$C$17</f>
        <v>250</v>
      </c>
      <c r="AL21" s="20">
        <f>IF(A21&lt;92,Forudsætninger!$C$20,Forudsætninger!$C$21)</f>
        <v>4.0072859744990899</v>
      </c>
      <c r="AM21" s="20">
        <f t="shared" si="17"/>
        <v>76.138433515482689</v>
      </c>
      <c r="AN21" s="19">
        <f>IFERROR(AD21+AJ21-AA21-Z21-AK21-AM21-Forudsætninger!$D$75,-99999)</f>
        <v>-1900.5554237066337</v>
      </c>
      <c r="AO21" s="57">
        <f>IFERROR(AN21/(A21+Forudsætninger!$D$74),-99999)</f>
        <v>-100.02923282666494</v>
      </c>
      <c r="AP21" s="19">
        <f>IFERROR(((365/(A21+Forudsætninger!$D$74))*AN21)/(AI21+Forudsætninger!$D$73),-99999)</f>
        <v>-15805.484840576924</v>
      </c>
      <c r="AQ21" s="18">
        <f t="shared" si="22"/>
        <v>19</v>
      </c>
      <c r="AR21" s="18">
        <f t="shared" si="23"/>
        <v>2978.9454778682602</v>
      </c>
      <c r="AS21" s="50">
        <f t="shared" si="24"/>
        <v>1.7</v>
      </c>
      <c r="AT21" s="50">
        <f t="shared" si="25"/>
        <v>3.9483965006743347</v>
      </c>
      <c r="AU21" s="50">
        <f t="shared" si="26"/>
        <v>5.7765349626299525</v>
      </c>
      <c r="AV21" s="2">
        <f t="shared" si="27"/>
        <v>912.74253738525476</v>
      </c>
      <c r="AW21" s="16">
        <f t="shared" si="19"/>
        <v>-96.02194685216584</v>
      </c>
      <c r="AZ21" s="16"/>
      <c r="BA21" s="2"/>
    </row>
    <row r="22" spans="1:53" x14ac:dyDescent="0.25">
      <c r="A22">
        <v>20</v>
      </c>
      <c r="B22" s="1">
        <f>ROUND((A22+Forudsætninger!$D$60)/30.4,1)</f>
        <v>1.8</v>
      </c>
      <c r="C22" s="1">
        <f>VLOOKUP((A22+Forudsætninger!$D$60),'Model tilvækst, slagteform, fe'!A:C,3,FALSE)</f>
        <v>91.668734719511406</v>
      </c>
      <c r="D22" s="3">
        <f t="shared" si="28"/>
        <v>1241.5015881499726</v>
      </c>
      <c r="E22" s="3">
        <f>(1+Forudsætninger!$D$78)*C22</f>
        <v>77.001737164389581</v>
      </c>
      <c r="F22" s="2">
        <f t="shared" si="7"/>
        <v>11.501891182484371</v>
      </c>
      <c r="G22" s="1">
        <f t="shared" si="8"/>
        <v>88.503628346873953</v>
      </c>
      <c r="H22" s="3">
        <f t="shared" si="9"/>
        <v>918.71117523098178</v>
      </c>
      <c r="I22" s="3">
        <f t="shared" si="10"/>
        <v>825.1814173436976</v>
      </c>
      <c r="J22" s="1">
        <f>VLOOKUP((A22+Forudsætninger!$D$60),'Model tilvækst, slagteform, fe'!G:K,3,FALSE)*(1+Forudsætninger!$D$79)</f>
        <v>49.30353041615318</v>
      </c>
      <c r="K22" s="17">
        <f t="shared" si="0"/>
        <v>43.635413321400165</v>
      </c>
      <c r="L22" s="17">
        <f t="shared" si="11"/>
        <v>487.53031118750556</v>
      </c>
      <c r="M22" s="3">
        <f>((K22-(('Model tilvækst, slagteform, fe'!$I$9/100)*'Model tilvækst, slagteform, fe'!$C$9))*1000/(A22+Forudsætninger!$D$60))</f>
        <v>405.86759935242299</v>
      </c>
      <c r="N22" s="17">
        <f t="shared" si="12"/>
        <v>43.328542063825289</v>
      </c>
      <c r="O22" s="19">
        <f>IF( A22&lt;Forudsætninger!$C$14,(G22/100)*Forudsætninger!$C$13,(Forudsætninger!$C$15/1000)*Forudsætninger!$C$13)</f>
        <v>0.57527358425468067</v>
      </c>
      <c r="P22" s="17" cm="1">
        <f t="array" ref="P22">INDEX('Model tilvækst, slagteform, fe'!$O$9:$O$375,MATCH(MIN(ABS('Model tilvækst, slagteform, fe'!$M$9:$M$375-G22)),ABS('Model tilvækst, slagteform, fe'!$M$9:$M$375-G22),0))*(1+Forudsætninger!$D$80)</f>
        <v>2.4357855697925208</v>
      </c>
      <c r="Q22" s="17">
        <f t="shared" si="13"/>
        <v>4.9961725740898819</v>
      </c>
      <c r="R22" s="17">
        <f t="shared" si="14"/>
        <v>4.9942125474496937</v>
      </c>
      <c r="S22" s="2">
        <f t="shared" si="15"/>
        <v>2.6253949224463962</v>
      </c>
      <c r="T22" s="19">
        <f>(P22)*IF(N22&lt;Forudsætninger!$B$228,IF(N22&lt;Forudsætninger!$B$227,Forudsætninger!$B$225,Forudsætninger!$C$9),Forudsætninger!$C$11)+O22</f>
        <v>6.6890953644339071</v>
      </c>
      <c r="U22" s="2">
        <f>Forudsætninger!$D$68+((K22-(Forudsætninger!$D$84)))*0.01</f>
        <v>5.5759648145736538</v>
      </c>
      <c r="V22" s="2">
        <f>U22+Forudsætninger!$D$69</f>
        <v>5.5759648145736538</v>
      </c>
      <c r="W22">
        <f t="shared" si="1"/>
        <v>0</v>
      </c>
      <c r="X22">
        <f>IF(A22+Forudsætninger!$D$60&gt;248,IF(A22+Forudsætninger!$D$60&lt;365,IF(K22&gt;180,IF(K22&lt;260,1,0),0),0),0)</f>
        <v>0</v>
      </c>
      <c r="Y22" s="22">
        <f>IF(X22=0,0,IF('Vækstfunktion, kry tyr'!A22&lt;Forudsætninger!$D$66,Forudsætninger!$D$67+(('Vækstfunktion, kry tyr'!A22-Forudsætninger!$D$66)/7)*Forudsætninger!$D$64,Forudsætninger!$D$67))</f>
        <v>0</v>
      </c>
      <c r="Z22" s="19">
        <f t="shared" si="20"/>
        <v>604.49613971721135</v>
      </c>
      <c r="AA22" s="19">
        <f>Forudsætninger!$D$62+Forudsætninger!$C$16</f>
        <v>2055</v>
      </c>
      <c r="AB22" s="19">
        <f>IF(K22&gt;Forudsætninger!$C$37,IF(K22&gt;Forudsætninger!$C$38,IF(K22&gt;Forudsætninger!$C$39,Forudsætninger!$E$39,Forudsætninger!$E$38+Forudsætninger!$F$39*(K22-Forudsætninger!$C$38)),Forudsætninger!$E$37+Forudsætninger!$F$38*(K22-Forudsætninger!$C$37)),Forudsætninger!$E$37)+IF(K22&gt;Forudsætninger!$C$39,Forudsætninger!$G$39,IF(K22&gt;Forudsætninger!$C$38,Forudsætninger!$G$38+Forudsætninger!$H$39*(K22-Forudsætninger!$C$38),IF(K22&gt;Forudsætninger!$C$37,Forudsætninger!$G$37+Forudsætninger!$H$38*(K22-Forudsætninger!$C$37),Forudsætninger!$G$37)))*(U22-Forudsætninger!$H$37)</f>
        <v>35.157596481457368</v>
      </c>
      <c r="AC22" s="19">
        <f>IF(K22&gt;Forudsætninger!$C$42,IF(K22&gt;Forudsætninger!$C$43,IF(K22&gt;Forudsætninger!$C$44,Forudsætninger!$E$44,Forudsætninger!$E$43+Forudsætninger!$F$44*(K22-Forudsætninger!$C$43)),Forudsætninger!$E$42+Forudsætninger!$F$43*(K22-Forudsætninger!$C$42)),Forudsætninger!$E$42)+IF(K22&gt;Forudsætninger!$C$44,Forudsætninger!$G$44,IF(K22&gt;Forudsætninger!$C$43,Forudsætninger!$G$43+Forudsætninger!$H$44*(K22-Forudsætninger!$C$43),IF(K22&gt;Forudsætninger!$C$42,Forudsætninger!$G$42+Forudsætninger!$H$43*(K22-Forudsætninger!$C$42),Forudsætninger!$G$42)))*(V22-Forudsætninger!$H$42)</f>
        <v>30.043991203643412</v>
      </c>
      <c r="AD22" s="19">
        <f t="shared" si="2"/>
        <v>1310.981973995491</v>
      </c>
      <c r="AE22" s="19">
        <f t="shared" si="3"/>
        <v>30.043991203643408</v>
      </c>
      <c r="AF22">
        <f>IF(G22&lt;=Forudsætninger!$C$97,Forudsætninger!$C$98,(IF(G22&lt;=Forudsætninger!$D$97,Forudsætninger!$D$98,IF(G22&lt;=Forudsætninger!$E$97,Forudsætninger!$E$98,IF(G22&lt;=Forudsætninger!$F$97,Forudsætninger!$F$98,IF(G22&lt;=Forudsætninger!$G$97,Forudsætninger!$G$98,IF(G22&lt;=Forudsætninger!$H$97,Forudsætninger!$H$98,IF(G22&lt;=Forudsætninger!$I$97,Forudsætninger!$I$98,Forudsætninger!$I$98))))))))</f>
        <v>1.8</v>
      </c>
      <c r="AG22" s="1">
        <f t="shared" si="16"/>
        <v>2.2000000000000002</v>
      </c>
      <c r="AH22" s="1">
        <f t="shared" si="21"/>
        <v>44.000000000000007</v>
      </c>
      <c r="AI22" s="1">
        <f t="shared" si="4"/>
        <v>2.2000000000000002</v>
      </c>
      <c r="AJ22" s="20">
        <f>+(W22*Forudsætninger!$C$12)</f>
        <v>0</v>
      </c>
      <c r="AK22" s="20">
        <f>Forudsætninger!$C$17</f>
        <v>250</v>
      </c>
      <c r="AL22" s="20">
        <f>IF(A22&lt;92,Forudsætninger!$C$20,Forudsætninger!$C$21)</f>
        <v>4.0072859744990899</v>
      </c>
      <c r="AM22" s="20">
        <f t="shared" si="17"/>
        <v>80.145719489981772</v>
      </c>
      <c r="AN22" s="19">
        <f>IFERROR(AD22+AJ22-AA22-Z22-AK22-AM22-Forudsætninger!$D$75,-99999)</f>
        <v>-1896.5518589126625</v>
      </c>
      <c r="AO22" s="57">
        <f>IFERROR(AN22/(A22+Forudsætninger!$D$74),-99999)</f>
        <v>-94.827592945633128</v>
      </c>
      <c r="AP22" s="19">
        <f>IFERROR(((365/(A22+Forudsætninger!$D$74))*AN22)/(AI22+Forudsætninger!$D$73),-99999)</f>
        <v>-14983.580703530775</v>
      </c>
      <c r="AQ22" s="18">
        <f t="shared" si="22"/>
        <v>20</v>
      </c>
      <c r="AR22" s="18">
        <f t="shared" si="23"/>
        <v>2989.6418592071932</v>
      </c>
      <c r="AS22" s="50">
        <f t="shared" si="24"/>
        <v>1.8</v>
      </c>
      <c r="AT22" s="50">
        <f t="shared" si="25"/>
        <v>4.0035647939712362</v>
      </c>
      <c r="AU22" s="50">
        <f t="shared" si="26"/>
        <v>5.2016398810318094</v>
      </c>
      <c r="AV22" s="2">
        <f t="shared" si="27"/>
        <v>821.90413704614912</v>
      </c>
      <c r="AW22" s="16">
        <f t="shared" si="19"/>
        <v>-90.820306971134045</v>
      </c>
      <c r="AZ22" s="16"/>
      <c r="BA22" s="2"/>
    </row>
    <row r="23" spans="1:53" x14ac:dyDescent="0.25">
      <c r="A23">
        <v>21</v>
      </c>
      <c r="B23" s="1">
        <f>ROUND((A23+Forudsætninger!$D$60)/30.4,1)</f>
        <v>1.8</v>
      </c>
      <c r="C23" s="1">
        <f>VLOOKUP((A23+Forudsætninger!$D$60),'Model tilvækst, slagteform, fe'!A:C,3,FALSE)</f>
        <v>92.922502625284622</v>
      </c>
      <c r="D23" s="3">
        <f t="shared" si="28"/>
        <v>1253.7679057732162</v>
      </c>
      <c r="E23" s="3">
        <f>(1+Forudsætninger!$D$78)*C23</f>
        <v>78.054902205239074</v>
      </c>
      <c r="F23" s="2">
        <f t="shared" si="7"/>
        <v>11.376514391907049</v>
      </c>
      <c r="G23" s="1">
        <f t="shared" si="8"/>
        <v>89.431416597146125</v>
      </c>
      <c r="H23" s="3">
        <f t="shared" si="9"/>
        <v>927.78825027217238</v>
      </c>
      <c r="I23" s="3">
        <f t="shared" si="10"/>
        <v>830.06745700695842</v>
      </c>
      <c r="J23" s="1">
        <f>VLOOKUP((A23+Forudsætninger!$D$60),'Model tilvækst, slagteform, fe'!G:K,3,FALSE)*(1+Forudsætninger!$D$79)</f>
        <v>49.342834398286563</v>
      </c>
      <c r="K23" s="17">
        <f t="shared" si="0"/>
        <v>44.127995791571578</v>
      </c>
      <c r="L23" s="17">
        <f t="shared" si="11"/>
        <v>492.58247017141343</v>
      </c>
      <c r="M23" s="3">
        <f>((K23-(('Model tilvækst, slagteform, fe'!$I$9/100)*'Model tilvækst, slagteform, fe'!$C$9))*1000/(A23+Forudsætninger!$D$60))</f>
        <v>407.4442333673137</v>
      </c>
      <c r="N23" s="17">
        <f t="shared" si="12"/>
        <v>45.802262506505052</v>
      </c>
      <c r="O23" s="19">
        <f>IF( A23&lt;Forudsætninger!$C$14,(G23/100)*Forudsætninger!$C$13,(Forudsætninger!$C$15/1000)*Forudsætninger!$C$13)</f>
        <v>0.58130420788144987</v>
      </c>
      <c r="P23" s="17" cm="1">
        <f t="array" ref="P23">INDEX('Model tilvækst, slagteform, fe'!$O$9:$O$375,MATCH(MIN(ABS('Model tilvækst, slagteform, fe'!$M$9:$M$375-G23)),ABS('Model tilvækst, slagteform, fe'!$M$9:$M$375-G23),0))*(1+Forudsætninger!$D$80)</f>
        <v>2.4737204426797623</v>
      </c>
      <c r="Q23" s="17">
        <f t="shared" si="13"/>
        <v>5.0219416899243976</v>
      </c>
      <c r="R23" s="17">
        <f t="shared" si="14"/>
        <v>4.9957023373082219</v>
      </c>
      <c r="S23" s="2">
        <f t="shared" si="15"/>
        <v>2.62756972453999</v>
      </c>
      <c r="T23" s="19">
        <f>(P23)*IF(N23&lt;Forudsætninger!$B$228,IF(N23&lt;Forudsætninger!$B$227,Forudsætninger!$B$225,Forudsætninger!$C$9),Forudsætninger!$C$11)+O23</f>
        <v>6.7903425190076527</v>
      </c>
      <c r="U23" s="2">
        <f>Forudsætninger!$D$68+((K23-(Forudsætninger!$D$84)))*0.01</f>
        <v>5.5808906392753679</v>
      </c>
      <c r="V23" s="2">
        <f>U23+Forudsætninger!$D$69</f>
        <v>5.5808906392753679</v>
      </c>
      <c r="W23">
        <f t="shared" si="1"/>
        <v>0</v>
      </c>
      <c r="X23">
        <f>IF(A23+Forudsætninger!$D$60&gt;248,IF(A23+Forudsætninger!$D$60&lt;365,IF(K23&gt;180,IF(K23&lt;260,1,0),0),0),0)</f>
        <v>0</v>
      </c>
      <c r="Y23" s="22">
        <f>IF(X23=0,0,IF('Vækstfunktion, kry tyr'!A23&lt;Forudsætninger!$D$66,Forudsætninger!$D$67+(('Vækstfunktion, kry tyr'!A23-Forudsætninger!$D$66)/7)*Forudsætninger!$D$64,Forudsætninger!$D$67))</f>
        <v>0</v>
      </c>
      <c r="Z23" s="19">
        <f t="shared" si="20"/>
        <v>611.28648223621906</v>
      </c>
      <c r="AA23" s="19">
        <f>Forudsætninger!$D$62+Forudsætninger!$C$16</f>
        <v>2055</v>
      </c>
      <c r="AB23" s="19">
        <f>IF(K23&gt;Forudsætninger!$C$37,IF(K23&gt;Forudsætninger!$C$38,IF(K23&gt;Forudsætninger!$C$39,Forudsætninger!$E$39,Forudsætninger!$E$38+Forudsætninger!$F$39*(K23-Forudsætninger!$C$38)),Forudsætninger!$E$37+Forudsætninger!$F$38*(K23-Forudsætninger!$C$37)),Forudsætninger!$E$37)+IF(K23&gt;Forudsætninger!$C$39,Forudsætninger!$G$39,IF(K23&gt;Forudsætninger!$C$38,Forudsætninger!$G$38+Forudsætninger!$H$39*(K23-Forudsætninger!$C$38),IF(K23&gt;Forudsætninger!$C$37,Forudsætninger!$G$37+Forudsætninger!$H$38*(K23-Forudsætninger!$C$37),Forudsætninger!$G$37)))*(U23-Forudsætninger!$H$37)</f>
        <v>35.158089063927541</v>
      </c>
      <c r="AC23" s="19">
        <f>IF(K23&gt;Forudsætninger!$C$42,IF(K23&gt;Forudsætninger!$C$43,IF(K23&gt;Forudsætninger!$C$44,Forudsætninger!$E$44,Forudsætninger!$E$43+Forudsætninger!$F$44*(K23-Forudsætninger!$C$43)),Forudsætninger!$E$42+Forudsætninger!$F$43*(K23-Forudsætninger!$C$42)),Forudsætninger!$E$42)+IF(K23&gt;Forudsætninger!$C$44,Forudsætninger!$G$44,IF(K23&gt;Forudsætninger!$C$43,Forudsætninger!$G$43+Forudsætninger!$H$44*(K23-Forudsætninger!$C$43),IF(K23&gt;Forudsætninger!$C$42,Forudsætninger!$G$42+Forudsætninger!$H$43*(K23-Forudsætninger!$C$42),Forudsætninger!$G$42)))*(V23-Forudsætninger!$H$42)</f>
        <v>30.04522265981884</v>
      </c>
      <c r="AD23" s="19">
        <f t="shared" si="2"/>
        <v>1325.8354590893168</v>
      </c>
      <c r="AE23" s="19">
        <f t="shared" si="3"/>
        <v>30.04522265981884</v>
      </c>
      <c r="AF23">
        <f>IF(G23&lt;=Forudsætninger!$C$97,Forudsætninger!$C$98,(IF(G23&lt;=Forudsætninger!$D$97,Forudsætninger!$D$98,IF(G23&lt;=Forudsætninger!$E$97,Forudsætninger!$E$98,IF(G23&lt;=Forudsætninger!$F$97,Forudsætninger!$F$98,IF(G23&lt;=Forudsætninger!$G$97,Forudsætninger!$G$98,IF(G23&lt;=Forudsætninger!$H$97,Forudsætninger!$H$98,IF(G23&lt;=Forudsætninger!$I$97,Forudsætninger!$I$98,Forudsætninger!$I$98))))))))</f>
        <v>1.8</v>
      </c>
      <c r="AG23" s="1">
        <f t="shared" si="16"/>
        <v>2.2000000000000002</v>
      </c>
      <c r="AH23" s="1">
        <f t="shared" si="21"/>
        <v>46.20000000000001</v>
      </c>
      <c r="AI23" s="1">
        <f t="shared" si="4"/>
        <v>2.2000000000000006</v>
      </c>
      <c r="AJ23" s="20">
        <f>+(W23*Forudsætninger!$C$12)</f>
        <v>0</v>
      </c>
      <c r="AK23" s="20">
        <f>Forudsætninger!$C$17</f>
        <v>250</v>
      </c>
      <c r="AL23" s="20">
        <f>IF(A23&lt;92,Forudsætninger!$C$20,Forudsætninger!$C$21)</f>
        <v>4.0072859744990899</v>
      </c>
      <c r="AM23" s="20">
        <f t="shared" si="17"/>
        <v>84.153005464480856</v>
      </c>
      <c r="AN23" s="19">
        <f>IFERROR(AD23+AJ23-AA23-Z23-AK23-AM23-Forudsætninger!$D$75,-99999)</f>
        <v>-1892.4960023123433</v>
      </c>
      <c r="AO23" s="57">
        <f>IFERROR(AN23/(A23+Forudsætninger!$D$74),-99999)</f>
        <v>-90.118857252968724</v>
      </c>
      <c r="AP23" s="19">
        <f>IFERROR(((365/(A23+Forudsætninger!$D$74))*AN23)/(AI23+Forudsætninger!$D$73),-99999)</f>
        <v>-14239.559695815402</v>
      </c>
      <c r="AQ23" s="18">
        <f t="shared" si="22"/>
        <v>21</v>
      </c>
      <c r="AR23" s="18">
        <f t="shared" si="23"/>
        <v>3000.4394877006998</v>
      </c>
      <c r="AS23" s="50">
        <f t="shared" si="24"/>
        <v>1.8</v>
      </c>
      <c r="AT23" s="50">
        <f t="shared" si="25"/>
        <v>4.0558566003192027</v>
      </c>
      <c r="AU23" s="50">
        <f t="shared" si="26"/>
        <v>4.7087356926644048</v>
      </c>
      <c r="AV23" s="2">
        <f t="shared" si="27"/>
        <v>744.02100771537334</v>
      </c>
      <c r="AW23" s="16">
        <f t="shared" si="19"/>
        <v>-86.11157127846964</v>
      </c>
      <c r="AZ23" s="16"/>
      <c r="BA23" s="2"/>
    </row>
    <row r="24" spans="1:53" x14ac:dyDescent="0.25">
      <c r="A24">
        <v>22</v>
      </c>
      <c r="B24" s="1">
        <f>ROUND((A24+Forudsætninger!$D$60)/30.4,1)</f>
        <v>1.8</v>
      </c>
      <c r="C24" s="1">
        <f>VLOOKUP((A24+Forudsætninger!$D$60),'Model tilvækst, slagteform, fe'!A:C,3,FALSE)</f>
        <v>94.188391969888201</v>
      </c>
      <c r="D24" s="3">
        <f t="shared" si="28"/>
        <v>1265.889344603579</v>
      </c>
      <c r="E24" s="3">
        <f>(1+Forudsætninger!$D$78)*C24</f>
        <v>79.118249254706086</v>
      </c>
      <c r="F24" s="2">
        <f t="shared" si="7"/>
        <v>11.249925457446691</v>
      </c>
      <c r="G24" s="1">
        <f t="shared" si="8"/>
        <v>90.368174712152779</v>
      </c>
      <c r="H24" s="3">
        <f t="shared" si="9"/>
        <v>936.75811500665418</v>
      </c>
      <c r="I24" s="3">
        <f t="shared" si="10"/>
        <v>834.91703237058096</v>
      </c>
      <c r="J24" s="1">
        <f>VLOOKUP((A24+Forudsætninger!$D$60),'Model tilvækst, slagteform, fe'!G:K,3,FALSE)*(1+Forudsætninger!$D$79)</f>
        <v>49.381913223148729</v>
      </c>
      <c r="K24" s="17">
        <f t="shared" si="0"/>
        <v>44.625533617698714</v>
      </c>
      <c r="L24" s="17">
        <f t="shared" si="11"/>
        <v>497.53782612713593</v>
      </c>
      <c r="M24" s="3">
        <f>((K24-(('Model tilvækst, slagteform, fe'!$I$9/100)*'Model tilvækst, slagteform, fe'!$C$9))*1000/(A24+Forudsætninger!$D$60))</f>
        <v>409.05304752373911</v>
      </c>
      <c r="N24" s="17">
        <f t="shared" si="12"/>
        <v>48.313917184990608</v>
      </c>
      <c r="O24" s="19">
        <f>IF( A24&lt;Forudsætninger!$C$14,(G24/100)*Forudsætninger!$C$13,(Forudsætninger!$C$15/1000)*Forudsætninger!$C$13)</f>
        <v>0.58739313562899309</v>
      </c>
      <c r="P24" s="17" cm="1">
        <f t="array" ref="P24">INDEX('Model tilvækst, slagteform, fe'!$O$9:$O$375,MATCH(MIN(ABS('Model tilvækst, slagteform, fe'!$M$9:$M$375-G24)),ABS('Model tilvækst, slagteform, fe'!$M$9:$M$375-G24),0))*(1+Forudsætninger!$D$80)</f>
        <v>2.5116546784855558</v>
      </c>
      <c r="Q24" s="17">
        <f t="shared" si="13"/>
        <v>5.0481682931254204</v>
      </c>
      <c r="R24" s="17">
        <f t="shared" si="14"/>
        <v>4.9984029525059244</v>
      </c>
      <c r="S24" s="2">
        <f t="shared" si="15"/>
        <v>2.630305838338149</v>
      </c>
      <c r="T24" s="19">
        <f>(P24)*IF(N24&lt;Forudsætninger!$B$228,IF(N24&lt;Forudsætninger!$B$227,Forudsætninger!$B$225,Forudsætninger!$C$9),Forudsætninger!$C$11)+O24</f>
        <v>6.8916463786277378</v>
      </c>
      <c r="U24" s="2">
        <f>Forudsætninger!$D$68+((K24-(Forudsætninger!$D$84)))*0.01</f>
        <v>5.5858660175366399</v>
      </c>
      <c r="V24" s="2">
        <f>U24+Forudsætninger!$D$69</f>
        <v>5.5858660175366399</v>
      </c>
      <c r="W24">
        <f t="shared" si="1"/>
        <v>0</v>
      </c>
      <c r="X24">
        <f>IF(A24+Forudsætninger!$D$60&gt;248,IF(A24+Forudsætninger!$D$60&lt;365,IF(K24&gt;180,IF(K24&lt;260,1,0),0),0),0)</f>
        <v>0</v>
      </c>
      <c r="Y24" s="22">
        <f>IF(X24=0,0,IF('Vækstfunktion, kry tyr'!A24&lt;Forudsætninger!$D$66,Forudsætninger!$D$67+(('Vækstfunktion, kry tyr'!A24-Forudsætninger!$D$66)/7)*Forudsætninger!$D$64,Forudsætninger!$D$67))</f>
        <v>0</v>
      </c>
      <c r="Z24" s="19">
        <f t="shared" si="20"/>
        <v>618.17812861484674</v>
      </c>
      <c r="AA24" s="19">
        <f>Forudsætninger!$D$62+Forudsætninger!$C$16</f>
        <v>2055</v>
      </c>
      <c r="AB24" s="19">
        <f>IF(K24&gt;Forudsætninger!$C$37,IF(K24&gt;Forudsætninger!$C$38,IF(K24&gt;Forudsætninger!$C$39,Forudsætninger!$E$39,Forudsætninger!$E$38+Forudsætninger!$F$39*(K24-Forudsætninger!$C$38)),Forudsætninger!$E$37+Forudsætninger!$F$38*(K24-Forudsætninger!$C$37)),Forudsætninger!$E$37)+IF(K24&gt;Forudsætninger!$C$39,Forudsætninger!$G$39,IF(K24&gt;Forudsætninger!$C$38,Forudsætninger!$G$38+Forudsætninger!$H$39*(K24-Forudsætninger!$C$38),IF(K24&gt;Forudsætninger!$C$37,Forudsætninger!$G$37+Forudsætninger!$H$38*(K24-Forudsætninger!$C$37),Forudsætninger!$G$37)))*(U24-Forudsætninger!$H$37)</f>
        <v>35.158586601753662</v>
      </c>
      <c r="AC24" s="19">
        <f>IF(K24&gt;Forudsætninger!$C$42,IF(K24&gt;Forudsætninger!$C$43,IF(K24&gt;Forudsætninger!$C$44,Forudsætninger!$E$44,Forudsætninger!$E$43+Forudsætninger!$F$44*(K24-Forudsætninger!$C$43)),Forudsætninger!$E$42+Forudsætninger!$F$43*(K24-Forudsætninger!$C$42)),Forudsætninger!$E$42)+IF(K24&gt;Forudsætninger!$C$44,Forudsætninger!$G$44,IF(K24&gt;Forudsætninger!$C$43,Forudsætninger!$G$43+Forudsætninger!$H$44*(K24-Forudsætninger!$C$43),IF(K24&gt;Forudsætninger!$C$42,Forudsætninger!$G$42+Forudsætninger!$H$43*(K24-Forudsætninger!$C$42),Forudsætninger!$G$42)))*(V24-Forudsætninger!$H$42)</f>
        <v>30.04646650438416</v>
      </c>
      <c r="AD24" s="19">
        <f t="shared" si="2"/>
        <v>1340.8396010844538</v>
      </c>
      <c r="AE24" s="19">
        <f t="shared" si="3"/>
        <v>30.04646650438416</v>
      </c>
      <c r="AF24">
        <f>IF(G24&lt;=Forudsætninger!$C$97,Forudsætninger!$C$98,(IF(G24&lt;=Forudsætninger!$D$97,Forudsætninger!$D$98,IF(G24&lt;=Forudsætninger!$E$97,Forudsætninger!$E$98,IF(G24&lt;=Forudsætninger!$F$97,Forudsætninger!$F$98,IF(G24&lt;=Forudsætninger!$G$97,Forudsætninger!$G$98,IF(G24&lt;=Forudsætninger!$H$97,Forudsætninger!$H$98,IF(G24&lt;=Forudsætninger!$I$97,Forudsætninger!$I$98,Forudsætninger!$I$98))))))))</f>
        <v>1.8</v>
      </c>
      <c r="AG24" s="1">
        <f t="shared" si="16"/>
        <v>2.2000000000000002</v>
      </c>
      <c r="AH24" s="1">
        <f t="shared" si="21"/>
        <v>48.400000000000013</v>
      </c>
      <c r="AI24" s="1">
        <f t="shared" si="4"/>
        <v>2.2000000000000006</v>
      </c>
      <c r="AJ24" s="20">
        <f>+(W24*Forudsætninger!$C$12)</f>
        <v>0</v>
      </c>
      <c r="AK24" s="20">
        <f>Forudsætninger!$C$17</f>
        <v>250</v>
      </c>
      <c r="AL24" s="20">
        <f>IF(A24&lt;92,Forudsætninger!$C$20,Forudsætninger!$C$21)</f>
        <v>4.0072859744990899</v>
      </c>
      <c r="AM24" s="20">
        <f t="shared" si="17"/>
        <v>88.160291438979939</v>
      </c>
      <c r="AN24" s="19">
        <f>IFERROR(AD24+AJ24-AA24-Z24-AK24-AM24-Forudsætninger!$D$75,-99999)</f>
        <v>-1888.3907926703334</v>
      </c>
      <c r="AO24" s="57">
        <f>IFERROR(AN24/(A24+Forudsætninger!$D$74),-99999)</f>
        <v>-85.835945121378799</v>
      </c>
      <c r="AP24" s="19">
        <f>IFERROR(((365/(A24+Forudsætninger!$D$74))*AN24)/(AI24+Forudsætninger!$D$73),-99999)</f>
        <v>-13562.822497533874</v>
      </c>
      <c r="AQ24" s="18">
        <f t="shared" si="22"/>
        <v>22</v>
      </c>
      <c r="AR24" s="18">
        <f t="shared" si="23"/>
        <v>3011.3384200538267</v>
      </c>
      <c r="AS24" s="50">
        <f t="shared" si="24"/>
        <v>1.8</v>
      </c>
      <c r="AT24" s="50">
        <f t="shared" si="25"/>
        <v>4.1052096420098678</v>
      </c>
      <c r="AU24" s="50">
        <f t="shared" si="26"/>
        <v>4.2829121315899243</v>
      </c>
      <c r="AV24" s="2">
        <f t="shared" si="27"/>
        <v>676.73719828152753</v>
      </c>
      <c r="AW24" s="16">
        <f t="shared" si="19"/>
        <v>-81.828659146879701</v>
      </c>
      <c r="AZ24" s="16"/>
      <c r="BA24" s="2"/>
    </row>
    <row r="25" spans="1:53" x14ac:dyDescent="0.25">
      <c r="A25">
        <v>23</v>
      </c>
      <c r="B25" s="1">
        <f>ROUND((A25+Forudsætninger!$D$60)/30.4,1)</f>
        <v>1.9</v>
      </c>
      <c r="C25" s="1">
        <f>VLOOKUP((A25+Forudsætninger!$D$60),'Model tilvækst, slagteform, fe'!A:C,3,FALSE)</f>
        <v>95.466258495465908</v>
      </c>
      <c r="D25" s="3">
        <f t="shared" si="28"/>
        <v>1277.8665255777071</v>
      </c>
      <c r="E25" s="3">
        <f>(1+Forudsætninger!$D$78)*C25</f>
        <v>80.191657136191367</v>
      </c>
      <c r="F25" s="2">
        <f t="shared" si="7"/>
        <v>11.122138804888921</v>
      </c>
      <c r="G25" s="1">
        <f t="shared" si="8"/>
        <v>91.313795941080286</v>
      </c>
      <c r="H25" s="3">
        <f t="shared" si="9"/>
        <v>945.62122892750722</v>
      </c>
      <c r="I25" s="3">
        <f t="shared" si="10"/>
        <v>839.73025830783854</v>
      </c>
      <c r="J25" s="1">
        <f>VLOOKUP((A25+Forudsætninger!$D$60),'Model tilvækst, slagteform, fe'!G:K,3,FALSE)*(1+Forudsætninger!$D$79)</f>
        <v>49.420711748214224</v>
      </c>
      <c r="K25" s="17">
        <f t="shared" si="0"/>
        <v>45.127927878393827</v>
      </c>
      <c r="L25" s="17">
        <f t="shared" si="11"/>
        <v>502.39426069511239</v>
      </c>
      <c r="M25" s="3">
        <f>((K25-(('Model tilvækst, slagteform, fe'!$I$9/100)*'Model tilvækst, slagteform, fe'!$C$9))*1000/(A25+Forudsætninger!$D$60))</f>
        <v>410.69061266709656</v>
      </c>
      <c r="N25" s="17">
        <f t="shared" si="12"/>
        <v>50.825571863476164</v>
      </c>
      <c r="O25" s="19">
        <f>IF( A25&lt;Forudsætninger!$C$14,(G25/100)*Forudsætninger!$C$13,(Forudsætninger!$C$15/1000)*Forudsætninger!$C$13)</f>
        <v>0.59353967361702187</v>
      </c>
      <c r="P25" s="17" cm="1">
        <f t="array" ref="P25">INDEX('Model tilvækst, slagteform, fe'!$O$9:$O$375,MATCH(MIN(ABS('Model tilvækst, slagteform, fe'!$M$9:$M$375-G25)),ABS('Model tilvækst, slagteform, fe'!$M$9:$M$375-G25),0))*(1+Forudsætninger!$D$80)</f>
        <v>2.5116546784855558</v>
      </c>
      <c r="Q25" s="17">
        <f t="shared" si="13"/>
        <v>4.9993697678998803</v>
      </c>
      <c r="R25" s="17">
        <f t="shared" si="14"/>
        <v>4.9984507209798767</v>
      </c>
      <c r="S25" s="2">
        <f t="shared" si="15"/>
        <v>2.631568233325412</v>
      </c>
      <c r="T25" s="19">
        <f>(P25)*IF(N25&lt;Forudsætninger!$B$228,IF(N25&lt;Forudsætninger!$B$227,Forudsætninger!$B$225,Forudsætninger!$C$9),Forudsætninger!$C$11)+O25</f>
        <v>6.8977929166157663</v>
      </c>
      <c r="U25" s="2">
        <f>Forudsætninger!$D$68+((K25-(Forudsætninger!$D$84)))*0.01</f>
        <v>5.5908899601435902</v>
      </c>
      <c r="V25" s="2">
        <f>U25+Forudsætninger!$D$69</f>
        <v>5.5908899601435902</v>
      </c>
      <c r="W25">
        <f t="shared" si="1"/>
        <v>0</v>
      </c>
      <c r="X25">
        <f>IF(A25+Forudsætninger!$D$60&gt;248,IF(A25+Forudsætninger!$D$60&lt;365,IF(K25&gt;180,IF(K25&lt;260,1,0),0),0),0)</f>
        <v>0</v>
      </c>
      <c r="Y25" s="22">
        <f>IF(X25=0,0,IF('Vækstfunktion, kry tyr'!A25&lt;Forudsætninger!$D$66,Forudsætninger!$D$67+(('Vækstfunktion, kry tyr'!A25-Forudsætninger!$D$66)/7)*Forudsætninger!$D$64,Forudsætninger!$D$67))</f>
        <v>0</v>
      </c>
      <c r="Z25" s="19">
        <f>Z24+T25</f>
        <v>625.07592153146254</v>
      </c>
      <c r="AA25" s="19">
        <f>Forudsætninger!$D$62+Forudsætninger!$C$16</f>
        <v>2055</v>
      </c>
      <c r="AB25" s="19">
        <f>IF(K25&gt;Forudsætninger!$C$37,IF(K25&gt;Forudsætninger!$C$38,IF(K25&gt;Forudsætninger!$C$39,Forudsætninger!$E$39,Forudsætninger!$E$38+Forudsætninger!$F$39*(K25-Forudsætninger!$C$38)),Forudsætninger!$E$37+Forudsætninger!$F$38*(K25-Forudsætninger!$C$37)),Forudsætninger!$E$37)+IF(K25&gt;Forudsætninger!$C$39,Forudsætninger!$G$39,IF(K25&gt;Forudsætninger!$C$38,Forudsætninger!$G$38+Forudsætninger!$H$39*(K25-Forudsætninger!$C$38),IF(K25&gt;Forudsætninger!$C$37,Forudsætninger!$G$37+Forudsætninger!$H$38*(K25-Forudsætninger!$C$37),Forudsætninger!$G$37)))*(U25-Forudsætninger!$H$37)</f>
        <v>35.159088996014361</v>
      </c>
      <c r="AC25" s="19">
        <f>IF(K25&gt;Forudsætninger!$C$42,IF(K25&gt;Forudsætninger!$C$43,IF(K25&gt;Forudsætninger!$C$44,Forudsætninger!$E$44,Forudsætninger!$E$43+Forudsætninger!$F$44*(K25-Forudsætninger!$C$43)),Forudsætninger!$E$42+Forudsætninger!$F$43*(K25-Forudsætninger!$C$42)),Forudsætninger!$E$42)+IF(K25&gt;Forudsætninger!$C$44,Forudsætninger!$G$44,IF(K25&gt;Forudsætninger!$C$43,Forudsætninger!$G$43+Forudsætninger!$H$44*(K25-Forudsætninger!$C$43),IF(K25&gt;Forudsætninger!$C$42,Forudsætninger!$G$42+Forudsætninger!$H$43*(K25-Forudsætninger!$C$42),Forudsætninger!$G$42)))*(V25-Forudsætninger!$H$42)</f>
        <v>30.047722490035895</v>
      </c>
      <c r="AD25" s="19">
        <f t="shared" si="2"/>
        <v>1355.991453440332</v>
      </c>
      <c r="AE25" s="19">
        <f t="shared" si="3"/>
        <v>30.047722490035895</v>
      </c>
      <c r="AF25">
        <f>IF(G25&lt;=Forudsætninger!$C$97,Forudsætninger!$C$98,(IF(G25&lt;=Forudsætninger!$D$97,Forudsætninger!$D$98,IF(G25&lt;=Forudsætninger!$E$97,Forudsætninger!$E$98,IF(G25&lt;=Forudsætninger!$F$97,Forudsætninger!$F$98,IF(G25&lt;=Forudsætninger!$G$97,Forudsætninger!$G$98,IF(G25&lt;=Forudsætninger!$H$97,Forudsætninger!$H$98,IF(G25&lt;=Forudsætninger!$I$97,Forudsætninger!$I$98,Forudsætninger!$I$98))))))))</f>
        <v>1.8</v>
      </c>
      <c r="AG25" s="1">
        <f t="shared" si="16"/>
        <v>2.2000000000000002</v>
      </c>
      <c r="AH25" s="1">
        <f t="shared" si="21"/>
        <v>50.600000000000016</v>
      </c>
      <c r="AI25" s="1">
        <f t="shared" si="4"/>
        <v>2.2000000000000006</v>
      </c>
      <c r="AJ25" s="20">
        <f>+(W25*Forudsætninger!$C$12)</f>
        <v>0</v>
      </c>
      <c r="AK25" s="20">
        <f>Forudsætninger!$C$17</f>
        <v>250</v>
      </c>
      <c r="AL25" s="20">
        <f>IF(A25&lt;92,Forudsætninger!$C$20,Forudsætninger!$C$21)</f>
        <v>4.0072859744990899</v>
      </c>
      <c r="AM25" s="20">
        <f t="shared" si="17"/>
        <v>92.167577413479023</v>
      </c>
      <c r="AN25" s="19">
        <f>IFERROR(AD25+AJ25-AA25-Z25-AK25-AM25-Forudsætninger!$D$75,-99999)</f>
        <v>-1884.1440192055697</v>
      </c>
      <c r="AO25" s="57">
        <f>IFERROR(AN25/(A25+Forudsætninger!$D$74),-99999)</f>
        <v>-81.919305182850863</v>
      </c>
      <c r="AP25" s="19">
        <f>IFERROR(((365/(A25+Forudsætninger!$D$74))*AN25)/(AI25+Forudsætninger!$D$73),-99999)</f>
        <v>-12943.959476943965</v>
      </c>
      <c r="AQ25" s="18">
        <f t="shared" si="22"/>
        <v>23</v>
      </c>
      <c r="AR25" s="18">
        <f t="shared" si="23"/>
        <v>3022.2434989449416</v>
      </c>
      <c r="AS25" s="50">
        <f t="shared" si="24"/>
        <v>1.9</v>
      </c>
      <c r="AT25" s="50">
        <f t="shared" si="25"/>
        <v>4.2467734647636917</v>
      </c>
      <c r="AU25" s="50">
        <f t="shared" si="26"/>
        <v>3.9166399385279362</v>
      </c>
      <c r="AV25" s="2">
        <f t="shared" si="27"/>
        <v>618.86302058990987</v>
      </c>
      <c r="AW25" s="16">
        <f t="shared" si="19"/>
        <v>-77.912019208351779</v>
      </c>
      <c r="AZ25" s="16"/>
      <c r="BA25" s="2"/>
    </row>
    <row r="26" spans="1:53" x14ac:dyDescent="0.25">
      <c r="A26">
        <v>24</v>
      </c>
      <c r="B26" s="1">
        <f>ROUND((A26+Forudsætninger!$D$60)/30.4,1)</f>
        <v>1.9</v>
      </c>
      <c r="C26" s="1">
        <f>VLOOKUP((A26+Forudsætninger!$D$60),'Model tilvækst, slagteform, fe'!A:C,3,FALSE)</f>
        <v>96.755958565098098</v>
      </c>
      <c r="D26" s="3">
        <f t="shared" si="28"/>
        <v>1289.7000696321898</v>
      </c>
      <c r="E26" s="3">
        <f>(1+Forudsætninger!$D$78)*C26</f>
        <v>81.275005194682393</v>
      </c>
      <c r="F26" s="2">
        <f t="shared" si="7"/>
        <v>10.993168797925703</v>
      </c>
      <c r="G26" s="1">
        <f t="shared" si="8"/>
        <v>92.268173992608098</v>
      </c>
      <c r="H26" s="3">
        <f t="shared" si="9"/>
        <v>954.37805152781152</v>
      </c>
      <c r="I26" s="3">
        <f t="shared" si="10"/>
        <v>844.50724969200417</v>
      </c>
      <c r="J26" s="1">
        <f>VLOOKUP((A26+Forudsætninger!$D$60),'Model tilvækst, slagteform, fe'!G:K,3,FALSE)*(1+Forudsætninger!$D$79)</f>
        <v>49.459174830957586</v>
      </c>
      <c r="K26" s="17">
        <f t="shared" si="0"/>
        <v>45.635077488336179</v>
      </c>
      <c r="L26" s="17">
        <f t="shared" si="11"/>
        <v>507.1496099423527</v>
      </c>
      <c r="M26" s="3">
        <f>((K26-(('Model tilvækst, slagteform, fe'!$I$9/100)*'Model tilvækst, slagteform, fe'!$C$9))*1000/(A26+Forudsætninger!$D$60))</f>
        <v>412.35369882701474</v>
      </c>
      <c r="N26" s="17">
        <f t="shared" si="12"/>
        <v>53.375160121948376</v>
      </c>
      <c r="O26" s="19">
        <f>IF( A26&lt;Forudsætninger!$C$14,(G26/100)*Forudsætninger!$C$13,(Forudsætninger!$C$15/1000)*Forudsætninger!$C$13)</f>
        <v>0.59974313095195264</v>
      </c>
      <c r="P26" s="17" cm="1">
        <f t="array" ref="P26">INDEX('Model tilvækst, slagteform, fe'!$O$9:$O$375,MATCH(MIN(ABS('Model tilvækst, slagteform, fe'!$M$9:$M$375-G26)),ABS('Model tilvækst, slagteform, fe'!$M$9:$M$375-G26),0))*(1+Forudsætninger!$D$80)</f>
        <v>2.549588258472212</v>
      </c>
      <c r="Q26" s="17">
        <f t="shared" si="13"/>
        <v>5.0272901891061732</v>
      </c>
      <c r="R26" s="17">
        <f t="shared" si="14"/>
        <v>4.999820777830271</v>
      </c>
      <c r="S26" s="2">
        <f t="shared" si="15"/>
        <v>2.6334469075218396</v>
      </c>
      <c r="T26" s="19">
        <f>(P26)*IF(N26&lt;Forudsætninger!$B$228,IF(N26&lt;Forudsætninger!$B$227,Forudsætninger!$B$225,Forudsætninger!$C$9),Forudsætninger!$C$11)+O26</f>
        <v>6.999209659717204</v>
      </c>
      <c r="U26" s="2">
        <f>Forudsætninger!$D$68+((K26-(Forudsætninger!$D$84)))*0.01</f>
        <v>5.595961456243014</v>
      </c>
      <c r="V26" s="2">
        <f>U26+Forudsætninger!$D$69</f>
        <v>5.595961456243014</v>
      </c>
      <c r="W26">
        <f t="shared" si="1"/>
        <v>0</v>
      </c>
      <c r="X26">
        <f>IF(A26+Forudsætninger!$D$60&gt;248,IF(A26+Forudsætninger!$D$60&lt;365,IF(K26&gt;180,IF(K26&lt;260,1,0),0),0),0)</f>
        <v>0</v>
      </c>
      <c r="Y26" s="22">
        <f>IF(X26=0,0,IF('Vækstfunktion, kry tyr'!A26&lt;Forudsætninger!$D$66,Forudsætninger!$D$67+(('Vækstfunktion, kry tyr'!A26-Forudsætninger!$D$66)/7)*Forudsætninger!$D$64,Forudsætninger!$D$67))</f>
        <v>0</v>
      </c>
      <c r="Z26" s="19">
        <f t="shared" si="20"/>
        <v>632.07513119117971</v>
      </c>
      <c r="AA26" s="19">
        <f>Forudsætninger!$D$62+Forudsætninger!$C$16</f>
        <v>2055</v>
      </c>
      <c r="AB26" s="19">
        <f>IF(K26&gt;Forudsætninger!$C$37,IF(K26&gt;Forudsætninger!$C$38,IF(K26&gt;Forudsætninger!$C$39,Forudsætninger!$E$39,Forudsætninger!$E$38+Forudsætninger!$F$39*(K26-Forudsætninger!$C$38)),Forudsætninger!$E$37+Forudsætninger!$F$38*(K26-Forudsætninger!$C$37)),Forudsætninger!$E$37)+IF(K26&gt;Forudsætninger!$C$39,Forudsætninger!$G$39,IF(K26&gt;Forudsætninger!$C$38,Forudsætninger!$G$38+Forudsætninger!$H$39*(K26-Forudsætninger!$C$38),IF(K26&gt;Forudsætninger!$C$37,Forudsætninger!$G$37+Forudsætninger!$H$38*(K26-Forudsætninger!$C$37),Forudsætninger!$G$37)))*(U26-Forudsætninger!$H$37)</f>
        <v>35.159596145624299</v>
      </c>
      <c r="AC26" s="19">
        <f>IF(K26&gt;Forudsætninger!$C$42,IF(K26&gt;Forudsætninger!$C$43,IF(K26&gt;Forudsætninger!$C$44,Forudsætninger!$E$44,Forudsætninger!$E$43+Forudsætninger!$F$44*(K26-Forudsætninger!$C$43)),Forudsætninger!$E$42+Forudsætninger!$F$43*(K26-Forudsætninger!$C$42)),Forudsætninger!$E$42)+IF(K26&gt;Forudsætninger!$C$44,Forudsætninger!$G$44,IF(K26&gt;Forudsætninger!$C$43,Forudsætninger!$G$43+Forudsætninger!$H$44*(K26-Forudsætninger!$C$43),IF(K26&gt;Forudsætninger!$C$42,Forudsætninger!$G$42+Forudsætninger!$H$43*(K26-Forudsætninger!$C$42),Forudsætninger!$G$42)))*(V26-Forudsætninger!$H$42)</f>
        <v>30.048990364060753</v>
      </c>
      <c r="AD26" s="19">
        <f t="shared" si="2"/>
        <v>1371.2880037101797</v>
      </c>
      <c r="AE26" s="19">
        <f t="shared" si="3"/>
        <v>30.048990364060757</v>
      </c>
      <c r="AF26">
        <f>IF(G26&lt;=Forudsætninger!$C$97,Forudsætninger!$C$98,(IF(G26&lt;=Forudsætninger!$D$97,Forudsætninger!$D$98,IF(G26&lt;=Forudsætninger!$E$97,Forudsætninger!$E$98,IF(G26&lt;=Forudsætninger!$F$97,Forudsætninger!$F$98,IF(G26&lt;=Forudsætninger!$G$97,Forudsætninger!$G$98,IF(G26&lt;=Forudsætninger!$H$97,Forudsætninger!$H$98,IF(G26&lt;=Forudsætninger!$I$97,Forudsætninger!$I$98,Forudsætninger!$I$98))))))))</f>
        <v>1.8</v>
      </c>
      <c r="AG26" s="1">
        <f t="shared" si="16"/>
        <v>2.2000000000000002</v>
      </c>
      <c r="AH26" s="1">
        <f t="shared" si="21"/>
        <v>52.800000000000018</v>
      </c>
      <c r="AI26" s="1">
        <f t="shared" si="4"/>
        <v>2.2000000000000006</v>
      </c>
      <c r="AJ26" s="20">
        <f>+(W26*Forudsætninger!$C$12)</f>
        <v>0</v>
      </c>
      <c r="AK26" s="20">
        <f>Forudsætninger!$C$17</f>
        <v>250</v>
      </c>
      <c r="AL26" s="20">
        <f>IF(A26&lt;92,Forudsætninger!$C$20,Forudsætninger!$C$21)</f>
        <v>4.0072859744990899</v>
      </c>
      <c r="AM26" s="20">
        <f t="shared" si="17"/>
        <v>96.174863387978107</v>
      </c>
      <c r="AN26" s="19">
        <f>IFERROR(AD26+AJ26-AA26-Z26-AK26-AM26-Forudsætninger!$D$75,-99999)</f>
        <v>-1879.8539645699384</v>
      </c>
      <c r="AO26" s="57">
        <f>IFERROR(AN26/(A26+Forudsætninger!$D$74),-99999)</f>
        <v>-78.327248523747429</v>
      </c>
      <c r="AP26" s="19">
        <f>IFERROR(((365/(A26+Forudsætninger!$D$74))*AN26)/(AI26+Forudsætninger!$D$73),-99999)</f>
        <v>-12376.383424747968</v>
      </c>
      <c r="AQ26" s="18">
        <f t="shared" si="22"/>
        <v>24</v>
      </c>
      <c r="AR26" s="18">
        <f t="shared" si="23"/>
        <v>3033.2499945791578</v>
      </c>
      <c r="AS26" s="50">
        <f t="shared" si="24"/>
        <v>1.9</v>
      </c>
      <c r="AT26" s="50">
        <f t="shared" si="25"/>
        <v>4.2900546356313498</v>
      </c>
      <c r="AU26" s="50">
        <f t="shared" si="26"/>
        <v>3.5920566591034344</v>
      </c>
      <c r="AV26" s="2">
        <f t="shared" si="27"/>
        <v>567.57605219599645</v>
      </c>
      <c r="AW26" s="16">
        <f t="shared" si="19"/>
        <v>-74.319962549248345</v>
      </c>
      <c r="AZ26" s="16"/>
      <c r="BA26" s="2"/>
    </row>
    <row r="27" spans="1:53" x14ac:dyDescent="0.25">
      <c r="A27">
        <v>25</v>
      </c>
      <c r="B27" s="1">
        <f>ROUND((A27+Forudsætninger!$D$60)/30.4,1)</f>
        <v>1.9</v>
      </c>
      <c r="C27" s="1">
        <f>VLOOKUP((A27+Forudsætninger!$D$60),'Model tilvækst, slagteform, fe'!A:C,3,FALSE)</f>
        <v>98.057349162801728</v>
      </c>
      <c r="D27" s="3">
        <f t="shared" si="28"/>
        <v>1301.3905977036302</v>
      </c>
      <c r="E27" s="3">
        <f>(1+Forudsætninger!$D$78)*C27</f>
        <v>82.368173296753454</v>
      </c>
      <c r="F27" s="2">
        <f t="shared" si="7"/>
        <v>10.86302973815534</v>
      </c>
      <c r="G27" s="1">
        <f t="shared" si="8"/>
        <v>93.231203034908788</v>
      </c>
      <c r="H27" s="3">
        <f t="shared" si="9"/>
        <v>963.02904230068975</v>
      </c>
      <c r="I27" s="3">
        <f t="shared" si="10"/>
        <v>849.24812139635151</v>
      </c>
      <c r="J27" s="1">
        <f>VLOOKUP((A27+Forudsætninger!$D$60),'Model tilvækst, slagteform, fe'!G:K,3,FALSE)*(1+Forudsætninger!$D$79)</f>
        <v>49.497247328853305</v>
      </c>
      <c r="K27" s="17">
        <f t="shared" si="0"/>
        <v>46.146879153854194</v>
      </c>
      <c r="L27" s="17">
        <f t="shared" si="11"/>
        <v>511.8016655180142</v>
      </c>
      <c r="M27" s="3">
        <f>((K27-(('Model tilvækst, slagteform, fe'!$I$9/100)*'Model tilvækst, slagteform, fe'!$C$9))*1000/(A27+Forudsætninger!$D$60))</f>
        <v>414.03925758448935</v>
      </c>
      <c r="N27" s="17">
        <f t="shared" si="12"/>
        <v>55.962681285850415</v>
      </c>
      <c r="O27" s="19">
        <f>IF( A27&lt;Forudsætninger!$C$14,(G27/100)*Forudsætninger!$C$13,(Forudsætninger!$C$15/1000)*Forudsætninger!$C$13)</f>
        <v>0.60600281972690706</v>
      </c>
      <c r="P27" s="17" cm="1">
        <f t="array" ref="P27">INDEX('Model tilvækst, slagteform, fe'!$O$9:$O$375,MATCH(MIN(ABS('Model tilvækst, slagteform, fe'!$M$9:$M$375-G27)),ABS('Model tilvækst, slagteform, fe'!$M$9:$M$375-G27),0))*(1+Forudsætninger!$D$80)</f>
        <v>2.5875211639020415</v>
      </c>
      <c r="Q27" s="17">
        <f t="shared" si="13"/>
        <v>5.0557107141945536</v>
      </c>
      <c r="R27" s="17">
        <f t="shared" si="14"/>
        <v>5.0023776750634248</v>
      </c>
      <c r="S27" s="2">
        <f t="shared" si="15"/>
        <v>2.6358695356940163</v>
      </c>
      <c r="T27" s="19">
        <f>(P27)*IF(N27&lt;Forudsætninger!$B$228,IF(N27&lt;Forudsætninger!$B$227,Forudsætninger!$B$225,Forudsætninger!$C$9),Forudsætninger!$C$11)+O27</f>
        <v>7.1006809411210305</v>
      </c>
      <c r="U27" s="2">
        <f>Forudsætninger!$D$68+((K27-(Forudsætninger!$D$84)))*0.01</f>
        <v>5.6010794728981939</v>
      </c>
      <c r="V27" s="2">
        <f>U27+Forudsætninger!$D$69</f>
        <v>5.6010794728981939</v>
      </c>
      <c r="W27">
        <f t="shared" si="1"/>
        <v>0</v>
      </c>
      <c r="X27">
        <f>IF(A27+Forudsætninger!$D$60&gt;248,IF(A27+Forudsætninger!$D$60&lt;365,IF(K27&gt;180,IF(K27&lt;260,1,0),0),0),0)</f>
        <v>0</v>
      </c>
      <c r="Y27" s="22">
        <f>IF(X27=0,0,IF('Vækstfunktion, kry tyr'!A27&lt;Forudsætninger!$D$66,Forudsætninger!$D$67+(('Vækstfunktion, kry tyr'!A27-Forudsætninger!$D$66)/7)*Forudsætninger!$D$64,Forudsætninger!$D$67))</f>
        <v>0</v>
      </c>
      <c r="Z27" s="19">
        <f t="shared" si="20"/>
        <v>639.17581213230073</v>
      </c>
      <c r="AA27" s="19">
        <f>Forudsætninger!$D$62+Forudsætninger!$C$16</f>
        <v>2055</v>
      </c>
      <c r="AB27" s="19">
        <f>IF(K27&gt;Forudsætninger!$C$37,IF(K27&gt;Forudsætninger!$C$38,IF(K27&gt;Forudsætninger!$C$39,Forudsætninger!$E$39,Forudsætninger!$E$38+Forudsætninger!$F$39*(K27-Forudsætninger!$C$38)),Forudsætninger!$E$37+Forudsætninger!$F$38*(K27-Forudsætninger!$C$37)),Forudsætninger!$E$37)+IF(K27&gt;Forudsætninger!$C$39,Forudsætninger!$G$39,IF(K27&gt;Forudsætninger!$C$38,Forudsætninger!$G$38+Forudsætninger!$H$39*(K27-Forudsætninger!$C$38),IF(K27&gt;Forudsætninger!$C$37,Forudsætninger!$G$37+Forudsætninger!$H$38*(K27-Forudsætninger!$C$37),Forudsætninger!$G$37)))*(U27-Forudsætninger!$H$37)</f>
        <v>35.160107947289823</v>
      </c>
      <c r="AC27" s="19">
        <f>IF(K27&gt;Forudsætninger!$C$42,IF(K27&gt;Forudsætninger!$C$43,IF(K27&gt;Forudsætninger!$C$44,Forudsætninger!$E$44,Forudsætninger!$E$43+Forudsætninger!$F$44*(K27-Forudsætninger!$C$43)),Forudsætninger!$E$42+Forudsætninger!$F$43*(K27-Forudsætninger!$C$42)),Forudsætninger!$E$42)+IF(K27&gt;Forudsætninger!$C$44,Forudsætninger!$G$44,IF(K27&gt;Forudsætninger!$C$43,Forudsætninger!$G$43+Forudsætninger!$H$44*(K27-Forudsætninger!$C$43),IF(K27&gt;Forudsætninger!$C$42,Forudsætninger!$G$42+Forudsætninger!$H$43*(K27-Forudsætninger!$C$42),Forudsætninger!$G$42)))*(V27-Forudsætninger!$H$42)</f>
        <v>30.050269868224547</v>
      </c>
      <c r="AD27" s="19">
        <f t="shared" si="2"/>
        <v>1386.7261721496641</v>
      </c>
      <c r="AE27" s="19">
        <f t="shared" si="3"/>
        <v>30.050269868224547</v>
      </c>
      <c r="AF27">
        <f>IF(G27&lt;=Forudsætninger!$C$97,Forudsætninger!$C$98,(IF(G27&lt;=Forudsætninger!$D$97,Forudsætninger!$D$98,IF(G27&lt;=Forudsætninger!$E$97,Forudsætninger!$E$98,IF(G27&lt;=Forudsætninger!$F$97,Forudsætninger!$F$98,IF(G27&lt;=Forudsætninger!$G$97,Forudsætninger!$G$98,IF(G27&lt;=Forudsætninger!$H$97,Forudsætninger!$H$98,IF(G27&lt;=Forudsætninger!$I$97,Forudsætninger!$I$98,Forudsætninger!$I$98))))))))</f>
        <v>1.8</v>
      </c>
      <c r="AG27" s="1">
        <f t="shared" si="16"/>
        <v>2.2000000000000002</v>
      </c>
      <c r="AH27" s="1">
        <f t="shared" si="21"/>
        <v>55.000000000000021</v>
      </c>
      <c r="AI27" s="1">
        <f t="shared" si="4"/>
        <v>2.2000000000000011</v>
      </c>
      <c r="AJ27" s="20">
        <f>+(W27*Forudsætninger!$C$12)</f>
        <v>0</v>
      </c>
      <c r="AK27" s="20">
        <f>Forudsætninger!$C$17</f>
        <v>250</v>
      </c>
      <c r="AL27" s="20">
        <f>IF(A27&lt;92,Forudsætninger!$C$20,Forudsætninger!$C$21)</f>
        <v>4.0072859744990899</v>
      </c>
      <c r="AM27" s="20">
        <f t="shared" si="17"/>
        <v>100.18214936247719</v>
      </c>
      <c r="AN27" s="19">
        <f>IFERROR(AD27+AJ27-AA27-Z27-AK27-AM27-Forudsætninger!$D$75,-99999)</f>
        <v>-1875.5237630460742</v>
      </c>
      <c r="AO27" s="57">
        <f>IFERROR(AN27/(A27+Forudsætninger!$D$74),-99999)</f>
        <v>-75.020950521842963</v>
      </c>
      <c r="AP27" s="19">
        <f>IFERROR(((365/(A27+Forudsætninger!$D$74))*AN27)/(AI27+Forudsætninger!$D$73),-99999)</f>
        <v>-11853.959714490335</v>
      </c>
      <c r="AQ27" s="18">
        <f t="shared" si="22"/>
        <v>25</v>
      </c>
      <c r="AR27" s="18">
        <f t="shared" si="23"/>
        <v>3044.357961494778</v>
      </c>
      <c r="AS27" s="50">
        <f t="shared" si="24"/>
        <v>1.9</v>
      </c>
      <c r="AT27" s="50">
        <f t="shared" si="25"/>
        <v>4.3302015238641616</v>
      </c>
      <c r="AU27" s="50">
        <f t="shared" si="26"/>
        <v>3.3062980019044659</v>
      </c>
      <c r="AV27" s="2">
        <f t="shared" si="27"/>
        <v>522.4237102576335</v>
      </c>
      <c r="AW27" s="16">
        <f t="shared" si="19"/>
        <v>-71.013664547343879</v>
      </c>
      <c r="AZ27" s="16"/>
      <c r="BA27" s="2"/>
    </row>
    <row r="28" spans="1:53" x14ac:dyDescent="0.25">
      <c r="A28">
        <v>26</v>
      </c>
      <c r="B28" s="1">
        <f>ROUND((A28+Forudsætninger!$D$60)/30.4,1)</f>
        <v>2</v>
      </c>
      <c r="C28" s="1">
        <f>VLOOKUP((A28+Forudsætninger!$D$60),'Model tilvækst, slagteform, fe'!A:C,3,FALSE)</f>
        <v>99.370287893530403</v>
      </c>
      <c r="D28" s="3">
        <f t="shared" si="28"/>
        <v>1312.9387307286747</v>
      </c>
      <c r="E28" s="3">
        <f>(1+Forudsætninger!$D$78)*C28</f>
        <v>83.471041830565539</v>
      </c>
      <c r="F28" s="2">
        <f t="shared" si="7"/>
        <v>10.731735865082474</v>
      </c>
      <c r="G28" s="1">
        <f t="shared" si="8"/>
        <v>94.20277769564801</v>
      </c>
      <c r="H28" s="3">
        <f t="shared" si="9"/>
        <v>971.57466073922194</v>
      </c>
      <c r="I28" s="3">
        <f t="shared" si="10"/>
        <v>853.95298829415412</v>
      </c>
      <c r="J28" s="1">
        <f>VLOOKUP((A28+Forudsætninger!$D$60),'Model tilvækst, slagteform, fe'!G:K,3,FALSE)*(1+Forudsætninger!$D$79)</f>
        <v>49.534874099375941</v>
      </c>
      <c r="K28" s="17">
        <f t="shared" si="0"/>
        <v>46.663227329654241</v>
      </c>
      <c r="L28" s="17">
        <f t="shared" si="11"/>
        <v>516.34817580004722</v>
      </c>
      <c r="M28" s="3">
        <f>((K28-(('Model tilvækst, slagteform, fe'!$I$9/100)*'Model tilvækst, slagteform, fe'!$C$9))*1000/(A28+Forudsætninger!$D$60))</f>
        <v>415.74440622141526</v>
      </c>
      <c r="N28" s="17">
        <f t="shared" si="12"/>
        <v>58.588134661887771</v>
      </c>
      <c r="O28" s="19">
        <f>IF( A28&lt;Forudsætninger!$C$14,(G28/100)*Forudsætninger!$C$13,(Forudsætninger!$C$15/1000)*Forudsætninger!$C$13)</f>
        <v>0.6123180550217121</v>
      </c>
      <c r="P28" s="17" cm="1">
        <f t="array" ref="P28">INDEX('Model tilvækst, slagteform, fe'!$O$9:$O$375,MATCH(MIN(ABS('Model tilvækst, slagteform, fe'!$M$9:$M$375-G28)),ABS('Model tilvækst, slagteform, fe'!$M$9:$M$375-G28),0))*(1+Forudsætninger!$D$80)</f>
        <v>2.6254533760373531</v>
      </c>
      <c r="Q28" s="17">
        <f t="shared" si="13"/>
        <v>5.0846570184340969</v>
      </c>
      <c r="R28" s="17">
        <f t="shared" si="14"/>
        <v>5.0060077476608136</v>
      </c>
      <c r="S28" s="2">
        <f t="shared" si="15"/>
        <v>2.6387749976603918</v>
      </c>
      <c r="T28" s="19">
        <f>(P28)*IF(N28&lt;Forudsætninger!$B$228,IF(N28&lt;Forudsætninger!$B$227,Forudsætninger!$B$225,Forudsætninger!$C$9),Forudsætninger!$C$11)+O28</f>
        <v>7.2022060288754677</v>
      </c>
      <c r="U28" s="2">
        <f>Forudsætninger!$D$68+((K28-(Forudsætninger!$D$84)))*0.01</f>
        <v>5.6062429546561949</v>
      </c>
      <c r="V28" s="2">
        <f>U28+Forudsætninger!$D$69</f>
        <v>5.6062429546561949</v>
      </c>
      <c r="W28">
        <f t="shared" si="1"/>
        <v>0</v>
      </c>
      <c r="X28">
        <f>IF(A28+Forudsætninger!$D$60&gt;248,IF(A28+Forudsætninger!$D$60&lt;365,IF(K28&gt;180,IF(K28&lt;260,1,0),0),0),0)</f>
        <v>0</v>
      </c>
      <c r="Y28" s="22">
        <f>IF(X28=0,0,IF('Vækstfunktion, kry tyr'!A28&lt;Forudsætninger!$D$66,Forudsætninger!$D$67+(('Vækstfunktion, kry tyr'!A28-Forudsætninger!$D$66)/7)*Forudsætninger!$D$64,Forudsætninger!$D$67))</f>
        <v>0</v>
      </c>
      <c r="Z28" s="19">
        <f t="shared" si="20"/>
        <v>646.37801816117621</v>
      </c>
      <c r="AA28" s="19">
        <f>Forudsætninger!$D$62+Forudsætninger!$C$16</f>
        <v>2055</v>
      </c>
      <c r="AB28" s="19">
        <f>IF(K28&gt;Forudsætninger!$C$37,IF(K28&gt;Forudsætninger!$C$38,IF(K28&gt;Forudsætninger!$C$39,Forudsætninger!$E$39,Forudsætninger!$E$38+Forudsætninger!$F$39*(K28-Forudsætninger!$C$38)),Forudsætninger!$E$37+Forudsætninger!$F$38*(K28-Forudsætninger!$C$37)),Forudsætninger!$E$37)+IF(K28&gt;Forudsætninger!$C$39,Forudsætninger!$G$39,IF(K28&gt;Forudsætninger!$C$38,Forudsætninger!$G$38+Forudsætninger!$H$39*(K28-Forudsætninger!$C$38),IF(K28&gt;Forudsætninger!$C$37,Forudsætninger!$G$37+Forudsætninger!$H$38*(K28-Forudsætninger!$C$37),Forudsætninger!$G$37)))*(U28-Forudsætninger!$H$37)</f>
        <v>35.160624295465624</v>
      </c>
      <c r="AC28" s="19">
        <f>IF(K28&gt;Forudsætninger!$C$42,IF(K28&gt;Forudsætninger!$C$43,IF(K28&gt;Forudsætninger!$C$44,Forudsætninger!$E$44,Forudsætninger!$E$43+Forudsætninger!$F$44*(K28-Forudsætninger!$C$43)),Forudsætninger!$E$42+Forudsætninger!$F$43*(K28-Forudsætninger!$C$42)),Forudsætninger!$E$42)+IF(K28&gt;Forudsætninger!$C$44,Forudsætninger!$G$44,IF(K28&gt;Forudsætninger!$C$43,Forudsætninger!$G$43+Forudsætninger!$H$44*(K28-Forudsætninger!$C$43),IF(K28&gt;Forudsætninger!$C$42,Forudsætninger!$G$42+Forudsætninger!$H$43*(K28-Forudsætninger!$C$42),Forudsætninger!$G$42)))*(V28-Forudsætninger!$H$42)</f>
        <v>30.051560738664048</v>
      </c>
      <c r="AD28" s="19">
        <f t="shared" si="2"/>
        <v>1402.3028103591926</v>
      </c>
      <c r="AE28" s="19">
        <f t="shared" si="3"/>
        <v>30.051560738664048</v>
      </c>
      <c r="AF28">
        <f>IF(G28&lt;=Forudsætninger!$C$97,Forudsætninger!$C$98,(IF(G28&lt;=Forudsætninger!$D$97,Forudsætninger!$D$98,IF(G28&lt;=Forudsætninger!$E$97,Forudsætninger!$E$98,IF(G28&lt;=Forudsætninger!$F$97,Forudsætninger!$F$98,IF(G28&lt;=Forudsætninger!$G$97,Forudsætninger!$G$98,IF(G28&lt;=Forudsætninger!$H$97,Forudsætninger!$H$98,IF(G28&lt;=Forudsætninger!$I$97,Forudsætninger!$I$98,Forudsætninger!$I$98))))))))</f>
        <v>1.8</v>
      </c>
      <c r="AG28" s="1">
        <f t="shared" si="16"/>
        <v>2.2000000000000002</v>
      </c>
      <c r="AH28" s="1">
        <f t="shared" si="21"/>
        <v>57.200000000000024</v>
      </c>
      <c r="AI28" s="1">
        <f t="shared" si="4"/>
        <v>2.2000000000000011</v>
      </c>
      <c r="AJ28" s="20">
        <f>+(W28*Forudsætninger!$C$12)</f>
        <v>0</v>
      </c>
      <c r="AK28" s="20">
        <f>Forudsætninger!$C$17</f>
        <v>250</v>
      </c>
      <c r="AL28" s="20">
        <f>IF(A28&lt;92,Forudsætninger!$C$20,Forudsætninger!$C$21)</f>
        <v>4.0072859744990899</v>
      </c>
      <c r="AM28" s="20">
        <f t="shared" si="17"/>
        <v>104.18943533697627</v>
      </c>
      <c r="AN28" s="19">
        <f>IFERROR(AD28+AJ28-AA28-Z28-AK28-AM28-Forudsætninger!$D$75,-99999)</f>
        <v>-1871.1566168399202</v>
      </c>
      <c r="AO28" s="57">
        <f>IFERROR(AN28/(A28+Forudsætninger!$D$74),-99999)</f>
        <v>-71.967562186150772</v>
      </c>
      <c r="AP28" s="19">
        <f>IFERROR(((365/(A28+Forudsætninger!$D$74))*AN28)/(AI28+Forudsætninger!$D$73),-99999)</f>
        <v>-11371.49792118832</v>
      </c>
      <c r="AQ28" s="18">
        <f t="shared" si="22"/>
        <v>26</v>
      </c>
      <c r="AR28" s="18">
        <f t="shared" si="23"/>
        <v>3055.5674534981526</v>
      </c>
      <c r="AS28" s="50">
        <f t="shared" si="24"/>
        <v>2</v>
      </c>
      <c r="AT28" s="50">
        <f t="shared" si="25"/>
        <v>4.3671462061540751</v>
      </c>
      <c r="AU28" s="50">
        <f t="shared" si="26"/>
        <v>3.0533883356921905</v>
      </c>
      <c r="AV28" s="2">
        <f t="shared" si="27"/>
        <v>482.46179330201448</v>
      </c>
      <c r="AW28" s="16">
        <f t="shared" si="19"/>
        <v>-67.960276211651689</v>
      </c>
      <c r="AZ28" s="16"/>
      <c r="BA28" s="2"/>
    </row>
    <row r="29" spans="1:53" x14ac:dyDescent="0.25">
      <c r="A29">
        <v>27</v>
      </c>
      <c r="B29" s="1">
        <f>ROUND((A29+Forudsætninger!$D$60)/30.4,1)</f>
        <v>2</v>
      </c>
      <c r="C29" s="1">
        <f>VLOOKUP((A29+Forudsætninger!$D$60),'Model tilvækst, slagteform, fe'!A:C,3,FALSE)</f>
        <v>100.69463298317434</v>
      </c>
      <c r="D29" s="3">
        <f t="shared" si="28"/>
        <v>1324.3450896439413</v>
      </c>
      <c r="E29" s="3">
        <f>(1+Forudsætninger!$D$78)*C29</f>
        <v>84.58349170586645</v>
      </c>
      <c r="F29" s="2">
        <f t="shared" si="7"/>
        <v>10.59930135611808</v>
      </c>
      <c r="G29" s="1">
        <f t="shared" si="8"/>
        <v>95.182793061984526</v>
      </c>
      <c r="H29" s="3">
        <f t="shared" si="9"/>
        <v>980.01536633651654</v>
      </c>
      <c r="I29" s="3">
        <f t="shared" si="10"/>
        <v>858.62196525868615</v>
      </c>
      <c r="J29" s="1">
        <f>VLOOKUP((A29+Forudsætninger!$D$60),'Model tilvækst, slagteform, fe'!G:K,3,FALSE)*(1+Forudsætninger!$D$79)</f>
        <v>49.572000000000003</v>
      </c>
      <c r="K29" s="17">
        <f t="shared" si="0"/>
        <v>47.184014176686972</v>
      </c>
      <c r="L29" s="17">
        <f t="shared" si="11"/>
        <v>520.7868470327312</v>
      </c>
      <c r="M29" s="3">
        <f>((K29-(('Model tilvækst, slagteform, fe'!$I$9/100)*'Model tilvækst, slagteform, fe'!$C$9))*1000/(A29+Forudsætninger!$D$60))</f>
        <v>417.46641344783023</v>
      </c>
      <c r="N29" s="17">
        <f t="shared" si="12"/>
        <v>61.251519537914163</v>
      </c>
      <c r="O29" s="19">
        <f>IF( A29&lt;Forudsætninger!$C$14,(G29/100)*Forudsætninger!$C$13,(Forudsætninger!$C$15/1000)*Forudsætninger!$C$13)</f>
        <v>0.61868815490289941</v>
      </c>
      <c r="P29" s="17" cm="1">
        <f t="array" ref="P29">INDEX('Model tilvækst, slagteform, fe'!$O$9:$O$375,MATCH(MIN(ABS('Model tilvækst, slagteform, fe'!$M$9:$M$375-G29)),ABS('Model tilvækst, slagteform, fe'!$M$9:$M$375-G29),0))*(1+Forudsætninger!$D$80)</f>
        <v>2.6633848760263934</v>
      </c>
      <c r="Q29" s="17">
        <f t="shared" si="13"/>
        <v>5.1141554192496743</v>
      </c>
      <c r="R29" s="17">
        <f t="shared" si="14"/>
        <v>5.0106150992666443</v>
      </c>
      <c r="S29" s="2">
        <f t="shared" si="15"/>
        <v>2.6421113010043329</v>
      </c>
      <c r="T29" s="19">
        <f>(P29)*IF(N29&lt;Forudsætninger!$B$228,IF(N29&lt;Forudsætninger!$B$227,Forudsætninger!$B$225,Forudsætninger!$C$9),Forudsætninger!$C$11)+O29</f>
        <v>7.3037841937291459</v>
      </c>
      <c r="U29" s="2">
        <f>Forudsætninger!$D$68+((K29-(Forudsætninger!$D$84)))*0.01</f>
        <v>5.6114508231265221</v>
      </c>
      <c r="V29" s="2">
        <f>U29+Forudsætninger!$D$69</f>
        <v>5.6114508231265221</v>
      </c>
      <c r="W29">
        <f t="shared" si="1"/>
        <v>0</v>
      </c>
      <c r="X29">
        <f>IF(A29+Forudsætninger!$D$60&gt;248,IF(A29+Forudsætninger!$D$60&lt;365,IF(K29&gt;180,IF(K29&lt;260,1,0),0),0),0)</f>
        <v>0</v>
      </c>
      <c r="Y29" s="22">
        <f>IF(X29=0,0,IF('Vækstfunktion, kry tyr'!A29&lt;Forudsætninger!$D$66,Forudsætninger!$D$67+(('Vækstfunktion, kry tyr'!A29-Forudsætninger!$D$66)/7)*Forudsætninger!$D$64,Forudsætninger!$D$67))</f>
        <v>0</v>
      </c>
      <c r="Z29" s="19">
        <f t="shared" si="20"/>
        <v>653.68180235490536</v>
      </c>
      <c r="AA29" s="19">
        <f>Forudsætninger!$D$62+Forudsætninger!$C$16</f>
        <v>2055</v>
      </c>
      <c r="AB29" s="19">
        <f>IF(K29&gt;Forudsætninger!$C$37,IF(K29&gt;Forudsætninger!$C$38,IF(K29&gt;Forudsætninger!$C$39,Forudsætninger!$E$39,Forudsætninger!$E$38+Forudsætninger!$F$39*(K29-Forudsætninger!$C$38)),Forudsætninger!$E$37+Forudsætninger!$F$38*(K29-Forudsætninger!$C$37)),Forudsætninger!$E$37)+IF(K29&gt;Forudsætninger!$C$39,Forudsætninger!$G$39,IF(K29&gt;Forudsætninger!$C$38,Forudsætninger!$G$38+Forudsætninger!$H$39*(K29-Forudsætninger!$C$38),IF(K29&gt;Forudsætninger!$C$37,Forudsætninger!$G$37+Forudsætninger!$H$38*(K29-Forudsætninger!$C$37),Forudsætninger!$G$37)))*(U29-Forudsætninger!$H$37)</f>
        <v>35.16114508231265</v>
      </c>
      <c r="AC29" s="19">
        <f>IF(K29&gt;Forudsætninger!$C$42,IF(K29&gt;Forudsætninger!$C$43,IF(K29&gt;Forudsætninger!$C$44,Forudsætninger!$E$44,Forudsætninger!$E$43+Forudsætninger!$F$44*(K29-Forudsætninger!$C$43)),Forudsætninger!$E$42+Forudsætninger!$F$43*(K29-Forudsætninger!$C$42)),Forudsætninger!$E$42)+IF(K29&gt;Forudsætninger!$C$44,Forudsætninger!$G$44,IF(K29&gt;Forudsætninger!$C$43,Forudsætninger!$G$43+Forudsætninger!$H$44*(K29-Forudsætninger!$C$43),IF(K29&gt;Forudsætninger!$C$42,Forudsætninger!$G$42+Forudsætninger!$H$43*(K29-Forudsætninger!$C$42),Forudsætninger!$G$42)))*(V29-Forudsætninger!$H$42)</f>
        <v>30.052862705781628</v>
      </c>
      <c r="AD29" s="19">
        <f t="shared" si="2"/>
        <v>1418.0146999596275</v>
      </c>
      <c r="AE29" s="19">
        <f t="shared" si="3"/>
        <v>30.052862705781628</v>
      </c>
      <c r="AF29">
        <f>IF(G29&lt;=Forudsætninger!$C$97,Forudsætninger!$C$98,(IF(G29&lt;=Forudsætninger!$D$97,Forudsætninger!$D$98,IF(G29&lt;=Forudsætninger!$E$97,Forudsætninger!$E$98,IF(G29&lt;=Forudsætninger!$F$97,Forudsætninger!$F$98,IF(G29&lt;=Forudsætninger!$G$97,Forudsætninger!$G$98,IF(G29&lt;=Forudsætninger!$H$97,Forudsætninger!$H$98,IF(G29&lt;=Forudsætninger!$I$97,Forudsætninger!$I$98,Forudsætninger!$I$98))))))))</f>
        <v>1.8</v>
      </c>
      <c r="AG29" s="1">
        <f t="shared" si="16"/>
        <v>2.2000000000000002</v>
      </c>
      <c r="AH29" s="1">
        <f t="shared" si="21"/>
        <v>59.400000000000027</v>
      </c>
      <c r="AI29" s="1">
        <f t="shared" si="4"/>
        <v>2.2000000000000011</v>
      </c>
      <c r="AJ29" s="20">
        <f>+(W29*Forudsætninger!$C$12)</f>
        <v>0</v>
      </c>
      <c r="AK29" s="20">
        <f>Forudsætninger!$C$17</f>
        <v>250</v>
      </c>
      <c r="AL29" s="20">
        <f>IF(A29&lt;92,Forudsætninger!$C$20,Forudsætninger!$C$21)</f>
        <v>4.0072859744990899</v>
      </c>
      <c r="AM29" s="20">
        <f t="shared" si="17"/>
        <v>108.19672131147536</v>
      </c>
      <c r="AN29" s="19">
        <f>IFERROR(AD29+AJ29-AA29-Z29-AK29-AM29-Forudsætninger!$D$75,-99999)</f>
        <v>-1866.7557974077135</v>
      </c>
      <c r="AO29" s="57">
        <f>IFERROR(AN29/(A29+Forudsætninger!$D$74),-99999)</f>
        <v>-69.139103607693087</v>
      </c>
      <c r="AP29" s="19">
        <f>IFERROR(((365/(A29+Forudsætninger!$D$74))*AN29)/(AI29+Forudsætninger!$D$73),-99999)</f>
        <v>-10924.576976973147</v>
      </c>
      <c r="AQ29" s="18">
        <f t="shared" si="22"/>
        <v>27</v>
      </c>
      <c r="AR29" s="18">
        <f t="shared" si="23"/>
        <v>3066.8785236663807</v>
      </c>
      <c r="AS29" s="50">
        <f t="shared" si="24"/>
        <v>2</v>
      </c>
      <c r="AT29" s="50">
        <f t="shared" si="25"/>
        <v>4.4008194322066174</v>
      </c>
      <c r="AU29" s="50">
        <f t="shared" si="26"/>
        <v>2.8284585784576848</v>
      </c>
      <c r="AV29" s="2">
        <f t="shared" si="27"/>
        <v>446.92094421517322</v>
      </c>
      <c r="AW29" s="16">
        <f t="shared" si="19"/>
        <v>-65.131817633194004</v>
      </c>
      <c r="AZ29" s="16"/>
      <c r="BA29" s="2"/>
    </row>
    <row r="30" spans="1:53" x14ac:dyDescent="0.25">
      <c r="A30">
        <v>28</v>
      </c>
      <c r="B30" s="1">
        <f>ROUND((A30+Forudsætninger!$D$60)/30.4,1)</f>
        <v>2</v>
      </c>
      <c r="C30" s="1">
        <f>VLOOKUP((A30+Forudsætninger!$D$60),'Model tilvækst, slagteform, fe'!A:C,3,FALSE)</f>
        <v>102.03024327856033</v>
      </c>
      <c r="D30" s="3">
        <f t="shared" si="28"/>
        <v>1335.6102953859904</v>
      </c>
      <c r="E30" s="3">
        <f>(1+Forudsætninger!$D$78)*C30</f>
        <v>85.705404353990673</v>
      </c>
      <c r="F30" s="2">
        <f t="shared" si="7"/>
        <v>10.46574032657948</v>
      </c>
      <c r="G30" s="1">
        <f t="shared" si="8"/>
        <v>96.171144680570151</v>
      </c>
      <c r="H30" s="3">
        <f t="shared" si="9"/>
        <v>988.35161858562515</v>
      </c>
      <c r="I30" s="3">
        <f t="shared" si="10"/>
        <v>863.25516716321977</v>
      </c>
      <c r="J30" s="1">
        <f>VLOOKUP((A30+Forudsætninger!$D$60),'Model tilvækst, slagteform, fe'!G:K,3,FALSE)*(1+Forudsætninger!$D$79)</f>
        <v>49.608580920973118</v>
      </c>
      <c r="K30" s="17">
        <f t="shared" si="0"/>
        <v>47.709140131486777</v>
      </c>
      <c r="L30" s="17">
        <f t="shared" si="11"/>
        <v>525.12595479980462</v>
      </c>
      <c r="M30" s="3">
        <f>((K30-(('Model tilvækst, slagteform, fe'!$I$9/100)*'Model tilvækst, slagteform, fe'!$C$9))*1000/(A30+Forudsætninger!$D$60))</f>
        <v>419.20285766318472</v>
      </c>
      <c r="N30" s="17">
        <f t="shared" si="12"/>
        <v>63.952834557991821</v>
      </c>
      <c r="O30" s="19">
        <f>IF( A30&lt;Forudsætninger!$C$14,(G30/100)*Forudsætninger!$C$13,(Forudsætninger!$C$15/1000)*Forudsætninger!$C$13)</f>
        <v>0.62511244042370606</v>
      </c>
      <c r="P30" s="17" cm="1">
        <f t="array" ref="P30">INDEX('Model tilvækst, slagteform, fe'!$O$9:$O$375,MATCH(MIN(ABS('Model tilvækst, slagteform, fe'!$M$9:$M$375-G30)),ABS('Model tilvækst, slagteform, fe'!$M$9:$M$375-G30),0))*(1+Forudsætninger!$D$80)</f>
        <v>2.7013150200776543</v>
      </c>
      <c r="Q30" s="17">
        <f t="shared" si="13"/>
        <v>5.1441277952210243</v>
      </c>
      <c r="R30" s="17">
        <f t="shared" si="14"/>
        <v>5.016114225244257</v>
      </c>
      <c r="S30" s="2">
        <f t="shared" si="15"/>
        <v>2.6458339231819656</v>
      </c>
      <c r="T30" s="19">
        <f>(P30)*IF(N30&lt;Forudsætninger!$B$228,IF(N30&lt;Forudsætninger!$B$227,Forudsætninger!$B$225,Forudsætninger!$C$9),Forudsætninger!$C$11)+O30</f>
        <v>7.4054131408186175</v>
      </c>
      <c r="U30" s="2">
        <f>Forudsætninger!$D$68+((K30-(Forudsætninger!$D$84)))*0.01</f>
        <v>5.6167020826745198</v>
      </c>
      <c r="V30" s="2">
        <f>U30+Forudsætninger!$D$69</f>
        <v>5.6167020826745198</v>
      </c>
      <c r="W30">
        <f t="shared" si="1"/>
        <v>0</v>
      </c>
      <c r="X30">
        <f>IF(A30+Forudsætninger!$D$60&gt;248,IF(A30+Forudsætninger!$D$60&lt;365,IF(K30&gt;180,IF(K30&lt;260,1,0),0),0),0)</f>
        <v>0</v>
      </c>
      <c r="Y30" s="22">
        <f>IF(X30=0,0,IF('Vækstfunktion, kry tyr'!A30&lt;Forudsætninger!$D$66,Forudsætninger!$D$67+(('Vækstfunktion, kry tyr'!A30-Forudsætninger!$D$66)/7)*Forudsætninger!$D$64,Forudsætninger!$D$67))</f>
        <v>0</v>
      </c>
      <c r="Z30" s="19">
        <f t="shared" si="20"/>
        <v>661.08721549572397</v>
      </c>
      <c r="AA30" s="19">
        <f>Forudsætninger!$D$62+Forudsætninger!$C$16</f>
        <v>2055</v>
      </c>
      <c r="AB30" s="19">
        <f>IF(K30&gt;Forudsætninger!$C$37,IF(K30&gt;Forudsætninger!$C$38,IF(K30&gt;Forudsætninger!$C$39,Forudsætninger!$E$39,Forudsætninger!$E$38+Forudsætninger!$F$39*(K30-Forudsætninger!$C$38)),Forudsætninger!$E$37+Forudsætninger!$F$38*(K30-Forudsætninger!$C$37)),Forudsætninger!$E$37)+IF(K30&gt;Forudsætninger!$C$39,Forudsætninger!$G$39,IF(K30&gt;Forudsætninger!$C$38,Forudsætninger!$G$38+Forudsætninger!$H$39*(K30-Forudsætninger!$C$38),IF(K30&gt;Forudsætninger!$C$37,Forudsætninger!$G$37+Forudsætninger!$H$38*(K30-Forudsætninger!$C$37),Forudsætninger!$G$37)))*(U30-Forudsætninger!$H$37)</f>
        <v>35.161670208267452</v>
      </c>
      <c r="AC30" s="19">
        <f>IF(K30&gt;Forudsætninger!$C$42,IF(K30&gt;Forudsætninger!$C$43,IF(K30&gt;Forudsætninger!$C$44,Forudsætninger!$E$44,Forudsætninger!$E$43+Forudsætninger!$F$44*(K30-Forudsætninger!$C$43)),Forudsætninger!$E$42+Forudsætninger!$F$43*(K30-Forudsætninger!$C$42)),Forudsætninger!$E$42)+IF(K30&gt;Forudsætninger!$C$44,Forudsætninger!$G$44,IF(K30&gt;Forudsætninger!$C$43,Forudsætninger!$G$43+Forudsætninger!$H$44*(K30-Forudsætninger!$C$43),IF(K30&gt;Forudsætninger!$C$42,Forudsætninger!$G$42+Forudsætninger!$H$43*(K30-Forudsætninger!$C$42),Forudsætninger!$G$42)))*(V30-Forudsætninger!$H$42)</f>
        <v>30.054175520668629</v>
      </c>
      <c r="AD30" s="19">
        <f t="shared" si="2"/>
        <v>1433.8588714518792</v>
      </c>
      <c r="AE30" s="19">
        <f t="shared" si="3"/>
        <v>30.054175520668629</v>
      </c>
      <c r="AF30">
        <f>IF(G30&lt;=Forudsætninger!$C$97,Forudsætninger!$C$98,(IF(G30&lt;=Forudsætninger!$D$97,Forudsætninger!$D$98,IF(G30&lt;=Forudsætninger!$E$97,Forudsætninger!$E$98,IF(G30&lt;=Forudsætninger!$F$97,Forudsætninger!$F$98,IF(G30&lt;=Forudsætninger!$G$97,Forudsætninger!$G$98,IF(G30&lt;=Forudsætninger!$H$97,Forudsætninger!$H$98,IF(G30&lt;=Forudsætninger!$I$97,Forudsætninger!$I$98,Forudsætninger!$I$98))))))))</f>
        <v>1.8</v>
      </c>
      <c r="AG30" s="1">
        <f t="shared" si="16"/>
        <v>2.2000000000000002</v>
      </c>
      <c r="AH30" s="1">
        <f t="shared" si="21"/>
        <v>61.60000000000003</v>
      </c>
      <c r="AI30" s="1">
        <f t="shared" si="4"/>
        <v>2.2000000000000011</v>
      </c>
      <c r="AJ30" s="20">
        <f>+(W30*Forudsætninger!$C$12)</f>
        <v>0</v>
      </c>
      <c r="AK30" s="20">
        <f>Forudsætninger!$C$17</f>
        <v>250</v>
      </c>
      <c r="AL30" s="20">
        <f>IF(A30&lt;92,Forudsætninger!$C$20,Forudsætninger!$C$21)</f>
        <v>4.0072859744990899</v>
      </c>
      <c r="AM30" s="20">
        <f t="shared" si="17"/>
        <v>112.20400728597444</v>
      </c>
      <c r="AN30" s="19">
        <f>IFERROR(AD30+AJ30-AA30-Z30-AK30-AM30-Forudsætninger!$D$75,-99999)</f>
        <v>-1862.3243250307796</v>
      </c>
      <c r="AO30" s="57">
        <f>IFERROR(AN30/(A30+Forudsætninger!$D$74),-99999)</f>
        <v>-66.511583036813562</v>
      </c>
      <c r="AP30" s="19">
        <f>IFERROR(((365/(A30+Forudsætninger!$D$74))*AN30)/(AI30+Forudsætninger!$D$73),-99999)</f>
        <v>-10509.405977678329</v>
      </c>
      <c r="AQ30" s="18">
        <f t="shared" si="22"/>
        <v>28</v>
      </c>
      <c r="AR30" s="18">
        <f t="shared" si="23"/>
        <v>3078.2912227816987</v>
      </c>
      <c r="AS30" s="50">
        <f t="shared" si="24"/>
        <v>2</v>
      </c>
      <c r="AT30" s="50">
        <f t="shared" si="25"/>
        <v>4.4314723769339253</v>
      </c>
      <c r="AU30" s="50">
        <f t="shared" si="26"/>
        <v>2.6275205708795255</v>
      </c>
      <c r="AV30" s="2">
        <f t="shared" si="27"/>
        <v>415.1709992948181</v>
      </c>
      <c r="AW30" s="16">
        <f t="shared" si="19"/>
        <v>-62.504297062314471</v>
      </c>
      <c r="AZ30" s="16"/>
      <c r="BA30" s="2"/>
    </row>
    <row r="31" spans="1:53" x14ac:dyDescent="0.25">
      <c r="A31">
        <v>29</v>
      </c>
      <c r="B31" s="1">
        <f>ROUND((A31+Forudsætninger!$D$60)/30.4,1)</f>
        <v>2.1</v>
      </c>
      <c r="C31" s="1">
        <f>VLOOKUP((A31+Forudsætninger!$D$60),'Model tilvækst, slagteform, fe'!A:C,3,FALSE)</f>
        <v>103.37697824745183</v>
      </c>
      <c r="D31" s="3">
        <f t="shared" si="28"/>
        <v>1346.7349688914965</v>
      </c>
      <c r="E31" s="3">
        <f>(1+Forudsætninger!$D$78)*C31</f>
        <v>86.836661727859536</v>
      </c>
      <c r="F31" s="2">
        <f>MAX(F30-((D31/1000)/20),0)</f>
        <v>10.398403578134905</v>
      </c>
      <c r="G31" s="1">
        <f t="shared" si="8"/>
        <v>97.235065305994439</v>
      </c>
      <c r="H31" s="3">
        <f t="shared" si="9"/>
        <v>1063.9206254242879</v>
      </c>
      <c r="I31" s="3">
        <f t="shared" si="10"/>
        <v>870.17466572394619</v>
      </c>
      <c r="J31" s="1">
        <f>VLOOKUP((A31+Forudsætninger!$D$60),'Model tilvækst, slagteform, fe'!G:K,3,FALSE)*(1+Forudsætninger!$D$79)</f>
        <v>49.644616883635251</v>
      </c>
      <c r="K31" s="17">
        <f t="shared" si="0"/>
        <v>48.271975647713475</v>
      </c>
      <c r="L31" s="17">
        <f t="shared" si="11"/>
        <v>562.83551622669847</v>
      </c>
      <c r="M31" s="3">
        <f>((K31-(('Model tilvækst, slagteform, fe'!$I$9/100)*'Model tilvækst, slagteform, fe'!$C$9))*1000/(A31+Forudsætninger!$D$60))</f>
        <v>421.48274113244685</v>
      </c>
      <c r="N31" s="17">
        <f t="shared" si="12"/>
        <v>66.692075634503922</v>
      </c>
      <c r="O31" s="19">
        <f>IF( A31&lt;Forudsætninger!$C$14,(G31/100)*Forudsætninger!$C$13,(Forudsætninger!$C$15/1000)*Forudsætninger!$C$13)</f>
        <v>0.63202792448896383</v>
      </c>
      <c r="P31" s="17" cm="1">
        <f t="array" ref="P31">INDEX('Model tilvækst, slagteform, fe'!$O$9:$O$375,MATCH(MIN(ABS('Model tilvækst, slagteform, fe'!$M$9:$M$375-G31)),ABS('Model tilvækst, slagteform, fe'!$M$9:$M$375-G31),0))*(1+Forudsætninger!$D$80)</f>
        <v>2.7392410765121018</v>
      </c>
      <c r="Q31" s="17">
        <f t="shared" si="13"/>
        <v>4.8668589624127279</v>
      </c>
      <c r="R31" s="17">
        <f t="shared" si="14"/>
        <v>5.0098038144292572</v>
      </c>
      <c r="S31" s="2">
        <f t="shared" si="15"/>
        <v>2.6428334868886436</v>
      </c>
      <c r="T31" s="19">
        <f>(P31)*IF(N31&lt;Forudsætninger!$B$228,IF(N31&lt;Forudsætninger!$B$227,Forudsætninger!$B$225,Forudsætninger!$C$9),Forudsætninger!$C$11)+O31</f>
        <v>7.5075230265343382</v>
      </c>
      <c r="U31" s="2">
        <f>Forudsætninger!$D$68+((K31-(Forudsætninger!$D$84)))*0.01</f>
        <v>5.6223304378367871</v>
      </c>
      <c r="V31" s="2">
        <f>U31+Forudsætninger!$D$69</f>
        <v>5.6223304378367871</v>
      </c>
      <c r="W31">
        <f t="shared" si="1"/>
        <v>0</v>
      </c>
      <c r="X31">
        <f>IF(A31+Forudsætninger!$D$60&gt;248,IF(A31+Forudsætninger!$D$60&lt;365,IF(K31&gt;180,IF(K31&lt;260,1,0),0),0),0)</f>
        <v>0</v>
      </c>
      <c r="Y31" s="22">
        <f>IF(X31=0,0,IF('Vækstfunktion, kry tyr'!A31&lt;Forudsætninger!$D$66,Forudsætninger!$D$67+(('Vækstfunktion, kry tyr'!A31-Forudsætninger!$D$66)/7)*Forudsætninger!$D$64,Forudsætninger!$D$67))</f>
        <v>0</v>
      </c>
      <c r="Z31" s="19">
        <f t="shared" si="20"/>
        <v>668.59473852225835</v>
      </c>
      <c r="AA31" s="19">
        <f>Forudsætninger!$D$62+Forudsætninger!$C$16</f>
        <v>2055</v>
      </c>
      <c r="AB31" s="19">
        <f>IF(K31&gt;Forudsætninger!$C$37,IF(K31&gt;Forudsætninger!$C$38,IF(K31&gt;Forudsætninger!$C$39,Forudsætninger!$E$39,Forudsætninger!$E$38+Forudsætninger!$F$39*(K31-Forudsætninger!$C$38)),Forudsætninger!$E$37+Forudsætninger!$F$38*(K31-Forudsætninger!$C$37)),Forudsætninger!$E$37)+IF(K31&gt;Forudsætninger!$C$39,Forudsætninger!$G$39,IF(K31&gt;Forudsætninger!$C$38,Forudsætninger!$G$38+Forudsætninger!$H$39*(K31-Forudsætninger!$C$38),IF(K31&gt;Forudsætninger!$C$37,Forudsætninger!$G$37+Forudsætninger!$H$38*(K31-Forudsætninger!$C$37),Forudsætninger!$G$37)))*(U31-Forudsætninger!$H$37)</f>
        <v>35.162233043783679</v>
      </c>
      <c r="AC31" s="19">
        <f>IF(K31&gt;Forudsætninger!$C$42,IF(K31&gt;Forudsætninger!$C$43,IF(K31&gt;Forudsætninger!$C$44,Forudsætninger!$E$44,Forudsætninger!$E$43+Forudsætninger!$F$44*(K31-Forudsætninger!$C$43)),Forudsætninger!$E$42+Forudsætninger!$F$43*(K31-Forudsætninger!$C$42)),Forudsætninger!$E$42)+IF(K31&gt;Forudsætninger!$C$44,Forudsætninger!$G$44,IF(K31&gt;Forudsætninger!$C$43,Forudsætninger!$G$43+Forudsætninger!$H$44*(K31-Forudsætninger!$C$43),IF(K31&gt;Forudsætninger!$C$42,Forudsætninger!$G$42+Forudsætninger!$H$43*(K31-Forudsætninger!$C$42),Forudsætninger!$G$42)))*(V31-Forudsætninger!$H$42)</f>
        <v>30.055582609459194</v>
      </c>
      <c r="AD31" s="19">
        <f t="shared" si="2"/>
        <v>1450.8423518016548</v>
      </c>
      <c r="AE31" s="19">
        <f t="shared" si="3"/>
        <v>30.055582609459194</v>
      </c>
      <c r="AF31">
        <f>IF(G31&lt;=Forudsætninger!$C$97,Forudsætninger!$C$98,(IF(G31&lt;=Forudsætninger!$D$97,Forudsætninger!$D$98,IF(G31&lt;=Forudsætninger!$E$97,Forudsætninger!$E$98,IF(G31&lt;=Forudsætninger!$F$97,Forudsætninger!$F$98,IF(G31&lt;=Forudsætninger!$G$97,Forudsætninger!$G$98,IF(G31&lt;=Forudsætninger!$H$97,Forudsætninger!$H$98,IF(G31&lt;=Forudsætninger!$I$97,Forudsætninger!$I$98,Forudsætninger!$I$98))))))))</f>
        <v>1.8</v>
      </c>
      <c r="AG31" s="1">
        <f t="shared" si="16"/>
        <v>2.2000000000000002</v>
      </c>
      <c r="AH31" s="1">
        <f t="shared" si="21"/>
        <v>63.800000000000033</v>
      </c>
      <c r="AI31" s="1">
        <f t="shared" si="4"/>
        <v>2.2000000000000011</v>
      </c>
      <c r="AJ31" s="20">
        <f>+(W31*Forudsætninger!$C$12)</f>
        <v>0</v>
      </c>
      <c r="AK31" s="20">
        <f>Forudsætninger!$C$17</f>
        <v>250</v>
      </c>
      <c r="AL31" s="20">
        <f>IF(A31&lt;92,Forudsætninger!$C$20,Forudsætninger!$C$21)</f>
        <v>4.0072859744990899</v>
      </c>
      <c r="AM31" s="20">
        <f t="shared" si="17"/>
        <v>116.21129326047352</v>
      </c>
      <c r="AN31" s="19">
        <f>IFERROR(AD31+AJ31-AA31-Z31-AK31-AM31-Forudsætninger!$D$75,-99999)</f>
        <v>-1856.8556536820374</v>
      </c>
      <c r="AO31" s="57">
        <f>IFERROR(AN31/(A31+Forudsætninger!$D$74),-99999)</f>
        <v>-64.029505299380602</v>
      </c>
      <c r="AP31" s="19">
        <f>IFERROR(((365/(A31+Forudsætninger!$D$74))*AN31)/(AI31+Forudsætninger!$D$73),-99999)</f>
        <v>-10117.216205313382</v>
      </c>
      <c r="AQ31" s="18">
        <f t="shared" si="22"/>
        <v>29</v>
      </c>
      <c r="AR31" s="18">
        <f t="shared" si="23"/>
        <v>3089.8060317827321</v>
      </c>
      <c r="AS31" s="50">
        <f t="shared" si="24"/>
        <v>2.1</v>
      </c>
      <c r="AT31" s="50">
        <f t="shared" si="25"/>
        <v>5.4686713487421912</v>
      </c>
      <c r="AU31" s="50">
        <f t="shared" si="26"/>
        <v>2.4820777374329595</v>
      </c>
      <c r="AV31" s="2">
        <f t="shared" si="27"/>
        <v>392.1897723649472</v>
      </c>
      <c r="AW31" s="16">
        <f t="shared" si="19"/>
        <v>-60.022219324881519</v>
      </c>
      <c r="AZ31" s="16"/>
      <c r="BA31" s="2"/>
    </row>
    <row r="32" spans="1:53" x14ac:dyDescent="0.25">
      <c r="A32">
        <v>30</v>
      </c>
      <c r="B32" s="1">
        <f>ROUND((A32+Forudsætninger!$D$60)/30.4,1)</f>
        <v>2.1</v>
      </c>
      <c r="C32" s="1">
        <f>VLOOKUP((A32+Forudsætninger!$D$60),'Model tilvækst, slagteform, fe'!A:C,3,FALSE)</f>
        <v>104.73469797854884</v>
      </c>
      <c r="D32" s="3">
        <f t="shared" si="28"/>
        <v>1357.7197310970064</v>
      </c>
      <c r="E32" s="3">
        <f>(1+Forudsætninger!$D$78)*C32</f>
        <v>87.977146301981023</v>
      </c>
      <c r="F32" s="2">
        <f t="shared" ref="F32:F80" si="29">MAX(F31-((D32/1000)/20),0)</f>
        <v>10.330517591580055</v>
      </c>
      <c r="G32" s="1">
        <f t="shared" si="8"/>
        <v>98.307663893561084</v>
      </c>
      <c r="H32" s="3">
        <f t="shared" si="9"/>
        <v>1072.5985875666452</v>
      </c>
      <c r="I32" s="3">
        <f t="shared" si="10"/>
        <v>876.92212978536941</v>
      </c>
      <c r="J32" s="1">
        <f>VLOOKUP((A32+Forudsætninger!$D$60),'Model tilvækst, slagteform, fe'!G:K,3,FALSE)*(1+Forudsætninger!$D$79)</f>
        <v>49.680118942099526</v>
      </c>
      <c r="K32" s="17">
        <f t="shared" si="0"/>
        <v>48.83936435152058</v>
      </c>
      <c r="L32" s="17">
        <f t="shared" si="11"/>
        <v>567.38870380710432</v>
      </c>
      <c r="M32" s="3">
        <f>((K32-(('Model tilvækst, slagteform, fe'!$I$9/100)*'Model tilvækst, slagteform, fe'!$C$9))*1000/(A32+Forudsætninger!$D$60))</f>
        <v>423.76252179923836</v>
      </c>
      <c r="N32" s="17">
        <f t="shared" si="12"/>
        <v>69.431316711016024</v>
      </c>
      <c r="O32" s="19">
        <f>IF( A32&lt;Forudsætninger!$C$14,(G32/100)*Forudsætninger!$C$13,(Forudsætninger!$C$15/1000)*Forudsætninger!$C$13)</f>
        <v>0.63899981530814709</v>
      </c>
      <c r="P32" s="17" cm="1">
        <f t="array" ref="P32">INDEX('Model tilvækst, slagteform, fe'!$O$9:$O$375,MATCH(MIN(ABS('Model tilvækst, slagteform, fe'!$M$9:$M$375-G32)),ABS('Model tilvækst, slagteform, fe'!$M$9:$M$375-G32),0))*(1+Forudsætninger!$D$80)</f>
        <v>2.7392410765121018</v>
      </c>
      <c r="Q32" s="17">
        <f t="shared" si="13"/>
        <v>4.8278033350543481</v>
      </c>
      <c r="R32" s="17">
        <f t="shared" si="14"/>
        <v>5.0023638117913025</v>
      </c>
      <c r="S32" s="2">
        <f t="shared" si="15"/>
        <v>2.639204947726645</v>
      </c>
      <c r="T32" s="19">
        <f>(P32)*IF(N32&lt;Forudsætninger!$B$228,IF(N32&lt;Forudsætninger!$B$227,Forudsætninger!$B$225,Forudsætninger!$C$9),Forudsætninger!$C$11)+O32</f>
        <v>7.514494917353522</v>
      </c>
      <c r="U32" s="2">
        <f>Forudsætninger!$D$68+((K32-(Forudsætninger!$D$84)))*0.01</f>
        <v>5.6280043248748584</v>
      </c>
      <c r="V32" s="2">
        <f>U32+Forudsætninger!$D$69</f>
        <v>5.6280043248748584</v>
      </c>
      <c r="W32">
        <f t="shared" si="1"/>
        <v>0</v>
      </c>
      <c r="X32">
        <f>IF(A32+Forudsætninger!$D$60&gt;248,IF(A32+Forudsætninger!$D$60&lt;365,IF(K32&gt;180,IF(K32&lt;260,1,0),0),0),0)</f>
        <v>0</v>
      </c>
      <c r="Y32" s="22">
        <f>IF(X32=0,0,IF('Vækstfunktion, kry tyr'!A32&lt;Forudsætninger!$D$66,Forudsætninger!$D$67+(('Vækstfunktion, kry tyr'!A32-Forudsætninger!$D$66)/7)*Forudsætninger!$D$64,Forudsætninger!$D$67))</f>
        <v>0</v>
      </c>
      <c r="Z32" s="19">
        <f t="shared" si="20"/>
        <v>676.1092334396119</v>
      </c>
      <c r="AA32" s="19">
        <f>Forudsætninger!$D$62+Forudsætninger!$C$16</f>
        <v>2055</v>
      </c>
      <c r="AB32" s="19">
        <f>IF(K32&gt;Forudsætninger!$C$37,IF(K32&gt;Forudsætninger!$C$38,IF(K32&gt;Forudsætninger!$C$39,Forudsætninger!$E$39,Forudsætninger!$E$38+Forudsætninger!$F$39*(K32-Forudsætninger!$C$38)),Forudsætninger!$E$37+Forudsætninger!$F$38*(K32-Forudsætninger!$C$37)),Forudsætninger!$E$37)+IF(K32&gt;Forudsætninger!$C$39,Forudsætninger!$G$39,IF(K32&gt;Forudsætninger!$C$38,Forudsætninger!$G$38+Forudsætninger!$H$39*(K32-Forudsætninger!$C$38),IF(K32&gt;Forudsætninger!$C$37,Forudsætninger!$G$37+Forudsætninger!$H$38*(K32-Forudsætninger!$C$37),Forudsætninger!$G$37)))*(U32-Forudsætninger!$H$37)</f>
        <v>35.162800432487487</v>
      </c>
      <c r="AC32" s="19">
        <f>IF(K32&gt;Forudsætninger!$C$42,IF(K32&gt;Forudsætninger!$C$43,IF(K32&gt;Forudsætninger!$C$44,Forudsætninger!$E$44,Forudsætninger!$E$43+Forudsætninger!$F$44*(K32-Forudsætninger!$C$43)),Forudsætninger!$E$42+Forudsætninger!$F$43*(K32-Forudsætninger!$C$42)),Forudsætninger!$E$42)+IF(K32&gt;Forudsætninger!$C$44,Forudsætninger!$G$44,IF(K32&gt;Forudsætninger!$C$43,Forudsætninger!$G$43+Forudsætninger!$H$44*(K32-Forudsætninger!$C$43),IF(K32&gt;Forudsætninger!$C$42,Forudsætninger!$G$42+Forudsætninger!$H$43*(K32-Forudsætninger!$C$42),Forudsætninger!$G$42)))*(V32-Forudsætninger!$H$42)</f>
        <v>30.057001081218715</v>
      </c>
      <c r="AD32" s="19">
        <f t="shared" si="2"/>
        <v>1467.9648271196888</v>
      </c>
      <c r="AE32" s="19">
        <f t="shared" si="3"/>
        <v>30.057001081218715</v>
      </c>
      <c r="AF32">
        <f>IF(G32&lt;=Forudsætninger!$C$97,Forudsætninger!$C$98,(IF(G32&lt;=Forudsætninger!$D$97,Forudsætninger!$D$98,IF(G32&lt;=Forudsætninger!$E$97,Forudsætninger!$E$98,IF(G32&lt;=Forudsætninger!$F$97,Forudsætninger!$F$98,IF(G32&lt;=Forudsætninger!$G$97,Forudsætninger!$G$98,IF(G32&lt;=Forudsætninger!$H$97,Forudsætninger!$H$98,IF(G32&lt;=Forudsætninger!$I$97,Forudsætninger!$I$98,Forudsætninger!$I$98))))))))</f>
        <v>1.8</v>
      </c>
      <c r="AG32" s="1">
        <f t="shared" si="16"/>
        <v>2.2000000000000002</v>
      </c>
      <c r="AH32" s="1">
        <f t="shared" si="21"/>
        <v>66.000000000000028</v>
      </c>
      <c r="AI32" s="1">
        <f t="shared" si="4"/>
        <v>2.2000000000000011</v>
      </c>
      <c r="AJ32" s="20">
        <f>+(W32*Forudsætninger!$C$12)</f>
        <v>0</v>
      </c>
      <c r="AK32" s="20">
        <f>Forudsætninger!$C$17</f>
        <v>250</v>
      </c>
      <c r="AL32" s="20">
        <f>IF(A32&lt;92,Forudsætninger!$C$20,Forudsætninger!$C$21)</f>
        <v>4.0072859744990899</v>
      </c>
      <c r="AM32" s="20">
        <f t="shared" si="17"/>
        <v>120.21857923497261</v>
      </c>
      <c r="AN32" s="19">
        <f>IFERROR(AD32+AJ32-AA32-Z32-AK32-AM32-Forudsætninger!$D$75,-99999)</f>
        <v>-1851.254959255856</v>
      </c>
      <c r="AO32" s="57">
        <f>IFERROR(AN32/(A32+Forudsætninger!$D$74),-99999)</f>
        <v>-61.708498641861866</v>
      </c>
      <c r="AP32" s="19">
        <f>IFERROR(((365/(A32+Forudsætninger!$D$74))*AN32)/(AI32+Forudsætninger!$D$73),-99999)</f>
        <v>-9750.4770581296834</v>
      </c>
      <c r="AQ32" s="18">
        <f t="shared" si="22"/>
        <v>30</v>
      </c>
      <c r="AR32" s="18">
        <f t="shared" si="23"/>
        <v>3101.3278126745845</v>
      </c>
      <c r="AS32" s="50">
        <f t="shared" si="24"/>
        <v>2.1</v>
      </c>
      <c r="AT32" s="50">
        <f t="shared" si="25"/>
        <v>5.6006944261814624</v>
      </c>
      <c r="AU32" s="50">
        <f t="shared" si="26"/>
        <v>2.3210066575187369</v>
      </c>
      <c r="AV32" s="2">
        <f t="shared" si="27"/>
        <v>366.73914718369815</v>
      </c>
      <c r="AW32" s="16">
        <f t="shared" si="19"/>
        <v>-57.701212667362782</v>
      </c>
      <c r="AZ32" s="16"/>
      <c r="BA32" s="2"/>
    </row>
    <row r="33" spans="1:53" x14ac:dyDescent="0.25">
      <c r="A33">
        <v>31</v>
      </c>
      <c r="B33" s="1">
        <f>ROUND((A33+Forudsætninger!$D$60)/30.4,1)</f>
        <v>2.1</v>
      </c>
      <c r="C33" s="1">
        <f>VLOOKUP((A33+Forudsætninger!$D$60),'Model tilvækst, slagteform, fe'!A:C,3,FALSE)</f>
        <v>106.10326318148806</v>
      </c>
      <c r="D33" s="3">
        <f t="shared" si="28"/>
        <v>1368.5652029392231</v>
      </c>
      <c r="E33" s="3">
        <f>(1+Forudsætninger!$D$78)*C33</f>
        <v>89.126741072449974</v>
      </c>
      <c r="F33" s="2">
        <f t="shared" si="29"/>
        <v>10.262089331433094</v>
      </c>
      <c r="G33" s="1">
        <f t="shared" si="8"/>
        <v>99.388830403883063</v>
      </c>
      <c r="H33" s="3">
        <f t="shared" si="9"/>
        <v>1081.166510321978</v>
      </c>
      <c r="I33" s="3">
        <f t="shared" si="10"/>
        <v>883.51065818977611</v>
      </c>
      <c r="J33" s="1">
        <f>VLOOKUP((A33+Forudsætninger!$D$60),'Model tilvækst, slagteform, fe'!G:K,3,FALSE)*(1+Forudsætninger!$D$79)</f>
        <v>49.715098150478973</v>
      </c>
      <c r="K33" s="17">
        <f t="shared" si="0"/>
        <v>49.411254585903549</v>
      </c>
      <c r="L33" s="17">
        <f t="shared" si="11"/>
        <v>571.89023438296977</v>
      </c>
      <c r="M33" s="3">
        <f>((K33-(('Model tilvækst, slagteform, fe'!$I$9/100)*'Model tilvækst, slagteform, fe'!$C$9))*1000/(A33+Forudsætninger!$D$60))</f>
        <v>426.0414096851419</v>
      </c>
      <c r="N33" s="17">
        <f t="shared" si="12"/>
        <v>72.20847658915369</v>
      </c>
      <c r="O33" s="19">
        <f>IF( A33&lt;Forudsætninger!$C$14,(G33/100)*Forudsætninger!$C$13,(Forudsætninger!$C$15/1000)*Forudsætninger!$C$13)</f>
        <v>0.64602739762523997</v>
      </c>
      <c r="P33" s="17" cm="1">
        <f t="array" ref="P33">INDEX('Model tilvækst, slagteform, fe'!$O$9:$O$375,MATCH(MIN(ABS('Model tilvækst, slagteform, fe'!$M$9:$M$375-G33)),ABS('Model tilvækst, slagteform, fe'!$M$9:$M$375-G33),0))*(1+Forudsætninger!$D$80)</f>
        <v>2.7771598781376672</v>
      </c>
      <c r="Q33" s="17">
        <f t="shared" si="13"/>
        <v>4.8561064889209575</v>
      </c>
      <c r="R33" s="17">
        <f t="shared" si="14"/>
        <v>4.9965759971372403</v>
      </c>
      <c r="S33" s="2">
        <f t="shared" si="15"/>
        <v>2.6364205964383314</v>
      </c>
      <c r="T33" s="19">
        <f>(P33)*IF(N33&lt;Forudsætninger!$B$228,IF(N33&lt;Forudsætninger!$B$227,Forudsætninger!$B$225,Forudsætninger!$C$9),Forudsætninger!$C$11)+O33</f>
        <v>7.6166986917507842</v>
      </c>
      <c r="U33" s="2">
        <f>Forudsætninger!$D$68+((K33-(Forudsætninger!$D$84)))*0.01</f>
        <v>5.6337232272186881</v>
      </c>
      <c r="V33" s="2">
        <f>U33+Forudsætninger!$D$69</f>
        <v>5.6337232272186881</v>
      </c>
      <c r="W33">
        <f t="shared" si="1"/>
        <v>0</v>
      </c>
      <c r="X33">
        <f>IF(A33+Forudsætninger!$D$60&gt;248,IF(A33+Forudsætninger!$D$60&lt;365,IF(K33&gt;180,IF(K33&lt;260,1,0),0),0),0)</f>
        <v>0</v>
      </c>
      <c r="Y33" s="22">
        <f>IF(X33=0,0,IF('Vækstfunktion, kry tyr'!A33&lt;Forudsætninger!$D$66,Forudsætninger!$D$67+(('Vækstfunktion, kry tyr'!A33-Forudsætninger!$D$66)/7)*Forudsætninger!$D$64,Forudsætninger!$D$67))</f>
        <v>0</v>
      </c>
      <c r="Z33" s="19">
        <f t="shared" si="20"/>
        <v>683.7259321313627</v>
      </c>
      <c r="AA33" s="19">
        <f>Forudsætninger!$D$62+Forudsætninger!$C$16</f>
        <v>2055</v>
      </c>
      <c r="AB33" s="19">
        <f>IF(K33&gt;Forudsætninger!$C$37,IF(K33&gt;Forudsætninger!$C$38,IF(K33&gt;Forudsætninger!$C$39,Forudsætninger!$E$39,Forudsætninger!$E$38+Forudsætninger!$F$39*(K33-Forudsætninger!$C$38)),Forudsætninger!$E$37+Forudsætninger!$F$38*(K33-Forudsætninger!$C$37)),Forudsætninger!$E$37)+IF(K33&gt;Forudsætninger!$C$39,Forudsætninger!$G$39,IF(K33&gt;Forudsætninger!$C$38,Forudsætninger!$G$38+Forudsætninger!$H$39*(K33-Forudsætninger!$C$38),IF(K33&gt;Forudsætninger!$C$37,Forudsætninger!$G$37+Forudsætninger!$H$38*(K33-Forudsætninger!$C$37),Forudsætninger!$G$37)))*(U33-Forudsætninger!$H$37)</f>
        <v>35.16337232272187</v>
      </c>
      <c r="AC33" s="19">
        <f>IF(K33&gt;Forudsætninger!$C$42,IF(K33&gt;Forudsætninger!$C$43,IF(K33&gt;Forudsætninger!$C$44,Forudsætninger!$E$44,Forudsætninger!$E$43+Forudsætninger!$F$44*(K33-Forudsætninger!$C$43)),Forudsætninger!$E$42+Forudsætninger!$F$43*(K33-Forudsætninger!$C$42)),Forudsætninger!$E$42)+IF(K33&gt;Forudsætninger!$C$44,Forudsætninger!$G$44,IF(K33&gt;Forudsætninger!$C$43,Forudsætninger!$G$43+Forudsætninger!$H$44*(K33-Forudsætninger!$C$43),IF(K33&gt;Forudsætninger!$C$42,Forudsætninger!$G$42+Forudsætninger!$H$43*(K33-Forudsætninger!$C$42),Forudsætninger!$G$42)))*(V33-Forudsætninger!$H$42)</f>
        <v>30.058430806804672</v>
      </c>
      <c r="AD33" s="19">
        <f t="shared" si="2"/>
        <v>1485.2247770477918</v>
      </c>
      <c r="AE33" s="19">
        <f t="shared" si="3"/>
        <v>30.058430806804672</v>
      </c>
      <c r="AF33">
        <f>IF(G33&lt;=Forudsætninger!$C$97,Forudsætninger!$C$98,(IF(G33&lt;=Forudsætninger!$D$97,Forudsætninger!$D$98,IF(G33&lt;=Forudsætninger!$E$97,Forudsætninger!$E$98,IF(G33&lt;=Forudsætninger!$F$97,Forudsætninger!$F$98,IF(G33&lt;=Forudsætninger!$G$97,Forudsætninger!$G$98,IF(G33&lt;=Forudsætninger!$H$97,Forudsætninger!$H$98,IF(G33&lt;=Forudsætninger!$I$97,Forudsætninger!$I$98,Forudsætninger!$I$98))))))))</f>
        <v>1.8</v>
      </c>
      <c r="AG33" s="1">
        <f t="shared" si="16"/>
        <v>2.2000000000000002</v>
      </c>
      <c r="AH33" s="1">
        <f t="shared" si="21"/>
        <v>68.200000000000031</v>
      </c>
      <c r="AI33" s="1">
        <f t="shared" si="4"/>
        <v>2.2000000000000011</v>
      </c>
      <c r="AJ33" s="20">
        <f>+(W33*Forudsætninger!$C$12)</f>
        <v>0</v>
      </c>
      <c r="AK33" s="20">
        <f>Forudsætninger!$C$17</f>
        <v>250</v>
      </c>
      <c r="AL33" s="20">
        <f>IF(A33&lt;92,Forudsætninger!$C$20,Forudsætninger!$C$21)</f>
        <v>4.0072859744990899</v>
      </c>
      <c r="AM33" s="20">
        <f t="shared" si="17"/>
        <v>124.22586520947169</v>
      </c>
      <c r="AN33" s="19">
        <f>IFERROR(AD33+AJ33-AA33-Z33-AK33-AM33-Forudsætninger!$D$75,-99999)</f>
        <v>-1845.6189939940029</v>
      </c>
      <c r="AO33" s="57">
        <f>IFERROR(AN33/(A33+Forudsætninger!$D$74),-99999)</f>
        <v>-59.536096580451705</v>
      </c>
      <c r="AP33" s="19">
        <f>IFERROR(((365/(A33+Forudsætninger!$D$74))*AN33)/(AI33+Forudsætninger!$D$73),-99999)</f>
        <v>-9407.2187237510225</v>
      </c>
      <c r="AQ33" s="18">
        <f t="shared" si="22"/>
        <v>31</v>
      </c>
      <c r="AR33" s="18">
        <f t="shared" si="23"/>
        <v>3112.9517973408342</v>
      </c>
      <c r="AS33" s="50">
        <f t="shared" si="24"/>
        <v>2.1</v>
      </c>
      <c r="AT33" s="50">
        <f t="shared" si="25"/>
        <v>5.6359652618530163</v>
      </c>
      <c r="AU33" s="50">
        <f t="shared" si="26"/>
        <v>2.1724020614101605</v>
      </c>
      <c r="AV33" s="2">
        <f t="shared" si="27"/>
        <v>343.25833437866095</v>
      </c>
      <c r="AW33" s="16">
        <f t="shared" si="19"/>
        <v>-55.528810605952621</v>
      </c>
      <c r="AZ33" s="16"/>
      <c r="BA33" s="2"/>
    </row>
    <row r="34" spans="1:53" x14ac:dyDescent="0.25">
      <c r="A34">
        <v>32</v>
      </c>
      <c r="B34" s="1">
        <f>ROUND((A34+Forudsætninger!$D$60)/30.4,1)</f>
        <v>2.2000000000000002</v>
      </c>
      <c r="C34" s="1">
        <f>VLOOKUP((A34+Forudsætninger!$D$60),'Model tilvækst, slagteform, fe'!A:C,3,FALSE)</f>
        <v>107.48253518684274</v>
      </c>
      <c r="D34" s="3">
        <f t="shared" si="28"/>
        <v>1379.2720053546786</v>
      </c>
      <c r="E34" s="3">
        <f>(1+Forudsætninger!$D$78)*C34</f>
        <v>90.2853295569479</v>
      </c>
      <c r="F34" s="2">
        <f t="shared" si="29"/>
        <v>10.19312573116536</v>
      </c>
      <c r="G34" s="1">
        <f t="shared" si="8"/>
        <v>100.47845528811325</v>
      </c>
      <c r="H34" s="3">
        <f t="shared" si="9"/>
        <v>1089.6248842301902</v>
      </c>
      <c r="I34" s="3">
        <f t="shared" si="10"/>
        <v>889.9517277535391</v>
      </c>
      <c r="J34" s="1">
        <f>VLOOKUP((A34+Forudsætninger!$D$60),'Model tilvækst, slagteform, fe'!G:K,3,FALSE)*(1+Forudsætninger!$D$79)</f>
        <v>49.749565562886701</v>
      </c>
      <c r="K34" s="17">
        <f t="shared" si="0"/>
        <v>49.987594990135698</v>
      </c>
      <c r="L34" s="17">
        <f t="shared" si="11"/>
        <v>576.34040423214833</v>
      </c>
      <c r="M34" s="3">
        <f>((K34-(('Model tilvækst, slagteform, fe'!$I$9/100)*'Model tilvækst, slagteform, fe'!$C$9))*1000/(A34+Forudsætninger!$D$60))</f>
        <v>428.31866717827836</v>
      </c>
      <c r="N34" s="17">
        <f t="shared" si="12"/>
        <v>75.023544846915968</v>
      </c>
      <c r="O34" s="19">
        <f>IF( A34&lt;Forudsætninger!$C$14,(G34/100)*Forudsætninger!$C$13,(Forudsætninger!$C$15/1000)*Forudsætninger!$C$13)</f>
        <v>0.65310995937273619</v>
      </c>
      <c r="P34" s="17" cm="1">
        <f t="array" ref="P34">INDEX('Model tilvækst, slagteform, fe'!$O$9:$O$375,MATCH(MIN(ABS('Model tilvækst, slagteform, fe'!$M$9:$M$375-G34)),ABS('Model tilvækst, slagteform, fe'!$M$9:$M$375-G34),0))*(1+Forudsætninger!$D$80)</f>
        <v>2.8150682577622774</v>
      </c>
      <c r="Q34" s="17">
        <f t="shared" si="13"/>
        <v>4.8843847092635473</v>
      </c>
      <c r="R34" s="17">
        <f t="shared" si="14"/>
        <v>4.9922733178711702</v>
      </c>
      <c r="S34" s="2">
        <f t="shared" si="15"/>
        <v>2.6343965670859393</v>
      </c>
      <c r="T34" s="19">
        <f>(P34)*IF(N34&lt;Forudsætninger!$B$228,IF(N34&lt;Forudsætninger!$B$227,Forudsætninger!$B$225,Forudsætninger!$C$9),Forudsætninger!$C$11)+O34</f>
        <v>7.7189312863560522</v>
      </c>
      <c r="U34" s="2">
        <f>Forudsætninger!$D$68+((K34-(Forudsætninger!$D$84)))*0.01</f>
        <v>5.6394866312610095</v>
      </c>
      <c r="V34" s="2">
        <f>U34+Forudsætninger!$D$69</f>
        <v>5.6394866312610095</v>
      </c>
      <c r="W34">
        <f t="shared" si="1"/>
        <v>0</v>
      </c>
      <c r="X34">
        <f>IF(A34+Forudsætninger!$D$60&gt;248,IF(A34+Forudsætninger!$D$60&lt;365,IF(K34&gt;180,IF(K34&lt;260,1,0),0),0),0)</f>
        <v>0</v>
      </c>
      <c r="Y34" s="22">
        <f>IF(X34=0,0,IF('Vækstfunktion, kry tyr'!A34&lt;Forudsætninger!$D$66,Forudsætninger!$D$67+(('Vækstfunktion, kry tyr'!A34-Forudsætninger!$D$66)/7)*Forudsætninger!$D$64,Forudsætninger!$D$67))</f>
        <v>0</v>
      </c>
      <c r="Z34" s="19">
        <f t="shared" si="20"/>
        <v>691.44486341771869</v>
      </c>
      <c r="AA34" s="19">
        <f>Forudsætninger!$D$62+Forudsætninger!$C$16</f>
        <v>2055</v>
      </c>
      <c r="AB34" s="19">
        <f>IF(K34&gt;Forudsætninger!$C$37,IF(K34&gt;Forudsætninger!$C$38,IF(K34&gt;Forudsætninger!$C$39,Forudsætninger!$E$39,Forudsætninger!$E$38+Forudsætninger!$F$39*(K34-Forudsætninger!$C$38)),Forudsætninger!$E$37+Forudsætninger!$F$38*(K34-Forudsætninger!$C$37)),Forudsætninger!$E$37)+IF(K34&gt;Forudsætninger!$C$39,Forudsætninger!$G$39,IF(K34&gt;Forudsætninger!$C$38,Forudsætninger!$G$38+Forudsætninger!$H$39*(K34-Forudsætninger!$C$38),IF(K34&gt;Forudsætninger!$C$37,Forudsætninger!$G$37+Forudsætninger!$H$38*(K34-Forudsætninger!$C$37),Forudsætninger!$G$37)))*(U34-Forudsætninger!$H$37)</f>
        <v>35.163948663126099</v>
      </c>
      <c r="AC34" s="19">
        <f>IF(K34&gt;Forudsætninger!$C$42,IF(K34&gt;Forudsætninger!$C$43,IF(K34&gt;Forudsætninger!$C$44,Forudsætninger!$E$44,Forudsætninger!$E$43+Forudsætninger!$F$44*(K34-Forudsætninger!$C$43)),Forudsætninger!$E$42+Forudsætninger!$F$43*(K34-Forudsætninger!$C$42)),Forudsætninger!$E$42)+IF(K34&gt;Forudsætninger!$C$44,Forudsætninger!$G$44,IF(K34&gt;Forudsætninger!$C$43,Forudsætninger!$G$43+Forudsætninger!$H$44*(K34-Forudsætninger!$C$43),IF(K34&gt;Forudsætninger!$C$42,Forudsætninger!$G$42+Forudsætninger!$H$43*(K34-Forudsætninger!$C$42),Forudsætninger!$G$42)))*(V34-Forudsætninger!$H$42)</f>
        <v>30.059871657815251</v>
      </c>
      <c r="AD34" s="19">
        <f t="shared" si="2"/>
        <v>1502.6206898863277</v>
      </c>
      <c r="AE34" s="19">
        <f t="shared" si="3"/>
        <v>30.059871657815251</v>
      </c>
      <c r="AF34">
        <f>IF(G34&lt;=Forudsætninger!$C$97,Forudsætninger!$C$98,(IF(G34&lt;=Forudsætninger!$D$97,Forudsætninger!$D$98,IF(G34&lt;=Forudsætninger!$E$97,Forudsætninger!$E$98,IF(G34&lt;=Forudsætninger!$F$97,Forudsætninger!$F$98,IF(G34&lt;=Forudsætninger!$G$97,Forudsætninger!$G$98,IF(G34&lt;=Forudsætninger!$H$97,Forudsætninger!$H$98,IF(G34&lt;=Forudsætninger!$I$97,Forudsætninger!$I$98,Forudsætninger!$I$98))))))))</f>
        <v>2.2000000000000002</v>
      </c>
      <c r="AG34" s="1">
        <f t="shared" si="16"/>
        <v>2.2000000000000002</v>
      </c>
      <c r="AH34" s="1">
        <f t="shared" si="21"/>
        <v>70.400000000000034</v>
      </c>
      <c r="AI34" s="1">
        <f t="shared" si="4"/>
        <v>2.2000000000000011</v>
      </c>
      <c r="AJ34" s="20">
        <f>+(W34*Forudsætninger!$C$12)</f>
        <v>0</v>
      </c>
      <c r="AK34" s="20">
        <f>Forudsætninger!$C$17</f>
        <v>250</v>
      </c>
      <c r="AL34" s="20">
        <f>IF(A34&lt;92,Forudsætninger!$C$20,Forudsætninger!$C$21)</f>
        <v>4.0072859744990899</v>
      </c>
      <c r="AM34" s="20">
        <f t="shared" si="17"/>
        <v>128.23315118397079</v>
      </c>
      <c r="AN34" s="19">
        <f>IFERROR(AD34+AJ34-AA34-Z34-AK34-AM34-Forudsætninger!$D$75,-99999)</f>
        <v>-1839.9492984163219</v>
      </c>
      <c r="AO34" s="57">
        <f>IFERROR(AN34/(A34+Forudsætninger!$D$74),-99999)</f>
        <v>-57.498415575510059</v>
      </c>
      <c r="AP34" s="19">
        <f>IFERROR(((365/(A34+Forudsætninger!$D$74))*AN34)/(AI34+Forudsætninger!$D$73),-99999)</f>
        <v>-9085.2474827104597</v>
      </c>
      <c r="AQ34" s="18">
        <f t="shared" si="22"/>
        <v>32</v>
      </c>
      <c r="AR34" s="18">
        <f t="shared" si="23"/>
        <v>3124.6780146016895</v>
      </c>
      <c r="AS34" s="50">
        <f t="shared" si="24"/>
        <v>2.2000000000000002</v>
      </c>
      <c r="AT34" s="50">
        <f t="shared" si="25"/>
        <v>5.6696955776810682</v>
      </c>
      <c r="AU34" s="50">
        <f t="shared" si="26"/>
        <v>2.0376810049416463</v>
      </c>
      <c r="AV34" s="2">
        <f t="shared" si="27"/>
        <v>321.97124104056275</v>
      </c>
      <c r="AW34" s="16">
        <f t="shared" si="19"/>
        <v>-53.491129601010968</v>
      </c>
      <c r="AZ34" s="16"/>
      <c r="BA34" s="2"/>
    </row>
    <row r="35" spans="1:53" x14ac:dyDescent="0.25">
      <c r="A35">
        <v>33</v>
      </c>
      <c r="B35" s="1">
        <f>ROUND((A35+Forudsætninger!$D$60)/30.4,1)</f>
        <v>2.2000000000000002</v>
      </c>
      <c r="C35" s="1">
        <f>VLOOKUP((A35+Forudsætninger!$D$60),'Model tilvækst, slagteform, fe'!A:C,3,FALSE)</f>
        <v>108.87237594612277</v>
      </c>
      <c r="D35" s="3">
        <f t="shared" si="28"/>
        <v>1389.840759280034</v>
      </c>
      <c r="E35" s="3">
        <f>(1+Forudsætninger!$D$78)*C35</f>
        <v>91.452795794743125</v>
      </c>
      <c r="F35" s="2">
        <f t="shared" si="29"/>
        <v>10.123633693201358</v>
      </c>
      <c r="G35" s="1">
        <f t="shared" si="8"/>
        <v>101.57642948794448</v>
      </c>
      <c r="H35" s="3">
        <f t="shared" si="9"/>
        <v>1097.9741998312279</v>
      </c>
      <c r="I35" s="3">
        <f t="shared" si="10"/>
        <v>896.25543902862057</v>
      </c>
      <c r="J35" s="1">
        <f>VLOOKUP((A35+Forudsætninger!$D$60),'Model tilvækst, slagteform, fe'!G:K,3,FALSE)*(1+Forudsætninger!$D$79)</f>
        <v>49.783532233435785</v>
      </c>
      <c r="K35" s="17">
        <f t="shared" si="0"/>
        <v>50.568334515704009</v>
      </c>
      <c r="L35" s="17">
        <f t="shared" si="11"/>
        <v>580.73952556831182</v>
      </c>
      <c r="M35" s="3">
        <f>((K35-(('Model tilvækst, slagteform, fe'!$I$9/100)*'Model tilvækst, slagteform, fe'!$C$9))*1000/(A35+Forudsætninger!$D$60))</f>
        <v>430.59360536320423</v>
      </c>
      <c r="N35" s="17">
        <f t="shared" si="12"/>
        <v>77.876507895109825</v>
      </c>
      <c r="O35" s="19">
        <f>IF( A35&lt;Forudsætninger!$C$14,(G35/100)*Forudsætninger!$C$13,(Forudsætninger!$C$15/1000)*Forudsætninger!$C$13)</f>
        <v>0.66024679167163913</v>
      </c>
      <c r="P35" s="17" cm="1">
        <f t="array" ref="P35">INDEX('Model tilvækst, slagteform, fe'!$O$9:$O$375,MATCH(MIN(ABS('Model tilvækst, slagteform, fe'!$M$9:$M$375-G35)),ABS('Model tilvækst, slagteform, fe'!$M$9:$M$375-G35),0))*(1+Forudsætninger!$D$80)</f>
        <v>2.8529630481938622</v>
      </c>
      <c r="Q35" s="17">
        <f t="shared" si="13"/>
        <v>4.9126379772445352</v>
      </c>
      <c r="R35" s="17">
        <f t="shared" si="14"/>
        <v>4.9893103886222736</v>
      </c>
      <c r="S35" s="2">
        <f t="shared" si="15"/>
        <v>2.6330598129450591</v>
      </c>
      <c r="T35" s="19">
        <f>(P35)*IF(N35&lt;Forudsætninger!$B$228,IF(N35&lt;Forudsætninger!$B$227,Forudsætninger!$B$225,Forudsætninger!$C$9),Forudsætninger!$C$11)+O35</f>
        <v>7.8211840426382322</v>
      </c>
      <c r="U35" s="2">
        <f>Forudsætninger!$D$68+((K35-(Forudsætninger!$D$84)))*0.01</f>
        <v>5.6452940265166927</v>
      </c>
      <c r="V35" s="2">
        <f>U35+Forudsætninger!$D$69</f>
        <v>5.6452940265166927</v>
      </c>
      <c r="W35">
        <f t="shared" si="1"/>
        <v>0</v>
      </c>
      <c r="X35">
        <f>IF(A35+Forudsætninger!$D$60&gt;248,IF(A35+Forudsætninger!$D$60&lt;365,IF(K35&gt;180,IF(K35&lt;260,1,0),0),0),0)</f>
        <v>0</v>
      </c>
      <c r="Y35" s="22">
        <f>IF(X35=0,0,IF('Vækstfunktion, kry tyr'!A35&lt;Forudsætninger!$D$66,Forudsætninger!$D$67+(('Vækstfunktion, kry tyr'!A35-Forudsætninger!$D$66)/7)*Forudsætninger!$D$64,Forudsætninger!$D$67))</f>
        <v>0</v>
      </c>
      <c r="Z35" s="19">
        <f t="shared" si="20"/>
        <v>699.26604746035696</v>
      </c>
      <c r="AA35" s="19">
        <f>Forudsætninger!$D$62+Forudsætninger!$C$16</f>
        <v>2055</v>
      </c>
      <c r="AB35" s="19">
        <f>IF(K35&gt;Forudsætninger!$C$37,IF(K35&gt;Forudsætninger!$C$38,IF(K35&gt;Forudsætninger!$C$39,Forudsætninger!$E$39,Forudsætninger!$E$38+Forudsætninger!$F$39*(K35-Forudsætninger!$C$38)),Forudsætninger!$E$37+Forudsætninger!$F$38*(K35-Forudsætninger!$C$37)),Forudsætninger!$E$37)+IF(K35&gt;Forudsætninger!$C$39,Forudsætninger!$G$39,IF(K35&gt;Forudsætninger!$C$38,Forudsætninger!$G$38+Forudsætninger!$H$39*(K35-Forudsætninger!$C$38),IF(K35&gt;Forudsætninger!$C$37,Forudsætninger!$G$37+Forudsætninger!$H$38*(K35-Forudsætninger!$C$37),Forudsætninger!$G$37)))*(U35-Forudsætninger!$H$37)</f>
        <v>35.164529402651667</v>
      </c>
      <c r="AC35" s="19">
        <f>IF(K35&gt;Forudsætninger!$C$42,IF(K35&gt;Forudsætninger!$C$43,IF(K35&gt;Forudsætninger!$C$44,Forudsætninger!$E$44,Forudsætninger!$E$43+Forudsætninger!$F$44*(K35-Forudsætninger!$C$43)),Forudsætninger!$E$42+Forudsætninger!$F$43*(K35-Forudsætninger!$C$42)),Forudsætninger!$E$42)+IF(K35&gt;Forudsætninger!$C$44,Forudsætninger!$G$44,IF(K35&gt;Forudsætninger!$C$43,Forudsætninger!$G$43+Forudsætninger!$H$44*(K35-Forudsætninger!$C$43),IF(K35&gt;Forudsætninger!$C$42,Forudsætninger!$G$42+Forudsætninger!$H$43*(K35-Forudsætninger!$C$42),Forudsætninger!$G$42)))*(V35-Forudsætninger!$H$42)</f>
        <v>30.061323506629172</v>
      </c>
      <c r="AD35" s="19">
        <f t="shared" si="2"/>
        <v>1520.1510630680202</v>
      </c>
      <c r="AE35" s="19">
        <f t="shared" si="3"/>
        <v>30.061323506629172</v>
      </c>
      <c r="AF35">
        <f>IF(G35&lt;=Forudsætninger!$C$97,Forudsætninger!$C$98,(IF(G35&lt;=Forudsætninger!$D$97,Forudsætninger!$D$98,IF(G35&lt;=Forudsætninger!$E$97,Forudsætninger!$E$98,IF(G35&lt;=Forudsætninger!$F$97,Forudsætninger!$F$98,IF(G35&lt;=Forudsætninger!$G$97,Forudsætninger!$G$98,IF(G35&lt;=Forudsætninger!$H$97,Forudsætninger!$H$98,IF(G35&lt;=Forudsætninger!$I$97,Forudsætninger!$I$98,Forudsætninger!$I$98))))))))</f>
        <v>2.2000000000000002</v>
      </c>
      <c r="AG35" s="1">
        <f t="shared" si="16"/>
        <v>2.2000000000000002</v>
      </c>
      <c r="AH35" s="1">
        <f t="shared" si="21"/>
        <v>72.600000000000037</v>
      </c>
      <c r="AI35" s="1">
        <f t="shared" si="4"/>
        <v>2.2000000000000011</v>
      </c>
      <c r="AJ35" s="20">
        <f>+(W35*Forudsætninger!$C$12)</f>
        <v>0</v>
      </c>
      <c r="AK35" s="20">
        <f>Forudsætninger!$C$17</f>
        <v>250</v>
      </c>
      <c r="AL35" s="20">
        <f>IF(A35&lt;92,Forudsætninger!$C$20,Forudsætninger!$C$21)</f>
        <v>4.0072859744990899</v>
      </c>
      <c r="AM35" s="20">
        <f t="shared" si="17"/>
        <v>132.24043715846989</v>
      </c>
      <c r="AN35" s="19">
        <f>IFERROR(AD35+AJ35-AA35-Z35-AK35-AM35-Forudsætninger!$D$75,-99999)</f>
        <v>-1834.2473952517669</v>
      </c>
      <c r="AO35" s="57">
        <f>IFERROR(AN35/(A35+Forudsætninger!$D$74),-99999)</f>
        <v>-55.583254401568695</v>
      </c>
      <c r="AP35" s="19">
        <f>IFERROR(((365/(A35+Forudsætninger!$D$74))*AN35)/(AI35+Forudsætninger!$D$73),-99999)</f>
        <v>-8782.6354357456985</v>
      </c>
      <c r="AQ35" s="18">
        <f t="shared" si="22"/>
        <v>33</v>
      </c>
      <c r="AR35" s="18">
        <f t="shared" si="23"/>
        <v>3136.506484618827</v>
      </c>
      <c r="AS35" s="50">
        <f t="shared" si="24"/>
        <v>2.2000000000000002</v>
      </c>
      <c r="AT35" s="50">
        <f t="shared" si="25"/>
        <v>5.7019031645550058</v>
      </c>
      <c r="AU35" s="50">
        <f t="shared" si="26"/>
        <v>1.9151611739413639</v>
      </c>
      <c r="AV35" s="2">
        <f t="shared" si="27"/>
        <v>302.61204696476125</v>
      </c>
      <c r="AW35" s="16">
        <f t="shared" si="19"/>
        <v>-51.575968427069604</v>
      </c>
      <c r="AZ35" s="16"/>
      <c r="BA35" s="2"/>
    </row>
    <row r="36" spans="1:53" x14ac:dyDescent="0.25">
      <c r="A36">
        <v>34</v>
      </c>
      <c r="B36" s="1">
        <f>ROUND((A36+Forudsætninger!$D$60)/30.4,1)</f>
        <v>2.2000000000000002</v>
      </c>
      <c r="C36" s="1">
        <f>VLOOKUP((A36+Forudsætninger!$D$60),'Model tilvækst, slagteform, fe'!A:C,3,FALSE)</f>
        <v>110.27264803177465</v>
      </c>
      <c r="D36" s="3">
        <f t="shared" si="28"/>
        <v>1400.2720856518777</v>
      </c>
      <c r="E36" s="3">
        <f>(1+Forudsætninger!$D$78)*C36</f>
        <v>92.629024346690699</v>
      </c>
      <c r="F36" s="2">
        <f t="shared" si="29"/>
        <v>10.053620088918764</v>
      </c>
      <c r="G36" s="1">
        <f t="shared" si="8"/>
        <v>102.68264443560946</v>
      </c>
      <c r="H36" s="3">
        <f t="shared" si="9"/>
        <v>1106.2149476649806</v>
      </c>
      <c r="I36" s="3">
        <f t="shared" si="10"/>
        <v>902.43071869439598</v>
      </c>
      <c r="J36" s="1">
        <f>VLOOKUP((A36+Forudsætninger!$D$60),'Model tilvækst, slagteform, fe'!G:K,3,FALSE)*(1+Forudsætninger!$D$79)</f>
        <v>49.817009216239285</v>
      </c>
      <c r="K36" s="17">
        <f t="shared" si="0"/>
        <v>51.15342244196578</v>
      </c>
      <c r="L36" s="17">
        <f t="shared" si="11"/>
        <v>585.08792626177092</v>
      </c>
      <c r="M36" s="3">
        <f>((K36-(('Model tilvækst, slagteform, fe'!$I$9/100)*'Model tilvækst, slagteform, fe'!$C$9))*1000/(A36+Forudsætninger!$D$60))</f>
        <v>432.86558067053608</v>
      </c>
      <c r="N36" s="17">
        <f t="shared" si="12"/>
        <v>80.767348977350181</v>
      </c>
      <c r="O36" s="19">
        <f>IF( A36&lt;Forudsætninger!$C$14,(G36/100)*Forudsætninger!$C$13,(Forudsætninger!$C$15/1000)*Forudsætninger!$C$13)</f>
        <v>0.66743718883146153</v>
      </c>
      <c r="P36" s="17" cm="1">
        <f t="array" ref="P36">INDEX('Model tilvækst, slagteform, fe'!$O$9:$O$375,MATCH(MIN(ABS('Model tilvækst, slagteform, fe'!$M$9:$M$375-G36)),ABS('Model tilvækst, slagteform, fe'!$M$9:$M$375-G36),0))*(1+Forudsætninger!$D$80)</f>
        <v>2.8908410822403514</v>
      </c>
      <c r="Q36" s="17">
        <f t="shared" si="13"/>
        <v>4.940866068986316</v>
      </c>
      <c r="R36" s="17">
        <f t="shared" si="14"/>
        <v>4.9875600732440848</v>
      </c>
      <c r="S36" s="2">
        <f t="shared" si="15"/>
        <v>2.6323464115633315</v>
      </c>
      <c r="T36" s="19">
        <f>(P36)*IF(N36&lt;Forudsætninger!$B$228,IF(N36&lt;Forudsætninger!$B$227,Forudsætninger!$B$225,Forudsætninger!$C$9),Forudsætninger!$C$11)+O36</f>
        <v>7.9234483052547429</v>
      </c>
      <c r="U36" s="2">
        <f>Forudsætninger!$D$68+((K36-(Forudsætninger!$D$84)))*0.01</f>
        <v>5.6511449057793097</v>
      </c>
      <c r="V36" s="2">
        <f>U36+Forudsætninger!$D$69</f>
        <v>5.6511449057793097</v>
      </c>
      <c r="W36">
        <f t="shared" si="1"/>
        <v>0</v>
      </c>
      <c r="X36">
        <f>IF(A36+Forudsætninger!$D$60&gt;248,IF(A36+Forudsætninger!$D$60&lt;365,IF(K36&gt;180,IF(K36&lt;260,1,0),0),0),0)</f>
        <v>0</v>
      </c>
      <c r="Y36" s="22">
        <f>IF(X36=0,0,IF('Vækstfunktion, kry tyr'!A36&lt;Forudsætninger!$D$66,Forudsætninger!$D$67+(('Vækstfunktion, kry tyr'!A36-Forudsætninger!$D$66)/7)*Forudsætninger!$D$64,Forudsætninger!$D$67))</f>
        <v>0</v>
      </c>
      <c r="Z36" s="19">
        <f t="shared" si="20"/>
        <v>707.1894957656117</v>
      </c>
      <c r="AA36" s="19">
        <f>Forudsætninger!$D$62+Forudsætninger!$C$16</f>
        <v>2055</v>
      </c>
      <c r="AB36" s="19">
        <f>IF(K36&gt;Forudsætninger!$C$37,IF(K36&gt;Forudsætninger!$C$38,IF(K36&gt;Forudsætninger!$C$39,Forudsætninger!$E$39,Forudsætninger!$E$38+Forudsætninger!$F$39*(K36-Forudsætninger!$C$38)),Forudsætninger!$E$37+Forudsætninger!$F$38*(K36-Forudsætninger!$C$37)),Forudsætninger!$E$37)+IF(K36&gt;Forudsætninger!$C$39,Forudsætninger!$G$39,IF(K36&gt;Forudsætninger!$C$38,Forudsætninger!$G$38+Forudsætninger!$H$39*(K36-Forudsætninger!$C$38),IF(K36&gt;Forudsætninger!$C$37,Forudsætninger!$G$37+Forudsætninger!$H$38*(K36-Forudsætninger!$C$37),Forudsætninger!$G$37)))*(U36-Forudsætninger!$H$37)</f>
        <v>35.165114490577935</v>
      </c>
      <c r="AC36" s="19">
        <f>IF(K36&gt;Forudsætninger!$C$42,IF(K36&gt;Forudsætninger!$C$43,IF(K36&gt;Forudsætninger!$C$44,Forudsætninger!$E$44,Forudsætninger!$E$43+Forudsætninger!$F$44*(K36-Forudsætninger!$C$43)),Forudsætninger!$E$42+Forudsætninger!$F$43*(K36-Forudsætninger!$C$42)),Forudsætninger!$E$42)+IF(K36&gt;Forudsætninger!$C$44,Forudsætninger!$G$44,IF(K36&gt;Forudsætninger!$C$43,Forudsætninger!$G$43+Forudsætninger!$H$44*(K36-Forudsætninger!$C$43),IF(K36&gt;Forudsætninger!$C$42,Forudsætninger!$G$42+Forudsætninger!$H$43*(K36-Forudsætninger!$C$42),Forudsætninger!$G$42)))*(V36-Forudsætninger!$H$42)</f>
        <v>30.062786226444825</v>
      </c>
      <c r="AD36" s="19">
        <f t="shared" si="2"/>
        <v>1537.8144036238425</v>
      </c>
      <c r="AE36" s="19">
        <f t="shared" si="3"/>
        <v>30.062786226444825</v>
      </c>
      <c r="AF36">
        <f>IF(G36&lt;=Forudsætninger!$C$97,Forudsætninger!$C$98,(IF(G36&lt;=Forudsætninger!$D$97,Forudsætninger!$D$98,IF(G36&lt;=Forudsætninger!$E$97,Forudsætninger!$E$98,IF(G36&lt;=Forudsætninger!$F$97,Forudsætninger!$F$98,IF(G36&lt;=Forudsætninger!$G$97,Forudsætninger!$G$98,IF(G36&lt;=Forudsætninger!$H$97,Forudsætninger!$H$98,IF(G36&lt;=Forudsætninger!$I$97,Forudsætninger!$I$98,Forudsætninger!$I$98))))))))</f>
        <v>2.2000000000000002</v>
      </c>
      <c r="AG36" s="1">
        <f t="shared" si="16"/>
        <v>2.2000000000000002</v>
      </c>
      <c r="AH36" s="1">
        <f t="shared" si="21"/>
        <v>74.80000000000004</v>
      </c>
      <c r="AI36" s="1">
        <f t="shared" si="4"/>
        <v>2.2000000000000011</v>
      </c>
      <c r="AJ36" s="20">
        <f>+(W36*Forudsætninger!$C$12)</f>
        <v>0</v>
      </c>
      <c r="AK36" s="20">
        <f>Forudsætninger!$C$17</f>
        <v>250</v>
      </c>
      <c r="AL36" s="20">
        <f>IF(A36&lt;92,Forudsætninger!$C$20,Forudsætninger!$C$21)</f>
        <v>4.0072859744990899</v>
      </c>
      <c r="AM36" s="20">
        <f t="shared" si="17"/>
        <v>136.24772313296899</v>
      </c>
      <c r="AN36" s="19">
        <f>IFERROR(AD36+AJ36-AA36-Z36-AK36-AM36-Forudsætninger!$D$75,-99999)</f>
        <v>-1828.5147889756984</v>
      </c>
      <c r="AO36" s="57">
        <f>IFERROR(AN36/(A36+Forudsætninger!$D$74),-99999)</f>
        <v>-53.779846734579365</v>
      </c>
      <c r="AP36" s="19">
        <f>IFERROR(((365/(A36+Forudsætninger!$D$74))*AN36)/(AI36+Forudsætninger!$D$73),-99999)</f>
        <v>-8497.6814104421901</v>
      </c>
      <c r="AQ36" s="18">
        <f t="shared" si="22"/>
        <v>34</v>
      </c>
      <c r="AR36" s="18">
        <f t="shared" si="23"/>
        <v>3148.4372188985808</v>
      </c>
      <c r="AS36" s="50">
        <f t="shared" si="24"/>
        <v>2.2000000000000002</v>
      </c>
      <c r="AT36" s="50">
        <f t="shared" si="25"/>
        <v>5.732606276068509</v>
      </c>
      <c r="AU36" s="50">
        <f t="shared" si="26"/>
        <v>1.8034076669893295</v>
      </c>
      <c r="AV36" s="2">
        <f t="shared" si="27"/>
        <v>284.95402530350839</v>
      </c>
      <c r="AW36" s="16">
        <f t="shared" si="19"/>
        <v>-49.772560760080275</v>
      </c>
      <c r="AZ36" s="16"/>
      <c r="BA36" s="2"/>
    </row>
    <row r="37" spans="1:53" x14ac:dyDescent="0.25">
      <c r="A37">
        <v>35</v>
      </c>
      <c r="B37" s="1">
        <f>ROUND((A37+Forudsætninger!$D$60)/30.4,1)</f>
        <v>2.2999999999999998</v>
      </c>
      <c r="C37" s="1">
        <f>VLOOKUP((A37+Forudsætninger!$D$60),'Model tilvækst, slagteform, fe'!A:C,3,FALSE)</f>
        <v>111.68321463718149</v>
      </c>
      <c r="D37" s="3">
        <f t="shared" si="28"/>
        <v>1410.5666054068422</v>
      </c>
      <c r="E37" s="3">
        <f>(1+Forudsætninger!$D$78)*C37</f>
        <v>93.813900295232457</v>
      </c>
      <c r="F37" s="2">
        <f t="shared" si="29"/>
        <v>9.9830917586484222</v>
      </c>
      <c r="G37" s="1">
        <f t="shared" si="8"/>
        <v>103.79699205388089</v>
      </c>
      <c r="H37" s="3">
        <f t="shared" si="9"/>
        <v>1114.3476182714239</v>
      </c>
      <c r="I37" s="3">
        <f t="shared" si="10"/>
        <v>908.48548725373951</v>
      </c>
      <c r="J37" s="1">
        <f>VLOOKUP((A37+Forudsætninger!$D$60),'Model tilvækst, slagteform, fe'!G:K,3,FALSE)*(1+Forudsætninger!$D$79)</f>
        <v>49.850007565410294</v>
      </c>
      <c r="K37" s="17">
        <f t="shared" si="0"/>
        <v>51.742808391527944</v>
      </c>
      <c r="L37" s="17">
        <f t="shared" si="11"/>
        <v>589.38594956216411</v>
      </c>
      <c r="M37" s="3">
        <f>((K37-(('Model tilvækst, slagteform, fe'!$I$9/100)*'Model tilvækst, slagteform, fe'!$C$9))*1000/(A37+Forudsætninger!$D$60))</f>
        <v>435.13399181389303</v>
      </c>
      <c r="N37" s="17">
        <f t="shared" si="12"/>
        <v>83.696048170059854</v>
      </c>
      <c r="O37" s="19">
        <f>IF( A37&lt;Forudsætninger!$C$14,(G37/100)*Forudsætninger!$C$13,(Forudsætninger!$C$15/1000)*Forudsætninger!$C$13)</f>
        <v>0.67468044835022578</v>
      </c>
      <c r="P37" s="17" cm="1">
        <f t="array" ref="P37">INDEX('Model tilvækst, slagteform, fe'!$O$9:$O$375,MATCH(MIN(ABS('Model tilvækst, slagteform, fe'!$M$9:$M$375-G37)),ABS('Model tilvækst, slagteform, fe'!$M$9:$M$375-G37),0))*(1+Forudsætninger!$D$80)</f>
        <v>2.9286991927096735</v>
      </c>
      <c r="Q37" s="17">
        <f t="shared" si="13"/>
        <v>4.9690685617553489</v>
      </c>
      <c r="R37" s="17">
        <f t="shared" si="14"/>
        <v>4.98691069336446</v>
      </c>
      <c r="S37" s="2">
        <f t="shared" si="15"/>
        <v>2.6322001788167442</v>
      </c>
      <c r="T37" s="19">
        <f>(P37)*IF(N37&lt;Forudsætninger!$B$228,IF(N37&lt;Forudsætninger!$B$227,Forudsætninger!$B$225,Forudsætninger!$C$9),Forudsætninger!$C$11)+O37</f>
        <v>8.0257154220515048</v>
      </c>
      <c r="U37" s="2">
        <f>Forudsætninger!$D$68+((K37-(Forudsætninger!$D$84)))*0.01</f>
        <v>5.6570387652749314</v>
      </c>
      <c r="V37" s="2">
        <f>U37+Forudsætninger!$D$69</f>
        <v>5.6570387652749314</v>
      </c>
      <c r="W37">
        <f t="shared" si="1"/>
        <v>0</v>
      </c>
      <c r="X37">
        <f>IF(A37+Forudsætninger!$D$60&gt;248,IF(A37+Forudsætninger!$D$60&lt;365,IF(K37&gt;180,IF(K37&lt;260,1,0),0),0),0)</f>
        <v>0</v>
      </c>
      <c r="Y37" s="22">
        <f>IF(X37=0,0,IF('Vækstfunktion, kry tyr'!A37&lt;Forudsætninger!$D$66,Forudsætninger!$D$67+(('Vækstfunktion, kry tyr'!A37-Forudsætninger!$D$66)/7)*Forudsætninger!$D$64,Forudsætninger!$D$67))</f>
        <v>0</v>
      </c>
      <c r="Z37" s="19">
        <f t="shared" si="20"/>
        <v>715.21521118766316</v>
      </c>
      <c r="AA37" s="19">
        <f>Forudsætninger!$D$62+Forudsætninger!$C$16</f>
        <v>2055</v>
      </c>
      <c r="AB37" s="19">
        <f>IF(K37&gt;Forudsætninger!$C$37,IF(K37&gt;Forudsætninger!$C$38,IF(K37&gt;Forudsætninger!$C$39,Forudsætninger!$E$39,Forudsætninger!$E$38+Forudsætninger!$F$39*(K37-Forudsætninger!$C$38)),Forudsætninger!$E$37+Forudsætninger!$F$38*(K37-Forudsætninger!$C$37)),Forudsætninger!$E$37)+IF(K37&gt;Forudsætninger!$C$39,Forudsætninger!$G$39,IF(K37&gt;Forudsætninger!$C$38,Forudsætninger!$G$38+Forudsætninger!$H$39*(K37-Forudsætninger!$C$38),IF(K37&gt;Forudsætninger!$C$37,Forudsætninger!$G$37+Forudsætninger!$H$38*(K37-Forudsætninger!$C$37),Forudsætninger!$G$37)))*(U37-Forudsætninger!$H$37)</f>
        <v>35.165703876527495</v>
      </c>
      <c r="AC37" s="19">
        <f>IF(K37&gt;Forudsætninger!$C$42,IF(K37&gt;Forudsætninger!$C$43,IF(K37&gt;Forudsætninger!$C$44,Forudsætninger!$E$44,Forudsætninger!$E$43+Forudsætninger!$F$44*(K37-Forudsætninger!$C$43)),Forudsætninger!$E$42+Forudsætninger!$F$43*(K37-Forudsætninger!$C$42)),Forudsætninger!$E$42)+IF(K37&gt;Forudsætninger!$C$44,Forudsætninger!$G$44,IF(K37&gt;Forudsætninger!$C$43,Forudsætninger!$G$43+Forudsætninger!$H$44*(K37-Forudsætninger!$C$43),IF(K37&gt;Forudsætninger!$C$42,Forudsætninger!$G$42+Forudsætninger!$H$43*(K37-Forudsætninger!$C$42),Forudsætninger!$G$42)))*(V37-Forudsætninger!$H$42)</f>
        <v>30.064259691318732</v>
      </c>
      <c r="AD37" s="19">
        <f t="shared" si="2"/>
        <v>1555.6092286410421</v>
      </c>
      <c r="AE37" s="19">
        <f t="shared" si="3"/>
        <v>30.064259691318732</v>
      </c>
      <c r="AF37">
        <f>IF(G37&lt;=Forudsætninger!$C$97,Forudsætninger!$C$98,(IF(G37&lt;=Forudsætninger!$D$97,Forudsætninger!$D$98,IF(G37&lt;=Forudsætninger!$E$97,Forudsætninger!$E$98,IF(G37&lt;=Forudsætninger!$F$97,Forudsætninger!$F$98,IF(G37&lt;=Forudsætninger!$G$97,Forudsætninger!$G$98,IF(G37&lt;=Forudsætninger!$H$97,Forudsætninger!$H$98,IF(G37&lt;=Forudsætninger!$I$97,Forudsætninger!$I$98,Forudsætninger!$I$98))))))))</f>
        <v>2.2000000000000002</v>
      </c>
      <c r="AG37" s="1">
        <f t="shared" si="16"/>
        <v>2.2000000000000002</v>
      </c>
      <c r="AH37" s="1">
        <f t="shared" si="21"/>
        <v>77.000000000000043</v>
      </c>
      <c r="AI37" s="1">
        <f t="shared" si="4"/>
        <v>2.2000000000000011</v>
      </c>
      <c r="AJ37" s="20">
        <f>+(W37*Forudsætninger!$C$12)</f>
        <v>0</v>
      </c>
      <c r="AK37" s="20">
        <f>Forudsætninger!$C$17</f>
        <v>250</v>
      </c>
      <c r="AL37" s="20">
        <f>IF(A37&lt;92,Forudsætninger!$C$20,Forudsætninger!$C$21)</f>
        <v>4.0072859744990899</v>
      </c>
      <c r="AM37" s="20">
        <f t="shared" si="17"/>
        <v>140.25500910746808</v>
      </c>
      <c r="AN37" s="19">
        <f>IFERROR(AD37+AJ37-AA37-Z37-AK37-AM37-Forudsætninger!$D$75,-99999)</f>
        <v>-1822.7529653550494</v>
      </c>
      <c r="AO37" s="57">
        <f>IFERROR(AN37/(A37+Forudsætninger!$D$74),-99999)</f>
        <v>-52.078656153001411</v>
      </c>
      <c r="AP37" s="19">
        <f>IFERROR(((365/(A37+Forudsætninger!$D$74))*AN37)/(AI37+Forudsætninger!$D$73),-99999)</f>
        <v>-8228.8785696300911</v>
      </c>
      <c r="AQ37" s="18">
        <f t="shared" si="22"/>
        <v>35</v>
      </c>
      <c r="AR37" s="18">
        <f t="shared" si="23"/>
        <v>3160.4702202951312</v>
      </c>
      <c r="AS37" s="50">
        <f t="shared" si="24"/>
        <v>2.2999999999999998</v>
      </c>
      <c r="AT37" s="50">
        <f t="shared" si="25"/>
        <v>5.761823620649011</v>
      </c>
      <c r="AU37" s="50">
        <f t="shared" si="26"/>
        <v>1.7011905815779542</v>
      </c>
      <c r="AV37" s="2">
        <f t="shared" si="27"/>
        <v>268.80284081209902</v>
      </c>
      <c r="AW37" s="16">
        <f t="shared" si="19"/>
        <v>-48.07137017850232</v>
      </c>
      <c r="AZ37" s="16"/>
      <c r="BA37" s="2"/>
    </row>
    <row r="38" spans="1:53" x14ac:dyDescent="0.25">
      <c r="A38">
        <v>36</v>
      </c>
      <c r="B38" s="1">
        <f>ROUND((A38+Forudsætninger!$D$60)/30.4,1)</f>
        <v>2.2999999999999998</v>
      </c>
      <c r="C38" s="1">
        <f>VLOOKUP((A38+Forudsætninger!$D$60),'Model tilvækst, slagteform, fe'!A:C,3,FALSE)</f>
        <v>113.10393957666302</v>
      </c>
      <c r="D38" s="3">
        <f t="shared" si="28"/>
        <v>1420.7249394815308</v>
      </c>
      <c r="E38" s="3">
        <f>(1+Forudsætninger!$D$78)*C38</f>
        <v>95.007309244396936</v>
      </c>
      <c r="F38" s="2">
        <f t="shared" si="29"/>
        <v>9.9120555116743461</v>
      </c>
      <c r="G38" s="1">
        <f t="shared" si="8"/>
        <v>104.91936475607127</v>
      </c>
      <c r="H38" s="3">
        <f t="shared" si="9"/>
        <v>1122.3727021903896</v>
      </c>
      <c r="I38" s="3">
        <f t="shared" si="10"/>
        <v>914.42679877975775</v>
      </c>
      <c r="J38" s="1">
        <f>VLOOKUP((A38+Forudsætninger!$D$60),'Model tilvækst, slagteform, fe'!G:K,3,FALSE)*(1+Forudsætninger!$D$79)</f>
        <v>49.882538335061902</v>
      </c>
      <c r="K38" s="17">
        <f t="shared" si="0"/>
        <v>52.336442345350683</v>
      </c>
      <c r="L38" s="17">
        <f t="shared" si="11"/>
        <v>593.6339538227387</v>
      </c>
      <c r="M38" s="3">
        <f>((K38-(('Model tilvækst, slagteform, fe'!$I$9/100)*'Model tilvækst, slagteform, fe'!$C$9))*1000/(A38+Forudsætninger!$D$60))</f>
        <v>437.39827698544798</v>
      </c>
      <c r="N38" s="17">
        <f t="shared" si="12"/>
        <v>86.662582382469608</v>
      </c>
      <c r="O38" s="19">
        <f>IF( A38&lt;Forudsætninger!$C$14,(G38/100)*Forudsætninger!$C$13,(Forudsætninger!$C$15/1000)*Forudsætninger!$C$13)</f>
        <v>0.68197587091446321</v>
      </c>
      <c r="P38" s="17" cm="1">
        <f t="array" ref="P38">INDEX('Model tilvækst, slagteform, fe'!$O$9:$O$375,MATCH(MIN(ABS('Model tilvækst, slagteform, fe'!$M$9:$M$375-G38)),ABS('Model tilvækst, slagteform, fe'!$M$9:$M$375-G38),0))*(1+Forudsætninger!$D$80)</f>
        <v>2.9665342124097585</v>
      </c>
      <c r="Q38" s="17">
        <f t="shared" si="13"/>
        <v>4.9972448396972524</v>
      </c>
      <c r="R38" s="17">
        <f t="shared" si="14"/>
        <v>4.9872637334737817</v>
      </c>
      <c r="S38" s="2">
        <f t="shared" si="15"/>
        <v>2.6325715281758755</v>
      </c>
      <c r="T38" s="19">
        <f>(P38)*IF(N38&lt;Forudsætninger!$B$228,IF(N38&lt;Forudsætninger!$B$227,Forudsætninger!$B$225,Forudsætninger!$C$9),Forudsætninger!$C$11)+O38</f>
        <v>8.1279767440629556</v>
      </c>
      <c r="U38" s="2">
        <f>Forudsætninger!$D$68+((K38-(Forudsætninger!$D$84)))*0.01</f>
        <v>5.6629751048131594</v>
      </c>
      <c r="V38" s="2">
        <f>U38+Forudsætninger!$D$69</f>
        <v>5.6629751048131594</v>
      </c>
      <c r="W38">
        <f t="shared" si="1"/>
        <v>0</v>
      </c>
      <c r="X38">
        <f>IF(A38+Forudsætninger!$D$60&gt;248,IF(A38+Forudsætninger!$D$60&lt;365,IF(K38&gt;180,IF(K38&lt;260,1,0),0),0),0)</f>
        <v>0</v>
      </c>
      <c r="Y38" s="22">
        <f>IF(X38=0,0,IF('Vækstfunktion, kry tyr'!A38&lt;Forudsætninger!$D$66,Forudsætninger!$D$67+(('Vækstfunktion, kry tyr'!A38-Forudsætninger!$D$66)/7)*Forudsætninger!$D$64,Forudsætninger!$D$67))</f>
        <v>0</v>
      </c>
      <c r="Z38" s="19">
        <f t="shared" si="20"/>
        <v>723.34318793172611</v>
      </c>
      <c r="AA38" s="19">
        <f>Forudsætninger!$D$62+Forudsætninger!$C$16</f>
        <v>2055</v>
      </c>
      <c r="AB38" s="19">
        <f>IF(K38&gt;Forudsætninger!$C$37,IF(K38&gt;Forudsætninger!$C$38,IF(K38&gt;Forudsætninger!$C$39,Forudsætninger!$E$39,Forudsætninger!$E$38+Forudsætninger!$F$39*(K38-Forudsætninger!$C$38)),Forudsætninger!$E$37+Forudsætninger!$F$38*(K38-Forudsætninger!$C$37)),Forudsætninger!$E$37)+IF(K38&gt;Forudsætninger!$C$39,Forudsætninger!$G$39,IF(K38&gt;Forudsætninger!$C$38,Forudsætninger!$G$38+Forudsætninger!$H$39*(K38-Forudsætninger!$C$38),IF(K38&gt;Forudsætninger!$C$37,Forudsætninger!$G$37+Forudsætninger!$H$38*(K38-Forudsætninger!$C$37),Forudsætninger!$G$37)))*(U38-Forudsætninger!$H$37)</f>
        <v>35.166297510481314</v>
      </c>
      <c r="AC38" s="19">
        <f>IF(K38&gt;Forudsætninger!$C$42,IF(K38&gt;Forudsætninger!$C$43,IF(K38&gt;Forudsætninger!$C$44,Forudsætninger!$E$44,Forudsætninger!$E$43+Forudsætninger!$F$44*(K38-Forudsætninger!$C$43)),Forudsætninger!$E$42+Forudsætninger!$F$43*(K38-Forudsætninger!$C$42)),Forudsætninger!$E$42)+IF(K38&gt;Forudsætninger!$C$44,Forudsætninger!$G$44,IF(K38&gt;Forudsætninger!$C$43,Forudsætninger!$G$43+Forudsætninger!$H$44*(K38-Forudsætninger!$C$43),IF(K38&gt;Forudsætninger!$C$42,Forudsætninger!$G$42+Forudsætninger!$H$43*(K38-Forudsætninger!$C$42),Forudsætninger!$G$42)))*(V38-Forudsætninger!$H$42)</f>
        <v>30.065743776203288</v>
      </c>
      <c r="AD38" s="19">
        <f t="shared" si="2"/>
        <v>1573.5340657133495</v>
      </c>
      <c r="AE38" s="19">
        <f t="shared" si="3"/>
        <v>30.065743776203288</v>
      </c>
      <c r="AF38">
        <f>IF(G38&lt;=Forudsætninger!$C$97,Forudsætninger!$C$98,(IF(G38&lt;=Forudsætninger!$D$97,Forudsætninger!$D$98,IF(G38&lt;=Forudsætninger!$E$97,Forudsætninger!$E$98,IF(G38&lt;=Forudsætninger!$F$97,Forudsætninger!$F$98,IF(G38&lt;=Forudsætninger!$G$97,Forudsætninger!$G$98,IF(G38&lt;=Forudsætninger!$H$97,Forudsætninger!$H$98,IF(G38&lt;=Forudsætninger!$I$97,Forudsætninger!$I$98,Forudsætninger!$I$98))))))))</f>
        <v>2.2000000000000002</v>
      </c>
      <c r="AG38" s="1">
        <f t="shared" si="16"/>
        <v>2.2000000000000002</v>
      </c>
      <c r="AH38" s="1">
        <f t="shared" si="21"/>
        <v>79.200000000000045</v>
      </c>
      <c r="AI38" s="1">
        <f t="shared" si="4"/>
        <v>2.2000000000000011</v>
      </c>
      <c r="AJ38" s="20">
        <f>+(W38*Forudsætninger!$C$12)</f>
        <v>0</v>
      </c>
      <c r="AK38" s="20">
        <f>Forudsætninger!$C$17</f>
        <v>250</v>
      </c>
      <c r="AL38" s="20">
        <f>IF(A38&lt;92,Forudsætninger!$C$20,Forudsætninger!$C$21)</f>
        <v>4.0072859744990899</v>
      </c>
      <c r="AM38" s="20">
        <f t="shared" si="17"/>
        <v>144.26229508196718</v>
      </c>
      <c r="AN38" s="19">
        <f>IFERROR(AD38+AJ38-AA38-Z38-AK38-AM38-Forudsætninger!$D$75,-99999)</f>
        <v>-1816.9633910013042</v>
      </c>
      <c r="AO38" s="57">
        <f>IFERROR(AN38/(A38+Forudsætninger!$D$74),-99999)</f>
        <v>-50.471205305591781</v>
      </c>
      <c r="AP38" s="19">
        <f>IFERROR(((365/(A38+Forudsætninger!$D$74))*AN38)/(AI38+Forudsætninger!$D$73),-99999)</f>
        <v>-7974.887418416015</v>
      </c>
      <c r="AQ38" s="18">
        <f t="shared" si="22"/>
        <v>36</v>
      </c>
      <c r="AR38" s="18">
        <f t="shared" si="23"/>
        <v>3172.6054830136932</v>
      </c>
      <c r="AS38" s="50">
        <f t="shared" si="24"/>
        <v>2.2999999999999998</v>
      </c>
      <c r="AT38" s="50">
        <f t="shared" si="25"/>
        <v>5.7895743537451381</v>
      </c>
      <c r="AU38" s="50">
        <f t="shared" si="26"/>
        <v>1.6074508474096305</v>
      </c>
      <c r="AV38" s="2">
        <f t="shared" si="27"/>
        <v>253.99115121407613</v>
      </c>
      <c r="AW38" s="16">
        <f t="shared" si="19"/>
        <v>-46.463919331092697</v>
      </c>
      <c r="AZ38" s="16"/>
      <c r="BA38" s="2"/>
    </row>
    <row r="39" spans="1:53" x14ac:dyDescent="0.25">
      <c r="A39">
        <v>37</v>
      </c>
      <c r="B39" s="1">
        <f>ROUND((A39+Forudsætninger!$D$60)/30.4,1)</f>
        <v>2.2999999999999998</v>
      </c>
      <c r="C39" s="1">
        <f>VLOOKUP((A39+Forudsætninger!$D$60),'Model tilvækst, slagteform, fe'!A:C,3,FALSE)</f>
        <v>114.53468728547554</v>
      </c>
      <c r="D39" s="3">
        <f t="shared" si="28"/>
        <v>1430.7477088125183</v>
      </c>
      <c r="E39" s="3">
        <f>(1+Forudsætninger!$D$78)*C39</f>
        <v>96.209137319799453</v>
      </c>
      <c r="F39" s="2">
        <f t="shared" si="29"/>
        <v>9.8405181262337198</v>
      </c>
      <c r="G39" s="1">
        <f t="shared" si="8"/>
        <v>106.04965544603317</v>
      </c>
      <c r="H39" s="3">
        <f t="shared" si="9"/>
        <v>1130.2906899618961</v>
      </c>
      <c r="I39" s="3">
        <f t="shared" si="10"/>
        <v>920.26095800089638</v>
      </c>
      <c r="J39" s="1">
        <f>VLOOKUP((A39+Forudsætninger!$D$60),'Model tilvækst, slagteform, fe'!G:K,3,FALSE)*(1+Forudsætninger!$D$79)</f>
        <v>49.91461257930716</v>
      </c>
      <c r="K39" s="17">
        <f t="shared" si="0"/>
        <v>52.934274657577575</v>
      </c>
      <c r="L39" s="17">
        <f t="shared" si="11"/>
        <v>597.83231222689187</v>
      </c>
      <c r="M39" s="3">
        <f>((K39-(('Model tilvækst, slagteform, fe'!$I$9/100)*'Model tilvækst, slagteform, fe'!$C$9))*1000/(A39+Forudsætninger!$D$60))</f>
        <v>439.65791128462325</v>
      </c>
      <c r="N39" s="17">
        <f t="shared" si="12"/>
        <v>89.666925356618137</v>
      </c>
      <c r="O39" s="19">
        <f>IF( A39&lt;Forudsætninger!$C$14,(G39/100)*Forudsætninger!$C$13,(Forudsætninger!$C$15/1000)*Forudsætninger!$C$13)</f>
        <v>0.68932276039921569</v>
      </c>
      <c r="P39" s="17" cm="1">
        <f t="array" ref="P39">INDEX('Model tilvækst, slagteform, fe'!$O$9:$O$375,MATCH(MIN(ABS('Model tilvækst, slagteform, fe'!$M$9:$M$375-G39)),ABS('Model tilvækst, slagteform, fe'!$M$9:$M$375-G39),0))*(1+Forudsætninger!$D$80)</f>
        <v>3.0043429741485346</v>
      </c>
      <c r="Q39" s="17">
        <f t="shared" si="13"/>
        <v>5.0253940991538668</v>
      </c>
      <c r="R39" s="17">
        <f t="shared" si="14"/>
        <v>4.9885319424828864</v>
      </c>
      <c r="S39" s="2">
        <f t="shared" si="15"/>
        <v>2.6334165260125841</v>
      </c>
      <c r="T39" s="19">
        <f>(P39)*IF(N39&lt;Forudsætninger!$B$228,IF(N39&lt;Forudsætninger!$B$227,Forudsætninger!$B$225,Forudsætninger!$C$9),Forudsætninger!$C$11)+O39</f>
        <v>8.2302236255120373</v>
      </c>
      <c r="U39" s="2">
        <f>Forudsætninger!$D$68+((K39-(Forudsætninger!$D$84)))*0.01</f>
        <v>5.6689534279354277</v>
      </c>
      <c r="V39" s="2">
        <f>U39+Forudsætninger!$D$69</f>
        <v>5.6689534279354277</v>
      </c>
      <c r="W39">
        <f t="shared" si="1"/>
        <v>0</v>
      </c>
      <c r="X39">
        <f>IF(A39+Forudsætninger!$D$60&gt;248,IF(A39+Forudsætninger!$D$60&lt;365,IF(K39&gt;180,IF(K39&lt;260,1,0),0),0),0)</f>
        <v>0</v>
      </c>
      <c r="Y39" s="22">
        <f>IF(X39=0,0,IF('Vækstfunktion, kry tyr'!A39&lt;Forudsætninger!$D$66,Forudsætninger!$D$67+(('Vækstfunktion, kry tyr'!A39-Forudsætninger!$D$66)/7)*Forudsætninger!$D$64,Forudsætninger!$D$67))</f>
        <v>0</v>
      </c>
      <c r="Z39" s="19">
        <f t="shared" si="20"/>
        <v>731.57341155723816</v>
      </c>
      <c r="AA39" s="19">
        <f>Forudsætninger!$D$62+Forudsætninger!$C$16</f>
        <v>2055</v>
      </c>
      <c r="AB39" s="19">
        <f>IF(K39&gt;Forudsætninger!$C$37,IF(K39&gt;Forudsætninger!$C$38,IF(K39&gt;Forudsætninger!$C$39,Forudsætninger!$E$39,Forudsætninger!$E$38+Forudsætninger!$F$39*(K39-Forudsætninger!$C$38)),Forudsætninger!$E$37+Forudsætninger!$F$38*(K39-Forudsætninger!$C$37)),Forudsætninger!$E$37)+IF(K39&gt;Forudsætninger!$C$39,Forudsætninger!$G$39,IF(K39&gt;Forudsætninger!$C$38,Forudsætninger!$G$38+Forudsætninger!$H$39*(K39-Forudsætninger!$C$38),IF(K39&gt;Forudsætninger!$C$37,Forudsætninger!$G$37+Forudsætninger!$H$38*(K39-Forudsætninger!$C$37),Forudsætninger!$G$37)))*(U39-Forudsætninger!$H$37)</f>
        <v>35.166895342793545</v>
      </c>
      <c r="AC39" s="19">
        <f>IF(K39&gt;Forudsætninger!$C$42,IF(K39&gt;Forudsætninger!$C$43,IF(K39&gt;Forudsætninger!$C$44,Forudsætninger!$E$44,Forudsætninger!$E$43+Forudsætninger!$F$44*(K39-Forudsætninger!$C$43)),Forudsætninger!$E$42+Forudsætninger!$F$43*(K39-Forudsætninger!$C$42)),Forudsætninger!$E$42)+IF(K39&gt;Forudsætninger!$C$44,Forudsætninger!$G$44,IF(K39&gt;Forudsætninger!$C$43,Forudsætninger!$G$43+Forudsætninger!$H$44*(K39-Forudsætninger!$C$43),IF(K39&gt;Forudsætninger!$C$42,Forudsætninger!$G$42+Forudsætninger!$H$43*(K39-Forudsætninger!$C$42),Forudsætninger!$G$42)))*(V39-Forudsætninger!$H$42)</f>
        <v>30.067238356983857</v>
      </c>
      <c r="AD39" s="19">
        <f t="shared" si="2"/>
        <v>1591.5874533834351</v>
      </c>
      <c r="AE39" s="19">
        <f t="shared" si="3"/>
        <v>30.067238356983861</v>
      </c>
      <c r="AF39">
        <f>IF(G39&lt;=Forudsætninger!$C$97,Forudsætninger!$C$98,(IF(G39&lt;=Forudsætninger!$D$97,Forudsætninger!$D$98,IF(G39&lt;=Forudsætninger!$E$97,Forudsætninger!$E$98,IF(G39&lt;=Forudsætninger!$F$97,Forudsætninger!$F$98,IF(G39&lt;=Forudsætninger!$G$97,Forudsætninger!$G$98,IF(G39&lt;=Forudsætninger!$H$97,Forudsætninger!$H$98,IF(G39&lt;=Forudsætninger!$I$97,Forudsætninger!$I$98,Forudsætninger!$I$98))))))))</f>
        <v>2.2000000000000002</v>
      </c>
      <c r="AG39" s="1">
        <f t="shared" si="16"/>
        <v>2.2000000000000002</v>
      </c>
      <c r="AH39" s="1">
        <f t="shared" si="21"/>
        <v>81.400000000000048</v>
      </c>
      <c r="AI39" s="1">
        <f t="shared" si="4"/>
        <v>2.2000000000000015</v>
      </c>
      <c r="AJ39" s="20">
        <f>+(W39*Forudsætninger!$C$12)</f>
        <v>0</v>
      </c>
      <c r="AK39" s="20">
        <f>Forudsætninger!$C$17</f>
        <v>250</v>
      </c>
      <c r="AL39" s="20">
        <f>IF(A39&lt;92,Forudsætninger!$C$20,Forudsætninger!$C$21)</f>
        <v>4.0072859744990899</v>
      </c>
      <c r="AM39" s="20">
        <f t="shared" si="17"/>
        <v>148.26958105646628</v>
      </c>
      <c r="AN39" s="19">
        <f>IFERROR(AD39+AJ39-AA39-Z39-AK39-AM39-Forudsætninger!$D$75,-99999)</f>
        <v>-1811.1475129312296</v>
      </c>
      <c r="AO39" s="57">
        <f>IFERROR(AN39/(A39+Forudsætninger!$D$74),-99999)</f>
        <v>-48.949932781925121</v>
      </c>
      <c r="AP39" s="19">
        <f>IFERROR(((365/(A39+Forudsætninger!$D$74))*AN39)/(AI39+Forudsætninger!$D$73),-99999)</f>
        <v>-7734.5131884859993</v>
      </c>
      <c r="AQ39" s="18">
        <f t="shared" si="22"/>
        <v>37</v>
      </c>
      <c r="AR39" s="18">
        <f t="shared" si="23"/>
        <v>3184.8429926137046</v>
      </c>
      <c r="AS39" s="50">
        <f t="shared" si="24"/>
        <v>2.2999999999999998</v>
      </c>
      <c r="AT39" s="50">
        <f t="shared" si="25"/>
        <v>5.815878070074632</v>
      </c>
      <c r="AU39" s="50">
        <f t="shared" si="26"/>
        <v>1.52127252366666</v>
      </c>
      <c r="AV39" s="2">
        <f t="shared" si="27"/>
        <v>240.37422993001564</v>
      </c>
      <c r="AW39" s="16">
        <f t="shared" si="19"/>
        <v>-44.942646807426037</v>
      </c>
      <c r="AZ39" s="16"/>
      <c r="BA39" s="2"/>
    </row>
    <row r="40" spans="1:53" x14ac:dyDescent="0.25">
      <c r="A40">
        <v>38</v>
      </c>
      <c r="B40" s="1">
        <f>ROUND((A40+Forudsætninger!$D$60)/30.4,1)</f>
        <v>2.4</v>
      </c>
      <c r="C40" s="1">
        <f>VLOOKUP((A40+Forudsætninger!$D$60),'Model tilvækst, slagteform, fe'!A:C,3,FALSE)</f>
        <v>115.97532281981204</v>
      </c>
      <c r="D40" s="3">
        <f t="shared" si="28"/>
        <v>1440.6355343364935</v>
      </c>
      <c r="E40" s="3">
        <f>(1+Forudsætninger!$D$78)*C40</f>
        <v>97.419271168642112</v>
      </c>
      <c r="F40" s="2">
        <f t="shared" si="29"/>
        <v>9.7684863495168948</v>
      </c>
      <c r="G40" s="1">
        <f t="shared" si="8"/>
        <v>107.187757518159</v>
      </c>
      <c r="H40" s="3">
        <f t="shared" si="9"/>
        <v>1138.1020721258324</v>
      </c>
      <c r="I40" s="3">
        <f t="shared" si="10"/>
        <v>925.993618898921</v>
      </c>
      <c r="J40" s="1">
        <f>VLOOKUP((A40+Forudsætninger!$D$60),'Model tilvækst, slagteform, fe'!G:K,3,FALSE)*(1+Forudsætninger!$D$79)</f>
        <v>49.946241352259165</v>
      </c>
      <c r="K40" s="17">
        <f t="shared" si="0"/>
        <v>53.536256070094012</v>
      </c>
      <c r="L40" s="17">
        <f t="shared" si="11"/>
        <v>601.98141251643733</v>
      </c>
      <c r="M40" s="3">
        <f>((K40-(('Model tilvækst, slagteform, fe'!$I$9/100)*'Model tilvækst, slagteform, fe'!$C$9))*1000/(A40+Forudsætninger!$D$60))</f>
        <v>441.9124043572873</v>
      </c>
      <c r="N40" s="17">
        <f t="shared" si="12"/>
        <v>92.709047667352067</v>
      </c>
      <c r="O40" s="19">
        <f>IF( A40&lt;Forudsætninger!$C$14,(G40/100)*Forudsætninger!$C$13,(Forudsætninger!$C$15/1000)*Forudsætninger!$C$13)</f>
        <v>0.69672042386803357</v>
      </c>
      <c r="P40" s="17" cm="1">
        <f t="array" ref="P40">INDEX('Model tilvækst, slagteform, fe'!$O$9:$O$375,MATCH(MIN(ABS('Model tilvækst, slagteform, fe'!$M$9:$M$375-G40)),ABS('Model tilvækst, slagteform, fe'!$M$9:$M$375-G40),0))*(1+Forudsætninger!$D$80)</f>
        <v>3.0421223107339319</v>
      </c>
      <c r="Q40" s="17">
        <f t="shared" si="13"/>
        <v>5.0535153536004991</v>
      </c>
      <c r="R40" s="17">
        <f t="shared" si="14"/>
        <v>4.9906377540849647</v>
      </c>
      <c r="S40" s="2">
        <f t="shared" si="15"/>
        <v>2.6346961047321247</v>
      </c>
      <c r="T40" s="19">
        <f>(P40)*IF(N40&lt;Forudsætninger!$B$228,IF(N40&lt;Forudsætninger!$B$227,Forudsætninger!$B$225,Forudsætninger!$C$9),Forudsætninger!$C$11)+O40</f>
        <v>8.3324474238102013</v>
      </c>
      <c r="U40" s="2">
        <f>Forudsætninger!$D$68+((K40-(Forudsætninger!$D$84)))*0.01</f>
        <v>5.6749732420605925</v>
      </c>
      <c r="V40" s="2">
        <f>U40+Forudsætninger!$D$69</f>
        <v>5.6749732420605925</v>
      </c>
      <c r="W40">
        <f t="shared" si="1"/>
        <v>0</v>
      </c>
      <c r="X40">
        <f>IF(A40+Forudsætninger!$D$60&gt;248,IF(A40+Forudsætninger!$D$60&lt;365,IF(K40&gt;180,IF(K40&lt;260,1,0),0),0),0)</f>
        <v>0</v>
      </c>
      <c r="Y40" s="22">
        <f>IF(X40=0,0,IF('Vækstfunktion, kry tyr'!A40&lt;Forudsætninger!$D$66,Forudsætninger!$D$67+(('Vækstfunktion, kry tyr'!A40-Forudsætninger!$D$66)/7)*Forudsætninger!$D$64,Forudsætninger!$D$67))</f>
        <v>0</v>
      </c>
      <c r="Z40" s="19">
        <f t="shared" si="20"/>
        <v>739.90585898104837</v>
      </c>
      <c r="AA40" s="19">
        <f>Forudsætninger!$D$62+Forudsætninger!$C$16</f>
        <v>2055</v>
      </c>
      <c r="AB40" s="19">
        <f>IF(K40&gt;Forudsætninger!$C$37,IF(K40&gt;Forudsætninger!$C$38,IF(K40&gt;Forudsætninger!$C$39,Forudsætninger!$E$39,Forudsætninger!$E$38+Forudsætninger!$F$39*(K40-Forudsætninger!$C$38)),Forudsætninger!$E$37+Forudsætninger!$F$38*(K40-Forudsætninger!$C$37)),Forudsætninger!$E$37)+IF(K40&gt;Forudsætninger!$C$39,Forudsætninger!$G$39,IF(K40&gt;Forudsætninger!$C$38,Forudsætninger!$G$38+Forudsætninger!$H$39*(K40-Forudsætninger!$C$38),IF(K40&gt;Forudsætninger!$C$37,Forudsætninger!$G$37+Forudsætninger!$H$38*(K40-Forudsætninger!$C$37),Forudsætninger!$G$37)))*(U40-Forudsætninger!$H$37)</f>
        <v>35.16749732420606</v>
      </c>
      <c r="AC40" s="19">
        <f>IF(K40&gt;Forudsætninger!$C$42,IF(K40&gt;Forudsætninger!$C$43,IF(K40&gt;Forudsætninger!$C$44,Forudsætninger!$E$44,Forudsætninger!$E$43+Forudsætninger!$F$44*(K40-Forudsætninger!$C$43)),Forudsætninger!$E$42+Forudsætninger!$F$43*(K40-Forudsætninger!$C$42)),Forudsætninger!$E$42)+IF(K40&gt;Forudsætninger!$C$44,Forudsætninger!$G$44,IF(K40&gt;Forudsætninger!$C$43,Forudsætninger!$G$43+Forudsætninger!$H$44*(K40-Forudsætninger!$C$43),IF(K40&gt;Forudsætninger!$C$42,Forudsætninger!$G$42+Forudsætninger!$H$43*(K40-Forudsætninger!$C$42),Forudsætninger!$G$42)))*(V40-Forudsætninger!$H$42)</f>
        <v>30.068743310515146</v>
      </c>
      <c r="AD40" s="19">
        <f t="shared" si="2"/>
        <v>1609.7679415776652</v>
      </c>
      <c r="AE40" s="19">
        <f t="shared" si="3"/>
        <v>30.068743310515146</v>
      </c>
      <c r="AF40">
        <f>IF(G40&lt;=Forudsætninger!$C$97,Forudsætninger!$C$98,(IF(G40&lt;=Forudsætninger!$D$97,Forudsætninger!$D$98,IF(G40&lt;=Forudsætninger!$E$97,Forudsætninger!$E$98,IF(G40&lt;=Forudsætninger!$F$97,Forudsætninger!$F$98,IF(G40&lt;=Forudsætninger!$G$97,Forudsætninger!$G$98,IF(G40&lt;=Forudsætninger!$H$97,Forudsætninger!$H$98,IF(G40&lt;=Forudsætninger!$I$97,Forudsætninger!$I$98,Forudsætninger!$I$98))))))))</f>
        <v>2.2000000000000002</v>
      </c>
      <c r="AG40" s="1">
        <f t="shared" si="16"/>
        <v>2.2000000000000002</v>
      </c>
      <c r="AH40" s="1">
        <f t="shared" si="21"/>
        <v>83.600000000000051</v>
      </c>
      <c r="AI40" s="1">
        <f t="shared" si="4"/>
        <v>2.2000000000000015</v>
      </c>
      <c r="AJ40" s="20">
        <f>+(W40*Forudsætninger!$C$12)</f>
        <v>0</v>
      </c>
      <c r="AK40" s="20">
        <f>Forudsætninger!$C$17</f>
        <v>250</v>
      </c>
      <c r="AL40" s="20">
        <f>IF(A40&lt;92,Forudsætninger!$C$20,Forudsætninger!$C$21)</f>
        <v>4.0072859744990899</v>
      </c>
      <c r="AM40" s="20">
        <f t="shared" si="17"/>
        <v>152.27686703096538</v>
      </c>
      <c r="AN40" s="19">
        <f>IFERROR(AD40+AJ40-AA40-Z40-AK40-AM40-Forudsætninger!$D$75,-99999)</f>
        <v>-1805.3067581353089</v>
      </c>
      <c r="AO40" s="57">
        <f>IFERROR(AN40/(A40+Forudsætninger!$D$74),-99999)</f>
        <v>-47.508072582508127</v>
      </c>
      <c r="AP40" s="19">
        <f>IFERROR(((365/(A40+Forudsætninger!$D$74))*AN40)/(AI40+Forudsætninger!$D$73),-99999)</f>
        <v>-7506.6867933400235</v>
      </c>
      <c r="AQ40" s="18">
        <f t="shared" si="22"/>
        <v>38</v>
      </c>
      <c r="AR40" s="18">
        <f t="shared" si="23"/>
        <v>3197.1827260120135</v>
      </c>
      <c r="AS40" s="50">
        <f t="shared" si="24"/>
        <v>2.4</v>
      </c>
      <c r="AT40" s="50">
        <f t="shared" si="25"/>
        <v>5.8407547959207022</v>
      </c>
      <c r="AU40" s="50">
        <f t="shared" si="26"/>
        <v>1.4418601994169933</v>
      </c>
      <c r="AV40" s="2">
        <f t="shared" si="27"/>
        <v>227.82639514597577</v>
      </c>
      <c r="AW40" s="16">
        <f t="shared" si="19"/>
        <v>-43.500786608009037</v>
      </c>
      <c r="AZ40" s="16"/>
      <c r="BA40" s="2"/>
    </row>
    <row r="41" spans="1:53" x14ac:dyDescent="0.25">
      <c r="A41">
        <v>39</v>
      </c>
      <c r="B41" s="1">
        <f>ROUND((A41+Forudsætninger!$D$60)/30.4,1)</f>
        <v>2.4</v>
      </c>
      <c r="C41" s="1">
        <f>VLOOKUP((A41+Forudsætninger!$D$60),'Model tilvækst, slagteform, fe'!A:C,3,FALSE)</f>
        <v>117.42571185680205</v>
      </c>
      <c r="D41" s="3">
        <f t="shared" si="28"/>
        <v>1450.3890369900178</v>
      </c>
      <c r="E41" s="3">
        <f>(1+Forudsætninger!$D$78)*C41</f>
        <v>98.637597959713716</v>
      </c>
      <c r="F41" s="2">
        <f t="shared" si="29"/>
        <v>9.6959668976673932</v>
      </c>
      <c r="G41" s="1">
        <f t="shared" si="8"/>
        <v>108.33356485738111</v>
      </c>
      <c r="H41" s="3">
        <f t="shared" si="9"/>
        <v>1145.8073392221024</v>
      </c>
      <c r="I41" s="3">
        <f t="shared" si="10"/>
        <v>931.62986813797704</v>
      </c>
      <c r="J41" s="1">
        <f>VLOOKUP((A41+Forudsætninger!$D$60),'Model tilvækst, slagteform, fe'!G:K,3,FALSE)*(1+Forudsætninger!$D$79)</f>
        <v>49.977435708030995</v>
      </c>
      <c r="K41" s="17">
        <f t="shared" si="0"/>
        <v>54.142337726815697</v>
      </c>
      <c r="L41" s="17">
        <f t="shared" si="11"/>
        <v>606.08165672168468</v>
      </c>
      <c r="M41" s="3">
        <f>((K41-(('Model tilvækst, slagteform, fe'!$I$9/100)*'Model tilvækst, slagteform, fe'!$C$9))*1000/(A41+Forudsætninger!$D$60))</f>
        <v>444.1612982252928</v>
      </c>
      <c r="N41" s="17">
        <f t="shared" si="12"/>
        <v>95.788916722325951</v>
      </c>
      <c r="O41" s="19">
        <f>IF( A41&lt;Forudsætninger!$C$14,(G41/100)*Forudsætninger!$C$13,(Forudsætninger!$C$15/1000)*Forudsætninger!$C$13)</f>
        <v>0.70416817157297718</v>
      </c>
      <c r="P41" s="17" cm="1">
        <f t="array" ref="P41">INDEX('Model tilvækst, slagteform, fe'!$O$9:$O$375,MATCH(MIN(ABS('Model tilvækst, slagteform, fe'!$M$9:$M$375-G41)),ABS('Model tilvækst, slagteform, fe'!$M$9:$M$375-G41),0))*(1+Forudsætninger!$D$80)</f>
        <v>3.0798690549738788</v>
      </c>
      <c r="Q41" s="17">
        <f t="shared" si="13"/>
        <v>5.0816074382336369</v>
      </c>
      <c r="R41" s="17">
        <f t="shared" si="14"/>
        <v>4.9935119651696365</v>
      </c>
      <c r="S41" s="2">
        <f t="shared" si="15"/>
        <v>2.6363754037987435</v>
      </c>
      <c r="T41" s="19">
        <f>(P41)*IF(N41&lt;Forudsætninger!$B$228,IF(N41&lt;Forudsætninger!$B$227,Forudsætninger!$B$225,Forudsætninger!$C$9),Forudsætninger!$C$11)+O41</f>
        <v>8.4346394995574112</v>
      </c>
      <c r="U41" s="2">
        <f>Forudsætninger!$D$68+((K41-(Forudsætninger!$D$84)))*0.01</f>
        <v>5.6810340586278087</v>
      </c>
      <c r="V41" s="2">
        <f>U41+Forudsætninger!$D$69</f>
        <v>5.6810340586278087</v>
      </c>
      <c r="W41">
        <f t="shared" si="1"/>
        <v>0</v>
      </c>
      <c r="X41">
        <f>IF(A41+Forudsætninger!$D$60&gt;248,IF(A41+Forudsætninger!$D$60&lt;365,IF(K41&gt;180,IF(K41&lt;260,1,0),0),0),0)</f>
        <v>0</v>
      </c>
      <c r="Y41" s="22">
        <f>IF(X41=0,0,IF('Vækstfunktion, kry tyr'!A41&lt;Forudsætninger!$D$66,Forudsætninger!$D$67+(('Vækstfunktion, kry tyr'!A41-Forudsætninger!$D$66)/7)*Forudsætninger!$D$64,Forudsætninger!$D$67))</f>
        <v>0</v>
      </c>
      <c r="Z41" s="19">
        <f t="shared" si="20"/>
        <v>748.34049848060579</v>
      </c>
      <c r="AA41" s="19">
        <f>Forudsætninger!$D$62+Forudsætninger!$C$16</f>
        <v>2055</v>
      </c>
      <c r="AB41" s="19">
        <f>IF(K41&gt;Forudsætninger!$C$37,IF(K41&gt;Forudsætninger!$C$38,IF(K41&gt;Forudsætninger!$C$39,Forudsætninger!$E$39,Forudsætninger!$E$38+Forudsætninger!$F$39*(K41-Forudsætninger!$C$38)),Forudsætninger!$E$37+Forudsætninger!$F$38*(K41-Forudsætninger!$C$37)),Forudsætninger!$E$37)+IF(K41&gt;Forudsætninger!$C$39,Forudsætninger!$G$39,IF(K41&gt;Forudsætninger!$C$38,Forudsætninger!$G$38+Forudsætninger!$H$39*(K41-Forudsætninger!$C$38),IF(K41&gt;Forudsætninger!$C$37,Forudsætninger!$G$37+Forudsætninger!$H$38*(K41-Forudsætninger!$C$37),Forudsætninger!$G$37)))*(U41-Forudsætninger!$H$37)</f>
        <v>35.16810340586278</v>
      </c>
      <c r="AC41" s="19">
        <f>IF(K41&gt;Forudsætninger!$C$42,IF(K41&gt;Forudsætninger!$C$43,IF(K41&gt;Forudsætninger!$C$44,Forudsætninger!$E$44,Forudsætninger!$E$43+Forudsætninger!$F$44*(K41-Forudsætninger!$C$43)),Forudsætninger!$E$42+Forudsætninger!$F$43*(K41-Forudsætninger!$C$42)),Forudsætninger!$E$42)+IF(K41&gt;Forudsætninger!$C$44,Forudsætninger!$G$44,IF(K41&gt;Forudsætninger!$C$43,Forudsætninger!$G$43+Forudsætninger!$H$44*(K41-Forudsætninger!$C$43),IF(K41&gt;Forudsætninger!$C$42,Forudsætninger!$G$42+Forudsætninger!$H$43*(K41-Forudsætninger!$C$42),Forudsætninger!$G$42)))*(V41-Forudsætninger!$H$42)</f>
        <v>30.070258514656949</v>
      </c>
      <c r="AD41" s="19">
        <f t="shared" si="2"/>
        <v>1628.0740920332119</v>
      </c>
      <c r="AE41" s="19">
        <f t="shared" si="3"/>
        <v>30.070258514656949</v>
      </c>
      <c r="AF41">
        <f>IF(G41&lt;=Forudsætninger!$C$97,Forudsætninger!$C$98,(IF(G41&lt;=Forudsætninger!$D$97,Forudsætninger!$D$98,IF(G41&lt;=Forudsætninger!$E$97,Forudsætninger!$E$98,IF(G41&lt;=Forudsætninger!$F$97,Forudsætninger!$F$98,IF(G41&lt;=Forudsætninger!$G$97,Forudsætninger!$G$98,IF(G41&lt;=Forudsætninger!$H$97,Forudsætninger!$H$98,IF(G41&lt;=Forudsætninger!$I$97,Forudsætninger!$I$98,Forudsætninger!$I$98))))))))</f>
        <v>2.2000000000000002</v>
      </c>
      <c r="AG41" s="1">
        <f t="shared" si="16"/>
        <v>2.2000000000000002</v>
      </c>
      <c r="AH41" s="1">
        <f t="shared" si="21"/>
        <v>85.800000000000054</v>
      </c>
      <c r="AI41" s="1">
        <f t="shared" si="4"/>
        <v>2.2000000000000015</v>
      </c>
      <c r="AJ41" s="20">
        <f>+(W41*Forudsætninger!$C$12)</f>
        <v>0</v>
      </c>
      <c r="AK41" s="20">
        <f>Forudsætninger!$C$17</f>
        <v>250</v>
      </c>
      <c r="AL41" s="20">
        <f>IF(A41&lt;92,Forudsætninger!$C$20,Forudsætninger!$C$21)</f>
        <v>4.0072859744990899</v>
      </c>
      <c r="AM41" s="20">
        <f t="shared" si="17"/>
        <v>156.28415300546447</v>
      </c>
      <c r="AN41" s="19">
        <f>IFERROR(AD41+AJ41-AA41-Z41-AK41-AM41-Forudsætninger!$D$75,-99999)</f>
        <v>-1799.4425331538187</v>
      </c>
      <c r="AO41" s="57">
        <f>IFERROR(AN41/(A41+Forudsætninger!$D$74),-99999)</f>
        <v>-46.139552132149198</v>
      </c>
      <c r="AP41" s="19">
        <f>IFERROR(((365/(A41+Forudsætninger!$D$74))*AN41)/(AI41+Forudsætninger!$D$73),-99999)</f>
        <v>-7290.4487135214067</v>
      </c>
      <c r="AQ41" s="18">
        <f t="shared" si="22"/>
        <v>39</v>
      </c>
      <c r="AR41" s="18">
        <f t="shared" si="23"/>
        <v>3209.62465148607</v>
      </c>
      <c r="AS41" s="50">
        <f t="shared" si="24"/>
        <v>2.4</v>
      </c>
      <c r="AT41" s="50">
        <f t="shared" si="25"/>
        <v>5.8642249814902243</v>
      </c>
      <c r="AU41" s="50">
        <f t="shared" si="26"/>
        <v>1.368520450358929</v>
      </c>
      <c r="AV41" s="2">
        <f t="shared" si="27"/>
        <v>216.23807981861682</v>
      </c>
      <c r="AW41" s="16">
        <f t="shared" si="19"/>
        <v>-42.132266157650108</v>
      </c>
      <c r="AZ41" s="16"/>
      <c r="BA41" s="2"/>
    </row>
    <row r="42" spans="1:53" x14ac:dyDescent="0.25">
      <c r="A42">
        <v>40</v>
      </c>
      <c r="B42" s="1">
        <f>ROUND((A42+Forudsætninger!$D$60)/30.4,1)</f>
        <v>2.4</v>
      </c>
      <c r="C42" s="1">
        <f>VLOOKUP((A42+Forudsætninger!$D$60),'Model tilvækst, slagteform, fe'!A:C,3,FALSE)</f>
        <v>118.88572069451182</v>
      </c>
      <c r="D42" s="3">
        <f t="shared" si="28"/>
        <v>1460.008837709765</v>
      </c>
      <c r="E42" s="3">
        <f>(1+Forudsætninger!$D$78)*C42</f>
        <v>99.864005383389923</v>
      </c>
      <c r="F42" s="2">
        <f t="shared" si="29"/>
        <v>9.6229664557819046</v>
      </c>
      <c r="G42" s="1">
        <f t="shared" si="8"/>
        <v>109.48697183917183</v>
      </c>
      <c r="H42" s="3">
        <f t="shared" si="9"/>
        <v>1153.4069817907239</v>
      </c>
      <c r="I42" s="3">
        <f t="shared" si="10"/>
        <v>937.17429597929572</v>
      </c>
      <c r="J42" s="1">
        <f>VLOOKUP((A42+Forudsætninger!$D$60),'Model tilvækst, slagteform, fe'!G:K,3,FALSE)*(1+Forudsætninger!$D$79)</f>
        <v>50.008206700735727</v>
      </c>
      <c r="K42" s="17">
        <f t="shared" si="0"/>
        <v>54.752471187709361</v>
      </c>
      <c r="L42" s="17">
        <f t="shared" si="11"/>
        <v>610.13346089366394</v>
      </c>
      <c r="M42" s="3">
        <f>((K42-(('Model tilvækst, slagteform, fe'!$I$9/100)*'Model tilvækst, slagteform, fe'!$C$9))*1000/(A42+Forudsætninger!$D$60))</f>
        <v>446.40416528837886</v>
      </c>
      <c r="N42" s="17">
        <f t="shared" si="12"/>
        <v>98.906496762002249</v>
      </c>
      <c r="O42" s="19">
        <f>IF( A42&lt;Forudsætninger!$C$14,(G42/100)*Forudsætninger!$C$13,(Forudsætninger!$C$15/1000)*Forudsætninger!$C$13)</f>
        <v>0.71166531695461688</v>
      </c>
      <c r="P42" s="17" cm="1">
        <f t="array" ref="P42">INDEX('Model tilvækst, slagteform, fe'!$O$9:$O$375,MATCH(MIN(ABS('Model tilvækst, slagteform, fe'!$M$9:$M$375-G42)),ABS('Model tilvækst, slagteform, fe'!$M$9:$M$375-G42),0))*(1+Forudsætninger!$D$80)</f>
        <v>3.1175800396763038</v>
      </c>
      <c r="Q42" s="17">
        <f t="shared" si="13"/>
        <v>5.1096690142349788</v>
      </c>
      <c r="R42" s="17">
        <f t="shared" si="14"/>
        <v>4.9970926244171814</v>
      </c>
      <c r="S42" s="2">
        <f t="shared" si="15"/>
        <v>2.6384232150394817</v>
      </c>
      <c r="T42" s="19">
        <f>(P42)*IF(N42&lt;Forudsætninger!$B$228,IF(N42&lt;Forudsætninger!$B$227,Forudsætninger!$B$225,Forudsætninger!$C$9),Forudsætninger!$C$11)+O42</f>
        <v>8.536791216542138</v>
      </c>
      <c r="U42" s="2">
        <f>Forudsætninger!$D$68+((K42-(Forudsætninger!$D$84)))*0.01</f>
        <v>5.6871353932367459</v>
      </c>
      <c r="V42" s="2">
        <f>U42+Forudsætninger!$D$69</f>
        <v>5.6871353932367459</v>
      </c>
      <c r="W42">
        <f t="shared" si="1"/>
        <v>0</v>
      </c>
      <c r="X42">
        <f>IF(A42+Forudsætninger!$D$60&gt;248,IF(A42+Forudsætninger!$D$60&lt;365,IF(K42&gt;180,IF(K42&lt;260,1,0),0),0),0)</f>
        <v>0</v>
      </c>
      <c r="Y42" s="22">
        <f>IF(X42=0,0,IF('Vækstfunktion, kry tyr'!A42&lt;Forudsætninger!$D$66,Forudsætninger!$D$67+(('Vækstfunktion, kry tyr'!A42-Forudsætninger!$D$66)/7)*Forudsætninger!$D$64,Forudsætninger!$D$67))</f>
        <v>0</v>
      </c>
      <c r="Z42" s="19">
        <f t="shared" si="20"/>
        <v>756.87728969714794</v>
      </c>
      <c r="AA42" s="19">
        <f>Forudsætninger!$D$62+Forudsætninger!$C$16</f>
        <v>2055</v>
      </c>
      <c r="AB42" s="19">
        <f>IF(K42&gt;Forudsætninger!$C$37,IF(K42&gt;Forudsætninger!$C$38,IF(K42&gt;Forudsætninger!$C$39,Forudsætninger!$E$39,Forudsætninger!$E$38+Forudsætninger!$F$39*(K42-Forudsætninger!$C$38)),Forudsætninger!$E$37+Forudsætninger!$F$38*(K42-Forudsætninger!$C$37)),Forudsætninger!$E$37)+IF(K42&gt;Forudsætninger!$C$39,Forudsætninger!$G$39,IF(K42&gt;Forudsætninger!$C$38,Forudsætninger!$G$38+Forudsætninger!$H$39*(K42-Forudsætninger!$C$38),IF(K42&gt;Forudsætninger!$C$37,Forudsætninger!$G$37+Forudsætninger!$H$38*(K42-Forudsætninger!$C$37),Forudsætninger!$G$37)))*(U42-Forudsætninger!$H$37)</f>
        <v>35.168713539323676</v>
      </c>
      <c r="AC42" s="19">
        <f>IF(K42&gt;Forudsætninger!$C$42,IF(K42&gt;Forudsætninger!$C$43,IF(K42&gt;Forudsætninger!$C$44,Forudsætninger!$E$44,Forudsætninger!$E$43+Forudsætninger!$F$44*(K42-Forudsætninger!$C$43)),Forudsætninger!$E$42+Forudsætninger!$F$43*(K42-Forudsætninger!$C$42)),Forudsætninger!$E$42)+IF(K42&gt;Forudsætninger!$C$44,Forudsætninger!$G$44,IF(K42&gt;Forudsætninger!$C$43,Forudsætninger!$G$43+Forudsætninger!$H$44*(K42-Forudsætninger!$C$43),IF(K42&gt;Forudsætninger!$C$42,Forudsætninger!$G$42+Forudsætninger!$H$43*(K42-Forudsætninger!$C$42),Forudsætninger!$G$42)))*(V42-Forudsætninger!$H$42)</f>
        <v>30.071783848309185</v>
      </c>
      <c r="AD42" s="19">
        <f t="shared" si="2"/>
        <v>1646.5044787175723</v>
      </c>
      <c r="AE42" s="19">
        <f t="shared" si="3"/>
        <v>30.071783848309185</v>
      </c>
      <c r="AF42">
        <f>IF(G42&lt;=Forudsætninger!$C$97,Forudsætninger!$C$98,(IF(G42&lt;=Forudsætninger!$D$97,Forudsætninger!$D$98,IF(G42&lt;=Forudsætninger!$E$97,Forudsætninger!$E$98,IF(G42&lt;=Forudsætninger!$F$97,Forudsætninger!$F$98,IF(G42&lt;=Forudsætninger!$G$97,Forudsætninger!$G$98,IF(G42&lt;=Forudsætninger!$H$97,Forudsætninger!$H$98,IF(G42&lt;=Forudsætninger!$I$97,Forudsætninger!$I$98,Forudsætninger!$I$98))))))))</f>
        <v>2.2000000000000002</v>
      </c>
      <c r="AG42" s="1">
        <f t="shared" si="16"/>
        <v>2.2000000000000002</v>
      </c>
      <c r="AH42" s="1">
        <f t="shared" si="21"/>
        <v>88.000000000000057</v>
      </c>
      <c r="AI42" s="1">
        <f t="shared" si="4"/>
        <v>2.2000000000000015</v>
      </c>
      <c r="AJ42" s="20">
        <f>+(W42*Forudsætninger!$C$12)</f>
        <v>0</v>
      </c>
      <c r="AK42" s="20">
        <f>Forudsætninger!$C$17</f>
        <v>250</v>
      </c>
      <c r="AL42" s="20">
        <f>IF(A42&lt;92,Forudsætninger!$C$20,Forudsætninger!$C$21)</f>
        <v>4.0072859744990899</v>
      </c>
      <c r="AM42" s="20">
        <f t="shared" si="17"/>
        <v>160.29143897996357</v>
      </c>
      <c r="AN42" s="19">
        <f>IFERROR(AD42+AJ42-AA42-Z42-AK42-AM42-Forudsætninger!$D$75,-99999)</f>
        <v>-1793.5562236604994</v>
      </c>
      <c r="AO42" s="57">
        <f>IFERROR(AN42/(A42+Forudsætninger!$D$74),-99999)</f>
        <v>-44.838905591512486</v>
      </c>
      <c r="AP42" s="19">
        <f>IFERROR(((365/(A42+Forudsætninger!$D$74))*AN42)/(AI42+Forudsætninger!$D$73),-99999)</f>
        <v>-7084.9352990917951</v>
      </c>
      <c r="AQ42" s="18">
        <f t="shared" si="22"/>
        <v>40</v>
      </c>
      <c r="AR42" s="18">
        <f t="shared" si="23"/>
        <v>3222.1687286771112</v>
      </c>
      <c r="AS42" s="50">
        <f t="shared" si="24"/>
        <v>2.4</v>
      </c>
      <c r="AT42" s="50">
        <f t="shared" si="25"/>
        <v>5.8863094933192315</v>
      </c>
      <c r="AU42" s="50">
        <f t="shared" si="26"/>
        <v>1.3006465406367127</v>
      </c>
      <c r="AV42" s="2">
        <f t="shared" si="27"/>
        <v>205.51341442961166</v>
      </c>
      <c r="AW42" s="16">
        <f t="shared" si="19"/>
        <v>-40.831619617013395</v>
      </c>
      <c r="AZ42" s="16"/>
      <c r="BA42" s="2"/>
    </row>
    <row r="43" spans="1:53" x14ac:dyDescent="0.25">
      <c r="A43">
        <v>41</v>
      </c>
      <c r="B43" s="1">
        <f>ROUND((A43+Forudsætninger!$D$60)/30.4,1)</f>
        <v>2.5</v>
      </c>
      <c r="C43" s="1">
        <f>VLOOKUP((A43+Forudsætninger!$D$60),'Model tilvækst, slagteform, fe'!A:C,3,FALSE)</f>
        <v>120.35521625194406</v>
      </c>
      <c r="D43" s="3">
        <f t="shared" si="28"/>
        <v>1469.4955574322394</v>
      </c>
      <c r="E43" s="3">
        <f>(1+Forudsætninger!$D$78)*C43</f>
        <v>101.09838165163301</v>
      </c>
      <c r="F43" s="2">
        <f t="shared" si="29"/>
        <v>9.549491677910293</v>
      </c>
      <c r="G43" s="1">
        <f t="shared" si="8"/>
        <v>110.6478733295433</v>
      </c>
      <c r="H43" s="3">
        <f t="shared" si="9"/>
        <v>1160.9014903714724</v>
      </c>
      <c r="I43" s="3">
        <f t="shared" si="10"/>
        <v>942.63105681812942</v>
      </c>
      <c r="J43" s="1">
        <f>VLOOKUP((A43+Forudsætninger!$D$60),'Model tilvækst, slagteform, fe'!G:K,3,FALSE)*(1+Forudsætninger!$D$79)</f>
        <v>50.038565384486439</v>
      </c>
      <c r="K43" s="17">
        <f t="shared" si="0"/>
        <v>55.36660844254726</v>
      </c>
      <c r="L43" s="17">
        <f t="shared" si="11"/>
        <v>614.1372548378996</v>
      </c>
      <c r="M43" s="3">
        <f>((K43-(('Model tilvækst, slagteform, fe'!$I$9/100)*'Model tilvækst, slagteform, fe'!$C$9))*1000/(A43+Forudsætninger!$D$60))</f>
        <v>448.6406064823725</v>
      </c>
      <c r="N43" s="17">
        <f t="shared" si="12"/>
        <v>102.06174885965139</v>
      </c>
      <c r="O43" s="19">
        <f>IF( A43&lt;Forudsætninger!$C$14,(G43/100)*Forudsætninger!$C$13,(Forudsætninger!$C$15/1000)*Forudsætninger!$C$13)</f>
        <v>0.7192111766420316</v>
      </c>
      <c r="P43" s="17" cm="1">
        <f t="array" ref="P43">INDEX('Model tilvækst, slagteform, fe'!$O$9:$O$375,MATCH(MIN(ABS('Model tilvækst, slagteform, fe'!$M$9:$M$375-G43)),ABS('Model tilvækst, slagteform, fe'!$M$9:$M$375-G43),0))*(1+Forudsætninger!$D$80)</f>
        <v>3.1552520976491385</v>
      </c>
      <c r="Q43" s="17">
        <f t="shared" si="13"/>
        <v>5.1376985727432567</v>
      </c>
      <c r="R43" s="17">
        <f t="shared" si="14"/>
        <v>5.0013240930883223</v>
      </c>
      <c r="S43" s="2">
        <f t="shared" si="15"/>
        <v>2.6408115134664629</v>
      </c>
      <c r="T43" s="19">
        <f>(P43)*IF(N43&lt;Forudsætninger!$B$228,IF(N43&lt;Forudsætninger!$B$227,Forudsætninger!$B$225,Forudsætninger!$C$9),Forudsætninger!$C$11)+O43</f>
        <v>8.6388939417413688</v>
      </c>
      <c r="U43" s="2">
        <f>Forudsætninger!$D$68+((K43-(Forudsætninger!$D$84)))*0.01</f>
        <v>5.6932767657851251</v>
      </c>
      <c r="V43" s="2">
        <f>U43+Forudsætninger!$D$69</f>
        <v>5.6932767657851251</v>
      </c>
      <c r="W43">
        <f t="shared" si="1"/>
        <v>0</v>
      </c>
      <c r="X43">
        <f>IF(A43+Forudsætninger!$D$60&gt;248,IF(A43+Forudsætninger!$D$60&lt;365,IF(K43&gt;180,IF(K43&lt;260,1,0),0),0),0)</f>
        <v>0</v>
      </c>
      <c r="Y43" s="22">
        <f>IF(X43=0,0,IF('Vækstfunktion, kry tyr'!A43&lt;Forudsætninger!$D$66,Forudsætninger!$D$67+(('Vækstfunktion, kry tyr'!A43-Forudsætninger!$D$66)/7)*Forudsætninger!$D$64,Forudsætninger!$D$67))</f>
        <v>0</v>
      </c>
      <c r="Z43" s="19">
        <f t="shared" si="20"/>
        <v>765.51618363888929</v>
      </c>
      <c r="AA43" s="19">
        <f>Forudsætninger!$D$62+Forudsætninger!$C$16</f>
        <v>2055</v>
      </c>
      <c r="AB43" s="19">
        <f>IF(K43&gt;Forudsætninger!$C$37,IF(K43&gt;Forudsætninger!$C$38,IF(K43&gt;Forudsætninger!$C$39,Forudsætninger!$E$39,Forudsætninger!$E$38+Forudsætninger!$F$39*(K43-Forudsætninger!$C$38)),Forudsætninger!$E$37+Forudsætninger!$F$38*(K43-Forudsætninger!$C$37)),Forudsætninger!$E$37)+IF(K43&gt;Forudsætninger!$C$39,Forudsætninger!$G$39,IF(K43&gt;Forudsætninger!$C$38,Forudsætninger!$G$38+Forudsætninger!$H$39*(K43-Forudsætninger!$C$38),IF(K43&gt;Forudsætninger!$C$37,Forudsætninger!$G$37+Forudsætninger!$H$38*(K43-Forudsætninger!$C$37),Forudsætninger!$G$37)))*(U43-Forudsætninger!$H$37)</f>
        <v>35.169327676578511</v>
      </c>
      <c r="AC43" s="19">
        <f>IF(K43&gt;Forudsætninger!$C$42,IF(K43&gt;Forudsætninger!$C$43,IF(K43&gt;Forudsætninger!$C$44,Forudsætninger!$E$44,Forudsætninger!$E$43+Forudsætninger!$F$44*(K43-Forudsætninger!$C$43)),Forudsætninger!$E$42+Forudsætninger!$F$43*(K43-Forudsætninger!$C$42)),Forudsætninger!$E$42)+IF(K43&gt;Forudsætninger!$C$44,Forudsætninger!$G$44,IF(K43&gt;Forudsætninger!$C$43,Forudsætninger!$G$43+Forudsætninger!$H$44*(K43-Forudsætninger!$C$43),IF(K43&gt;Forudsætninger!$C$42,Forudsætninger!$G$42+Forudsætninger!$H$43*(K43-Forudsætninger!$C$42),Forudsætninger!$G$42)))*(V43-Forudsætninger!$H$42)</f>
        <v>30.073319191446281</v>
      </c>
      <c r="AD43" s="19">
        <f t="shared" si="2"/>
        <v>1665.0576882405483</v>
      </c>
      <c r="AE43" s="19">
        <f t="shared" si="3"/>
        <v>30.073319191446281</v>
      </c>
      <c r="AF43">
        <f>IF(G43&lt;=Forudsætninger!$C$97,Forudsætninger!$C$98,(IF(G43&lt;=Forudsætninger!$D$97,Forudsætninger!$D$98,IF(G43&lt;=Forudsætninger!$E$97,Forudsætninger!$E$98,IF(G43&lt;=Forudsætninger!$F$97,Forudsætninger!$F$98,IF(G43&lt;=Forudsætninger!$G$97,Forudsætninger!$G$98,IF(G43&lt;=Forudsætninger!$H$97,Forudsætninger!$H$98,IF(G43&lt;=Forudsætninger!$I$97,Forudsætninger!$I$98,Forudsætninger!$I$98))))))))</f>
        <v>2.2000000000000002</v>
      </c>
      <c r="AG43" s="1">
        <f t="shared" si="16"/>
        <v>2.2000000000000002</v>
      </c>
      <c r="AH43" s="1">
        <f t="shared" si="21"/>
        <v>90.20000000000006</v>
      </c>
      <c r="AI43" s="1">
        <f t="shared" si="4"/>
        <v>2.2000000000000015</v>
      </c>
      <c r="AJ43" s="20">
        <f>+(W43*Forudsætninger!$C$12)</f>
        <v>0</v>
      </c>
      <c r="AK43" s="20">
        <f>Forudsætninger!$C$17</f>
        <v>250</v>
      </c>
      <c r="AL43" s="20">
        <f>IF(A43&lt;92,Forudsætninger!$C$20,Forudsætninger!$C$21)</f>
        <v>4.0072859744990899</v>
      </c>
      <c r="AM43" s="20">
        <f t="shared" si="17"/>
        <v>164.29872495446267</v>
      </c>
      <c r="AN43" s="19">
        <f>IFERROR(AD43+AJ43-AA43-Z43-AK43-AM43-Forudsætninger!$D$75,-99999)</f>
        <v>-1787.6491940537639</v>
      </c>
      <c r="AO43" s="57">
        <f>IFERROR(AN43/(A43+Forudsætninger!$D$74),-99999)</f>
        <v>-43.601199854969849</v>
      </c>
      <c r="AP43" s="19">
        <f>IFERROR(((365/(A43+Forudsætninger!$D$74))*AN43)/(AI43+Forudsætninger!$D$73),-99999)</f>
        <v>-6889.3670766510768</v>
      </c>
      <c r="AQ43" s="18">
        <f t="shared" si="22"/>
        <v>41</v>
      </c>
      <c r="AR43" s="18">
        <f t="shared" si="23"/>
        <v>3234.8149085933519</v>
      </c>
      <c r="AS43" s="50">
        <f t="shared" si="24"/>
        <v>2.5</v>
      </c>
      <c r="AT43" s="50">
        <f t="shared" si="25"/>
        <v>5.9070296067354775</v>
      </c>
      <c r="AU43" s="50">
        <f t="shared" si="26"/>
        <v>1.2377057365426367</v>
      </c>
      <c r="AV43" s="2">
        <f t="shared" si="27"/>
        <v>195.56822244071827</v>
      </c>
      <c r="AW43" s="16">
        <f t="shared" si="19"/>
        <v>-39.593913880470765</v>
      </c>
      <c r="AZ43" s="16"/>
      <c r="BA43" s="2"/>
    </row>
    <row r="44" spans="1:53" x14ac:dyDescent="0.25">
      <c r="A44">
        <v>42</v>
      </c>
      <c r="B44" s="1">
        <f>ROUND((A44+Forudsætninger!$D$60)/30.4,1)</f>
        <v>2.5</v>
      </c>
      <c r="C44" s="1">
        <f>VLOOKUP((A44+Forudsætninger!$D$60),'Model tilvækst, slagteform, fe'!A:C,3,FALSE)</f>
        <v>121.8340660690382</v>
      </c>
      <c r="D44" s="3">
        <f t="shared" si="28"/>
        <v>1478.8498170941439</v>
      </c>
      <c r="E44" s="3">
        <f>(1+Forudsætninger!$D$78)*C44</f>
        <v>102.34061549799209</v>
      </c>
      <c r="F44" s="2">
        <f t="shared" si="29"/>
        <v>9.4755491870555861</v>
      </c>
      <c r="G44" s="1">
        <f t="shared" si="8"/>
        <v>111.81616468504768</v>
      </c>
      <c r="H44" s="3">
        <f t="shared" si="9"/>
        <v>1168.2913555043797</v>
      </c>
      <c r="I44" s="3">
        <f t="shared" si="10"/>
        <v>948.00392107256391</v>
      </c>
      <c r="J44" s="1">
        <f>VLOOKUP((A44+Forudsætninger!$D$60),'Model tilvækst, slagteform, fe'!G:K,3,FALSE)*(1+Forudsætninger!$D$79)</f>
        <v>50.068522813396214</v>
      </c>
      <c r="K44" s="17">
        <f t="shared" si="0"/>
        <v>55.984701924397775</v>
      </c>
      <c r="L44" s="17">
        <f t="shared" si="11"/>
        <v>618.09348185051499</v>
      </c>
      <c r="M44" s="3">
        <f>((K44-(('Model tilvækst, slagteform, fe'!$I$9/100)*'Model tilvækst, slagteform, fe'!$C$9))*1000/(A44+Forudsætninger!$D$60))</f>
        <v>450.87024957932169</v>
      </c>
      <c r="N44" s="17">
        <f t="shared" si="12"/>
        <v>105.25463092135169</v>
      </c>
      <c r="O44" s="19">
        <f>IF( A44&lt;Forudsætninger!$C$14,(G44/100)*Forudsætninger!$C$13,(Forudsætninger!$C$15/1000)*Forudsætninger!$C$13)</f>
        <v>0.72680507045281006</v>
      </c>
      <c r="P44" s="17" cm="1">
        <f t="array" ref="P44">INDEX('Model tilvækst, slagteform, fe'!$O$9:$O$375,MATCH(MIN(ABS('Model tilvækst, slagteform, fe'!$M$9:$M$375-G44)),ABS('Model tilvækst, slagteform, fe'!$M$9:$M$375-G44),0))*(1+Forudsætninger!$D$80)</f>
        <v>3.1928820617003089</v>
      </c>
      <c r="Q44" s="17">
        <f t="shared" si="13"/>
        <v>5.1656944385517773</v>
      </c>
      <c r="R44" s="17">
        <f t="shared" si="14"/>
        <v>5.0061562476725054</v>
      </c>
      <c r="S44" s="2">
        <f t="shared" si="15"/>
        <v>2.64351505861835</v>
      </c>
      <c r="T44" s="19">
        <f>(P44)*IF(N44&lt;Forudsætninger!$B$228,IF(N44&lt;Forudsætninger!$B$227,Forudsætninger!$B$225,Forudsætninger!$C$9),Forudsætninger!$C$11)+O44</f>
        <v>8.7409390453205855</v>
      </c>
      <c r="U44" s="2">
        <f>Forudsætninger!$D$68+((K44-(Forudsætninger!$D$84)))*0.01</f>
        <v>5.69945770060363</v>
      </c>
      <c r="V44" s="2">
        <f>U44+Forudsætninger!$D$69</f>
        <v>5.69945770060363</v>
      </c>
      <c r="W44">
        <f t="shared" si="1"/>
        <v>0</v>
      </c>
      <c r="X44">
        <f>IF(A44+Forudsætninger!$D$60&gt;248,IF(A44+Forudsætninger!$D$60&lt;365,IF(K44&gt;180,IF(K44&lt;260,1,0),0),0),0)</f>
        <v>0</v>
      </c>
      <c r="Y44" s="22">
        <f>IF(X44=0,0,IF('Vækstfunktion, kry tyr'!A44&lt;Forudsætninger!$D$66,Forudsætninger!$D$67+(('Vækstfunktion, kry tyr'!A44-Forudsætninger!$D$66)/7)*Forudsætninger!$D$64,Forudsætninger!$D$67))</f>
        <v>0</v>
      </c>
      <c r="Z44" s="19">
        <f t="shared" si="20"/>
        <v>774.25712268420989</v>
      </c>
      <c r="AA44" s="19">
        <f>Forudsætninger!$D$62+Forudsætninger!$C$16</f>
        <v>2055</v>
      </c>
      <c r="AB44" s="19">
        <f>IF(K44&gt;Forudsætninger!$C$37,IF(K44&gt;Forudsætninger!$C$38,IF(K44&gt;Forudsætninger!$C$39,Forudsætninger!$E$39,Forudsætninger!$E$38+Forudsætninger!$F$39*(K44-Forudsætninger!$C$38)),Forudsætninger!$E$37+Forudsætninger!$F$38*(K44-Forudsætninger!$C$37)),Forudsætninger!$E$37)+IF(K44&gt;Forudsætninger!$C$39,Forudsætninger!$G$39,IF(K44&gt;Forudsætninger!$C$38,Forudsætninger!$G$38+Forudsætninger!$H$39*(K44-Forudsætninger!$C$38),IF(K44&gt;Forudsætninger!$C$37,Forudsætninger!$G$37+Forudsætninger!$H$38*(K44-Forudsætninger!$C$37),Forudsætninger!$G$37)))*(U44-Forudsætninger!$H$37)</f>
        <v>35.169945770060366</v>
      </c>
      <c r="AC44" s="19">
        <f>IF(K44&gt;Forudsætninger!$C$42,IF(K44&gt;Forudsætninger!$C$43,IF(K44&gt;Forudsætninger!$C$44,Forudsætninger!$E$44,Forudsætninger!$E$43+Forudsætninger!$F$44*(K44-Forudsætninger!$C$43)),Forudsætninger!$E$42+Forudsætninger!$F$43*(K44-Forudsætninger!$C$42)),Forudsætninger!$E$42)+IF(K44&gt;Forudsætninger!$C$44,Forudsætninger!$G$44,IF(K44&gt;Forudsætninger!$C$43,Forudsætninger!$G$43+Forudsætninger!$H$44*(K44-Forudsætninger!$C$43),IF(K44&gt;Forudsætninger!$C$42,Forudsætninger!$G$42+Forudsætninger!$H$43*(K44-Forudsætninger!$C$42),Forudsætninger!$G$42)))*(V44-Forudsætninger!$H$42)</f>
        <v>30.074864425150906</v>
      </c>
      <c r="AD44" s="19">
        <f t="shared" si="2"/>
        <v>1683.7323202587481</v>
      </c>
      <c r="AE44" s="19">
        <f t="shared" si="3"/>
        <v>30.074864425150906</v>
      </c>
      <c r="AF44">
        <f>IF(G44&lt;=Forudsætninger!$C$97,Forudsætninger!$C$98,(IF(G44&lt;=Forudsætninger!$D$97,Forudsætninger!$D$98,IF(G44&lt;=Forudsætninger!$E$97,Forudsætninger!$E$98,IF(G44&lt;=Forudsætninger!$F$97,Forudsætninger!$F$98,IF(G44&lt;=Forudsætninger!$G$97,Forudsætninger!$G$98,IF(G44&lt;=Forudsætninger!$H$97,Forudsætninger!$H$98,IF(G44&lt;=Forudsætninger!$I$97,Forudsætninger!$I$98,Forudsætninger!$I$98))))))))</f>
        <v>2.2000000000000002</v>
      </c>
      <c r="AG44" s="1">
        <f t="shared" si="16"/>
        <v>2.2000000000000002</v>
      </c>
      <c r="AH44" s="1">
        <f t="shared" si="21"/>
        <v>92.400000000000063</v>
      </c>
      <c r="AI44" s="1">
        <f t="shared" si="4"/>
        <v>2.2000000000000015</v>
      </c>
      <c r="AJ44" s="20">
        <f>+(W44*Forudsætninger!$C$12)</f>
        <v>0</v>
      </c>
      <c r="AK44" s="20">
        <f>Forudsætninger!$C$17</f>
        <v>250</v>
      </c>
      <c r="AL44" s="20">
        <f>IF(A44&lt;92,Forudsætninger!$C$20,Forudsætninger!$C$21)</f>
        <v>4.0072859744990899</v>
      </c>
      <c r="AM44" s="20">
        <f t="shared" si="17"/>
        <v>168.30601092896177</v>
      </c>
      <c r="AN44" s="19">
        <f>IFERROR(AD44+AJ44-AA44-Z44-AK44-AM44-Forudsætninger!$D$75,-99999)</f>
        <v>-1781.7227870553838</v>
      </c>
      <c r="AO44" s="57">
        <f>IFERROR(AN44/(A44+Forudsætninger!$D$74),-99999)</f>
        <v>-42.42197112036628</v>
      </c>
      <c r="AP44" s="19">
        <f>IFERROR(((365/(A44+Forudsætninger!$D$74))*AN44)/(AI44+Forudsætninger!$D$73),-99999)</f>
        <v>-6703.0387268111181</v>
      </c>
      <c r="AQ44" s="18">
        <f t="shared" si="22"/>
        <v>42</v>
      </c>
      <c r="AR44" s="18">
        <f t="shared" si="23"/>
        <v>3247.5631336131719</v>
      </c>
      <c r="AS44" s="50">
        <f t="shared" si="24"/>
        <v>2.5</v>
      </c>
      <c r="AT44" s="50">
        <f t="shared" si="25"/>
        <v>5.9264069983801164</v>
      </c>
      <c r="AU44" s="50">
        <f t="shared" si="26"/>
        <v>1.1792287346035693</v>
      </c>
      <c r="AV44" s="2">
        <f t="shared" si="27"/>
        <v>186.32834983995872</v>
      </c>
      <c r="AW44" s="16">
        <f t="shared" si="19"/>
        <v>-38.414685145867189</v>
      </c>
      <c r="AZ44" s="16"/>
      <c r="BA44" s="2"/>
    </row>
    <row r="45" spans="1:53" x14ac:dyDescent="0.25">
      <c r="A45">
        <v>43</v>
      </c>
      <c r="B45" s="1">
        <f>ROUND((A45+Forudsætninger!$D$60)/30.4,1)</f>
        <v>2.5</v>
      </c>
      <c r="C45" s="1">
        <f>VLOOKUP((A45+Forudsætninger!$D$60),'Model tilvækst, slagteform, fe'!A:C,3,FALSE)</f>
        <v>123.32213830667025</v>
      </c>
      <c r="D45" s="3">
        <f t="shared" si="28"/>
        <v>1488.0722376320534</v>
      </c>
      <c r="E45" s="3">
        <f>(1+Forudsætninger!$D$78)*C45</f>
        <v>103.590596177603</v>
      </c>
      <c r="F45" s="2">
        <f t="shared" si="29"/>
        <v>9.4011455751739827</v>
      </c>
      <c r="G45" s="1">
        <f t="shared" si="8"/>
        <v>112.99174175277699</v>
      </c>
      <c r="H45" s="3">
        <f t="shared" si="9"/>
        <v>1175.5770677293071</v>
      </c>
      <c r="I45" s="3">
        <f t="shared" si="10"/>
        <v>953.29631983202296</v>
      </c>
      <c r="J45" s="1">
        <f>VLOOKUP((A45+Forudsætninger!$D$60),'Model tilvækst, slagteform, fe'!G:K,3,FALSE)*(1+Forudsætninger!$D$79)</f>
        <v>50.098090041578125</v>
      </c>
      <c r="K45" s="17">
        <f t="shared" si="0"/>
        <v>56.60670452285364</v>
      </c>
      <c r="L45" s="17">
        <f t="shared" si="11"/>
        <v>622.00259845586459</v>
      </c>
      <c r="M45" s="3">
        <f>((K45-(('Model tilvækst, slagteform, fe'!$I$9/100)*'Model tilvækst, slagteform, fe'!$C$9))*1000/(A45+Forudsætninger!$D$60))</f>
        <v>453.09274761667945</v>
      </c>
      <c r="N45" s="17">
        <f t="shared" si="12"/>
        <v>108.48509768598944</v>
      </c>
      <c r="O45" s="19">
        <f>IF( A45&lt;Forudsætninger!$C$14,(G45/100)*Forudsætninger!$C$13,(Forudsætninger!$C$15/1000)*Forudsætninger!$C$13)</f>
        <v>0.73444632139305055</v>
      </c>
      <c r="P45" s="17" cm="1">
        <f t="array" ref="P45">INDEX('Model tilvækst, slagteform, fe'!$O$9:$O$375,MATCH(MIN(ABS('Model tilvækst, slagteform, fe'!$M$9:$M$375-G45)),ABS('Model tilvækst, slagteform, fe'!$M$9:$M$375-G45),0))*(1+Forudsætninger!$D$80)</f>
        <v>3.2304667646377476</v>
      </c>
      <c r="Q45" s="17">
        <f t="shared" si="13"/>
        <v>5.1936547735611613</v>
      </c>
      <c r="R45" s="17">
        <f t="shared" si="14"/>
        <v>5.011543800015918</v>
      </c>
      <c r="S45" s="2">
        <f t="shared" si="15"/>
        <v>2.6465110543549937</v>
      </c>
      <c r="T45" s="19">
        <f>(P45)*IF(N45&lt;Forudsætninger!$B$228,IF(N45&lt;Forudsætninger!$B$227,Forudsætninger!$B$225,Forudsætninger!$C$9),Forudsætninger!$C$11)+O45</f>
        <v>8.8429179006337968</v>
      </c>
      <c r="U45" s="2">
        <f>Forudsætninger!$D$68+((K45-(Forudsætninger!$D$84)))*0.01</f>
        <v>5.7056777265881884</v>
      </c>
      <c r="V45" s="2">
        <f>U45+Forudsætninger!$D$69</f>
        <v>5.7056777265881884</v>
      </c>
      <c r="W45">
        <f t="shared" si="1"/>
        <v>0</v>
      </c>
      <c r="X45">
        <f>IF(A45+Forudsætninger!$D$60&gt;248,IF(A45+Forudsætninger!$D$60&lt;365,IF(K45&gt;180,IF(K45&lt;260,1,0),0),0),0)</f>
        <v>0</v>
      </c>
      <c r="Y45" s="22">
        <f>IF(X45=0,0,IF('Vækstfunktion, kry tyr'!A45&lt;Forudsætninger!$D$66,Forudsætninger!$D$67+(('Vækstfunktion, kry tyr'!A45-Forudsætninger!$D$66)/7)*Forudsætninger!$D$64,Forudsætninger!$D$67))</f>
        <v>0</v>
      </c>
      <c r="Z45" s="19">
        <f t="shared" si="20"/>
        <v>783.10004058484367</v>
      </c>
      <c r="AA45" s="19">
        <f>Forudsætninger!$D$62+Forudsætninger!$C$16</f>
        <v>2055</v>
      </c>
      <c r="AB45" s="19">
        <f>IF(K45&gt;Forudsætninger!$C$37,IF(K45&gt;Forudsætninger!$C$38,IF(K45&gt;Forudsætninger!$C$39,Forudsætninger!$E$39,Forudsætninger!$E$38+Forudsætninger!$F$39*(K45-Forudsætninger!$C$38)),Forudsætninger!$E$37+Forudsætninger!$F$38*(K45-Forudsætninger!$C$37)),Forudsætninger!$E$37)+IF(K45&gt;Forudsætninger!$C$39,Forudsætninger!$G$39,IF(K45&gt;Forudsætninger!$C$38,Forudsætninger!$G$38+Forudsætninger!$H$39*(K45-Forudsætninger!$C$38),IF(K45&gt;Forudsætninger!$C$37,Forudsætninger!$G$37+Forudsætninger!$H$38*(K45-Forudsætninger!$C$37),Forudsætninger!$G$37)))*(U45-Forudsætninger!$H$37)</f>
        <v>35.170567772658821</v>
      </c>
      <c r="AC45" s="19">
        <f>IF(K45&gt;Forudsætninger!$C$42,IF(K45&gt;Forudsætninger!$C$43,IF(K45&gt;Forudsætninger!$C$44,Forudsætninger!$E$44,Forudsætninger!$E$43+Forudsætninger!$F$44*(K45-Forudsætninger!$C$43)),Forudsætninger!$E$42+Forudsætninger!$F$43*(K45-Forudsætninger!$C$42)),Forudsætninger!$E$42)+IF(K45&gt;Forudsætninger!$C$44,Forudsætninger!$G$44,IF(K45&gt;Forudsætninger!$C$43,Forudsætninger!$G$43+Forudsætninger!$H$44*(K45-Forudsætninger!$C$43),IF(K45&gt;Forudsætninger!$C$42,Forudsætninger!$G$42+Forudsætninger!$H$43*(K45-Forudsætninger!$C$42),Forudsætninger!$G$42)))*(V45-Forudsætninger!$H$42)</f>
        <v>30.076419431647047</v>
      </c>
      <c r="AD45" s="19">
        <f t="shared" si="2"/>
        <v>1702.5269878726581</v>
      </c>
      <c r="AE45" s="19">
        <f t="shared" si="3"/>
        <v>30.07641943164705</v>
      </c>
      <c r="AF45">
        <f>IF(G45&lt;=Forudsætninger!$C$97,Forudsætninger!$C$98,(IF(G45&lt;=Forudsætninger!$D$97,Forudsætninger!$D$98,IF(G45&lt;=Forudsætninger!$E$97,Forudsætninger!$E$98,IF(G45&lt;=Forudsætninger!$F$97,Forudsætninger!$F$98,IF(G45&lt;=Forudsætninger!$G$97,Forudsætninger!$G$98,IF(G45&lt;=Forudsætninger!$H$97,Forudsætninger!$H$98,IF(G45&lt;=Forudsætninger!$I$97,Forudsætninger!$I$98,Forudsætninger!$I$98))))))))</f>
        <v>2.2000000000000002</v>
      </c>
      <c r="AG45" s="1">
        <f t="shared" si="16"/>
        <v>2.2000000000000002</v>
      </c>
      <c r="AH45" s="1">
        <f t="shared" si="21"/>
        <v>94.600000000000065</v>
      </c>
      <c r="AI45" s="1">
        <f t="shared" si="4"/>
        <v>2.2000000000000015</v>
      </c>
      <c r="AJ45" s="20">
        <f>+(W45*Forudsætninger!$C$12)</f>
        <v>0</v>
      </c>
      <c r="AK45" s="20">
        <f>Forudsætninger!$C$17</f>
        <v>250</v>
      </c>
      <c r="AL45" s="20">
        <f>IF(A45&lt;92,Forudsætninger!$C$20,Forudsætninger!$C$21)</f>
        <v>4.0072859744990899</v>
      </c>
      <c r="AM45" s="20">
        <f t="shared" si="17"/>
        <v>172.31329690346087</v>
      </c>
      <c r="AN45" s="19">
        <f>IFERROR(AD45+AJ45-AA45-Z45-AK45-AM45-Forudsætninger!$D$75,-99999)</f>
        <v>-1775.7783233166067</v>
      </c>
      <c r="AO45" s="57">
        <f>IFERROR(AN45/(A45+Forudsætninger!$D$74),-99999)</f>
        <v>-41.297170309688525</v>
      </c>
      <c r="AP45" s="19">
        <f>IFERROR(((365/(A45+Forudsætninger!$D$74))*AN45)/(AI45+Forudsætninger!$D$73),-99999)</f>
        <v>-6525.3104601888763</v>
      </c>
      <c r="AQ45" s="18">
        <f t="shared" si="22"/>
        <v>43</v>
      </c>
      <c r="AR45" s="18">
        <f t="shared" si="23"/>
        <v>3260.4133374883045</v>
      </c>
      <c r="AS45" s="50">
        <f t="shared" si="24"/>
        <v>2.5</v>
      </c>
      <c r="AT45" s="50">
        <f t="shared" si="25"/>
        <v>5.9444637387771309</v>
      </c>
      <c r="AU45" s="50">
        <f t="shared" si="26"/>
        <v>1.1248008106777547</v>
      </c>
      <c r="AV45" s="2">
        <f t="shared" si="27"/>
        <v>177.72826662224179</v>
      </c>
      <c r="AW45" s="16">
        <f t="shared" si="19"/>
        <v>-37.289884335189434</v>
      </c>
      <c r="AZ45" s="16"/>
      <c r="BA45" s="2"/>
    </row>
    <row r="46" spans="1:53" x14ac:dyDescent="0.25">
      <c r="A46">
        <v>44</v>
      </c>
      <c r="B46" s="1">
        <f>ROUND((A46+Forudsætninger!$D$60)/30.4,1)</f>
        <v>2.6</v>
      </c>
      <c r="C46" s="1">
        <f>VLOOKUP((A46+Forudsætninger!$D$60),'Model tilvækst, slagteform, fe'!A:C,3,FALSE)</f>
        <v>124.81930174665288</v>
      </c>
      <c r="D46" s="3">
        <f t="shared" si="28"/>
        <v>1497.1634399826285</v>
      </c>
      <c r="E46" s="3">
        <f>(1+Forudsætninger!$D$78)*C46</f>
        <v>104.84821346718842</v>
      </c>
      <c r="F46" s="2">
        <f t="shared" si="29"/>
        <v>9.3262874031748506</v>
      </c>
      <c r="G46" s="1">
        <f t="shared" si="8"/>
        <v>114.17450087036326</v>
      </c>
      <c r="H46" s="3">
        <f t="shared" si="9"/>
        <v>1182.7591175862722</v>
      </c>
      <c r="I46" s="3">
        <f t="shared" si="10"/>
        <v>958.51138341734691</v>
      </c>
      <c r="J46" s="1">
        <f>VLOOKUP((A46+Forudsætninger!$D$60),'Model tilvækst, slagteform, fe'!G:K,3,FALSE)*(1+Forudsætninger!$D$79)</f>
        <v>50.127278123145253</v>
      </c>
      <c r="K46" s="17">
        <f t="shared" si="0"/>
        <v>57.232569596999895</v>
      </c>
      <c r="L46" s="17">
        <f t="shared" si="11"/>
        <v>625.86507414625453</v>
      </c>
      <c r="M46" s="3">
        <f>((K46-(('Model tilvækst, slagteform, fe'!$I$9/100)*'Model tilvækst, slagteform, fe'!$C$9))*1000/(A46+Forudsætninger!$D$60))</f>
        <v>455.30777744398165</v>
      </c>
      <c r="N46" s="17">
        <f t="shared" si="12"/>
        <v>111.75310072525883</v>
      </c>
      <c r="O46" s="19">
        <f>IF( A46&lt;Forudsætninger!$C$14,(G46/100)*Forudsætninger!$C$13,(Forudsætninger!$C$15/1000)*Forudsætninger!$C$13)</f>
        <v>0.74213425565736124</v>
      </c>
      <c r="P46" s="17" cm="1">
        <f t="array" ref="P46">INDEX('Model tilvækst, slagteform, fe'!$O$9:$O$375,MATCH(MIN(ABS('Model tilvækst, slagteform, fe'!$M$9:$M$375-G46)),ABS('Model tilvækst, slagteform, fe'!$M$9:$M$375-G46),0))*(1+Forudsætninger!$D$80)</f>
        <v>3.2680030392693808</v>
      </c>
      <c r="Q46" s="17">
        <f t="shared" si="13"/>
        <v>5.2215775800036122</v>
      </c>
      <c r="R46" s="17">
        <f t="shared" si="14"/>
        <v>5.0174457152235226</v>
      </c>
      <c r="S46" s="2">
        <f t="shared" si="15"/>
        <v>2.6497788573424383</v>
      </c>
      <c r="T46" s="19">
        <f>(P46)*IF(N46&lt;Forudsætninger!$B$228,IF(N46&lt;Forudsætninger!$B$227,Forudsætninger!$B$225,Forudsætninger!$C$9),Forudsætninger!$C$11)+O46</f>
        <v>8.9448218842235079</v>
      </c>
      <c r="U46" s="2">
        <f>Forudsætninger!$D$68+((K46-(Forudsætninger!$D$84)))*0.01</f>
        <v>5.7119363773296516</v>
      </c>
      <c r="V46" s="2">
        <f>U46+Forudsætninger!$D$69</f>
        <v>5.7119363773296516</v>
      </c>
      <c r="W46">
        <f t="shared" si="1"/>
        <v>0</v>
      </c>
      <c r="X46">
        <f>IF(A46+Forudsætninger!$D$60&gt;248,IF(A46+Forudsætninger!$D$60&lt;365,IF(K46&gt;180,IF(K46&lt;260,1,0),0),0),0)</f>
        <v>0</v>
      </c>
      <c r="Y46" s="22">
        <f>IF(X46=0,0,IF('Vækstfunktion, kry tyr'!A46&lt;Forudsætninger!$D$66,Forudsætninger!$D$67+(('Vækstfunktion, kry tyr'!A46-Forudsætninger!$D$66)/7)*Forudsætninger!$D$64,Forudsætninger!$D$67))</f>
        <v>0</v>
      </c>
      <c r="Z46" s="19">
        <f t="shared" si="20"/>
        <v>792.0448624690672</v>
      </c>
      <c r="AA46" s="19">
        <f>Forudsætninger!$D$62+Forudsætninger!$C$16</f>
        <v>2055</v>
      </c>
      <c r="AB46" s="19">
        <f>IF(K46&gt;Forudsætninger!$C$37,IF(K46&gt;Forudsætninger!$C$38,IF(K46&gt;Forudsætninger!$C$39,Forudsætninger!$E$39,Forudsætninger!$E$38+Forudsætninger!$F$39*(K46-Forudsætninger!$C$38)),Forudsætninger!$E$37+Forudsætninger!$F$38*(K46-Forudsætninger!$C$37)),Forudsætninger!$E$37)+IF(K46&gt;Forudsætninger!$C$39,Forudsætninger!$G$39,IF(K46&gt;Forudsætninger!$C$38,Forudsætninger!$G$38+Forudsætninger!$H$39*(K46-Forudsætninger!$C$38),IF(K46&gt;Forudsætninger!$C$37,Forudsætninger!$G$37+Forudsætninger!$H$38*(K46-Forudsætninger!$C$37),Forudsætninger!$G$37)))*(U46-Forudsætninger!$H$37)</f>
        <v>35.171193637732969</v>
      </c>
      <c r="AC46" s="19">
        <f>IF(K46&gt;Forudsætninger!$C$42,IF(K46&gt;Forudsætninger!$C$43,IF(K46&gt;Forudsætninger!$C$44,Forudsætninger!$E$44,Forudsætninger!$E$43+Forudsætninger!$F$44*(K46-Forudsætninger!$C$43)),Forudsætninger!$E$42+Forudsætninger!$F$43*(K46-Forudsætninger!$C$42)),Forudsætninger!$E$42)+IF(K46&gt;Forudsætninger!$C$44,Forudsætninger!$G$44,IF(K46&gt;Forudsætninger!$C$43,Forudsætninger!$G$43+Forudsætninger!$H$44*(K46-Forudsætninger!$C$43),IF(K46&gt;Forudsætninger!$C$42,Forudsætninger!$G$42+Forudsætninger!$H$43*(K46-Forudsætninger!$C$42),Forudsætninger!$G$42)))*(V46-Forudsætninger!$H$42)</f>
        <v>30.077984094332411</v>
      </c>
      <c r="AD46" s="19">
        <f t="shared" si="2"/>
        <v>1721.4403180163356</v>
      </c>
      <c r="AE46" s="19">
        <f t="shared" si="3"/>
        <v>30.077984094332411</v>
      </c>
      <c r="AF46">
        <f>IF(G46&lt;=Forudsætninger!$C$97,Forudsætninger!$C$98,(IF(G46&lt;=Forudsætninger!$D$97,Forudsætninger!$D$98,IF(G46&lt;=Forudsætninger!$E$97,Forudsætninger!$E$98,IF(G46&lt;=Forudsætninger!$F$97,Forudsætninger!$F$98,IF(G46&lt;=Forudsætninger!$G$97,Forudsætninger!$G$98,IF(G46&lt;=Forudsætninger!$H$97,Forudsætninger!$H$98,IF(G46&lt;=Forudsætninger!$I$97,Forudsætninger!$I$98,Forudsætninger!$I$98))))))))</f>
        <v>2.2000000000000002</v>
      </c>
      <c r="AG46" s="1">
        <f t="shared" si="16"/>
        <v>2.2000000000000002</v>
      </c>
      <c r="AH46" s="1">
        <f t="shared" si="21"/>
        <v>96.800000000000068</v>
      </c>
      <c r="AI46" s="1">
        <f t="shared" si="4"/>
        <v>2.2000000000000015</v>
      </c>
      <c r="AJ46" s="20">
        <f>+(W46*Forudsætninger!$C$12)</f>
        <v>0</v>
      </c>
      <c r="AK46" s="20">
        <f>Forudsætninger!$C$17</f>
        <v>250</v>
      </c>
      <c r="AL46" s="20">
        <f>IF(A46&lt;92,Forudsætninger!$C$20,Forudsætninger!$C$21)</f>
        <v>4.0072859744990899</v>
      </c>
      <c r="AM46" s="20">
        <f t="shared" si="17"/>
        <v>176.32058287795996</v>
      </c>
      <c r="AN46" s="19">
        <f>IFERROR(AD46+AJ46-AA46-Z46-AK46-AM46-Forudsætninger!$D$75,-99999)</f>
        <v>-1769.8171010316521</v>
      </c>
      <c r="AO46" s="57">
        <f>IFERROR(AN46/(A46+Forudsætninger!$D$74),-99999)</f>
        <v>-40.223115932537546</v>
      </c>
      <c r="AP46" s="19">
        <f>IFERROR(((365/(A46+Forudsætninger!$D$74))*AN46)/(AI46+Forudsætninger!$D$73),-99999)</f>
        <v>-6355.6005694269243</v>
      </c>
      <c r="AQ46" s="18">
        <f t="shared" si="22"/>
        <v>44</v>
      </c>
      <c r="AR46" s="18">
        <f t="shared" si="23"/>
        <v>3273.3654453470272</v>
      </c>
      <c r="AS46" s="50">
        <f t="shared" si="24"/>
        <v>2.6</v>
      </c>
      <c r="AT46" s="50">
        <f t="shared" si="25"/>
        <v>5.9612222849546015</v>
      </c>
      <c r="AU46" s="50">
        <f t="shared" si="26"/>
        <v>1.0740543771509792</v>
      </c>
      <c r="AV46" s="2">
        <f t="shared" si="27"/>
        <v>169.70989076195201</v>
      </c>
      <c r="AW46" s="16">
        <f t="shared" si="19"/>
        <v>-36.215829958038462</v>
      </c>
      <c r="AZ46" s="16"/>
      <c r="BA46" s="2"/>
    </row>
    <row r="47" spans="1:53" x14ac:dyDescent="0.25">
      <c r="A47">
        <v>45</v>
      </c>
      <c r="B47" s="1">
        <f>ROUND((A47+Forudsætninger!$D$60)/30.4,1)</f>
        <v>2.6</v>
      </c>
      <c r="C47" s="1">
        <f>VLOOKUP((A47+Forudsætninger!$D$60),'Model tilvækst, slagteform, fe'!A:C,3,FALSE)</f>
        <v>126.32542579173531</v>
      </c>
      <c r="D47" s="3">
        <f t="shared" si="28"/>
        <v>1506.12404508243</v>
      </c>
      <c r="E47" s="3">
        <f>(1+Forudsætninger!$D$78)*C47</f>
        <v>106.11335766505766</v>
      </c>
      <c r="F47" s="2">
        <f t="shared" si="29"/>
        <v>9.2509812009207284</v>
      </c>
      <c r="G47" s="1">
        <f t="shared" si="8"/>
        <v>115.3643388659784</v>
      </c>
      <c r="H47" s="3">
        <f t="shared" si="9"/>
        <v>1189.8379956151359</v>
      </c>
      <c r="I47" s="3">
        <f t="shared" si="10"/>
        <v>963.65197479951996</v>
      </c>
      <c r="J47" s="1">
        <f>VLOOKUP((A47+Forudsætninger!$D$60),'Model tilvækst, slagteform, fe'!G:K,3,FALSE)*(1+Forudsætninger!$D$79)</f>
        <v>50.156098112210671</v>
      </c>
      <c r="K47" s="17">
        <f t="shared" si="0"/>
        <v>57.862250988123307</v>
      </c>
      <c r="L47" s="17">
        <f t="shared" si="11"/>
        <v>629.68139112341248</v>
      </c>
      <c r="M47" s="3">
        <f>((K47-(('Model tilvækst, slagteform, fe'!$I$9/100)*'Model tilvækst, slagteform, fe'!$C$9))*1000/(A47+Forudsætninger!$D$60))</f>
        <v>457.51503837663273</v>
      </c>
      <c r="N47" s="17">
        <f t="shared" si="12"/>
        <v>115.05858844366198</v>
      </c>
      <c r="O47" s="19">
        <f>IF( A47&lt;Forudsætninger!$C$14,(G47/100)*Forudsætninger!$C$13,(Forudsætninger!$C$15/1000)*Forudsætninger!$C$13)</f>
        <v>0.74986820262885956</v>
      </c>
      <c r="P47" s="17" cm="1">
        <f t="array" ref="P47">INDEX('Model tilvækst, slagteform, fe'!$O$9:$O$375,MATCH(MIN(ABS('Model tilvækst, slagteform, fe'!$M$9:$M$375-G47)),ABS('Model tilvækst, slagteform, fe'!$M$9:$M$375-G47),0))*(1+Forudsætninger!$D$80)</f>
        <v>3.3054877184031395</v>
      </c>
      <c r="Q47" s="17">
        <f t="shared" si="13"/>
        <v>5.2494607034612057</v>
      </c>
      <c r="R47" s="17">
        <f t="shared" si="14"/>
        <v>5.0238247113185119</v>
      </c>
      <c r="S47" s="2">
        <f t="shared" si="15"/>
        <v>2.6532997262857267</v>
      </c>
      <c r="T47" s="19">
        <f>(P47)*IF(N47&lt;Forudsætninger!$B$228,IF(N47&lt;Forudsætninger!$B$227,Forudsætninger!$B$225,Forudsætninger!$C$9),Forudsætninger!$C$11)+O47</f>
        <v>9.0466423758207384</v>
      </c>
      <c r="U47" s="2">
        <f>Forudsætninger!$D$68+((K47-(Forudsætninger!$D$84)))*0.01</f>
        <v>5.7182331912408859</v>
      </c>
      <c r="V47" s="2">
        <f>U47+Forudsætninger!$D$69</f>
        <v>5.7182331912408859</v>
      </c>
      <c r="W47">
        <f t="shared" si="1"/>
        <v>0</v>
      </c>
      <c r="X47">
        <f>IF(A47+Forudsætninger!$D$60&gt;248,IF(A47+Forudsætninger!$D$60&lt;365,IF(K47&gt;180,IF(K47&lt;260,1,0),0),0),0)</f>
        <v>0</v>
      </c>
      <c r="Y47" s="22">
        <f>IF(X47=0,0,IF('Vækstfunktion, kry tyr'!A47&lt;Forudsætninger!$D$66,Forudsætninger!$D$67+(('Vækstfunktion, kry tyr'!A47-Forudsætninger!$D$66)/7)*Forudsætninger!$D$64,Forudsætninger!$D$67))</f>
        <v>0</v>
      </c>
      <c r="Z47" s="19">
        <f t="shared" si="20"/>
        <v>801.09150484488794</v>
      </c>
      <c r="AA47" s="19">
        <f>Forudsætninger!$D$62+Forudsætninger!$C$16</f>
        <v>2055</v>
      </c>
      <c r="AB47" s="19">
        <f>IF(K47&gt;Forudsætninger!$C$37,IF(K47&gt;Forudsætninger!$C$38,IF(K47&gt;Forudsætninger!$C$39,Forudsætninger!$E$39,Forudsætninger!$E$38+Forudsætninger!$F$39*(K47-Forudsætninger!$C$38)),Forudsætninger!$E$37+Forudsætninger!$F$38*(K47-Forudsætninger!$C$37)),Forudsætninger!$E$37)+IF(K47&gt;Forudsætninger!$C$39,Forudsætninger!$G$39,IF(K47&gt;Forudsætninger!$C$38,Forudsætninger!$G$38+Forudsætninger!$H$39*(K47-Forudsætninger!$C$38),IF(K47&gt;Forudsætninger!$C$37,Forudsætninger!$G$37+Forudsætninger!$H$38*(K47-Forudsætninger!$C$37),Forudsætninger!$G$37)))*(U47-Forudsætninger!$H$37)</f>
        <v>35.171823319124087</v>
      </c>
      <c r="AC47" s="19">
        <f>IF(K47&gt;Forudsætninger!$C$42,IF(K47&gt;Forudsætninger!$C$43,IF(K47&gt;Forudsætninger!$C$44,Forudsætninger!$E$44,Forudsætninger!$E$43+Forudsætninger!$F$44*(K47-Forudsætninger!$C$43)),Forudsætninger!$E$42+Forudsætninger!$F$43*(K47-Forudsætninger!$C$42)),Forudsætninger!$E$42)+IF(K47&gt;Forudsætninger!$C$44,Forudsætninger!$G$44,IF(K47&gt;Forudsætninger!$C$43,Forudsætninger!$G$43+Forudsætninger!$H$44*(K47-Forudsætninger!$C$43),IF(K47&gt;Forudsætninger!$C$42,Forudsætninger!$G$42+Forudsætninger!$H$43*(K47-Forudsætninger!$C$42),Forudsætninger!$G$42)))*(V47-Forudsætninger!$H$42)</f>
        <v>30.07955829781022</v>
      </c>
      <c r="AD47" s="19">
        <f t="shared" si="2"/>
        <v>1740.4709518397819</v>
      </c>
      <c r="AE47" s="19">
        <f t="shared" si="3"/>
        <v>30.07955829781022</v>
      </c>
      <c r="AF47">
        <f>IF(G47&lt;=Forudsætninger!$C$97,Forudsætninger!$C$98,(IF(G47&lt;=Forudsætninger!$D$97,Forudsætninger!$D$98,IF(G47&lt;=Forudsætninger!$E$97,Forudsætninger!$E$98,IF(G47&lt;=Forudsætninger!$F$97,Forudsætninger!$F$98,IF(G47&lt;=Forudsætninger!$G$97,Forudsætninger!$G$98,IF(G47&lt;=Forudsætninger!$H$97,Forudsætninger!$H$98,IF(G47&lt;=Forudsætninger!$I$97,Forudsætninger!$I$98,Forudsætninger!$I$98))))))))</f>
        <v>2.2000000000000002</v>
      </c>
      <c r="AG47" s="1">
        <f t="shared" si="16"/>
        <v>2.2000000000000002</v>
      </c>
      <c r="AH47" s="1">
        <f t="shared" si="21"/>
        <v>99.000000000000071</v>
      </c>
      <c r="AI47" s="1">
        <f t="shared" si="4"/>
        <v>2.2000000000000015</v>
      </c>
      <c r="AJ47" s="20">
        <f>+(W47*Forudsætninger!$C$12)</f>
        <v>0</v>
      </c>
      <c r="AK47" s="20">
        <f>Forudsætninger!$C$17</f>
        <v>250</v>
      </c>
      <c r="AL47" s="20">
        <f>IF(A47&lt;92,Forudsætninger!$C$20,Forudsætninger!$C$21)</f>
        <v>4.0072859744990899</v>
      </c>
      <c r="AM47" s="20">
        <f t="shared" si="17"/>
        <v>180.32786885245906</v>
      </c>
      <c r="AN47" s="19">
        <f>IFERROR(AD47+AJ47-AA47-Z47-AK47-AM47-Forudsætninger!$D$75,-99999)</f>
        <v>-1763.8403955585254</v>
      </c>
      <c r="AO47" s="57">
        <f>IFERROR(AN47/(A47+Forudsætninger!$D$74),-99999)</f>
        <v>-39.1964532346339</v>
      </c>
      <c r="AP47" s="19">
        <f>IFERROR(((365/(A47+Forudsætninger!$D$74))*AN47)/(AI47+Forudsætninger!$D$73),-99999)</f>
        <v>-6193.3789743036205</v>
      </c>
      <c r="AQ47" s="18">
        <f t="shared" si="22"/>
        <v>45</v>
      </c>
      <c r="AR47" s="18">
        <f t="shared" si="23"/>
        <v>3286.4193736973471</v>
      </c>
      <c r="AS47" s="50">
        <f t="shared" si="24"/>
        <v>2.6</v>
      </c>
      <c r="AT47" s="50">
        <f t="shared" si="25"/>
        <v>5.9767054731266853</v>
      </c>
      <c r="AU47" s="50">
        <f t="shared" si="26"/>
        <v>1.0266626979036459</v>
      </c>
      <c r="AV47" s="2">
        <f t="shared" si="27"/>
        <v>162.22159512330381</v>
      </c>
      <c r="AW47" s="16">
        <f t="shared" si="19"/>
        <v>-35.189167260134809</v>
      </c>
      <c r="AZ47" s="16"/>
      <c r="BA47" s="2"/>
    </row>
    <row r="48" spans="1:53" x14ac:dyDescent="0.25">
      <c r="A48">
        <v>46</v>
      </c>
      <c r="B48" s="1">
        <f>ROUND((A48+Forudsætninger!$D$60)/30.4,1)</f>
        <v>2.6</v>
      </c>
      <c r="C48" s="1">
        <f>VLOOKUP((A48+Forudsætninger!$D$60),'Model tilvækst, slagteform, fe'!A:C,3,FALSE)</f>
        <v>127.84038046560342</v>
      </c>
      <c r="D48" s="3">
        <f t="shared" si="28"/>
        <v>1514.9546738681038</v>
      </c>
      <c r="E48" s="3">
        <f>(1+Forudsætninger!$D$78)*C48</f>
        <v>107.38591959110687</v>
      </c>
      <c r="F48" s="2">
        <f t="shared" si="29"/>
        <v>9.1752334672273239</v>
      </c>
      <c r="G48" s="1">
        <f t="shared" si="8"/>
        <v>116.5611530583342</v>
      </c>
      <c r="H48" s="3">
        <f t="shared" si="9"/>
        <v>1196.8141923558023</v>
      </c>
      <c r="I48" s="3">
        <f t="shared" si="10"/>
        <v>968.72071865943906</v>
      </c>
      <c r="J48" s="1">
        <f>VLOOKUP((A48+Forudsætninger!$D$60),'Model tilvækst, slagteform, fe'!G:K,3,FALSE)*(1+Forudsætninger!$D$79)</f>
        <v>50.184561062887468</v>
      </c>
      <c r="K48" s="17">
        <f t="shared" si="0"/>
        <v>58.495703032165451</v>
      </c>
      <c r="L48" s="17">
        <f t="shared" si="11"/>
        <v>633.45204404214428</v>
      </c>
      <c r="M48" s="3">
        <f>((K48-(('Model tilvækst, slagteform, fe'!$I$9/100)*'Model tilvækst, slagteform, fe'!$C$9))*1000/(A48+Forudsætninger!$D$60))</f>
        <v>459.71425094745155</v>
      </c>
      <c r="N48" s="17">
        <f t="shared" si="12"/>
        <v>118.40150607850893</v>
      </c>
      <c r="O48" s="19">
        <f>IF( A48&lt;Forudsætninger!$C$14,(G48/100)*Forudsætninger!$C$13,(Forudsætninger!$C$15/1000)*Forudsætninger!$C$13)</f>
        <v>0.75764749487917227</v>
      </c>
      <c r="P48" s="17" cm="1">
        <f t="array" ref="P48">INDEX('Model tilvækst, slagteform, fe'!$O$9:$O$375,MATCH(MIN(ABS('Model tilvækst, slagteform, fe'!$M$9:$M$375-G48)),ABS('Model tilvækst, slagteform, fe'!$M$9:$M$375-G48),0))*(1+Forudsætninger!$D$80)</f>
        <v>3.3429176348469514</v>
      </c>
      <c r="Q48" s="17">
        <f t="shared" si="13"/>
        <v>5.2773018356927794</v>
      </c>
      <c r="R48" s="17">
        <f t="shared" si="14"/>
        <v>5.0306468275723706</v>
      </c>
      <c r="S48" s="2">
        <f t="shared" si="15"/>
        <v>2.6570566054139504</v>
      </c>
      <c r="T48" s="19">
        <f>(P48)*IF(N48&lt;Forudsætninger!$B$228,IF(N48&lt;Forudsætninger!$B$227,Forudsætninger!$B$225,Forudsætninger!$C$9),Forudsætninger!$C$11)+O48</f>
        <v>9.1483707583450204</v>
      </c>
      <c r="U48" s="2">
        <f>Forudsætninger!$D$68+((K48-(Forudsætninger!$D$84)))*0.01</f>
        <v>5.7245677116813072</v>
      </c>
      <c r="V48" s="2">
        <f>U48+Forudsætninger!$D$69</f>
        <v>5.7245677116813072</v>
      </c>
      <c r="W48">
        <f t="shared" si="1"/>
        <v>0</v>
      </c>
      <c r="X48">
        <f>IF(A48+Forudsætninger!$D$60&gt;248,IF(A48+Forudsætninger!$D$60&lt;365,IF(K48&gt;180,IF(K48&lt;260,1,0),0),0),0)</f>
        <v>0</v>
      </c>
      <c r="Y48" s="22">
        <f>IF(X48=0,0,IF('Vækstfunktion, kry tyr'!A48&lt;Forudsætninger!$D$66,Forudsætninger!$D$67+(('Vækstfunktion, kry tyr'!A48-Forudsætninger!$D$66)/7)*Forudsætninger!$D$64,Forudsætninger!$D$67))</f>
        <v>0</v>
      </c>
      <c r="Z48" s="19">
        <f t="shared" si="20"/>
        <v>810.23987560323292</v>
      </c>
      <c r="AA48" s="19">
        <f>Forudsætninger!$D$62+Forudsætninger!$C$16</f>
        <v>2055</v>
      </c>
      <c r="AB48" s="19">
        <f>IF(K48&gt;Forudsætninger!$C$37,IF(K48&gt;Forudsætninger!$C$38,IF(K48&gt;Forudsætninger!$C$39,Forudsætninger!$E$39,Forudsætninger!$E$38+Forudsætninger!$F$39*(K48-Forudsætninger!$C$38)),Forudsætninger!$E$37+Forudsætninger!$F$38*(K48-Forudsætninger!$C$37)),Forudsætninger!$E$37)+IF(K48&gt;Forudsætninger!$C$39,Forudsætninger!$G$39,IF(K48&gt;Forudsætninger!$C$38,Forudsætninger!$G$38+Forudsætninger!$H$39*(K48-Forudsætninger!$C$38),IF(K48&gt;Forudsætninger!$C$37,Forudsætninger!$G$37+Forudsætninger!$H$38*(K48-Forudsætninger!$C$37),Forudsætninger!$G$37)))*(U48-Forudsætninger!$H$37)</f>
        <v>35.172456771168129</v>
      </c>
      <c r="AC48" s="19">
        <f>IF(K48&gt;Forudsætninger!$C$42,IF(K48&gt;Forudsætninger!$C$43,IF(K48&gt;Forudsætninger!$C$44,Forudsætninger!$E$44,Forudsætninger!$E$43+Forudsætninger!$F$44*(K48-Forudsætninger!$C$43)),Forudsætninger!$E$42+Forudsætninger!$F$43*(K48-Forudsætninger!$C$42)),Forudsætninger!$E$42)+IF(K48&gt;Forudsætninger!$C$44,Forudsætninger!$G$44,IF(K48&gt;Forudsætninger!$C$43,Forudsætninger!$G$43+Forudsætninger!$H$44*(K48-Forudsætninger!$C$43),IF(K48&gt;Forudsætninger!$C$42,Forudsætninger!$G$42+Forudsætninger!$H$43*(K48-Forudsætninger!$C$42),Forudsætninger!$G$42)))*(V48-Forudsætninger!$H$42)</f>
        <v>30.081141927920324</v>
      </c>
      <c r="AD48" s="19">
        <f t="shared" si="2"/>
        <v>1759.6175450840483</v>
      </c>
      <c r="AE48" s="19">
        <f t="shared" si="3"/>
        <v>30.081141927920324</v>
      </c>
      <c r="AF48">
        <f>IF(G48&lt;=Forudsætninger!$C$97,Forudsætninger!$C$98,(IF(G48&lt;=Forudsætninger!$D$97,Forudsætninger!$D$98,IF(G48&lt;=Forudsætninger!$E$97,Forudsætninger!$E$98,IF(G48&lt;=Forudsætninger!$F$97,Forudsætninger!$F$98,IF(G48&lt;=Forudsætninger!$G$97,Forudsætninger!$G$98,IF(G48&lt;=Forudsætninger!$H$97,Forudsætninger!$H$98,IF(G48&lt;=Forudsætninger!$I$97,Forudsætninger!$I$98,Forudsætninger!$I$98))))))))</f>
        <v>2.2000000000000002</v>
      </c>
      <c r="AG48" s="1">
        <f t="shared" si="16"/>
        <v>2.2000000000000002</v>
      </c>
      <c r="AH48" s="1">
        <f t="shared" si="21"/>
        <v>101.20000000000007</v>
      </c>
      <c r="AI48" s="1">
        <f t="shared" si="4"/>
        <v>2.2000000000000015</v>
      </c>
      <c r="AJ48" s="20">
        <f>+(W48*Forudsætninger!$C$12)</f>
        <v>0</v>
      </c>
      <c r="AK48" s="20">
        <f>Forudsætninger!$C$17</f>
        <v>250</v>
      </c>
      <c r="AL48" s="20">
        <f>IF(A48&lt;92,Forudsætninger!$C$20,Forudsætninger!$C$21)</f>
        <v>4.0072859744990899</v>
      </c>
      <c r="AM48" s="20">
        <f t="shared" si="17"/>
        <v>184.33515482695816</v>
      </c>
      <c r="AN48" s="19">
        <f>IFERROR(AD48+AJ48-AA48-Z48-AK48-AM48-Forudsætninger!$D$75,-99999)</f>
        <v>-1757.8494590471032</v>
      </c>
      <c r="AO48" s="57">
        <f>IFERROR(AN48/(A48+Forudsætninger!$D$74),-99999)</f>
        <v>-38.214118674937026</v>
      </c>
      <c r="AP48" s="19">
        <f>IFERROR(((365/(A48+Forudsætninger!$D$74))*AN48)/(AI48+Forudsætninger!$D$73),-99999)</f>
        <v>-6038.161608810392</v>
      </c>
      <c r="AQ48" s="18">
        <f t="shared" si="22"/>
        <v>46</v>
      </c>
      <c r="AR48" s="18">
        <f t="shared" si="23"/>
        <v>3299.575030430191</v>
      </c>
      <c r="AS48" s="50">
        <f t="shared" si="24"/>
        <v>2.6</v>
      </c>
      <c r="AT48" s="50">
        <f t="shared" si="25"/>
        <v>5.9909365114222055</v>
      </c>
      <c r="AU48" s="50">
        <f t="shared" si="26"/>
        <v>0.98233455969687355</v>
      </c>
      <c r="AV48" s="2">
        <f t="shared" si="27"/>
        <v>155.2173654932285</v>
      </c>
      <c r="AW48" s="16">
        <f t="shared" si="19"/>
        <v>-34.206832700437936</v>
      </c>
      <c r="AZ48" s="16"/>
      <c r="BA48" s="2"/>
    </row>
    <row r="49" spans="1:53" x14ac:dyDescent="0.25">
      <c r="A49">
        <v>47</v>
      </c>
      <c r="B49" s="1">
        <f>ROUND((A49+Forudsætninger!$D$60)/30.4,1)</f>
        <v>2.7</v>
      </c>
      <c r="C49" s="1">
        <f>VLOOKUP((A49+Forudsætninger!$D$60),'Model tilvækst, slagteform, fe'!A:C,3,FALSE)</f>
        <v>129.36403641287961</v>
      </c>
      <c r="D49" s="3">
        <f t="shared" si="28"/>
        <v>1523.6559472761969</v>
      </c>
      <c r="E49" s="3">
        <f>(1+Forudsætninger!$D$78)*C49</f>
        <v>108.66579058681887</v>
      </c>
      <c r="F49" s="2">
        <f t="shared" si="29"/>
        <v>9.0990506698635141</v>
      </c>
      <c r="G49" s="1">
        <f t="shared" si="8"/>
        <v>117.76484125668239</v>
      </c>
      <c r="H49" s="3">
        <f t="shared" si="9"/>
        <v>1203.688198348189</v>
      </c>
      <c r="I49" s="3">
        <f t="shared" si="10"/>
        <v>973.72002673792315</v>
      </c>
      <c r="J49" s="1">
        <f>VLOOKUP((A49+Forudsætninger!$D$60),'Model tilvækst, slagteform, fe'!G:K,3,FALSE)*(1+Forudsætninger!$D$79)</f>
        <v>50.212678029288732</v>
      </c>
      <c r="K49" s="17">
        <f t="shared" si="0"/>
        <v>59.1328805719209</v>
      </c>
      <c r="L49" s="17">
        <f t="shared" si="11"/>
        <v>637.17753975544861</v>
      </c>
      <c r="M49" s="3">
        <f>((K49-(('Model tilvækst, slagteform, fe'!$I$9/100)*'Model tilvækst, slagteform, fe'!$C$9))*1000/(A49+Forudsætninger!$D$60))</f>
        <v>461.90515574755034</v>
      </c>
      <c r="N49" s="17">
        <f t="shared" si="12"/>
        <v>121.78179569991768</v>
      </c>
      <c r="O49" s="19">
        <f>IF( A49&lt;Forudsætninger!$C$14,(G49/100)*Forudsætninger!$C$13,(Forudsætninger!$C$15/1000)*Forudsætninger!$C$13)</f>
        <v>0.76547146816843548</v>
      </c>
      <c r="P49" s="17" cm="1">
        <f t="array" ref="P49">INDEX('Model tilvækst, slagteform, fe'!$O$9:$O$375,MATCH(MIN(ABS('Model tilvækst, slagteform, fe'!$M$9:$M$375-G49)),ABS('Model tilvækst, slagteform, fe'!$M$9:$M$375-G49),0))*(1+Forudsætninger!$D$80)</f>
        <v>3.380289621408747</v>
      </c>
      <c r="Q49" s="17">
        <f t="shared" si="13"/>
        <v>5.3050985172925529</v>
      </c>
      <c r="R49" s="17">
        <f t="shared" si="14"/>
        <v>5.0378810507592933</v>
      </c>
      <c r="S49" s="2">
        <f t="shared" si="15"/>
        <v>2.6610339368791238</v>
      </c>
      <c r="T49" s="19">
        <f>(P49)*IF(N49&lt;Forudsætninger!$B$228,IF(N49&lt;Forudsætninger!$B$227,Forudsætninger!$B$225,Forudsætninger!$C$9),Forudsætninger!$C$11)+O49</f>
        <v>9.2499984179043899</v>
      </c>
      <c r="U49" s="2">
        <f>Forudsætninger!$D$68+((K49-(Forudsætninger!$D$84)))*0.01</f>
        <v>5.7309394870788619</v>
      </c>
      <c r="V49" s="2">
        <f>U49+Forudsætninger!$D$69</f>
        <v>5.7309394870788619</v>
      </c>
      <c r="W49">
        <f t="shared" si="1"/>
        <v>0</v>
      </c>
      <c r="X49">
        <f>IF(A49+Forudsætninger!$D$60&gt;248,IF(A49+Forudsætninger!$D$60&lt;365,IF(K49&gt;180,IF(K49&lt;260,1,0),0),0),0)</f>
        <v>0</v>
      </c>
      <c r="Y49" s="22">
        <f>IF(X49=0,0,IF('Vækstfunktion, kry tyr'!A49&lt;Forudsætninger!$D$66,Forudsætninger!$D$67+(('Vækstfunktion, kry tyr'!A49-Forudsætninger!$D$66)/7)*Forudsætninger!$D$64,Forudsætninger!$D$67))</f>
        <v>0</v>
      </c>
      <c r="Z49" s="19">
        <f t="shared" si="20"/>
        <v>819.48987402113733</v>
      </c>
      <c r="AA49" s="19">
        <f>Forudsætninger!$D$62+Forudsætninger!$C$16</f>
        <v>2055</v>
      </c>
      <c r="AB49" s="19">
        <f>IF(K49&gt;Forudsætninger!$C$37,IF(K49&gt;Forudsætninger!$C$38,IF(K49&gt;Forudsætninger!$C$39,Forudsætninger!$E$39,Forudsætninger!$E$38+Forudsætninger!$F$39*(K49-Forudsætninger!$C$38)),Forudsætninger!$E$37+Forudsætninger!$F$38*(K49-Forudsætninger!$C$37)),Forudsætninger!$E$37)+IF(K49&gt;Forudsætninger!$C$39,Forudsætninger!$G$39,IF(K49&gt;Forudsætninger!$C$38,Forudsætninger!$G$38+Forudsætninger!$H$39*(K49-Forudsætninger!$C$38),IF(K49&gt;Forudsætninger!$C$37,Forudsætninger!$G$37+Forudsætninger!$H$38*(K49-Forudsætninger!$C$37),Forudsætninger!$G$37)))*(U49-Forudsætninger!$H$37)</f>
        <v>35.173093948707887</v>
      </c>
      <c r="AC49" s="19">
        <f>IF(K49&gt;Forudsætninger!$C$42,IF(K49&gt;Forudsætninger!$C$43,IF(K49&gt;Forudsætninger!$C$44,Forudsætninger!$E$44,Forudsætninger!$E$43+Forudsætninger!$F$44*(K49-Forudsætninger!$C$43)),Forudsætninger!$E$42+Forudsætninger!$F$43*(K49-Forudsætninger!$C$42)),Forudsætninger!$E$42)+IF(K49&gt;Forudsætninger!$C$44,Forudsætninger!$G$44,IF(K49&gt;Forudsætninger!$C$43,Forudsætninger!$G$43+Forudsætninger!$H$44*(K49-Forudsætninger!$C$43),IF(K49&gt;Forudsætninger!$C$42,Forudsætninger!$G$42+Forudsætninger!$H$43*(K49-Forudsætninger!$C$42),Forudsætninger!$G$42)))*(V49-Forudsætninger!$H$42)</f>
        <v>30.082734871769713</v>
      </c>
      <c r="AD49" s="19">
        <f t="shared" si="2"/>
        <v>1778.8787684491185</v>
      </c>
      <c r="AE49" s="19">
        <f t="shared" si="3"/>
        <v>30.082734871769713</v>
      </c>
      <c r="AF49">
        <f>IF(G49&lt;=Forudsætninger!$C$97,Forudsætninger!$C$98,(IF(G49&lt;=Forudsætninger!$D$97,Forudsætninger!$D$98,IF(G49&lt;=Forudsætninger!$E$97,Forudsætninger!$E$98,IF(G49&lt;=Forudsætninger!$F$97,Forudsætninger!$F$98,IF(G49&lt;=Forudsætninger!$G$97,Forudsætninger!$G$98,IF(G49&lt;=Forudsætninger!$H$97,Forudsætninger!$H$98,IF(G49&lt;=Forudsætninger!$I$97,Forudsætninger!$I$98,Forudsætninger!$I$98))))))))</f>
        <v>2.2000000000000002</v>
      </c>
      <c r="AG49" s="1">
        <f t="shared" si="16"/>
        <v>2.2000000000000002</v>
      </c>
      <c r="AH49" s="1">
        <f t="shared" si="21"/>
        <v>103.40000000000008</v>
      </c>
      <c r="AI49" s="1">
        <f t="shared" si="4"/>
        <v>2.2000000000000015</v>
      </c>
      <c r="AJ49" s="20">
        <f>+(W49*Forudsætninger!$C$12)</f>
        <v>0</v>
      </c>
      <c r="AK49" s="20">
        <f>Forudsætninger!$C$17</f>
        <v>250</v>
      </c>
      <c r="AL49" s="20">
        <f>IF(A49&lt;92,Forudsætninger!$C$20,Forudsætninger!$C$21)</f>
        <v>4.0072859744990899</v>
      </c>
      <c r="AM49" s="20">
        <f t="shared" si="17"/>
        <v>188.34244080145726</v>
      </c>
      <c r="AN49" s="19">
        <f>IFERROR(AD49+AJ49-AA49-Z49-AK49-AM49-Forudsætninger!$D$75,-99999)</f>
        <v>-1751.8455200744365</v>
      </c>
      <c r="AO49" s="57">
        <f>IFERROR(AN49/(A49+Forudsætninger!$D$74),-99999)</f>
        <v>-37.273308937753967</v>
      </c>
      <c r="AP49" s="19">
        <f>IFERROR(((365/(A49+Forudsætninger!$D$74))*AN49)/(AI49+Forudsætninger!$D$73),-99999)</f>
        <v>-5889.5055247966193</v>
      </c>
      <c r="AQ49" s="18">
        <f t="shared" si="22"/>
        <v>47</v>
      </c>
      <c r="AR49" s="18">
        <f t="shared" si="23"/>
        <v>3312.8323148225945</v>
      </c>
      <c r="AS49" s="50">
        <f t="shared" si="24"/>
        <v>2.7</v>
      </c>
      <c r="AT49" s="50">
        <f t="shared" si="25"/>
        <v>6.0039389726666741</v>
      </c>
      <c r="AU49" s="50">
        <f t="shared" si="26"/>
        <v>0.94080973718305927</v>
      </c>
      <c r="AV49" s="2">
        <f t="shared" si="27"/>
        <v>148.65608401377267</v>
      </c>
      <c r="AW49" s="16">
        <f t="shared" si="19"/>
        <v>-33.266022963254876</v>
      </c>
      <c r="AZ49" s="16"/>
      <c r="BA49" s="2"/>
    </row>
    <row r="50" spans="1:53" x14ac:dyDescent="0.25">
      <c r="A50">
        <v>48</v>
      </c>
      <c r="B50" s="1">
        <f>ROUND((A50+Forudsætninger!$D$60)/30.4,1)</f>
        <v>2.7</v>
      </c>
      <c r="C50" s="1">
        <f>VLOOKUP((A50+Forudsætninger!$D$60),'Model tilvækst, slagteform, fe'!A:C,3,FALSE)</f>
        <v>130.89626489912305</v>
      </c>
      <c r="D50" s="3">
        <f t="shared" si="28"/>
        <v>1532.2284862434401</v>
      </c>
      <c r="E50" s="3">
        <f>(1+Forudsætninger!$D$78)*C50</f>
        <v>109.95286251526336</v>
      </c>
      <c r="F50" s="2">
        <f t="shared" si="29"/>
        <v>9.0224392455513414</v>
      </c>
      <c r="G50" s="1">
        <f t="shared" si="8"/>
        <v>118.9753017608147</v>
      </c>
      <c r="H50" s="3">
        <f t="shared" si="9"/>
        <v>1210.4605041323139</v>
      </c>
      <c r="I50" s="3">
        <f t="shared" si="10"/>
        <v>978.65212001697284</v>
      </c>
      <c r="J50" s="1">
        <f>VLOOKUP((A50+Forudsætninger!$D$60),'Model tilvækst, slagteform, fe'!G:K,3,FALSE)*(1+Forudsætninger!$D$79)</f>
        <v>50.2404600655275</v>
      </c>
      <c r="K50" s="17">
        <f t="shared" si="0"/>
        <v>59.773738968982954</v>
      </c>
      <c r="L50" s="17">
        <f t="shared" si="11"/>
        <v>640.85839706205411</v>
      </c>
      <c r="M50" s="3">
        <f>((K50-(('Model tilvækst, slagteform, fe'!$I$9/100)*'Model tilvækst, slagteform, fe'!$C$9))*1000/(A50+Forudsætninger!$D$60))</f>
        <v>464.08751234894669</v>
      </c>
      <c r="N50" s="17">
        <f t="shared" si="12"/>
        <v>125.19939621081413</v>
      </c>
      <c r="O50" s="19">
        <f>IF( A50&lt;Forudsætninger!$C$14,(G50/100)*Forudsætninger!$C$13,(Forudsætninger!$C$15/1000)*Forudsætninger!$C$13)</f>
        <v>0.77333946144529553</v>
      </c>
      <c r="P50" s="17" cm="1">
        <f t="array" ref="P50">INDEX('Model tilvækst, slagteform, fe'!$O$9:$O$375,MATCH(MIN(ABS('Model tilvækst, slagteform, fe'!$M$9:$M$375-G50)),ABS('Model tilvækst, slagteform, fe'!$M$9:$M$375-G50),0))*(1+Forudsætninger!$D$80)</f>
        <v>3.4176005108964551</v>
      </c>
      <c r="Q50" s="17">
        <f t="shared" si="13"/>
        <v>5.3328481401883385</v>
      </c>
      <c r="R50" s="17">
        <f t="shared" si="14"/>
        <v>5.0454989904683734</v>
      </c>
      <c r="S50" s="2">
        <f t="shared" si="15"/>
        <v>2.6652174976606848</v>
      </c>
      <c r="T50" s="19">
        <f>(P50)*IF(N50&lt;Forudsætninger!$B$228,IF(N50&lt;Forudsætninger!$B$227,Forudsætninger!$B$225,Forudsætninger!$C$9),Forudsætninger!$C$11)+O50</f>
        <v>9.351516743795397</v>
      </c>
      <c r="U50" s="2">
        <f>Forudsætninger!$D$68+((K50-(Forudsætninger!$D$84)))*0.01</f>
        <v>5.7373480710494817</v>
      </c>
      <c r="V50" s="2">
        <f>U50+Forudsætninger!$D$69</f>
        <v>5.7373480710494817</v>
      </c>
      <c r="W50">
        <f t="shared" si="1"/>
        <v>0</v>
      </c>
      <c r="X50">
        <f>IF(A50+Forudsætninger!$D$60&gt;248,IF(A50+Forudsætninger!$D$60&lt;365,IF(K50&gt;180,IF(K50&lt;260,1,0),0),0),0)</f>
        <v>0</v>
      </c>
      <c r="Y50" s="22">
        <f>IF(X50=0,0,IF('Vækstfunktion, kry tyr'!A50&lt;Forudsætninger!$D$66,Forudsætninger!$D$67+(('Vækstfunktion, kry tyr'!A50-Forudsætninger!$D$66)/7)*Forudsætninger!$D$64,Forudsætninger!$D$67))</f>
        <v>0</v>
      </c>
      <c r="Z50" s="19">
        <f t="shared" si="20"/>
        <v>828.84139076493273</v>
      </c>
      <c r="AA50" s="19">
        <f>Forudsætninger!$D$62+Forudsætninger!$C$16</f>
        <v>2055</v>
      </c>
      <c r="AB50" s="19">
        <f>IF(K50&gt;Forudsætninger!$C$37,IF(K50&gt;Forudsætninger!$C$38,IF(K50&gt;Forudsætninger!$C$39,Forudsætninger!$E$39,Forudsætninger!$E$38+Forudsætninger!$F$39*(K50-Forudsætninger!$C$38)),Forudsætninger!$E$37+Forudsætninger!$F$38*(K50-Forudsætninger!$C$37)),Forudsætninger!$E$37)+IF(K50&gt;Forudsætninger!$C$39,Forudsætninger!$G$39,IF(K50&gt;Forudsætninger!$C$38,Forudsætninger!$G$38+Forudsætninger!$H$39*(K50-Forudsætninger!$C$38),IF(K50&gt;Forudsætninger!$C$37,Forudsætninger!$G$37+Forudsætninger!$H$38*(K50-Forudsætninger!$C$37),Forudsætninger!$G$37)))*(U50-Forudsætninger!$H$37)</f>
        <v>35.17373480710495</v>
      </c>
      <c r="AC50" s="19">
        <f>IF(K50&gt;Forudsætninger!$C$42,IF(K50&gt;Forudsætninger!$C$43,IF(K50&gt;Forudsætninger!$C$44,Forudsætninger!$E$44,Forudsætninger!$E$43+Forudsætninger!$F$44*(K50-Forudsætninger!$C$43)),Forudsætninger!$E$42+Forudsætninger!$F$43*(K50-Forudsætninger!$C$42)),Forudsætninger!$E$42)+IF(K50&gt;Forudsætninger!$C$44,Forudsætninger!$G$44,IF(K50&gt;Forudsætninger!$C$43,Forudsætninger!$G$43+Forudsætninger!$H$44*(K50-Forudsætninger!$C$43),IF(K50&gt;Forudsætninger!$C$42,Forudsætninger!$G$42+Forudsætninger!$H$43*(K50-Forudsætninger!$C$42),Forudsætninger!$G$42)))*(V50-Forudsætninger!$H$42)</f>
        <v>30.084337017762369</v>
      </c>
      <c r="AD50" s="19">
        <f t="shared" si="2"/>
        <v>1798.253307954639</v>
      </c>
      <c r="AE50" s="19">
        <f t="shared" si="3"/>
        <v>30.084337017762369</v>
      </c>
      <c r="AF50">
        <f>IF(G50&lt;=Forudsætninger!$C$97,Forudsætninger!$C$98,(IF(G50&lt;=Forudsætninger!$D$97,Forudsætninger!$D$98,IF(G50&lt;=Forudsætninger!$E$97,Forudsætninger!$E$98,IF(G50&lt;=Forudsætninger!$F$97,Forudsætninger!$F$98,IF(G50&lt;=Forudsætninger!$G$97,Forudsætninger!$G$98,IF(G50&lt;=Forudsætninger!$H$97,Forudsætninger!$H$98,IF(G50&lt;=Forudsætninger!$I$97,Forudsætninger!$I$98,Forudsætninger!$I$98))))))))</f>
        <v>2.2000000000000002</v>
      </c>
      <c r="AG50" s="1">
        <f t="shared" si="16"/>
        <v>2.2000000000000002</v>
      </c>
      <c r="AH50" s="1">
        <f t="shared" si="21"/>
        <v>105.60000000000008</v>
      </c>
      <c r="AI50" s="1">
        <f t="shared" si="4"/>
        <v>2.2000000000000015</v>
      </c>
      <c r="AJ50" s="20">
        <f>+(W50*Forudsætninger!$C$12)</f>
        <v>0</v>
      </c>
      <c r="AK50" s="20">
        <f>Forudsætninger!$C$17</f>
        <v>250</v>
      </c>
      <c r="AL50" s="20">
        <f>IF(A50&lt;92,Forudsætninger!$C$20,Forudsætninger!$C$21)</f>
        <v>4.0072859744990899</v>
      </c>
      <c r="AM50" s="20">
        <f t="shared" si="17"/>
        <v>192.34972677595636</v>
      </c>
      <c r="AN50" s="19">
        <f>IFERROR(AD50+AJ50-AA50-Z50-AK50-AM50-Forudsætninger!$D$75,-99999)</f>
        <v>-1745.8297832872101</v>
      </c>
      <c r="AO50" s="57">
        <f>IFERROR(AN50/(A50+Forudsætninger!$D$74),-99999)</f>
        <v>-36.371453818483545</v>
      </c>
      <c r="AP50" s="19">
        <f>IFERROR(((365/(A50+Forudsætninger!$D$74))*AN50)/(AI50+Forudsætninger!$D$73),-99999)</f>
        <v>-5747.0046076824619</v>
      </c>
      <c r="AQ50" s="18">
        <f t="shared" si="22"/>
        <v>48</v>
      </c>
      <c r="AR50" s="18">
        <f t="shared" si="23"/>
        <v>3326.1911175408891</v>
      </c>
      <c r="AS50" s="50">
        <f t="shared" si="24"/>
        <v>2.7</v>
      </c>
      <c r="AT50" s="50">
        <f t="shared" si="25"/>
        <v>6.0157367872263876</v>
      </c>
      <c r="AU50" s="50">
        <f t="shared" si="26"/>
        <v>0.90185511927042228</v>
      </c>
      <c r="AV50" s="2">
        <f t="shared" si="27"/>
        <v>142.50091711415735</v>
      </c>
      <c r="AW50" s="16">
        <f t="shared" si="19"/>
        <v>-32.364167843984454</v>
      </c>
      <c r="AZ50" s="16"/>
      <c r="BA50" s="2"/>
    </row>
    <row r="51" spans="1:53" x14ac:dyDescent="0.25">
      <c r="A51">
        <v>49</v>
      </c>
      <c r="B51" s="1">
        <f>ROUND((A51+Forudsætninger!$D$60)/30.4,1)</f>
        <v>2.7</v>
      </c>
      <c r="C51" s="1">
        <f>VLOOKUP((A51+Forudsætninger!$D$60),'Model tilvækst, slagteform, fe'!A:C,3,FALSE)</f>
        <v>132.43693781082942</v>
      </c>
      <c r="D51" s="3">
        <f t="shared" si="28"/>
        <v>1540.6729117063662</v>
      </c>
      <c r="E51" s="3">
        <f>(1+Forudsætninger!$D$78)*C51</f>
        <v>111.2470277610967</v>
      </c>
      <c r="F51" s="2">
        <f t="shared" si="29"/>
        <v>8.9454055999660227</v>
      </c>
      <c r="G51" s="1">
        <f t="shared" si="8"/>
        <v>120.19243336106273</v>
      </c>
      <c r="H51" s="3">
        <f t="shared" si="9"/>
        <v>1217.1316002480239</v>
      </c>
      <c r="I51" s="3">
        <f t="shared" si="10"/>
        <v>983.5190481849537</v>
      </c>
      <c r="J51" s="1">
        <f>VLOOKUP((A51+Forudsætninger!$D$60),'Model tilvækst, slagteform, fe'!G:K,3,FALSE)*(1+Forudsætninger!$D$79)</f>
        <v>50.267918225716905</v>
      </c>
      <c r="K51" s="17">
        <f t="shared" si="0"/>
        <v>60.418234115438288</v>
      </c>
      <c r="L51" s="17">
        <f t="shared" si="11"/>
        <v>644.49514645533418</v>
      </c>
      <c r="M51" s="3">
        <f>((K51-(('Model tilvækst, slagteform, fe'!$I$9/100)*'Model tilvækst, slagteform, fe'!$C$9))*1000/(A51+Forudsætninger!$D$60))</f>
        <v>466.26109830203563</v>
      </c>
      <c r="N51" s="17">
        <f t="shared" si="12"/>
        <v>128.65424334693213</v>
      </c>
      <c r="O51" s="19">
        <f>IF( A51&lt;Forudsætninger!$C$14,(G51/100)*Forudsætninger!$C$13,(Forudsætninger!$C$15/1000)*Forudsætninger!$C$13)</f>
        <v>0.78125081684690778</v>
      </c>
      <c r="P51" s="17" cm="1">
        <f t="array" ref="P51">INDEX('Model tilvækst, slagteform, fe'!$O$9:$O$375,MATCH(MIN(ABS('Model tilvækst, slagteform, fe'!$M$9:$M$375-G51)),ABS('Model tilvækst, slagteform, fe'!$M$9:$M$375-G51),0))*(1+Forudsætninger!$D$80)</f>
        <v>3.4548471361180035</v>
      </c>
      <c r="Q51" s="17">
        <f t="shared" si="13"/>
        <v>5.3605479500029665</v>
      </c>
      <c r="R51" s="17">
        <f t="shared" si="14"/>
        <v>5.0534745961250227</v>
      </c>
      <c r="S51" s="2">
        <f t="shared" si="15"/>
        <v>2.6695942573192175</v>
      </c>
      <c r="T51" s="19">
        <f>(P51)*IF(N51&lt;Forudsætninger!$B$228,IF(N51&lt;Forudsætninger!$B$227,Forudsætninger!$B$225,Forudsætninger!$C$9),Forudsætninger!$C$11)+O51</f>
        <v>9.4529171285030973</v>
      </c>
      <c r="U51" s="2">
        <f>Forudsætninger!$D$68+((K51-(Forudsætninger!$D$84)))*0.01</f>
        <v>5.7437930225140352</v>
      </c>
      <c r="V51" s="2">
        <f>U51+Forudsætninger!$D$69</f>
        <v>5.7437930225140352</v>
      </c>
      <c r="W51">
        <f t="shared" si="1"/>
        <v>0</v>
      </c>
      <c r="X51">
        <f>IF(A51+Forudsætninger!$D$60&gt;248,IF(A51+Forudsætninger!$D$60&lt;365,IF(K51&gt;180,IF(K51&lt;260,1,0),0),0),0)</f>
        <v>0</v>
      </c>
      <c r="Y51" s="22">
        <f>IF(X51=0,0,IF('Vækstfunktion, kry tyr'!A51&lt;Forudsætninger!$D$66,Forudsætninger!$D$67+(('Vækstfunktion, kry tyr'!A51-Forudsætninger!$D$66)/7)*Forudsætninger!$D$64,Forudsætninger!$D$67))</f>
        <v>0</v>
      </c>
      <c r="Z51" s="19">
        <f t="shared" si="20"/>
        <v>838.29430789343587</v>
      </c>
      <c r="AA51" s="19">
        <f>Forudsætninger!$D$62+Forudsætninger!$C$16</f>
        <v>2055</v>
      </c>
      <c r="AB51" s="19">
        <f>IF(K51&gt;Forudsætninger!$C$37,IF(K51&gt;Forudsætninger!$C$38,IF(K51&gt;Forudsætninger!$C$39,Forudsætninger!$E$39,Forudsætninger!$E$38+Forudsætninger!$F$39*(K51-Forudsætninger!$C$38)),Forudsætninger!$E$37+Forudsætninger!$F$38*(K51-Forudsætninger!$C$37)),Forudsætninger!$E$37)+IF(K51&gt;Forudsætninger!$C$39,Forudsætninger!$G$39,IF(K51&gt;Forudsætninger!$C$38,Forudsætninger!$G$38+Forudsætninger!$H$39*(K51-Forudsætninger!$C$38),IF(K51&gt;Forudsætninger!$C$37,Forudsætninger!$G$37+Forudsætninger!$H$38*(K51-Forudsætninger!$C$37),Forudsætninger!$G$37)))*(U51-Forudsætninger!$H$37)</f>
        <v>35.174379302251403</v>
      </c>
      <c r="AC51" s="19">
        <f>IF(K51&gt;Forudsætninger!$C$42,IF(K51&gt;Forudsætninger!$C$43,IF(K51&gt;Forudsætninger!$C$44,Forudsætninger!$E$44,Forudsætninger!$E$43+Forudsætninger!$F$44*(K51-Forudsætninger!$C$43)),Forudsætninger!$E$42+Forudsætninger!$F$43*(K51-Forudsætninger!$C$42)),Forudsætninger!$E$42)+IF(K51&gt;Forudsætninger!$C$44,Forudsætninger!$G$44,IF(K51&gt;Forudsætninger!$C$43,Forudsætninger!$G$43+Forudsætninger!$H$44*(K51-Forudsætninger!$C$43),IF(K51&gt;Forudsætninger!$C$42,Forudsætninger!$G$42+Forudsætninger!$H$43*(K51-Forudsætninger!$C$42),Forudsætninger!$G$42)))*(V51-Forudsætninger!$H$42)</f>
        <v>30.085948255628509</v>
      </c>
      <c r="AD51" s="19">
        <f t="shared" si="2"/>
        <v>1817.7398652935253</v>
      </c>
      <c r="AE51" s="19">
        <f t="shared" si="3"/>
        <v>30.085948255628509</v>
      </c>
      <c r="AF51">
        <f>IF(G51&lt;=Forudsætninger!$C$97,Forudsætninger!$C$98,(IF(G51&lt;=Forudsætninger!$D$97,Forudsætninger!$D$98,IF(G51&lt;=Forudsætninger!$E$97,Forudsætninger!$E$98,IF(G51&lt;=Forudsætninger!$F$97,Forudsætninger!$F$98,IF(G51&lt;=Forudsætninger!$G$97,Forudsætninger!$G$98,IF(G51&lt;=Forudsætninger!$H$97,Forudsætninger!$H$98,IF(G51&lt;=Forudsætninger!$I$97,Forudsætninger!$I$98,Forudsætninger!$I$98))))))))</f>
        <v>2.2000000000000002</v>
      </c>
      <c r="AG51" s="1">
        <f t="shared" si="16"/>
        <v>2.2000000000000002</v>
      </c>
      <c r="AH51" s="1">
        <f t="shared" si="21"/>
        <v>107.80000000000008</v>
      </c>
      <c r="AI51" s="1">
        <f t="shared" si="4"/>
        <v>2.2000000000000015</v>
      </c>
      <c r="AJ51" s="20">
        <f>+(W51*Forudsætninger!$C$12)</f>
        <v>0</v>
      </c>
      <c r="AK51" s="20">
        <f>Forudsætninger!$C$17</f>
        <v>250</v>
      </c>
      <c r="AL51" s="20">
        <f>IF(A51&lt;92,Forudsætninger!$C$20,Forudsætninger!$C$21)</f>
        <v>4.0072859744990899</v>
      </c>
      <c r="AM51" s="20">
        <f t="shared" si="17"/>
        <v>196.35701275045545</v>
      </c>
      <c r="AN51" s="19">
        <f>IFERROR(AD51+AJ51-AA51-Z51-AK51-AM51-Forudsætninger!$D$75,-99999)</f>
        <v>-1739.8034290513262</v>
      </c>
      <c r="AO51" s="57">
        <f>IFERROR(AN51/(A51+Forudsætninger!$D$74),-99999)</f>
        <v>-35.506192429618906</v>
      </c>
      <c r="AP51" s="19">
        <f>IFERROR(((365/(A51+Forudsætninger!$D$74))*AN51)/(AI51+Forudsætninger!$D$73),-99999)</f>
        <v>-5610.2858168012517</v>
      </c>
      <c r="AQ51" s="18">
        <f t="shared" si="22"/>
        <v>49</v>
      </c>
      <c r="AR51" s="18">
        <f t="shared" si="23"/>
        <v>3339.6513206438913</v>
      </c>
      <c r="AS51" s="50">
        <f t="shared" si="24"/>
        <v>2.7</v>
      </c>
      <c r="AT51" s="50">
        <f t="shared" si="25"/>
        <v>6.0263542358839004</v>
      </c>
      <c r="AU51" s="50">
        <f t="shared" si="26"/>
        <v>0.86526138886463855</v>
      </c>
      <c r="AV51" s="2">
        <f t="shared" si="27"/>
        <v>136.71879088121023</v>
      </c>
      <c r="AW51" s="16">
        <f t="shared" si="19"/>
        <v>-31.498906455119812</v>
      </c>
      <c r="AZ51" s="16"/>
      <c r="BA51" s="2"/>
    </row>
    <row r="52" spans="1:53" x14ac:dyDescent="0.25">
      <c r="A52">
        <v>50</v>
      </c>
      <c r="B52" s="1">
        <f>ROUND((A52+Forudsætninger!$D$60)/30.4,1)</f>
        <v>2.8</v>
      </c>
      <c r="C52" s="1">
        <f>VLOOKUP((A52+Forudsætninger!$D$60),'Model tilvækst, slagteform, fe'!A:C,3,FALSE)</f>
        <v>133.98592765543097</v>
      </c>
      <c r="D52" s="3">
        <f t="shared" si="28"/>
        <v>1548.9898446015502</v>
      </c>
      <c r="E52" s="3">
        <f>(1+Forudsætninger!$D$78)*C52</f>
        <v>112.54817923056201</v>
      </c>
      <c r="F52" s="2">
        <f t="shared" si="29"/>
        <v>8.8679561077359459</v>
      </c>
      <c r="G52" s="1">
        <f t="shared" si="8"/>
        <v>121.41613533829796</v>
      </c>
      <c r="H52" s="3">
        <f t="shared" si="9"/>
        <v>1223.7019772352369</v>
      </c>
      <c r="I52" s="3">
        <f t="shared" si="10"/>
        <v>988.32270676595931</v>
      </c>
      <c r="J52" s="1">
        <f>VLOOKUP((A52+Forudsætninger!$D$60),'Model tilvækst, slagteform, fe'!G:K,3,FALSE)*(1+Forudsætninger!$D$79)</f>
        <v>50.29506356396999</v>
      </c>
      <c r="K52" s="17">
        <f t="shared" si="0"/>
        <v>61.066322445312785</v>
      </c>
      <c r="L52" s="17">
        <f t="shared" si="11"/>
        <v>648.08832987449705</v>
      </c>
      <c r="M52" s="3">
        <f>((K52-(('Model tilvækst, slagteform, fe'!$I$9/100)*'Model tilvækst, slagteform, fe'!$C$9))*1000/(A52+Forudsætninger!$D$60))</f>
        <v>468.42570820170789</v>
      </c>
      <c r="N52" s="17">
        <f t="shared" si="12"/>
        <v>132.18337827192647</v>
      </c>
      <c r="O52" s="19">
        <f>IF( A52&lt;Forudsætninger!$C$14,(G52/100)*Forudsætninger!$C$13,(Forudsætninger!$C$15/1000)*Forudsætninger!$C$13)</f>
        <v>0.78920487969893671</v>
      </c>
      <c r="P52" s="17" cm="1">
        <f t="array" ref="P52">INDEX('Model tilvækst, slagteform, fe'!$O$9:$O$375,MATCH(MIN(ABS('Model tilvækst, slagteform, fe'!$M$9:$M$375-G52)),ABS('Model tilvækst, slagteform, fe'!$M$9:$M$375-G52),0))*(1+Forudsætninger!$D$80)</f>
        <v>3.5291349249943429</v>
      </c>
      <c r="Q52" s="17">
        <f t="shared" si="13"/>
        <v>5.4454535937682493</v>
      </c>
      <c r="R52" s="17">
        <f t="shared" si="14"/>
        <v>5.0632053321699519</v>
      </c>
      <c r="S52" s="2">
        <f t="shared" si="15"/>
        <v>2.6749031944123547</v>
      </c>
      <c r="T52" s="19">
        <f>(P52)*IF(N52&lt;Forudsætninger!$B$228,IF(N52&lt;Forudsætninger!$B$227,Forudsætninger!$B$225,Forudsætninger!$C$9),Forudsætninger!$C$11)+O52</f>
        <v>9.6473335414347368</v>
      </c>
      <c r="U52" s="2">
        <f>Forudsætninger!$D$68+((K52-(Forudsætninger!$D$84)))*0.01</f>
        <v>5.7502739058127803</v>
      </c>
      <c r="V52" s="2">
        <f>U52+Forudsætninger!$D$69</f>
        <v>5.7502739058127803</v>
      </c>
      <c r="W52">
        <f t="shared" si="1"/>
        <v>0</v>
      </c>
      <c r="X52">
        <f>IF(A52+Forudsætninger!$D$60&gt;248,IF(A52+Forudsætninger!$D$60&lt;365,IF(K52&gt;180,IF(K52&lt;260,1,0),0),0),0)</f>
        <v>0</v>
      </c>
      <c r="Y52" s="22">
        <f>IF(X52=0,0,IF('Vækstfunktion, kry tyr'!A52&lt;Forudsætninger!$D$66,Forudsætninger!$D$67+(('Vækstfunktion, kry tyr'!A52-Forudsætninger!$D$66)/7)*Forudsætninger!$D$64,Forudsætninger!$D$67))</f>
        <v>0</v>
      </c>
      <c r="Z52" s="19">
        <f t="shared" si="20"/>
        <v>847.94164143487058</v>
      </c>
      <c r="AA52" s="19">
        <f>Forudsætninger!$D$62+Forudsætninger!$C$16</f>
        <v>2055</v>
      </c>
      <c r="AB52" s="19">
        <f>IF(K52&gt;Forudsætninger!$C$37,IF(K52&gt;Forudsætninger!$C$38,IF(K52&gt;Forudsætninger!$C$39,Forudsætninger!$E$39,Forudsætninger!$E$38+Forudsætninger!$F$39*(K52-Forudsætninger!$C$38)),Forudsætninger!$E$37+Forudsætninger!$F$38*(K52-Forudsætninger!$C$37)),Forudsætninger!$E$37)+IF(K52&gt;Forudsætninger!$C$39,Forudsætninger!$G$39,IF(K52&gt;Forudsætninger!$C$38,Forudsætninger!$G$38+Forudsætninger!$H$39*(K52-Forudsætninger!$C$38),IF(K52&gt;Forudsætninger!$C$37,Forudsætninger!$G$37+Forudsætninger!$H$38*(K52-Forudsætninger!$C$37),Forudsætninger!$G$37)))*(U52-Forudsætninger!$H$37)</f>
        <v>35.175027390581278</v>
      </c>
      <c r="AC52" s="19">
        <f>IF(K52&gt;Forudsætninger!$C$42,IF(K52&gt;Forudsætninger!$C$43,IF(K52&gt;Forudsætninger!$C$44,Forudsætninger!$E$44,Forudsætninger!$E$43+Forudsætninger!$F$44*(K52-Forudsætninger!$C$43)),Forudsætninger!$E$42+Forudsætninger!$F$43*(K52-Forudsætninger!$C$42)),Forudsætninger!$E$42)+IF(K52&gt;Forudsætninger!$C$44,Forudsætninger!$G$44,IF(K52&gt;Forudsætninger!$C$43,Forudsætninger!$G$43+Forudsætninger!$H$44*(K52-Forudsætninger!$C$43),IF(K52&gt;Forudsætninger!$C$42,Forudsætninger!$G$42+Forudsætninger!$H$43*(K52-Forudsætninger!$C$42),Forudsætninger!$G$42)))*(V52-Forudsætninger!$H$42)</f>
        <v>30.087568476453193</v>
      </c>
      <c r="AD52" s="19">
        <f t="shared" si="2"/>
        <v>1837.3371581785191</v>
      </c>
      <c r="AE52" s="19">
        <f t="shared" si="3"/>
        <v>30.087568476453193</v>
      </c>
      <c r="AF52">
        <f>IF(G52&lt;=Forudsætninger!$C$97,Forudsætninger!$C$98,(IF(G52&lt;=Forudsætninger!$D$97,Forudsætninger!$D$98,IF(G52&lt;=Forudsætninger!$E$97,Forudsætninger!$E$98,IF(G52&lt;=Forudsætninger!$F$97,Forudsætninger!$F$98,IF(G52&lt;=Forudsætninger!$G$97,Forudsætninger!$G$98,IF(G52&lt;=Forudsætninger!$H$97,Forudsætninger!$H$98,IF(G52&lt;=Forudsætninger!$I$97,Forudsætninger!$I$98,Forudsætninger!$I$98))))))))</f>
        <v>2.2000000000000002</v>
      </c>
      <c r="AG52" s="1">
        <f t="shared" si="16"/>
        <v>2.2000000000000002</v>
      </c>
      <c r="AH52" s="1">
        <f t="shared" si="21"/>
        <v>110.00000000000009</v>
      </c>
      <c r="AI52" s="1">
        <f t="shared" si="4"/>
        <v>2.2000000000000015</v>
      </c>
      <c r="AJ52" s="20">
        <f>+(W52*Forudsætninger!$C$12)</f>
        <v>0</v>
      </c>
      <c r="AK52" s="20">
        <f>Forudsætninger!$C$17</f>
        <v>250</v>
      </c>
      <c r="AL52" s="20">
        <f>IF(A52&lt;92,Forudsætninger!$C$20,Forudsætninger!$C$21)</f>
        <v>4.0072859744990899</v>
      </c>
      <c r="AM52" s="20">
        <f t="shared" si="17"/>
        <v>200.36429872495455</v>
      </c>
      <c r="AN52" s="19">
        <f>IFERROR(AD52+AJ52-AA52-Z52-AK52-AM52-Forudsætninger!$D$75,-99999)</f>
        <v>-1733.8607556822665</v>
      </c>
      <c r="AO52" s="57">
        <f>IFERROR(AN52/(A52+Forudsætninger!$D$74),-99999)</f>
        <v>-34.677215113645332</v>
      </c>
      <c r="AP52" s="19">
        <f>IFERROR(((365/(A52+Forudsætninger!$D$74))*AN52)/(AI52+Forudsætninger!$D$73),-99999)</f>
        <v>-5479.3002235846479</v>
      </c>
      <c r="AQ52" s="18">
        <f t="shared" si="22"/>
        <v>50</v>
      </c>
      <c r="AR52" s="18">
        <f t="shared" si="23"/>
        <v>3353.3059401598252</v>
      </c>
      <c r="AS52" s="50">
        <f t="shared" si="24"/>
        <v>2.8</v>
      </c>
      <c r="AT52" s="50">
        <f t="shared" si="25"/>
        <v>5.9426733690597757</v>
      </c>
      <c r="AU52" s="50">
        <f t="shared" si="26"/>
        <v>0.82897731597357449</v>
      </c>
      <c r="AV52" s="2">
        <f t="shared" si="27"/>
        <v>130.98559321660377</v>
      </c>
      <c r="AW52" s="16">
        <f t="shared" si="19"/>
        <v>-30.669929139146237</v>
      </c>
      <c r="AZ52" s="16"/>
      <c r="BA52" s="2"/>
    </row>
    <row r="53" spans="1:53" x14ac:dyDescent="0.25">
      <c r="A53">
        <v>51</v>
      </c>
      <c r="B53" s="1">
        <f>ROUND((A53+Forudsætninger!$D$60)/30.4,1)</f>
        <v>2.8</v>
      </c>
      <c r="C53" s="1">
        <f>VLOOKUP((A53+Forudsætninger!$D$60),'Model tilvækst, slagteform, fe'!A:C,3,FALSE)</f>
        <v>135.54310756129672</v>
      </c>
      <c r="D53" s="3">
        <f t="shared" si="28"/>
        <v>1557.1799058657518</v>
      </c>
      <c r="E53" s="3">
        <f>(1+Forudsætninger!$D$78)*C53</f>
        <v>113.85621035148924</v>
      </c>
      <c r="F53" s="2">
        <f t="shared" si="29"/>
        <v>8.790097112442659</v>
      </c>
      <c r="G53" s="1">
        <f t="shared" si="8"/>
        <v>122.64630746393189</v>
      </c>
      <c r="H53" s="3">
        <f t="shared" si="9"/>
        <v>1230.1721256339279</v>
      </c>
      <c r="I53" s="3">
        <f t="shared" si="10"/>
        <v>993.06485223395862</v>
      </c>
      <c r="J53" s="1">
        <f>VLOOKUP((A53+Forudsætninger!$D$60),'Model tilvækst, slagteform, fe'!G:K,3,FALSE)*(1+Forudsætninger!$D$79)</f>
        <v>50.321907134399844</v>
      </c>
      <c r="K53" s="17">
        <f t="shared" si="0"/>
        <v>61.717960945770315</v>
      </c>
      <c r="L53" s="17">
        <f t="shared" si="11"/>
        <v>651.63850045752974</v>
      </c>
      <c r="M53" s="3">
        <f>((K53-(('Model tilvækst, slagteform, fe'!$I$9/100)*'Model tilvækst, slagteform, fe'!$C$9))*1000/(A53+Forudsætninger!$D$60))</f>
        <v>470.58115281648224</v>
      </c>
      <c r="N53" s="17">
        <f t="shared" si="12"/>
        <v>135.74954802619146</v>
      </c>
      <c r="O53" s="19">
        <f>IF( A53&lt;Forudsætninger!$C$14,(G53/100)*Forudsætninger!$C$13,(Forudsætninger!$C$15/1000)*Forudsætninger!$C$13)</f>
        <v>0.79720099851555726</v>
      </c>
      <c r="P53" s="17" cm="1">
        <f t="array" ref="P53">INDEX('Model tilvækst, slagteform, fe'!$O$9:$O$375,MATCH(MIN(ABS('Model tilvækst, slagteform, fe'!$M$9:$M$375-G53)),ABS('Model tilvækst, slagteform, fe'!$M$9:$M$375-G53),0))*(1+Forudsætninger!$D$80)</f>
        <v>3.5661697542649926</v>
      </c>
      <c r="Q53" s="17">
        <f t="shared" si="13"/>
        <v>5.4726197911282197</v>
      </c>
      <c r="R53" s="17">
        <f t="shared" si="14"/>
        <v>5.0731757055750553</v>
      </c>
      <c r="S53" s="2">
        <f t="shared" si="15"/>
        <v>2.6803444283251334</v>
      </c>
      <c r="T53" s="19">
        <f>(P53)*IF(N53&lt;Forudsætninger!$B$228,IF(N53&lt;Forudsætninger!$B$227,Forudsætninger!$B$225,Forudsætninger!$C$9),Forudsætninger!$C$11)+O53</f>
        <v>9.7482870817206866</v>
      </c>
      <c r="U53" s="2">
        <f>Forudsætninger!$D$68+((K53-(Forudsætninger!$D$84)))*0.01</f>
        <v>5.7567902908173556</v>
      </c>
      <c r="V53" s="2">
        <f>U53+Forudsætninger!$D$69</f>
        <v>5.7567902908173556</v>
      </c>
      <c r="W53">
        <f t="shared" si="1"/>
        <v>0</v>
      </c>
      <c r="X53">
        <f>IF(A53+Forudsætninger!$D$60&gt;248,IF(A53+Forudsætninger!$D$60&lt;365,IF(K53&gt;180,IF(K53&lt;260,1,0),0),0),0)</f>
        <v>0</v>
      </c>
      <c r="Y53" s="22">
        <f>IF(X53=0,0,IF('Vækstfunktion, kry tyr'!A53&lt;Forudsætninger!$D$66,Forudsætninger!$D$67+(('Vækstfunktion, kry tyr'!A53-Forudsætninger!$D$66)/7)*Forudsætninger!$D$64,Forudsætninger!$D$67))</f>
        <v>0</v>
      </c>
      <c r="Z53" s="19">
        <f t="shared" si="20"/>
        <v>857.68992851659129</v>
      </c>
      <c r="AA53" s="19">
        <f>Forudsætninger!$D$62+Forudsætninger!$C$16</f>
        <v>2055</v>
      </c>
      <c r="AB53" s="19">
        <f>IF(K53&gt;Forudsætninger!$C$37,IF(K53&gt;Forudsætninger!$C$38,IF(K53&gt;Forudsætninger!$C$39,Forudsætninger!$E$39,Forudsætninger!$E$38+Forudsætninger!$F$39*(K53-Forudsætninger!$C$38)),Forudsætninger!$E$37+Forudsætninger!$F$38*(K53-Forudsætninger!$C$37)),Forudsætninger!$E$37)+IF(K53&gt;Forudsætninger!$C$39,Forudsætninger!$G$39,IF(K53&gt;Forudsætninger!$C$38,Forudsætninger!$G$38+Forudsætninger!$H$39*(K53-Forudsætninger!$C$38),IF(K53&gt;Forudsætninger!$C$37,Forudsætninger!$G$37+Forudsætninger!$H$38*(K53-Forudsætninger!$C$37),Forudsætninger!$G$37)))*(U53-Forudsætninger!$H$37)</f>
        <v>35.175679029081735</v>
      </c>
      <c r="AC53" s="19">
        <f>IF(K53&gt;Forudsætninger!$C$42,IF(K53&gt;Forudsætninger!$C$43,IF(K53&gt;Forudsætninger!$C$44,Forudsætninger!$E$44,Forudsætninger!$E$43+Forudsætninger!$F$44*(K53-Forudsætninger!$C$43)),Forudsætninger!$E$42+Forudsætninger!$F$43*(K53-Forudsætninger!$C$42)),Forudsætninger!$E$42)+IF(K53&gt;Forudsætninger!$C$44,Forudsætninger!$G$44,IF(K53&gt;Forudsætninger!$C$43,Forudsætninger!$G$43+Forudsætninger!$H$44*(K53-Forudsætninger!$C$43),IF(K53&gt;Forudsætninger!$C$42,Forudsætninger!$G$42+Forudsætninger!$H$43*(K53-Forudsætninger!$C$42),Forudsætninger!$G$42)))*(V53-Forudsætninger!$H$42)</f>
        <v>30.089197572704336</v>
      </c>
      <c r="AD53" s="19">
        <f t="shared" si="2"/>
        <v>1857.0439206817332</v>
      </c>
      <c r="AE53" s="19">
        <f t="shared" si="3"/>
        <v>30.089197572704336</v>
      </c>
      <c r="AF53">
        <f>IF(G53&lt;=Forudsætninger!$C$97,Forudsætninger!$C$98,(IF(G53&lt;=Forudsætninger!$D$97,Forudsætninger!$D$98,IF(G53&lt;=Forudsætninger!$E$97,Forudsætninger!$E$98,IF(G53&lt;=Forudsætninger!$F$97,Forudsætninger!$F$98,IF(G53&lt;=Forudsætninger!$G$97,Forudsætninger!$G$98,IF(G53&lt;=Forudsætninger!$H$97,Forudsætninger!$H$98,IF(G53&lt;=Forudsætninger!$I$97,Forudsætninger!$I$98,Forudsætninger!$I$98))))))))</f>
        <v>2.2000000000000002</v>
      </c>
      <c r="AG53" s="1">
        <f t="shared" si="16"/>
        <v>2.2000000000000002</v>
      </c>
      <c r="AH53" s="1">
        <f t="shared" si="21"/>
        <v>112.20000000000009</v>
      </c>
      <c r="AI53" s="1">
        <f t="shared" si="4"/>
        <v>2.2000000000000015</v>
      </c>
      <c r="AJ53" s="20">
        <f>+(W53*Forudsætninger!$C$12)</f>
        <v>0</v>
      </c>
      <c r="AK53" s="20">
        <f>Forudsætninger!$C$17</f>
        <v>250</v>
      </c>
      <c r="AL53" s="20">
        <f>IF(A53&lt;92,Forudsætninger!$C$20,Forudsætninger!$C$21)</f>
        <v>4.0072859744990899</v>
      </c>
      <c r="AM53" s="20">
        <f t="shared" si="17"/>
        <v>204.37158469945365</v>
      </c>
      <c r="AN53" s="19">
        <f>IFERROR(AD53+AJ53-AA53-Z53-AK53-AM53-Forudsætninger!$D$75,-99999)</f>
        <v>-1727.9095662352722</v>
      </c>
      <c r="AO53" s="57">
        <f>IFERROR(AN53/(A53+Forudsætninger!$D$74),-99999)</f>
        <v>-33.880579730103378</v>
      </c>
      <c r="AP53" s="19">
        <f>IFERROR(((365/(A53+Forudsætninger!$D$74))*AN53)/(AI53+Forudsætninger!$D$73),-99999)</f>
        <v>-5353.424935708972</v>
      </c>
      <c r="AQ53" s="18">
        <f t="shared" si="22"/>
        <v>51</v>
      </c>
      <c r="AR53" s="18">
        <f t="shared" si="23"/>
        <v>3367.0615132160451</v>
      </c>
      <c r="AS53" s="50">
        <f t="shared" si="24"/>
        <v>2.8</v>
      </c>
      <c r="AT53" s="50">
        <f t="shared" si="25"/>
        <v>5.951189446994249</v>
      </c>
      <c r="AU53" s="50">
        <f t="shared" si="26"/>
        <v>0.79663538354195396</v>
      </c>
      <c r="AV53" s="2">
        <f t="shared" si="27"/>
        <v>125.87528787567589</v>
      </c>
      <c r="AW53" s="16">
        <f t="shared" si="19"/>
        <v>-29.873293755604283</v>
      </c>
      <c r="AZ53" s="16"/>
      <c r="BA53" s="2"/>
    </row>
    <row r="54" spans="1:53" x14ac:dyDescent="0.25">
      <c r="A54">
        <v>52</v>
      </c>
      <c r="B54" s="1">
        <f>ROUND((A54+Forudsætninger!$D$60)/30.4,1)</f>
        <v>2.8</v>
      </c>
      <c r="C54" s="1">
        <f>VLOOKUP((A54+Forudsætninger!$D$60),'Model tilvækst, slagteform, fe'!A:C,3,FALSE)</f>
        <v>137.10835127773214</v>
      </c>
      <c r="D54" s="3">
        <f t="shared" si="28"/>
        <v>1565.2437164354183</v>
      </c>
      <c r="E54" s="3">
        <f>(1+Forudsætninger!$D$78)*C54</f>
        <v>115.171015073295</v>
      </c>
      <c r="F54" s="2">
        <f t="shared" si="29"/>
        <v>8.7118349266208881</v>
      </c>
      <c r="G54" s="1">
        <f t="shared" si="8"/>
        <v>123.88284999991589</v>
      </c>
      <c r="H54" s="3">
        <f t="shared" si="9"/>
        <v>1236.5425359840003</v>
      </c>
      <c r="I54" s="3">
        <f t="shared" si="10"/>
        <v>997.74711538299789</v>
      </c>
      <c r="J54" s="1">
        <f>VLOOKUP((A54+Forudsætninger!$D$60),'Model tilvækst, slagteform, fe'!G:K,3,FALSE)*(1+Forudsætninger!$D$79)</f>
        <v>50.34845999111954</v>
      </c>
      <c r="K54" s="17">
        <f t="shared" si="0"/>
        <v>62.373107168066291</v>
      </c>
      <c r="L54" s="17">
        <f t="shared" si="11"/>
        <v>655.14622229597558</v>
      </c>
      <c r="M54" s="3">
        <f>((K54-(('Model tilvækst, slagteform, fe'!$I$9/100)*'Model tilvækst, slagteform, fe'!$C$9))*1000/(A54+Forudsætninger!$D$60))</f>
        <v>472.72725827554609</v>
      </c>
      <c r="N54" s="17">
        <f t="shared" si="12"/>
        <v>139.35267567669266</v>
      </c>
      <c r="O54" s="19">
        <f>IF( A54&lt;Forudsætninger!$C$14,(G54/100)*Forudsætninger!$C$13,(Forudsætninger!$C$15/1000)*Forudsætninger!$C$13)</f>
        <v>0.80523852499945336</v>
      </c>
      <c r="P54" s="17" cm="1">
        <f t="array" ref="P54">INDEX('Model tilvækst, slagteform, fe'!$O$9:$O$375,MATCH(MIN(ABS('Model tilvækst, slagteform, fe'!$M$9:$M$375-G54)),ABS('Model tilvækst, slagteform, fe'!$M$9:$M$375-G54),0))*(1+Forudsætninger!$D$80)</f>
        <v>3.6031276505011989</v>
      </c>
      <c r="Q54" s="17">
        <f t="shared" si="13"/>
        <v>5.499730484400799</v>
      </c>
      <c r="R54" s="17">
        <f t="shared" si="14"/>
        <v>5.0833698186641385</v>
      </c>
      <c r="S54" s="2">
        <f t="shared" si="15"/>
        <v>2.6859101933860337</v>
      </c>
      <c r="T54" s="19">
        <f>(P54)*IF(N54&lt;Forudsætninger!$B$228,IF(N54&lt;Forudsætninger!$B$227,Forudsætninger!$B$225,Forudsætninger!$C$9),Forudsætninger!$C$11)+O54</f>
        <v>9.2365572271722574</v>
      </c>
      <c r="U54" s="2">
        <f>Forudsætninger!$D$68+((K54-(Forudsætninger!$D$84)))*0.01</f>
        <v>5.763341753040315</v>
      </c>
      <c r="V54" s="2">
        <f>U54+Forudsætninger!$D$69</f>
        <v>5.763341753040315</v>
      </c>
      <c r="W54">
        <f t="shared" si="1"/>
        <v>0</v>
      </c>
      <c r="X54">
        <f>IF(A54+Forudsætninger!$D$60&gt;248,IF(A54+Forudsætninger!$D$60&lt;365,IF(K54&gt;180,IF(K54&lt;260,1,0),0),0),0)</f>
        <v>0</v>
      </c>
      <c r="Y54" s="22">
        <f>IF(X54=0,0,IF('Vækstfunktion, kry tyr'!A54&lt;Forudsætninger!$D$66,Forudsætninger!$D$67+(('Vækstfunktion, kry tyr'!A54-Forudsætninger!$D$66)/7)*Forudsætninger!$D$64,Forudsætninger!$D$67))</f>
        <v>0</v>
      </c>
      <c r="Z54" s="19">
        <f t="shared" si="20"/>
        <v>866.92648574376358</v>
      </c>
      <c r="AA54" s="19">
        <f>Forudsætninger!$D$62+Forudsætninger!$C$16</f>
        <v>2055</v>
      </c>
      <c r="AB54" s="19">
        <f>IF(K54&gt;Forudsætninger!$C$37,IF(K54&gt;Forudsætninger!$C$38,IF(K54&gt;Forudsætninger!$C$39,Forudsætninger!$E$39,Forudsætninger!$E$38+Forudsætninger!$F$39*(K54-Forudsætninger!$C$38)),Forudsætninger!$E$37+Forudsætninger!$F$38*(K54-Forudsætninger!$C$37)),Forudsætninger!$E$37)+IF(K54&gt;Forudsætninger!$C$39,Forudsætninger!$G$39,IF(K54&gt;Forudsætninger!$C$38,Forudsætninger!$G$38+Forudsætninger!$H$39*(K54-Forudsætninger!$C$38),IF(K54&gt;Forudsætninger!$C$37,Forudsætninger!$G$37+Forudsætninger!$H$38*(K54-Forudsætninger!$C$37),Forudsætninger!$G$37)))*(U54-Forudsætninger!$H$37)</f>
        <v>35.176334175304035</v>
      </c>
      <c r="AC54" s="19">
        <f>IF(K54&gt;Forudsætninger!$C$42,IF(K54&gt;Forudsætninger!$C$43,IF(K54&gt;Forudsætninger!$C$44,Forudsætninger!$E$44,Forudsætninger!$E$43+Forudsætninger!$F$44*(K54-Forudsætninger!$C$43)),Forudsætninger!$E$42+Forudsætninger!$F$43*(K54-Forudsætninger!$C$42)),Forudsætninger!$E$42)+IF(K54&gt;Forudsætninger!$C$44,Forudsætninger!$G$44,IF(K54&gt;Forudsætninger!$C$43,Forudsætninger!$G$43+Forudsætninger!$H$44*(K54-Forudsætninger!$C$43),IF(K54&gt;Forudsætninger!$C$42,Forudsætninger!$G$42+Forudsætninger!$H$43*(K54-Forudsætninger!$C$42),Forudsætninger!$G$42)))*(V54-Forudsætninger!$H$42)</f>
        <v>30.090835438260079</v>
      </c>
      <c r="AD54" s="19">
        <f t="shared" si="2"/>
        <v>1876.8589035672428</v>
      </c>
      <c r="AE54" s="19">
        <f t="shared" si="3"/>
        <v>30.090835438260079</v>
      </c>
      <c r="AF54">
        <f>IF(G54&lt;=Forudsætninger!$C$97,Forudsætninger!$C$98,(IF(G54&lt;=Forudsætninger!$D$97,Forudsætninger!$D$98,IF(G54&lt;=Forudsætninger!$E$97,Forudsætninger!$E$98,IF(G54&lt;=Forudsætninger!$F$97,Forudsætninger!$F$98,IF(G54&lt;=Forudsætninger!$G$97,Forudsætninger!$G$98,IF(G54&lt;=Forudsætninger!$H$97,Forudsætninger!$H$98,IF(G54&lt;=Forudsætninger!$I$97,Forudsætninger!$I$98,Forudsætninger!$I$98))))))))</f>
        <v>2.2000000000000002</v>
      </c>
      <c r="AG54" s="1">
        <f t="shared" si="16"/>
        <v>2.2000000000000002</v>
      </c>
      <c r="AH54" s="1">
        <f t="shared" si="21"/>
        <v>114.40000000000009</v>
      </c>
      <c r="AI54" s="1">
        <f t="shared" si="4"/>
        <v>2.200000000000002</v>
      </c>
      <c r="AJ54" s="20">
        <f>+(W54*Forudsætninger!$C$12)</f>
        <v>0</v>
      </c>
      <c r="AK54" s="20">
        <f>Forudsætninger!$C$17</f>
        <v>250</v>
      </c>
      <c r="AL54" s="20">
        <f>IF(A54&lt;92,Forudsætninger!$C$20,Forudsætninger!$C$21)</f>
        <v>4.0072859744990899</v>
      </c>
      <c r="AM54" s="20">
        <f t="shared" si="17"/>
        <v>208.37887067395275</v>
      </c>
      <c r="AN54" s="19">
        <f>IFERROR(AD54+AJ54-AA54-Z54-AK54-AM54-Forudsætninger!$D$75,-99999)</f>
        <v>-1721.3384265514339</v>
      </c>
      <c r="AO54" s="57">
        <f>IFERROR(AN54/(A54+Forudsætninger!$D$74),-99999)</f>
        <v>-33.102662049066041</v>
      </c>
      <c r="AP54" s="19">
        <f>IFERROR(((365/(A54+Forudsætninger!$D$74))*AN54)/(AI54+Forudsætninger!$D$73),-99999)</f>
        <v>-5230.5072068870541</v>
      </c>
      <c r="AQ54" s="18">
        <f t="shared" si="22"/>
        <v>52</v>
      </c>
      <c r="AR54" s="18">
        <f t="shared" si="23"/>
        <v>3380.3053564177167</v>
      </c>
      <c r="AS54" s="50">
        <f t="shared" si="24"/>
        <v>2.8</v>
      </c>
      <c r="AT54" s="50">
        <f t="shared" si="25"/>
        <v>6.5711396838382825</v>
      </c>
      <c r="AU54" s="50">
        <f t="shared" si="26"/>
        <v>0.77791768103733716</v>
      </c>
      <c r="AV54" s="2">
        <f t="shared" si="27"/>
        <v>122.91772882191799</v>
      </c>
      <c r="AW54" s="16">
        <f t="shared" si="19"/>
        <v>-29.09537607456695</v>
      </c>
      <c r="AZ54" s="16"/>
      <c r="BA54" s="2"/>
    </row>
    <row r="55" spans="1:53" x14ac:dyDescent="0.25">
      <c r="A55">
        <v>53</v>
      </c>
      <c r="B55" s="1">
        <f>ROUND((A55+Forudsætninger!$D$60)/30.4,1)</f>
        <v>2.9</v>
      </c>
      <c r="C55" s="1">
        <f>VLOOKUP((A55+Forudsætninger!$D$60),'Model tilvækst, slagteform, fe'!A:C,3,FALSE)</f>
        <v>138.68153317497939</v>
      </c>
      <c r="D55" s="3">
        <f t="shared" si="28"/>
        <v>1573.1818972472524</v>
      </c>
      <c r="E55" s="3">
        <f>(1+Forudsætninger!$D$78)*C55</f>
        <v>116.49248786698269</v>
      </c>
      <c r="F55" s="2">
        <f t="shared" si="29"/>
        <v>8.6331758317585248</v>
      </c>
      <c r="G55" s="1">
        <f t="shared" si="8"/>
        <v>125.12566369874121</v>
      </c>
      <c r="H55" s="3">
        <f t="shared" si="9"/>
        <v>1242.8136988253159</v>
      </c>
      <c r="I55" s="3">
        <f t="shared" si="10"/>
        <v>1002.3710131837963</v>
      </c>
      <c r="J55" s="1">
        <f>VLOOKUP((A55+Forudsætninger!$D$60),'Model tilvækst, slagteform, fe'!G:K,3,FALSE)*(1+Forudsætninger!$D$79)</f>
        <v>50.374733188242175</v>
      </c>
      <c r="K55" s="17">
        <f t="shared" si="0"/>
        <v>63.03171923825807</v>
      </c>
      <c r="L55" s="17">
        <f t="shared" si="11"/>
        <v>658.61207019177925</v>
      </c>
      <c r="M55" s="3">
        <f>((K55-(('Model tilvækst, slagteform, fe'!$I$9/100)*'Model tilvækst, slagteform, fe'!$C$9))*1000/(A55+Forudsætninger!$D$60))</f>
        <v>474.86386530906606</v>
      </c>
      <c r="N55" s="17">
        <f t="shared" si="12"/>
        <v>142.99268112320354</v>
      </c>
      <c r="O55" s="19">
        <f>IF( A55&lt;Forudsætninger!$C$14,(G55/100)*Forudsætninger!$C$13,(Forudsætninger!$C$15/1000)*Forudsætninger!$C$13)</f>
        <v>0.81331681404181788</v>
      </c>
      <c r="P55" s="17" cm="1">
        <f t="array" ref="P55">INDEX('Model tilvækst, slagteform, fe'!$O$9:$O$375,MATCH(MIN(ABS('Model tilvækst, slagteform, fe'!$M$9:$M$375-G55)),ABS('Model tilvækst, slagteform, fe'!$M$9:$M$375-G55),0))*(1+Forudsætninger!$D$80)</f>
        <v>3.640005446510894</v>
      </c>
      <c r="Q55" s="17">
        <f t="shared" si="13"/>
        <v>5.5267821700427868</v>
      </c>
      <c r="R55" s="17">
        <f t="shared" si="14"/>
        <v>5.0937729299372236</v>
      </c>
      <c r="S55" s="2">
        <f t="shared" si="15"/>
        <v>2.6915933123032532</v>
      </c>
      <c r="T55" s="19">
        <f>(P55)*IF(N55&lt;Forudsætninger!$B$228,IF(N55&lt;Forudsætninger!$B$227,Forudsætninger!$B$225,Forudsætninger!$C$9),Forudsætninger!$C$11)+O55</f>
        <v>9.3309295588773082</v>
      </c>
      <c r="U55" s="2">
        <f>Forudsætninger!$D$68+((K55-(Forudsætninger!$D$84)))*0.01</f>
        <v>5.7699278737422333</v>
      </c>
      <c r="V55" s="2">
        <f>U55+Forudsætninger!$D$69</f>
        <v>5.7699278737422333</v>
      </c>
      <c r="W55">
        <f t="shared" si="1"/>
        <v>0</v>
      </c>
      <c r="X55">
        <f>IF(A55+Forudsætninger!$D$60&gt;248,IF(A55+Forudsætninger!$D$60&lt;365,IF(K55&gt;180,IF(K55&lt;260,1,0),0),0),0)</f>
        <v>0</v>
      </c>
      <c r="Y55" s="22">
        <f>IF(X55=0,0,IF('Vækstfunktion, kry tyr'!A55&lt;Forudsætninger!$D$66,Forudsætninger!$D$67+(('Vækstfunktion, kry tyr'!A55-Forudsætninger!$D$66)/7)*Forudsætninger!$D$64,Forudsætninger!$D$67))</f>
        <v>0</v>
      </c>
      <c r="Z55" s="19">
        <f t="shared" si="20"/>
        <v>876.25741530264088</v>
      </c>
      <c r="AA55" s="19">
        <f>Forudsætninger!$D$62+Forudsætninger!$C$16</f>
        <v>2055</v>
      </c>
      <c r="AB55" s="19">
        <f>IF(K55&gt;Forudsætninger!$C$37,IF(K55&gt;Forudsætninger!$C$38,IF(K55&gt;Forudsætninger!$C$39,Forudsætninger!$E$39,Forudsætninger!$E$38+Forudsætninger!$F$39*(K55-Forudsætninger!$C$38)),Forudsætninger!$E$37+Forudsætninger!$F$38*(K55-Forudsætninger!$C$37)),Forudsætninger!$E$37)+IF(K55&gt;Forudsætninger!$C$39,Forudsætninger!$G$39,IF(K55&gt;Forudsætninger!$C$38,Forudsætninger!$G$38+Forudsætninger!$H$39*(K55-Forudsætninger!$C$38),IF(K55&gt;Forudsætninger!$C$37,Forudsætninger!$G$37+Forudsætninger!$H$38*(K55-Forudsætninger!$C$37),Forudsætninger!$G$37)))*(U55-Forudsætninger!$H$37)</f>
        <v>35.176992787374225</v>
      </c>
      <c r="AC55" s="19">
        <f>IF(K55&gt;Forudsætninger!$C$42,IF(K55&gt;Forudsætninger!$C$43,IF(K55&gt;Forudsætninger!$C$44,Forudsætninger!$E$44,Forudsætninger!$E$43+Forudsætninger!$F$44*(K55-Forudsætninger!$C$43)),Forudsætninger!$E$42+Forudsætninger!$F$43*(K55-Forudsætninger!$C$42)),Forudsætninger!$E$42)+IF(K55&gt;Forudsætninger!$C$44,Forudsætninger!$G$44,IF(K55&gt;Forudsætninger!$C$43,Forudsætninger!$G$43+Forudsætninger!$H$44*(K55-Forudsætninger!$C$43),IF(K55&gt;Forudsætninger!$C$42,Forudsætninger!$G$42+Forudsætninger!$H$43*(K55-Forudsætninger!$C$42),Forudsætninger!$G$42)))*(V55-Forudsætninger!$H$42)</f>
        <v>30.092481968435557</v>
      </c>
      <c r="AD55" s="19">
        <f t="shared" si="2"/>
        <v>1896.7808746167736</v>
      </c>
      <c r="AE55" s="19">
        <f t="shared" si="3"/>
        <v>30.092481968435557</v>
      </c>
      <c r="AF55">
        <f>IF(G55&lt;=Forudsætninger!$C$97,Forudsætninger!$C$98,(IF(G55&lt;=Forudsætninger!$D$97,Forudsætninger!$D$98,IF(G55&lt;=Forudsætninger!$E$97,Forudsætninger!$E$98,IF(G55&lt;=Forudsætninger!$F$97,Forudsætninger!$F$98,IF(G55&lt;=Forudsætninger!$G$97,Forudsætninger!$G$98,IF(G55&lt;=Forudsætninger!$H$97,Forudsætninger!$H$98,IF(G55&lt;=Forudsætninger!$I$97,Forudsætninger!$I$98,Forudsætninger!$I$98))))))))</f>
        <v>2.2000000000000002</v>
      </c>
      <c r="AG55" s="1">
        <f t="shared" si="16"/>
        <v>2.2000000000000002</v>
      </c>
      <c r="AH55" s="1">
        <f t="shared" si="21"/>
        <v>116.60000000000009</v>
      </c>
      <c r="AI55" s="1">
        <f t="shared" si="4"/>
        <v>2.200000000000002</v>
      </c>
      <c r="AJ55" s="20">
        <f>+(W55*Forudsætninger!$C$12)</f>
        <v>0</v>
      </c>
      <c r="AK55" s="20">
        <f>Forudsætninger!$C$17</f>
        <v>250</v>
      </c>
      <c r="AL55" s="20">
        <f>IF(A55&lt;92,Forudsætninger!$C$20,Forudsætninger!$C$21)</f>
        <v>4.0072859744990899</v>
      </c>
      <c r="AM55" s="20">
        <f t="shared" si="17"/>
        <v>212.38615664845184</v>
      </c>
      <c r="AN55" s="19">
        <f>IFERROR(AD55+AJ55-AA55-Z55-AK55-AM55-Forudsætninger!$D$75,-99999)</f>
        <v>-1714.7546710352794</v>
      </c>
      <c r="AO55" s="57">
        <f>IFERROR(AN55/(A55+Forudsætninger!$D$74),-99999)</f>
        <v>-32.35386171764678</v>
      </c>
      <c r="AP55" s="19">
        <f>IFERROR(((365/(A55+Forudsætninger!$D$74))*AN55)/(AI55+Forudsætninger!$D$73),-99999)</f>
        <v>-5112.1902714030593</v>
      </c>
      <c r="AQ55" s="18">
        <f t="shared" si="22"/>
        <v>53</v>
      </c>
      <c r="AR55" s="18">
        <f t="shared" si="23"/>
        <v>3393.6435719510928</v>
      </c>
      <c r="AS55" s="50">
        <f t="shared" si="24"/>
        <v>2.9</v>
      </c>
      <c r="AT55" s="50">
        <f t="shared" si="25"/>
        <v>6.5837555161544969</v>
      </c>
      <c r="AU55" s="50">
        <f t="shared" si="26"/>
        <v>0.74880033141926106</v>
      </c>
      <c r="AV55" s="2">
        <f t="shared" si="27"/>
        <v>118.31693548399471</v>
      </c>
      <c r="AW55" s="16">
        <f t="shared" si="19"/>
        <v>-28.346575743147692</v>
      </c>
      <c r="AZ55" s="16"/>
      <c r="BA55" s="2"/>
    </row>
    <row r="56" spans="1:53" x14ac:dyDescent="0.25">
      <c r="A56">
        <v>54</v>
      </c>
      <c r="B56" s="1">
        <f>ROUND((A56+Forudsætninger!$D$60)/30.4,1)</f>
        <v>2.9</v>
      </c>
      <c r="C56" s="1">
        <f>VLOOKUP((A56+Forudsætninger!$D$60),'Model tilvækst, slagteform, fe'!A:C,3,FALSE)</f>
        <v>140.26252824421726</v>
      </c>
      <c r="D56" s="3">
        <f t="shared" si="28"/>
        <v>1580.995069237872</v>
      </c>
      <c r="E56" s="3">
        <f>(1+Forudsætninger!$D$78)*C56</f>
        <v>117.82052372514249</v>
      </c>
      <c r="F56" s="2">
        <f t="shared" si="29"/>
        <v>8.5541260782966315</v>
      </c>
      <c r="G56" s="1">
        <f t="shared" si="8"/>
        <v>126.37464980343913</v>
      </c>
      <c r="H56" s="3">
        <f t="shared" si="9"/>
        <v>1248.9861046979199</v>
      </c>
      <c r="I56" s="3">
        <f t="shared" si="10"/>
        <v>1006.9379593229468</v>
      </c>
      <c r="J56" s="1">
        <f>VLOOKUP((A56+Forudsætninger!$D$60),'Model tilvækst, slagteform, fe'!G:K,3,FALSE)*(1+Forudsætninger!$D$79)</f>
        <v>50.400737779880799</v>
      </c>
      <c r="K56" s="17">
        <f t="shared" si="0"/>
        <v>63.693755867674</v>
      </c>
      <c r="L56" s="17">
        <f t="shared" si="11"/>
        <v>662.03662941592961</v>
      </c>
      <c r="M56" s="3">
        <f>((K56-(('Model tilvækst, slagteform, fe'!$I$9/100)*'Model tilvækst, slagteform, fe'!$C$9))*1000/(A56+Forudsætninger!$D$60))</f>
        <v>476.99082853755311</v>
      </c>
      <c r="N56" s="17">
        <f t="shared" si="12"/>
        <v>146.66948109830554</v>
      </c>
      <c r="O56" s="19">
        <f>IF( A56&lt;Forudsætninger!$C$14,(G56/100)*Forudsætninger!$C$13,(Forudsætninger!$C$15/1000)*Forudsætninger!$C$13)</f>
        <v>0.82143522372235434</v>
      </c>
      <c r="P56" s="17" cm="1">
        <f t="array" ref="P56">INDEX('Model tilvækst, slagteform, fe'!$O$9:$O$375,MATCH(MIN(ABS('Model tilvækst, slagteform, fe'!$M$9:$M$375-G56)),ABS('Model tilvækst, slagteform, fe'!$M$9:$M$375-G56),0))*(1+Forudsætninger!$D$80)</f>
        <v>3.6767999751020035</v>
      </c>
      <c r="Q56" s="17">
        <f t="shared" si="13"/>
        <v>5.5537712140577433</v>
      </c>
      <c r="R56" s="17">
        <f t="shared" si="14"/>
        <v>5.1043713404366384</v>
      </c>
      <c r="S56" s="2">
        <f t="shared" si="15"/>
        <v>2.697387139567911</v>
      </c>
      <c r="T56" s="19">
        <f>(P56)*IF(N56&lt;Forudsætninger!$B$228,IF(N56&lt;Forudsætninger!$B$227,Forudsætninger!$B$225,Forudsætninger!$C$9),Forudsætninger!$C$11)+O56</f>
        <v>9.4251471654610413</v>
      </c>
      <c r="U56" s="2">
        <f>Forudsætninger!$D$68+((K56-(Forudsætninger!$D$84)))*0.01</f>
        <v>5.7765482400363926</v>
      </c>
      <c r="V56" s="2">
        <f>U56+Forudsætninger!$D$69</f>
        <v>5.7765482400363926</v>
      </c>
      <c r="W56">
        <f t="shared" si="1"/>
        <v>0</v>
      </c>
      <c r="X56">
        <f>IF(A56+Forudsætninger!$D$60&gt;248,IF(A56+Forudsætninger!$D$60&lt;365,IF(K56&gt;180,IF(K56&lt;260,1,0),0),0),0)</f>
        <v>0</v>
      </c>
      <c r="Y56" s="22">
        <f>IF(X56=0,0,IF('Vækstfunktion, kry tyr'!A56&lt;Forudsætninger!$D$66,Forudsætninger!$D$67+(('Vækstfunktion, kry tyr'!A56-Forudsætninger!$D$66)/7)*Forudsætninger!$D$64,Forudsætninger!$D$67))</f>
        <v>0</v>
      </c>
      <c r="Z56" s="19">
        <f t="shared" si="20"/>
        <v>885.68256246810188</v>
      </c>
      <c r="AA56" s="19">
        <f>Forudsætninger!$D$62+Forudsætninger!$C$16</f>
        <v>2055</v>
      </c>
      <c r="AB56" s="19">
        <f>IF(K56&gt;Forudsætninger!$C$37,IF(K56&gt;Forudsætninger!$C$38,IF(K56&gt;Forudsætninger!$C$39,Forudsætninger!$E$39,Forudsætninger!$E$38+Forudsætninger!$F$39*(K56-Forudsætninger!$C$38)),Forudsætninger!$E$37+Forudsætninger!$F$38*(K56-Forudsætninger!$C$37)),Forudsætninger!$E$37)+IF(K56&gt;Forudsætninger!$C$39,Forudsætninger!$G$39,IF(K56&gt;Forudsætninger!$C$38,Forudsætninger!$G$38+Forudsætninger!$H$39*(K56-Forudsætninger!$C$38),IF(K56&gt;Forudsætninger!$C$37,Forudsætninger!$G$37+Forudsætninger!$H$38*(K56-Forudsætninger!$C$37),Forudsætninger!$G$37)))*(U56-Forudsætninger!$H$37)</f>
        <v>35.177654824003639</v>
      </c>
      <c r="AC56" s="19">
        <f>IF(K56&gt;Forudsætninger!$C$42,IF(K56&gt;Forudsætninger!$C$43,IF(K56&gt;Forudsætninger!$C$44,Forudsætninger!$E$44,Forudsætninger!$E$43+Forudsætninger!$F$44*(K56-Forudsætninger!$C$43)),Forudsætninger!$E$42+Forudsætninger!$F$43*(K56-Forudsætninger!$C$42)),Forudsætninger!$E$42)+IF(K56&gt;Forudsætninger!$C$44,Forudsætninger!$G$44,IF(K56&gt;Forudsætninger!$C$43,Forudsætninger!$G$43+Forudsætninger!$H$44*(K56-Forudsætninger!$C$43),IF(K56&gt;Forudsætninger!$C$42,Forudsætninger!$G$42+Forudsætninger!$H$43*(K56-Forudsætninger!$C$42),Forudsætninger!$G$42)))*(V56-Forudsætninger!$H$42)</f>
        <v>30.094137060009096</v>
      </c>
      <c r="AD56" s="19">
        <f t="shared" si="2"/>
        <v>1916.80861894854</v>
      </c>
      <c r="AE56" s="19">
        <f t="shared" si="3"/>
        <v>30.094137060009096</v>
      </c>
      <c r="AF56">
        <f>IF(G56&lt;=Forudsætninger!$C$97,Forudsætninger!$C$98,(IF(G56&lt;=Forudsætninger!$D$97,Forudsætninger!$D$98,IF(G56&lt;=Forudsætninger!$E$97,Forudsætninger!$E$98,IF(G56&lt;=Forudsætninger!$F$97,Forudsætninger!$F$98,IF(G56&lt;=Forudsætninger!$G$97,Forudsætninger!$G$98,IF(G56&lt;=Forudsætninger!$H$97,Forudsætninger!$H$98,IF(G56&lt;=Forudsætninger!$I$97,Forudsætninger!$I$98,Forudsætninger!$I$98))))))))</f>
        <v>2.2000000000000002</v>
      </c>
      <c r="AG56" s="1">
        <f t="shared" si="16"/>
        <v>2.2000000000000002</v>
      </c>
      <c r="AH56" s="1">
        <f t="shared" si="21"/>
        <v>118.8000000000001</v>
      </c>
      <c r="AI56" s="1">
        <f t="shared" si="4"/>
        <v>2.200000000000002</v>
      </c>
      <c r="AJ56" s="20">
        <f>+(W56*Forudsætninger!$C$12)</f>
        <v>0</v>
      </c>
      <c r="AK56" s="20">
        <f>Forudsætninger!$C$17</f>
        <v>250</v>
      </c>
      <c r="AL56" s="20">
        <f>IF(A56&lt;92,Forudsætninger!$C$20,Forudsætninger!$C$21)</f>
        <v>4.0072859744990899</v>
      </c>
      <c r="AM56" s="20">
        <f t="shared" si="17"/>
        <v>216.39344262295094</v>
      </c>
      <c r="AN56" s="19">
        <f>IFERROR(AD56+AJ56-AA56-Z56-AK56-AM56-Forudsætninger!$D$75,-99999)</f>
        <v>-1708.1593598434731</v>
      </c>
      <c r="AO56" s="57">
        <f>IFERROR(AN56/(A56+Forudsætninger!$D$74),-99999)</f>
        <v>-31.632580737842094</v>
      </c>
      <c r="AP56" s="19">
        <f>IFERROR(((365/(A56+Forudsætninger!$D$74))*AN56)/(AI56+Forudsætninger!$D$73),-99999)</f>
        <v>-4998.2216317369503</v>
      </c>
      <c r="AQ56" s="18">
        <f t="shared" si="22"/>
        <v>54</v>
      </c>
      <c r="AR56" s="18">
        <f t="shared" si="23"/>
        <v>3407.076005091053</v>
      </c>
      <c r="AS56" s="50">
        <f t="shared" si="24"/>
        <v>2.9</v>
      </c>
      <c r="AT56" s="50">
        <f t="shared" si="25"/>
        <v>6.5953111918063314</v>
      </c>
      <c r="AU56" s="50">
        <f t="shared" si="26"/>
        <v>0.72128097980468553</v>
      </c>
      <c r="AV56" s="2">
        <f t="shared" si="27"/>
        <v>113.96863966610908</v>
      </c>
      <c r="AW56" s="16">
        <f t="shared" si="19"/>
        <v>-27.625294763343003</v>
      </c>
      <c r="AZ56" s="16"/>
      <c r="BA56" s="2"/>
    </row>
    <row r="57" spans="1:53" x14ac:dyDescent="0.25">
      <c r="A57">
        <v>55</v>
      </c>
      <c r="B57" s="1">
        <f>ROUND((A57+Forudsætninger!$D$60)/30.4,1)</f>
        <v>2.9</v>
      </c>
      <c r="C57" s="1">
        <f>VLOOKUP((A57+Forudsætninger!$D$60),'Model tilvækst, slagteform, fe'!A:C,3,FALSE)</f>
        <v>141.85121209756116</v>
      </c>
      <c r="D57" s="3">
        <f t="shared" si="28"/>
        <v>1588.6838533438947</v>
      </c>
      <c r="E57" s="3">
        <f>(1+Forudsætninger!$D$78)*C57</f>
        <v>119.15501816195138</v>
      </c>
      <c r="F57" s="2">
        <f t="shared" si="29"/>
        <v>8.4746918856294364</v>
      </c>
      <c r="G57" s="1">
        <f t="shared" si="8"/>
        <v>127.62971004758082</v>
      </c>
      <c r="H57" s="3">
        <f t="shared" si="9"/>
        <v>1255.0602441416886</v>
      </c>
      <c r="I57" s="3">
        <f t="shared" si="10"/>
        <v>1011.4492735923785</v>
      </c>
      <c r="J57" s="1">
        <f>VLOOKUP((A57+Forudsætninger!$D$60),'Model tilvækst, slagteform, fe'!G:K,3,FALSE)*(1+Forudsætninger!$D$79)</f>
        <v>50.426484820148517</v>
      </c>
      <c r="K57" s="17">
        <f t="shared" si="0"/>
        <v>64.359176363142907</v>
      </c>
      <c r="L57" s="17">
        <f t="shared" si="11"/>
        <v>665.4204954689078</v>
      </c>
      <c r="M57" s="3">
        <f>((K57-(('Model tilvækst, slagteform, fe'!$I$9/100)*'Model tilvækst, slagteform, fe'!$C$9))*1000/(A57+Forudsætninger!$D$60))</f>
        <v>479.10801580644477</v>
      </c>
      <c r="N57" s="17">
        <f t="shared" si="12"/>
        <v>150.38298916738799</v>
      </c>
      <c r="O57" s="19">
        <f>IF( A57&lt;Forudsætninger!$C$14,(G57/100)*Forudsætninger!$C$13,(Forudsætninger!$C$15/1000)*Forudsætninger!$C$13)</f>
        <v>0.82959311530927526</v>
      </c>
      <c r="P57" s="17" cm="1">
        <f t="array" ref="P57">INDEX('Model tilvækst, slagteform, fe'!$O$9:$O$375,MATCH(MIN(ABS('Model tilvækst, slagteform, fe'!$M$9:$M$375-G57)),ABS('Model tilvækst, slagteform, fe'!$M$9:$M$375-G57),0))*(1+Forudsætninger!$D$80)</f>
        <v>3.7135080690824602</v>
      </c>
      <c r="Q57" s="17">
        <f t="shared" si="13"/>
        <v>5.5806938535393762</v>
      </c>
      <c r="R57" s="17">
        <f t="shared" si="14"/>
        <v>5.1151522930566937</v>
      </c>
      <c r="S57" s="2">
        <f t="shared" si="15"/>
        <v>2.7032855112630187</v>
      </c>
      <c r="T57" s="19">
        <f>(P57)*IF(N57&lt;Forudsætninger!$B$228,IF(N57&lt;Forudsætninger!$B$227,Forudsætninger!$B$225,Forudsætninger!$C$9),Forudsætninger!$C$11)+O57</f>
        <v>9.5192019969622326</v>
      </c>
      <c r="U57" s="2">
        <f>Forudsætninger!$D$68+((K57-(Forudsætninger!$D$84)))*0.01</f>
        <v>5.7832024449910815</v>
      </c>
      <c r="V57" s="2">
        <f>U57+Forudsætninger!$D$69</f>
        <v>5.7832024449910815</v>
      </c>
      <c r="W57">
        <f t="shared" si="1"/>
        <v>0</v>
      </c>
      <c r="X57">
        <f>IF(A57+Forudsætninger!$D$60&gt;248,IF(A57+Forudsætninger!$D$60&lt;365,IF(K57&gt;180,IF(K57&lt;260,1,0),0),0),0)</f>
        <v>0</v>
      </c>
      <c r="Y57" s="22">
        <f>IF(X57=0,0,IF('Vækstfunktion, kry tyr'!A57&lt;Forudsætninger!$D$66,Forudsætninger!$D$67+(('Vækstfunktion, kry tyr'!A57-Forudsætninger!$D$66)/7)*Forudsætninger!$D$64,Forudsætninger!$D$67))</f>
        <v>0</v>
      </c>
      <c r="Z57" s="19">
        <f t="shared" si="20"/>
        <v>895.20176446506412</v>
      </c>
      <c r="AA57" s="19">
        <f>Forudsætninger!$D$62+Forudsætninger!$C$16</f>
        <v>2055</v>
      </c>
      <c r="AB57" s="19">
        <f>IF(K57&gt;Forudsætninger!$C$37,IF(K57&gt;Forudsætninger!$C$38,IF(K57&gt;Forudsætninger!$C$39,Forudsætninger!$E$39,Forudsætninger!$E$38+Forudsætninger!$F$39*(K57-Forudsætninger!$C$38)),Forudsætninger!$E$37+Forudsætninger!$F$38*(K57-Forudsætninger!$C$37)),Forudsætninger!$E$37)+IF(K57&gt;Forudsætninger!$C$39,Forudsætninger!$G$39,IF(K57&gt;Forudsætninger!$C$38,Forudsætninger!$G$38+Forudsætninger!$H$39*(K57-Forudsætninger!$C$38),IF(K57&gt;Forudsætninger!$C$37,Forudsætninger!$G$37+Forudsætninger!$H$38*(K57-Forudsætninger!$C$37),Forudsætninger!$G$37)))*(U57-Forudsætninger!$H$37)</f>
        <v>35.178320244499112</v>
      </c>
      <c r="AC57" s="19">
        <f>IF(K57&gt;Forudsætninger!$C$42,IF(K57&gt;Forudsætninger!$C$43,IF(K57&gt;Forudsætninger!$C$44,Forudsætninger!$E$44,Forudsætninger!$E$43+Forudsætninger!$F$44*(K57-Forudsætninger!$C$43)),Forudsætninger!$E$42+Forudsætninger!$F$43*(K57-Forudsætninger!$C$42)),Forudsætninger!$E$42)+IF(K57&gt;Forudsætninger!$C$44,Forudsætninger!$G$44,IF(K57&gt;Forudsætninger!$C$43,Forudsætninger!$G$43+Forudsætninger!$H$44*(K57-Forudsætninger!$C$43),IF(K57&gt;Forudsætninger!$C$42,Forudsætninger!$G$42+Forudsætninger!$H$43*(K57-Forudsætninger!$C$42),Forudsætninger!$G$42)))*(V57-Forudsætninger!$H$42)</f>
        <v>30.095800611247768</v>
      </c>
      <c r="AD57" s="19">
        <f t="shared" si="2"/>
        <v>1936.9409393292792</v>
      </c>
      <c r="AE57" s="19">
        <f t="shared" si="3"/>
        <v>30.095800611247768</v>
      </c>
      <c r="AF57">
        <f>IF(G57&lt;=Forudsætninger!$C$97,Forudsætninger!$C$98,(IF(G57&lt;=Forudsætninger!$D$97,Forudsætninger!$D$98,IF(G57&lt;=Forudsætninger!$E$97,Forudsætninger!$E$98,IF(G57&lt;=Forudsætninger!$F$97,Forudsætninger!$F$98,IF(G57&lt;=Forudsætninger!$G$97,Forudsætninger!$G$98,IF(G57&lt;=Forudsætninger!$H$97,Forudsætninger!$H$98,IF(G57&lt;=Forudsætninger!$I$97,Forudsætninger!$I$98,Forudsætninger!$I$98))))))))</f>
        <v>2.2000000000000002</v>
      </c>
      <c r="AG57" s="1">
        <f t="shared" si="16"/>
        <v>2.2000000000000002</v>
      </c>
      <c r="AH57" s="1">
        <f t="shared" si="21"/>
        <v>121.0000000000001</v>
      </c>
      <c r="AI57" s="1">
        <f t="shared" si="4"/>
        <v>2.200000000000002</v>
      </c>
      <c r="AJ57" s="20">
        <f>+(W57*Forudsætninger!$C$12)</f>
        <v>0</v>
      </c>
      <c r="AK57" s="20">
        <f>Forudsætninger!$C$17</f>
        <v>250</v>
      </c>
      <c r="AL57" s="20">
        <f>IF(A57&lt;92,Forudsætninger!$C$20,Forudsætninger!$C$21)</f>
        <v>4.0072859744990899</v>
      </c>
      <c r="AM57" s="20">
        <f t="shared" si="17"/>
        <v>220.40072859745004</v>
      </c>
      <c r="AN57" s="19">
        <f>IFERROR(AD57+AJ57-AA57-Z57-AK57-AM57-Forudsætninger!$D$75,-99999)</f>
        <v>-1701.5535274341953</v>
      </c>
      <c r="AO57" s="57">
        <f>IFERROR(AN57/(A57+Forudsætninger!$D$74),-99999)</f>
        <v>-30.937336862439913</v>
      </c>
      <c r="AP57" s="19">
        <f>IFERROR(((365/(A57+Forudsætninger!$D$74))*AN57)/(AI57+Forudsætninger!$D$73),-99999)</f>
        <v>-4888.3670799959136</v>
      </c>
      <c r="AQ57" s="18">
        <f t="shared" si="22"/>
        <v>55</v>
      </c>
      <c r="AR57" s="18">
        <f t="shared" si="23"/>
        <v>3420.602493062514</v>
      </c>
      <c r="AS57" s="50">
        <f t="shared" si="24"/>
        <v>2.9</v>
      </c>
      <c r="AT57" s="50">
        <f t="shared" si="25"/>
        <v>6.6058324092778093</v>
      </c>
      <c r="AU57" s="50">
        <f t="shared" si="26"/>
        <v>0.69524387540218058</v>
      </c>
      <c r="AV57" s="2">
        <f t="shared" si="27"/>
        <v>109.85455174103663</v>
      </c>
      <c r="AW57" s="16">
        <f t="shared" si="19"/>
        <v>-26.930050887940823</v>
      </c>
      <c r="AZ57" s="16"/>
      <c r="BA57" s="2"/>
    </row>
    <row r="58" spans="1:53" x14ac:dyDescent="0.25">
      <c r="A58">
        <v>56</v>
      </c>
      <c r="B58" s="1">
        <f>ROUND((A58+Forudsætninger!$D$60)/30.4,1)</f>
        <v>3</v>
      </c>
      <c r="C58" s="1">
        <f>VLOOKUP((A58+Forudsætninger!$D$60),'Model tilvækst, slagteform, fe'!A:C,3,FALSE)</f>
        <v>143.44746096806296</v>
      </c>
      <c r="D58" s="3">
        <f t="shared" si="28"/>
        <v>1596.2488705017961</v>
      </c>
      <c r="E58" s="3">
        <f>(1+Forudsætninger!$D$78)*C58</f>
        <v>120.49586721317287</v>
      </c>
      <c r="F58" s="2">
        <f t="shared" si="29"/>
        <v>8.3948794421043473</v>
      </c>
      <c r="G58" s="1">
        <f t="shared" si="8"/>
        <v>128.89074665527721</v>
      </c>
      <c r="H58" s="3">
        <f t="shared" si="9"/>
        <v>1261.0366076963969</v>
      </c>
      <c r="I58" s="3">
        <f t="shared" si="10"/>
        <v>1015.9061902728073</v>
      </c>
      <c r="J58" s="1">
        <f>VLOOKUP((A58+Forudsætninger!$D$60),'Model tilvækst, slagteform, fe'!G:K,3,FALSE)*(1+Forudsætninger!$D$79)</f>
        <v>50.451985363158393</v>
      </c>
      <c r="K58" s="17">
        <f t="shared" si="0"/>
        <v>65.027940636986017</v>
      </c>
      <c r="L58" s="17">
        <f t="shared" si="11"/>
        <v>668.76427384310944</v>
      </c>
      <c r="M58" s="3">
        <f>((K58-(('Model tilvækst, slagteform, fe'!$I$9/100)*'Model tilvækst, slagteform, fe'!$C$9))*1000/(A58+Forudsætninger!$D$60))</f>
        <v>481.2153075624077</v>
      </c>
      <c r="N58" s="17">
        <f t="shared" si="12"/>
        <v>154.13311572864819</v>
      </c>
      <c r="O58" s="19">
        <f>IF( A58&lt;Forudsætninger!$C$14,(G58/100)*Forudsætninger!$C$13,(Forudsætninger!$C$15/1000)*Forudsætninger!$C$13)</f>
        <v>0.837789853259302</v>
      </c>
      <c r="P58" s="17" cm="1">
        <f t="array" ref="P58">INDEX('Model tilvækst, slagteform, fe'!$O$9:$O$375,MATCH(MIN(ABS('Model tilvækst, slagteform, fe'!$M$9:$M$375-G58)),ABS('Model tilvækst, slagteform, fe'!$M$9:$M$375-G58),0))*(1+Forudsætninger!$D$80)</f>
        <v>3.7501265612601902</v>
      </c>
      <c r="Q58" s="17">
        <f t="shared" si="13"/>
        <v>5.6075461981690147</v>
      </c>
      <c r="R58" s="17">
        <f t="shared" si="14"/>
        <v>5.1261038831108126</v>
      </c>
      <c r="S58" s="2">
        <f t="shared" si="15"/>
        <v>2.7092827004468703</v>
      </c>
      <c r="T58" s="19">
        <f>(P58)*IF(N58&lt;Forudsætninger!$B$228,IF(N58&lt;Forudsætninger!$B$227,Forudsætninger!$B$225,Forudsætninger!$C$9),Forudsætninger!$C$11)+O58</f>
        <v>9.6130860066081461</v>
      </c>
      <c r="U58" s="2">
        <f>Forudsætninger!$D$68+((K58-(Forudsætninger!$D$84)))*0.01</f>
        <v>5.7898900877295123</v>
      </c>
      <c r="V58" s="2">
        <f>U58+Forudsætninger!$D$69</f>
        <v>5.7898900877295123</v>
      </c>
      <c r="W58">
        <f t="shared" si="1"/>
        <v>0</v>
      </c>
      <c r="X58">
        <f>IF(A58+Forudsætninger!$D$60&gt;248,IF(A58+Forudsætninger!$D$60&lt;365,IF(K58&gt;180,IF(K58&lt;260,1,0),0),0),0)</f>
        <v>0</v>
      </c>
      <c r="Y58" s="22">
        <f>IF(X58=0,0,IF('Vækstfunktion, kry tyr'!A58&lt;Forudsætninger!$D$66,Forudsætninger!$D$67+(('Vækstfunktion, kry tyr'!A58-Forudsætninger!$D$66)/7)*Forudsætninger!$D$64,Forudsætninger!$D$67))</f>
        <v>0</v>
      </c>
      <c r="Z58" s="19">
        <f t="shared" si="20"/>
        <v>904.81485047167223</v>
      </c>
      <c r="AA58" s="19">
        <f>Forudsætninger!$D$62+Forudsætninger!$C$16</f>
        <v>2055</v>
      </c>
      <c r="AB58" s="19">
        <f>IF(K58&gt;Forudsætninger!$C$37,IF(K58&gt;Forudsætninger!$C$38,IF(K58&gt;Forudsætninger!$C$39,Forudsætninger!$E$39,Forudsætninger!$E$38+Forudsætninger!$F$39*(K58-Forudsætninger!$C$38)),Forudsætninger!$E$37+Forudsætninger!$F$38*(K58-Forudsætninger!$C$37)),Forudsætninger!$E$37)+IF(K58&gt;Forudsætninger!$C$39,Forudsætninger!$G$39,IF(K58&gt;Forudsætninger!$C$38,Forudsætninger!$G$38+Forudsætninger!$H$39*(K58-Forudsætninger!$C$38),IF(K58&gt;Forudsætninger!$C$37,Forudsætninger!$G$37+Forudsætninger!$H$38*(K58-Forudsætninger!$C$37),Forudsætninger!$G$37)))*(U58-Forudsætninger!$H$37)</f>
        <v>35.178989008772952</v>
      </c>
      <c r="AC58" s="19">
        <f>IF(K58&gt;Forudsætninger!$C$42,IF(K58&gt;Forudsætninger!$C$43,IF(K58&gt;Forudsætninger!$C$44,Forudsætninger!$E$44,Forudsætninger!$E$43+Forudsætninger!$F$44*(K58-Forudsætninger!$C$43)),Forudsætninger!$E$42+Forudsætninger!$F$43*(K58-Forudsætninger!$C$42)),Forudsætninger!$E$42)+IF(K58&gt;Forudsætninger!$C$44,Forudsætninger!$G$44,IF(K58&gt;Forudsætninger!$C$43,Forudsætninger!$G$43+Forudsætninger!$H$44*(K58-Forudsætninger!$C$43),IF(K58&gt;Forudsætninger!$C$42,Forudsætninger!$G$42+Forudsætninger!$H$43*(K58-Forudsætninger!$C$42),Forudsætninger!$G$42)))*(V58-Forudsætninger!$H$42)</f>
        <v>30.097472521932378</v>
      </c>
      <c r="AD58" s="19">
        <f t="shared" si="2"/>
        <v>1957.1766564795364</v>
      </c>
      <c r="AE58" s="19">
        <f t="shared" si="3"/>
        <v>30.097472521932378</v>
      </c>
      <c r="AF58">
        <f>IF(G58&lt;=Forudsætninger!$C$97,Forudsætninger!$C$98,(IF(G58&lt;=Forudsætninger!$D$97,Forudsætninger!$D$98,IF(G58&lt;=Forudsætninger!$E$97,Forudsætninger!$E$98,IF(G58&lt;=Forudsætninger!$F$97,Forudsætninger!$F$98,IF(G58&lt;=Forudsætninger!$G$97,Forudsætninger!$G$98,IF(G58&lt;=Forudsætninger!$H$97,Forudsætninger!$H$98,IF(G58&lt;=Forudsætninger!$I$97,Forudsætninger!$I$98,Forudsætninger!$I$98))))))))</f>
        <v>2.2000000000000002</v>
      </c>
      <c r="AG58" s="1">
        <f t="shared" si="16"/>
        <v>2.2000000000000002</v>
      </c>
      <c r="AH58" s="1">
        <f t="shared" si="21"/>
        <v>123.2000000000001</v>
      </c>
      <c r="AI58" s="1">
        <f t="shared" si="4"/>
        <v>2.200000000000002</v>
      </c>
      <c r="AJ58" s="20">
        <f>+(W58*Forudsætninger!$C$12)</f>
        <v>0</v>
      </c>
      <c r="AK58" s="20">
        <f>Forudsætninger!$C$17</f>
        <v>250</v>
      </c>
      <c r="AL58" s="20">
        <f>IF(A58&lt;92,Forudsætninger!$C$20,Forudsætninger!$C$21)</f>
        <v>4.0072859744990899</v>
      </c>
      <c r="AM58" s="20">
        <f t="shared" si="17"/>
        <v>224.40801457194914</v>
      </c>
      <c r="AN58" s="19">
        <f>IFERROR(AD58+AJ58-AA58-Z58-AK58-AM58-Forudsætninger!$D$75,-99999)</f>
        <v>-1694.938182265045</v>
      </c>
      <c r="AO58" s="57">
        <f>IFERROR(AN58/(A58+Forudsætninger!$D$74),-99999)</f>
        <v>-30.266753254732947</v>
      </c>
      <c r="AP58" s="19">
        <f>IFERROR(((365/(A58+Forudsætninger!$D$74))*AN58)/(AI58+Forudsætninger!$D$73),-99999)</f>
        <v>-4782.4090640595314</v>
      </c>
      <c r="AQ58" s="18">
        <f t="shared" si="22"/>
        <v>56</v>
      </c>
      <c r="AR58" s="18">
        <f t="shared" si="23"/>
        <v>3434.2228650436214</v>
      </c>
      <c r="AS58" s="50">
        <f t="shared" si="24"/>
        <v>3</v>
      </c>
      <c r="AT58" s="50">
        <f t="shared" si="25"/>
        <v>6.6153451691502596</v>
      </c>
      <c r="AU58" s="50">
        <f t="shared" si="26"/>
        <v>0.67058360770696623</v>
      </c>
      <c r="AV58" s="2">
        <f t="shared" si="27"/>
        <v>105.95801593638225</v>
      </c>
      <c r="AW58" s="16">
        <f t="shared" si="19"/>
        <v>-26.259467280233853</v>
      </c>
      <c r="AZ58" s="16"/>
      <c r="BA58" s="2"/>
    </row>
    <row r="59" spans="1:53" x14ac:dyDescent="0.25">
      <c r="A59">
        <v>57</v>
      </c>
      <c r="B59" s="1">
        <f>ROUND((A59+Forudsætninger!$D$60)/30.4,1)</f>
        <v>3</v>
      </c>
      <c r="C59" s="1">
        <f>VLOOKUP((A59+Forudsætninger!$D$60),'Model tilvækst, slagteform, fe'!A:C,3,FALSE)</f>
        <v>145.05115170971143</v>
      </c>
      <c r="D59" s="3">
        <f t="shared" si="28"/>
        <v>1603.690741648478</v>
      </c>
      <c r="E59" s="3">
        <f>(1+Forudsætninger!$D$78)*C59</f>
        <v>121.84296743615759</v>
      </c>
      <c r="F59" s="2">
        <f t="shared" si="29"/>
        <v>8.3146949050219234</v>
      </c>
      <c r="G59" s="1">
        <f t="shared" si="8"/>
        <v>130.1576623411795</v>
      </c>
      <c r="H59" s="3">
        <f t="shared" si="9"/>
        <v>1266.9156859022905</v>
      </c>
      <c r="I59" s="3">
        <f t="shared" si="10"/>
        <v>1020.3098656347281</v>
      </c>
      <c r="J59" s="1">
        <f>VLOOKUP((A59+Forudsætninger!$D$60),'Model tilvækst, slagteform, fe'!G:K,3,FALSE)*(1+Forudsætninger!$D$79)</f>
        <v>50.477250463023516</v>
      </c>
      <c r="K59" s="17">
        <f t="shared" si="0"/>
        <v>65.700009216773609</v>
      </c>
      <c r="L59" s="17">
        <f t="shared" si="11"/>
        <v>672.0685797875916</v>
      </c>
      <c r="M59" s="3">
        <f>((K59-(('Model tilvækst, slagteform, fe'!$I$9/100)*'Model tilvækst, slagteform, fe'!$C$9))*1000/(A59+Forudsætninger!$D$60))</f>
        <v>483.31259626817894</v>
      </c>
      <c r="N59" s="17">
        <f t="shared" si="12"/>
        <v>157.91976801309133</v>
      </c>
      <c r="O59" s="19">
        <f>IF( A59&lt;Forudsætninger!$C$14,(G59/100)*Forudsætninger!$C$13,(Forudsætninger!$C$15/1000)*Forudsætninger!$C$13)</f>
        <v>0.84602480521766676</v>
      </c>
      <c r="P59" s="17" cm="1">
        <f t="array" ref="P59">INDEX('Model tilvækst, slagteform, fe'!$O$9:$O$375,MATCH(MIN(ABS('Model tilvækst, slagteform, fe'!$M$9:$M$375-G59)),ABS('Model tilvækst, slagteform, fe'!$M$9:$M$375-G59),0))*(1+Forudsætninger!$D$80)</f>
        <v>3.7866522844431256</v>
      </c>
      <c r="Q59" s="17">
        <f t="shared" si="13"/>
        <v>5.6343242316727604</v>
      </c>
      <c r="R59" s="17">
        <f t="shared" si="14"/>
        <v>5.1372149787163961</v>
      </c>
      <c r="S59" s="2">
        <f t="shared" si="15"/>
        <v>2.7153733774005837</v>
      </c>
      <c r="T59" s="19">
        <f>(P59)*IF(N59&lt;Forudsætninger!$B$228,IF(N59&lt;Forudsætninger!$B$227,Forudsætninger!$B$225,Forudsætninger!$C$9),Forudsætninger!$C$11)+O59</f>
        <v>9.7067911508145794</v>
      </c>
      <c r="U59" s="2">
        <f>Forudsætninger!$D$68+((K59-(Forudsætninger!$D$84)))*0.01</f>
        <v>5.7966107735273882</v>
      </c>
      <c r="V59" s="2">
        <f>U59+Forudsætninger!$D$69</f>
        <v>5.7966107735273882</v>
      </c>
      <c r="W59">
        <f t="shared" si="1"/>
        <v>0</v>
      </c>
      <c r="X59">
        <f>IF(A59+Forudsætninger!$D$60&gt;248,IF(A59+Forudsætninger!$D$60&lt;365,IF(K59&gt;180,IF(K59&lt;260,1,0),0),0),0)</f>
        <v>0</v>
      </c>
      <c r="Y59" s="22">
        <f>IF(X59=0,0,IF('Vækstfunktion, kry tyr'!A59&lt;Forudsætninger!$D$66,Forudsætninger!$D$67+(('Vækstfunktion, kry tyr'!A59-Forudsætninger!$D$66)/7)*Forudsætninger!$D$64,Forudsætninger!$D$67))</f>
        <v>0</v>
      </c>
      <c r="Z59" s="19">
        <f t="shared" si="20"/>
        <v>914.52164162248675</v>
      </c>
      <c r="AA59" s="19">
        <f>Forudsætninger!$D$62+Forudsætninger!$C$16</f>
        <v>2055</v>
      </c>
      <c r="AB59" s="19">
        <f>IF(K59&gt;Forudsætninger!$C$37,IF(K59&gt;Forudsætninger!$C$38,IF(K59&gt;Forudsætninger!$C$39,Forudsætninger!$E$39,Forudsætninger!$E$38+Forudsætninger!$F$39*(K59-Forudsætninger!$C$38)),Forudsætninger!$E$37+Forudsætninger!$F$38*(K59-Forudsætninger!$C$37)),Forudsætninger!$E$37)+IF(K59&gt;Forudsætninger!$C$39,Forudsætninger!$G$39,IF(K59&gt;Forudsætninger!$C$38,Forudsætninger!$G$38+Forudsætninger!$H$39*(K59-Forudsætninger!$C$38),IF(K59&gt;Forudsætninger!$C$37,Forudsætninger!$G$37+Forudsætninger!$H$38*(K59-Forudsætninger!$C$37),Forudsætninger!$G$37)))*(U59-Forudsætninger!$H$37)</f>
        <v>35.179661077352741</v>
      </c>
      <c r="AC59" s="19">
        <f>IF(K59&gt;Forudsætninger!$C$42,IF(K59&gt;Forudsætninger!$C$43,IF(K59&gt;Forudsætninger!$C$44,Forudsætninger!$E$44,Forudsætninger!$E$43+Forudsætninger!$F$44*(K59-Forudsætninger!$C$43)),Forudsætninger!$E$42+Forudsætninger!$F$43*(K59-Forudsætninger!$C$42)),Forudsætninger!$E$42)+IF(K59&gt;Forudsætninger!$C$44,Forudsætninger!$G$44,IF(K59&gt;Forudsætninger!$C$43,Forudsætninger!$G$43+Forudsætninger!$H$44*(K59-Forudsætninger!$C$43),IF(K59&gt;Forudsætninger!$C$42,Forudsætninger!$G$42+Forudsætninger!$H$43*(K59-Forudsætninger!$C$42),Forudsætninger!$G$42)))*(V59-Forudsætninger!$H$42)</f>
        <v>30.099152693381846</v>
      </c>
      <c r="AD59" s="19">
        <f t="shared" si="2"/>
        <v>1977.5146093722635</v>
      </c>
      <c r="AE59" s="19">
        <f t="shared" si="3"/>
        <v>30.099152693381846</v>
      </c>
      <c r="AF59">
        <f>IF(G59&lt;=Forudsætninger!$C$97,Forudsætninger!$C$98,(IF(G59&lt;=Forudsætninger!$D$97,Forudsætninger!$D$98,IF(G59&lt;=Forudsætninger!$E$97,Forudsætninger!$E$98,IF(G59&lt;=Forudsætninger!$F$97,Forudsætninger!$F$98,IF(G59&lt;=Forudsætninger!$G$97,Forudsætninger!$G$98,IF(G59&lt;=Forudsætninger!$H$97,Forudsætninger!$H$98,IF(G59&lt;=Forudsætninger!$I$97,Forudsætninger!$I$98,Forudsætninger!$I$98))))))))</f>
        <v>2.2000000000000002</v>
      </c>
      <c r="AG59" s="1">
        <f t="shared" si="16"/>
        <v>2.2000000000000002</v>
      </c>
      <c r="AH59" s="1">
        <f t="shared" si="21"/>
        <v>125.40000000000011</v>
      </c>
      <c r="AI59" s="1">
        <f t="shared" si="4"/>
        <v>2.200000000000002</v>
      </c>
      <c r="AJ59" s="20">
        <f>+(W59*Forudsætninger!$C$12)</f>
        <v>0</v>
      </c>
      <c r="AK59" s="20">
        <f>Forudsætninger!$C$17</f>
        <v>250</v>
      </c>
      <c r="AL59" s="20">
        <f>IF(A59&lt;92,Forudsætninger!$C$20,Forudsætninger!$C$21)</f>
        <v>4.0072859744990899</v>
      </c>
      <c r="AM59" s="20">
        <f t="shared" si="17"/>
        <v>228.41530054644824</v>
      </c>
      <c r="AN59" s="19">
        <f>IFERROR(AD59+AJ59-AA59-Z59-AK59-AM59-Forudsætninger!$D$75,-99999)</f>
        <v>-1688.3143064976318</v>
      </c>
      <c r="AO59" s="57">
        <f>IFERROR(AN59/(A59+Forudsætninger!$D$74),-99999)</f>
        <v>-29.619549236800559</v>
      </c>
      <c r="AP59" s="19">
        <f>IFERROR(((365/(A59+Forudsætninger!$D$74))*AN59)/(AI59+Forudsætninger!$D$73),-99999)</f>
        <v>-4680.1452257282235</v>
      </c>
      <c r="AQ59" s="18">
        <f t="shared" si="22"/>
        <v>57</v>
      </c>
      <c r="AR59" s="18">
        <f t="shared" si="23"/>
        <v>3447.9369421689348</v>
      </c>
      <c r="AS59" s="50">
        <f t="shared" si="24"/>
        <v>3</v>
      </c>
      <c r="AT59" s="50">
        <f t="shared" si="25"/>
        <v>6.6238757674132103</v>
      </c>
      <c r="AU59" s="50">
        <f t="shared" si="26"/>
        <v>0.64720401793238835</v>
      </c>
      <c r="AV59" s="2">
        <f t="shared" si="27"/>
        <v>102.26383833130785</v>
      </c>
      <c r="AW59" s="16">
        <f t="shared" si="19"/>
        <v>-25.612263262301468</v>
      </c>
      <c r="AZ59" s="16"/>
      <c r="BA59" s="2"/>
    </row>
    <row r="60" spans="1:53" x14ac:dyDescent="0.25">
      <c r="A60">
        <v>58</v>
      </c>
      <c r="B60" s="1">
        <f>ROUND((A60+Forudsætninger!$D$60)/30.4,1)</f>
        <v>3</v>
      </c>
      <c r="C60" s="1">
        <f>VLOOKUP((A60+Forudsætninger!$D$60),'Model tilvækst, slagteform, fe'!A:C,3,FALSE)</f>
        <v>146.66216179743171</v>
      </c>
      <c r="D60" s="3">
        <f t="shared" si="28"/>
        <v>1611.010087720274</v>
      </c>
      <c r="E60" s="3">
        <f>(1+Forudsætninger!$D$78)*C60</f>
        <v>123.19621590984264</v>
      </c>
      <c r="F60" s="2">
        <f t="shared" si="29"/>
        <v>8.234144400635909</v>
      </c>
      <c r="G60" s="1">
        <f t="shared" si="8"/>
        <v>131.43036031047853</v>
      </c>
      <c r="H60" s="3">
        <f t="shared" si="9"/>
        <v>1272.6979692990312</v>
      </c>
      <c r="I60" s="3">
        <f t="shared" si="10"/>
        <v>1024.661384663423</v>
      </c>
      <c r="J60" s="1">
        <f>VLOOKUP((A60+Forudsætninger!$D$60),'Model tilvækst, slagteform, fe'!G:K,3,FALSE)*(1+Forudsætninger!$D$79)</f>
        <v>50.502291173856953</v>
      </c>
      <c r="K60" s="17">
        <f t="shared" si="0"/>
        <v>66.375343254847195</v>
      </c>
      <c r="L60" s="17">
        <f t="shared" si="11"/>
        <v>675.33403807358638</v>
      </c>
      <c r="M60" s="3">
        <f>((K60-(('Model tilvækst, slagteform, fe'!$I$9/100)*'Model tilvækst, slagteform, fe'!$C$9))*1000/(A60+Forudsætninger!$D$60))</f>
        <v>485.39978585302032</v>
      </c>
      <c r="N60" s="17">
        <f t="shared" si="12"/>
        <v>161.74285008453052</v>
      </c>
      <c r="O60" s="19">
        <f>IF( A60&lt;Forudsætninger!$C$14,(G60/100)*Forudsætninger!$C$13,(Forudsætninger!$C$15/1000)*Forudsætninger!$C$13)</f>
        <v>0.85429734201811058</v>
      </c>
      <c r="P60" s="17" cm="1">
        <f t="array" ref="P60">INDEX('Model tilvækst, slagteform, fe'!$O$9:$O$375,MATCH(MIN(ABS('Model tilvækst, slagteform, fe'!$M$9:$M$375-G60)),ABS('Model tilvækst, slagteform, fe'!$M$9:$M$375-G60),0))*(1+Forudsætninger!$D$80)</f>
        <v>3.8230820714391935</v>
      </c>
      <c r="Q60" s="17">
        <f t="shared" si="13"/>
        <v>5.6610238132593862</v>
      </c>
      <c r="R60" s="17">
        <f t="shared" si="14"/>
        <v>5.1484751497646961</v>
      </c>
      <c r="S60" s="2">
        <f t="shared" si="15"/>
        <v>2.7215525741312496</v>
      </c>
      <c r="T60" s="19">
        <f>(P60)*IF(N60&lt;Forudsætninger!$B$228,IF(N60&lt;Forudsætninger!$B$227,Forudsætninger!$B$225,Forudsætninger!$C$9),Forudsætninger!$C$11)+O60</f>
        <v>9.8003093891858235</v>
      </c>
      <c r="U60" s="2">
        <f>Forudsætninger!$D$68+((K60-(Forudsætninger!$D$84)))*0.01</f>
        <v>5.803364113908124</v>
      </c>
      <c r="V60" s="2">
        <f>U60+Forudsætninger!$D$69</f>
        <v>5.803364113908124</v>
      </c>
      <c r="W60">
        <f t="shared" si="1"/>
        <v>0</v>
      </c>
      <c r="X60">
        <f>IF(A60+Forudsætninger!$D$60&gt;248,IF(A60+Forudsætninger!$D$60&lt;365,IF(K60&gt;180,IF(K60&lt;260,1,0),0),0),0)</f>
        <v>0</v>
      </c>
      <c r="Y60" s="22">
        <f>IF(X60=0,0,IF('Vækstfunktion, kry tyr'!A60&lt;Forudsætninger!$D$66,Forudsætninger!$D$67+(('Vækstfunktion, kry tyr'!A60-Forudsætninger!$D$66)/7)*Forudsætninger!$D$64,Forudsætninger!$D$67))</f>
        <v>0</v>
      </c>
      <c r="Z60" s="19">
        <f t="shared" si="20"/>
        <v>924.32195101167258</v>
      </c>
      <c r="AA60" s="19">
        <f>Forudsætninger!$D$62+Forudsætninger!$C$16</f>
        <v>2055</v>
      </c>
      <c r="AB60" s="19">
        <f>IF(K60&gt;Forudsætninger!$C$37,IF(K60&gt;Forudsætninger!$C$38,IF(K60&gt;Forudsætninger!$C$39,Forudsætninger!$E$39,Forudsætninger!$E$38+Forudsætninger!$F$39*(K60-Forudsætninger!$C$38)),Forudsætninger!$E$37+Forudsætninger!$F$38*(K60-Forudsætninger!$C$37)),Forudsætninger!$E$37)+IF(K60&gt;Forudsætninger!$C$39,Forudsætninger!$G$39,IF(K60&gt;Forudsætninger!$C$38,Forudsætninger!$G$38+Forudsætninger!$H$39*(K60-Forudsætninger!$C$38),IF(K60&gt;Forudsætninger!$C$37,Forudsætninger!$G$37+Forudsætninger!$H$38*(K60-Forudsætninger!$C$37),Forudsætninger!$G$37)))*(U60-Forudsætninger!$H$37)</f>
        <v>35.180336411390812</v>
      </c>
      <c r="AC60" s="19">
        <f>IF(K60&gt;Forudsætninger!$C$42,IF(K60&gt;Forudsætninger!$C$43,IF(K60&gt;Forudsætninger!$C$44,Forudsætninger!$E$44,Forudsætninger!$E$43+Forudsætninger!$F$44*(K60-Forudsætninger!$C$43)),Forudsætninger!$E$42+Forudsætninger!$F$43*(K60-Forudsætninger!$C$42)),Forudsætninger!$E$42)+IF(K60&gt;Forudsætninger!$C$44,Forudsætninger!$G$44,IF(K60&gt;Forudsætninger!$C$43,Forudsætninger!$G$43+Forudsætninger!$H$44*(K60-Forudsætninger!$C$43),IF(K60&gt;Forudsætninger!$C$42,Forudsætninger!$G$42+Forudsætninger!$H$43*(K60-Forudsætninger!$C$42),Forudsætninger!$G$42)))*(V60-Forudsætninger!$H$42)</f>
        <v>30.100841028477028</v>
      </c>
      <c r="AD60" s="19">
        <f t="shared" si="2"/>
        <v>1997.9536555247503</v>
      </c>
      <c r="AE60" s="19">
        <f t="shared" si="3"/>
        <v>30.100841028477028</v>
      </c>
      <c r="AF60">
        <f>IF(G60&lt;=Forudsætninger!$C$97,Forudsætninger!$C$98,(IF(G60&lt;=Forudsætninger!$D$97,Forudsætninger!$D$98,IF(G60&lt;=Forudsætninger!$E$97,Forudsætninger!$E$98,IF(G60&lt;=Forudsætninger!$F$97,Forudsætninger!$F$98,IF(G60&lt;=Forudsætninger!$G$97,Forudsætninger!$G$98,IF(G60&lt;=Forudsætninger!$H$97,Forudsætninger!$H$98,IF(G60&lt;=Forudsætninger!$I$97,Forudsætninger!$I$98,Forudsætninger!$I$98))))))))</f>
        <v>2.2000000000000002</v>
      </c>
      <c r="AG60" s="1">
        <f t="shared" si="16"/>
        <v>2.2000000000000002</v>
      </c>
      <c r="AH60" s="1">
        <f t="shared" si="21"/>
        <v>127.60000000000011</v>
      </c>
      <c r="AI60" s="1">
        <f t="shared" si="4"/>
        <v>2.200000000000002</v>
      </c>
      <c r="AJ60" s="20">
        <f>+(W60*Forudsætninger!$C$12)</f>
        <v>0</v>
      </c>
      <c r="AK60" s="20">
        <f>Forudsætninger!$C$17</f>
        <v>250</v>
      </c>
      <c r="AL60" s="20">
        <f>IF(A60&lt;92,Forudsætninger!$C$20,Forudsætninger!$C$21)</f>
        <v>4.0072859744990899</v>
      </c>
      <c r="AM60" s="20">
        <f t="shared" si="17"/>
        <v>232.42258652094733</v>
      </c>
      <c r="AN60" s="19">
        <f>IFERROR(AD60+AJ60-AA60-Z60-AK60-AM60-Forudsætninger!$D$75,-99999)</f>
        <v>-1681.6828557088299</v>
      </c>
      <c r="AO60" s="57">
        <f>IFERROR(AN60/(A60+Forudsætninger!$D$74),-99999)</f>
        <v>-28.994531994979827</v>
      </c>
      <c r="AP60" s="19">
        <f>IFERROR(((365/(A60+Forudsætninger!$D$74))*AN60)/(AI60+Forudsætninger!$D$73),-99999)</f>
        <v>-4581.3870901158571</v>
      </c>
      <c r="AQ60" s="18">
        <f t="shared" si="22"/>
        <v>58</v>
      </c>
      <c r="AR60" s="18">
        <f t="shared" si="23"/>
        <v>3461.7445375326197</v>
      </c>
      <c r="AS60" s="50">
        <f t="shared" si="24"/>
        <v>3</v>
      </c>
      <c r="AT60" s="50">
        <f t="shared" si="25"/>
        <v>6.6314507888018852</v>
      </c>
      <c r="AU60" s="50">
        <f t="shared" si="26"/>
        <v>0.62501724182073204</v>
      </c>
      <c r="AV60" s="2">
        <f t="shared" si="27"/>
        <v>98.758135612366459</v>
      </c>
      <c r="AW60" s="16">
        <f t="shared" si="19"/>
        <v>-24.987246020480736</v>
      </c>
      <c r="AZ60" s="16"/>
      <c r="BA60" s="2"/>
    </row>
    <row r="61" spans="1:53" x14ac:dyDescent="0.25">
      <c r="A61">
        <v>59</v>
      </c>
      <c r="B61" s="1">
        <f>ROUND((A61+Forudsætninger!$D$60)/30.4,1)</f>
        <v>3.1</v>
      </c>
      <c r="C61" s="1">
        <f>VLOOKUP((A61+Forudsætninger!$D$60),'Model tilvækst, slagteform, fe'!A:C,3,FALSE)</f>
        <v>148.28036932708557</v>
      </c>
      <c r="D61" s="3">
        <f t="shared" si="28"/>
        <v>1618.2075296538585</v>
      </c>
      <c r="E61" s="3">
        <f>(1+Forudsætninger!$D$78)*C61</f>
        <v>124.55551023475186</v>
      </c>
      <c r="F61" s="2">
        <f t="shared" si="29"/>
        <v>8.1532340241532157</v>
      </c>
      <c r="G61" s="1">
        <f t="shared" si="8"/>
        <v>132.70874425890509</v>
      </c>
      <c r="H61" s="3">
        <f t="shared" si="9"/>
        <v>1278.3839484265513</v>
      </c>
      <c r="I61" s="3">
        <f t="shared" si="10"/>
        <v>1028.9617671000863</v>
      </c>
      <c r="J61" s="1">
        <f>VLOOKUP((A61+Forudsætninger!$D$60),'Model tilvækst, slagteform, fe'!G:K,3,FALSE)*(1+Forudsætninger!$D$79)</f>
        <v>50.527118549771785</v>
      </c>
      <c r="K61" s="17">
        <f t="shared" si="0"/>
        <v>67.053904537610435</v>
      </c>
      <c r="L61" s="17">
        <f t="shared" si="11"/>
        <v>678.56128276324057</v>
      </c>
      <c r="M61" s="3">
        <f>((K61-(('Model tilvækst, slagteform, fe'!$I$9/100)*'Model tilvækst, slagteform, fe'!$C$9))*1000/(A61+Forudsætninger!$D$60))</f>
        <v>487.47679119614099</v>
      </c>
      <c r="N61" s="17">
        <f t="shared" si="12"/>
        <v>165.60226283958684</v>
      </c>
      <c r="O61" s="19">
        <f>IF( A61&lt;Forudsætninger!$C$14,(G61/100)*Forudsætninger!$C$13,(Forudsætninger!$C$15/1000)*Forudsætninger!$C$13)</f>
        <v>0.86260683768288304</v>
      </c>
      <c r="P61" s="17" cm="1">
        <f t="array" ref="P61">INDEX('Model tilvækst, slagteform, fe'!$O$9:$O$375,MATCH(MIN(ABS('Model tilvækst, slagteform, fe'!$M$9:$M$375-G61)),ABS('Model tilvækst, slagteform, fe'!$M$9:$M$375-G61),0))*(1+Forudsætninger!$D$80)</f>
        <v>3.859412755056324</v>
      </c>
      <c r="Q61" s="17">
        <f t="shared" si="13"/>
        <v>5.6876406790260781</v>
      </c>
      <c r="R61" s="17">
        <f t="shared" si="14"/>
        <v>5.1598746044163928</v>
      </c>
      <c r="S61" s="2">
        <f t="shared" si="15"/>
        <v>2.7278156526074975</v>
      </c>
      <c r="T61" s="19">
        <f>(P61)*IF(N61&lt;Forudsætninger!$B$228,IF(N61&lt;Forudsætninger!$B$227,Forudsætninger!$B$225,Forudsætninger!$C$9),Forudsætninger!$C$11)+O61</f>
        <v>9.8936326845146798</v>
      </c>
      <c r="U61" s="2">
        <f>Forudsætninger!$D$68+((K61-(Forudsætninger!$D$84)))*0.01</f>
        <v>5.8101497267357569</v>
      </c>
      <c r="V61" s="2">
        <f>U61+Forudsætninger!$D$69</f>
        <v>5.8101497267357569</v>
      </c>
      <c r="W61">
        <f t="shared" si="1"/>
        <v>0</v>
      </c>
      <c r="X61">
        <f>IF(A61+Forudsætninger!$D$60&gt;248,IF(A61+Forudsætninger!$D$60&lt;365,IF(K61&gt;180,IF(K61&lt;260,1,0),0),0),0)</f>
        <v>0</v>
      </c>
      <c r="Y61" s="22">
        <f>IF(X61=0,0,IF('Vækstfunktion, kry tyr'!A61&lt;Forudsætninger!$D$66,Forudsætninger!$D$67+(('Vækstfunktion, kry tyr'!A61-Forudsætninger!$D$66)/7)*Forudsætninger!$D$64,Forudsætninger!$D$67))</f>
        <v>0</v>
      </c>
      <c r="Z61" s="19">
        <f t="shared" si="20"/>
        <v>934.21558369618731</v>
      </c>
      <c r="AA61" s="19">
        <f>Forudsætninger!$D$62+Forudsætninger!$C$16</f>
        <v>2055</v>
      </c>
      <c r="AB61" s="19">
        <f>IF(K61&gt;Forudsætninger!$C$37,IF(K61&gt;Forudsætninger!$C$38,IF(K61&gt;Forudsætninger!$C$39,Forudsætninger!$E$39,Forudsætninger!$E$38+Forudsætninger!$F$39*(K61-Forudsætninger!$C$38)),Forudsætninger!$E$37+Forudsætninger!$F$38*(K61-Forudsætninger!$C$37)),Forudsætninger!$E$37)+IF(K61&gt;Forudsætninger!$C$39,Forudsætninger!$G$39,IF(K61&gt;Forudsætninger!$C$38,Forudsætninger!$G$38+Forudsætninger!$H$39*(K61-Forudsætninger!$C$38),IF(K61&gt;Forudsætninger!$C$37,Forudsætninger!$G$37+Forudsætninger!$H$38*(K61-Forudsætninger!$C$37),Forudsætninger!$G$37)))*(U61-Forudsætninger!$H$37)</f>
        <v>35.181014972673573</v>
      </c>
      <c r="AC61" s="19">
        <f>IF(K61&gt;Forudsætninger!$C$42,IF(K61&gt;Forudsætninger!$C$43,IF(K61&gt;Forudsætninger!$C$44,Forudsætninger!$E$44,Forudsætninger!$E$43+Forudsætninger!$F$44*(K61-Forudsætninger!$C$43)),Forudsætninger!$E$42+Forudsætninger!$F$43*(K61-Forudsætninger!$C$42)),Forudsætninger!$E$42)+IF(K61&gt;Forudsætninger!$C$44,Forudsætninger!$G$44,IF(K61&gt;Forudsætninger!$C$43,Forudsætninger!$G$43+Forudsætninger!$H$44*(K61-Forudsætninger!$C$43),IF(K61&gt;Forudsætninger!$C$42,Forudsætninger!$G$42+Forudsætninger!$H$43*(K61-Forudsætninger!$C$42),Forudsætninger!$G$42)))*(V61-Forudsætninger!$H$42)</f>
        <v>30.102537431683938</v>
      </c>
      <c r="AD61" s="19">
        <f t="shared" si="2"/>
        <v>2018.4926712839797</v>
      </c>
      <c r="AE61" s="19">
        <f t="shared" si="3"/>
        <v>30.102537431683938</v>
      </c>
      <c r="AF61">
        <f>IF(G61&lt;=Forudsætninger!$C$97,Forudsætninger!$C$98,(IF(G61&lt;=Forudsætninger!$D$97,Forudsætninger!$D$98,IF(G61&lt;=Forudsætninger!$E$97,Forudsætninger!$E$98,IF(G61&lt;=Forudsætninger!$F$97,Forudsætninger!$F$98,IF(G61&lt;=Forudsætninger!$G$97,Forudsætninger!$G$98,IF(G61&lt;=Forudsætninger!$H$97,Forudsætninger!$H$98,IF(G61&lt;=Forudsætninger!$I$97,Forudsætninger!$I$98,Forudsætninger!$I$98))))))))</f>
        <v>2.2000000000000002</v>
      </c>
      <c r="AG61" s="1">
        <f t="shared" si="16"/>
        <v>2.2000000000000002</v>
      </c>
      <c r="AH61" s="1">
        <f t="shared" si="21"/>
        <v>129.8000000000001</v>
      </c>
      <c r="AI61" s="1">
        <f t="shared" si="4"/>
        <v>2.2000000000000015</v>
      </c>
      <c r="AJ61" s="20">
        <f>+(W61*Forudsætninger!$C$12)</f>
        <v>0</v>
      </c>
      <c r="AK61" s="20">
        <f>Forudsætninger!$C$17</f>
        <v>250</v>
      </c>
      <c r="AL61" s="20">
        <f>IF(A61&lt;92,Forudsætninger!$C$20,Forudsætninger!$C$21)</f>
        <v>4.0072859744990899</v>
      </c>
      <c r="AM61" s="20">
        <f t="shared" si="17"/>
        <v>236.42987249544643</v>
      </c>
      <c r="AN61" s="19">
        <f>IFERROR(AD61+AJ61-AA61-Z61-AK61-AM61-Forudsætninger!$D$75,-99999)</f>
        <v>-1675.0447586086145</v>
      </c>
      <c r="AO61" s="57">
        <f>IFERROR(AN61/(A61+Forudsætninger!$D$74),-99999)</f>
        <v>-28.390589128959569</v>
      </c>
      <c r="AP61" s="19">
        <f>IFERROR(((365/(A61+Forudsætninger!$D$74))*AN61)/(AI61+Forudsætninger!$D$73),-99999)</f>
        <v>-4485.9588883420938</v>
      </c>
      <c r="AQ61" s="18">
        <f t="shared" si="22"/>
        <v>59</v>
      </c>
      <c r="AR61" s="18">
        <f t="shared" si="23"/>
        <v>3475.6454561916339</v>
      </c>
      <c r="AS61" s="50">
        <f t="shared" si="24"/>
        <v>3.1</v>
      </c>
      <c r="AT61" s="50">
        <f t="shared" si="25"/>
        <v>6.6380971002154183</v>
      </c>
      <c r="AU61" s="50">
        <f t="shared" si="26"/>
        <v>0.60394286602025815</v>
      </c>
      <c r="AV61" s="2">
        <f t="shared" si="27"/>
        <v>95.428201773763249</v>
      </c>
      <c r="AW61" s="16">
        <f t="shared" si="19"/>
        <v>-24.383303154460474</v>
      </c>
      <c r="AZ61" s="16"/>
      <c r="BA61" s="2"/>
    </row>
    <row r="62" spans="1:53" x14ac:dyDescent="0.25">
      <c r="A62">
        <v>60</v>
      </c>
      <c r="B62" s="1">
        <f>ROUND((A62+Forudsætninger!$D$60)/30.4,1)</f>
        <v>3.1</v>
      </c>
      <c r="C62" s="1">
        <f>VLOOKUP((A62+Forudsætninger!$D$60),'Model tilvækst, slagteform, fe'!A:C,3,FALSE)</f>
        <v>149.90565301547159</v>
      </c>
      <c r="D62" s="3">
        <f t="shared" si="28"/>
        <v>1625.2836883860198</v>
      </c>
      <c r="E62" s="3">
        <f>(1+Forudsætninger!$D$78)*C62</f>
        <v>125.92074853299613</v>
      </c>
      <c r="F62" s="2">
        <f t="shared" si="29"/>
        <v>8.0719698397339155</v>
      </c>
      <c r="G62" s="1">
        <f t="shared" si="8"/>
        <v>133.99271837273005</v>
      </c>
      <c r="H62" s="3">
        <f t="shared" si="9"/>
        <v>1283.9741138249678</v>
      </c>
      <c r="I62" s="3">
        <f t="shared" si="10"/>
        <v>1033.2119728788341</v>
      </c>
      <c r="J62" s="1">
        <f>VLOOKUP((A62+Forudsætninger!$D$60),'Model tilvækst, slagteform, fe'!G:K,3,FALSE)*(1+Forudsætninger!$D$79)</f>
        <v>50.551743644881114</v>
      </c>
      <c r="K62" s="17">
        <f t="shared" si="0"/>
        <v>67.735655494590006</v>
      </c>
      <c r="L62" s="17">
        <f t="shared" si="11"/>
        <v>681.75095697957033</v>
      </c>
      <c r="M62" s="3">
        <f>((K62-(('Model tilvækst, slagteform, fe'!$I$9/100)*'Model tilvækst, slagteform, fe'!$C$9))*1000/(A62+Forudsætninger!$D$60))</f>
        <v>489.54353764064552</v>
      </c>
      <c r="N62" s="17">
        <f t="shared" si="12"/>
        <v>169.4979040076893</v>
      </c>
      <c r="O62" s="19">
        <f>IF( A62&lt;Forudsætninger!$C$14,(G62/100)*Forudsætninger!$C$13,(Forudsætninger!$C$15/1000)*Forudsætninger!$C$13)</f>
        <v>0.87095266942274541</v>
      </c>
      <c r="P62" s="17" cm="1">
        <f t="array" ref="P62">INDEX('Model tilvækst, slagteform, fe'!$O$9:$O$375,MATCH(MIN(ABS('Model tilvækst, slagteform, fe'!$M$9:$M$375-G62)),ABS('Model tilvækst, slagteform, fe'!$M$9:$M$375-G62),0))*(1+Forudsætninger!$D$80)</f>
        <v>3.8956411681024457</v>
      </c>
      <c r="Q62" s="17">
        <f t="shared" si="13"/>
        <v>5.7141704433561715</v>
      </c>
      <c r="R62" s="17">
        <f t="shared" si="14"/>
        <v>5.1714041322107338</v>
      </c>
      <c r="S62" s="2">
        <f t="shared" si="15"/>
        <v>2.7341582762766805</v>
      </c>
      <c r="T62" s="19">
        <f>(P62)*IF(N62&lt;Forudsætninger!$B$228,IF(N62&lt;Forudsætninger!$B$227,Forudsætninger!$B$225,Forudsætninger!$C$9),Forudsætninger!$C$11)+O62</f>
        <v>9.9867530027824678</v>
      </c>
      <c r="U62" s="2">
        <f>Forudsætninger!$D$68+((K62-(Forudsætninger!$D$84)))*0.01</f>
        <v>5.816967236305552</v>
      </c>
      <c r="V62" s="2">
        <f>U62+Forudsætninger!$D$69</f>
        <v>5.816967236305552</v>
      </c>
      <c r="W62">
        <f t="shared" si="1"/>
        <v>0</v>
      </c>
      <c r="X62">
        <f>IF(A62+Forudsætninger!$D$60&gt;248,IF(A62+Forudsætninger!$D$60&lt;365,IF(K62&gt;180,IF(K62&lt;260,1,0),0),0),0)</f>
        <v>0</v>
      </c>
      <c r="Y62" s="22">
        <f>IF(X62=0,0,IF('Vækstfunktion, kry tyr'!A62&lt;Forudsætninger!$D$66,Forudsætninger!$D$67+(('Vækstfunktion, kry tyr'!A62-Forudsætninger!$D$66)/7)*Forudsætninger!$D$64,Forudsætninger!$D$67))</f>
        <v>0</v>
      </c>
      <c r="Z62" s="19">
        <f t="shared" si="20"/>
        <v>944.20233669896982</v>
      </c>
      <c r="AA62" s="19">
        <f>Forudsætninger!$D$62+Forudsætninger!$C$16</f>
        <v>2055</v>
      </c>
      <c r="AB62" s="19">
        <f>IF(K62&gt;Forudsætninger!$C$37,IF(K62&gt;Forudsætninger!$C$38,IF(K62&gt;Forudsætninger!$C$39,Forudsætninger!$E$39,Forudsætninger!$E$38+Forudsætninger!$F$39*(K62-Forudsætninger!$C$38)),Forudsætninger!$E$37+Forudsætninger!$F$38*(K62-Forudsætninger!$C$37)),Forudsætninger!$E$37)+IF(K62&gt;Forudsætninger!$C$39,Forudsætninger!$G$39,IF(K62&gt;Forudsætninger!$C$38,Forudsætninger!$G$38+Forudsætninger!$H$39*(K62-Forudsætninger!$C$38),IF(K62&gt;Forudsætninger!$C$37,Forudsætninger!$G$37+Forudsætninger!$H$38*(K62-Forudsætninger!$C$37),Forudsætninger!$G$37)))*(U62-Forudsætninger!$H$37)</f>
        <v>35.181696723630559</v>
      </c>
      <c r="AC62" s="19">
        <f>IF(K62&gt;Forudsætninger!$C$42,IF(K62&gt;Forudsætninger!$C$43,IF(K62&gt;Forudsætninger!$C$44,Forudsætninger!$E$44,Forudsætninger!$E$43+Forudsætninger!$F$44*(K62-Forudsætninger!$C$43)),Forudsætninger!$E$42+Forudsætninger!$F$43*(K62-Forudsætninger!$C$42)),Forudsætninger!$E$42)+IF(K62&gt;Forudsætninger!$C$44,Forudsætninger!$G$44,IF(K62&gt;Forudsætninger!$C$43,Forudsætninger!$G$43+Forudsætninger!$H$44*(K62-Forudsætninger!$C$43),IF(K62&gt;Forudsætninger!$C$42,Forudsætninger!$G$42+Forudsætninger!$H$43*(K62-Forudsætninger!$C$42),Forudsætninger!$G$42)))*(V62-Forudsætninger!$H$42)</f>
        <v>30.104241809076388</v>
      </c>
      <c r="AD62" s="19">
        <f t="shared" si="2"/>
        <v>2039.1305521054312</v>
      </c>
      <c r="AE62" s="19">
        <f t="shared" si="3"/>
        <v>30.104241809076388</v>
      </c>
      <c r="AF62">
        <f>IF(G62&lt;=Forudsætninger!$C$97,Forudsætninger!$C$98,(IF(G62&lt;=Forudsætninger!$D$97,Forudsætninger!$D$98,IF(G62&lt;=Forudsætninger!$E$97,Forudsætninger!$E$98,IF(G62&lt;=Forudsætninger!$F$97,Forudsætninger!$F$98,IF(G62&lt;=Forudsætninger!$G$97,Forudsætninger!$G$98,IF(G62&lt;=Forudsætninger!$H$97,Forudsætninger!$H$98,IF(G62&lt;=Forudsætninger!$I$97,Forudsætninger!$I$98,Forudsætninger!$I$98))))))))</f>
        <v>2.2000000000000002</v>
      </c>
      <c r="AG62" s="1">
        <f t="shared" si="16"/>
        <v>2.2000000000000002</v>
      </c>
      <c r="AH62" s="1">
        <f t="shared" si="21"/>
        <v>132.00000000000009</v>
      </c>
      <c r="AI62" s="1">
        <f t="shared" si="4"/>
        <v>2.2000000000000015</v>
      </c>
      <c r="AJ62" s="20">
        <f>+(W62*Forudsætninger!$C$12)</f>
        <v>0</v>
      </c>
      <c r="AK62" s="20">
        <f>Forudsætninger!$C$17</f>
        <v>250</v>
      </c>
      <c r="AL62" s="20">
        <f>IF(A62&lt;92,Forudsætninger!$C$20,Forudsætninger!$C$21)</f>
        <v>4.0072859744990899</v>
      </c>
      <c r="AM62" s="20">
        <f t="shared" si="17"/>
        <v>240.43715846994553</v>
      </c>
      <c r="AN62" s="19">
        <f>IFERROR(AD62+AJ62-AA62-Z62-AK62-AM62-Forudsætninger!$D$75,-99999)</f>
        <v>-1668.4009167644447</v>
      </c>
      <c r="AO62" s="57">
        <f>IFERROR(AN62/(A62+Forudsætninger!$D$74),-99999)</f>
        <v>-27.806681946074079</v>
      </c>
      <c r="AP62" s="19">
        <f>IFERROR(((365/(A62+Forudsætninger!$D$74))*AN62)/(AI62+Forudsætninger!$D$73),-99999)</f>
        <v>-4393.6964979727409</v>
      </c>
      <c r="AQ62" s="18">
        <f t="shared" si="22"/>
        <v>60</v>
      </c>
      <c r="AR62" s="18">
        <f t="shared" si="23"/>
        <v>3489.6394951689153</v>
      </c>
      <c r="AS62" s="50">
        <f t="shared" si="24"/>
        <v>3.1</v>
      </c>
      <c r="AT62" s="50">
        <f t="shared" si="25"/>
        <v>6.6438418441698559</v>
      </c>
      <c r="AU62" s="50">
        <f t="shared" si="26"/>
        <v>0.58390718288548982</v>
      </c>
      <c r="AV62" s="2">
        <f t="shared" si="27"/>
        <v>92.262390369352943</v>
      </c>
      <c r="AW62" s="16">
        <f t="shared" si="19"/>
        <v>-23.799395971574988</v>
      </c>
      <c r="AZ62" s="16"/>
      <c r="BA62" s="2"/>
    </row>
    <row r="63" spans="1:53" x14ac:dyDescent="0.25">
      <c r="A63">
        <v>61</v>
      </c>
      <c r="B63" s="1">
        <f>ROUND((A63+Forudsætninger!$D$60)/30.4,1)</f>
        <v>3.1</v>
      </c>
      <c r="C63" s="1">
        <f>VLOOKUP((A63+Forudsætninger!$D$60),'Model tilvækst, slagteform, fe'!A:C,3,FALSE)</f>
        <v>151.53789220032468</v>
      </c>
      <c r="D63" s="3">
        <f t="shared" si="28"/>
        <v>1632.2391848530913</v>
      </c>
      <c r="E63" s="3">
        <f>(1+Forudsætninger!$D$78)*C63</f>
        <v>127.29182944827272</v>
      </c>
      <c r="F63" s="2">
        <f t="shared" si="29"/>
        <v>7.9903578804912607</v>
      </c>
      <c r="G63" s="1">
        <f t="shared" si="8"/>
        <v>135.282187328764</v>
      </c>
      <c r="H63" s="3">
        <f t="shared" si="9"/>
        <v>1289.468956033943</v>
      </c>
      <c r="I63" s="3">
        <f t="shared" si="10"/>
        <v>1037.412907028918</v>
      </c>
      <c r="J63" s="1">
        <f>VLOOKUP((A63+Forudsætninger!$D$60),'Model tilvækst, slagteform, fe'!G:K,3,FALSE)*(1+Forudsætninger!$D$79)</f>
        <v>50.576177513297985</v>
      </c>
      <c r="K63" s="17">
        <f t="shared" si="0"/>
        <v>68.420559207267985</v>
      </c>
      <c r="L63" s="17">
        <f t="shared" si="11"/>
        <v>684.90371267797912</v>
      </c>
      <c r="M63" s="3">
        <f>((K63-(('Model tilvækst, slagteform, fe'!$I$9/100)*'Model tilvækst, slagteform, fe'!$C$9))*1000/(A63+Forudsætninger!$D$60))</f>
        <v>491.59996053577532</v>
      </c>
      <c r="N63" s="17">
        <f t="shared" si="12"/>
        <v>173.46568252140267</v>
      </c>
      <c r="O63" s="19">
        <f>IF( A63&lt;Forudsætninger!$C$14,(G63/100)*Forudsætninger!$C$13,(Forudsætninger!$C$15/1000)*Forudsætninger!$C$13)</f>
        <v>0.87933421763696606</v>
      </c>
      <c r="P63" s="17" cm="1">
        <f t="array" ref="P63">INDEX('Model tilvækst, slagteform, fe'!$O$9:$O$375,MATCH(MIN(ABS('Model tilvækst, slagteform, fe'!$M$9:$M$375-G63)),ABS('Model tilvækst, slagteform, fe'!$M$9:$M$375-G63),0))*(1+Forudsætninger!$D$80)</f>
        <v>3.9677785137133803</v>
      </c>
      <c r="Q63" s="17">
        <f t="shared" si="13"/>
        <v>5.7931917147876657</v>
      </c>
      <c r="R63" s="17">
        <f t="shared" si="14"/>
        <v>5.1841313651797707</v>
      </c>
      <c r="S63" s="2">
        <f t="shared" si="15"/>
        <v>2.7411454920199381</v>
      </c>
      <c r="T63" s="19">
        <f>(P63)*IF(N63&lt;Forudsætninger!$B$228,IF(N63&lt;Forudsætninger!$B$227,Forudsætninger!$B$225,Forudsætninger!$C$9),Forudsætninger!$C$11)+O63</f>
        <v>10.163935939726276</v>
      </c>
      <c r="U63" s="2">
        <f>Forudsætninger!$D$68+((K63-(Forudsætninger!$D$84)))*0.01</f>
        <v>5.8238162734323318</v>
      </c>
      <c r="V63" s="2">
        <f>U63+Forudsætninger!$D$69</f>
        <v>5.8238162734323318</v>
      </c>
      <c r="W63">
        <f t="shared" si="1"/>
        <v>0</v>
      </c>
      <c r="X63">
        <f>IF(A63+Forudsætninger!$D$60&gt;248,IF(A63+Forudsætninger!$D$60&lt;365,IF(K63&gt;180,IF(K63&lt;260,1,0),0),0),0)</f>
        <v>0</v>
      </c>
      <c r="Y63" s="22">
        <f>IF(X63=0,0,IF('Vækstfunktion, kry tyr'!A63&lt;Forudsætninger!$D$66,Forudsætninger!$D$67+(('Vækstfunktion, kry tyr'!A63-Forudsætninger!$D$66)/7)*Forudsætninger!$D$64,Forudsætninger!$D$67))</f>
        <v>0</v>
      </c>
      <c r="Z63" s="19">
        <f>Z62+T63</f>
        <v>954.36627263869605</v>
      </c>
      <c r="AA63" s="19">
        <f>Forudsætninger!$D$62+Forudsætninger!$C$16</f>
        <v>2055</v>
      </c>
      <c r="AB63" s="19">
        <f>IF(K63&gt;Forudsætninger!$C$37,IF(K63&gt;Forudsætninger!$C$38,IF(K63&gt;Forudsætninger!$C$39,Forudsætninger!$E$39,Forudsætninger!$E$38+Forudsætninger!$F$39*(K63-Forudsætninger!$C$38)),Forudsætninger!$E$37+Forudsætninger!$F$38*(K63-Forudsætninger!$C$37)),Forudsætninger!$E$37)+IF(K63&gt;Forudsætninger!$C$39,Forudsætninger!$G$39,IF(K63&gt;Forudsætninger!$C$38,Forudsætninger!$G$38+Forudsætninger!$H$39*(K63-Forudsætninger!$C$38),IF(K63&gt;Forudsætninger!$C$37,Forudsætninger!$G$37+Forudsætninger!$H$38*(K63-Forudsætninger!$C$37),Forudsætninger!$G$37)))*(U63-Forudsætninger!$H$37)</f>
        <v>35.182381627343233</v>
      </c>
      <c r="AC63" s="19">
        <f>IF(K63&gt;Forudsætninger!$C$42,IF(K63&gt;Forudsætninger!$C$43,IF(K63&gt;Forudsætninger!$C$44,Forudsætninger!$E$44,Forudsætninger!$E$43+Forudsætninger!$F$44*(K63-Forudsætninger!$C$43)),Forudsætninger!$E$42+Forudsætninger!$F$43*(K63-Forudsætninger!$C$42)),Forudsætninger!$E$42)+IF(K63&gt;Forudsætninger!$C$44,Forudsætninger!$G$44,IF(K63&gt;Forudsætninger!$C$43,Forudsætninger!$G$43+Forudsætninger!$H$44*(K63-Forudsætninger!$C$43),IF(K63&gt;Forudsætninger!$C$42,Forudsætninger!$G$42+Forudsætninger!$H$43*(K63-Forudsætninger!$C$42),Forudsætninger!$G$42)))*(V63-Forudsætninger!$H$42)</f>
        <v>30.105954068358081</v>
      </c>
      <c r="AD63" s="19">
        <f t="shared" si="2"/>
        <v>2059.8662128253845</v>
      </c>
      <c r="AE63" s="19">
        <f t="shared" si="3"/>
        <v>30.105954068358081</v>
      </c>
      <c r="AF63">
        <f>IF(G63&lt;=Forudsætninger!$C$97,Forudsætninger!$C$98,(IF(G63&lt;=Forudsætninger!$D$97,Forudsætninger!$D$98,IF(G63&lt;=Forudsætninger!$E$97,Forudsætninger!$E$98,IF(G63&lt;=Forudsætninger!$F$97,Forudsætninger!$F$98,IF(G63&lt;=Forudsætninger!$G$97,Forudsætninger!$G$98,IF(G63&lt;=Forudsætninger!$H$97,Forudsætninger!$H$98,IF(G63&lt;=Forudsætninger!$I$97,Forudsætninger!$I$98,Forudsætninger!$I$98))))))))</f>
        <v>2.2000000000000002</v>
      </c>
      <c r="AG63" s="1">
        <f t="shared" si="16"/>
        <v>2.2000000000000002</v>
      </c>
      <c r="AH63" s="1">
        <f t="shared" si="21"/>
        <v>134.20000000000007</v>
      </c>
      <c r="AI63" s="1">
        <f t="shared" si="4"/>
        <v>2.2000000000000011</v>
      </c>
      <c r="AJ63" s="20">
        <f>+(W63*Forudsætninger!$C$12)</f>
        <v>0</v>
      </c>
      <c r="AK63" s="20">
        <f>Forudsætninger!$C$17</f>
        <v>250</v>
      </c>
      <c r="AL63" s="20">
        <f>IF(A63&lt;92,Forudsætninger!$C$20,Forudsætninger!$C$21)</f>
        <v>4.0072859744990899</v>
      </c>
      <c r="AM63" s="20">
        <f t="shared" si="17"/>
        <v>244.44444444444463</v>
      </c>
      <c r="AN63" s="19">
        <f>IFERROR(AD63+AJ63-AA63-Z63-AK63-AM63-Forudsætninger!$D$75,-99999)</f>
        <v>-1661.8364779587164</v>
      </c>
      <c r="AO63" s="57">
        <f>IFERROR(AN63/(A63+Forudsætninger!$D$74),-99999)</f>
        <v>-27.243220950142891</v>
      </c>
      <c r="AP63" s="19">
        <f>IFERROR(((365/(A63+Forudsætninger!$D$74))*AN63)/(AI63+Forudsætninger!$D$73),-99999)</f>
        <v>-4304.6647821654342</v>
      </c>
      <c r="AQ63" s="18">
        <f t="shared" si="22"/>
        <v>61</v>
      </c>
      <c r="AR63" s="18">
        <f t="shared" si="23"/>
        <v>3503.8107170831408</v>
      </c>
      <c r="AS63" s="50">
        <f t="shared" si="24"/>
        <v>3.1</v>
      </c>
      <c r="AT63" s="50">
        <f t="shared" si="25"/>
        <v>6.5644388057282868</v>
      </c>
      <c r="AU63" s="50">
        <f t="shared" si="26"/>
        <v>0.56346099593118737</v>
      </c>
      <c r="AV63" s="2">
        <f t="shared" si="27"/>
        <v>89.031715807306682</v>
      </c>
      <c r="AW63" s="16">
        <f t="shared" si="19"/>
        <v>-23.235934975643801</v>
      </c>
      <c r="AZ63" s="16"/>
      <c r="BA63" s="2"/>
    </row>
    <row r="64" spans="1:53" x14ac:dyDescent="0.25">
      <c r="A64">
        <v>62</v>
      </c>
      <c r="B64" s="1">
        <f>ROUND((A64+Forudsætninger!$D$60)/30.4,1)</f>
        <v>3.2</v>
      </c>
      <c r="C64" s="1">
        <f>VLOOKUP((A64+Forudsætninger!$D$60),'Model tilvækst, slagteform, fe'!A:C,3,FALSE)</f>
        <v>153.17696684031662</v>
      </c>
      <c r="D64" s="3">
        <f t="shared" si="28"/>
        <v>1639.0746399919465</v>
      </c>
      <c r="E64" s="3">
        <f>(1+Forudsætninger!$D$78)*C64</f>
        <v>128.66865214586596</v>
      </c>
      <c r="F64" s="2">
        <f t="shared" si="29"/>
        <v>7.9084041484916634</v>
      </c>
      <c r="G64" s="1">
        <f t="shared" si="8"/>
        <v>136.57705629435762</v>
      </c>
      <c r="H64" s="3">
        <f t="shared" si="9"/>
        <v>1294.8689655936221</v>
      </c>
      <c r="I64" s="3">
        <f t="shared" si="10"/>
        <v>1041.5654241025422</v>
      </c>
      <c r="J64" s="1">
        <f>VLOOKUP((A64+Forudsætninger!$D$60),'Model tilvækst, slagteform, fe'!G:K,3,FALSE)*(1+Forudsætninger!$D$79)</f>
        <v>50.600431209135493</v>
      </c>
      <c r="K64" s="17">
        <f t="shared" si="0"/>
        <v>69.108579417688674</v>
      </c>
      <c r="L64" s="17">
        <f t="shared" si="11"/>
        <v>688.02021042068873</v>
      </c>
      <c r="M64" s="3">
        <f>((K64-(('Model tilvækst, slagteform, fe'!$I$9/100)*'Model tilvækst, slagteform, fe'!$C$9))*1000/(A64+Forudsætninger!$D$60))</f>
        <v>493.64600480540986</v>
      </c>
      <c r="N64" s="17">
        <f t="shared" si="12"/>
        <v>177.46936363329672</v>
      </c>
      <c r="O64" s="19">
        <f>IF( A64&lt;Forudsætninger!$C$14,(G64/100)*Forudsætninger!$C$13,(Forudsætninger!$C$15/1000)*Forudsætninger!$C$13)</f>
        <v>0.88775086591332453</v>
      </c>
      <c r="P64" s="17" cm="1">
        <f t="array" ref="P64">INDEX('Model tilvækst, slagteform, fe'!$O$9:$O$375,MATCH(MIN(ABS('Model tilvækst, slagteform, fe'!$M$9:$M$375-G64)),ABS('Model tilvækst, slagteform, fe'!$M$9:$M$375-G64),0))*(1+Forudsætninger!$D$80)</f>
        <v>4.0036811118940507</v>
      </c>
      <c r="Q64" s="17">
        <f t="shared" si="13"/>
        <v>5.8191330011163585</v>
      </c>
      <c r="R64" s="17">
        <f t="shared" si="14"/>
        <v>5.1969251519985598</v>
      </c>
      <c r="S64" s="2">
        <f t="shared" si="15"/>
        <v>2.748179830687064</v>
      </c>
      <c r="T64" s="19">
        <f>(P64)*IF(N64&lt;Forudsætninger!$B$228,IF(N64&lt;Forudsætninger!$B$227,Forudsætninger!$B$225,Forudsætninger!$C$9),Forudsætninger!$C$11)+O64</f>
        <v>10.256364667745402</v>
      </c>
      <c r="U64" s="2">
        <f>Forudsætninger!$D$68+((K64-(Forudsætninger!$D$84)))*0.01</f>
        <v>5.8306964755365396</v>
      </c>
      <c r="V64" s="2">
        <f>U64+Forudsætninger!$D$69</f>
        <v>5.8306964755365396</v>
      </c>
      <c r="W64">
        <f t="shared" si="1"/>
        <v>0</v>
      </c>
      <c r="X64">
        <f>IF(A64+Forudsætninger!$D$60&gt;248,IF(A64+Forudsætninger!$D$60&lt;365,IF(K64&gt;180,IF(K64&lt;260,1,0),0),0),0)</f>
        <v>0</v>
      </c>
      <c r="Y64" s="22">
        <f>IF(X64=0,0,IF('Vækstfunktion, kry tyr'!A64&lt;Forudsætninger!$D$66,Forudsætninger!$D$67+(('Vækstfunktion, kry tyr'!A64-Forudsætninger!$D$66)/7)*Forudsætninger!$D$64,Forudsætninger!$D$67))</f>
        <v>0</v>
      </c>
      <c r="Z64" s="19">
        <f t="shared" si="20"/>
        <v>964.62263730644145</v>
      </c>
      <c r="AA64" s="19">
        <f>Forudsætninger!$D$62+Forudsætninger!$C$16</f>
        <v>2055</v>
      </c>
      <c r="AB64" s="19">
        <f>IF(K64&gt;Forudsætninger!$C$37,IF(K64&gt;Forudsætninger!$C$38,IF(K64&gt;Forudsætninger!$C$39,Forudsætninger!$E$39,Forudsætninger!$E$38+Forudsætninger!$F$39*(K64-Forudsætninger!$C$38)),Forudsætninger!$E$37+Forudsætninger!$F$38*(K64-Forudsætninger!$C$37)),Forudsætninger!$E$37)+IF(K64&gt;Forudsætninger!$C$39,Forudsætninger!$G$39,IF(K64&gt;Forudsætninger!$C$38,Forudsætninger!$G$38+Forudsætninger!$H$39*(K64-Forudsætninger!$C$38),IF(K64&gt;Forudsætninger!$C$37,Forudsætninger!$G$37+Forudsætninger!$H$38*(K64-Forudsætninger!$C$37),Forudsætninger!$G$37)))*(U64-Forudsætninger!$H$37)</f>
        <v>35.183069647553651</v>
      </c>
      <c r="AC64" s="19">
        <f>IF(K64&gt;Forudsætninger!$C$42,IF(K64&gt;Forudsætninger!$C$43,IF(K64&gt;Forudsætninger!$C$44,Forudsætninger!$E$44,Forudsætninger!$E$43+Forudsætninger!$F$44*(K64-Forudsætninger!$C$43)),Forudsætninger!$E$42+Forudsætninger!$F$43*(K64-Forudsætninger!$C$42)),Forudsætninger!$E$42)+IF(K64&gt;Forudsætninger!$C$44,Forudsætninger!$G$44,IF(K64&gt;Forudsætninger!$C$43,Forudsætninger!$G$43+Forudsætninger!$H$44*(K64-Forudsætninger!$C$43),IF(K64&gt;Forudsætninger!$C$42,Forudsætninger!$G$42+Forudsætninger!$H$43*(K64-Forudsætninger!$C$42),Forudsætninger!$G$42)))*(V64-Forudsætninger!$H$42)</f>
        <v>30.107674118884134</v>
      </c>
      <c r="AD64" s="19">
        <f t="shared" si="2"/>
        <v>2080.6985879267941</v>
      </c>
      <c r="AE64" s="19">
        <f t="shared" si="3"/>
        <v>30.107674118884134</v>
      </c>
      <c r="AF64">
        <f>IF(G64&lt;=Forudsætninger!$C$97,Forudsætninger!$C$98,(IF(G64&lt;=Forudsætninger!$D$97,Forudsætninger!$D$98,IF(G64&lt;=Forudsætninger!$E$97,Forudsætninger!$E$98,IF(G64&lt;=Forudsætninger!$F$97,Forudsætninger!$F$98,IF(G64&lt;=Forudsætninger!$G$97,Forudsætninger!$G$98,IF(G64&lt;=Forudsætninger!$H$97,Forudsætninger!$H$98,IF(G64&lt;=Forudsætninger!$I$97,Forudsætninger!$I$98,Forudsætninger!$I$98))))))))</f>
        <v>2.2000000000000002</v>
      </c>
      <c r="AG64" s="1">
        <f t="shared" si="16"/>
        <v>2.2000000000000002</v>
      </c>
      <c r="AH64" s="1">
        <f t="shared" si="21"/>
        <v>136.40000000000006</v>
      </c>
      <c r="AI64" s="1">
        <f t="shared" si="4"/>
        <v>2.2000000000000011</v>
      </c>
      <c r="AJ64" s="20">
        <f>+(W64*Forudsætninger!$C$12)</f>
        <v>0</v>
      </c>
      <c r="AK64" s="20">
        <f>Forudsætninger!$C$17</f>
        <v>250</v>
      </c>
      <c r="AL64" s="20">
        <f>IF(A64&lt;92,Forudsætninger!$C$20,Forudsætninger!$C$21)</f>
        <v>4.0072859744990899</v>
      </c>
      <c r="AM64" s="20">
        <f t="shared" si="17"/>
        <v>248.45173041894373</v>
      </c>
      <c r="AN64" s="19">
        <f>IFERROR(AD64+AJ64-AA64-Z64-AK64-AM64-Forudsætninger!$D$75,-99999)</f>
        <v>-1655.2677534995514</v>
      </c>
      <c r="AO64" s="57">
        <f>IFERROR(AN64/(A64+Forudsætninger!$D$74),-99999)</f>
        <v>-26.697866991928247</v>
      </c>
      <c r="AP64" s="19">
        <f>IFERROR(((365/(A64+Forudsætninger!$D$74))*AN64)/(AI64+Forudsætninger!$D$73),-99999)</f>
        <v>-4218.4941350882282</v>
      </c>
      <c r="AQ64" s="18">
        <f t="shared" si="22"/>
        <v>62</v>
      </c>
      <c r="AR64" s="18">
        <f t="shared" si="23"/>
        <v>3518.0743677253849</v>
      </c>
      <c r="AS64" s="50">
        <f t="shared" si="24"/>
        <v>3.2</v>
      </c>
      <c r="AT64" s="50">
        <f t="shared" si="25"/>
        <v>6.5687244591649687</v>
      </c>
      <c r="AU64" s="50">
        <f t="shared" si="26"/>
        <v>0.54535395821464405</v>
      </c>
      <c r="AV64" s="2">
        <f t="shared" si="27"/>
        <v>86.170647077206013</v>
      </c>
      <c r="AW64" s="16">
        <f t="shared" si="19"/>
        <v>-22.690581017429157</v>
      </c>
      <c r="AZ64" s="16"/>
      <c r="BA64" s="2"/>
    </row>
    <row r="65" spans="1:53" x14ac:dyDescent="0.25">
      <c r="A65">
        <v>63</v>
      </c>
      <c r="B65" s="1">
        <f>ROUND((A65+Forudsætninger!$D$60)/30.4,1)</f>
        <v>3.2</v>
      </c>
      <c r="C65" s="1">
        <f>VLOOKUP((A65+Forudsætninger!$D$60),'Model tilvækst, slagteform, fe'!A:C,3,FALSE)</f>
        <v>154.82275751505571</v>
      </c>
      <c r="D65" s="3">
        <f t="shared" si="28"/>
        <v>1645.7906747390894</v>
      </c>
      <c r="E65" s="3">
        <f>(1+Forudsætninger!$D$78)*C65</f>
        <v>130.0511163126468</v>
      </c>
      <c r="F65" s="2">
        <f t="shared" si="29"/>
        <v>7.8261146147547089</v>
      </c>
      <c r="G65" s="1">
        <f t="shared" si="8"/>
        <v>137.87723092740151</v>
      </c>
      <c r="H65" s="3">
        <f t="shared" si="9"/>
        <v>1300.1746330438948</v>
      </c>
      <c r="I65" s="3">
        <f t="shared" si="10"/>
        <v>1045.6703321809764</v>
      </c>
      <c r="J65" s="1">
        <f>VLOOKUP((A65+Forudsætninger!$D$60),'Model tilvækst, slagteform, fe'!G:K,3,FALSE)*(1+Forudsætninger!$D$79)</f>
        <v>50.62451578650672</v>
      </c>
      <c r="K65" s="17">
        <f t="shared" si="0"/>
        <v>69.799680536840697</v>
      </c>
      <c r="L65" s="17">
        <f t="shared" si="11"/>
        <v>691.1011191520231</v>
      </c>
      <c r="M65" s="3">
        <f>((K65-(('Model tilvækst, slagteform, fe'!$I$9/100)*'Model tilvækst, slagteform, fe'!$C$9))*1000/(A65+Forudsætninger!$D$60))</f>
        <v>495.68162454094198</v>
      </c>
      <c r="N65" s="17">
        <f t="shared" si="12"/>
        <v>181.50883240403215</v>
      </c>
      <c r="O65" s="19">
        <f>IF( A65&lt;Forudsætninger!$C$14,(G65/100)*Forudsætninger!$C$13,(Forudsætninger!$C$15/1000)*Forudsætninger!$C$13)</f>
        <v>0.89620200102810987</v>
      </c>
      <c r="P65" s="17" cm="1">
        <f t="array" ref="P65">INDEX('Model tilvækst, slagteform, fe'!$O$9:$O$375,MATCH(MIN(ABS('Model tilvækst, slagteform, fe'!$M$9:$M$375-G65)),ABS('Model tilvækst, slagteform, fe'!$M$9:$M$375-G65),0))*(1+Forudsætninger!$D$80)</f>
        <v>4.0394687707354304</v>
      </c>
      <c r="Q65" s="17">
        <f t="shared" si="13"/>
        <v>5.8449750098680697</v>
      </c>
      <c r="R65" s="17">
        <f t="shared" si="14"/>
        <v>5.2097801392017287</v>
      </c>
      <c r="S65" s="2">
        <f t="shared" si="15"/>
        <v>2.7552589847630324</v>
      </c>
      <c r="T65" s="19">
        <f>(P65)*IF(N65&lt;Forudsætninger!$B$228,IF(N65&lt;Forudsætninger!$B$227,Forudsætninger!$B$225,Forudsætninger!$C$9),Forudsætninger!$C$11)+O65</f>
        <v>10.348558924549016</v>
      </c>
      <c r="U65" s="2">
        <f>Forudsætninger!$D$68+((K65-(Forudsætninger!$D$84)))*0.01</f>
        <v>5.837607486728059</v>
      </c>
      <c r="V65" s="2">
        <f>U65+Forudsætninger!$D$69</f>
        <v>5.837607486728059</v>
      </c>
      <c r="W65">
        <f t="shared" si="1"/>
        <v>0</v>
      </c>
      <c r="X65">
        <f>IF(A65+Forudsætninger!$D$60&gt;248,IF(A65+Forudsætninger!$D$60&lt;365,IF(K65&gt;180,IF(K65&lt;260,1,0),0),0),0)</f>
        <v>0</v>
      </c>
      <c r="Y65" s="22">
        <f>IF(X65=0,0,IF('Vækstfunktion, kry tyr'!A65&lt;Forudsætninger!$D$66,Forudsætninger!$D$67+(('Vækstfunktion, kry tyr'!A65-Forudsætninger!$D$66)/7)*Forudsætninger!$D$64,Forudsætninger!$D$67))</f>
        <v>0</v>
      </c>
      <c r="Z65" s="19">
        <f t="shared" si="20"/>
        <v>974.97119623099047</v>
      </c>
      <c r="AA65" s="19">
        <f>Forudsætninger!$D$62+Forudsætninger!$C$16</f>
        <v>2055</v>
      </c>
      <c r="AB65" s="19">
        <f>IF(K65&gt;Forudsætninger!$C$37,IF(K65&gt;Forudsætninger!$C$38,IF(K65&gt;Forudsætninger!$C$39,Forudsætninger!$E$39,Forudsætninger!$E$38+Forudsætninger!$F$39*(K65-Forudsætninger!$C$38)),Forudsætninger!$E$37+Forudsætninger!$F$38*(K65-Forudsætninger!$C$37)),Forudsætninger!$E$37)+IF(K65&gt;Forudsætninger!$C$39,Forudsætninger!$G$39,IF(K65&gt;Forudsætninger!$C$38,Forudsætninger!$G$38+Forudsætninger!$H$39*(K65-Forudsætninger!$C$38),IF(K65&gt;Forudsætninger!$C$37,Forudsætninger!$G$37+Forudsætninger!$H$38*(K65-Forudsætninger!$C$37),Forudsætninger!$G$37)))*(U65-Forudsætninger!$H$37)</f>
        <v>35.183760748672803</v>
      </c>
      <c r="AC65" s="19">
        <f>IF(K65&gt;Forudsætninger!$C$42,IF(K65&gt;Forudsætninger!$C$43,IF(K65&gt;Forudsætninger!$C$44,Forudsætninger!$E$44,Forudsætninger!$E$43+Forudsætninger!$F$44*(K65-Forudsætninger!$C$43)),Forudsætninger!$E$42+Forudsætninger!$F$43*(K65-Forudsætninger!$C$42)),Forudsætninger!$E$42)+IF(K65&gt;Forudsætninger!$C$44,Forudsætninger!$G$44,IF(K65&gt;Forudsætninger!$C$43,Forudsætninger!$G$43+Forudsætninger!$H$44*(K65-Forudsætninger!$C$43),IF(K65&gt;Forudsætninger!$C$42,Forudsætninger!$G$42+Forudsætninger!$H$43*(K65-Forudsætninger!$C$42),Forudsætninger!$G$42)))*(V65-Forudsætninger!$H$42)</f>
        <v>30.109401871682014</v>
      </c>
      <c r="AD65" s="19">
        <f t="shared" si="2"/>
        <v>2101.6266317987579</v>
      </c>
      <c r="AE65" s="19">
        <f t="shared" si="3"/>
        <v>30.109401871682014</v>
      </c>
      <c r="AF65">
        <f>IF(G65&lt;=Forudsætninger!$C$97,Forudsætninger!$C$98,(IF(G65&lt;=Forudsætninger!$D$97,Forudsætninger!$D$98,IF(G65&lt;=Forudsætninger!$E$97,Forudsætninger!$E$98,IF(G65&lt;=Forudsætninger!$F$97,Forudsætninger!$F$98,IF(G65&lt;=Forudsætninger!$G$97,Forudsætninger!$G$98,IF(G65&lt;=Forudsætninger!$H$97,Forudsætninger!$H$98,IF(G65&lt;=Forudsætninger!$I$97,Forudsætninger!$I$98,Forudsætninger!$I$98))))))))</f>
        <v>2.2000000000000002</v>
      </c>
      <c r="AG65" s="1">
        <f t="shared" si="16"/>
        <v>2.2000000000000002</v>
      </c>
      <c r="AH65" s="1">
        <f t="shared" si="21"/>
        <v>138.60000000000005</v>
      </c>
      <c r="AI65" s="1">
        <f t="shared" si="4"/>
        <v>2.2000000000000006</v>
      </c>
      <c r="AJ65" s="20">
        <f>+(W65*Forudsætninger!$C$12)</f>
        <v>0</v>
      </c>
      <c r="AK65" s="20">
        <f>Forudsætninger!$C$17</f>
        <v>250</v>
      </c>
      <c r="AL65" s="20">
        <f>IF(A65&lt;92,Forudsætninger!$C$20,Forudsætninger!$C$21)</f>
        <v>4.0072859744990899</v>
      </c>
      <c r="AM65" s="20">
        <f t="shared" si="17"/>
        <v>252.45901639344282</v>
      </c>
      <c r="AN65" s="19">
        <f>IFERROR(AD65+AJ65-AA65-Z65-AK65-AM65-Forudsætninger!$D$75,-99999)</f>
        <v>-1648.6955545266358</v>
      </c>
      <c r="AO65" s="57">
        <f>IFERROR(AN65/(A65+Forudsætninger!$D$74),-99999)</f>
        <v>-26.169770706771995</v>
      </c>
      <c r="AP65" s="19">
        <f>IFERROR(((365/(A65+Forudsætninger!$D$74))*AN65)/(AI65+Forudsætninger!$D$73),-99999)</f>
        <v>-4135.0503497713316</v>
      </c>
      <c r="AQ65" s="18">
        <f t="shared" si="22"/>
        <v>63</v>
      </c>
      <c r="AR65" s="18">
        <f t="shared" si="23"/>
        <v>3532.4302126244329</v>
      </c>
      <c r="AS65" s="50">
        <f t="shared" si="24"/>
        <v>3.2</v>
      </c>
      <c r="AT65" s="50">
        <f t="shared" si="25"/>
        <v>6.5721989729156576</v>
      </c>
      <c r="AU65" s="50">
        <f t="shared" si="26"/>
        <v>0.52809628515625207</v>
      </c>
      <c r="AV65" s="2">
        <f t="shared" si="27"/>
        <v>83.443785316896538</v>
      </c>
      <c r="AW65" s="16">
        <f t="shared" si="19"/>
        <v>-22.162484732272905</v>
      </c>
      <c r="AZ65" s="16"/>
      <c r="BA65" s="2"/>
    </row>
    <row r="66" spans="1:53" x14ac:dyDescent="0.25">
      <c r="A66">
        <v>64</v>
      </c>
      <c r="B66" s="1">
        <f>ROUND((A66+Forudsætninger!$D$60)/30.4,1)</f>
        <v>3.2</v>
      </c>
      <c r="C66" s="1">
        <f>VLOOKUP((A66+Forudsætninger!$D$60),'Model tilvækst, slagteform, fe'!A:C,3,FALSE)</f>
        <v>156.47514542508679</v>
      </c>
      <c r="D66" s="3">
        <f t="shared" si="28"/>
        <v>1652.3879100310808</v>
      </c>
      <c r="E66" s="3">
        <f>(1+Forudsætninger!$D$78)*C66</f>
        <v>131.43912215707292</v>
      </c>
      <c r="F66" s="2">
        <f t="shared" si="29"/>
        <v>7.7434952192531545</v>
      </c>
      <c r="G66" s="1">
        <f t="shared" si="8"/>
        <v>139.18261737632608</v>
      </c>
      <c r="H66" s="3">
        <f t="shared" si="9"/>
        <v>1305.3864489245655</v>
      </c>
      <c r="I66" s="3">
        <f t="shared" si="10"/>
        <v>1049.7283965050949</v>
      </c>
      <c r="J66" s="1">
        <f>VLOOKUP((A66+Forudsætninger!$D$60),'Model tilvækst, slagteform, fe'!G:K,3,FALSE)*(1+Forudsætninger!$D$79)</f>
        <v>50.648442299524739</v>
      </c>
      <c r="K66" s="17">
        <f t="shared" si="0"/>
        <v>70.493827652816819</v>
      </c>
      <c r="L66" s="17">
        <f t="shared" si="11"/>
        <v>694.14711597612211</v>
      </c>
      <c r="M66" s="3">
        <f>((K66-(('Model tilvækst, slagteform, fe'!$I$9/100)*'Model tilvækst, slagteform, fe'!$C$9))*1000/(A66+Forudsætninger!$D$60))</f>
        <v>497.70678261681115</v>
      </c>
      <c r="N66" s="17">
        <f t="shared" si="12"/>
        <v>185.5839707270776</v>
      </c>
      <c r="O66" s="19">
        <f>IF( A66&lt;Forudsætninger!$C$14,(G66/100)*Forudsætninger!$C$13,(Forudsætninger!$C$15/1000)*Forudsætninger!$C$13)</f>
        <v>0.90468701294611942</v>
      </c>
      <c r="P66" s="17" cm="1">
        <f t="array" ref="P66">INDEX('Model tilvækst, slagteform, fe'!$O$9:$O$375,MATCH(MIN(ABS('Model tilvækst, slagteform, fe'!$M$9:$M$375-G66)),ABS('Model tilvækst, slagteform, fe'!$M$9:$M$375-G66),0))*(1+Forudsætninger!$D$80)</f>
        <v>4.0751383230454454</v>
      </c>
      <c r="Q66" s="17">
        <f t="shared" si="13"/>
        <v>5.8707127484278505</v>
      </c>
      <c r="R66" s="17">
        <f t="shared" si="14"/>
        <v>5.2226912197512521</v>
      </c>
      <c r="S66" s="2">
        <f t="shared" si="15"/>
        <v>2.762380776079647</v>
      </c>
      <c r="T66" s="19">
        <f>(P66)*IF(N66&lt;Forudsætninger!$B$228,IF(N66&lt;Forudsætninger!$B$227,Forudsætninger!$B$225,Forudsætninger!$C$9),Forudsætninger!$C$11)+O66</f>
        <v>10.440510688872461</v>
      </c>
      <c r="U66" s="2">
        <f>Forudsætninger!$D$68+((K66-(Forudsætninger!$D$84)))*0.01</f>
        <v>5.8445489578878203</v>
      </c>
      <c r="V66" s="2">
        <f>U66+Forudsætninger!$D$69</f>
        <v>5.8445489578878203</v>
      </c>
      <c r="W66">
        <f t="shared" si="1"/>
        <v>0</v>
      </c>
      <c r="X66">
        <f>IF(A66+Forudsætninger!$D$60&gt;248,IF(A66+Forudsætninger!$D$60&lt;365,IF(K66&gt;180,IF(K66&lt;260,1,0),0),0),0)</f>
        <v>0</v>
      </c>
      <c r="Y66" s="22">
        <f>IF(X66=0,0,IF('Vækstfunktion, kry tyr'!A66&lt;Forudsætninger!$D$66,Forudsætninger!$D$67+(('Vækstfunktion, kry tyr'!A66-Forudsætninger!$D$66)/7)*Forudsætninger!$D$64,Forudsætninger!$D$67))</f>
        <v>0</v>
      </c>
      <c r="Z66" s="19">
        <f t="shared" si="20"/>
        <v>985.41170691986292</v>
      </c>
      <c r="AA66" s="19">
        <f>Forudsætninger!$D$62+Forudsætninger!$C$16</f>
        <v>2055</v>
      </c>
      <c r="AB66" s="19">
        <f>IF(K66&gt;Forudsætninger!$C$37,IF(K66&gt;Forudsætninger!$C$38,IF(K66&gt;Forudsætninger!$C$39,Forudsætninger!$E$39,Forudsætninger!$E$38+Forudsætninger!$F$39*(K66-Forudsætninger!$C$38)),Forudsætninger!$E$37+Forudsætninger!$F$38*(K66-Forudsætninger!$C$37)),Forudsætninger!$E$37)+IF(K66&gt;Forudsætninger!$C$39,Forudsætninger!$G$39,IF(K66&gt;Forudsætninger!$C$38,Forudsætninger!$G$38+Forudsætninger!$H$39*(K66-Forudsætninger!$C$38),IF(K66&gt;Forudsætninger!$C$37,Forudsætninger!$G$37+Forudsætninger!$H$38*(K66-Forudsætninger!$C$37),Forudsætninger!$G$37)))*(U66-Forudsætninger!$H$37)</f>
        <v>35.184454895788782</v>
      </c>
      <c r="AC66" s="19">
        <f>IF(K66&gt;Forudsætninger!$C$42,IF(K66&gt;Forudsætninger!$C$43,IF(K66&gt;Forudsætninger!$C$44,Forudsætninger!$E$44,Forudsætninger!$E$43+Forudsætninger!$F$44*(K66-Forudsætninger!$C$43)),Forudsætninger!$E$42+Forudsætninger!$F$43*(K66-Forudsætninger!$C$42)),Forudsætninger!$E$42)+IF(K66&gt;Forudsætninger!$C$44,Forudsætninger!$G$44,IF(K66&gt;Forudsætninger!$C$43,Forudsætninger!$G$43+Forudsætninger!$H$44*(K66-Forudsætninger!$C$43),IF(K66&gt;Forudsætninger!$C$42,Forudsætninger!$G$42+Forudsætninger!$H$43*(K66-Forudsætninger!$C$42),Forudsætninger!$G$42)))*(V66-Forudsætninger!$H$42)</f>
        <v>30.111137239471955</v>
      </c>
      <c r="AD66" s="19">
        <f t="shared" si="2"/>
        <v>2122.6493189896505</v>
      </c>
      <c r="AE66" s="19">
        <f t="shared" si="3"/>
        <v>30.111137239471958</v>
      </c>
      <c r="AF66">
        <f>IF(G66&lt;=Forudsætninger!$C$97,Forudsætninger!$C$98,(IF(G66&lt;=Forudsætninger!$D$97,Forudsætninger!$D$98,IF(G66&lt;=Forudsætninger!$E$97,Forudsætninger!$E$98,IF(G66&lt;=Forudsætninger!$F$97,Forudsætninger!$F$98,IF(G66&lt;=Forudsætninger!$G$97,Forudsætninger!$G$98,IF(G66&lt;=Forudsætninger!$H$97,Forudsætninger!$H$98,IF(G66&lt;=Forudsætninger!$I$97,Forudsætninger!$I$98,Forudsætninger!$I$98))))))))</f>
        <v>2.2000000000000002</v>
      </c>
      <c r="AG66" s="1">
        <f t="shared" si="16"/>
        <v>2.2000000000000002</v>
      </c>
      <c r="AH66" s="1">
        <f t="shared" si="21"/>
        <v>140.80000000000004</v>
      </c>
      <c r="AI66" s="1">
        <f t="shared" si="4"/>
        <v>2.2000000000000006</v>
      </c>
      <c r="AJ66" s="20">
        <f>+(W66*Forudsætninger!$C$12)</f>
        <v>0</v>
      </c>
      <c r="AK66" s="20">
        <f>Forudsætninger!$C$17</f>
        <v>250</v>
      </c>
      <c r="AL66" s="20">
        <f>IF(A66&lt;92,Forudsætninger!$C$20,Forudsætninger!$C$21)</f>
        <v>4.0072859744990899</v>
      </c>
      <c r="AM66" s="20">
        <f t="shared" si="17"/>
        <v>256.46630236794192</v>
      </c>
      <c r="AN66" s="19">
        <f>IFERROR(AD66+AJ66-AA66-Z66-AK66-AM66-Forudsætninger!$D$75,-99999)</f>
        <v>-1642.1206639991144</v>
      </c>
      <c r="AO66" s="57">
        <f>IFERROR(AN66/(A66+Forudsætninger!$D$74),-99999)</f>
        <v>-25.658135374986163</v>
      </c>
      <c r="AP66" s="19">
        <f>IFERROR(((365/(A66+Forudsætninger!$D$74))*AN66)/(AI66+Forudsætninger!$D$73),-99999)</f>
        <v>-4054.2075376060379</v>
      </c>
      <c r="AQ66" s="18">
        <f t="shared" si="22"/>
        <v>64</v>
      </c>
      <c r="AR66" s="18">
        <f t="shared" si="23"/>
        <v>3546.8780092878046</v>
      </c>
      <c r="AS66" s="50">
        <f t="shared" si="24"/>
        <v>3.2</v>
      </c>
      <c r="AT66" s="50">
        <f t="shared" si="25"/>
        <v>6.5748905275213474</v>
      </c>
      <c r="AU66" s="50">
        <f t="shared" si="26"/>
        <v>0.51163533178583265</v>
      </c>
      <c r="AV66" s="2">
        <f t="shared" si="27"/>
        <v>80.842812165293708</v>
      </c>
      <c r="AW66" s="16">
        <f t="shared" si="19"/>
        <v>-21.650849400487068</v>
      </c>
      <c r="AZ66" s="16"/>
      <c r="BA66" s="2"/>
    </row>
    <row r="67" spans="1:53" x14ac:dyDescent="0.25">
      <c r="A67">
        <v>65</v>
      </c>
      <c r="B67" s="1">
        <f>ROUND((A67+Forudsætninger!$D$60)/30.4,1)</f>
        <v>3.3</v>
      </c>
      <c r="C67" s="1">
        <f>VLOOKUP((A67+Forudsætninger!$D$60),'Model tilvækst, slagteform, fe'!A:C,3,FALSE)</f>
        <v>158.13401239189136</v>
      </c>
      <c r="D67" s="3">
        <f t="shared" si="28"/>
        <v>1658.8669668045668</v>
      </c>
      <c r="E67" s="3">
        <f>(1+Forudsætninger!$D$78)*C67</f>
        <v>132.83257040918875</v>
      </c>
      <c r="F67" s="2">
        <f t="shared" si="29"/>
        <v>7.6605518709129266</v>
      </c>
      <c r="G67" s="1">
        <f t="shared" ref="G67:G130" si="30">E67+F67</f>
        <v>140.49312228010169</v>
      </c>
      <c r="H67" s="3">
        <f t="shared" si="9"/>
        <v>1310.5049037756089</v>
      </c>
      <c r="I67" s="3">
        <f t="shared" si="10"/>
        <v>1053.7403427707952</v>
      </c>
      <c r="J67" s="1">
        <f>VLOOKUP((A67+Forudsætninger!$D$60),'Model tilvækst, slagteform, fe'!G:K,3,FALSE)*(1+Forudsætninger!$D$79)</f>
        <v>50.672221802302623</v>
      </c>
      <c r="K67" s="17">
        <f t="shared" ref="K67:K130" si="31">G67*(J67/100)</f>
        <v>71.190986538753364</v>
      </c>
      <c r="L67" s="17">
        <f t="shared" si="11"/>
        <v>697.1588859365454</v>
      </c>
      <c r="M67" s="3">
        <f>((K67-(('Model tilvækst, slagteform, fe'!$I$9/100)*'Model tilvækst, slagteform, fe'!$C$9))*1000/(A67+Forudsætninger!$D$60))</f>
        <v>499.72145032711148</v>
      </c>
      <c r="N67" s="17">
        <f t="shared" si="12"/>
        <v>189.69465732870964</v>
      </c>
      <c r="O67" s="19">
        <f>IF( A67&lt;Forudsætninger!$C$14,(G67/100)*Forudsætninger!$C$13,(Forudsætninger!$C$15/1000)*Forudsætninger!$C$13)</f>
        <v>0.91320529482066104</v>
      </c>
      <c r="P67" s="17" cm="1">
        <f t="array" ref="P67">INDEX('Model tilvækst, slagteform, fe'!$O$9:$O$375,MATCH(MIN(ABS('Model tilvækst, slagteform, fe'!$M$9:$M$375-G67)),ABS('Model tilvækst, slagteform, fe'!$M$9:$M$375-G67),0))*(1+Forudsætninger!$D$80)</f>
        <v>4.1106866016320289</v>
      </c>
      <c r="Q67" s="17">
        <f t="shared" si="13"/>
        <v>5.8963411132741106</v>
      </c>
      <c r="R67" s="17">
        <f t="shared" si="14"/>
        <v>5.235653512070253</v>
      </c>
      <c r="S67" s="2">
        <f t="shared" ref="S67:S130" si="32">N67/(G67-$G$2)</f>
        <v>2.7695431455578259</v>
      </c>
      <c r="T67" s="19">
        <f>(P67)*IF(N67&lt;Forudsætninger!$B$228,IF(N67&lt;Forudsætninger!$B$227,Forudsætninger!$B$225,Forudsætninger!$C$9),Forudsætninger!$C$11)+O67</f>
        <v>10.532211942639609</v>
      </c>
      <c r="U67" s="2">
        <f>Forudsætninger!$D$68+((K67-(Forudsætninger!$D$84)))*0.01</f>
        <v>5.851520546747186</v>
      </c>
      <c r="V67" s="2">
        <f>U67+Forudsætninger!$D$69</f>
        <v>5.851520546747186</v>
      </c>
      <c r="W67">
        <f t="shared" ref="W67:W130" si="33">IF(K67&gt;130,1,0)</f>
        <v>0</v>
      </c>
      <c r="X67">
        <f>IF(A67+Forudsætninger!$D$60&gt;248,IF(A67+Forudsætninger!$D$60&lt;365,IF(K67&gt;180,IF(K67&lt;260,1,0),0),0),0)</f>
        <v>0</v>
      </c>
      <c r="Y67" s="22">
        <f>IF(X67=0,0,IF('Vækstfunktion, kry tyr'!A67&lt;Forudsætninger!$D$66,Forudsætninger!$D$67+(('Vækstfunktion, kry tyr'!A67-Forudsætninger!$D$66)/7)*Forudsætninger!$D$64,Forudsætninger!$D$67))</f>
        <v>0</v>
      </c>
      <c r="Z67" s="19">
        <f t="shared" si="20"/>
        <v>995.94391886250253</v>
      </c>
      <c r="AA67" s="19">
        <f>Forudsætninger!$D$62+Forudsætninger!$C$16</f>
        <v>2055</v>
      </c>
      <c r="AB67" s="19">
        <f>IF(K67&gt;Forudsætninger!$C$37,IF(K67&gt;Forudsætninger!$C$38,IF(K67&gt;Forudsætninger!$C$39,Forudsætninger!$E$39,Forudsætninger!$E$38+Forudsætninger!$F$39*(K67-Forudsætninger!$C$38)),Forudsætninger!$E$37+Forudsætninger!$F$38*(K67-Forudsætninger!$C$37)),Forudsætninger!$E$37)+IF(K67&gt;Forudsætninger!$C$39,Forudsætninger!$G$39,IF(K67&gt;Forudsætninger!$C$38,Forudsætninger!$G$38+Forudsætninger!$H$39*(K67-Forudsætninger!$C$38),IF(K67&gt;Forudsætninger!$C$37,Forudsætninger!$G$37+Forudsætninger!$H$38*(K67-Forudsætninger!$C$37),Forudsætninger!$G$37)))*(U67-Forudsætninger!$H$37)</f>
        <v>35.185152054674717</v>
      </c>
      <c r="AC67" s="19">
        <f>IF(K67&gt;Forudsætninger!$C$42,IF(K67&gt;Forudsætninger!$C$43,IF(K67&gt;Forudsætninger!$C$44,Forudsætninger!$E$44,Forudsætninger!$E$43+Forudsætninger!$F$44*(K67-Forudsætninger!$C$43)),Forudsætninger!$E$42+Forudsætninger!$F$43*(K67-Forudsætninger!$C$42)),Forudsætninger!$E$42)+IF(K67&gt;Forudsætninger!$C$44,Forudsætninger!$G$44,IF(K67&gt;Forudsætninger!$C$43,Forudsætninger!$G$43+Forudsætninger!$H$44*(K67-Forudsætninger!$C$43),IF(K67&gt;Forudsætninger!$C$42,Forudsætninger!$G$42+Forudsætninger!$H$43*(K67-Forudsætninger!$C$42),Forudsætninger!$G$42)))*(V67-Forudsætninger!$H$42)</f>
        <v>30.112880136686794</v>
      </c>
      <c r="AD67" s="19">
        <f t="shared" ref="AD67:AD130" si="34">(K67*(Y67*AB67+((1-Y67)*AC67)))</f>
        <v>2143.765644453963</v>
      </c>
      <c r="AE67" s="19">
        <f t="shared" ref="AE67:AE130" si="35">AD67/K67</f>
        <v>30.11288013668679</v>
      </c>
      <c r="AF67">
        <f>IF(G67&lt;=Forudsætninger!$C$97,Forudsætninger!$C$98,(IF(G67&lt;=Forudsætninger!$D$97,Forudsætninger!$D$98,IF(G67&lt;=Forudsætninger!$E$97,Forudsætninger!$E$98,IF(G67&lt;=Forudsætninger!$F$97,Forudsætninger!$F$98,IF(G67&lt;=Forudsætninger!$G$97,Forudsætninger!$G$98,IF(G67&lt;=Forudsætninger!$H$97,Forudsætninger!$H$98,IF(G67&lt;=Forudsætninger!$I$97,Forudsætninger!$I$98,Forudsætninger!$I$98))))))))</f>
        <v>2.2000000000000002</v>
      </c>
      <c r="AG67" s="1">
        <f t="shared" si="16"/>
        <v>2.2000000000000002</v>
      </c>
      <c r="AH67" s="1">
        <f t="shared" si="21"/>
        <v>143.00000000000003</v>
      </c>
      <c r="AI67" s="1">
        <f t="shared" ref="AI67:AI130" si="36">AH67/A67</f>
        <v>2.2000000000000006</v>
      </c>
      <c r="AJ67" s="20">
        <f>+(W67*Forudsætninger!$C$12)</f>
        <v>0</v>
      </c>
      <c r="AK67" s="20">
        <f>Forudsætninger!$C$17</f>
        <v>250</v>
      </c>
      <c r="AL67" s="20">
        <f>IF(A67&lt;92,Forudsætninger!$C$20,Forudsætninger!$C$21)</f>
        <v>4.0072859744990899</v>
      </c>
      <c r="AM67" s="20">
        <f t="shared" si="17"/>
        <v>260.47358834244102</v>
      </c>
      <c r="AN67" s="19">
        <f>IFERROR(AD67+AJ67-AA67-Z67-AK67-AM67-Forudsætninger!$D$75,-99999)</f>
        <v>-1635.5438364519407</v>
      </c>
      <c r="AO67" s="57">
        <f>IFERROR(AN67/(A67+Forudsætninger!$D$74),-99999)</f>
        <v>-25.162212868491395</v>
      </c>
      <c r="AP67" s="19">
        <f>IFERROR(((365/(A67+Forudsætninger!$D$74))*AN67)/(AI67+Forudsætninger!$D$73),-99999)</f>
        <v>-3975.8474878785096</v>
      </c>
      <c r="AQ67" s="18">
        <f t="shared" si="22"/>
        <v>65</v>
      </c>
      <c r="AR67" s="18">
        <f t="shared" si="23"/>
        <v>3561.4175072049434</v>
      </c>
      <c r="AS67" s="50">
        <f t="shared" si="24"/>
        <v>3.3</v>
      </c>
      <c r="AT67" s="50">
        <f t="shared" si="25"/>
        <v>6.576827547173707</v>
      </c>
      <c r="AU67" s="50">
        <f t="shared" si="26"/>
        <v>0.4959225064947681</v>
      </c>
      <c r="AV67" s="2">
        <f t="shared" si="27"/>
        <v>78.360049727528349</v>
      </c>
      <c r="AW67" s="16">
        <f t="shared" si="19"/>
        <v>-21.154926893992304</v>
      </c>
      <c r="AZ67" s="16"/>
      <c r="BA67" s="2"/>
    </row>
    <row r="68" spans="1:53" x14ac:dyDescent="0.25">
      <c r="A68">
        <v>66</v>
      </c>
      <c r="B68" s="1">
        <f>ROUND((A68+Forudsætninger!$D$60)/30.4,1)</f>
        <v>3.3</v>
      </c>
      <c r="C68" s="1">
        <f>VLOOKUP((A68+Forudsætninger!$D$60),'Model tilvækst, slagteform, fe'!A:C,3,FALSE)</f>
        <v>159.79924085788761</v>
      </c>
      <c r="D68" s="3">
        <f t="shared" si="28"/>
        <v>1665.2284659962504</v>
      </c>
      <c r="E68" s="3">
        <f>(1+Forudsætninger!$D$78)*C68</f>
        <v>134.23136232062558</v>
      </c>
      <c r="F68" s="2">
        <f t="shared" si="29"/>
        <v>7.5772904476131142</v>
      </c>
      <c r="G68" s="1">
        <f t="shared" si="30"/>
        <v>141.80865276823869</v>
      </c>
      <c r="H68" s="3">
        <f t="shared" ref="H68:H131" si="37">(G68-G67)*1000</f>
        <v>1315.530488137</v>
      </c>
      <c r="I68" s="3">
        <f t="shared" ref="I68:I131" si="38">(G68-$G$2)*1000/A68</f>
        <v>1057.7068601248284</v>
      </c>
      <c r="J68" s="1">
        <f>VLOOKUP((A68+Forudsætninger!$D$60),'Model tilvækst, slagteform, fe'!G:K,3,FALSE)*(1+Forudsætninger!$D$79)</f>
        <v>50.695865348953468</v>
      </c>
      <c r="K68" s="17">
        <f t="shared" si="31"/>
        <v>71.891123660551273</v>
      </c>
      <c r="L68" s="17">
        <f t="shared" ref="L68:L131" si="39">(K68-K67)*1000</f>
        <v>700.13712179790843</v>
      </c>
      <c r="M68" s="3">
        <f>((K68-(('Model tilvækst, slagteform, fe'!$I$9/100)*'Model tilvækst, slagteform, fe'!$C$9))*1000/(A68+Forudsætninger!$D$60))</f>
        <v>501.72560704181944</v>
      </c>
      <c r="N68" s="17">
        <f t="shared" ref="N68:N131" si="40">N67+P68</f>
        <v>193.84076776801274</v>
      </c>
      <c r="O68" s="19">
        <f>IF( A68&lt;Forudsætninger!$C$14,(G68/100)*Forudsætninger!$C$13,(Forudsætninger!$C$15/1000)*Forudsætninger!$C$13)</f>
        <v>0.92175624299355152</v>
      </c>
      <c r="P68" s="17" cm="1">
        <f t="array" ref="P68">INDEX('Model tilvækst, slagteform, fe'!$O$9:$O$375,MATCH(MIN(ABS('Model tilvækst, slagteform, fe'!$M$9:$M$375-G68)),ABS('Model tilvækst, slagteform, fe'!$M$9:$M$375-G68),0))*(1+Forudsætninger!$D$80)</f>
        <v>4.1461104393031079</v>
      </c>
      <c r="Q68" s="17">
        <f t="shared" ref="Q68:Q131" si="41">P68/(L68/1000)</f>
        <v>5.9218548913049416</v>
      </c>
      <c r="R68" s="17">
        <f t="shared" ref="R68:R131" si="42">N68/(K68-$K$2)</f>
        <v>5.2486623410622073</v>
      </c>
      <c r="S68" s="2">
        <f t="shared" si="32"/>
        <v>2.776744143903688</v>
      </c>
      <c r="T68" s="19">
        <f>(P68)*IF(N68&lt;Forudsætninger!$B$228,IF(N68&lt;Forudsætninger!$B$227,Forudsætninger!$B$225,Forudsætninger!$C$9),Forudsætninger!$C$11)+O68</f>
        <v>10.623654670962823</v>
      </c>
      <c r="U68" s="2">
        <f>Forudsætninger!$D$68+((K68-(Forudsætninger!$D$84)))*0.01</f>
        <v>5.8585219179651649</v>
      </c>
      <c r="V68" s="2">
        <f>U68+Forudsætninger!$D$69</f>
        <v>5.8585219179651649</v>
      </c>
      <c r="W68">
        <f t="shared" si="33"/>
        <v>0</v>
      </c>
      <c r="X68">
        <f>IF(A68+Forudsætninger!$D$60&gt;248,IF(A68+Forudsætninger!$D$60&lt;365,IF(K68&gt;180,IF(K68&lt;260,1,0),0),0),0)</f>
        <v>0</v>
      </c>
      <c r="Y68" s="22">
        <f>IF(X68=0,0,IF('Vækstfunktion, kry tyr'!A68&lt;Forudsætninger!$D$66,Forudsætninger!$D$67+(('Vækstfunktion, kry tyr'!A68-Forudsætninger!$D$66)/7)*Forudsætninger!$D$64,Forudsætninger!$D$67))</f>
        <v>0</v>
      </c>
      <c r="Z68" s="19">
        <f t="shared" si="20"/>
        <v>1006.5675735334654</v>
      </c>
      <c r="AA68" s="19">
        <f>Forudsætninger!$D$62+Forudsætninger!$C$16</f>
        <v>2055</v>
      </c>
      <c r="AB68" s="19">
        <f>IF(K68&gt;Forudsætninger!$C$37,IF(K68&gt;Forudsætninger!$C$38,IF(K68&gt;Forudsætninger!$C$39,Forudsætninger!$E$39,Forudsætninger!$E$38+Forudsætninger!$F$39*(K68-Forudsætninger!$C$38)),Forudsætninger!$E$37+Forudsætninger!$F$38*(K68-Forudsætninger!$C$37)),Forudsætninger!$E$37)+IF(K68&gt;Forudsætninger!$C$39,Forudsætninger!$G$39,IF(K68&gt;Forudsætninger!$C$38,Forudsætninger!$G$38+Forudsætninger!$H$39*(K68-Forudsætninger!$C$38),IF(K68&gt;Forudsætninger!$C$37,Forudsætninger!$G$37+Forudsætninger!$H$38*(K68-Forudsætninger!$C$37),Forudsætninger!$G$37)))*(U68-Forudsætninger!$H$37)</f>
        <v>35.185852191796521</v>
      </c>
      <c r="AC68" s="19">
        <f>IF(K68&gt;Forudsætninger!$C$42,IF(K68&gt;Forudsætninger!$C$43,IF(K68&gt;Forudsætninger!$C$44,Forudsætninger!$E$44,Forudsætninger!$E$43+Forudsætninger!$F$44*(K68-Forudsætninger!$C$43)),Forudsætninger!$E$42+Forudsætninger!$F$43*(K68-Forudsætninger!$C$42)),Forudsætninger!$E$42)+IF(K68&gt;Forudsætninger!$C$44,Forudsætninger!$G$44,IF(K68&gt;Forudsætninger!$C$43,Forudsætninger!$G$43+Forudsætninger!$H$44*(K68-Forudsætninger!$C$43),IF(K68&gt;Forudsætninger!$C$42,Forudsætninger!$G$42+Forudsætninger!$H$43*(K68-Forudsætninger!$C$42),Forudsætninger!$G$42)))*(V68-Forudsætninger!$H$42)</f>
        <v>30.114630479491289</v>
      </c>
      <c r="AD68" s="19">
        <f t="shared" si="34"/>
        <v>2164.9746237929148</v>
      </c>
      <c r="AE68" s="19">
        <f t="shared" si="35"/>
        <v>30.114630479491289</v>
      </c>
      <c r="AF68">
        <f>IF(G68&lt;=Forudsætninger!$C$97,Forudsætninger!$C$98,(IF(G68&lt;=Forudsætninger!$D$97,Forudsætninger!$D$98,IF(G68&lt;=Forudsætninger!$E$97,Forudsætninger!$E$98,IF(G68&lt;=Forudsætninger!$F$97,Forudsætninger!$F$98,IF(G68&lt;=Forudsætninger!$G$97,Forudsætninger!$G$98,IF(G68&lt;=Forudsætninger!$H$97,Forudsætninger!$H$98,IF(G68&lt;=Forudsætninger!$I$97,Forudsætninger!$I$98,Forudsætninger!$I$98))))))))</f>
        <v>2.2000000000000002</v>
      </c>
      <c r="AG68" s="1">
        <f t="shared" ref="AG68:AG131" si="43">IF(AF68&lt;=3.2,IF(AF68&lt;=2.2,2.2,3.2),4.4)</f>
        <v>2.2000000000000002</v>
      </c>
      <c r="AH68" s="1">
        <f t="shared" si="21"/>
        <v>145.20000000000002</v>
      </c>
      <c r="AI68" s="1">
        <f t="shared" si="36"/>
        <v>2.2000000000000002</v>
      </c>
      <c r="AJ68" s="20">
        <f>+(W68*Forudsætninger!$C$12)</f>
        <v>0</v>
      </c>
      <c r="AK68" s="20">
        <f>Forudsætninger!$C$17</f>
        <v>250</v>
      </c>
      <c r="AL68" s="20">
        <f>IF(A68&lt;92,Forudsætninger!$C$20,Forudsætninger!$C$21)</f>
        <v>4.0072859744990899</v>
      </c>
      <c r="AM68" s="20">
        <f t="shared" ref="AM68:AM131" si="44">AL68+AM67</f>
        <v>264.48087431694012</v>
      </c>
      <c r="AN68" s="19">
        <f>IFERROR(AD68+AJ68-AA68-Z68-AK68-AM68-Forudsætninger!$D$75,-99999)</f>
        <v>-1628.9657977584509</v>
      </c>
      <c r="AO68" s="57">
        <f>IFERROR(AN68/(A68+Forudsætninger!$D$74),-99999)</f>
        <v>-24.681299966037134</v>
      </c>
      <c r="AP68" s="19">
        <f>IFERROR(((365/(A68+Forudsætninger!$D$74))*AN68)/(AI68+Forudsætninger!$D$73),-99999)</f>
        <v>-3899.8590855426637</v>
      </c>
      <c r="AQ68" s="18">
        <f t="shared" si="22"/>
        <v>66</v>
      </c>
      <c r="AR68" s="18">
        <f t="shared" si="23"/>
        <v>3576.0484478504054</v>
      </c>
      <c r="AS68" s="50">
        <f t="shared" si="24"/>
        <v>3.3</v>
      </c>
      <c r="AT68" s="50">
        <f t="shared" si="25"/>
        <v>6.5780386934898161</v>
      </c>
      <c r="AU68" s="50">
        <f t="shared" si="26"/>
        <v>0.48091290245426066</v>
      </c>
      <c r="AV68" s="2">
        <f t="shared" si="27"/>
        <v>75.988402335845876</v>
      </c>
      <c r="AW68" s="16">
        <f t="shared" ref="AW68:AW131" si="45">((AN68+AM68)/A68)</f>
        <v>-20.674013991538043</v>
      </c>
      <c r="AZ68" s="16"/>
      <c r="BA68" s="2"/>
    </row>
    <row r="69" spans="1:53" x14ac:dyDescent="0.25">
      <c r="A69">
        <v>67</v>
      </c>
      <c r="B69" s="1">
        <f>ROUND((A69+Forudsætninger!$D$60)/30.4,1)</f>
        <v>3.3</v>
      </c>
      <c r="C69" s="1">
        <f>VLOOKUP((A69+Forudsætninger!$D$60),'Model tilvækst, slagteform, fe'!A:C,3,FALSE)</f>
        <v>161.47071388643027</v>
      </c>
      <c r="D69" s="3">
        <f t="shared" si="28"/>
        <v>1671.473028542664</v>
      </c>
      <c r="E69" s="3">
        <f>(1+Forudsætninger!$D$78)*C69</f>
        <v>135.63539966460144</v>
      </c>
      <c r="F69" s="2">
        <f t="shared" si="29"/>
        <v>7.4937167961859812</v>
      </c>
      <c r="G69" s="1">
        <f t="shared" si="30"/>
        <v>143.12911646078743</v>
      </c>
      <c r="H69" s="3">
        <f t="shared" si="37"/>
        <v>1320.4636925487421</v>
      </c>
      <c r="I69" s="3">
        <f t="shared" si="38"/>
        <v>1061.6286038923497</v>
      </c>
      <c r="J69" s="1">
        <f>VLOOKUP((A69+Forudsætninger!$D$60),'Model tilvækst, slagteform, fe'!G:K,3,FALSE)*(1+Forudsætninger!$D$79)</f>
        <v>50.719383993590341</v>
      </c>
      <c r="K69" s="17">
        <f t="shared" si="31"/>
        <v>72.5942061843799</v>
      </c>
      <c r="L69" s="17">
        <f t="shared" si="39"/>
        <v>703.0825238286269</v>
      </c>
      <c r="M69" s="3">
        <f>((K69-(('Model tilvækst, slagteform, fe'!$I$9/100)*'Model tilvækst, slagteform, fe'!$C$9))*1000/(A69+Forudsætninger!$D$60))</f>
        <v>503.71923988129282</v>
      </c>
      <c r="N69" s="17">
        <f t="shared" si="40"/>
        <v>198.02217443687934</v>
      </c>
      <c r="O69" s="19">
        <f>IF( A69&lt;Forudsætninger!$C$14,(G69/100)*Forudsætninger!$C$13,(Forudsætninger!$C$15/1000)*Forudsætninger!$C$13)</f>
        <v>0.93033925699511832</v>
      </c>
      <c r="P69" s="17" cm="1">
        <f t="array" ref="P69">INDEX('Model tilvækst, slagteform, fe'!$O$9:$O$375,MATCH(MIN(ABS('Model tilvækst, slagteform, fe'!$M$9:$M$375-G69)),ABS('Model tilvækst, slagteform, fe'!$M$9:$M$375-G69),0))*(1+Forudsætninger!$D$80)</f>
        <v>4.1814066688666109</v>
      </c>
      <c r="Q69" s="17">
        <f t="shared" si="41"/>
        <v>5.9472487612077378</v>
      </c>
      <c r="R69" s="17">
        <f t="shared" si="42"/>
        <v>5.2617132209014832</v>
      </c>
      <c r="S69" s="2">
        <f t="shared" si="32"/>
        <v>2.7839819231558489</v>
      </c>
      <c r="T69" s="19">
        <f>(P69)*IF(N69&lt;Forudsætninger!$B$228,IF(N69&lt;Forudsætninger!$B$227,Forudsætninger!$B$225,Forudsætninger!$C$9),Forudsætninger!$C$11)+O69</f>
        <v>10.714830862142987</v>
      </c>
      <c r="U69" s="2">
        <f>Forudsætninger!$D$68+((K69-(Forudsætninger!$D$84)))*0.01</f>
        <v>5.8655527432034518</v>
      </c>
      <c r="V69" s="2">
        <f>U69+Forudsætninger!$D$69</f>
        <v>5.8655527432034518</v>
      </c>
      <c r="W69">
        <f t="shared" si="33"/>
        <v>0</v>
      </c>
      <c r="X69">
        <f>IF(A69+Forudsætninger!$D$60&gt;248,IF(A69+Forudsætninger!$D$60&lt;365,IF(K69&gt;180,IF(K69&lt;260,1,0),0),0),0)</f>
        <v>0</v>
      </c>
      <c r="Y69" s="22">
        <f>IF(X69=0,0,IF('Vækstfunktion, kry tyr'!A69&lt;Forudsætninger!$D$66,Forudsætninger!$D$67+(('Vækstfunktion, kry tyr'!A69-Forudsætninger!$D$66)/7)*Forudsætninger!$D$64,Forudsætninger!$D$67))</f>
        <v>0</v>
      </c>
      <c r="Z69" s="19">
        <f t="shared" ref="Z69:Z132" si="46">Z68+T69</f>
        <v>1017.2824043956084</v>
      </c>
      <c r="AA69" s="19">
        <f>Forudsætninger!$D$62+Forudsætninger!$C$16</f>
        <v>2055</v>
      </c>
      <c r="AB69" s="19">
        <f>IF(K69&gt;Forudsætninger!$C$37,IF(K69&gt;Forudsætninger!$C$38,IF(K69&gt;Forudsætninger!$C$39,Forudsætninger!$E$39,Forudsætninger!$E$38+Forudsætninger!$F$39*(K69-Forudsætninger!$C$38)),Forudsætninger!$E$37+Forudsætninger!$F$38*(K69-Forudsætninger!$C$37)),Forudsætninger!$E$37)+IF(K69&gt;Forudsætninger!$C$39,Forudsætninger!$G$39,IF(K69&gt;Forudsætninger!$C$38,Forudsætninger!$G$38+Forudsætninger!$H$39*(K69-Forudsætninger!$C$38),IF(K69&gt;Forudsætninger!$C$37,Forudsætninger!$G$37+Forudsætninger!$H$38*(K69-Forudsætninger!$C$37),Forudsætninger!$G$37)))*(U69-Forudsætninger!$H$37)</f>
        <v>35.186555274320348</v>
      </c>
      <c r="AC69" s="19">
        <f>IF(K69&gt;Forudsætninger!$C$42,IF(K69&gt;Forudsætninger!$C$43,IF(K69&gt;Forudsætninger!$C$44,Forudsætninger!$E$44,Forudsætninger!$E$43+Forudsætninger!$F$44*(K69-Forudsætninger!$C$43)),Forudsætninger!$E$42+Forudsætninger!$F$43*(K69-Forudsætninger!$C$42)),Forudsætninger!$E$42)+IF(K69&gt;Forudsætninger!$C$44,Forudsætninger!$G$44,IF(K69&gt;Forudsætninger!$C$43,Forudsætninger!$G$43+Forudsætninger!$H$44*(K69-Forudsætninger!$C$43),IF(K69&gt;Forudsætninger!$C$42,Forudsætninger!$G$42+Forudsætninger!$H$43*(K69-Forudsætninger!$C$42),Forudsætninger!$G$42)))*(V69-Forudsætninger!$H$42)</f>
        <v>30.116388185800862</v>
      </c>
      <c r="AD69" s="19">
        <f t="shared" si="34"/>
        <v>2186.2752934888508</v>
      </c>
      <c r="AE69" s="19">
        <f t="shared" si="35"/>
        <v>30.116388185800865</v>
      </c>
      <c r="AF69">
        <f>IF(G69&lt;=Forudsætninger!$C$97,Forudsætninger!$C$98,(IF(G69&lt;=Forudsætninger!$D$97,Forudsætninger!$D$98,IF(G69&lt;=Forudsætninger!$E$97,Forudsætninger!$E$98,IF(G69&lt;=Forudsætninger!$F$97,Forudsætninger!$F$98,IF(G69&lt;=Forudsætninger!$G$97,Forudsætninger!$G$98,IF(G69&lt;=Forudsætninger!$H$97,Forudsætninger!$H$98,IF(G69&lt;=Forudsætninger!$I$97,Forudsætninger!$I$98,Forudsætninger!$I$98))))))))</f>
        <v>2.2000000000000002</v>
      </c>
      <c r="AG69" s="1">
        <f t="shared" si="43"/>
        <v>2.2000000000000002</v>
      </c>
      <c r="AH69" s="1">
        <f t="shared" ref="AH69:AH132" si="47">AH68+AG69</f>
        <v>147.4</v>
      </c>
      <c r="AI69" s="1">
        <f t="shared" si="36"/>
        <v>2.2000000000000002</v>
      </c>
      <c r="AJ69" s="20">
        <f>+(W69*Forudsætninger!$C$12)</f>
        <v>0</v>
      </c>
      <c r="AK69" s="20">
        <f>Forudsætninger!$C$17</f>
        <v>250</v>
      </c>
      <c r="AL69" s="20">
        <f>IF(A69&lt;92,Forudsætninger!$C$20,Forudsætninger!$C$21)</f>
        <v>4.0072859744990899</v>
      </c>
      <c r="AM69" s="20">
        <f t="shared" si="44"/>
        <v>268.48816029143921</v>
      </c>
      <c r="AN69" s="19">
        <f>IFERROR(AD69+AJ69-AA69-Z69-AK69-AM69-Forudsætninger!$D$75,-99999)</f>
        <v>-1622.3872448991572</v>
      </c>
      <c r="AO69" s="57">
        <f>IFERROR(AN69/(A69+Forudsætninger!$D$74),-99999)</f>
        <v>-24.214734998494883</v>
      </c>
      <c r="AP69" s="19">
        <f>IFERROR(((365/(A69+Forudsætninger!$D$74))*AN69)/(AI69+Forudsætninger!$D$73),-99999)</f>
        <v>-3826.1377811474595</v>
      </c>
      <c r="AQ69" s="18">
        <f t="shared" ref="AQ69:AQ132" si="48">A69</f>
        <v>67</v>
      </c>
      <c r="AR69" s="18">
        <f t="shared" ref="AR69:AR132" si="49">AA69+Z69+AK69+AM69</f>
        <v>3590.7705646870477</v>
      </c>
      <c r="AS69" s="50">
        <f t="shared" ref="AS69:AS132" si="50">B69</f>
        <v>3.3</v>
      </c>
      <c r="AT69" s="50">
        <f t="shared" ref="AT69:AT132" si="51">AN69-AN68</f>
        <v>6.5785528592937226</v>
      </c>
      <c r="AU69" s="50">
        <f t="shared" ref="AU69:AU132" si="52">AO69-AO68</f>
        <v>0.46656496754225074</v>
      </c>
      <c r="AV69" s="2">
        <f t="shared" ref="AV69:AV132" si="53">AP69-AP68</f>
        <v>73.721304395204243</v>
      </c>
      <c r="AW69" s="16">
        <f t="shared" si="45"/>
        <v>-20.207449023995789</v>
      </c>
      <c r="AZ69" s="16"/>
      <c r="BA69" s="2"/>
    </row>
    <row r="70" spans="1:53" x14ac:dyDescent="0.25">
      <c r="A70">
        <v>68</v>
      </c>
      <c r="B70" s="1">
        <f>ROUND((A70+Forudsætninger!$D$60)/30.4,1)</f>
        <v>3.4</v>
      </c>
      <c r="C70" s="1">
        <f>VLOOKUP((A70+Forudsætninger!$D$60),'Model tilvækst, slagteform, fe'!A:C,3,FALSE)</f>
        <v>163.14831516181064</v>
      </c>
      <c r="D70" s="3">
        <f t="shared" ref="D70:D133" si="54">(C70-C69)*1000</f>
        <v>1677.6012753803684</v>
      </c>
      <c r="E70" s="3">
        <f>(1+Forudsætninger!$D$78)*C70</f>
        <v>137.04458473592095</v>
      </c>
      <c r="F70" s="2">
        <f t="shared" si="29"/>
        <v>7.4098367324169629</v>
      </c>
      <c r="G70" s="1">
        <f t="shared" si="30"/>
        <v>144.4544214683379</v>
      </c>
      <c r="H70" s="3">
        <f t="shared" si="37"/>
        <v>1325.3050075504689</v>
      </c>
      <c r="I70" s="3">
        <f t="shared" si="38"/>
        <v>1065.5061980637927</v>
      </c>
      <c r="J70" s="1">
        <f>VLOOKUP((A70+Forudsætninger!$D$60),'Model tilvækst, slagteform, fe'!G:K,3,FALSE)*(1+Forudsætninger!$D$79)</f>
        <v>50.742788790326316</v>
      </c>
      <c r="K70" s="17">
        <f t="shared" si="31"/>
        <v>73.300201983966502</v>
      </c>
      <c r="L70" s="17">
        <f t="shared" si="39"/>
        <v>705.99579958660286</v>
      </c>
      <c r="M70" s="3">
        <f>((K70-(('Model tilvækst, slagteform, fe'!$I$9/100)*'Model tilvækst, slagteform, fe'!$C$9))*1000/(A70+Forudsætninger!$D$60))</f>
        <v>505.70234340781548</v>
      </c>
      <c r="N70" s="17">
        <f t="shared" si="40"/>
        <v>202.27377807178195</v>
      </c>
      <c r="O70" s="19">
        <f>IF( A70&lt;Forudsætninger!$C$14,(G70/100)*Forudsætninger!$C$13,(Forudsætninger!$C$15/1000)*Forudsætninger!$C$13)</f>
        <v>0.93895373954419636</v>
      </c>
      <c r="P70" s="17" cm="1">
        <f t="array" ref="P70">INDEX('Model tilvækst, slagteform, fe'!$O$9:$O$375,MATCH(MIN(ABS('Model tilvækst, slagteform, fe'!$M$9:$M$375-G70)),ABS('Model tilvækst, slagteform, fe'!$M$9:$M$375-G70),0))*(1+Forudsætninger!$D$80)</f>
        <v>4.2516036349026072</v>
      </c>
      <c r="Q70" s="17">
        <f t="shared" si="41"/>
        <v>6.0221372951399168</v>
      </c>
      <c r="R70" s="17">
        <f t="shared" si="42"/>
        <v>5.2757155331766823</v>
      </c>
      <c r="S70" s="2">
        <f t="shared" si="32"/>
        <v>2.7917382262195587</v>
      </c>
      <c r="T70" s="19">
        <f>(P70)*IF(N70&lt;Forudsætninger!$B$228,IF(N70&lt;Forudsætninger!$B$227,Forudsætninger!$B$225,Forudsætninger!$C$9),Forudsætninger!$C$11)+O70</f>
        <v>10.887706245216297</v>
      </c>
      <c r="U70" s="2">
        <f>Forudsætninger!$D$68+((K70-(Forudsætninger!$D$84)))*0.01</f>
        <v>5.8726127011993174</v>
      </c>
      <c r="V70" s="2">
        <f>U70+Forudsætninger!$D$69</f>
        <v>5.8726127011993174</v>
      </c>
      <c r="W70">
        <f t="shared" si="33"/>
        <v>0</v>
      </c>
      <c r="X70">
        <f>IF(A70+Forudsætninger!$D$60&gt;248,IF(A70+Forudsætninger!$D$60&lt;365,IF(K70&gt;180,IF(K70&lt;260,1,0),0),0),0)</f>
        <v>0</v>
      </c>
      <c r="Y70" s="22">
        <f>IF(X70=0,0,IF('Vækstfunktion, kry tyr'!A70&lt;Forudsætninger!$D$66,Forudsætninger!$D$67+(('Vækstfunktion, kry tyr'!A70-Forudsætninger!$D$66)/7)*Forudsætninger!$D$64,Forudsætninger!$D$67))</f>
        <v>0</v>
      </c>
      <c r="Z70" s="19">
        <f t="shared" si="46"/>
        <v>1028.1701106408248</v>
      </c>
      <c r="AA70" s="19">
        <f>Forudsætninger!$D$62+Forudsætninger!$C$16</f>
        <v>2055</v>
      </c>
      <c r="AB70" s="19">
        <f>IF(K70&gt;Forudsætninger!$C$37,IF(K70&gt;Forudsætninger!$C$38,IF(K70&gt;Forudsætninger!$C$39,Forudsætninger!$E$39,Forudsætninger!$E$38+Forudsætninger!$F$39*(K70-Forudsætninger!$C$38)),Forudsætninger!$E$37+Forudsætninger!$F$38*(K70-Forudsætninger!$C$37)),Forudsætninger!$E$37)+IF(K70&gt;Forudsætninger!$C$39,Forudsætninger!$G$39,IF(K70&gt;Forudsætninger!$C$38,Forudsætninger!$G$38+Forudsætninger!$H$39*(K70-Forudsætninger!$C$38),IF(K70&gt;Forudsætninger!$C$37,Forudsætninger!$G$37+Forudsætninger!$H$38*(K70-Forudsætninger!$C$37),Forudsætninger!$G$37)))*(U70-Forudsætninger!$H$37)</f>
        <v>35.187261270119933</v>
      </c>
      <c r="AC70" s="19">
        <f>IF(K70&gt;Forudsætninger!$C$42,IF(K70&gt;Forudsætninger!$C$43,IF(K70&gt;Forudsætninger!$C$44,Forudsætninger!$E$44,Forudsætninger!$E$43+Forudsætninger!$F$44*(K70-Forudsætninger!$C$43)),Forudsætninger!$E$42+Forudsætninger!$F$43*(K70-Forudsætninger!$C$42)),Forudsætninger!$E$42)+IF(K70&gt;Forudsætninger!$C$44,Forudsætninger!$G$44,IF(K70&gt;Forudsætninger!$C$43,Forudsætninger!$G$43+Forudsætninger!$H$44*(K70-Forudsætninger!$C$43),IF(K70&gt;Forudsætninger!$C$42,Forudsætninger!$G$42+Forudsætninger!$H$43*(K70-Forudsætninger!$C$42),Forudsætninger!$G$42)))*(V70-Forudsætninger!$H$42)</f>
        <v>30.118153175299827</v>
      </c>
      <c r="AD70" s="19">
        <f t="shared" si="34"/>
        <v>2207.6667111335196</v>
      </c>
      <c r="AE70" s="19">
        <f t="shared" si="35"/>
        <v>30.118153175299831</v>
      </c>
      <c r="AF70">
        <f>IF(G70&lt;=Forudsætninger!$C$97,Forudsætninger!$C$98,(IF(G70&lt;=Forudsætninger!$D$97,Forudsætninger!$D$98,IF(G70&lt;=Forudsætninger!$E$97,Forudsætninger!$E$98,IF(G70&lt;=Forudsætninger!$F$97,Forudsætninger!$F$98,IF(G70&lt;=Forudsætninger!$G$97,Forudsætninger!$G$98,IF(G70&lt;=Forudsætninger!$H$97,Forudsætninger!$H$98,IF(G70&lt;=Forudsætninger!$I$97,Forudsætninger!$I$98,Forudsætninger!$I$98))))))))</f>
        <v>2.2000000000000002</v>
      </c>
      <c r="AG70" s="1">
        <f t="shared" si="43"/>
        <v>2.2000000000000002</v>
      </c>
      <c r="AH70" s="1">
        <f t="shared" si="47"/>
        <v>149.6</v>
      </c>
      <c r="AI70" s="1">
        <f t="shared" si="36"/>
        <v>2.1999999999999997</v>
      </c>
      <c r="AJ70" s="20">
        <f>+(W70*Forudsætninger!$C$12)</f>
        <v>0</v>
      </c>
      <c r="AK70" s="20">
        <f>Forudsætninger!$C$17</f>
        <v>250</v>
      </c>
      <c r="AL70" s="20">
        <f>IF(A70&lt;92,Forudsætninger!$C$20,Forudsætninger!$C$21)</f>
        <v>4.0072859744990899</v>
      </c>
      <c r="AM70" s="20">
        <f t="shared" si="44"/>
        <v>272.49544626593831</v>
      </c>
      <c r="AN70" s="19">
        <f>IFERROR(AD70+AJ70-AA70-Z70-AK70-AM70-Forudsætninger!$D$75,-99999)</f>
        <v>-1615.8908194742037</v>
      </c>
      <c r="AO70" s="57">
        <f>IFERROR(AN70/(A70+Forudsætninger!$D$74),-99999)</f>
        <v>-23.763100286385349</v>
      </c>
      <c r="AP70" s="19">
        <f>IFERROR(((365/(A70+Forudsætninger!$D$74))*AN70)/(AI70+Forudsætninger!$D$73),-99999)</f>
        <v>-3754.7755863769062</v>
      </c>
      <c r="AQ70" s="18">
        <f t="shared" si="48"/>
        <v>68</v>
      </c>
      <c r="AR70" s="18">
        <f t="shared" si="49"/>
        <v>3605.665556906763</v>
      </c>
      <c r="AS70" s="50">
        <f t="shared" si="50"/>
        <v>3.4</v>
      </c>
      <c r="AT70" s="50">
        <f t="shared" si="51"/>
        <v>6.4964254249534861</v>
      </c>
      <c r="AU70" s="50">
        <f t="shared" si="52"/>
        <v>0.45163471210953432</v>
      </c>
      <c r="AV70" s="2">
        <f t="shared" si="53"/>
        <v>71.362194770553288</v>
      </c>
      <c r="AW70" s="16">
        <f t="shared" si="45"/>
        <v>-19.755814311886258</v>
      </c>
      <c r="AZ70" s="16"/>
      <c r="BA70" s="2"/>
    </row>
    <row r="71" spans="1:53" x14ac:dyDescent="0.25">
      <c r="A71">
        <v>69</v>
      </c>
      <c r="B71" s="1">
        <f>ROUND((A71+Forudsætninger!$D$60)/30.4,1)</f>
        <v>3.4</v>
      </c>
      <c r="C71" s="1">
        <f>VLOOKUP((A71+Forudsætninger!$D$60),'Model tilvækst, slagteform, fe'!A:C,3,FALSE)</f>
        <v>164.83192898925677</v>
      </c>
      <c r="D71" s="3">
        <f t="shared" si="54"/>
        <v>1683.6138274461234</v>
      </c>
      <c r="E71" s="3">
        <f>(1+Forudsætninger!$D$78)*C71</f>
        <v>138.45882035097569</v>
      </c>
      <c r="F71" s="2">
        <f t="shared" si="29"/>
        <v>7.325656041044657</v>
      </c>
      <c r="G71" s="1">
        <f t="shared" si="30"/>
        <v>145.78447639202034</v>
      </c>
      <c r="H71" s="3">
        <f t="shared" si="37"/>
        <v>1330.0549236824395</v>
      </c>
      <c r="I71" s="3">
        <f t="shared" si="38"/>
        <v>1069.3402375655121</v>
      </c>
      <c r="J71" s="1">
        <f>VLOOKUP((A71+Forudsætninger!$D$60),'Model tilvækst, slagteform, fe'!G:K,3,FALSE)*(1+Forudsætninger!$D$79)</f>
        <v>50.766090793274479</v>
      </c>
      <c r="K71" s="17">
        <f t="shared" si="31"/>
        <v>74.009079647672834</v>
      </c>
      <c r="L71" s="17">
        <f t="shared" si="39"/>
        <v>708.87766370633187</v>
      </c>
      <c r="M71" s="3">
        <f>((K71-(('Model tilvækst, slagteform, fe'!$I$9/100)*'Model tilvækst, slagteform, fe'!$C$9))*1000/(A71+Forudsætninger!$D$60))</f>
        <v>507.67491933304376</v>
      </c>
      <c r="N71" s="17">
        <f t="shared" si="40"/>
        <v>206.56027610877291</v>
      </c>
      <c r="O71" s="19">
        <f>IF( A71&lt;Forudsætninger!$C$14,(G71/100)*Forudsætninger!$C$13,(Forudsætninger!$C$15/1000)*Forudsætninger!$C$13)</f>
        <v>0.94759909654813224</v>
      </c>
      <c r="P71" s="17" cm="1">
        <f t="array" ref="P71">INDEX('Model tilvækst, slagteform, fe'!$O$9:$O$375,MATCH(MIN(ABS('Model tilvækst, slagteform, fe'!$M$9:$M$375-G71)),ABS('Model tilvækst, slagteform, fe'!$M$9:$M$375-G71),0))*(1+Forudsætninger!$D$80)</f>
        <v>4.2864980369909587</v>
      </c>
      <c r="Q71" s="17">
        <f t="shared" si="41"/>
        <v>6.0468798164399979</v>
      </c>
      <c r="R71" s="17">
        <f t="shared" si="42"/>
        <v>5.2897147469862613</v>
      </c>
      <c r="S71" s="2">
        <f t="shared" si="32"/>
        <v>2.799508598682853</v>
      </c>
      <c r="T71" s="19">
        <f>(P71)*IF(N71&lt;Forudsætninger!$B$228,IF(N71&lt;Forudsætninger!$B$227,Forudsætninger!$B$225,Forudsætninger!$C$9),Forudsætninger!$C$11)+O71</f>
        <v>10.978004503106975</v>
      </c>
      <c r="U71" s="2">
        <f>Forudsætninger!$D$68+((K71-(Forudsætninger!$D$84)))*0.01</f>
        <v>5.879701477836381</v>
      </c>
      <c r="V71" s="2">
        <f>U71+Forudsætninger!$D$69</f>
        <v>5.879701477836381</v>
      </c>
      <c r="W71">
        <f t="shared" si="33"/>
        <v>0</v>
      </c>
      <c r="X71">
        <f>IF(A71+Forudsætninger!$D$60&gt;248,IF(A71+Forudsætninger!$D$60&lt;365,IF(K71&gt;180,IF(K71&lt;260,1,0),0),0),0)</f>
        <v>0</v>
      </c>
      <c r="Y71" s="22">
        <f>IF(X71=0,0,IF('Vækstfunktion, kry tyr'!A71&lt;Forudsætninger!$D$66,Forudsætninger!$D$67+(('Vækstfunktion, kry tyr'!A71-Forudsætninger!$D$66)/7)*Forudsætninger!$D$64,Forudsætninger!$D$67))</f>
        <v>0</v>
      </c>
      <c r="Z71" s="19">
        <f t="shared" si="46"/>
        <v>1039.1481151439318</v>
      </c>
      <c r="AA71" s="19">
        <f>Forudsætninger!$D$62+Forudsætninger!$C$16</f>
        <v>2055</v>
      </c>
      <c r="AB71" s="19">
        <f>IF(K71&gt;Forudsætninger!$C$37,IF(K71&gt;Forudsætninger!$C$38,IF(K71&gt;Forudsætninger!$C$39,Forudsætninger!$E$39,Forudsætninger!$E$38+Forudsætninger!$F$39*(K71-Forudsætninger!$C$38)),Forudsætninger!$E$37+Forudsætninger!$F$38*(K71-Forudsætninger!$C$37)),Forudsætninger!$E$37)+IF(K71&gt;Forudsætninger!$C$39,Forudsætninger!$G$39,IF(K71&gt;Forudsætninger!$C$38,Forudsætninger!$G$38+Forudsætninger!$H$39*(K71-Forudsætninger!$C$38),IF(K71&gt;Forudsætninger!$C$37,Forudsætninger!$G$37+Forudsætninger!$H$38*(K71-Forudsætninger!$C$37),Forudsætninger!$G$37)))*(U71-Forudsætninger!$H$37)</f>
        <v>35.187970147783638</v>
      </c>
      <c r="AC71" s="19">
        <f>IF(K71&gt;Forudsætninger!$C$42,IF(K71&gt;Forudsætninger!$C$43,IF(K71&gt;Forudsætninger!$C$44,Forudsætninger!$E$44,Forudsætninger!$E$43+Forudsætninger!$F$44*(K71-Forudsætninger!$C$43)),Forudsætninger!$E$42+Forudsætninger!$F$43*(K71-Forudsætninger!$C$42)),Forudsætninger!$E$42)+IF(K71&gt;Forudsætninger!$C$44,Forudsætninger!$G$44,IF(K71&gt;Forudsætninger!$C$43,Forudsætninger!$G$43+Forudsætninger!$H$44*(K71-Forudsætninger!$C$43),IF(K71&gt;Forudsætninger!$C$42,Forudsætninger!$G$42+Forudsætninger!$H$43*(K71-Forudsætninger!$C$42),Forudsætninger!$G$42)))*(V71-Forudsætninger!$H$42)</f>
        <v>30.119925369459093</v>
      </c>
      <c r="AD71" s="19">
        <f t="shared" si="34"/>
        <v>2229.1479556502595</v>
      </c>
      <c r="AE71" s="19">
        <f t="shared" si="35"/>
        <v>30.119925369459093</v>
      </c>
      <c r="AF71">
        <f>IF(G71&lt;=Forudsætninger!$C$97,Forudsætninger!$C$98,(IF(G71&lt;=Forudsætninger!$D$97,Forudsætninger!$D$98,IF(G71&lt;=Forudsætninger!$E$97,Forudsætninger!$E$98,IF(G71&lt;=Forudsætninger!$F$97,Forudsætninger!$F$98,IF(G71&lt;=Forudsætninger!$G$97,Forudsætninger!$G$98,IF(G71&lt;=Forudsætninger!$H$97,Forudsætninger!$H$98,IF(G71&lt;=Forudsætninger!$I$97,Forudsætninger!$I$98,Forudsætninger!$I$98))))))))</f>
        <v>2.2000000000000002</v>
      </c>
      <c r="AG71" s="1">
        <f t="shared" si="43"/>
        <v>2.2000000000000002</v>
      </c>
      <c r="AH71" s="1">
        <f t="shared" si="47"/>
        <v>151.79999999999998</v>
      </c>
      <c r="AI71" s="1">
        <f t="shared" si="36"/>
        <v>2.1999999999999997</v>
      </c>
      <c r="AJ71" s="20">
        <f>+(W71*Forudsætninger!$C$12)</f>
        <v>0</v>
      </c>
      <c r="AK71" s="20">
        <f>Forudsætninger!$C$17</f>
        <v>250</v>
      </c>
      <c r="AL71" s="20">
        <f>IF(A71&lt;92,Forudsætninger!$C$20,Forudsætninger!$C$21)</f>
        <v>4.0072859744990899</v>
      </c>
      <c r="AM71" s="20">
        <f t="shared" si="44"/>
        <v>276.50273224043741</v>
      </c>
      <c r="AN71" s="19">
        <f>IFERROR(AD71+AJ71-AA71-Z71-AK71-AM71-Forudsætninger!$D$75,-99999)</f>
        <v>-1609.39486543507</v>
      </c>
      <c r="AO71" s="57">
        <f>IFERROR(AN71/(A71+Forudsætninger!$D$74),-99999)</f>
        <v>-23.324563267174927</v>
      </c>
      <c r="AP71" s="19">
        <f>IFERROR(((365/(A71+Forudsætninger!$D$74))*AN71)/(AI71+Forudsætninger!$D$73),-99999)</f>
        <v>-3685.4829404843508</v>
      </c>
      <c r="AQ71" s="18">
        <f t="shared" si="48"/>
        <v>69</v>
      </c>
      <c r="AR71" s="18">
        <f t="shared" si="49"/>
        <v>3620.6508473843696</v>
      </c>
      <c r="AS71" s="50">
        <f t="shared" si="50"/>
        <v>3.4</v>
      </c>
      <c r="AT71" s="50">
        <f t="shared" si="51"/>
        <v>6.4959540391337214</v>
      </c>
      <c r="AU71" s="50">
        <f t="shared" si="52"/>
        <v>0.43853701921042187</v>
      </c>
      <c r="AV71" s="2">
        <f t="shared" si="53"/>
        <v>69.292645892555356</v>
      </c>
      <c r="AW71" s="16">
        <f t="shared" si="45"/>
        <v>-19.317277292675836</v>
      </c>
      <c r="AZ71" s="16"/>
      <c r="BA71" s="2"/>
    </row>
    <row r="72" spans="1:53" x14ac:dyDescent="0.25">
      <c r="A72">
        <v>70</v>
      </c>
      <c r="B72" s="1">
        <f>ROUND((A72+Forudsætninger!$D$60)/30.4,1)</f>
        <v>3.4</v>
      </c>
      <c r="C72" s="1">
        <f>VLOOKUP((A72+Forudsætninger!$D$60),'Model tilvækst, slagteform, fe'!A:C,3,FALSE)</f>
        <v>166.52144029493317</v>
      </c>
      <c r="D72" s="3">
        <f t="shared" si="54"/>
        <v>1689.5113056764046</v>
      </c>
      <c r="E72" s="3">
        <f>(1+Forudsætninger!$D$78)*C72</f>
        <v>139.87800984774387</v>
      </c>
      <c r="F72" s="2">
        <f t="shared" si="29"/>
        <v>7.2411804757608369</v>
      </c>
      <c r="G72" s="1">
        <f t="shared" si="30"/>
        <v>147.11919032350471</v>
      </c>
      <c r="H72" s="3">
        <f t="shared" si="37"/>
        <v>1334.713931484373</v>
      </c>
      <c r="I72" s="3">
        <f t="shared" si="38"/>
        <v>1073.1312903357816</v>
      </c>
      <c r="J72" s="1">
        <f>VLOOKUP((A72+Forudsætninger!$D$60),'Model tilvækst, slagteform, fe'!G:K,3,FALSE)*(1+Forudsætninger!$D$79)</f>
        <v>50.789301056547906</v>
      </c>
      <c r="K72" s="17">
        <f t="shared" si="31"/>
        <v>74.720808485360507</v>
      </c>
      <c r="L72" s="17">
        <f t="shared" si="39"/>
        <v>711.72883768767292</v>
      </c>
      <c r="M72" s="3">
        <f>((K72-(('Model tilvækst, slagteform, fe'!$I$9/100)*'Model tilvækst, slagteform, fe'!$C$9))*1000/(A72+Forudsætninger!$D$60))</f>
        <v>509.63697624029982</v>
      </c>
      <c r="N72" s="17">
        <f t="shared" si="40"/>
        <v>210.88152827097636</v>
      </c>
      <c r="O72" s="19">
        <f>IF( A72&lt;Forudsætninger!$C$14,(G72/100)*Forudsætninger!$C$13,(Forudsætninger!$C$15/1000)*Forudsætninger!$C$13)</f>
        <v>0.95627473710278066</v>
      </c>
      <c r="P72" s="17" cm="1">
        <f t="array" ref="P72">INDEX('Model tilvækst, slagteform, fe'!$O$9:$O$375,MATCH(MIN(ABS('Model tilvækst, slagteform, fe'!$M$9:$M$375-G72)),ABS('Model tilvækst, slagteform, fe'!$M$9:$M$375-G72),0))*(1+Forudsætninger!$D$80)</f>
        <v>4.3212521622034528</v>
      </c>
      <c r="Q72" s="17">
        <f t="shared" si="41"/>
        <v>6.0714866861973951</v>
      </c>
      <c r="R72" s="17">
        <f t="shared" si="42"/>
        <v>5.3037085498351786</v>
      </c>
      <c r="S72" s="2">
        <f t="shared" si="32"/>
        <v>2.8072923491694208</v>
      </c>
      <c r="T72" s="19">
        <f>(P72)*IF(N72&lt;Forudsætninger!$B$228,IF(N72&lt;Forudsætninger!$B$227,Forudsætninger!$B$225,Forudsætninger!$C$9),Forudsætninger!$C$11)+O72</f>
        <v>11.06800479665886</v>
      </c>
      <c r="U72" s="2">
        <f>Forudsætninger!$D$68+((K72-(Forudsætninger!$D$84)))*0.01</f>
        <v>5.8868187662132581</v>
      </c>
      <c r="V72" s="2">
        <f>U72+Forudsætninger!$D$69</f>
        <v>5.8868187662132581</v>
      </c>
      <c r="W72">
        <f t="shared" si="33"/>
        <v>0</v>
      </c>
      <c r="X72">
        <f>IF(A72+Forudsætninger!$D$60&gt;248,IF(A72+Forudsætninger!$D$60&lt;365,IF(K72&gt;180,IF(K72&lt;260,1,0),0),0),0)</f>
        <v>0</v>
      </c>
      <c r="Y72" s="22">
        <f>IF(X72=0,0,IF('Vækstfunktion, kry tyr'!A72&lt;Forudsætninger!$D$66,Forudsætninger!$D$67+(('Vækstfunktion, kry tyr'!A72-Forudsætninger!$D$66)/7)*Forudsætninger!$D$64,Forudsætninger!$D$67))</f>
        <v>0</v>
      </c>
      <c r="Z72" s="19">
        <f t="shared" si="46"/>
        <v>1050.2161199405907</v>
      </c>
      <c r="AA72" s="19">
        <f>Forudsætninger!$D$62+Forudsætninger!$C$16</f>
        <v>2055</v>
      </c>
      <c r="AB72" s="19">
        <f>IF(K72&gt;Forudsætninger!$C$37,IF(K72&gt;Forudsætninger!$C$38,IF(K72&gt;Forudsætninger!$C$39,Forudsætninger!$E$39,Forudsætninger!$E$38+Forudsætninger!$F$39*(K72-Forudsætninger!$C$38)),Forudsætninger!$E$37+Forudsætninger!$F$38*(K72-Forudsætninger!$C$37)),Forudsætninger!$E$37)+IF(K72&gt;Forudsætninger!$C$39,Forudsætninger!$G$39,IF(K72&gt;Forudsætninger!$C$38,Forudsætninger!$G$38+Forudsætninger!$H$39*(K72-Forudsætninger!$C$38),IF(K72&gt;Forudsætninger!$C$37,Forudsætninger!$G$37+Forudsætninger!$H$38*(K72-Forudsætninger!$C$37),Forudsætninger!$G$37)))*(U72-Forudsætninger!$H$37)</f>
        <v>35.188681876621324</v>
      </c>
      <c r="AC72" s="19">
        <f>IF(K72&gt;Forudsætninger!$C$42,IF(K72&gt;Forudsætninger!$C$43,IF(K72&gt;Forudsætninger!$C$44,Forudsætninger!$E$44,Forudsætninger!$E$43+Forudsætninger!$F$44*(K72-Forudsætninger!$C$43)),Forudsætninger!$E$42+Forudsætninger!$F$43*(K72-Forudsætninger!$C$42)),Forudsætninger!$E$42)+IF(K72&gt;Forudsætninger!$C$44,Forudsætninger!$G$44,IF(K72&gt;Forudsætninger!$C$43,Forudsætninger!$G$43+Forudsætninger!$H$44*(K72-Forudsætninger!$C$43),IF(K72&gt;Forudsætninger!$C$42,Forudsætninger!$G$42+Forudsætninger!$H$43*(K72-Forudsætninger!$C$42),Forudsætninger!$G$42)))*(V72-Forudsætninger!$H$42)</f>
        <v>30.121704691553312</v>
      </c>
      <c r="AD72" s="19">
        <f t="shared" si="34"/>
        <v>2250.7181275101402</v>
      </c>
      <c r="AE72" s="19">
        <f t="shared" si="35"/>
        <v>30.121704691553312</v>
      </c>
      <c r="AF72">
        <f>IF(G72&lt;=Forudsætninger!$C$97,Forudsætninger!$C$98,(IF(G72&lt;=Forudsætninger!$D$97,Forudsætninger!$D$98,IF(G72&lt;=Forudsætninger!$E$97,Forudsætninger!$E$98,IF(G72&lt;=Forudsætninger!$F$97,Forudsætninger!$F$98,IF(G72&lt;=Forudsætninger!$G$97,Forudsætninger!$G$98,IF(G72&lt;=Forudsætninger!$H$97,Forudsætninger!$H$98,IF(G72&lt;=Forudsætninger!$I$97,Forudsætninger!$I$98,Forudsætninger!$I$98))))))))</f>
        <v>2.2000000000000002</v>
      </c>
      <c r="AG72" s="1">
        <f t="shared" si="43"/>
        <v>2.2000000000000002</v>
      </c>
      <c r="AH72" s="1">
        <f t="shared" si="47"/>
        <v>153.99999999999997</v>
      </c>
      <c r="AI72" s="1">
        <f t="shared" si="36"/>
        <v>2.1999999999999997</v>
      </c>
      <c r="AJ72" s="20">
        <f>+(W72*Forudsætninger!$C$12)</f>
        <v>0</v>
      </c>
      <c r="AK72" s="20">
        <f>Forudsætninger!$C$17</f>
        <v>250</v>
      </c>
      <c r="AL72" s="20">
        <f>IF(A72&lt;92,Forudsætninger!$C$20,Forudsætninger!$C$21)</f>
        <v>4.0072859744990899</v>
      </c>
      <c r="AM72" s="20">
        <f t="shared" si="44"/>
        <v>280.51001821493651</v>
      </c>
      <c r="AN72" s="19">
        <f>IFERROR(AD72+AJ72-AA72-Z72-AK72-AM72-Forudsætninger!$D$75,-99999)</f>
        <v>-1602.8999843463473</v>
      </c>
      <c r="AO72" s="57">
        <f>IFERROR(AN72/(A72+Forudsætninger!$D$74),-99999)</f>
        <v>-22.898571204947817</v>
      </c>
      <c r="AP72" s="19">
        <f>IFERROR(((365/(A72+Forudsætninger!$D$74))*AN72)/(AI72+Forudsætninger!$D$73),-99999)</f>
        <v>-3618.1725064095044</v>
      </c>
      <c r="AQ72" s="18">
        <f t="shared" si="48"/>
        <v>70</v>
      </c>
      <c r="AR72" s="18">
        <f t="shared" si="49"/>
        <v>3635.7261381555272</v>
      </c>
      <c r="AS72" s="50">
        <f t="shared" si="50"/>
        <v>3.4</v>
      </c>
      <c r="AT72" s="50">
        <f t="shared" si="51"/>
        <v>6.49488108872265</v>
      </c>
      <c r="AU72" s="50">
        <f t="shared" si="52"/>
        <v>0.42599206222710961</v>
      </c>
      <c r="AV72" s="2">
        <f t="shared" si="53"/>
        <v>67.310434074846398</v>
      </c>
      <c r="AW72" s="16">
        <f t="shared" si="45"/>
        <v>-18.891285230448727</v>
      </c>
      <c r="AZ72" s="16"/>
      <c r="BA72" s="2"/>
    </row>
    <row r="73" spans="1:53" x14ac:dyDescent="0.25">
      <c r="A73">
        <v>71</v>
      </c>
      <c r="B73" s="1">
        <f>ROUND((A73+Forudsætninger!$D$60)/30.4,1)</f>
        <v>3.5</v>
      </c>
      <c r="C73" s="1">
        <f>VLOOKUP((A73+Forudsætninger!$D$60),'Model tilvækst, slagteform, fe'!A:C,3,FALSE)</f>
        <v>168.21673462594106</v>
      </c>
      <c r="D73" s="3">
        <f t="shared" si="54"/>
        <v>1695.2943310078865</v>
      </c>
      <c r="E73" s="3">
        <f>(1+Forudsætninger!$D$78)*C73</f>
        <v>141.30205708579049</v>
      </c>
      <c r="F73" s="2">
        <f t="shared" si="29"/>
        <v>7.1564157592104429</v>
      </c>
      <c r="G73" s="1">
        <f t="shared" si="30"/>
        <v>148.45847284500093</v>
      </c>
      <c r="H73" s="3">
        <f t="shared" si="37"/>
        <v>1339.2825214962158</v>
      </c>
      <c r="I73" s="3">
        <f t="shared" si="38"/>
        <v>1076.8798992253651</v>
      </c>
      <c r="J73" s="1">
        <f>VLOOKUP((A73+Forudsætninger!$D$60),'Model tilvækst, slagteform, fe'!G:K,3,FALSE)*(1+Forudsætninger!$D$79)</f>
        <v>50.812430634259684</v>
      </c>
      <c r="K73" s="17">
        <f t="shared" si="31"/>
        <v>75.435358535047342</v>
      </c>
      <c r="L73" s="17">
        <f t="shared" si="39"/>
        <v>714.55004968683511</v>
      </c>
      <c r="M73" s="3">
        <f>((K73-(('Model tilvækst, slagteform, fe'!$I$9/100)*'Model tilvækst, slagteform, fe'!$C$9))*1000/(A73+Forudsætninger!$D$60))</f>
        <v>511.58852932074302</v>
      </c>
      <c r="N73" s="17">
        <f t="shared" si="40"/>
        <v>215.23739111432437</v>
      </c>
      <c r="O73" s="19">
        <f>IF( A73&lt;Forudsætninger!$C$14,(G73/100)*Forudsætninger!$C$13,(Forudsætninger!$C$15/1000)*Forudsætninger!$C$13)</f>
        <v>0.96498007349250614</v>
      </c>
      <c r="P73" s="17" cm="1">
        <f t="array" ref="P73">INDEX('Model tilvækst, slagteform, fe'!$O$9:$O$375,MATCH(MIN(ABS('Model tilvækst, slagteform, fe'!$M$9:$M$375-G73)),ABS('Model tilvækst, slagteform, fe'!$M$9:$M$375-G73),0))*(1+Forudsætninger!$D$80)</f>
        <v>4.3558628433480173</v>
      </c>
      <c r="Q73" s="17">
        <f t="shared" si="41"/>
        <v>6.0959520543831118</v>
      </c>
      <c r="R73" s="17">
        <f t="shared" si="42"/>
        <v>5.3176946623749313</v>
      </c>
      <c r="S73" s="2">
        <f t="shared" si="32"/>
        <v>2.8150888071052704</v>
      </c>
      <c r="T73" s="19">
        <f>(P73)*IF(N73&lt;Forudsætninger!$B$228,IF(N73&lt;Forudsætninger!$B$227,Forudsætninger!$B$225,Forudsætninger!$C$9),Forudsætninger!$C$11)+O73</f>
        <v>11.157699126926866</v>
      </c>
      <c r="U73" s="2">
        <f>Forudsætninger!$D$68+((K73-(Forudsætninger!$D$84)))*0.01</f>
        <v>5.8939642667101255</v>
      </c>
      <c r="V73" s="2">
        <f>U73+Forudsætninger!$D$69</f>
        <v>5.8939642667101255</v>
      </c>
      <c r="W73">
        <f t="shared" si="33"/>
        <v>0</v>
      </c>
      <c r="X73">
        <f>IF(A73+Forudsætninger!$D$60&gt;248,IF(A73+Forudsætninger!$D$60&lt;365,IF(K73&gt;180,IF(K73&lt;260,1,0),0),0),0)</f>
        <v>0</v>
      </c>
      <c r="Y73" s="22">
        <f>IF(X73=0,0,IF('Vækstfunktion, kry tyr'!A73&lt;Forudsætninger!$D$66,Forudsætninger!$D$67+(('Vækstfunktion, kry tyr'!A73-Forudsætninger!$D$66)/7)*Forudsætninger!$D$64,Forudsætninger!$D$67))</f>
        <v>0</v>
      </c>
      <c r="Z73" s="19">
        <f t="shared" si="46"/>
        <v>1061.3738190675176</v>
      </c>
      <c r="AA73" s="19">
        <f>Forudsætninger!$D$62+Forudsætninger!$C$16</f>
        <v>2055</v>
      </c>
      <c r="AB73" s="19">
        <f>IF(K73&gt;Forudsætninger!$C$37,IF(K73&gt;Forudsætninger!$C$38,IF(K73&gt;Forudsætninger!$C$39,Forudsætninger!$E$39,Forudsætninger!$E$38+Forudsætninger!$F$39*(K73-Forudsætninger!$C$38)),Forudsætninger!$E$37+Forudsætninger!$F$38*(K73-Forudsætninger!$C$37)),Forudsætninger!$E$37)+IF(K73&gt;Forudsætninger!$C$39,Forudsætninger!$G$39,IF(K73&gt;Forudsætninger!$C$38,Forudsætninger!$G$38+Forudsætninger!$H$39*(K73-Forudsætninger!$C$38),IF(K73&gt;Forudsætninger!$C$37,Forudsætninger!$G$37+Forudsætninger!$H$38*(K73-Forudsætninger!$C$37),Forudsætninger!$G$37)))*(U73-Forudsætninger!$H$37)</f>
        <v>35.18939642667101</v>
      </c>
      <c r="AC73" s="19">
        <f>IF(K73&gt;Forudsætninger!$C$42,IF(K73&gt;Forudsætninger!$C$43,IF(K73&gt;Forudsætninger!$C$44,Forudsætninger!$E$44,Forudsætninger!$E$43+Forudsætninger!$F$44*(K73-Forudsætninger!$C$43)),Forudsætninger!$E$42+Forudsætninger!$F$43*(K73-Forudsætninger!$C$42)),Forudsætninger!$E$42)+IF(K73&gt;Forudsætninger!$C$44,Forudsætninger!$G$44,IF(K73&gt;Forudsætninger!$C$43,Forudsætninger!$G$43+Forudsætninger!$H$44*(K73-Forudsætninger!$C$43),IF(K73&gt;Forudsætninger!$C$42,Forudsætninger!$G$42+Forudsætninger!$H$43*(K73-Forudsætninger!$C$42),Forudsætninger!$G$42)))*(V73-Forudsætninger!$H$42)</f>
        <v>30.123491066677531</v>
      </c>
      <c r="AD73" s="19">
        <f t="shared" si="34"/>
        <v>2272.3763489421153</v>
      </c>
      <c r="AE73" s="19">
        <f t="shared" si="35"/>
        <v>30.123491066677531</v>
      </c>
      <c r="AF73">
        <f>IF(G73&lt;=Forudsætninger!$C$97,Forudsætninger!$C$98,(IF(G73&lt;=Forudsætninger!$D$97,Forudsætninger!$D$98,IF(G73&lt;=Forudsætninger!$E$97,Forudsætninger!$E$98,IF(G73&lt;=Forudsætninger!$F$97,Forudsætninger!$F$98,IF(G73&lt;=Forudsætninger!$G$97,Forudsætninger!$G$98,IF(G73&lt;=Forudsætninger!$H$97,Forudsætninger!$H$98,IF(G73&lt;=Forudsætninger!$I$97,Forudsætninger!$I$98,Forudsætninger!$I$98))))))))</f>
        <v>2.2000000000000002</v>
      </c>
      <c r="AG73" s="1">
        <f t="shared" si="43"/>
        <v>2.2000000000000002</v>
      </c>
      <c r="AH73" s="1">
        <f t="shared" si="47"/>
        <v>156.19999999999996</v>
      </c>
      <c r="AI73" s="1">
        <f t="shared" si="36"/>
        <v>2.1999999999999993</v>
      </c>
      <c r="AJ73" s="20">
        <f>+(W73*Forudsætninger!$C$12)</f>
        <v>0</v>
      </c>
      <c r="AK73" s="20">
        <f>Forudsætninger!$C$17</f>
        <v>250</v>
      </c>
      <c r="AL73" s="20">
        <f>IF(A73&lt;92,Forudsætninger!$C$20,Forudsætninger!$C$21)</f>
        <v>4.0072859744990899</v>
      </c>
      <c r="AM73" s="20">
        <f t="shared" si="44"/>
        <v>284.51730418943561</v>
      </c>
      <c r="AN73" s="19">
        <f>IFERROR(AD73+AJ73-AA73-Z73-AK73-AM73-Forudsætninger!$D$75,-99999)</f>
        <v>-1596.4067480157983</v>
      </c>
      <c r="AO73" s="57">
        <f>IFERROR(AN73/(A73+Forudsætninger!$D$74),-99999)</f>
        <v>-22.484602084729552</v>
      </c>
      <c r="AP73" s="19">
        <f>IFERROR(((365/(A73+Forudsætninger!$D$74))*AN73)/(AI73+Forudsætninger!$D$73),-99999)</f>
        <v>-3552.7618012667922</v>
      </c>
      <c r="AQ73" s="18">
        <f t="shared" si="48"/>
        <v>71</v>
      </c>
      <c r="AR73" s="18">
        <f t="shared" si="49"/>
        <v>3650.8911232569531</v>
      </c>
      <c r="AS73" s="50">
        <f t="shared" si="50"/>
        <v>3.5</v>
      </c>
      <c r="AT73" s="50">
        <f t="shared" si="51"/>
        <v>6.4932363305490526</v>
      </c>
      <c r="AU73" s="50">
        <f t="shared" si="52"/>
        <v>0.41396912021826537</v>
      </c>
      <c r="AV73" s="2">
        <f t="shared" si="53"/>
        <v>65.410705142712231</v>
      </c>
      <c r="AW73" s="16">
        <f t="shared" si="45"/>
        <v>-18.477316110230458</v>
      </c>
      <c r="AZ73" s="16"/>
      <c r="BA73" s="2"/>
    </row>
    <row r="74" spans="1:53" x14ac:dyDescent="0.25">
      <c r="A74">
        <v>72</v>
      </c>
      <c r="B74" s="1">
        <f>ROUND((A74+Forudsætninger!$D$60)/30.4,1)</f>
        <v>3.5</v>
      </c>
      <c r="C74" s="1">
        <f>VLOOKUP((A74+Forudsætninger!$D$60),'Model tilvækst, slagteform, fe'!A:C,3,FALSE)</f>
        <v>169.91769815031824</v>
      </c>
      <c r="D74" s="3">
        <f t="shared" si="54"/>
        <v>1700.9635243771868</v>
      </c>
      <c r="E74" s="3">
        <f>(1+Forudsætninger!$D$78)*C74</f>
        <v>142.73086644626733</v>
      </c>
      <c r="F74" s="2">
        <f t="shared" si="29"/>
        <v>7.0713675829915834</v>
      </c>
      <c r="G74" s="1">
        <f t="shared" si="30"/>
        <v>149.8022340292589</v>
      </c>
      <c r="H74" s="3">
        <f t="shared" si="37"/>
        <v>1343.7611842579713</v>
      </c>
      <c r="I74" s="3">
        <f t="shared" si="38"/>
        <v>1080.5865837397068</v>
      </c>
      <c r="J74" s="1">
        <f>VLOOKUP((A74+Forudsætninger!$D$60),'Model tilvækst, slagteform, fe'!G:K,3,FALSE)*(1+Forudsætninger!$D$79)</f>
        <v>50.83549058052288</v>
      </c>
      <c r="K74" s="17">
        <f t="shared" si="31"/>
        <v>76.152700569356753</v>
      </c>
      <c r="L74" s="17">
        <f t="shared" si="39"/>
        <v>717.34203430941079</v>
      </c>
      <c r="M74" s="3">
        <f>((K74-(('Model tilvækst, slagteform, fe'!$I$9/100)*'Model tilvækst, slagteform, fe'!$C$9))*1000/(A74+Forudsætninger!$D$60))</f>
        <v>513.52960012252288</v>
      </c>
      <c r="N74" s="17">
        <f t="shared" si="40"/>
        <v>219.62771802755694</v>
      </c>
      <c r="O74" s="19">
        <f>IF( A74&lt;Forudsætninger!$C$14,(G74/100)*Forudsætninger!$C$13,(Forudsætninger!$C$15/1000)*Forudsætninger!$C$13)</f>
        <v>0.97371452119018287</v>
      </c>
      <c r="P74" s="17" cm="1">
        <f t="array" ref="P74">INDEX('Model tilvækst, slagteform, fe'!$O$9:$O$375,MATCH(MIN(ABS('Model tilvækst, slagteform, fe'!$M$9:$M$375-G74)),ABS('Model tilvækst, slagteform, fe'!$M$9:$M$375-G74),0))*(1+Forudsætninger!$D$80)</f>
        <v>4.3903269132325802</v>
      </c>
      <c r="Q74" s="17">
        <f t="shared" si="41"/>
        <v>6.1202699733874821</v>
      </c>
      <c r="R74" s="17">
        <f t="shared" si="42"/>
        <v>5.3316708349905086</v>
      </c>
      <c r="S74" s="2">
        <f t="shared" si="32"/>
        <v>2.8228973212383859</v>
      </c>
      <c r="T74" s="19">
        <f>(P74)*IF(N74&lt;Forudsætninger!$B$228,IF(N74&lt;Forudsætninger!$B$227,Forudsætninger!$B$225,Forudsætninger!$C$9),Forudsætninger!$C$11)+O74</f>
        <v>11.24707949815442</v>
      </c>
      <c r="U74" s="2">
        <f>Forudsætninger!$D$68+((K74-(Forudsætninger!$D$84)))*0.01</f>
        <v>5.9011376870532199</v>
      </c>
      <c r="V74" s="2">
        <f>U74+Forudsætninger!$D$69</f>
        <v>5.9011376870532199</v>
      </c>
      <c r="W74">
        <f t="shared" si="33"/>
        <v>0</v>
      </c>
      <c r="X74">
        <f>IF(A74+Forudsætninger!$D$60&gt;248,IF(A74+Forudsætninger!$D$60&lt;365,IF(K74&gt;180,IF(K74&lt;260,1,0),0),0),0)</f>
        <v>0</v>
      </c>
      <c r="Y74" s="22">
        <f>IF(X74=0,0,IF('Vækstfunktion, kry tyr'!A74&lt;Forudsætninger!$D$66,Forudsætninger!$D$67+(('Vækstfunktion, kry tyr'!A74-Forudsætninger!$D$66)/7)*Forudsætninger!$D$64,Forudsætninger!$D$67))</f>
        <v>0</v>
      </c>
      <c r="Z74" s="19">
        <f t="shared" si="46"/>
        <v>1072.620898565672</v>
      </c>
      <c r="AA74" s="19">
        <f>Forudsætninger!$D$62+Forudsætninger!$C$16</f>
        <v>2055</v>
      </c>
      <c r="AB74" s="19">
        <f>IF(K74&gt;Forudsætninger!$C$37,IF(K74&gt;Forudsætninger!$C$38,IF(K74&gt;Forudsætninger!$C$39,Forudsætninger!$E$39,Forudsætninger!$E$38+Forudsætninger!$F$39*(K74-Forudsætninger!$C$38)),Forudsætninger!$E$37+Forudsætninger!$F$38*(K74-Forudsætninger!$C$37)),Forudsætninger!$E$37)+IF(K74&gt;Forudsætninger!$C$39,Forudsætninger!$G$39,IF(K74&gt;Forudsætninger!$C$38,Forudsætninger!$G$38+Forudsætninger!$H$39*(K74-Forudsætninger!$C$38),IF(K74&gt;Forudsætninger!$C$37,Forudsætninger!$G$37+Forudsætninger!$H$38*(K74-Forudsætninger!$C$37),Forudsætninger!$G$37)))*(U74-Forudsætninger!$H$37)</f>
        <v>35.190113768705324</v>
      </c>
      <c r="AC74" s="19">
        <f>IF(K74&gt;Forudsætninger!$C$42,IF(K74&gt;Forudsætninger!$C$43,IF(K74&gt;Forudsætninger!$C$44,Forudsætninger!$E$44,Forudsætninger!$E$43+Forudsætninger!$F$44*(K74-Forudsætninger!$C$43)),Forudsætninger!$E$42+Forudsætninger!$F$43*(K74-Forudsætninger!$C$42)),Forudsætninger!$E$42)+IF(K74&gt;Forudsætninger!$C$44,Forudsætninger!$G$44,IF(K74&gt;Forudsætninger!$C$43,Forudsætninger!$G$43+Forudsætninger!$H$44*(K74-Forudsætninger!$C$43),IF(K74&gt;Forudsætninger!$C$42,Forudsætninger!$G$42+Forudsætninger!$H$43*(K74-Forudsætninger!$C$42),Forudsætninger!$G$42)))*(V74-Forudsætninger!$H$42)</f>
        <v>30.125284421763304</v>
      </c>
      <c r="AD74" s="19">
        <f t="shared" si="34"/>
        <v>2294.1217641372486</v>
      </c>
      <c r="AE74" s="19">
        <f t="shared" si="35"/>
        <v>30.125284421763308</v>
      </c>
      <c r="AF74">
        <f>IF(G74&lt;=Forudsætninger!$C$97,Forudsætninger!$C$98,(IF(G74&lt;=Forudsætninger!$D$97,Forudsætninger!$D$98,IF(G74&lt;=Forudsætninger!$E$97,Forudsætninger!$E$98,IF(G74&lt;=Forudsætninger!$F$97,Forudsætninger!$F$98,IF(G74&lt;=Forudsætninger!$G$97,Forudsætninger!$G$98,IF(G74&lt;=Forudsætninger!$H$97,Forudsætninger!$H$98,IF(G74&lt;=Forudsætninger!$I$97,Forudsætninger!$I$98,Forudsætninger!$I$98))))))))</f>
        <v>2.2000000000000002</v>
      </c>
      <c r="AG74" s="1">
        <f t="shared" si="43"/>
        <v>2.2000000000000002</v>
      </c>
      <c r="AH74" s="1">
        <f t="shared" si="47"/>
        <v>158.39999999999995</v>
      </c>
      <c r="AI74" s="1">
        <f t="shared" si="36"/>
        <v>2.1999999999999993</v>
      </c>
      <c r="AJ74" s="20">
        <f>+(W74*Forudsætninger!$C$12)</f>
        <v>0</v>
      </c>
      <c r="AK74" s="20">
        <f>Forudsætninger!$C$17</f>
        <v>250</v>
      </c>
      <c r="AL74" s="20">
        <f>IF(A74&lt;92,Forudsætninger!$C$20,Forudsætninger!$C$21)</f>
        <v>4.0072859744990899</v>
      </c>
      <c r="AM74" s="20">
        <f t="shared" si="44"/>
        <v>288.5245901639347</v>
      </c>
      <c r="AN74" s="19">
        <f>IFERROR(AD74+AJ74-AA74-Z74-AK74-AM74-Forudsætninger!$D$75,-99999)</f>
        <v>-1589.9156982933184</v>
      </c>
      <c r="AO74" s="57">
        <f>IFERROR(AN74/(A74+Forudsætninger!$D$74),-99999)</f>
        <v>-22.082162476296091</v>
      </c>
      <c r="AP74" s="19">
        <f>IFERROR(((365/(A74+Forudsætninger!$D$74))*AN74)/(AI74+Forudsætninger!$D$73),-99999)</f>
        <v>-3489.1728588086908</v>
      </c>
      <c r="AQ74" s="18">
        <f t="shared" si="48"/>
        <v>72</v>
      </c>
      <c r="AR74" s="18">
        <f t="shared" si="49"/>
        <v>3666.1454887296068</v>
      </c>
      <c r="AS74" s="50">
        <f t="shared" si="50"/>
        <v>3.5</v>
      </c>
      <c r="AT74" s="50">
        <f t="shared" si="51"/>
        <v>6.4910497224798291</v>
      </c>
      <c r="AU74" s="50">
        <f t="shared" si="52"/>
        <v>0.40243960843346116</v>
      </c>
      <c r="AV74" s="2">
        <f t="shared" si="53"/>
        <v>63.588942458101428</v>
      </c>
      <c r="AW74" s="16">
        <f t="shared" si="45"/>
        <v>-18.074876501796993</v>
      </c>
      <c r="AZ74" s="16"/>
      <c r="BA74" s="2"/>
    </row>
    <row r="75" spans="1:53" x14ac:dyDescent="0.25">
      <c r="A75">
        <v>73</v>
      </c>
      <c r="B75" s="1">
        <f>ROUND((A75+Forudsætninger!$D$60)/30.4,1)</f>
        <v>3.5</v>
      </c>
      <c r="C75" s="1">
        <f>VLOOKUP((A75+Forudsætninger!$D$60),'Model tilvækst, slagteform, fe'!A:C,3,FALSE)</f>
        <v>171.6242176570392</v>
      </c>
      <c r="D75" s="3">
        <f t="shared" si="54"/>
        <v>1706.5195067209515</v>
      </c>
      <c r="E75" s="3">
        <f>(1+Forudsætninger!$D$78)*C75</f>
        <v>144.16434283191293</v>
      </c>
      <c r="F75" s="2">
        <f t="shared" si="29"/>
        <v>6.9860416076555358</v>
      </c>
      <c r="G75" s="1">
        <f t="shared" si="30"/>
        <v>151.15038443956846</v>
      </c>
      <c r="H75" s="3">
        <f t="shared" si="37"/>
        <v>1348.1504103095574</v>
      </c>
      <c r="I75" s="3">
        <f t="shared" si="38"/>
        <v>1084.2518416379241</v>
      </c>
      <c r="J75" s="1">
        <f>VLOOKUP((A75+Forudsætninger!$D$60),'Model tilvækst, slagteform, fe'!G:K,3,FALSE)*(1+Forudsætninger!$D$79)</f>
        <v>50.858491949450581</v>
      </c>
      <c r="K75" s="17">
        <f t="shared" si="31"/>
        <v>76.872806101761526</v>
      </c>
      <c r="L75" s="17">
        <f t="shared" si="39"/>
        <v>720.10553240477293</v>
      </c>
      <c r="M75" s="3">
        <f>((K75-(('Model tilvækst, slagteform, fe'!$I$9/100)*'Model tilvækst, slagteform, fe'!$C$9))*1000/(A75+Forudsætninger!$D$60))</f>
        <v>515.46021631207668</v>
      </c>
      <c r="N75" s="17">
        <f t="shared" si="40"/>
        <v>224.05235923222202</v>
      </c>
      <c r="O75" s="19">
        <f>IF( A75&lt;Forudsætninger!$C$14,(G75/100)*Forudsætninger!$C$13,(Forudsætninger!$C$15/1000)*Forudsætninger!$C$13)</f>
        <v>0.98247749885719493</v>
      </c>
      <c r="P75" s="17" cm="1">
        <f t="array" ref="P75">INDEX('Model tilvækst, slagteform, fe'!$O$9:$O$375,MATCH(MIN(ABS('Model tilvækst, slagteform, fe'!$M$9:$M$375-G75)),ABS('Model tilvækst, slagteform, fe'!$M$9:$M$375-G75),0))*(1+Forudsætninger!$D$80)</f>
        <v>4.4246412046650736</v>
      </c>
      <c r="Q75" s="17">
        <f t="shared" si="41"/>
        <v>6.1444343996207111</v>
      </c>
      <c r="R75" s="17">
        <f t="shared" si="42"/>
        <v>5.3456348446890791</v>
      </c>
      <c r="S75" s="2">
        <f t="shared" si="32"/>
        <v>2.830717258275437</v>
      </c>
      <c r="T75" s="19">
        <f>(P75)*IF(N75&lt;Forudsætninger!$B$228,IF(N75&lt;Forudsætninger!$B$227,Forudsætninger!$B$225,Forudsætninger!$C$9),Forudsætninger!$C$11)+O75</f>
        <v>11.336137917773467</v>
      </c>
      <c r="U75" s="2">
        <f>Forudsætninger!$D$68+((K75-(Forudsætninger!$D$84)))*0.01</f>
        <v>5.9083387423772677</v>
      </c>
      <c r="V75" s="2">
        <f>U75+Forudsætninger!$D$69</f>
        <v>5.9083387423772677</v>
      </c>
      <c r="W75">
        <f t="shared" si="33"/>
        <v>0</v>
      </c>
      <c r="X75">
        <f>IF(A75+Forudsætninger!$D$60&gt;248,IF(A75+Forudsætninger!$D$60&lt;365,IF(K75&gt;180,IF(K75&lt;260,1,0),0),0),0)</f>
        <v>0</v>
      </c>
      <c r="Y75" s="22">
        <f>IF(X75=0,0,IF('Vækstfunktion, kry tyr'!A75&lt;Forudsætninger!$D$66,Forudsætninger!$D$67+(('Vækstfunktion, kry tyr'!A75-Forudsætninger!$D$66)/7)*Forudsætninger!$D$64,Forudsætninger!$D$67))</f>
        <v>0</v>
      </c>
      <c r="Z75" s="19">
        <f t="shared" si="46"/>
        <v>1083.9570364834453</v>
      </c>
      <c r="AA75" s="19">
        <f>Forudsætninger!$D$62+Forudsætninger!$C$16</f>
        <v>2055</v>
      </c>
      <c r="AB75" s="19">
        <f>IF(K75&gt;Forudsætninger!$C$37,IF(K75&gt;Forudsætninger!$C$38,IF(K75&gt;Forudsætninger!$C$39,Forudsætninger!$E$39,Forudsætninger!$E$38+Forudsætninger!$F$39*(K75-Forudsætninger!$C$38)),Forudsætninger!$E$37+Forudsætninger!$F$38*(K75-Forudsætninger!$C$37)),Forudsætninger!$E$37)+IF(K75&gt;Forudsætninger!$C$39,Forudsætninger!$G$39,IF(K75&gt;Forudsætninger!$C$38,Forudsætninger!$G$38+Forudsætninger!$H$39*(K75-Forudsætninger!$C$38),IF(K75&gt;Forudsætninger!$C$37,Forudsætninger!$G$37+Forudsætninger!$H$38*(K75-Forudsætninger!$C$37),Forudsætninger!$G$37)))*(U75-Forudsætninger!$H$37)</f>
        <v>35.190833874237725</v>
      </c>
      <c r="AC75" s="19">
        <f>IF(K75&gt;Forudsætninger!$C$42,IF(K75&gt;Forudsætninger!$C$43,IF(K75&gt;Forudsætninger!$C$44,Forudsætninger!$E$44,Forudsætninger!$E$43+Forudsætninger!$F$44*(K75-Forudsætninger!$C$43)),Forudsætninger!$E$42+Forudsætninger!$F$43*(K75-Forudsætninger!$C$42)),Forudsætninger!$E$42)+IF(K75&gt;Forudsætninger!$C$44,Forudsætninger!$G$44,IF(K75&gt;Forudsætninger!$C$43,Forudsætninger!$G$43+Forudsætninger!$H$44*(K75-Forudsætninger!$C$43),IF(K75&gt;Forudsætninger!$C$42,Forudsætninger!$G$42+Forudsætninger!$H$43*(K75-Forudsætninger!$C$42),Forudsætninger!$G$42)))*(V75-Forudsætninger!$H$42)</f>
        <v>30.127084685594316</v>
      </c>
      <c r="AD75" s="19">
        <f t="shared" si="34"/>
        <v>2315.9535394470408</v>
      </c>
      <c r="AE75" s="19">
        <f t="shared" si="35"/>
        <v>30.127084685594316</v>
      </c>
      <c r="AF75">
        <f>IF(G75&lt;=Forudsætninger!$C$97,Forudsætninger!$C$98,(IF(G75&lt;=Forudsætninger!$D$97,Forudsætninger!$D$98,IF(G75&lt;=Forudsætninger!$E$97,Forudsætninger!$E$98,IF(G75&lt;=Forudsætninger!$F$97,Forudsætninger!$F$98,IF(G75&lt;=Forudsætninger!$G$97,Forudsætninger!$G$98,IF(G75&lt;=Forudsætninger!$H$97,Forudsætninger!$H$98,IF(G75&lt;=Forudsætninger!$I$97,Forudsætninger!$I$98,Forudsætninger!$I$98))))))))</f>
        <v>2.2000000000000002</v>
      </c>
      <c r="AG75" s="1">
        <f t="shared" si="43"/>
        <v>2.2000000000000002</v>
      </c>
      <c r="AH75" s="1">
        <f t="shared" si="47"/>
        <v>160.59999999999994</v>
      </c>
      <c r="AI75" s="1">
        <f t="shared" si="36"/>
        <v>2.1999999999999993</v>
      </c>
      <c r="AJ75" s="20">
        <f>+(W75*Forudsætninger!$C$12)</f>
        <v>0</v>
      </c>
      <c r="AK75" s="20">
        <f>Forudsætninger!$C$17</f>
        <v>250</v>
      </c>
      <c r="AL75" s="20">
        <f>IF(A75&lt;92,Forudsætninger!$C$20,Forudsætninger!$C$21)</f>
        <v>4.0072859744990899</v>
      </c>
      <c r="AM75" s="20">
        <f t="shared" si="44"/>
        <v>292.5318761384338</v>
      </c>
      <c r="AN75" s="19">
        <f>IFERROR(AD75+AJ75-AA75-Z75-AK75-AM75-Forudsætninger!$D$75,-99999)</f>
        <v>-1583.4273468757985</v>
      </c>
      <c r="AO75" s="57">
        <f>IFERROR(AN75/(A75+Forudsætninger!$D$74),-99999)</f>
        <v>-21.690785573641076</v>
      </c>
      <c r="AP75" s="19">
        <f>IFERROR(((365/(A75+Forudsætninger!$D$74))*AN75)/(AI75+Forudsætninger!$D$73),-99999)</f>
        <v>-3427.3319196445868</v>
      </c>
      <c r="AQ75" s="18">
        <f t="shared" si="48"/>
        <v>73</v>
      </c>
      <c r="AR75" s="18">
        <f t="shared" si="49"/>
        <v>3681.4889126218791</v>
      </c>
      <c r="AS75" s="50">
        <f t="shared" si="50"/>
        <v>3.5</v>
      </c>
      <c r="AT75" s="50">
        <f t="shared" si="51"/>
        <v>6.4883514175198798</v>
      </c>
      <c r="AU75" s="50">
        <f t="shared" si="52"/>
        <v>0.3913769026550149</v>
      </c>
      <c r="AV75" s="2">
        <f t="shared" si="53"/>
        <v>61.840939164103929</v>
      </c>
      <c r="AW75" s="16">
        <f t="shared" si="45"/>
        <v>-17.683499599141985</v>
      </c>
      <c r="AZ75" s="16"/>
      <c r="BA75" s="2"/>
    </row>
    <row r="76" spans="1:53" x14ac:dyDescent="0.25">
      <c r="A76">
        <v>74</v>
      </c>
      <c r="B76" s="1">
        <f>ROUND((A76+Forudsætninger!$D$60)/30.4,1)</f>
        <v>3.6</v>
      </c>
      <c r="C76" s="1">
        <f>VLOOKUP((A76+Forudsætninger!$D$60),'Model tilvækst, slagteform, fe'!A:C,3,FALSE)</f>
        <v>173.33618055601485</v>
      </c>
      <c r="D76" s="3">
        <f t="shared" si="54"/>
        <v>1711.9628989756563</v>
      </c>
      <c r="E76" s="3">
        <f>(1+Forudsætninger!$D$78)*C76</f>
        <v>145.60239166705247</v>
      </c>
      <c r="F76" s="2">
        <f t="shared" si="29"/>
        <v>6.900443462706753</v>
      </c>
      <c r="G76" s="1">
        <f t="shared" si="30"/>
        <v>152.50283512975923</v>
      </c>
      <c r="H76" s="3">
        <f t="shared" si="37"/>
        <v>1352.4506901907785</v>
      </c>
      <c r="I76" s="3">
        <f t="shared" si="38"/>
        <v>1087.8761504021518</v>
      </c>
      <c r="J76" s="1">
        <f>VLOOKUP((A76+Forudsætninger!$D$60),'Model tilvækst, slagteform, fe'!G:K,3,FALSE)*(1+Forudsætninger!$D$79)</f>
        <v>50.881445795155877</v>
      </c>
      <c r="K76" s="17">
        <f t="shared" si="31"/>
        <v>77.595647392624386</v>
      </c>
      <c r="L76" s="17">
        <f t="shared" si="39"/>
        <v>722.84129086285986</v>
      </c>
      <c r="M76" s="3">
        <f>((K76-(('Model tilvækst, slagteform, fe'!$I$9/100)*'Model tilvækst, slagteform, fe'!$C$9))*1000/(A76+Forudsætninger!$D$60))</f>
        <v>517.38041144680619</v>
      </c>
      <c r="N76" s="17">
        <f t="shared" si="40"/>
        <v>228.54516701562758</v>
      </c>
      <c r="O76" s="19">
        <f>IF( A76&lt;Forudsætninger!$C$14,(G76/100)*Forudsætninger!$C$13,(Forudsætninger!$C$15/1000)*Forudsætninger!$C$13)</f>
        <v>0.99126842834343509</v>
      </c>
      <c r="P76" s="17" cm="1">
        <f t="array" ref="P76">INDEX('Model tilvækst, slagteform, fe'!$O$9:$O$375,MATCH(MIN(ABS('Model tilvækst, slagteform, fe'!$M$9:$M$375-G76)),ABS('Model tilvækst, slagteform, fe'!$M$9:$M$375-G76),0))*(1+Forudsætninger!$D$80)</f>
        <v>4.4928077834055626</v>
      </c>
      <c r="Q76" s="17">
        <f t="shared" si="41"/>
        <v>6.2154830392194</v>
      </c>
      <c r="R76" s="17">
        <f t="shared" si="42"/>
        <v>5.3603820634513637</v>
      </c>
      <c r="S76" s="2">
        <f t="shared" si="32"/>
        <v>2.8389704120015766</v>
      </c>
      <c r="T76" s="19">
        <f>(P76)*IF(N76&lt;Forudsætninger!$B$228,IF(N76&lt;Forudsætninger!$B$227,Forudsætninger!$B$225,Forudsætninger!$C$9),Forudsætninger!$C$11)+O76</f>
        <v>11.504438641512451</v>
      </c>
      <c r="U76" s="2">
        <f>Forudsætninger!$D$68+((K76-(Forudsætninger!$D$84)))*0.01</f>
        <v>5.9155671552858964</v>
      </c>
      <c r="V76" s="2">
        <f>U76+Forudsætninger!$D$69</f>
        <v>5.9155671552858964</v>
      </c>
      <c r="W76">
        <f t="shared" si="33"/>
        <v>0</v>
      </c>
      <c r="X76">
        <f>IF(A76+Forudsætninger!$D$60&gt;248,IF(A76+Forudsætninger!$D$60&lt;365,IF(K76&gt;180,IF(K76&lt;260,1,0),0),0),0)</f>
        <v>0</v>
      </c>
      <c r="Y76" s="22">
        <f>IF(X76=0,0,IF('Vækstfunktion, kry tyr'!A76&lt;Forudsætninger!$D$66,Forudsætninger!$D$67+(('Vækstfunktion, kry tyr'!A76-Forudsætninger!$D$66)/7)*Forudsætninger!$D$64,Forudsætninger!$D$67))</f>
        <v>0</v>
      </c>
      <c r="Z76" s="19">
        <f t="shared" si="46"/>
        <v>1095.4614751249578</v>
      </c>
      <c r="AA76" s="19">
        <f>Forudsætninger!$D$62+Forudsætninger!$C$16</f>
        <v>2055</v>
      </c>
      <c r="AB76" s="19">
        <f>IF(K76&gt;Forudsætninger!$C$37,IF(K76&gt;Forudsætninger!$C$38,IF(K76&gt;Forudsætninger!$C$39,Forudsætninger!$E$39,Forudsætninger!$E$38+Forudsætninger!$F$39*(K76-Forudsætninger!$C$38)),Forudsætninger!$E$37+Forudsætninger!$F$38*(K76-Forudsætninger!$C$37)),Forudsætninger!$E$37)+IF(K76&gt;Forudsætninger!$C$39,Forudsætninger!$G$39,IF(K76&gt;Forudsætninger!$C$38,Forudsætninger!$G$38+Forudsætninger!$H$39*(K76-Forudsætninger!$C$38),IF(K76&gt;Forudsætninger!$C$37,Forudsætninger!$G$37+Forudsætninger!$H$38*(K76-Forudsætninger!$C$37),Forudsætninger!$G$37)))*(U76-Forudsætninger!$H$37)</f>
        <v>35.191556715528591</v>
      </c>
      <c r="AC76" s="19">
        <f>IF(K76&gt;Forudsætninger!$C$42,IF(K76&gt;Forudsætninger!$C$43,IF(K76&gt;Forudsætninger!$C$44,Forudsætninger!$E$44,Forudsætninger!$E$43+Forudsætninger!$F$44*(K76-Forudsætninger!$C$43)),Forudsætninger!$E$42+Forudsætninger!$F$43*(K76-Forudsætninger!$C$42)),Forudsætninger!$E$42)+IF(K76&gt;Forudsætninger!$C$44,Forudsætninger!$G$44,IF(K76&gt;Forudsætninger!$C$43,Forudsætninger!$G$43+Forudsætninger!$H$44*(K76-Forudsætninger!$C$43),IF(K76&gt;Forudsætninger!$C$42,Forudsætninger!$G$42+Forudsætninger!$H$43*(K76-Forudsætninger!$C$42),Forudsætninger!$G$42)))*(V76-Forudsætninger!$H$42)</f>
        <v>30.128891788821473</v>
      </c>
      <c r="AD76" s="19">
        <f t="shared" si="34"/>
        <v>2337.8708635759272</v>
      </c>
      <c r="AE76" s="19">
        <f t="shared" si="35"/>
        <v>30.128891788821473</v>
      </c>
      <c r="AF76">
        <f>IF(G76&lt;=Forudsætninger!$C$97,Forudsætninger!$C$98,(IF(G76&lt;=Forudsætninger!$D$97,Forudsætninger!$D$98,IF(G76&lt;=Forudsætninger!$E$97,Forudsætninger!$E$98,IF(G76&lt;=Forudsætninger!$F$97,Forudsætninger!$F$98,IF(G76&lt;=Forudsætninger!$G$97,Forudsætninger!$G$98,IF(G76&lt;=Forudsætninger!$H$97,Forudsætninger!$H$98,IF(G76&lt;=Forudsætninger!$I$97,Forudsætninger!$I$98,Forudsætninger!$I$98))))))))</f>
        <v>2.2000000000000002</v>
      </c>
      <c r="AG76" s="1">
        <f t="shared" si="43"/>
        <v>2.2000000000000002</v>
      </c>
      <c r="AH76" s="1">
        <f t="shared" si="47"/>
        <v>162.79999999999993</v>
      </c>
      <c r="AI76" s="1">
        <f t="shared" si="36"/>
        <v>2.1999999999999988</v>
      </c>
      <c r="AJ76" s="20">
        <f>+(W76*Forudsætninger!$C$12)</f>
        <v>0</v>
      </c>
      <c r="AK76" s="20">
        <f>Forudsætninger!$C$17</f>
        <v>250</v>
      </c>
      <c r="AL76" s="20">
        <f>IF(A76&lt;92,Forudsætninger!$C$20,Forudsætninger!$C$21)</f>
        <v>4.0072859744990899</v>
      </c>
      <c r="AM76" s="20">
        <f t="shared" si="44"/>
        <v>296.5391621129329</v>
      </c>
      <c r="AN76" s="19">
        <f>IFERROR(AD76+AJ76-AA76-Z76-AK76-AM76-Forudsætninger!$D$75,-99999)</f>
        <v>-1577.0217473629239</v>
      </c>
      <c r="AO76" s="57">
        <f>IFERROR(AN76/(A76+Forudsætninger!$D$74),-99999)</f>
        <v>-21.311104694093565</v>
      </c>
      <c r="AP76" s="19">
        <f>IFERROR(((365/(A76+Forudsætninger!$D$74))*AN76)/(AI76+Forudsætninger!$D$73),-99999)</f>
        <v>-3367.3390533957381</v>
      </c>
      <c r="AQ76" s="18">
        <f t="shared" si="48"/>
        <v>74</v>
      </c>
      <c r="AR76" s="18">
        <f t="shared" si="49"/>
        <v>3697.0006372378907</v>
      </c>
      <c r="AS76" s="50">
        <f t="shared" si="50"/>
        <v>3.6</v>
      </c>
      <c r="AT76" s="50">
        <f t="shared" si="51"/>
        <v>6.4055995128746872</v>
      </c>
      <c r="AU76" s="50">
        <f t="shared" si="52"/>
        <v>0.37968087954751084</v>
      </c>
      <c r="AV76" s="2">
        <f t="shared" si="53"/>
        <v>59.992866248848713</v>
      </c>
      <c r="AW76" s="16">
        <f t="shared" si="45"/>
        <v>-17.303818719594471</v>
      </c>
      <c r="AZ76" s="16"/>
      <c r="BA76" s="2"/>
    </row>
    <row r="77" spans="1:53" x14ac:dyDescent="0.25">
      <c r="A77">
        <v>75</v>
      </c>
      <c r="B77" s="1">
        <f>ROUND((A77+Forudsætninger!$D$60)/30.4,1)</f>
        <v>3.6</v>
      </c>
      <c r="C77" s="1">
        <f>VLOOKUP((A77+Forudsætninger!$D$60),'Model tilvækst, slagteform, fe'!A:C,3,FALSE)</f>
        <v>175.05347487809291</v>
      </c>
      <c r="D77" s="3">
        <f t="shared" si="54"/>
        <v>1717.294322078061</v>
      </c>
      <c r="E77" s="3">
        <f>(1+Forudsætninger!$D$78)*C77</f>
        <v>147.04491889759805</v>
      </c>
      <c r="F77" s="2">
        <f t="shared" si="29"/>
        <v>6.8145787466028498</v>
      </c>
      <c r="G77" s="1">
        <f t="shared" si="30"/>
        <v>153.8594976442009</v>
      </c>
      <c r="H77" s="3">
        <f t="shared" si="37"/>
        <v>1356.6625144416662</v>
      </c>
      <c r="I77" s="3">
        <f t="shared" si="38"/>
        <v>1091.4599685893454</v>
      </c>
      <c r="J77" s="1">
        <f>VLOOKUP((A77+Forudsætninger!$D$60),'Model tilvækst, slagteform, fe'!G:K,3,FALSE)*(1+Forudsætninger!$D$79)</f>
        <v>50.904363171751818</v>
      </c>
      <c r="K77" s="17">
        <f t="shared" si="31"/>
        <v>78.321197455036966</v>
      </c>
      <c r="L77" s="17">
        <f t="shared" si="39"/>
        <v>725.55006241258013</v>
      </c>
      <c r="M77" s="3">
        <f>((K77-(('Model tilvækst, slagteform, fe'!$I$9/100)*'Model tilvækst, slagteform, fe'!$C$9))*1000/(A77+Forudsætninger!$D$60))</f>
        <v>519.29022475841873</v>
      </c>
      <c r="N77" s="17">
        <f t="shared" si="40"/>
        <v>233.07182075195701</v>
      </c>
      <c r="O77" s="19">
        <f>IF( A77&lt;Forudsætninger!$C$14,(G77/100)*Forudsætninger!$C$13,(Forudsætninger!$C$15/1000)*Forudsætninger!$C$13)</f>
        <v>1.0000867346873059</v>
      </c>
      <c r="P77" s="17" cm="1">
        <f t="array" ref="P77">INDEX('Model tilvækst, slagteform, fe'!$O$9:$O$375,MATCH(MIN(ABS('Model tilvækst, slagteform, fe'!$M$9:$M$375-G77)),ABS('Model tilvækst, slagteform, fe'!$M$9:$M$375-G77),0))*(1+Forudsætninger!$D$80)</f>
        <v>4.5266537363294157</v>
      </c>
      <c r="Q77" s="17">
        <f t="shared" si="41"/>
        <v>6.2389268099261201</v>
      </c>
      <c r="R77" s="17">
        <f t="shared" si="42"/>
        <v>5.3750823779317294</v>
      </c>
      <c r="S77" s="2">
        <f t="shared" si="32"/>
        <v>2.8472178239474979</v>
      </c>
      <c r="T77" s="19">
        <f>(P77)*IF(N77&lt;Forudsætninger!$B$228,IF(N77&lt;Forudsætninger!$B$227,Forudsætninger!$B$225,Forudsætninger!$C$9),Forudsætninger!$C$11)+O77</f>
        <v>11.592456477698137</v>
      </c>
      <c r="U77" s="2">
        <f>Forudsætninger!$D$68+((K77-(Forudsætninger!$D$84)))*0.01</f>
        <v>5.9228226559100214</v>
      </c>
      <c r="V77" s="2">
        <f>U77+Forudsætninger!$D$69</f>
        <v>5.9228226559100214</v>
      </c>
      <c r="W77">
        <f t="shared" si="33"/>
        <v>0</v>
      </c>
      <c r="X77">
        <f>IF(A77+Forudsætninger!$D$60&gt;248,IF(A77+Forudsætninger!$D$60&lt;365,IF(K77&gt;180,IF(K77&lt;260,1,0),0),0),0)</f>
        <v>0</v>
      </c>
      <c r="Y77" s="22">
        <f>IF(X77=0,0,IF('Vækstfunktion, kry tyr'!A77&lt;Forudsætninger!$D$66,Forudsætninger!$D$67+(('Vækstfunktion, kry tyr'!A77-Forudsætninger!$D$66)/7)*Forudsætninger!$D$64,Forudsætninger!$D$67))</f>
        <v>0</v>
      </c>
      <c r="Z77" s="19">
        <f t="shared" si="46"/>
        <v>1107.0539316026559</v>
      </c>
      <c r="AA77" s="19">
        <f>Forudsætninger!$D$62+Forudsætninger!$C$16</f>
        <v>2055</v>
      </c>
      <c r="AB77" s="19">
        <f>IF(K77&gt;Forudsætninger!$C$37,IF(K77&gt;Forudsætninger!$C$38,IF(K77&gt;Forudsætninger!$C$39,Forudsætninger!$E$39,Forudsætninger!$E$38+Forudsætninger!$F$39*(K77-Forudsætninger!$C$38)),Forudsætninger!$E$37+Forudsætninger!$F$38*(K77-Forudsætninger!$C$37)),Forudsætninger!$E$37)+IF(K77&gt;Forudsætninger!$C$39,Forudsætninger!$G$39,IF(K77&gt;Forudsætninger!$C$38,Forudsætninger!$G$38+Forudsætninger!$H$39*(K77-Forudsætninger!$C$38),IF(K77&gt;Forudsætninger!$C$37,Forudsætninger!$G$37+Forudsætninger!$H$38*(K77-Forudsætninger!$C$37),Forudsætninger!$G$37)))*(U77-Forudsætninger!$H$37)</f>
        <v>35.192282265591004</v>
      </c>
      <c r="AC77" s="19">
        <f>IF(K77&gt;Forudsætninger!$C$42,IF(K77&gt;Forudsætninger!$C$43,IF(K77&gt;Forudsætninger!$C$44,Forudsætninger!$E$44,Forudsætninger!$E$43+Forudsætninger!$F$44*(K77-Forudsætninger!$C$43)),Forudsætninger!$E$42+Forudsætninger!$F$43*(K77-Forudsætninger!$C$42)),Forudsætninger!$E$42)+IF(K77&gt;Forudsætninger!$C$44,Forudsætninger!$G$44,IF(K77&gt;Forudsætninger!$C$43,Forudsætninger!$G$43+Forudsætninger!$H$44*(K77-Forudsætninger!$C$43),IF(K77&gt;Forudsætninger!$C$42,Forudsætninger!$G$42+Forudsætninger!$H$43*(K77-Forudsætninger!$C$42),Forudsætninger!$G$42)))*(V77-Forudsætninger!$H$42)</f>
        <v>30.130705663977505</v>
      </c>
      <c r="AD77" s="19">
        <f t="shared" si="34"/>
        <v>2359.8729477679826</v>
      </c>
      <c r="AE77" s="19">
        <f t="shared" si="35"/>
        <v>30.130705663977501</v>
      </c>
      <c r="AF77">
        <f>IF(G77&lt;=Forudsætninger!$C$97,Forudsætninger!$C$98,(IF(G77&lt;=Forudsætninger!$D$97,Forudsætninger!$D$98,IF(G77&lt;=Forudsætninger!$E$97,Forudsætninger!$E$98,IF(G77&lt;=Forudsætninger!$F$97,Forudsætninger!$F$98,IF(G77&lt;=Forudsætninger!$G$97,Forudsætninger!$G$98,IF(G77&lt;=Forudsætninger!$H$97,Forudsætninger!$H$98,IF(G77&lt;=Forudsætninger!$I$97,Forudsætninger!$I$98,Forudsætninger!$I$98))))))))</f>
        <v>2.2000000000000002</v>
      </c>
      <c r="AG77" s="1">
        <f t="shared" si="43"/>
        <v>2.2000000000000002</v>
      </c>
      <c r="AH77" s="1">
        <f t="shared" si="47"/>
        <v>164.99999999999991</v>
      </c>
      <c r="AI77" s="1">
        <f t="shared" si="36"/>
        <v>2.1999999999999988</v>
      </c>
      <c r="AJ77" s="20">
        <f>+(W77*Forudsætninger!$C$12)</f>
        <v>0</v>
      </c>
      <c r="AK77" s="20">
        <f>Forudsætninger!$C$17</f>
        <v>250</v>
      </c>
      <c r="AL77" s="20">
        <f>IF(A77&lt;92,Forudsætninger!$C$20,Forudsætninger!$C$21)</f>
        <v>4.0072859744990899</v>
      </c>
      <c r="AM77" s="20">
        <f t="shared" si="44"/>
        <v>300.546448087432</v>
      </c>
      <c r="AN77" s="19">
        <f>IFERROR(AD77+AJ77-AA77-Z77-AK77-AM77-Forudsætninger!$D$75,-99999)</f>
        <v>-1570.6194056230656</v>
      </c>
      <c r="AO77" s="57">
        <f>IFERROR(AN77/(A77+Forudsætninger!$D$74),-99999)</f>
        <v>-20.94159207497421</v>
      </c>
      <c r="AP77" s="19">
        <f>IFERROR(((365/(A77+Forudsætninger!$D$74))*AN77)/(AI77+Forudsætninger!$D$73),-99999)</f>
        <v>-3308.9528603314243</v>
      </c>
      <c r="AQ77" s="18">
        <f t="shared" si="48"/>
        <v>75</v>
      </c>
      <c r="AR77" s="18">
        <f t="shared" si="49"/>
        <v>3712.6003796900882</v>
      </c>
      <c r="AS77" s="50">
        <f t="shared" si="50"/>
        <v>3.6</v>
      </c>
      <c r="AT77" s="50">
        <f t="shared" si="51"/>
        <v>6.4023417398582296</v>
      </c>
      <c r="AU77" s="50">
        <f t="shared" si="52"/>
        <v>0.36951261911935518</v>
      </c>
      <c r="AV77" s="2">
        <f t="shared" si="53"/>
        <v>58.386193064313829</v>
      </c>
      <c r="AW77" s="16">
        <f t="shared" si="45"/>
        <v>-16.934306100475116</v>
      </c>
      <c r="AZ77" s="16"/>
      <c r="BA77" s="2"/>
    </row>
    <row r="78" spans="1:53" x14ac:dyDescent="0.25">
      <c r="A78">
        <v>76</v>
      </c>
      <c r="B78" s="1">
        <f>ROUND((A78+Forudsætninger!$D$60)/30.4,1)</f>
        <v>3.6</v>
      </c>
      <c r="C78" s="1">
        <f>VLOOKUP((A78+Forudsætninger!$D$60),'Model tilvækst, slagteform, fe'!A:C,3,FALSE)</f>
        <v>176.77598927505764</v>
      </c>
      <c r="D78" s="3">
        <f t="shared" si="54"/>
        <v>1722.5143969647263</v>
      </c>
      <c r="E78" s="3">
        <f>(1+Forudsætninger!$D$78)*C78</f>
        <v>148.4918309910484</v>
      </c>
      <c r="F78" s="2">
        <f t="shared" si="29"/>
        <v>6.7284530267546137</v>
      </c>
      <c r="G78" s="1">
        <f t="shared" si="30"/>
        <v>155.22028401780301</v>
      </c>
      <c r="H78" s="3">
        <f t="shared" si="37"/>
        <v>1360.7863736021102</v>
      </c>
      <c r="I78" s="3">
        <f t="shared" si="38"/>
        <v>1095.0037370763555</v>
      </c>
      <c r="J78" s="1">
        <f>VLOOKUP((A78+Forudsætninger!$D$60),'Model tilvækst, slagteform, fe'!G:K,3,FALSE)*(1+Forudsætninger!$D$79)</f>
        <v>50.927255133351494</v>
      </c>
      <c r="K78" s="17">
        <f t="shared" si="31"/>
        <v>79.049430060459343</v>
      </c>
      <c r="L78" s="17">
        <f t="shared" si="39"/>
        <v>728.23260542237733</v>
      </c>
      <c r="M78" s="3">
        <f>((K78-(('Model tilvækst, slagteform, fe'!$I$9/100)*'Model tilvækst, slagteform, fe'!$C$9))*1000/(A78+Forudsætninger!$D$60))</f>
        <v>521.18970094627286</v>
      </c>
      <c r="N78" s="17">
        <f t="shared" si="40"/>
        <v>237.63215799398992</v>
      </c>
      <c r="O78" s="19">
        <f>IF( A78&lt;Forudsætninger!$C$14,(G78/100)*Forudsætninger!$C$13,(Forudsætninger!$C$15/1000)*Forudsætninger!$C$13)</f>
        <v>1.0089318461157195</v>
      </c>
      <c r="P78" s="17" cm="1">
        <f t="array" ref="P78">INDEX('Model tilvækst, slagteform, fe'!$O$9:$O$375,MATCH(MIN(ABS('Model tilvækst, slagteform, fe'!$M$9:$M$375-G78)),ABS('Model tilvækst, slagteform, fe'!$M$9:$M$375-G78),0))*(1+Forudsætninger!$D$80)</f>
        <v>4.5603372420329151</v>
      </c>
      <c r="Q78" s="17">
        <f t="shared" si="41"/>
        <v>6.2621986547662258</v>
      </c>
      <c r="R78" s="17">
        <f t="shared" si="42"/>
        <v>5.3897349161027357</v>
      </c>
      <c r="S78" s="2">
        <f t="shared" si="32"/>
        <v>2.855459588952546</v>
      </c>
      <c r="T78" s="19">
        <f>(P78)*IF(N78&lt;Forudsætninger!$B$228,IF(N78&lt;Forudsætninger!$B$227,Forudsætninger!$B$225,Forudsætninger!$C$9),Forudsætninger!$C$11)+O78</f>
        <v>11.680120992472741</v>
      </c>
      <c r="U78" s="2">
        <f>Forudsætninger!$D$68+((K78-(Forudsætninger!$D$84)))*0.01</f>
        <v>5.930104981964246</v>
      </c>
      <c r="V78" s="2">
        <f>U78+Forudsætninger!$D$69</f>
        <v>5.930104981964246</v>
      </c>
      <c r="W78">
        <f t="shared" si="33"/>
        <v>0</v>
      </c>
      <c r="X78">
        <f>IF(A78+Forudsætninger!$D$60&gt;248,IF(A78+Forudsætninger!$D$60&lt;365,IF(K78&gt;180,IF(K78&lt;260,1,0),0),0),0)</f>
        <v>0</v>
      </c>
      <c r="Y78" s="22">
        <f>IF(X78=0,0,IF('Vækstfunktion, kry tyr'!A78&lt;Forudsætninger!$D$66,Forudsætninger!$D$67+(('Vækstfunktion, kry tyr'!A78-Forudsætninger!$D$66)/7)*Forudsætninger!$D$64,Forudsætninger!$D$67))</f>
        <v>0</v>
      </c>
      <c r="Z78" s="19">
        <f t="shared" si="46"/>
        <v>1118.7340525951286</v>
      </c>
      <c r="AA78" s="19">
        <f>Forudsætninger!$D$62+Forudsætninger!$C$16</f>
        <v>2055</v>
      </c>
      <c r="AB78" s="19">
        <f>IF(K78&gt;Forudsætninger!$C$37,IF(K78&gt;Forudsætninger!$C$38,IF(K78&gt;Forudsætninger!$C$39,Forudsætninger!$E$39,Forudsætninger!$E$38+Forudsætninger!$F$39*(K78-Forudsætninger!$C$38)),Forudsætninger!$E$37+Forudsætninger!$F$38*(K78-Forudsætninger!$C$37)),Forudsætninger!$E$37)+IF(K78&gt;Forudsætninger!$C$39,Forudsætninger!$G$39,IF(K78&gt;Forudsætninger!$C$38,Forudsætninger!$G$38+Forudsætninger!$H$39*(K78-Forudsætninger!$C$38),IF(K78&gt;Forudsætninger!$C$37,Forudsætninger!$G$37+Forudsætninger!$H$38*(K78-Forudsætninger!$C$37),Forudsætninger!$G$37)))*(U78-Forudsætninger!$H$37)</f>
        <v>35.193010498196422</v>
      </c>
      <c r="AC78" s="19">
        <f>IF(K78&gt;Forudsætninger!$C$42,IF(K78&gt;Forudsætninger!$C$43,IF(K78&gt;Forudsætninger!$C$44,Forudsætninger!$E$44,Forudsætninger!$E$43+Forudsætninger!$F$44*(K78-Forudsætninger!$C$43)),Forudsætninger!$E$42+Forudsætninger!$F$43*(K78-Forudsætninger!$C$42)),Forudsætninger!$E$42)+IF(K78&gt;Forudsætninger!$C$44,Forudsætninger!$G$44,IF(K78&gt;Forudsætninger!$C$43,Forudsætninger!$G$43+Forudsætninger!$H$44*(K78-Forudsætninger!$C$43),IF(K78&gt;Forudsætninger!$C$42,Forudsætninger!$G$42+Forudsætninger!$H$43*(K78-Forudsætninger!$C$42),Forudsætninger!$G$42)))*(V78-Forudsætninger!$H$42)</f>
        <v>30.132526245491061</v>
      </c>
      <c r="AD78" s="19">
        <f t="shared" si="34"/>
        <v>2381.959025987901</v>
      </c>
      <c r="AE78" s="19">
        <f t="shared" si="35"/>
        <v>30.132526245491057</v>
      </c>
      <c r="AF78">
        <f>IF(G78&lt;=Forudsætninger!$C$97,Forudsætninger!$C$98,(IF(G78&lt;=Forudsætninger!$D$97,Forudsætninger!$D$98,IF(G78&lt;=Forudsætninger!$E$97,Forudsætninger!$E$98,IF(G78&lt;=Forudsætninger!$F$97,Forudsætninger!$F$98,IF(G78&lt;=Forudsætninger!$G$97,Forudsætninger!$G$98,IF(G78&lt;=Forudsætninger!$H$97,Forudsætninger!$H$98,IF(G78&lt;=Forudsætninger!$I$97,Forudsætninger!$I$98,Forudsætninger!$I$98))))))))</f>
        <v>2.2000000000000002</v>
      </c>
      <c r="AG78" s="1">
        <f t="shared" si="43"/>
        <v>2.2000000000000002</v>
      </c>
      <c r="AH78" s="1">
        <f t="shared" si="47"/>
        <v>167.1999999999999</v>
      </c>
      <c r="AI78" s="1">
        <f t="shared" si="36"/>
        <v>2.1999999999999988</v>
      </c>
      <c r="AJ78" s="20">
        <f>+(W78*Forudsætninger!$C$12)</f>
        <v>0</v>
      </c>
      <c r="AK78" s="20">
        <f>Forudsætninger!$C$17</f>
        <v>250</v>
      </c>
      <c r="AL78" s="20">
        <f>IF(A78&lt;92,Forudsætninger!$C$20,Forudsætninger!$C$21)</f>
        <v>4.0072859744990899</v>
      </c>
      <c r="AM78" s="20">
        <f t="shared" si="44"/>
        <v>304.5537340619311</v>
      </c>
      <c r="AN78" s="19">
        <f>IFERROR(AD78+AJ78-AA78-Z78-AK78-AM78-Forudsætninger!$D$75,-99999)</f>
        <v>-1564.2207343701191</v>
      </c>
      <c r="AO78" s="57">
        <f>IFERROR(AN78/(A78+Forudsætninger!$D$74),-99999)</f>
        <v>-20.581851768027882</v>
      </c>
      <c r="AP78" s="19">
        <f>IFERROR(((365/(A78+Forudsætninger!$D$74))*AN78)/(AI78+Forudsætninger!$D$73),-99999)</f>
        <v>-3252.1107771992124</v>
      </c>
      <c r="AQ78" s="18">
        <f t="shared" si="48"/>
        <v>76</v>
      </c>
      <c r="AR78" s="18">
        <f t="shared" si="49"/>
        <v>3728.2877866570598</v>
      </c>
      <c r="AS78" s="50">
        <f t="shared" si="50"/>
        <v>3.6</v>
      </c>
      <c r="AT78" s="50">
        <f t="shared" si="51"/>
        <v>6.3986712529465422</v>
      </c>
      <c r="AU78" s="50">
        <f t="shared" si="52"/>
        <v>0.3597403069463283</v>
      </c>
      <c r="AV78" s="2">
        <f t="shared" si="53"/>
        <v>56.842083132211883</v>
      </c>
      <c r="AW78" s="16">
        <f t="shared" si="45"/>
        <v>-16.574565793528791</v>
      </c>
      <c r="AZ78" s="16"/>
      <c r="BA78" s="2"/>
    </row>
    <row r="79" spans="1:53" x14ac:dyDescent="0.25">
      <c r="A79">
        <v>77</v>
      </c>
      <c r="B79" s="1">
        <f>ROUND((A79+Forudsætninger!$D$60)/30.4,1)</f>
        <v>3.7</v>
      </c>
      <c r="C79" s="1">
        <f>VLOOKUP((A79+Forudsætninger!$D$60),'Model tilvækst, slagteform, fe'!A:C,3,FALSE)</f>
        <v>178.50361301962994</v>
      </c>
      <c r="D79" s="3">
        <f t="shared" si="54"/>
        <v>1727.6237445722984</v>
      </c>
      <c r="E79" s="3">
        <f>(1+Forudsætninger!$D$78)*C79</f>
        <v>149.94303493648914</v>
      </c>
      <c r="F79" s="2">
        <f t="shared" si="29"/>
        <v>6.6420718395259986</v>
      </c>
      <c r="G79" s="1">
        <f t="shared" si="30"/>
        <v>156.58510677601515</v>
      </c>
      <c r="H79" s="3">
        <f t="shared" si="37"/>
        <v>1364.8227582121422</v>
      </c>
      <c r="I79" s="3">
        <f t="shared" si="38"/>
        <v>1098.507880207989</v>
      </c>
      <c r="J79" s="1">
        <f>VLOOKUP((A79+Forudsætninger!$D$60),'Model tilvækst, slagteform, fe'!G:K,3,FALSE)*(1+Forudsætninger!$D$79)</f>
        <v>50.950132734067992</v>
      </c>
      <c r="K79" s="17">
        <f t="shared" si="31"/>
        <v>79.780319744161801</v>
      </c>
      <c r="L79" s="17">
        <f t="shared" si="39"/>
        <v>730.88968370245766</v>
      </c>
      <c r="M79" s="3">
        <f>((K79-(('Model tilvækst, slagteform, fe'!$I$9/100)*'Model tilvækst, slagteform, fe'!$C$9))*1000/(A79+Forudsætninger!$D$60))</f>
        <v>523.07888998011242</v>
      </c>
      <c r="N79" s="17">
        <f t="shared" si="40"/>
        <v>242.22601312731391</v>
      </c>
      <c r="O79" s="19">
        <f>IF( A79&lt;Forudsætninger!$C$14,(G79/100)*Forudsætninger!$C$13,(Forudsætninger!$C$15/1000)*Forudsætninger!$C$13)</f>
        <v>1.0178031940440986</v>
      </c>
      <c r="P79" s="17" cm="1">
        <f t="array" ref="P79">INDEX('Model tilvækst, slagteform, fe'!$O$9:$O$375,MATCH(MIN(ABS('Model tilvækst, slagteform, fe'!$M$9:$M$375-G79)),ABS('Model tilvækst, slagteform, fe'!$M$9:$M$375-G79),0))*(1+Forudsætninger!$D$80)</f>
        <v>4.5938551333239905</v>
      </c>
      <c r="Q79" s="17">
        <f t="shared" si="41"/>
        <v>6.2852920704161024</v>
      </c>
      <c r="R79" s="17">
        <f t="shared" si="42"/>
        <v>5.4043387512542687</v>
      </c>
      <c r="S79" s="2">
        <f t="shared" si="32"/>
        <v>2.8636957776590433</v>
      </c>
      <c r="T79" s="19">
        <f>(P79)*IF(N79&lt;Forudsætninger!$B$228,IF(N79&lt;Forudsætninger!$B$227,Forudsætninger!$B$225,Forudsætninger!$C$9),Forudsætninger!$C$11)+O79</f>
        <v>11.767424206022236</v>
      </c>
      <c r="U79" s="2">
        <f>Forudsætninger!$D$68+((K79-(Forudsætninger!$D$84)))*0.01</f>
        <v>5.9374138788012703</v>
      </c>
      <c r="V79" s="2">
        <f>U79+Forudsætninger!$D$69</f>
        <v>5.9374138788012703</v>
      </c>
      <c r="W79">
        <f t="shared" si="33"/>
        <v>0</v>
      </c>
      <c r="X79">
        <f>IF(A79+Forudsætninger!$D$60&gt;248,IF(A79+Forudsætninger!$D$60&lt;365,IF(K79&gt;180,IF(K79&lt;260,1,0),0),0),0)</f>
        <v>0</v>
      </c>
      <c r="Y79" s="22">
        <f>IF(X79=0,0,IF('Vækstfunktion, kry tyr'!A79&lt;Forudsætninger!$D$66,Forudsætninger!$D$67+(('Vækstfunktion, kry tyr'!A79-Forudsætninger!$D$66)/7)*Forudsætninger!$D$64,Forudsætninger!$D$67))</f>
        <v>0</v>
      </c>
      <c r="Z79" s="19">
        <f t="shared" si="46"/>
        <v>1130.5014768011508</v>
      </c>
      <c r="AA79" s="19">
        <f>Forudsætninger!$D$62+Forudsætninger!$C$16</f>
        <v>2055</v>
      </c>
      <c r="AB79" s="19">
        <f>IF(K79&gt;Forudsætninger!$C$37,IF(K79&gt;Forudsætninger!$C$38,IF(K79&gt;Forudsætninger!$C$39,Forudsætninger!$E$39,Forudsætninger!$E$38+Forudsætninger!$F$39*(K79-Forudsætninger!$C$38)),Forudsætninger!$E$37+Forudsætninger!$F$38*(K79-Forudsætninger!$C$37)),Forudsætninger!$E$37)+IF(K79&gt;Forudsætninger!$C$39,Forudsætninger!$G$39,IF(K79&gt;Forudsætninger!$C$38,Forudsætninger!$G$38+Forudsætninger!$H$39*(K79-Forudsætninger!$C$38),IF(K79&gt;Forudsætninger!$C$37,Forudsætninger!$G$37+Forudsætninger!$H$38*(K79-Forudsætninger!$C$37),Forudsætninger!$G$37)))*(U79-Forudsætninger!$H$37)</f>
        <v>35.193741387880131</v>
      </c>
      <c r="AC79" s="19">
        <f>IF(K79&gt;Forudsætninger!$C$42,IF(K79&gt;Forudsætninger!$C$43,IF(K79&gt;Forudsætninger!$C$44,Forudsætninger!$E$44,Forudsætninger!$E$43+Forudsætninger!$F$44*(K79-Forudsætninger!$C$43)),Forudsætninger!$E$42+Forudsætninger!$F$43*(K79-Forudsætninger!$C$42)),Forudsætninger!$E$42)+IF(K79&gt;Forudsætninger!$C$44,Forudsætninger!$G$44,IF(K79&gt;Forudsætninger!$C$43,Forudsætninger!$G$43+Forudsætninger!$H$44*(K79-Forudsætninger!$C$43),IF(K79&gt;Forudsætninger!$C$42,Forudsætninger!$G$42+Forudsætninger!$H$43*(K79-Forudsætninger!$C$42),Forudsætninger!$G$42)))*(V79-Forudsætninger!$H$42)</f>
        <v>30.134353469700315</v>
      </c>
      <c r="AD79" s="19">
        <f t="shared" si="34"/>
        <v>2404.1283550962826</v>
      </c>
      <c r="AE79" s="19">
        <f t="shared" si="35"/>
        <v>30.134353469700311</v>
      </c>
      <c r="AF79">
        <f>IF(G79&lt;=Forudsætninger!$C$97,Forudsætninger!$C$98,(IF(G79&lt;=Forudsætninger!$D$97,Forudsætninger!$D$98,IF(G79&lt;=Forudsætninger!$E$97,Forudsætninger!$E$98,IF(G79&lt;=Forudsætninger!$F$97,Forudsætninger!$F$98,IF(G79&lt;=Forudsætninger!$G$97,Forudsætninger!$G$98,IF(G79&lt;=Forudsætninger!$H$97,Forudsætninger!$H$98,IF(G79&lt;=Forudsætninger!$I$97,Forudsætninger!$I$98,Forudsætninger!$I$98))))))))</f>
        <v>2.2000000000000002</v>
      </c>
      <c r="AG79" s="1">
        <f t="shared" si="43"/>
        <v>2.2000000000000002</v>
      </c>
      <c r="AH79" s="1">
        <f t="shared" si="47"/>
        <v>169.39999999999989</v>
      </c>
      <c r="AI79" s="1">
        <f t="shared" si="36"/>
        <v>2.1999999999999984</v>
      </c>
      <c r="AJ79" s="20">
        <f>+(W79*Forudsætninger!$C$12)</f>
        <v>0</v>
      </c>
      <c r="AK79" s="20">
        <f>Forudsætninger!$C$17</f>
        <v>250</v>
      </c>
      <c r="AL79" s="20">
        <f>IF(A79&lt;92,Forudsætninger!$C$20,Forudsætninger!$C$21)</f>
        <v>4.0072859744990899</v>
      </c>
      <c r="AM79" s="20">
        <f t="shared" si="44"/>
        <v>308.56102003643019</v>
      </c>
      <c r="AN79" s="19">
        <f>IFERROR(AD79+AJ79-AA79-Z79-AK79-AM79-Forudsætninger!$D$75,-99999)</f>
        <v>-1557.8261154422587</v>
      </c>
      <c r="AO79" s="57">
        <f>IFERROR(AN79/(A79+Forudsætninger!$D$74),-99999)</f>
        <v>-20.231507992756608</v>
      </c>
      <c r="AP79" s="19">
        <f>IFERROR(((365/(A79+Forudsætninger!$D$74))*AN79)/(AI79+Forudsætninger!$D$73),-99999)</f>
        <v>-3196.7534274269124</v>
      </c>
      <c r="AQ79" s="18">
        <f t="shared" si="48"/>
        <v>77</v>
      </c>
      <c r="AR79" s="18">
        <f t="shared" si="49"/>
        <v>3744.062496837581</v>
      </c>
      <c r="AS79" s="50">
        <f t="shared" si="50"/>
        <v>3.7</v>
      </c>
      <c r="AT79" s="50">
        <f t="shared" si="51"/>
        <v>6.3946189278603924</v>
      </c>
      <c r="AU79" s="50">
        <f t="shared" si="52"/>
        <v>0.35034377527127347</v>
      </c>
      <c r="AV79" s="2">
        <f t="shared" si="53"/>
        <v>55.35734977230004</v>
      </c>
      <c r="AW79" s="16">
        <f t="shared" si="45"/>
        <v>-16.224222018257514</v>
      </c>
      <c r="AZ79" s="16"/>
      <c r="BA79" s="2"/>
    </row>
    <row r="80" spans="1:53" x14ac:dyDescent="0.25">
      <c r="A80">
        <v>78</v>
      </c>
      <c r="B80" s="1">
        <f>ROUND((A80+Forudsætninger!$D$60)/30.4,1)</f>
        <v>3.7</v>
      </c>
      <c r="C80" s="1">
        <f>VLOOKUP((A80+Forudsætninger!$D$60),'Model tilvækst, slagteform, fe'!A:C,3,FALSE)</f>
        <v>180.23623600546728</v>
      </c>
      <c r="D80" s="3">
        <f t="shared" si="54"/>
        <v>1732.6229858373381</v>
      </c>
      <c r="E80" s="3">
        <f>(1+Forudsætninger!$D$78)*C80</f>
        <v>151.39843824459251</v>
      </c>
      <c r="F80" s="2">
        <f t="shared" si="29"/>
        <v>6.555440690234132</v>
      </c>
      <c r="G80" s="1">
        <f t="shared" si="30"/>
        <v>157.95387893482663</v>
      </c>
      <c r="H80" s="3">
        <f t="shared" si="37"/>
        <v>1368.7721588114812</v>
      </c>
      <c r="I80" s="3">
        <f t="shared" si="38"/>
        <v>1101.9728068567517</v>
      </c>
      <c r="J80" s="1">
        <f>VLOOKUP((A80+Forudsætninger!$D$60),'Model tilvækst, slagteform, fe'!G:K,3,FALSE)*(1+Forudsætninger!$D$79)</f>
        <v>50.973007028014386</v>
      </c>
      <c r="K80" s="17">
        <f t="shared" si="31"/>
        <v>80.51384181047051</v>
      </c>
      <c r="L80" s="17">
        <f t="shared" si="39"/>
        <v>733.52206630870853</v>
      </c>
      <c r="M80" s="3">
        <f>((K80-(('Model tilvækst, slagteform, fe'!$I$9/100)*'Model tilvækst, slagteform, fe'!$C$9))*1000/(A80+Forudsætninger!$D$60))</f>
        <v>524.95784691161771</v>
      </c>
      <c r="N80" s="17">
        <f t="shared" si="40"/>
        <v>246.85321737032447</v>
      </c>
      <c r="O80" s="19">
        <f>IF( A80&lt;Forudsætninger!$C$14,(G80/100)*Forudsætninger!$C$13,(Forudsætninger!$C$15/1000)*Forudsætninger!$C$13)</f>
        <v>1.0267002130763732</v>
      </c>
      <c r="P80" s="17" cm="1">
        <f t="array" ref="P80">INDEX('Model tilvækst, slagteform, fe'!$O$9:$O$375,MATCH(MIN(ABS('Model tilvækst, slagteform, fe'!$M$9:$M$375-G80)),ABS('Model tilvækst, slagteform, fe'!$M$9:$M$375-G80),0))*(1+Forudsætninger!$D$80)</f>
        <v>4.6272042430105689</v>
      </c>
      <c r="Q80" s="17">
        <f t="shared" si="41"/>
        <v>6.3082004694091554</v>
      </c>
      <c r="R80" s="17">
        <f t="shared" si="42"/>
        <v>5.4188929047853387</v>
      </c>
      <c r="S80" s="2">
        <f t="shared" si="32"/>
        <v>2.871926438101736</v>
      </c>
      <c r="T80" s="19">
        <f>(P80)*IF(N80&lt;Forudsætninger!$B$228,IF(N80&lt;Forudsætninger!$B$227,Forudsætninger!$B$225,Forudsætninger!$C$9),Forudsætninger!$C$11)+O80</f>
        <v>11.854358141721104</v>
      </c>
      <c r="U80" s="2">
        <f>Forudsætninger!$D$68+((K80-(Forudsætninger!$D$84)))*0.01</f>
        <v>5.9447490994643575</v>
      </c>
      <c r="V80" s="2">
        <f>U80+Forudsætninger!$D$69</f>
        <v>5.9447490994643575</v>
      </c>
      <c r="W80">
        <f t="shared" si="33"/>
        <v>0</v>
      </c>
      <c r="X80">
        <f>IF(A80+Forudsætninger!$D$60&gt;248,IF(A80+Forudsætninger!$D$60&lt;365,IF(K80&gt;180,IF(K80&lt;260,1,0),0),0),0)</f>
        <v>0</v>
      </c>
      <c r="Y80" s="22">
        <f>IF(X80=0,0,IF('Vækstfunktion, kry tyr'!A80&lt;Forudsætninger!$D$66,Forudsætninger!$D$67+(('Vækstfunktion, kry tyr'!A80-Forudsætninger!$D$66)/7)*Forudsætninger!$D$64,Forudsætninger!$D$67))</f>
        <v>0</v>
      </c>
      <c r="Z80" s="19">
        <f t="shared" si="46"/>
        <v>1142.355834942872</v>
      </c>
      <c r="AA80" s="19">
        <f>Forudsætninger!$D$62+Forudsætninger!$C$16</f>
        <v>2055</v>
      </c>
      <c r="AB80" s="19">
        <f>IF(K80&gt;Forudsætninger!$C$37,IF(K80&gt;Forudsætninger!$C$38,IF(K80&gt;Forudsætninger!$C$39,Forudsætninger!$E$39,Forudsætninger!$E$38+Forudsætninger!$F$39*(K80-Forudsætninger!$C$38)),Forudsætninger!$E$37+Forudsætninger!$F$38*(K80-Forudsætninger!$C$37)),Forudsætninger!$E$37)+IF(K80&gt;Forudsætninger!$C$39,Forudsætninger!$G$39,IF(K80&gt;Forudsætninger!$C$38,Forudsætninger!$G$38+Forudsætninger!$H$39*(K80-Forudsætninger!$C$38),IF(K80&gt;Forudsætninger!$C$37,Forudsætninger!$G$37+Forudsætninger!$H$38*(K80-Forudsætninger!$C$37),Forudsætninger!$G$37)))*(U80-Forudsætninger!$H$37)</f>
        <v>35.194474909946436</v>
      </c>
      <c r="AC80" s="19">
        <f>IF(K80&gt;Forudsætninger!$C$42,IF(K80&gt;Forudsætninger!$C$43,IF(K80&gt;Forudsætninger!$C$44,Forudsætninger!$E$44,Forudsætninger!$E$43+Forudsætninger!$F$44*(K80-Forudsætninger!$C$43)),Forudsætninger!$E$42+Forudsætninger!$F$43*(K80-Forudsætninger!$C$42)),Forudsætninger!$E$42)+IF(K80&gt;Forudsætninger!$C$44,Forudsætninger!$G$44,IF(K80&gt;Forudsætninger!$C$43,Forudsætninger!$G$43+Forudsætninger!$H$44*(K80-Forudsætninger!$C$43),IF(K80&gt;Forudsætninger!$C$42,Forudsætninger!$G$42+Forudsætninger!$H$43*(K80-Forudsætninger!$C$42),Forudsætninger!$G$42)))*(V80-Forudsætninger!$H$42)</f>
        <v>30.136187274866089</v>
      </c>
      <c r="AD80" s="19">
        <f t="shared" si="34"/>
        <v>2426.3802150192828</v>
      </c>
      <c r="AE80" s="19">
        <f t="shared" si="35"/>
        <v>30.136187274866092</v>
      </c>
      <c r="AF80">
        <f>IF(G80&lt;=Forudsætninger!$C$97,Forudsætninger!$C$98,(IF(G80&lt;=Forudsætninger!$D$97,Forudsætninger!$D$98,IF(G80&lt;=Forudsætninger!$E$97,Forudsætninger!$E$98,IF(G80&lt;=Forudsætninger!$F$97,Forudsætninger!$F$98,IF(G80&lt;=Forudsætninger!$G$97,Forudsætninger!$G$98,IF(G80&lt;=Forudsætninger!$H$97,Forudsætninger!$H$98,IF(G80&lt;=Forudsætninger!$I$97,Forudsætninger!$I$98,Forudsætninger!$I$98))))))))</f>
        <v>2.2000000000000002</v>
      </c>
      <c r="AG80" s="1">
        <f t="shared" si="43"/>
        <v>2.2000000000000002</v>
      </c>
      <c r="AH80" s="1">
        <f t="shared" si="47"/>
        <v>171.59999999999988</v>
      </c>
      <c r="AI80" s="1">
        <f t="shared" si="36"/>
        <v>2.1999999999999984</v>
      </c>
      <c r="AJ80" s="20">
        <f>+(W80*Forudsætninger!$C$12)</f>
        <v>0</v>
      </c>
      <c r="AK80" s="20">
        <f>Forudsætninger!$C$17</f>
        <v>250</v>
      </c>
      <c r="AL80" s="20">
        <f>IF(A80&lt;92,Forudsætninger!$C$20,Forudsætninger!$C$21)</f>
        <v>4.0072859744990899</v>
      </c>
      <c r="AM80" s="20">
        <f t="shared" si="44"/>
        <v>312.56830601092929</v>
      </c>
      <c r="AN80" s="19">
        <f>IFERROR(AD80+AJ80-AA80-Z80-AK80-AM80-Forudsætninger!$D$75,-99999)</f>
        <v>-1551.4358996354788</v>
      </c>
      <c r="AO80" s="57">
        <f>IFERROR(AN80/(A80+Forudsætninger!$D$74),-99999)</f>
        <v>-19.890203841480496</v>
      </c>
      <c r="AP80" s="19">
        <f>IFERROR(((365/(A80+Forudsætninger!$D$74))*AN80)/(AI80+Forudsætninger!$D$73),-99999)</f>
        <v>-3142.8244165109904</v>
      </c>
      <c r="AQ80" s="18">
        <f t="shared" si="48"/>
        <v>78</v>
      </c>
      <c r="AR80" s="18">
        <f t="shared" si="49"/>
        <v>3759.9241409538017</v>
      </c>
      <c r="AS80" s="50">
        <f t="shared" si="50"/>
        <v>3.7</v>
      </c>
      <c r="AT80" s="50">
        <f t="shared" si="51"/>
        <v>6.3902158067799064</v>
      </c>
      <c r="AU80" s="50">
        <f t="shared" si="52"/>
        <v>0.34130415127611258</v>
      </c>
      <c r="AV80" s="2">
        <f t="shared" si="53"/>
        <v>53.929010915921936</v>
      </c>
      <c r="AW80" s="16">
        <f t="shared" si="45"/>
        <v>-15.882917866981403</v>
      </c>
      <c r="AZ80" s="16"/>
      <c r="BA80" s="2"/>
    </row>
    <row r="81" spans="1:53" x14ac:dyDescent="0.25">
      <c r="A81">
        <v>79</v>
      </c>
      <c r="B81" s="1">
        <f>ROUND((A81+Forudsætninger!$D$60)/30.4,1)</f>
        <v>3.7</v>
      </c>
      <c r="C81" s="1">
        <f>VLOOKUP((A81+Forudsætninger!$D$60),'Model tilvækst, slagteform, fe'!A:C,3,FALSE)</f>
        <v>181.97374874716371</v>
      </c>
      <c r="D81" s="3">
        <f t="shared" si="54"/>
        <v>1737.5127416964347</v>
      </c>
      <c r="E81" s="3">
        <f>(1+Forudsætninger!$D$78)*C81</f>
        <v>152.8579489476175</v>
      </c>
      <c r="F81" s="2">
        <f>MAX(F80-((D81/1000)/25),0)</f>
        <v>6.4859401805662742</v>
      </c>
      <c r="G81" s="1">
        <f t="shared" si="30"/>
        <v>159.34388912818378</v>
      </c>
      <c r="H81" s="3">
        <f t="shared" si="37"/>
        <v>1390.010193357142</v>
      </c>
      <c r="I81" s="3">
        <f t="shared" si="38"/>
        <v>1105.6188497238452</v>
      </c>
      <c r="J81" s="1">
        <f>VLOOKUP((A81+Forudsætninger!$D$60),'Model tilvækst, slagteform, fe'!G:K,3,FALSE)*(1+Forudsætninger!$D$79)</f>
        <v>50.995889069303757</v>
      </c>
      <c r="K81" s="17">
        <f t="shared" si="31"/>
        <v>81.258832938522971</v>
      </c>
      <c r="L81" s="17">
        <f t="shared" si="39"/>
        <v>744.9911280524617</v>
      </c>
      <c r="M81" s="3">
        <f>((K81-(('Model tilvækst, slagteform, fe'!$I$9/100)*'Model tilvækst, slagteform, fe'!$C$9))*1000/(A81+Forudsætninger!$D$60))</f>
        <v>526.90504408985521</v>
      </c>
      <c r="N81" s="17">
        <f t="shared" si="40"/>
        <v>251.51359877422504</v>
      </c>
      <c r="O81" s="19">
        <f>IF( A81&lt;Forudsætninger!$C$14,(G81/100)*Forudsætninger!$C$13,(Forudsætninger!$C$15/1000)*Forudsætninger!$C$13)</f>
        <v>1.0357352793331946</v>
      </c>
      <c r="P81" s="17" cm="1">
        <f t="array" ref="P81">INDEX('Model tilvækst, slagteform, fe'!$O$9:$O$375,MATCH(MIN(ABS('Model tilvækst, slagteform, fe'!$M$9:$M$375-G81)),ABS('Model tilvækst, slagteform, fe'!$M$9:$M$375-G81),0))*(1+Forudsætninger!$D$80)</f>
        <v>4.6603814039005798</v>
      </c>
      <c r="Q81" s="17">
        <f t="shared" si="41"/>
        <v>6.2556200046081614</v>
      </c>
      <c r="R81" s="17">
        <f t="shared" si="42"/>
        <v>5.4323565211792246</v>
      </c>
      <c r="S81" s="2">
        <f t="shared" si="32"/>
        <v>2.8795786549544387</v>
      </c>
      <c r="T81" s="19">
        <f>(P81)*IF(N81&lt;Forudsætninger!$B$228,IF(N81&lt;Forudsætninger!$B$227,Forudsætninger!$B$225,Forudsætninger!$C$9),Forudsætninger!$C$11)+O81</f>
        <v>11.94102776446055</v>
      </c>
      <c r="U81" s="2">
        <f>Forudsætninger!$D$68+((K81-(Forudsætninger!$D$84)))*0.01</f>
        <v>5.9521990107448826</v>
      </c>
      <c r="V81" s="2">
        <f>U81+Forudsætninger!$D$69</f>
        <v>5.9521990107448826</v>
      </c>
      <c r="W81">
        <f t="shared" si="33"/>
        <v>0</v>
      </c>
      <c r="X81">
        <f>IF(A81+Forudsætninger!$D$60&gt;248,IF(A81+Forudsætninger!$D$60&lt;365,IF(K81&gt;180,IF(K81&lt;260,1,0),0),0),0)</f>
        <v>0</v>
      </c>
      <c r="Y81" s="22">
        <f>IF(X81=0,0,IF('Vækstfunktion, kry tyr'!A81&lt;Forudsætninger!$D$66,Forudsætninger!$D$67+(('Vækstfunktion, kry tyr'!A81-Forudsætninger!$D$66)/7)*Forudsætninger!$D$64,Forudsætninger!$D$67))</f>
        <v>0</v>
      </c>
      <c r="Z81" s="19">
        <f t="shared" si="46"/>
        <v>1154.2968627073326</v>
      </c>
      <c r="AA81" s="19">
        <f>Forudsætninger!$D$62+Forudsætninger!$C$16</f>
        <v>2055</v>
      </c>
      <c r="AB81" s="19">
        <f>IF(K81&gt;Forudsætninger!$C$37,IF(K81&gt;Forudsætninger!$C$38,IF(K81&gt;Forudsætninger!$C$39,Forudsætninger!$E$39,Forudsætninger!$E$38+Forudsætninger!$F$39*(K81-Forudsætninger!$C$38)),Forudsætninger!$E$37+Forudsætninger!$F$38*(K81-Forudsætninger!$C$37)),Forudsætninger!$E$37)+IF(K81&gt;Forudsætninger!$C$39,Forudsætninger!$G$39,IF(K81&gt;Forudsætninger!$C$38,Forudsætninger!$G$38+Forudsætninger!$H$39*(K81-Forudsætninger!$C$38),IF(K81&gt;Forudsætninger!$C$37,Forudsætninger!$G$37+Forudsætninger!$H$38*(K81-Forudsætninger!$C$37),Forudsætninger!$G$37)))*(U81-Forudsætninger!$H$37)</f>
        <v>35.195219901074488</v>
      </c>
      <c r="AC81" s="19">
        <f>IF(K81&gt;Forudsætninger!$C$42,IF(K81&gt;Forudsætninger!$C$43,IF(K81&gt;Forudsætninger!$C$44,Forudsætninger!$E$44,Forudsætninger!$E$43+Forudsætninger!$F$44*(K81-Forudsætninger!$C$43)),Forudsætninger!$E$42+Forudsætninger!$F$43*(K81-Forudsætninger!$C$42)),Forudsætninger!$E$42)+IF(K81&gt;Forudsætninger!$C$44,Forudsætninger!$G$44,IF(K81&gt;Forudsætninger!$C$43,Forudsætninger!$G$43+Forudsætninger!$H$44*(K81-Forudsætninger!$C$43),IF(K81&gt;Forudsætninger!$C$42,Forudsætninger!$G$42+Forudsætninger!$H$43*(K81-Forudsætninger!$C$42),Forudsætninger!$G$42)))*(V81-Forudsætninger!$H$42)</f>
        <v>30.138049752686218</v>
      </c>
      <c r="AD81" s="19">
        <f t="shared" si="34"/>
        <v>2448.9827499464232</v>
      </c>
      <c r="AE81" s="19">
        <f t="shared" si="35"/>
        <v>30.138049752686221</v>
      </c>
      <c r="AF81">
        <f>IF(G81&lt;=Forudsætninger!$C$97,Forudsætninger!$C$98,(IF(G81&lt;=Forudsætninger!$D$97,Forudsætninger!$D$98,IF(G81&lt;=Forudsætninger!$E$97,Forudsætninger!$E$98,IF(G81&lt;=Forudsætninger!$F$97,Forudsætninger!$F$98,IF(G81&lt;=Forudsætninger!$G$97,Forudsætninger!$G$98,IF(G81&lt;=Forudsætninger!$H$97,Forudsætninger!$H$98,IF(G81&lt;=Forudsætninger!$I$97,Forudsætninger!$I$98,Forudsætninger!$I$98))))))))</f>
        <v>2.2000000000000002</v>
      </c>
      <c r="AG81" s="1">
        <f t="shared" si="43"/>
        <v>2.2000000000000002</v>
      </c>
      <c r="AH81" s="1">
        <f t="shared" si="47"/>
        <v>173.79999999999987</v>
      </c>
      <c r="AI81" s="1">
        <f t="shared" si="36"/>
        <v>2.1999999999999984</v>
      </c>
      <c r="AJ81" s="20">
        <f>+(W81*Forudsætninger!$C$12)</f>
        <v>0</v>
      </c>
      <c r="AK81" s="20">
        <f>Forudsætninger!$C$17</f>
        <v>250</v>
      </c>
      <c r="AL81" s="20">
        <f>IF(A81&lt;92,Forudsætninger!$C$20,Forudsætninger!$C$21)</f>
        <v>4.0072859744990899</v>
      </c>
      <c r="AM81" s="20">
        <f t="shared" si="44"/>
        <v>316.57559198542839</v>
      </c>
      <c r="AN81" s="19">
        <f>IFERROR(AD81+AJ81-AA81-Z81-AK81-AM81-Forudsætninger!$D$75,-99999)</f>
        <v>-1544.7816784472982</v>
      </c>
      <c r="AO81" s="57">
        <f>IFERROR(AN81/(A81+Forudsætninger!$D$74),-99999)</f>
        <v>-19.554198461358204</v>
      </c>
      <c r="AP81" s="19">
        <f>IFERROR(((365/(A81+Forudsætninger!$D$74))*AN81)/(AI81+Forudsætninger!$D$73),-99999)</f>
        <v>-3089.7326573141772</v>
      </c>
      <c r="AQ81" s="18">
        <f t="shared" si="48"/>
        <v>79</v>
      </c>
      <c r="AR81" s="18">
        <f t="shared" si="49"/>
        <v>3775.8724546927606</v>
      </c>
      <c r="AS81" s="50">
        <f t="shared" si="50"/>
        <v>3.7</v>
      </c>
      <c r="AT81" s="50">
        <f t="shared" si="51"/>
        <v>6.6542211881805997</v>
      </c>
      <c r="AU81" s="50">
        <f t="shared" si="52"/>
        <v>0.33600538012229109</v>
      </c>
      <c r="AV81" s="2">
        <f t="shared" si="53"/>
        <v>53.0917591968132</v>
      </c>
      <c r="AW81" s="16">
        <f t="shared" si="45"/>
        <v>-15.54691248685911</v>
      </c>
      <c r="AZ81" s="16"/>
      <c r="BA81" s="2"/>
    </row>
    <row r="82" spans="1:53" x14ac:dyDescent="0.25">
      <c r="A82">
        <v>80</v>
      </c>
      <c r="B82" s="1">
        <f>ROUND((A82+Forudsætninger!$D$60)/30.4,1)</f>
        <v>3.8</v>
      </c>
      <c r="C82" s="1">
        <f>VLOOKUP((A82+Forudsætninger!$D$60),'Model tilvækst, slagteform, fe'!A:C,3,FALSE)</f>
        <v>183.71604238024997</v>
      </c>
      <c r="D82" s="3">
        <f t="shared" si="54"/>
        <v>1742.2936330862626</v>
      </c>
      <c r="E82" s="3">
        <f>(1+Forudsætninger!$D$78)*C82</f>
        <v>154.32147559940998</v>
      </c>
      <c r="F82" s="2">
        <f t="shared" ref="F82:F136" si="55">MAX(F81-((D82/1000)/25),0)</f>
        <v>6.4162484352428235</v>
      </c>
      <c r="G82" s="1">
        <f t="shared" si="30"/>
        <v>160.73772403465281</v>
      </c>
      <c r="H82" s="3">
        <f t="shared" si="37"/>
        <v>1393.8349064690385</v>
      </c>
      <c r="I82" s="3">
        <f t="shared" si="38"/>
        <v>1109.2215504331602</v>
      </c>
      <c r="J82" s="1">
        <f>VLOOKUP((A82+Forudsætninger!$D$60),'Model tilvækst, slagteform, fe'!G:K,3,FALSE)*(1+Forudsætninger!$D$79)</f>
        <v>51.018789912049201</v>
      </c>
      <c r="K82" s="17">
        <f t="shared" si="31"/>
        <v>82.006441734648931</v>
      </c>
      <c r="L82" s="17">
        <f t="shared" si="39"/>
        <v>747.60879612595943</v>
      </c>
      <c r="M82" s="3">
        <f>((K82-(('Model tilvækst, slagteform, fe'!$I$9/100)*'Model tilvækst, slagteform, fe'!$C$9))*1000/(A82+Forudsætninger!$D$60))</f>
        <v>528.84104191473341</v>
      </c>
      <c r="N82" s="17">
        <f t="shared" si="40"/>
        <v>256.23980598474765</v>
      </c>
      <c r="O82" s="19">
        <f>IF( A82&lt;Forudsætninger!$C$14,(G82/100)*Forudsætninger!$C$13,(Forudsætninger!$C$15/1000)*Forudsætninger!$C$13)</f>
        <v>1.0447952062252432</v>
      </c>
      <c r="P82" s="17" cm="1">
        <f t="array" ref="P82">INDEX('Model tilvækst, slagteform, fe'!$O$9:$O$375,MATCH(MIN(ABS('Model tilvækst, slagteform, fe'!$M$9:$M$375-G82)),ABS('Model tilvækst, slagteform, fe'!$M$9:$M$375-G82),0))*(1+Forudsætninger!$D$80)</f>
        <v>4.7262072105226185</v>
      </c>
      <c r="Q82" s="17">
        <f t="shared" si="41"/>
        <v>6.3217651196901281</v>
      </c>
      <c r="R82" s="17">
        <f t="shared" si="42"/>
        <v>5.4464898945321218</v>
      </c>
      <c r="S82" s="2">
        <f t="shared" si="32"/>
        <v>2.887608497651843</v>
      </c>
      <c r="T82" s="19">
        <f>(P82)*IF(N82&lt;Forudsætninger!$B$228,IF(N82&lt;Forudsætninger!$B$227,Forudsætninger!$B$225,Forudsætninger!$C$9),Forudsætninger!$C$11)+O82</f>
        <v>12.104120078848171</v>
      </c>
      <c r="U82" s="2">
        <f>Forudsætninger!$D$68+((K82-(Forudsætninger!$D$84)))*0.01</f>
        <v>5.9596750987061418</v>
      </c>
      <c r="V82" s="2">
        <f>U82+Forudsætninger!$D$69</f>
        <v>5.9596750987061418</v>
      </c>
      <c r="W82">
        <f t="shared" si="33"/>
        <v>0</v>
      </c>
      <c r="X82">
        <f>IF(A82+Forudsætninger!$D$60&gt;248,IF(A82+Forudsætninger!$D$60&lt;365,IF(K82&gt;180,IF(K82&lt;260,1,0),0),0),0)</f>
        <v>0</v>
      </c>
      <c r="Y82" s="22">
        <f>IF(X82=0,0,IF('Vækstfunktion, kry tyr'!A82&lt;Forudsætninger!$D$66,Forudsætninger!$D$67+(('Vækstfunktion, kry tyr'!A82-Forudsætninger!$D$66)/7)*Forudsætninger!$D$64,Forudsætninger!$D$67))</f>
        <v>0</v>
      </c>
      <c r="Z82" s="19">
        <f t="shared" si="46"/>
        <v>1166.4009827861807</v>
      </c>
      <c r="AA82" s="19">
        <f>Forudsætninger!$D$62+Forudsætninger!$C$16</f>
        <v>2055</v>
      </c>
      <c r="AB82" s="19">
        <f>IF(K82&gt;Forudsætninger!$C$37,IF(K82&gt;Forudsætninger!$C$38,IF(K82&gt;Forudsætninger!$C$39,Forudsætninger!$E$39,Forudsætninger!$E$38+Forudsætninger!$F$39*(K82-Forudsætninger!$C$38)),Forudsætninger!$E$37+Forudsætninger!$F$38*(K82-Forudsætninger!$C$37)),Forudsætninger!$E$37)+IF(K82&gt;Forudsætninger!$C$39,Forudsætninger!$G$39,IF(K82&gt;Forudsætninger!$C$38,Forudsætninger!$G$38+Forudsætninger!$H$39*(K82-Forudsætninger!$C$38),IF(K82&gt;Forudsætninger!$C$37,Forudsætninger!$G$37+Forudsætninger!$H$38*(K82-Forudsætninger!$C$37),Forudsætninger!$G$37)))*(U82-Forudsætninger!$H$37)</f>
        <v>35.195967509870613</v>
      </c>
      <c r="AC82" s="19">
        <f>IF(K82&gt;Forudsætninger!$C$42,IF(K82&gt;Forudsætninger!$C$43,IF(K82&gt;Forudsætninger!$C$44,Forudsætninger!$E$44,Forudsætninger!$E$43+Forudsætninger!$F$44*(K82-Forudsætninger!$C$43)),Forudsætninger!$E$42+Forudsætninger!$F$43*(K82-Forudsætninger!$C$42)),Forudsætninger!$E$42)+IF(K82&gt;Forudsætninger!$C$44,Forudsætninger!$G$44,IF(K82&gt;Forudsætninger!$C$43,Forudsætninger!$G$43+Forudsætninger!$H$44*(K82-Forudsætninger!$C$43),IF(K82&gt;Forudsætninger!$C$42,Forudsætninger!$G$42+Forudsætninger!$H$43*(K82-Forudsætninger!$C$42),Forudsætninger!$G$42)))*(V82-Forudsætninger!$H$42)</f>
        <v>30.139918774676534</v>
      </c>
      <c r="AD82" s="19">
        <f t="shared" si="34"/>
        <v>2471.6674928825628</v>
      </c>
      <c r="AE82" s="19">
        <f t="shared" si="35"/>
        <v>30.139918774676538</v>
      </c>
      <c r="AF82">
        <f>IF(G82&lt;=Forudsætninger!$C$97,Forudsætninger!$C$98,(IF(G82&lt;=Forudsætninger!$D$97,Forudsætninger!$D$98,IF(G82&lt;=Forudsætninger!$E$97,Forudsætninger!$E$98,IF(G82&lt;=Forudsætninger!$F$97,Forudsætninger!$F$98,IF(G82&lt;=Forudsætninger!$G$97,Forudsætninger!$G$98,IF(G82&lt;=Forudsætninger!$H$97,Forudsætninger!$H$98,IF(G82&lt;=Forudsætninger!$I$97,Forudsætninger!$I$98,Forudsætninger!$I$98))))))))</f>
        <v>2.2000000000000002</v>
      </c>
      <c r="AG82" s="1">
        <f t="shared" si="43"/>
        <v>2.2000000000000002</v>
      </c>
      <c r="AH82" s="1">
        <f t="shared" si="47"/>
        <v>175.99999999999986</v>
      </c>
      <c r="AI82" s="1">
        <f t="shared" si="36"/>
        <v>2.1999999999999984</v>
      </c>
      <c r="AJ82" s="20">
        <f>+(W82*Forudsætninger!$C$12)</f>
        <v>0</v>
      </c>
      <c r="AK82" s="20">
        <f>Forudsætninger!$C$17</f>
        <v>250</v>
      </c>
      <c r="AL82" s="20">
        <f>IF(A82&lt;92,Forudsætninger!$C$20,Forudsætninger!$C$21)</f>
        <v>4.0072859744990899</v>
      </c>
      <c r="AM82" s="20">
        <f t="shared" si="44"/>
        <v>320.58287795992749</v>
      </c>
      <c r="AN82" s="19">
        <f>IFERROR(AD82+AJ82-AA82-Z82-AK82-AM82-Forudsætninger!$D$75,-99999)</f>
        <v>-1538.2083415645059</v>
      </c>
      <c r="AO82" s="57">
        <f>IFERROR(AN82/(A82+Forudsætninger!$D$74),-99999)</f>
        <v>-19.227604269556323</v>
      </c>
      <c r="AP82" s="19">
        <f>IFERROR(((365/(A82+Forudsætninger!$D$74))*AN82)/(AI82+Forudsætninger!$D$73),-99999)</f>
        <v>-3038.1279473541399</v>
      </c>
      <c r="AQ82" s="18">
        <f t="shared" si="48"/>
        <v>80</v>
      </c>
      <c r="AR82" s="18">
        <f t="shared" si="49"/>
        <v>3791.9838607461083</v>
      </c>
      <c r="AS82" s="50">
        <f t="shared" si="50"/>
        <v>3.8</v>
      </c>
      <c r="AT82" s="50">
        <f t="shared" si="51"/>
        <v>6.5733368827923186</v>
      </c>
      <c r="AU82" s="50">
        <f t="shared" si="52"/>
        <v>0.3265941918018811</v>
      </c>
      <c r="AV82" s="2">
        <f t="shared" si="53"/>
        <v>51.604709960037326</v>
      </c>
      <c r="AW82" s="16">
        <f t="shared" si="45"/>
        <v>-15.220318295057229</v>
      </c>
      <c r="AZ82" s="16"/>
      <c r="BA82" s="2"/>
    </row>
    <row r="83" spans="1:53" x14ac:dyDescent="0.25">
      <c r="A83">
        <v>81</v>
      </c>
      <c r="B83" s="1">
        <f>ROUND((A83+Forudsætninger!$D$60)/30.4,1)</f>
        <v>3.8</v>
      </c>
      <c r="C83" s="1">
        <f>VLOOKUP((A83+Forudsætninger!$D$60),'Model tilvækst, slagteform, fe'!A:C,3,FALSE)</f>
        <v>185.46300866119347</v>
      </c>
      <c r="D83" s="3">
        <f t="shared" si="54"/>
        <v>1746.9662809434965</v>
      </c>
      <c r="E83" s="3">
        <f>(1+Forudsætninger!$D$78)*C83</f>
        <v>155.7889272754025</v>
      </c>
      <c r="F83" s="2">
        <f t="shared" si="55"/>
        <v>6.3463697840050832</v>
      </c>
      <c r="G83" s="1">
        <f t="shared" si="30"/>
        <v>162.13529705940758</v>
      </c>
      <c r="H83" s="3">
        <f t="shared" si="37"/>
        <v>1397.5730247547631</v>
      </c>
      <c r="I83" s="3">
        <f t="shared" si="38"/>
        <v>1112.7814451778713</v>
      </c>
      <c r="J83" s="1">
        <f>VLOOKUP((A83+Forudsætninger!$D$60),'Model tilvækst, slagteform, fe'!G:K,3,FALSE)*(1+Forudsætninger!$D$79)</f>
        <v>51.04172061036374</v>
      </c>
      <c r="K83" s="17">
        <f t="shared" si="31"/>
        <v>82.756645335846116</v>
      </c>
      <c r="L83" s="17">
        <f t="shared" si="39"/>
        <v>750.20360119718532</v>
      </c>
      <c r="M83" s="3">
        <f>((K83-(('Model tilvækst, slagteform, fe'!$I$9/100)*'Model tilvækst, slagteform, fe'!$C$9))*1000/(A83+Forudsætninger!$D$60))</f>
        <v>530.76593373458081</v>
      </c>
      <c r="N83" s="17">
        <f t="shared" si="40"/>
        <v>260.99865550661815</v>
      </c>
      <c r="O83" s="19">
        <f>IF( A83&lt;Forudsætninger!$C$14,(G83/100)*Forudsætninger!$C$13,(Forudsætninger!$C$15/1000)*Forudsætninger!$C$13)</f>
        <v>1.0538794308861492</v>
      </c>
      <c r="P83" s="17" cm="1">
        <f t="array" ref="P83">INDEX('Model tilvækst, slagteform, fe'!$O$9:$O$375,MATCH(MIN(ABS('Model tilvækst, slagteform, fe'!$M$9:$M$375-G83)),ABS('Model tilvækst, slagteform, fe'!$M$9:$M$375-G83),0))*(1+Forudsætninger!$D$80)</f>
        <v>4.7588495218705029</v>
      </c>
      <c r="Q83" s="17">
        <f t="shared" si="41"/>
        <v>6.3434106611542047</v>
      </c>
      <c r="R83" s="17">
        <f t="shared" si="42"/>
        <v>5.4605676281786142</v>
      </c>
      <c r="S83" s="2">
        <f t="shared" si="32"/>
        <v>2.8956320556040955</v>
      </c>
      <c r="T83" s="19">
        <f>(P83)*IF(N83&lt;Forudsætninger!$B$228,IF(N83&lt;Forudsætninger!$B$227,Forudsætninger!$B$225,Forudsætninger!$C$9),Forudsætninger!$C$11)+O83</f>
        <v>12.189587312063125</v>
      </c>
      <c r="U83" s="2">
        <f>Forudsætninger!$D$68+((K83-(Forudsætninger!$D$84)))*0.01</f>
        <v>5.9671771347181135</v>
      </c>
      <c r="V83" s="2">
        <f>U83+Forudsætninger!$D$69</f>
        <v>5.9671771347181135</v>
      </c>
      <c r="W83">
        <f t="shared" si="33"/>
        <v>0</v>
      </c>
      <c r="X83">
        <f>IF(A83+Forudsætninger!$D$60&gt;248,IF(A83+Forudsætninger!$D$60&lt;365,IF(K83&gt;180,IF(K83&lt;260,1,0),0),0),0)</f>
        <v>0</v>
      </c>
      <c r="Y83" s="22">
        <f>IF(X83=0,0,IF('Vækstfunktion, kry tyr'!A83&lt;Forudsætninger!$D$66,Forudsætninger!$D$67+(('Vækstfunktion, kry tyr'!A83-Forudsætninger!$D$66)/7)*Forudsætninger!$D$64,Forudsætninger!$D$67))</f>
        <v>0</v>
      </c>
      <c r="Z83" s="19">
        <f t="shared" si="46"/>
        <v>1178.5905700982439</v>
      </c>
      <c r="AA83" s="19">
        <f>Forudsætninger!$D$62+Forudsætninger!$C$16</f>
        <v>2055</v>
      </c>
      <c r="AB83" s="19">
        <f>IF(K83&gt;Forudsætninger!$C$37,IF(K83&gt;Forudsætninger!$C$38,IF(K83&gt;Forudsætninger!$C$39,Forudsætninger!$E$39,Forudsætninger!$E$38+Forudsætninger!$F$39*(K83-Forudsætninger!$C$38)),Forudsætninger!$E$37+Forudsætninger!$F$38*(K83-Forudsætninger!$C$37)),Forudsætninger!$E$37)+IF(K83&gt;Forudsætninger!$C$39,Forudsætninger!$G$39,IF(K83&gt;Forudsætninger!$C$38,Forudsætninger!$G$38+Forudsætninger!$H$39*(K83-Forudsætninger!$C$38),IF(K83&gt;Forudsætninger!$C$37,Forudsætninger!$G$37+Forudsætninger!$H$38*(K83-Forudsætninger!$C$37),Forudsætninger!$G$37)))*(U83-Forudsætninger!$H$37)</f>
        <v>35.196717713471813</v>
      </c>
      <c r="AC83" s="19">
        <f>IF(K83&gt;Forudsætninger!$C$42,IF(K83&gt;Forudsætninger!$C$43,IF(K83&gt;Forudsætninger!$C$44,Forudsætninger!$E$44,Forudsætninger!$E$43+Forudsætninger!$F$44*(K83-Forudsætninger!$C$43)),Forudsætninger!$E$42+Forudsætninger!$F$43*(K83-Forudsætninger!$C$42)),Forudsætninger!$E$42)+IF(K83&gt;Forudsætninger!$C$44,Forudsætninger!$G$44,IF(K83&gt;Forudsætninger!$C$43,Forudsætninger!$G$43+Forudsætninger!$H$44*(K83-Forudsætninger!$C$43),IF(K83&gt;Forudsætninger!$C$42,Forudsætninger!$G$42+Forudsætninger!$H$43*(K83-Forudsætninger!$C$42),Forudsætninger!$G$42)))*(V83-Forudsætninger!$H$42)</f>
        <v>30.141794283679527</v>
      </c>
      <c r="AD83" s="19">
        <f t="shared" si="34"/>
        <v>2494.4337793205004</v>
      </c>
      <c r="AE83" s="19">
        <f t="shared" si="35"/>
        <v>30.141794283679527</v>
      </c>
      <c r="AF83">
        <f>IF(G83&lt;=Forudsætninger!$C$97,Forudsætninger!$C$98,(IF(G83&lt;=Forudsætninger!$D$97,Forudsætninger!$D$98,IF(G83&lt;=Forudsætninger!$E$97,Forudsætninger!$E$98,IF(G83&lt;=Forudsætninger!$F$97,Forudsætninger!$F$98,IF(G83&lt;=Forudsætninger!$G$97,Forudsætninger!$G$98,IF(G83&lt;=Forudsætninger!$H$97,Forudsætninger!$H$98,IF(G83&lt;=Forudsætninger!$I$97,Forudsætninger!$I$98,Forudsætninger!$I$98))))))))</f>
        <v>2.2000000000000002</v>
      </c>
      <c r="AG83" s="1">
        <f t="shared" si="43"/>
        <v>2.2000000000000002</v>
      </c>
      <c r="AH83" s="1">
        <f t="shared" si="47"/>
        <v>178.19999999999985</v>
      </c>
      <c r="AI83" s="1">
        <f t="shared" si="36"/>
        <v>2.199999999999998</v>
      </c>
      <c r="AJ83" s="20">
        <f>+(W83*Forudsætninger!$C$12)</f>
        <v>0</v>
      </c>
      <c r="AK83" s="20">
        <f>Forudsætninger!$C$17</f>
        <v>250</v>
      </c>
      <c r="AL83" s="20">
        <f>IF(A83&lt;92,Forudsætninger!$C$20,Forudsætninger!$C$21)</f>
        <v>4.0072859744990899</v>
      </c>
      <c r="AM83" s="20">
        <f t="shared" si="44"/>
        <v>324.59016393442658</v>
      </c>
      <c r="AN83" s="19">
        <f>IFERROR(AD83+AJ83-AA83-Z83-AK83-AM83-Forudsætninger!$D$75,-99999)</f>
        <v>-1531.6389284131303</v>
      </c>
      <c r="AO83" s="57">
        <f>IFERROR(AN83/(A83+Forudsætninger!$D$74),-99999)</f>
        <v>-18.909122573001611</v>
      </c>
      <c r="AP83" s="19">
        <f>IFERROR(((365/(A83+Forudsætninger!$D$74))*AN83)/(AI83+Forudsætninger!$D$73),-99999)</f>
        <v>-2987.8050818812089</v>
      </c>
      <c r="AQ83" s="18">
        <f t="shared" si="48"/>
        <v>81</v>
      </c>
      <c r="AR83" s="18">
        <f t="shared" si="49"/>
        <v>3808.1807340326704</v>
      </c>
      <c r="AS83" s="50">
        <f t="shared" si="50"/>
        <v>3.8</v>
      </c>
      <c r="AT83" s="50">
        <f t="shared" si="51"/>
        <v>6.5694131513755565</v>
      </c>
      <c r="AU83" s="50">
        <f t="shared" si="52"/>
        <v>0.31848169655471281</v>
      </c>
      <c r="AV83" s="2">
        <f t="shared" si="53"/>
        <v>50.322865472930971</v>
      </c>
      <c r="AW83" s="16">
        <f t="shared" si="45"/>
        <v>-14.901836598502516</v>
      </c>
      <c r="AZ83" s="16"/>
      <c r="BA83" s="2"/>
    </row>
    <row r="84" spans="1:53" x14ac:dyDescent="0.25">
      <c r="A84">
        <v>82</v>
      </c>
      <c r="B84" s="1">
        <f>ROUND((A84+Forudsætninger!$D$60)/30.4,1)</f>
        <v>3.8</v>
      </c>
      <c r="C84" s="1">
        <f>VLOOKUP((A84+Forudsætninger!$D$60),'Model tilvækst, slagteform, fe'!A:C,3,FALSE)</f>
        <v>187.21453996739808</v>
      </c>
      <c r="D84" s="3">
        <f t="shared" si="54"/>
        <v>1751.5313062046118</v>
      </c>
      <c r="E84" s="3">
        <f>(1+Forudsætninger!$D$78)*C84</f>
        <v>157.26021357261439</v>
      </c>
      <c r="F84" s="2">
        <f t="shared" si="55"/>
        <v>6.2763085317568992</v>
      </c>
      <c r="G84" s="1">
        <f t="shared" si="30"/>
        <v>163.5365221043713</v>
      </c>
      <c r="H84" s="3">
        <f t="shared" si="37"/>
        <v>1401.2250449637236</v>
      </c>
      <c r="I84" s="3">
        <f t="shared" si="38"/>
        <v>1116.2990500533085</v>
      </c>
      <c r="J84" s="1">
        <f>VLOOKUP((A84+Forudsætninger!$D$60),'Model tilvækst, slagteform, fe'!G:K,3,FALSE)*(1+Forudsætninger!$D$79)</f>
        <v>51.06469221836052</v>
      </c>
      <c r="K84" s="17">
        <f t="shared" si="31"/>
        <v>83.509421677208323</v>
      </c>
      <c r="L84" s="17">
        <f t="shared" si="39"/>
        <v>752.77634136220684</v>
      </c>
      <c r="M84" s="3">
        <f>((K84-(('Model tilvækst, slagteform, fe'!$I$9/100)*'Model tilvækst, slagteform, fe'!$C$9))*1000/(A84+Forudsætninger!$D$60))</f>
        <v>532.67981655895687</v>
      </c>
      <c r="N84" s="17">
        <f t="shared" si="40"/>
        <v>265.7899627222717</v>
      </c>
      <c r="O84" s="19">
        <f>IF( A84&lt;Forudsætninger!$C$14,(G84/100)*Forudsætninger!$C$13,(Forudsætninger!$C$15/1000)*Forudsætninger!$C$13)</f>
        <v>1.0629873936784136</v>
      </c>
      <c r="P84" s="17" cm="1">
        <f t="array" ref="P84">INDEX('Model tilvækst, slagteform, fe'!$O$9:$O$375,MATCH(MIN(ABS('Model tilvækst, slagteform, fe'!$M$9:$M$375-G84)),ABS('Model tilvækst, slagteform, fe'!$M$9:$M$375-G84),0))*(1+Forudsætninger!$D$80)</f>
        <v>4.7913072156535383</v>
      </c>
      <c r="Q84" s="17">
        <f t="shared" si="41"/>
        <v>6.3648482987434205</v>
      </c>
      <c r="R84" s="17">
        <f t="shared" si="42"/>
        <v>5.4745887296347657</v>
      </c>
      <c r="S84" s="2">
        <f t="shared" si="32"/>
        <v>2.9036493479533125</v>
      </c>
      <c r="T84" s="19">
        <f>(P84)*IF(N84&lt;Forudsætninger!$B$228,IF(N84&lt;Forudsætninger!$B$227,Forudsætninger!$B$225,Forudsætninger!$C$9),Forudsætninger!$C$11)+O84</f>
        <v>12.274646278307692</v>
      </c>
      <c r="U84" s="2">
        <f>Forudsætninger!$D$68+((K84-(Forudsætninger!$D$84)))*0.01</f>
        <v>5.9747048981317352</v>
      </c>
      <c r="V84" s="2">
        <f>U84+Forudsætninger!$D$69</f>
        <v>5.9747048981317352</v>
      </c>
      <c r="W84">
        <f t="shared" si="33"/>
        <v>0</v>
      </c>
      <c r="X84">
        <f>IF(A84+Forudsætninger!$D$60&gt;248,IF(A84+Forudsætninger!$D$60&lt;365,IF(K84&gt;180,IF(K84&lt;260,1,0),0),0),0)</f>
        <v>0</v>
      </c>
      <c r="Y84" s="22">
        <f>IF(X84=0,0,IF('Vækstfunktion, kry tyr'!A84&lt;Forudsætninger!$D$66,Forudsætninger!$D$67+(('Vækstfunktion, kry tyr'!A84-Forudsætninger!$D$66)/7)*Forudsætninger!$D$64,Forudsætninger!$D$67))</f>
        <v>0</v>
      </c>
      <c r="Z84" s="19">
        <f t="shared" si="46"/>
        <v>1190.8652163765516</v>
      </c>
      <c r="AA84" s="19">
        <f>Forudsætninger!$D$62+Forudsætninger!$C$16</f>
        <v>2055</v>
      </c>
      <c r="AB84" s="19">
        <f>IF(K84&gt;Forudsætninger!$C$37,IF(K84&gt;Forudsætninger!$C$38,IF(K84&gt;Forudsætninger!$C$39,Forudsætninger!$E$39,Forudsætninger!$E$38+Forudsætninger!$F$39*(K84-Forudsætninger!$C$38)),Forudsætninger!$E$37+Forudsætninger!$F$38*(K84-Forudsætninger!$C$37)),Forudsætninger!$E$37)+IF(K84&gt;Forudsætninger!$C$39,Forudsætninger!$G$39,IF(K84&gt;Forudsætninger!$C$38,Forudsætninger!$G$38+Forudsætninger!$H$39*(K84-Forudsætninger!$C$38),IF(K84&gt;Forudsætninger!$C$37,Forudsætninger!$G$37+Forudsætninger!$H$38*(K84-Forudsætninger!$C$37),Forudsætninger!$G$37)))*(U84-Forudsætninger!$H$37)</f>
        <v>35.197470489813171</v>
      </c>
      <c r="AC84" s="19">
        <f>IF(K84&gt;Forudsætninger!$C$42,IF(K84&gt;Forudsætninger!$C$43,IF(K84&gt;Forudsætninger!$C$44,Forudsætninger!$E$44,Forudsætninger!$E$43+Forudsætninger!$F$44*(K84-Forudsætninger!$C$43)),Forudsætninger!$E$42+Forudsætninger!$F$43*(K84-Forudsætninger!$C$42)),Forudsætninger!$E$42)+IF(K84&gt;Forudsætninger!$C$44,Forudsætninger!$G$44,IF(K84&gt;Forudsætninger!$C$43,Forudsætninger!$G$43+Forudsætninger!$H$44*(K84-Forudsætninger!$C$43),IF(K84&gt;Forudsætninger!$C$42,Forudsætninger!$G$42+Forudsætninger!$H$43*(K84-Forudsætninger!$C$42),Forudsætninger!$G$42)))*(V84-Forudsætninger!$H$42)</f>
        <v>30.143676224532932</v>
      </c>
      <c r="AD84" s="19">
        <f t="shared" si="34"/>
        <v>2517.2809687357594</v>
      </c>
      <c r="AE84" s="19">
        <f t="shared" si="35"/>
        <v>30.143676224532932</v>
      </c>
      <c r="AF84">
        <f>IF(G84&lt;=Forudsætninger!$C$97,Forudsætninger!$C$98,(IF(G84&lt;=Forudsætninger!$D$97,Forudsætninger!$D$98,IF(G84&lt;=Forudsætninger!$E$97,Forudsætninger!$E$98,IF(G84&lt;=Forudsætninger!$F$97,Forudsætninger!$F$98,IF(G84&lt;=Forudsætninger!$G$97,Forudsætninger!$G$98,IF(G84&lt;=Forudsætninger!$H$97,Forudsætninger!$H$98,IF(G84&lt;=Forudsætninger!$I$97,Forudsætninger!$I$98,Forudsætninger!$I$98))))))))</f>
        <v>2.2000000000000002</v>
      </c>
      <c r="AG84" s="1">
        <f t="shared" si="43"/>
        <v>2.2000000000000002</v>
      </c>
      <c r="AH84" s="1">
        <f t="shared" si="47"/>
        <v>180.39999999999984</v>
      </c>
      <c r="AI84" s="1">
        <f t="shared" si="36"/>
        <v>2.199999999999998</v>
      </c>
      <c r="AJ84" s="20">
        <f>+(W84*Forudsætninger!$C$12)</f>
        <v>0</v>
      </c>
      <c r="AK84" s="20">
        <f>Forudsætninger!$C$17</f>
        <v>250</v>
      </c>
      <c r="AL84" s="20">
        <f>IF(A84&lt;92,Forudsætninger!$C$20,Forudsætninger!$C$21)</f>
        <v>4.0072859744990899</v>
      </c>
      <c r="AM84" s="20">
        <f t="shared" si="44"/>
        <v>328.59744990892568</v>
      </c>
      <c r="AN84" s="19">
        <f>IFERROR(AD84+AJ84-AA84-Z84-AK84-AM84-Forudsætninger!$D$75,-99999)</f>
        <v>-1525.0736712506782</v>
      </c>
      <c r="AO84" s="57">
        <f>IFERROR(AN84/(A84+Forudsætninger!$D$74),-99999)</f>
        <v>-18.598459405496076</v>
      </c>
      <c r="AP84" s="19">
        <f>IFERROR(((365/(A84+Forudsætninger!$D$74))*AN84)/(AI84+Forudsætninger!$D$73),-99999)</f>
        <v>-2938.7176116909409</v>
      </c>
      <c r="AQ84" s="18">
        <f t="shared" si="48"/>
        <v>82</v>
      </c>
      <c r="AR84" s="18">
        <f t="shared" si="49"/>
        <v>3824.4626662854776</v>
      </c>
      <c r="AS84" s="50">
        <f t="shared" si="50"/>
        <v>3.8</v>
      </c>
      <c r="AT84" s="50">
        <f t="shared" si="51"/>
        <v>6.5652571624520988</v>
      </c>
      <c r="AU84" s="50">
        <f t="shared" si="52"/>
        <v>0.31066316750553469</v>
      </c>
      <c r="AV84" s="2">
        <f t="shared" si="53"/>
        <v>49.08747019026805</v>
      </c>
      <c r="AW84" s="16">
        <f t="shared" si="45"/>
        <v>-14.591173430996982</v>
      </c>
      <c r="AZ84" s="16"/>
      <c r="BA84" s="2"/>
    </row>
    <row r="85" spans="1:53" x14ac:dyDescent="0.25">
      <c r="A85">
        <v>83</v>
      </c>
      <c r="B85" s="1">
        <f>ROUND((A85+Forudsætninger!$D$60)/30.4,1)</f>
        <v>3.8</v>
      </c>
      <c r="C85" s="1">
        <f>VLOOKUP((A85+Forudsætninger!$D$60),'Model tilvækst, slagteform, fe'!A:C,3,FALSE)</f>
        <v>188.97052929720434</v>
      </c>
      <c r="D85" s="3">
        <f t="shared" si="54"/>
        <v>1755.9893298062548</v>
      </c>
      <c r="E85" s="3">
        <f>(1+Forudsætninger!$D$78)*C85</f>
        <v>158.73524460965163</v>
      </c>
      <c r="F85" s="2">
        <f t="shared" si="55"/>
        <v>6.2060689585646491</v>
      </c>
      <c r="G85" s="1">
        <f t="shared" si="30"/>
        <v>164.94131356821629</v>
      </c>
      <c r="H85" s="3">
        <f t="shared" si="37"/>
        <v>1404.7914638449868</v>
      </c>
      <c r="I85" s="3">
        <f t="shared" si="38"/>
        <v>1119.7748622676661</v>
      </c>
      <c r="J85" s="1">
        <f>VLOOKUP((A85+Forudsætninger!$D$60),'Model tilvækst, slagteform, fe'!G:K,3,FALSE)*(1+Forudsætninger!$D$79)</f>
        <v>51.087715790152572</v>
      </c>
      <c r="K85" s="17">
        <f t="shared" si="31"/>
        <v>84.264749496274703</v>
      </c>
      <c r="L85" s="17">
        <f t="shared" si="39"/>
        <v>755.32781906638036</v>
      </c>
      <c r="M85" s="3">
        <f>((K85-(('Model tilvækst, slagteform, fe'!$I$9/100)*'Model tilvækst, slagteform, fe'!$C$9))*1000/(A85+Forudsætninger!$D$60))</f>
        <v>534.58279093936221</v>
      </c>
      <c r="N85" s="17">
        <f t="shared" si="40"/>
        <v>270.61353984695137</v>
      </c>
      <c r="O85" s="19">
        <f>IF( A85&lt;Forudsætninger!$C$14,(G85/100)*Forudsætninger!$C$13,(Forudsætninger!$C$15/1000)*Forudsætninger!$C$13)</f>
        <v>1.072118538193406</v>
      </c>
      <c r="P85" s="17" cm="1">
        <f t="array" ref="P85">INDEX('Model tilvækst, slagteform, fe'!$O$9:$O$375,MATCH(MIN(ABS('Model tilvækst, slagteform, fe'!$M$9:$M$375-G85)),ABS('Model tilvækst, slagteform, fe'!$M$9:$M$375-G85),0))*(1+Forudsætninger!$D$80)</f>
        <v>4.8235771246796517</v>
      </c>
      <c r="Q85" s="17">
        <f t="shared" si="41"/>
        <v>6.3860710580497528</v>
      </c>
      <c r="R85" s="17">
        <f t="shared" si="42"/>
        <v>5.4885521562405533</v>
      </c>
      <c r="S85" s="2">
        <f t="shared" si="32"/>
        <v>2.9116603742460421</v>
      </c>
      <c r="T85" s="19">
        <f>(P85)*IF(N85&lt;Forudsætninger!$B$228,IF(N85&lt;Forudsætninger!$B$227,Forudsætninger!$B$225,Forudsætninger!$C$9),Forudsætninger!$C$11)+O85</f>
        <v>12.35928900994379</v>
      </c>
      <c r="U85" s="2">
        <f>Forudsætninger!$D$68+((K85-(Forudsætninger!$D$84)))*0.01</f>
        <v>5.9822581763223992</v>
      </c>
      <c r="V85" s="2">
        <f>U85+Forudsætninger!$D$69</f>
        <v>5.9822581763223992</v>
      </c>
      <c r="W85">
        <f t="shared" si="33"/>
        <v>0</v>
      </c>
      <c r="X85">
        <f>IF(A85+Forudsætninger!$D$60&gt;248,IF(A85+Forudsætninger!$D$60&lt;365,IF(K85&gt;180,IF(K85&lt;260,1,0),0),0),0)</f>
        <v>0</v>
      </c>
      <c r="Y85" s="22">
        <f>IF(X85=0,0,IF('Vækstfunktion, kry tyr'!A85&lt;Forudsætninger!$D$66,Forudsætninger!$D$67+(('Vækstfunktion, kry tyr'!A85-Forudsætninger!$D$66)/7)*Forudsætninger!$D$64,Forudsætninger!$D$67))</f>
        <v>0</v>
      </c>
      <c r="Z85" s="19">
        <f t="shared" si="46"/>
        <v>1203.2245053864954</v>
      </c>
      <c r="AA85" s="19">
        <f>Forudsætninger!$D$62+Forudsætninger!$C$16</f>
        <v>2055</v>
      </c>
      <c r="AB85" s="19">
        <f>IF(K85&gt;Forudsætninger!$C$37,IF(K85&gt;Forudsætninger!$C$38,IF(K85&gt;Forudsætninger!$C$39,Forudsætninger!$E$39,Forudsætninger!$E$38+Forudsætninger!$F$39*(K85-Forudsætninger!$C$38)),Forudsætninger!$E$37+Forudsætninger!$F$38*(K85-Forudsætninger!$C$37)),Forudsætninger!$E$37)+IF(K85&gt;Forudsætninger!$C$39,Forudsætninger!$G$39,IF(K85&gt;Forudsætninger!$C$38,Forudsætninger!$G$38+Forudsætninger!$H$39*(K85-Forudsætninger!$C$38),IF(K85&gt;Forudsætninger!$C$37,Forudsætninger!$G$37+Forudsætninger!$H$38*(K85-Forudsætninger!$C$37),Forudsætninger!$G$37)))*(U85-Forudsætninger!$H$37)</f>
        <v>35.198225817632242</v>
      </c>
      <c r="AC85" s="19">
        <f>IF(K85&gt;Forudsætninger!$C$42,IF(K85&gt;Forudsætninger!$C$43,IF(K85&gt;Forudsætninger!$C$44,Forudsætninger!$E$44,Forudsætninger!$E$43+Forudsætninger!$F$44*(K85-Forudsætninger!$C$43)),Forudsætninger!$E$42+Forudsætninger!$F$43*(K85-Forudsætninger!$C$42)),Forudsætninger!$E$42)+IF(K85&gt;Forudsætninger!$C$44,Forudsætninger!$G$44,IF(K85&gt;Forudsætninger!$C$43,Forudsætninger!$G$43+Forudsætninger!$H$44*(K85-Forudsætninger!$C$43),IF(K85&gt;Forudsætninger!$C$42,Forudsætninger!$G$42+Forudsætninger!$H$43*(K85-Forudsætninger!$C$42),Forudsætninger!$G$42)))*(V85-Forudsætninger!$H$42)</f>
        <v>30.145564544080599</v>
      </c>
      <c r="AD85" s="19">
        <f t="shared" si="34"/>
        <v>2540.208444730732</v>
      </c>
      <c r="AE85" s="19">
        <f t="shared" si="35"/>
        <v>30.145564544080596</v>
      </c>
      <c r="AF85">
        <f>IF(G85&lt;=Forudsætninger!$C$97,Forudsætninger!$C$98,(IF(G85&lt;=Forudsætninger!$D$97,Forudsætninger!$D$98,IF(G85&lt;=Forudsætninger!$E$97,Forudsætninger!$E$98,IF(G85&lt;=Forudsætninger!$F$97,Forudsætninger!$F$98,IF(G85&lt;=Forudsætninger!$G$97,Forudsætninger!$G$98,IF(G85&lt;=Forudsætninger!$H$97,Forudsætninger!$H$98,IF(G85&lt;=Forudsætninger!$I$97,Forudsætninger!$I$98,Forudsætninger!$I$98))))))))</f>
        <v>2.2000000000000002</v>
      </c>
      <c r="AG85" s="1">
        <f t="shared" si="43"/>
        <v>2.2000000000000002</v>
      </c>
      <c r="AH85" s="1">
        <f t="shared" si="47"/>
        <v>182.59999999999982</v>
      </c>
      <c r="AI85" s="1">
        <f t="shared" si="36"/>
        <v>2.199999999999998</v>
      </c>
      <c r="AJ85" s="20">
        <f>+(W85*Forudsætninger!$C$12)</f>
        <v>0</v>
      </c>
      <c r="AK85" s="20">
        <f>Forudsætninger!$C$17</f>
        <v>250</v>
      </c>
      <c r="AL85" s="20">
        <f>IF(A85&lt;92,Forudsætninger!$C$20,Forudsætninger!$C$21)</f>
        <v>4.0072859744990899</v>
      </c>
      <c r="AM85" s="20">
        <f t="shared" si="44"/>
        <v>332.60473588342478</v>
      </c>
      <c r="AN85" s="19">
        <f>IFERROR(AD85+AJ85-AA85-Z85-AK85-AM85-Forudsætninger!$D$75,-99999)</f>
        <v>-1518.5127702401485</v>
      </c>
      <c r="AO85" s="57">
        <f>IFERROR(AN85/(A85+Forudsætninger!$D$74),-99999)</f>
        <v>-18.295334581206607</v>
      </c>
      <c r="AP85" s="19">
        <f>IFERROR(((365/(A85+Forudsætninger!$D$74))*AN85)/(AI85+Forudsætninger!$D$73),-99999)</f>
        <v>-2890.8212649958518</v>
      </c>
      <c r="AQ85" s="18">
        <f t="shared" si="48"/>
        <v>83</v>
      </c>
      <c r="AR85" s="18">
        <f t="shared" si="49"/>
        <v>3840.8292412699202</v>
      </c>
      <c r="AS85" s="50">
        <f t="shared" si="50"/>
        <v>3.8</v>
      </c>
      <c r="AT85" s="50">
        <f t="shared" si="51"/>
        <v>6.560901010529733</v>
      </c>
      <c r="AU85" s="50">
        <f t="shared" si="52"/>
        <v>0.30312482428946907</v>
      </c>
      <c r="AV85" s="2">
        <f t="shared" si="53"/>
        <v>47.896346695089051</v>
      </c>
      <c r="AW85" s="16">
        <f t="shared" si="45"/>
        <v>-14.288048606707514</v>
      </c>
      <c r="AZ85" s="16"/>
      <c r="BA85" s="2"/>
    </row>
    <row r="86" spans="1:53" x14ac:dyDescent="0.25">
      <c r="A86">
        <v>84</v>
      </c>
      <c r="B86" s="1">
        <f>ROUND((A86+Forudsætninger!$D$60)/30.4,1)</f>
        <v>3.9</v>
      </c>
      <c r="C86" s="1">
        <f>VLOOKUP((A86+Forudsætninger!$D$60),'Model tilvækst, slagteform, fe'!A:C,3,FALSE)</f>
        <v>190.73087026988946</v>
      </c>
      <c r="D86" s="3">
        <f t="shared" si="54"/>
        <v>1760.3409726851282</v>
      </c>
      <c r="E86" s="3">
        <f>(1+Forudsætninger!$D$78)*C86</f>
        <v>160.21393102670714</v>
      </c>
      <c r="F86" s="2">
        <f t="shared" si="55"/>
        <v>6.1356553196572436</v>
      </c>
      <c r="G86" s="1">
        <f t="shared" si="30"/>
        <v>166.34958634636439</v>
      </c>
      <c r="H86" s="3">
        <f t="shared" si="37"/>
        <v>1408.2727781481026</v>
      </c>
      <c r="I86" s="3">
        <f t="shared" si="38"/>
        <v>1123.2093612662427</v>
      </c>
      <c r="J86" s="1">
        <f>VLOOKUP((A86+Forudsætninger!$D$60),'Model tilvækst, slagteform, fe'!G:K,3,FALSE)*(1+Forudsætninger!$D$79)</f>
        <v>51.110802379853013</v>
      </c>
      <c r="K86" s="17">
        <f t="shared" si="31"/>
        <v>85.022608337193262</v>
      </c>
      <c r="L86" s="17">
        <f t="shared" si="39"/>
        <v>757.85884091855849</v>
      </c>
      <c r="M86" s="3">
        <f>((K86-(('Model tilvækst, slagteform, fe'!$I$9/100)*'Model tilvækst, slagteform, fe'!$C$9))*1000/(A86+Forudsætninger!$D$60))</f>
        <v>536.47496085444016</v>
      </c>
      <c r="N86" s="17">
        <f t="shared" si="40"/>
        <v>275.50108076664418</v>
      </c>
      <c r="O86" s="19">
        <f>IF( A86&lt;Forudsætninger!$C$14,(G86/100)*Forudsætninger!$C$13,(Forudsætninger!$C$15/1000)*Forudsætninger!$C$13)</f>
        <v>1.0812723112513685</v>
      </c>
      <c r="P86" s="17" cm="1">
        <f t="array" ref="P86">INDEX('Model tilvækst, slagteform, fe'!$O$9:$O$375,MATCH(MIN(ABS('Model tilvækst, slagteform, fe'!$M$9:$M$375-G86)),ABS('Model tilvækst, slagteform, fe'!$M$9:$M$375-G86),0))*(1+Forudsætninger!$D$80)</f>
        <v>4.8875409196928326</v>
      </c>
      <c r="Q86" s="17">
        <f t="shared" si="41"/>
        <v>6.4491441622148482</v>
      </c>
      <c r="R86" s="17">
        <f t="shared" si="42"/>
        <v>5.5030937126067121</v>
      </c>
      <c r="S86" s="2">
        <f t="shared" si="32"/>
        <v>2.9200030592106585</v>
      </c>
      <c r="T86" s="19">
        <f>(P86)*IF(N86&lt;Forudsætninger!$B$228,IF(N86&lt;Forudsætninger!$B$227,Forudsætninger!$B$225,Forudsætninger!$C$9),Forudsætninger!$C$11)+O86</f>
        <v>12.518118063332595</v>
      </c>
      <c r="U86" s="2">
        <f>Forudsætninger!$D$68+((K86-(Forudsætninger!$D$84)))*0.01</f>
        <v>5.9898367647315851</v>
      </c>
      <c r="V86" s="2">
        <f>U86+Forudsætninger!$D$69</f>
        <v>5.9898367647315851</v>
      </c>
      <c r="W86">
        <f t="shared" si="33"/>
        <v>0</v>
      </c>
      <c r="X86">
        <f>IF(A86+Forudsætninger!$D$60&gt;248,IF(A86+Forudsætninger!$D$60&lt;365,IF(K86&gt;180,IF(K86&lt;260,1,0),0),0),0)</f>
        <v>0</v>
      </c>
      <c r="Y86" s="22">
        <f>IF(X86=0,0,IF('Vækstfunktion, kry tyr'!A86&lt;Forudsætninger!$D$66,Forudsætninger!$D$67+(('Vækstfunktion, kry tyr'!A86-Forudsætninger!$D$66)/7)*Forudsætninger!$D$64,Forudsætninger!$D$67))</f>
        <v>0</v>
      </c>
      <c r="Z86" s="19">
        <f t="shared" si="46"/>
        <v>1215.742623449828</v>
      </c>
      <c r="AA86" s="19">
        <f>Forudsætninger!$D$62+Forudsætninger!$C$16</f>
        <v>2055</v>
      </c>
      <c r="AB86" s="19">
        <f>IF(K86&gt;Forudsætninger!$C$37,IF(K86&gt;Forudsætninger!$C$38,IF(K86&gt;Forudsætninger!$C$39,Forudsætninger!$E$39,Forudsætninger!$E$38+Forudsætninger!$F$39*(K86-Forudsætninger!$C$38)),Forudsætninger!$E$37+Forudsætninger!$F$38*(K86-Forudsætninger!$C$37)),Forudsætninger!$E$37)+IF(K86&gt;Forudsætninger!$C$39,Forudsætninger!$G$39,IF(K86&gt;Forudsætninger!$C$38,Forudsætninger!$G$38+Forudsætninger!$H$39*(K86-Forudsætninger!$C$38),IF(K86&gt;Forudsætninger!$C$37,Forudsætninger!$G$37+Forudsætninger!$H$38*(K86-Forudsætninger!$C$37),Forudsætninger!$G$37)))*(U86-Forudsætninger!$H$37)</f>
        <v>35.198983676473162</v>
      </c>
      <c r="AC86" s="19">
        <f>IF(K86&gt;Forudsætninger!$C$42,IF(K86&gt;Forudsætninger!$C$43,IF(K86&gt;Forudsætninger!$C$44,Forudsætninger!$E$44,Forudsætninger!$E$43+Forudsætninger!$F$44*(K86-Forudsætninger!$C$43)),Forudsætninger!$E$42+Forudsætninger!$F$43*(K86-Forudsætninger!$C$42)),Forudsætninger!$E$42)+IF(K86&gt;Forudsætninger!$C$44,Forudsætninger!$G$44,IF(K86&gt;Forudsætninger!$C$43,Forudsætninger!$G$43+Forudsætninger!$H$44*(K86-Forudsætninger!$C$43),IF(K86&gt;Forudsætninger!$C$42,Forudsætninger!$G$42+Forudsætninger!$H$43*(K86-Forudsætninger!$C$42),Forudsætninger!$G$42)))*(V86-Forudsætninger!$H$42)</f>
        <v>30.147459191182897</v>
      </c>
      <c r="AD86" s="19">
        <f t="shared" si="34"/>
        <v>2563.2156151734607</v>
      </c>
      <c r="AE86" s="19">
        <f t="shared" si="35"/>
        <v>30.147459191182897</v>
      </c>
      <c r="AF86">
        <f>IF(G86&lt;=Forudsætninger!$C$97,Forudsætninger!$C$98,(IF(G86&lt;=Forudsætninger!$D$97,Forudsætninger!$D$98,IF(G86&lt;=Forudsætninger!$E$97,Forudsætninger!$E$98,IF(G86&lt;=Forudsætninger!$F$97,Forudsætninger!$F$98,IF(G86&lt;=Forudsætninger!$G$97,Forudsætninger!$G$98,IF(G86&lt;=Forudsætninger!$H$97,Forudsætninger!$H$98,IF(G86&lt;=Forudsætninger!$I$97,Forudsætninger!$I$98,Forudsætninger!$I$98))))))))</f>
        <v>2.2000000000000002</v>
      </c>
      <c r="AG86" s="1">
        <f t="shared" si="43"/>
        <v>2.2000000000000002</v>
      </c>
      <c r="AH86" s="1">
        <f t="shared" si="47"/>
        <v>184.79999999999981</v>
      </c>
      <c r="AI86" s="1">
        <f t="shared" si="36"/>
        <v>2.199999999999998</v>
      </c>
      <c r="AJ86" s="20">
        <f>+(W86*Forudsætninger!$C$12)</f>
        <v>0</v>
      </c>
      <c r="AK86" s="20">
        <f>Forudsætninger!$C$17</f>
        <v>250</v>
      </c>
      <c r="AL86" s="20">
        <f>IF(A86&lt;92,Forudsætninger!$C$20,Forudsætninger!$C$21)</f>
        <v>4.0072859744990899</v>
      </c>
      <c r="AM86" s="20">
        <f t="shared" si="44"/>
        <v>336.61202185792388</v>
      </c>
      <c r="AN86" s="19">
        <f>IFERROR(AD86+AJ86-AA86-Z86-AK86-AM86-Forudsætninger!$D$75,-99999)</f>
        <v>-1512.0310038352516</v>
      </c>
      <c r="AO86" s="57">
        <f>IFERROR(AN86/(A86+Forudsætninger!$D$74),-99999)</f>
        <v>-18.000369093276806</v>
      </c>
      <c r="AP86" s="19">
        <f>IFERROR(((365/(A86+Forudsætninger!$D$74))*AN86)/(AI86+Forudsætninger!$D$73),-99999)</f>
        <v>-2844.2141640891946</v>
      </c>
      <c r="AQ86" s="18">
        <f t="shared" si="48"/>
        <v>84</v>
      </c>
      <c r="AR86" s="18">
        <f t="shared" si="49"/>
        <v>3857.354645307752</v>
      </c>
      <c r="AS86" s="50">
        <f t="shared" si="50"/>
        <v>3.9</v>
      </c>
      <c r="AT86" s="50">
        <f t="shared" si="51"/>
        <v>6.4817664048969164</v>
      </c>
      <c r="AU86" s="50">
        <f t="shared" si="52"/>
        <v>0.29496548792980093</v>
      </c>
      <c r="AV86" s="2">
        <f t="shared" si="53"/>
        <v>46.607100906657251</v>
      </c>
      <c r="AW86" s="16">
        <f t="shared" si="45"/>
        <v>-13.993083118777712</v>
      </c>
      <c r="AZ86" s="16"/>
      <c r="BA86" s="2"/>
    </row>
    <row r="87" spans="1:53" x14ac:dyDescent="0.25">
      <c r="A87">
        <v>85</v>
      </c>
      <c r="B87" s="1">
        <f>ROUND((A87+Forudsætninger!$D$60)/30.4,1)</f>
        <v>3.9</v>
      </c>
      <c r="C87" s="1">
        <f>VLOOKUP((A87+Forudsætninger!$D$60),'Model tilvækst, slagteform, fe'!A:C,3,FALSE)</f>
        <v>192.49545712566717</v>
      </c>
      <c r="D87" s="3">
        <f t="shared" si="54"/>
        <v>1764.5868557777078</v>
      </c>
      <c r="E87" s="3">
        <f>(1+Forudsætninger!$D$78)*C87</f>
        <v>161.69618398556042</v>
      </c>
      <c r="F87" s="2">
        <f t="shared" si="55"/>
        <v>6.065071845426135</v>
      </c>
      <c r="G87" s="1">
        <f t="shared" si="30"/>
        <v>167.76125583098656</v>
      </c>
      <c r="H87" s="3">
        <f t="shared" si="37"/>
        <v>1411.6694846221662</v>
      </c>
      <c r="I87" s="3">
        <f t="shared" si="38"/>
        <v>1126.6030097763123</v>
      </c>
      <c r="J87" s="1">
        <f>VLOOKUP((A87+Forudsætninger!$D$60),'Model tilvækst, slagteform, fe'!G:K,3,FALSE)*(1+Forudsætninger!$D$79)</f>
        <v>51.133963041574887</v>
      </c>
      <c r="K87" s="17">
        <f t="shared" si="31"/>
        <v>85.782978554698573</v>
      </c>
      <c r="L87" s="17">
        <f t="shared" si="39"/>
        <v>760.37021750531153</v>
      </c>
      <c r="M87" s="3">
        <f>((K87-(('Model tilvækst, slagteform, fe'!$I$9/100)*'Model tilvækst, slagteform, fe'!$C$9))*1000/(A87+Forudsætninger!$D$60))</f>
        <v>538.35643359940548</v>
      </c>
      <c r="N87" s="17">
        <f t="shared" si="40"/>
        <v>280.42030923793993</v>
      </c>
      <c r="O87" s="19">
        <f>IF( A87&lt;Forudsætninger!$C$14,(G87/100)*Forudsætninger!$C$13,(Forudsætninger!$C$15/1000)*Forudsætninger!$C$13)</f>
        <v>1.0904481629014127</v>
      </c>
      <c r="P87" s="17" cm="1">
        <f t="array" ref="P87">INDEX('Model tilvækst, slagteform, fe'!$O$9:$O$375,MATCH(MIN(ABS('Model tilvækst, slagteform, fe'!$M$9:$M$375-G87)),ABS('Model tilvækst, slagteform, fe'!$M$9:$M$375-G87),0))*(1+Forudsætninger!$D$80)</f>
        <v>4.9192284712957592</v>
      </c>
      <c r="Q87" s="17">
        <f t="shared" si="41"/>
        <v>6.4695175561125868</v>
      </c>
      <c r="R87" s="17">
        <f t="shared" si="42"/>
        <v>5.5175524289914639</v>
      </c>
      <c r="S87" s="2">
        <f t="shared" si="32"/>
        <v>2.9283273992653838</v>
      </c>
      <c r="T87" s="19">
        <f>(P87)*IF(N87&lt;Forudsætninger!$B$228,IF(N87&lt;Forudsætninger!$B$227,Forudsætninger!$B$225,Forudsætninger!$C$9),Forudsætninger!$C$11)+O87</f>
        <v>12.601442785733489</v>
      </c>
      <c r="U87" s="2">
        <f>Forudsætninger!$D$68+((K87-(Forudsætninger!$D$84)))*0.01</f>
        <v>5.9974404669066379</v>
      </c>
      <c r="V87" s="2">
        <f>U87+Forudsætninger!$D$69</f>
        <v>5.9974404669066379</v>
      </c>
      <c r="W87">
        <f t="shared" si="33"/>
        <v>0</v>
      </c>
      <c r="X87">
        <f>IF(A87+Forudsætninger!$D$60&gt;248,IF(A87+Forudsætninger!$D$60&lt;365,IF(K87&gt;180,IF(K87&lt;260,1,0),0),0),0)</f>
        <v>0</v>
      </c>
      <c r="Y87" s="22">
        <f>IF(X87=0,0,IF('Vækstfunktion, kry tyr'!A87&lt;Forudsætninger!$D$66,Forudsætninger!$D$67+(('Vækstfunktion, kry tyr'!A87-Forudsætninger!$D$66)/7)*Forudsætninger!$D$64,Forudsætninger!$D$67))</f>
        <v>0</v>
      </c>
      <c r="Z87" s="19">
        <f t="shared" si="46"/>
        <v>1228.3440662355615</v>
      </c>
      <c r="AA87" s="19">
        <f>Forudsætninger!$D$62+Forudsætninger!$C$16</f>
        <v>2055</v>
      </c>
      <c r="AB87" s="19">
        <f>IF(K87&gt;Forudsætninger!$C$37,IF(K87&gt;Forudsætninger!$C$38,IF(K87&gt;Forudsætninger!$C$39,Forudsætninger!$E$39,Forudsætninger!$E$38+Forudsætninger!$F$39*(K87-Forudsætninger!$C$38)),Forudsætninger!$E$37+Forudsætninger!$F$38*(K87-Forudsætninger!$C$37)),Forudsætninger!$E$37)+IF(K87&gt;Forudsætninger!$C$39,Forudsætninger!$G$39,IF(K87&gt;Forudsætninger!$C$38,Forudsætninger!$G$38+Forudsætninger!$H$39*(K87-Forudsætninger!$C$38),IF(K87&gt;Forudsætninger!$C$37,Forudsætninger!$G$37+Forudsætninger!$H$38*(K87-Forudsætninger!$C$37),Forudsætninger!$G$37)))*(U87-Forudsætninger!$H$37)</f>
        <v>35.199744046690661</v>
      </c>
      <c r="AC87" s="19">
        <f>IF(K87&gt;Forudsætninger!$C$42,IF(K87&gt;Forudsætninger!$C$43,IF(K87&gt;Forudsætninger!$C$44,Forudsætninger!$E$44,Forudsætninger!$E$43+Forudsætninger!$F$44*(K87-Forudsætninger!$C$43)),Forudsætninger!$E$42+Forudsætninger!$F$43*(K87-Forudsætninger!$C$42)),Forudsætninger!$E$42)+IF(K87&gt;Forudsætninger!$C$44,Forudsætninger!$G$44,IF(K87&gt;Forudsætninger!$C$43,Forudsætninger!$G$43+Forudsætninger!$H$44*(K87-Forudsætninger!$C$43),IF(K87&gt;Forudsætninger!$C$42,Forudsætninger!$G$42+Forudsætninger!$H$43*(K87-Forudsætninger!$C$42),Forudsætninger!$G$42)))*(V87-Forudsætninger!$H$42)</f>
        <v>30.149360116726658</v>
      </c>
      <c r="AD87" s="19">
        <f t="shared" si="34"/>
        <v>2586.3019123310473</v>
      </c>
      <c r="AE87" s="19">
        <f t="shared" si="35"/>
        <v>30.149360116726658</v>
      </c>
      <c r="AF87">
        <f>IF(G87&lt;=Forudsætninger!$C$97,Forudsætninger!$C$98,(IF(G87&lt;=Forudsætninger!$D$97,Forudsætninger!$D$98,IF(G87&lt;=Forudsætninger!$E$97,Forudsætninger!$E$98,IF(G87&lt;=Forudsætninger!$F$97,Forudsætninger!$F$98,IF(G87&lt;=Forudsætninger!$G$97,Forudsætninger!$G$98,IF(G87&lt;=Forudsætninger!$H$97,Forudsætninger!$H$98,IF(G87&lt;=Forudsætninger!$I$97,Forudsætninger!$I$98,Forudsætninger!$I$98))))))))</f>
        <v>2.2000000000000002</v>
      </c>
      <c r="AG87" s="1">
        <f t="shared" si="43"/>
        <v>2.2000000000000002</v>
      </c>
      <c r="AH87" s="1">
        <f t="shared" si="47"/>
        <v>186.9999999999998</v>
      </c>
      <c r="AI87" s="1">
        <f t="shared" si="36"/>
        <v>2.1999999999999975</v>
      </c>
      <c r="AJ87" s="20">
        <f>+(W87*Forudsætninger!$C$12)</f>
        <v>0</v>
      </c>
      <c r="AK87" s="20">
        <f>Forudsætninger!$C$17</f>
        <v>250</v>
      </c>
      <c r="AL87" s="20">
        <f>IF(A87&lt;92,Forudsætninger!$C$20,Forudsætninger!$C$21)</f>
        <v>4.0072859744990899</v>
      </c>
      <c r="AM87" s="20">
        <f t="shared" si="44"/>
        <v>340.61930783242298</v>
      </c>
      <c r="AN87" s="19">
        <f>IFERROR(AD87+AJ87-AA87-Z87-AK87-AM87-Forudsætninger!$D$75,-99999)</f>
        <v>-1505.5534354378974</v>
      </c>
      <c r="AO87" s="57">
        <f>IFERROR(AN87/(A87+Forudsætninger!$D$74),-99999)</f>
        <v>-17.71239335809291</v>
      </c>
      <c r="AP87" s="19">
        <f>IFERROR(((365/(A87+Forudsætninger!$D$74))*AN87)/(AI87+Forudsætninger!$D$73),-99999)</f>
        <v>-2798.7115046337312</v>
      </c>
      <c r="AQ87" s="18">
        <f t="shared" si="48"/>
        <v>85</v>
      </c>
      <c r="AR87" s="18">
        <f t="shared" si="49"/>
        <v>3873.9633740679847</v>
      </c>
      <c r="AS87" s="50">
        <f t="shared" si="50"/>
        <v>3.9</v>
      </c>
      <c r="AT87" s="50">
        <f t="shared" si="51"/>
        <v>6.4775683973541618</v>
      </c>
      <c r="AU87" s="50">
        <f t="shared" si="52"/>
        <v>0.28797573518389541</v>
      </c>
      <c r="AV87" s="2">
        <f t="shared" si="53"/>
        <v>45.502659455463345</v>
      </c>
      <c r="AW87" s="16">
        <f t="shared" si="45"/>
        <v>-13.705107383593818</v>
      </c>
      <c r="AZ87" s="16"/>
      <c r="BA87" s="2"/>
    </row>
    <row r="88" spans="1:53" x14ac:dyDescent="0.25">
      <c r="A88">
        <v>86</v>
      </c>
      <c r="B88" s="1">
        <f>ROUND((A88+Forudsætninger!$D$60)/30.4,1)</f>
        <v>3.9</v>
      </c>
      <c r="C88" s="1">
        <f>VLOOKUP((A88+Forudsætninger!$D$60),'Model tilvækst, slagteform, fe'!A:C,3,FALSE)</f>
        <v>194.26418472568798</v>
      </c>
      <c r="D88" s="3">
        <f t="shared" si="54"/>
        <v>1768.7276000208101</v>
      </c>
      <c r="E88" s="3">
        <f>(1+Forudsætninger!$D$78)*C88</f>
        <v>163.18191516957791</v>
      </c>
      <c r="F88" s="2">
        <f t="shared" si="55"/>
        <v>5.9943227414253029</v>
      </c>
      <c r="G88" s="1">
        <f t="shared" si="30"/>
        <v>169.1762379110032</v>
      </c>
      <c r="H88" s="3">
        <f t="shared" si="37"/>
        <v>1414.9820800166424</v>
      </c>
      <c r="I88" s="3">
        <f t="shared" si="38"/>
        <v>1129.956254779107</v>
      </c>
      <c r="J88" s="1">
        <f>VLOOKUP((A88+Forudsætninger!$D$60),'Model tilvækst, slagteform, fe'!G:K,3,FALSE)*(1+Forudsætninger!$D$79)</f>
        <v>51.157208829431291</v>
      </c>
      <c r="K88" s="17">
        <f t="shared" si="31"/>
        <v>86.545841317907417</v>
      </c>
      <c r="L88" s="17">
        <f t="shared" si="39"/>
        <v>762.86276320884383</v>
      </c>
      <c r="M88" s="3">
        <f>((K88-(('Model tilvækst, slagteform, fe'!$I$9/100)*'Model tilvækst, slagteform, fe'!$C$9))*1000/(A88+Forudsætninger!$D$60))</f>
        <v>540.22731967948414</v>
      </c>
      <c r="N88" s="17">
        <f t="shared" si="40"/>
        <v>285.3710248073134</v>
      </c>
      <c r="O88" s="19">
        <f>IF( A88&lt;Forudsætninger!$C$14,(G88/100)*Forudsætninger!$C$13,(Forudsætninger!$C$15/1000)*Forudsætninger!$C$13)</f>
        <v>1.0996455464215209</v>
      </c>
      <c r="P88" s="17" cm="1">
        <f t="array" ref="P88">INDEX('Model tilvækst, slagteform, fe'!$O$9:$O$375,MATCH(MIN(ABS('Model tilvækst, slagteform, fe'!$M$9:$M$375-G88)),ABS('Model tilvækst, slagteform, fe'!$M$9:$M$375-G88),0))*(1+Forudsætninger!$D$80)</f>
        <v>4.9507155693734788</v>
      </c>
      <c r="Q88" s="17">
        <f t="shared" si="41"/>
        <v>6.4896542446890342</v>
      </c>
      <c r="R88" s="17">
        <f t="shared" si="42"/>
        <v>5.5319279904051886</v>
      </c>
      <c r="S88" s="2">
        <f t="shared" si="32"/>
        <v>2.9366338000104966</v>
      </c>
      <c r="T88" s="19">
        <f>(P88)*IF(N88&lt;Forudsætninger!$B$228,IF(N88&lt;Forudsætninger!$B$227,Forudsætninger!$B$225,Forudsætninger!$C$9),Forudsætninger!$C$11)+O88</f>
        <v>12.684319978755459</v>
      </c>
      <c r="U88" s="2">
        <f>Forudsætninger!$D$68+((K88-(Forudsætninger!$D$84)))*0.01</f>
        <v>6.0050690945387259</v>
      </c>
      <c r="V88" s="2">
        <f>U88+Forudsætninger!$D$69</f>
        <v>6.0050690945387259</v>
      </c>
      <c r="W88">
        <f t="shared" si="33"/>
        <v>0</v>
      </c>
      <c r="X88">
        <f>IF(A88+Forudsætninger!$D$60&gt;248,IF(A88+Forudsætninger!$D$60&lt;365,IF(K88&gt;180,IF(K88&lt;260,1,0),0),0),0)</f>
        <v>0</v>
      </c>
      <c r="Y88" s="22">
        <f>IF(X88=0,0,IF('Vækstfunktion, kry tyr'!A88&lt;Forudsætninger!$D$66,Forudsætninger!$D$67+(('Vækstfunktion, kry tyr'!A88-Forudsætninger!$D$66)/7)*Forudsætninger!$D$64,Forudsætninger!$D$67))</f>
        <v>0</v>
      </c>
      <c r="Z88" s="19">
        <f t="shared" si="46"/>
        <v>1241.0283862143169</v>
      </c>
      <c r="AA88" s="19">
        <f>Forudsætninger!$D$62+Forudsætninger!$C$16</f>
        <v>2055</v>
      </c>
      <c r="AB88" s="19">
        <f>IF(K88&gt;Forudsætninger!$C$37,IF(K88&gt;Forudsætninger!$C$38,IF(K88&gt;Forudsætninger!$C$39,Forudsætninger!$E$39,Forudsætninger!$E$38+Forudsætninger!$F$39*(K88-Forudsætninger!$C$38)),Forudsætninger!$E$37+Forudsætninger!$F$38*(K88-Forudsætninger!$C$37)),Forudsætninger!$E$37)+IF(K88&gt;Forudsætninger!$C$39,Forudsætninger!$G$39,IF(K88&gt;Forudsætninger!$C$38,Forudsætninger!$G$38+Forudsætninger!$H$39*(K88-Forudsætninger!$C$38),IF(K88&gt;Forudsætninger!$C$37,Forudsætninger!$G$37+Forudsætninger!$H$38*(K88-Forudsætninger!$C$37),Forudsætninger!$G$37)))*(U88-Forudsætninger!$H$37)</f>
        <v>35.200506909453871</v>
      </c>
      <c r="AC88" s="19">
        <f>IF(K88&gt;Forudsætninger!$C$42,IF(K88&gt;Forudsætninger!$C$43,IF(K88&gt;Forudsætninger!$C$44,Forudsætninger!$E$44,Forudsætninger!$E$43+Forudsætninger!$F$44*(K88-Forudsætninger!$C$43)),Forudsætninger!$E$42+Forudsætninger!$F$43*(K88-Forudsætninger!$C$42)),Forudsætninger!$E$42)+IF(K88&gt;Forudsætninger!$C$44,Forudsætninger!$G$44,IF(K88&gt;Forudsætninger!$C$43,Forudsætninger!$G$43+Forudsætninger!$H$44*(K88-Forudsætninger!$C$43),IF(K88&gt;Forudsætninger!$C$42,Forudsætninger!$G$42+Forudsætninger!$H$43*(K88-Forudsætninger!$C$42),Forudsætninger!$G$42)))*(V88-Forudsætninger!$H$42)</f>
        <v>30.15126727363468</v>
      </c>
      <c r="AD88" s="19">
        <f t="shared" si="34"/>
        <v>2609.4667929978018</v>
      </c>
      <c r="AE88" s="19">
        <f t="shared" si="35"/>
        <v>30.151267273634677</v>
      </c>
      <c r="AF88">
        <f>IF(G88&lt;=Forudsætninger!$C$97,Forudsætninger!$C$98,(IF(G88&lt;=Forudsætninger!$D$97,Forudsætninger!$D$98,IF(G88&lt;=Forudsætninger!$E$97,Forudsætninger!$E$98,IF(G88&lt;=Forudsætninger!$F$97,Forudsætninger!$F$98,IF(G88&lt;=Forudsætninger!$G$97,Forudsætninger!$G$98,IF(G88&lt;=Forudsætninger!$H$97,Forudsætninger!$H$98,IF(G88&lt;=Forudsætninger!$I$97,Forudsætninger!$I$98,Forudsætninger!$I$98))))))))</f>
        <v>2.2000000000000002</v>
      </c>
      <c r="AG88" s="1">
        <f t="shared" si="43"/>
        <v>2.2000000000000002</v>
      </c>
      <c r="AH88" s="1">
        <f t="shared" si="47"/>
        <v>189.19999999999979</v>
      </c>
      <c r="AI88" s="1">
        <f t="shared" si="36"/>
        <v>2.1999999999999975</v>
      </c>
      <c r="AJ88" s="20">
        <f>+(W88*Forudsætninger!$C$12)</f>
        <v>0</v>
      </c>
      <c r="AK88" s="20">
        <f>Forudsætninger!$C$17</f>
        <v>250</v>
      </c>
      <c r="AL88" s="20">
        <f>IF(A88&lt;92,Forudsætninger!$C$20,Forudsætninger!$C$21)</f>
        <v>4.0072859744990899</v>
      </c>
      <c r="AM88" s="20">
        <f t="shared" si="44"/>
        <v>344.62659380692207</v>
      </c>
      <c r="AN88" s="19">
        <f>IFERROR(AD88+AJ88-AA88-Z88-AK88-AM88-Forudsætninger!$D$75,-99999)</f>
        <v>-1499.0801607243975</v>
      </c>
      <c r="AO88" s="57">
        <f>IFERROR(AN88/(A88+Forudsætninger!$D$74),-99999)</f>
        <v>-17.431164659586017</v>
      </c>
      <c r="AP88" s="19">
        <f>IFERROR(((365/(A88+Forudsætninger!$D$74))*AN88)/(AI88+Forudsætninger!$D$73),-99999)</f>
        <v>-2754.2749353891363</v>
      </c>
      <c r="AQ88" s="18">
        <f t="shared" si="48"/>
        <v>86</v>
      </c>
      <c r="AR88" s="18">
        <f t="shared" si="49"/>
        <v>3890.6549800212388</v>
      </c>
      <c r="AS88" s="50">
        <f t="shared" si="50"/>
        <v>3.9</v>
      </c>
      <c r="AT88" s="50">
        <f t="shared" si="51"/>
        <v>6.4732747134999045</v>
      </c>
      <c r="AU88" s="50">
        <f t="shared" si="52"/>
        <v>0.28122869850689369</v>
      </c>
      <c r="AV88" s="2">
        <f t="shared" si="53"/>
        <v>44.436569244594921</v>
      </c>
      <c r="AW88" s="16">
        <f t="shared" si="45"/>
        <v>-13.423878685086924</v>
      </c>
      <c r="AZ88" s="16"/>
      <c r="BA88" s="2"/>
    </row>
    <row r="89" spans="1:53" x14ac:dyDescent="0.25">
      <c r="A89">
        <v>87</v>
      </c>
      <c r="B89" s="1">
        <f>ROUND((A89+Forudsætninger!$D$60)/30.4,1)</f>
        <v>4</v>
      </c>
      <c r="C89" s="1">
        <f>VLOOKUP((A89+Forudsætninger!$D$60),'Model tilvækst, slagteform, fe'!A:C,3,FALSE)</f>
        <v>196.03694855203878</v>
      </c>
      <c r="D89" s="3">
        <f t="shared" si="54"/>
        <v>1772.763826350797</v>
      </c>
      <c r="E89" s="3">
        <f>(1+Forudsætninger!$D$78)*C89</f>
        <v>164.67103678371257</v>
      </c>
      <c r="F89" s="2">
        <f t="shared" si="55"/>
        <v>5.9234121883712714</v>
      </c>
      <c r="G89" s="1">
        <f t="shared" si="30"/>
        <v>170.59444897208382</v>
      </c>
      <c r="H89" s="3">
        <f t="shared" si="37"/>
        <v>1418.2110610806262</v>
      </c>
      <c r="I89" s="3">
        <f t="shared" si="38"/>
        <v>1133.2695284147567</v>
      </c>
      <c r="J89" s="1">
        <f>VLOOKUP((A89+Forudsætninger!$D$60),'Model tilvækst, slagteform, fe'!G:K,3,FALSE)*(1+Forudsætninger!$D$79)</f>
        <v>51.180550797535304</v>
      </c>
      <c r="K89" s="17">
        <f t="shared" si="31"/>
        <v>87.31117861393281</v>
      </c>
      <c r="L89" s="17">
        <f t="shared" si="39"/>
        <v>765.33729602539324</v>
      </c>
      <c r="M89" s="3">
        <f>((K89-(('Model tilvækst, slagteform, fe'!$I$9/100)*'Model tilvækst, slagteform, fe'!$C$9))*1000/(A89+Forudsætninger!$D$60))</f>
        <v>542.08773270713618</v>
      </c>
      <c r="N89" s="17">
        <f t="shared" si="40"/>
        <v>290.35302385404731</v>
      </c>
      <c r="O89" s="19">
        <f>IF( A89&lt;Forudsætninger!$C$14,(G89/100)*Forudsætninger!$C$13,(Forudsætninger!$C$15/1000)*Forudsætninger!$C$13)</f>
        <v>1.1088639183185449</v>
      </c>
      <c r="P89" s="17" cm="1">
        <f t="array" ref="P89">INDEX('Model tilvækst, slagteform, fe'!$O$9:$O$375,MATCH(MIN(ABS('Model tilvækst, slagteform, fe'!$M$9:$M$375-G89)),ABS('Model tilvækst, slagteform, fe'!$M$9:$M$375-G89),0))*(1+Forudsætninger!$D$80)</f>
        <v>4.9819990467339244</v>
      </c>
      <c r="Q89" s="17">
        <f t="shared" si="41"/>
        <v>6.5095469312769856</v>
      </c>
      <c r="R89" s="17">
        <f t="shared" si="42"/>
        <v>5.5462199975277446</v>
      </c>
      <c r="S89" s="2">
        <f t="shared" si="32"/>
        <v>2.9449226288212054</v>
      </c>
      <c r="T89" s="19">
        <f>(P89)*IF(N89&lt;Forudsætninger!$B$228,IF(N89&lt;Forudsætninger!$B$227,Forudsætninger!$B$225,Forudsætninger!$C$9),Forudsætninger!$C$11)+O89</f>
        <v>12.766741687675927</v>
      </c>
      <c r="U89" s="2">
        <f>Forudsætninger!$D$68+((K89-(Forudsætninger!$D$84)))*0.01</f>
        <v>6.0127224674989801</v>
      </c>
      <c r="V89" s="2">
        <f>U89+Forudsætninger!$D$69</f>
        <v>6.0127224674989801</v>
      </c>
      <c r="W89">
        <f t="shared" si="33"/>
        <v>0</v>
      </c>
      <c r="X89">
        <f>IF(A89+Forudsætninger!$D$60&gt;248,IF(A89+Forudsætninger!$D$60&lt;365,IF(K89&gt;180,IF(K89&lt;260,1,0),0),0),0)</f>
        <v>0</v>
      </c>
      <c r="Y89" s="22">
        <f>IF(X89=0,0,IF('Vækstfunktion, kry tyr'!A89&lt;Forudsætninger!$D$66,Forudsætninger!$D$67+(('Vækstfunktion, kry tyr'!A89-Forudsætninger!$D$66)/7)*Forudsætninger!$D$64,Forudsætninger!$D$67))</f>
        <v>0</v>
      </c>
      <c r="Z89" s="19">
        <f t="shared" si="46"/>
        <v>1253.7951279019928</v>
      </c>
      <c r="AA89" s="19">
        <f>Forudsætninger!$D$62+Forudsætninger!$C$16</f>
        <v>2055</v>
      </c>
      <c r="AB89" s="19">
        <f>IF(K89&gt;Forudsætninger!$C$37,IF(K89&gt;Forudsætninger!$C$38,IF(K89&gt;Forudsætninger!$C$39,Forudsætninger!$E$39,Forudsætninger!$E$38+Forudsætninger!$F$39*(K89-Forudsætninger!$C$38)),Forudsætninger!$E$37+Forudsætninger!$F$38*(K89-Forudsætninger!$C$37)),Forudsætninger!$E$37)+IF(K89&gt;Forudsætninger!$C$39,Forudsætninger!$G$39,IF(K89&gt;Forudsætninger!$C$38,Forudsætninger!$G$38+Forudsætninger!$H$39*(K89-Forudsætninger!$C$38),IF(K89&gt;Forudsætninger!$C$37,Forudsætninger!$G$37+Forudsætninger!$H$38*(K89-Forudsætninger!$C$37),Forudsætninger!$G$37)))*(U89-Forudsætninger!$H$37)</f>
        <v>35.201272246749902</v>
      </c>
      <c r="AC89" s="19">
        <f>IF(K89&gt;Forudsætninger!$C$42,IF(K89&gt;Forudsætninger!$C$43,IF(K89&gt;Forudsætninger!$C$44,Forudsætninger!$E$44,Forudsætninger!$E$43+Forudsætninger!$F$44*(K89-Forudsætninger!$C$43)),Forudsætninger!$E$42+Forudsætninger!$F$43*(K89-Forudsætninger!$C$42)),Forudsætninger!$E$42)+IF(K89&gt;Forudsætninger!$C$44,Forudsætninger!$G$44,IF(K89&gt;Forudsætninger!$C$43,Forudsætninger!$G$43+Forudsætninger!$H$44*(K89-Forudsætninger!$C$43),IF(K89&gt;Forudsætninger!$C$42,Forudsætninger!$G$42+Forudsætninger!$H$43*(K89-Forudsætninger!$C$42),Forudsætninger!$G$42)))*(V89-Forudsætninger!$H$42)</f>
        <v>30.153180616874742</v>
      </c>
      <c r="AD89" s="19">
        <f t="shared" si="34"/>
        <v>2632.7097386181272</v>
      </c>
      <c r="AE89" s="19">
        <f t="shared" si="35"/>
        <v>30.153180616874739</v>
      </c>
      <c r="AF89">
        <f>IF(G89&lt;=Forudsætninger!$C$97,Forudsætninger!$C$98,(IF(G89&lt;=Forudsætninger!$D$97,Forudsætninger!$D$98,IF(G89&lt;=Forudsætninger!$E$97,Forudsætninger!$E$98,IF(G89&lt;=Forudsætninger!$F$97,Forudsætninger!$F$98,IF(G89&lt;=Forudsætninger!$G$97,Forudsætninger!$G$98,IF(G89&lt;=Forudsætninger!$H$97,Forudsætninger!$H$98,IF(G89&lt;=Forudsætninger!$I$97,Forudsætninger!$I$98,Forudsætninger!$I$98))))))))</f>
        <v>2.2000000000000002</v>
      </c>
      <c r="AG89" s="1">
        <f t="shared" si="43"/>
        <v>2.2000000000000002</v>
      </c>
      <c r="AH89" s="1">
        <f t="shared" si="47"/>
        <v>191.39999999999978</v>
      </c>
      <c r="AI89" s="1">
        <f t="shared" si="36"/>
        <v>2.1999999999999975</v>
      </c>
      <c r="AJ89" s="20">
        <f>+(W89*Forudsætninger!$C$12)</f>
        <v>0</v>
      </c>
      <c r="AK89" s="20">
        <f>Forudsætninger!$C$17</f>
        <v>250</v>
      </c>
      <c r="AL89" s="20">
        <f>IF(A89&lt;92,Forudsætninger!$C$20,Forudsætninger!$C$21)</f>
        <v>4.0072859744990899</v>
      </c>
      <c r="AM89" s="20">
        <f t="shared" si="44"/>
        <v>348.63387978142117</v>
      </c>
      <c r="AN89" s="19">
        <f>IFERROR(AD89+AJ89-AA89-Z89-AK89-AM89-Forudsætninger!$D$75,-99999)</f>
        <v>-1492.6112427662472</v>
      </c>
      <c r="AO89" s="57">
        <f>IFERROR(AN89/(A89+Forudsætninger!$D$74),-99999)</f>
        <v>-17.156451066278702</v>
      </c>
      <c r="AP89" s="19">
        <f>IFERROR(((365/(A89+Forudsætninger!$D$74))*AN89)/(AI89+Forudsætninger!$D$73),-99999)</f>
        <v>-2710.8678091739107</v>
      </c>
      <c r="AQ89" s="18">
        <f t="shared" si="48"/>
        <v>87</v>
      </c>
      <c r="AR89" s="18">
        <f t="shared" si="49"/>
        <v>3907.4290076834136</v>
      </c>
      <c r="AS89" s="50">
        <f t="shared" si="50"/>
        <v>4</v>
      </c>
      <c r="AT89" s="50">
        <f t="shared" si="51"/>
        <v>6.468917958150314</v>
      </c>
      <c r="AU89" s="50">
        <f t="shared" si="52"/>
        <v>0.2747135933073146</v>
      </c>
      <c r="AV89" s="2">
        <f t="shared" si="53"/>
        <v>43.407126215225617</v>
      </c>
      <c r="AW89" s="16">
        <f t="shared" si="45"/>
        <v>-13.149165091779608</v>
      </c>
      <c r="AZ89" s="16"/>
      <c r="BA89" s="2"/>
    </row>
    <row r="90" spans="1:53" x14ac:dyDescent="0.25">
      <c r="A90">
        <v>88</v>
      </c>
      <c r="B90" s="1">
        <f>ROUND((A90+Forudsætninger!$D$60)/30.4,1)</f>
        <v>4</v>
      </c>
      <c r="C90" s="1">
        <f>VLOOKUP((A90+Forudsætninger!$D$60),'Model tilvækst, slagteform, fe'!A:C,3,FALSE)</f>
        <v>197.81364470774321</v>
      </c>
      <c r="D90" s="3">
        <f t="shared" si="54"/>
        <v>1776.6961557044283</v>
      </c>
      <c r="E90" s="3">
        <f>(1+Forudsætninger!$D$78)*C90</f>
        <v>166.16346155450429</v>
      </c>
      <c r="F90" s="2">
        <f t="shared" si="55"/>
        <v>5.8523443421430938</v>
      </c>
      <c r="G90" s="1">
        <f t="shared" si="30"/>
        <v>172.01580589664738</v>
      </c>
      <c r="H90" s="3">
        <f t="shared" si="37"/>
        <v>1421.356924563554</v>
      </c>
      <c r="I90" s="3">
        <f t="shared" si="38"/>
        <v>1136.5432488255383</v>
      </c>
      <c r="J90" s="1">
        <f>VLOOKUP((A90+Forudsætninger!$D$60),'Model tilvækst, slagteform, fe'!G:K,3,FALSE)*(1+Forudsætninger!$D$79)</f>
        <v>51.204000000000001</v>
      </c>
      <c r="K90" s="17">
        <f t="shared" si="31"/>
        <v>88.078973251319326</v>
      </c>
      <c r="L90" s="17">
        <f t="shared" si="39"/>
        <v>767.79463738651543</v>
      </c>
      <c r="M90" s="3">
        <f>((K90-(('Model tilvækst, slagteform, fe'!$I$9/100)*'Model tilvækst, slagteform, fe'!$C$9))*1000/(A90+Forudsætninger!$D$60))</f>
        <v>543.93778930286885</v>
      </c>
      <c r="N90" s="17">
        <f t="shared" si="40"/>
        <v>295.36609959023235</v>
      </c>
      <c r="O90" s="19">
        <f>IF( A90&lt;Forudsætninger!$C$14,(G90/100)*Forudsætninger!$C$13,(Forudsætninger!$C$15/1000)*Forudsætninger!$C$13)</f>
        <v>1.1181027383282081</v>
      </c>
      <c r="P90" s="17" cm="1">
        <f t="array" ref="P90">INDEX('Model tilvækst, slagteform, fe'!$O$9:$O$375,MATCH(MIN(ABS('Model tilvækst, slagteform, fe'!$M$9:$M$375-G90)),ABS('Model tilvækst, slagteform, fe'!$M$9:$M$375-G90),0))*(1+Forudsætninger!$D$80)</f>
        <v>5.0130757361850238</v>
      </c>
      <c r="Q90" s="17">
        <f t="shared" si="41"/>
        <v>6.5291882647799628</v>
      </c>
      <c r="R90" s="17">
        <f t="shared" si="42"/>
        <v>5.560427971201416</v>
      </c>
      <c r="S90" s="2">
        <f t="shared" si="32"/>
        <v>2.9531942170765761</v>
      </c>
      <c r="T90" s="19">
        <f>(P90)*IF(N90&lt;Forudsætninger!$B$228,IF(N90&lt;Forudsætninger!$B$227,Forudsætninger!$B$225,Forudsætninger!$C$9),Forudsætninger!$C$11)+O90</f>
        <v>12.848699961001163</v>
      </c>
      <c r="U90" s="2">
        <f>Forudsætninger!$D$68+((K90-(Forudsætninger!$D$84)))*0.01</f>
        <v>6.0204004138728457</v>
      </c>
      <c r="V90" s="2">
        <f>U90+Forudsætninger!$D$69</f>
        <v>6.0204004138728457</v>
      </c>
      <c r="W90">
        <f t="shared" si="33"/>
        <v>0</v>
      </c>
      <c r="X90">
        <f>IF(A90+Forudsætninger!$D$60&gt;248,IF(A90+Forudsætninger!$D$60&lt;365,IF(K90&gt;180,IF(K90&lt;260,1,0),0),0),0)</f>
        <v>0</v>
      </c>
      <c r="Y90" s="22">
        <f>IF(X90=0,0,IF('Vækstfunktion, kry tyr'!A90&lt;Forudsætninger!$D$66,Forudsætninger!$D$67+(('Vækstfunktion, kry tyr'!A90-Forudsætninger!$D$66)/7)*Forudsætninger!$D$64,Forudsætninger!$D$67))</f>
        <v>0</v>
      </c>
      <c r="Z90" s="19">
        <f t="shared" si="46"/>
        <v>1266.6438278629939</v>
      </c>
      <c r="AA90" s="19">
        <f>Forudsætninger!$D$62+Forudsætninger!$C$16</f>
        <v>2055</v>
      </c>
      <c r="AB90" s="19">
        <f>IF(K90&gt;Forudsætninger!$C$37,IF(K90&gt;Forudsætninger!$C$38,IF(K90&gt;Forudsætninger!$C$39,Forudsætninger!$E$39,Forudsætninger!$E$38+Forudsætninger!$F$39*(K90-Forudsætninger!$C$38)),Forudsætninger!$E$37+Forudsætninger!$F$38*(K90-Forudsætninger!$C$37)),Forudsætninger!$E$37)+IF(K90&gt;Forudsætninger!$C$39,Forudsætninger!$G$39,IF(K90&gt;Forudsætninger!$C$38,Forudsætninger!$G$38+Forudsætninger!$H$39*(K90-Forudsætninger!$C$38),IF(K90&gt;Forudsætninger!$C$37,Forudsætninger!$G$37+Forudsætninger!$H$38*(K90-Forudsætninger!$C$37),Forudsætninger!$G$37)))*(U90-Forudsætninger!$H$37)</f>
        <v>35.202040041387285</v>
      </c>
      <c r="AC90" s="19">
        <f>IF(K90&gt;Forudsætninger!$C$42,IF(K90&gt;Forudsætninger!$C$43,IF(K90&gt;Forudsætninger!$C$44,Forudsætninger!$E$44,Forudsætninger!$E$43+Forudsætninger!$F$44*(K90-Forudsætninger!$C$43)),Forudsætninger!$E$42+Forudsætninger!$F$43*(K90-Forudsætninger!$C$42)),Forudsætninger!$E$42)+IF(K90&gt;Forudsætninger!$C$44,Forudsætninger!$G$44,IF(K90&gt;Forudsætninger!$C$43,Forudsætninger!$G$43+Forudsætninger!$H$44*(K90-Forudsætninger!$C$43),IF(K90&gt;Forudsætninger!$C$42,Forudsætninger!$G$42+Forudsætninger!$H$43*(K90-Forudsætninger!$C$42),Forudsætninger!$G$42)))*(V90-Forudsætninger!$H$42)</f>
        <v>30.155100103468211</v>
      </c>
      <c r="AD90" s="19">
        <f t="shared" si="34"/>
        <v>2656.0302554042332</v>
      </c>
      <c r="AE90" s="19">
        <f t="shared" si="35"/>
        <v>30.155100103468211</v>
      </c>
      <c r="AF90">
        <f>IF(G90&lt;=Forudsætninger!$C$97,Forudsætninger!$C$98,(IF(G90&lt;=Forudsætninger!$D$97,Forudsætninger!$D$98,IF(G90&lt;=Forudsætninger!$E$97,Forudsætninger!$E$98,IF(G90&lt;=Forudsætninger!$F$97,Forudsætninger!$F$98,IF(G90&lt;=Forudsætninger!$G$97,Forudsætninger!$G$98,IF(G90&lt;=Forudsætninger!$H$97,Forudsætninger!$H$98,IF(G90&lt;=Forudsætninger!$I$97,Forudsætninger!$I$98,Forudsætninger!$I$98))))))))</f>
        <v>2.2000000000000002</v>
      </c>
      <c r="AG90" s="1">
        <f t="shared" si="43"/>
        <v>2.2000000000000002</v>
      </c>
      <c r="AH90" s="1">
        <f t="shared" si="47"/>
        <v>193.59999999999977</v>
      </c>
      <c r="AI90" s="1">
        <f t="shared" si="36"/>
        <v>2.1999999999999975</v>
      </c>
      <c r="AJ90" s="20">
        <f>+(W90*Forudsætninger!$C$12)</f>
        <v>0</v>
      </c>
      <c r="AK90" s="20">
        <f>Forudsætninger!$C$17</f>
        <v>250</v>
      </c>
      <c r="AL90" s="20">
        <f>IF(A90&lt;92,Forudsætninger!$C$20,Forudsætninger!$C$21)</f>
        <v>4.0072859744990899</v>
      </c>
      <c r="AM90" s="20">
        <f t="shared" si="44"/>
        <v>352.64116575592027</v>
      </c>
      <c r="AN90" s="19">
        <f>IFERROR(AD90+AJ90-AA90-Z90-AK90-AM90-Forudsætninger!$D$75,-99999)</f>
        <v>-1486.1467119156412</v>
      </c>
      <c r="AO90" s="57">
        <f>IFERROR(AN90/(A90+Forudsætninger!$D$74),-99999)</f>
        <v>-16.888030817223196</v>
      </c>
      <c r="AP90" s="19">
        <f>IFERROR(((365/(A90+Forudsætninger!$D$74))*AN90)/(AI90+Forudsætninger!$D$73),-99999)</f>
        <v>-2668.4550858383</v>
      </c>
      <c r="AQ90" s="18">
        <f t="shared" si="48"/>
        <v>88</v>
      </c>
      <c r="AR90" s="18">
        <f t="shared" si="49"/>
        <v>3924.2849936189141</v>
      </c>
      <c r="AS90" s="50">
        <f t="shared" si="50"/>
        <v>4</v>
      </c>
      <c r="AT90" s="50">
        <f t="shared" si="51"/>
        <v>6.4645308506060246</v>
      </c>
      <c r="AU90" s="50">
        <f t="shared" si="52"/>
        <v>0.26842024905550588</v>
      </c>
      <c r="AV90" s="2">
        <f t="shared" si="53"/>
        <v>42.412723335610735</v>
      </c>
      <c r="AW90" s="16">
        <f t="shared" si="45"/>
        <v>-12.8807448427241</v>
      </c>
      <c r="AZ90" s="16"/>
      <c r="BA90" s="2"/>
    </row>
    <row r="91" spans="1:53" x14ac:dyDescent="0.25">
      <c r="A91">
        <v>89</v>
      </c>
      <c r="B91" s="1">
        <f>ROUND((A91+Forudsætninger!$D$60)/30.4,1)</f>
        <v>4</v>
      </c>
      <c r="C91" s="1">
        <f>VLOOKUP((A91+Forudsætninger!$D$60),'Model tilvækst, slagteform, fe'!A:C,3,FALSE)</f>
        <v>199.59416991676162</v>
      </c>
      <c r="D91" s="3">
        <f>(C91-C90)*1000</f>
        <v>1780.5252090184069</v>
      </c>
      <c r="E91" s="3">
        <f>(1+Forudsætninger!$D$78)*C91</f>
        <v>167.65910273007975</v>
      </c>
      <c r="F91" s="2">
        <f t="shared" si="55"/>
        <v>5.7811233337823573</v>
      </c>
      <c r="G91" s="1">
        <f t="shared" si="30"/>
        <v>173.4402260638621</v>
      </c>
      <c r="H91" s="3">
        <f t="shared" si="37"/>
        <v>1424.4201672147199</v>
      </c>
      <c r="I91" s="3">
        <f t="shared" si="38"/>
        <v>1139.7778209422706</v>
      </c>
      <c r="J91" s="1">
        <f>VLOOKUP((A91+Forudsætninger!$D$60),'Model tilvækst, slagteform, fe'!G:K,3,FALSE)*(1+Forudsætninger!$D$79)</f>
        <v>51.227565551783158</v>
      </c>
      <c r="K91" s="17">
        <f t="shared" si="31"/>
        <v>88.84920550002586</v>
      </c>
      <c r="L91" s="17">
        <f t="shared" si="39"/>
        <v>770.23224870653451</v>
      </c>
      <c r="M91" s="3">
        <f>((K91-(('Model tilvækst, slagteform, fe'!$I$9/100)*'Model tilvækst, slagteform, fe'!$C$9))*1000/(A91+Forudsætninger!$D$60))</f>
        <v>545.77758165574414</v>
      </c>
      <c r="N91" s="17">
        <f t="shared" si="40"/>
        <v>300.44069567282327</v>
      </c>
      <c r="O91" s="19">
        <f>IF( A91&lt;Forudsætninger!$C$14,(G91/100)*Forudsætninger!$C$13,(Forudsætninger!$C$15/1000)*Forudsætninger!$C$13)</f>
        <v>1.1273614694151037</v>
      </c>
      <c r="P91" s="17" cm="1">
        <f t="array" ref="P91">INDEX('Model tilvækst, slagteform, fe'!$O$9:$O$375,MATCH(MIN(ABS('Model tilvækst, slagteform, fe'!$M$9:$M$375-G91)),ABS('Model tilvækst, slagteform, fe'!$M$9:$M$375-G91),0))*(1+Forudsætninger!$D$80)</f>
        <v>5.0745960825908991</v>
      </c>
      <c r="Q91" s="17">
        <f t="shared" si="41"/>
        <v>6.5883973192667069</v>
      </c>
      <c r="R91" s="17">
        <f t="shared" si="42"/>
        <v>5.5751205275497302</v>
      </c>
      <c r="S91" s="2">
        <f t="shared" si="32"/>
        <v>2.9617510462139509</v>
      </c>
      <c r="T91" s="19">
        <f>(P91)*IF(N91&lt;Forudsætninger!$B$228,IF(N91&lt;Forudsætninger!$B$227,Forudsætninger!$B$225,Forudsætninger!$C$9),Forudsætninger!$C$11)+O91</f>
        <v>13.001916302677806</v>
      </c>
      <c r="U91" s="2">
        <f>Forudsætninger!$D$68+((K91-(Forudsætninger!$D$84)))*0.01</f>
        <v>6.0281027363599105</v>
      </c>
      <c r="V91" s="2">
        <f>U91+Forudsætninger!$D$69</f>
        <v>6.0281027363599105</v>
      </c>
      <c r="W91">
        <f t="shared" si="33"/>
        <v>0</v>
      </c>
      <c r="X91">
        <f>IF(A91+Forudsætninger!$D$60&gt;248,IF(A91+Forudsætninger!$D$60&lt;365,IF(K91&gt;180,IF(K91&lt;260,1,0),0),0),0)</f>
        <v>0</v>
      </c>
      <c r="Y91" s="22">
        <f>IF(X91=0,0,IF('Vækstfunktion, kry tyr'!A91&lt;Forudsætninger!$D$66,Forudsætninger!$D$67+(('Vækstfunktion, kry tyr'!A91-Forudsætninger!$D$66)/7)*Forudsætninger!$D$64,Forudsætninger!$D$67))</f>
        <v>0</v>
      </c>
      <c r="Z91" s="19">
        <f t="shared" si="46"/>
        <v>1279.6457441656717</v>
      </c>
      <c r="AA91" s="19">
        <f>Forudsætninger!$D$62+Forudsætninger!$C$16</f>
        <v>2055</v>
      </c>
      <c r="AB91" s="19">
        <f>IF(K91&gt;Forudsætninger!$C$37,IF(K91&gt;Forudsætninger!$C$38,IF(K91&gt;Forudsætninger!$C$39,Forudsætninger!$E$39,Forudsætninger!$E$38+Forudsætninger!$F$39*(K91-Forudsætninger!$C$38)),Forudsætninger!$E$37+Forudsætninger!$F$38*(K91-Forudsætninger!$C$37)),Forudsætninger!$E$37)+IF(K91&gt;Forudsætninger!$C$39,Forudsætninger!$G$39,IF(K91&gt;Forudsætninger!$C$38,Forudsætninger!$G$38+Forudsætninger!$H$39*(K91-Forudsætninger!$C$38),IF(K91&gt;Forudsætninger!$C$37,Forudsætninger!$G$37+Forudsætninger!$H$38*(K91-Forudsætninger!$C$37),Forudsætninger!$G$37)))*(U91-Forudsætninger!$H$37)</f>
        <v>35.20281027363599</v>
      </c>
      <c r="AC91" s="19">
        <f>IF(K91&gt;Forudsætninger!$C$42,IF(K91&gt;Forudsætninger!$C$43,IF(K91&gt;Forudsætninger!$C$44,Forudsætninger!$E$44,Forudsætninger!$E$43+Forudsætninger!$F$44*(K91-Forudsætninger!$C$43)),Forudsætninger!$E$42+Forudsætninger!$F$43*(K91-Forudsætninger!$C$42)),Forudsætninger!$E$42)+IF(K91&gt;Forudsætninger!$C$44,Forudsætninger!$G$44,IF(K91&gt;Forudsætninger!$C$43,Forudsætninger!$G$43+Forudsætninger!$H$44*(K91-Forudsætninger!$C$43),IF(K91&gt;Forudsætninger!$C$42,Forudsætninger!$G$42+Forudsætninger!$H$43*(K91-Forudsætninger!$C$42),Forudsætninger!$G$42)))*(V91-Forudsætninger!$H$42)</f>
        <v>30.157025684089977</v>
      </c>
      <c r="AD91" s="19">
        <f t="shared" si="34"/>
        <v>2679.4277722752681</v>
      </c>
      <c r="AE91" s="19">
        <f t="shared" si="35"/>
        <v>30.157025684089977</v>
      </c>
      <c r="AF91">
        <f>IF(G91&lt;=Forudsætninger!$C$97,Forudsætninger!$C$98,(IF(G91&lt;=Forudsætninger!$D$97,Forudsætninger!$D$98,IF(G91&lt;=Forudsætninger!$E$97,Forudsætninger!$E$98,IF(G91&lt;=Forudsætninger!$F$97,Forudsætninger!$F$98,IF(G91&lt;=Forudsætninger!$G$97,Forudsætninger!$G$98,IF(G91&lt;=Forudsætninger!$H$97,Forudsætninger!$H$98,IF(G91&lt;=Forudsætninger!$I$97,Forudsætninger!$I$98,Forudsætninger!$I$98))))))))</f>
        <v>2.2000000000000002</v>
      </c>
      <c r="AG91" s="1">
        <f t="shared" si="43"/>
        <v>2.2000000000000002</v>
      </c>
      <c r="AH91" s="1">
        <f t="shared" si="47"/>
        <v>195.79999999999976</v>
      </c>
      <c r="AI91" s="1">
        <f t="shared" si="36"/>
        <v>2.1999999999999971</v>
      </c>
      <c r="AJ91" s="20">
        <f>+(W91*Forudsætninger!$C$12)</f>
        <v>0</v>
      </c>
      <c r="AK91" s="20">
        <f>Forudsætninger!$C$17</f>
        <v>250</v>
      </c>
      <c r="AL91" s="20">
        <f>IF(A91&lt;92,Forudsætninger!$C$20,Forudsætninger!$C$21)</f>
        <v>4.0072859744990899</v>
      </c>
      <c r="AM91" s="20">
        <f t="shared" si="44"/>
        <v>356.64845173041937</v>
      </c>
      <c r="AN91" s="19">
        <f>IFERROR(AD91+AJ91-AA91-Z91-AK91-AM91-Forudsætninger!$D$75,-99999)</f>
        <v>-1479.7583973217831</v>
      </c>
      <c r="AO91" s="57">
        <f>IFERROR(AN91/(A91+Forudsætninger!$D$74),-99999)</f>
        <v>-16.62649884631217</v>
      </c>
      <c r="AP91" s="19">
        <f>IFERROR(((365/(A91+Forudsætninger!$D$74))*AN91)/(AI91+Forudsætninger!$D$73),-99999)</f>
        <v>-2627.1307700882899</v>
      </c>
      <c r="AQ91" s="18">
        <f t="shared" si="48"/>
        <v>89</v>
      </c>
      <c r="AR91" s="18">
        <f t="shared" si="49"/>
        <v>3941.294195896091</v>
      </c>
      <c r="AS91" s="50">
        <f t="shared" si="50"/>
        <v>4</v>
      </c>
      <c r="AT91" s="50">
        <f t="shared" si="51"/>
        <v>6.3883145938580128</v>
      </c>
      <c r="AU91" s="50">
        <f t="shared" si="52"/>
        <v>0.26153197091102598</v>
      </c>
      <c r="AV91" s="2">
        <f t="shared" si="53"/>
        <v>41.324315750010101</v>
      </c>
      <c r="AW91" s="16">
        <f t="shared" si="45"/>
        <v>-12.619212871813076</v>
      </c>
      <c r="AZ91" s="16"/>
      <c r="BA91" s="2"/>
    </row>
    <row r="92" spans="1:53" x14ac:dyDescent="0.25">
      <c r="A92">
        <v>90</v>
      </c>
      <c r="B92" s="1">
        <f>ROUND((A92+Forudsætninger!$D$60)/30.4,1)</f>
        <v>4.0999999999999996</v>
      </c>
      <c r="C92" s="1">
        <f>VLOOKUP((A92+Forudsætninger!$D$60),'Model tilvækst, slagteform, fe'!A:C,3,FALSE)</f>
        <v>201.37842152399068</v>
      </c>
      <c r="D92" s="3">
        <f t="shared" si="54"/>
        <v>1784.2516072290664</v>
      </c>
      <c r="E92" s="3">
        <f>(1+Forudsætninger!$D$78)*C92</f>
        <v>169.15787408015217</v>
      </c>
      <c r="F92" s="2">
        <f t="shared" si="55"/>
        <v>5.7097532694931949</v>
      </c>
      <c r="G92" s="1">
        <f t="shared" si="30"/>
        <v>174.86762734964537</v>
      </c>
      <c r="H92" s="3">
        <f t="shared" si="37"/>
        <v>1427.4012857832759</v>
      </c>
      <c r="I92" s="3">
        <f t="shared" si="38"/>
        <v>1142.973637218282</v>
      </c>
      <c r="J92" s="1">
        <f>VLOOKUP((A92+Forudsætninger!$D$60),'Model tilvækst, slagteform, fe'!G:K,3,FALSE)*(1+Forudsætninger!$D$79)</f>
        <v>51.251248811221295</v>
      </c>
      <c r="K92" s="17">
        <f t="shared" si="31"/>
        <v>89.621842783246009</v>
      </c>
      <c r="L92" s="17">
        <f t="shared" si="39"/>
        <v>772.63728322014913</v>
      </c>
      <c r="M92" s="3">
        <f>((K92-(('Model tilvækst, slagteform, fe'!$I$9/100)*'Model tilvækst, slagteform, fe'!$C$9))*1000/(A92+Forudsætninger!$D$60))</f>
        <v>547.60709537803768</v>
      </c>
      <c r="N92" s="17">
        <f t="shared" si="40"/>
        <v>305.54572907798479</v>
      </c>
      <c r="O92" s="19">
        <f>IF( A92&lt;Forudsætninger!$C$14,(G92/100)*Forudsætninger!$C$13,(Forudsætninger!$C$15/1000)*Forudsætninger!$C$13)</f>
        <v>1.136639577772695</v>
      </c>
      <c r="P92" s="17" cm="1">
        <f t="array" ref="P92">INDEX('Model tilvækst, slagteform, fe'!$O$9:$O$375,MATCH(MIN(ABS('Model tilvækst, slagteform, fe'!$M$9:$M$375-G92)),ABS('Model tilvækst, slagteform, fe'!$M$9:$M$375-G92),0))*(1+Forudsætninger!$D$80)</f>
        <v>5.1050334051615351</v>
      </c>
      <c r="Q92" s="17">
        <f t="shared" si="41"/>
        <v>6.6072832828945263</v>
      </c>
      <c r="R92" s="17">
        <f t="shared" si="42"/>
        <v>5.5897099095962801</v>
      </c>
      <c r="S92" s="2">
        <f t="shared" si="32"/>
        <v>2.9702807088126946</v>
      </c>
      <c r="T92" s="19">
        <f>(P92)*IF(N92&lt;Forudsætninger!$B$228,IF(N92&lt;Forudsætninger!$B$227,Forudsætninger!$B$225,Forudsætninger!$C$9),Forudsætninger!$C$11)+O92</f>
        <v>13.082417745850686</v>
      </c>
      <c r="U92" s="2">
        <f>Forudsætninger!$D$68+((K92-(Forudsætninger!$D$84)))*0.01</f>
        <v>6.0358291091921128</v>
      </c>
      <c r="V92" s="2">
        <f>U92+Forudsætninger!$D$69</f>
        <v>6.0358291091921128</v>
      </c>
      <c r="W92">
        <f t="shared" si="33"/>
        <v>0</v>
      </c>
      <c r="X92">
        <f>IF(A92+Forudsætninger!$D$60&gt;248,IF(A92+Forudsætninger!$D$60&lt;365,IF(K92&gt;180,IF(K92&lt;260,1,0),0),0),0)</f>
        <v>0</v>
      </c>
      <c r="Y92" s="22">
        <f>IF(X92=0,0,IF('Vækstfunktion, kry tyr'!A92&lt;Forudsætninger!$D$66,Forudsætninger!$D$67+(('Vækstfunktion, kry tyr'!A92-Forudsætninger!$D$66)/7)*Forudsætninger!$D$64,Forudsætninger!$D$67))</f>
        <v>0</v>
      </c>
      <c r="Z92" s="19">
        <f t="shared" si="46"/>
        <v>1292.7281619115224</v>
      </c>
      <c r="AA92" s="19">
        <f>Forudsætninger!$D$62+Forudsætninger!$C$16</f>
        <v>2055</v>
      </c>
      <c r="AB92" s="19">
        <f>IF(K92&gt;Forudsætninger!$C$37,IF(K92&gt;Forudsætninger!$C$38,IF(K92&gt;Forudsætninger!$C$39,Forudsætninger!$E$39,Forudsætninger!$E$38+Forudsætninger!$F$39*(K92-Forudsætninger!$C$38)),Forudsætninger!$E$37+Forudsætninger!$F$38*(K92-Forudsætninger!$C$37)),Forudsætninger!$E$37)+IF(K92&gt;Forudsætninger!$C$39,Forudsætninger!$G$39,IF(K92&gt;Forudsætninger!$C$38,Forudsætninger!$G$38+Forudsætninger!$H$39*(K92-Forudsætninger!$C$38),IF(K92&gt;Forudsætninger!$C$37,Forudsætninger!$G$37+Forudsætninger!$H$38*(K92-Forudsætninger!$C$37),Forudsætninger!$G$37)))*(U92-Forudsætninger!$H$37)</f>
        <v>35.203582910919209</v>
      </c>
      <c r="AC92" s="19">
        <f>IF(K92&gt;Forudsætninger!$C$42,IF(K92&gt;Forudsætninger!$C$43,IF(K92&gt;Forudsætninger!$C$44,Forudsætninger!$E$44,Forudsætninger!$E$43+Forudsætninger!$F$44*(K92-Forudsætninger!$C$43)),Forudsætninger!$E$42+Forudsætninger!$F$43*(K92-Forudsætninger!$C$42)),Forudsætninger!$E$42)+IF(K92&gt;Forudsætninger!$C$44,Forudsætninger!$G$44,IF(K92&gt;Forudsætninger!$C$43,Forudsætninger!$G$43+Forudsætninger!$H$44*(K92-Forudsætninger!$C$43),IF(K92&gt;Forudsætninger!$C$42,Forudsætninger!$G$42+Forudsætninger!$H$43*(K92-Forudsætninger!$C$42),Forudsætninger!$G$42)))*(V92-Forudsætninger!$H$42)</f>
        <v>30.158957277298025</v>
      </c>
      <c r="AD92" s="19">
        <f t="shared" si="34"/>
        <v>2702.9013276126366</v>
      </c>
      <c r="AE92" s="19">
        <f t="shared" si="35"/>
        <v>30.158957277298022</v>
      </c>
      <c r="AF92">
        <f>IF(G92&lt;=Forudsætninger!$C$97,Forudsætninger!$C$98,(IF(G92&lt;=Forudsætninger!$D$97,Forudsætninger!$D$98,IF(G92&lt;=Forudsætninger!$E$97,Forudsætninger!$E$98,IF(G92&lt;=Forudsætninger!$F$97,Forudsætninger!$F$98,IF(G92&lt;=Forudsætninger!$G$97,Forudsætninger!$G$98,IF(G92&lt;=Forudsætninger!$H$97,Forudsætninger!$H$98,IF(G92&lt;=Forudsætninger!$I$97,Forudsætninger!$I$98,Forudsætninger!$I$98))))))))</f>
        <v>2.2000000000000002</v>
      </c>
      <c r="AG92" s="1">
        <f t="shared" si="43"/>
        <v>2.2000000000000002</v>
      </c>
      <c r="AH92" s="1">
        <f t="shared" si="47"/>
        <v>197.99999999999974</v>
      </c>
      <c r="AI92" s="1">
        <f t="shared" si="36"/>
        <v>2.1999999999999971</v>
      </c>
      <c r="AJ92" s="20">
        <f>+(W92*Forudsætninger!$C$12)</f>
        <v>0</v>
      </c>
      <c r="AK92" s="20">
        <f>Forudsætninger!$C$17</f>
        <v>250</v>
      </c>
      <c r="AL92" s="20">
        <f>IF(A92&lt;92,Forudsætninger!$C$20,Forudsætninger!$C$21)</f>
        <v>4.0072859744990899</v>
      </c>
      <c r="AM92" s="20">
        <f t="shared" si="44"/>
        <v>360.65573770491847</v>
      </c>
      <c r="AN92" s="19">
        <f>IFERROR(AD92+AJ92-AA92-Z92-AK92-AM92-Forudsætninger!$D$75,-99999)</f>
        <v>-1473.3745457047646</v>
      </c>
      <c r="AO92" s="57">
        <f>IFERROR(AN92/(A92+Forudsætninger!$D$74),-99999)</f>
        <v>-16.370828285608496</v>
      </c>
      <c r="AP92" s="19">
        <f>IFERROR(((365/(A92+Forudsætninger!$D$74))*AN92)/(AI92+Forudsætninger!$D$73),-99999)</f>
        <v>-2586.7326078991814</v>
      </c>
      <c r="AQ92" s="18">
        <f t="shared" si="48"/>
        <v>90</v>
      </c>
      <c r="AR92" s="18">
        <f t="shared" si="49"/>
        <v>3958.3838996164409</v>
      </c>
      <c r="AS92" s="50">
        <f t="shared" si="50"/>
        <v>4.0999999999999996</v>
      </c>
      <c r="AT92" s="50">
        <f t="shared" si="51"/>
        <v>6.3838516170185358</v>
      </c>
      <c r="AU92" s="50">
        <f t="shared" si="52"/>
        <v>0.255670560703674</v>
      </c>
      <c r="AV92" s="2">
        <f t="shared" si="53"/>
        <v>40.398162189108461</v>
      </c>
      <c r="AW92" s="16">
        <f t="shared" si="45"/>
        <v>-12.363542311109402</v>
      </c>
      <c r="AZ92" s="16"/>
      <c r="BA92" s="2"/>
    </row>
    <row r="93" spans="1:53" x14ac:dyDescent="0.25">
      <c r="A93">
        <v>91</v>
      </c>
      <c r="B93" s="1">
        <f>ROUND((A93+Forudsætninger!$D$60)/30.4,1)</f>
        <v>4.0999999999999996</v>
      </c>
      <c r="C93" s="1">
        <f>VLOOKUP((A93+Forudsætninger!$D$60),'Model tilvækst, slagteform, fe'!A:C,3,FALSE)</f>
        <v>203.16629749526399</v>
      </c>
      <c r="D93" s="3">
        <f t="shared" si="54"/>
        <v>1787.8759712733086</v>
      </c>
      <c r="E93" s="3">
        <f>(1+Forudsætninger!$D$78)*C93</f>
        <v>170.65968989602175</v>
      </c>
      <c r="F93" s="2">
        <f t="shared" si="55"/>
        <v>5.6382382306422629</v>
      </c>
      <c r="G93" s="1">
        <f t="shared" si="30"/>
        <v>176.297928126664</v>
      </c>
      <c r="H93" s="3">
        <f t="shared" si="37"/>
        <v>1430.3007770186298</v>
      </c>
      <c r="I93" s="3">
        <f t="shared" si="38"/>
        <v>1146.1310783149891</v>
      </c>
      <c r="J93" s="1">
        <f>VLOOKUP((A93+Forudsætninger!$D$60),'Model tilvækst, slagteform, fe'!G:K,3,FALSE)*(1+Forudsætninger!$D$79)</f>
        <v>51.275049197495683</v>
      </c>
      <c r="K93" s="17">
        <f t="shared" si="31"/>
        <v>90.396849381112546</v>
      </c>
      <c r="L93" s="17">
        <f t="shared" si="39"/>
        <v>775.00659786653614</v>
      </c>
      <c r="M93" s="3">
        <f>((K93-(('Model tilvækst, slagteform, fe'!$I$9/100)*'Model tilvækst, slagteform, fe'!$C$9))*1000/(A93+Forudsætninger!$D$60))</f>
        <v>549.42629139794576</v>
      </c>
      <c r="N93" s="17">
        <f t="shared" si="40"/>
        <v>310.68098034903932</v>
      </c>
      <c r="O93" s="19">
        <f>IF( A93&lt;Forudsætninger!$C$14,(G93/100)*Forudsætninger!$C$13,(Forudsætninger!$C$15/1000)*Forudsætninger!$C$13)</f>
        <v>1.145936532823316</v>
      </c>
      <c r="P93" s="17" cm="1">
        <f t="array" ref="P93">INDEX('Model tilvækst, slagteform, fe'!$O$9:$O$375,MATCH(MIN(ABS('Model tilvækst, slagteform, fe'!$M$9:$M$375-G93)),ABS('Model tilvækst, slagteform, fe'!$M$9:$M$375-G93),0))*(1+Forudsætninger!$D$80)</f>
        <v>5.1352512710545426</v>
      </c>
      <c r="Q93" s="17">
        <f t="shared" si="41"/>
        <v>6.6260742620656812</v>
      </c>
      <c r="R93" s="17">
        <f t="shared" si="42"/>
        <v>5.6041981847168714</v>
      </c>
      <c r="S93" s="2">
        <f t="shared" si="32"/>
        <v>2.978783816028777</v>
      </c>
      <c r="T93" s="19">
        <f>(P93)*IF(N93&lt;Forudsætninger!$B$228,IF(N93&lt;Forudsætninger!$B$227,Forudsætninger!$B$225,Forudsætninger!$C$9),Forudsætninger!$C$11)+O93</f>
        <v>13.162424507090947</v>
      </c>
      <c r="U93" s="2">
        <f>Forudsætninger!$D$68+((K93-(Forudsætninger!$D$84)))*0.01</f>
        <v>6.0435791751707777</v>
      </c>
      <c r="V93" s="2">
        <f>U93+Forudsætninger!$D$69</f>
        <v>6.0435791751707777</v>
      </c>
      <c r="W93">
        <f t="shared" si="33"/>
        <v>0</v>
      </c>
      <c r="X93">
        <f>IF(A93+Forudsætninger!$D$60&gt;248,IF(A93+Forudsætninger!$D$60&lt;365,IF(K93&gt;180,IF(K93&lt;260,1,0),0),0),0)</f>
        <v>0</v>
      </c>
      <c r="Y93" s="22">
        <f>IF(X93=0,0,IF('Vækstfunktion, kry tyr'!A93&lt;Forudsætninger!$D$66,Forudsætninger!$D$67+(('Vækstfunktion, kry tyr'!A93-Forudsætninger!$D$66)/7)*Forudsætninger!$D$64,Forudsætninger!$D$67))</f>
        <v>0</v>
      </c>
      <c r="Z93" s="19">
        <f t="shared" si="46"/>
        <v>1305.8905864186133</v>
      </c>
      <c r="AA93" s="19">
        <f>Forudsætninger!$D$62+Forudsætninger!$C$16</f>
        <v>2055</v>
      </c>
      <c r="AB93" s="19">
        <f>IF(K93&gt;Forudsætninger!$C$37,IF(K93&gt;Forudsætninger!$C$38,IF(K93&gt;Forudsætninger!$C$39,Forudsætninger!$E$39,Forudsætninger!$E$38+Forudsætninger!$F$39*(K93-Forudsætninger!$C$38)),Forudsætninger!$E$37+Forudsætninger!$F$38*(K93-Forudsætninger!$C$37)),Forudsætninger!$E$37)+IF(K93&gt;Forudsætninger!$C$39,Forudsætninger!$G$39,IF(K93&gt;Forudsætninger!$C$38,Forudsætninger!$G$38+Forudsætninger!$H$39*(K93-Forudsætninger!$C$38),IF(K93&gt;Forudsætninger!$C$37,Forudsætninger!$G$37+Forudsætninger!$H$38*(K93-Forudsætninger!$C$37),Forudsætninger!$G$37)))*(U93-Forudsætninger!$H$37)</f>
        <v>35.204357917517079</v>
      </c>
      <c r="AC93" s="19">
        <f>IF(K93&gt;Forudsætninger!$C$42,IF(K93&gt;Forudsætninger!$C$43,IF(K93&gt;Forudsætninger!$C$44,Forudsætninger!$E$44,Forudsætninger!$E$43+Forudsætninger!$F$44*(K93-Forudsætninger!$C$43)),Forudsætninger!$E$42+Forudsætninger!$F$43*(K93-Forudsætninger!$C$42)),Forudsætninger!$E$42)+IF(K93&gt;Forudsætninger!$C$44,Forudsætninger!$G$44,IF(K93&gt;Forudsætninger!$C$43,Forudsætninger!$G$43+Forudsætninger!$H$44*(K93-Forudsætninger!$C$43),IF(K93&gt;Forudsætninger!$C$42,Forudsætninger!$G$42+Forudsætninger!$H$43*(K93-Forudsætninger!$C$42),Forudsætninger!$G$42)))*(V93-Forudsætninger!$H$42)</f>
        <v>30.160894793792693</v>
      </c>
      <c r="AD93" s="19">
        <f t="shared" si="34"/>
        <v>2726.4498638740597</v>
      </c>
      <c r="AE93" s="19">
        <f t="shared" si="35"/>
        <v>30.160894793792693</v>
      </c>
      <c r="AF93">
        <f>IF(G93&lt;=Forudsætninger!$C$97,Forudsætninger!$C$98,(IF(G93&lt;=Forudsætninger!$D$97,Forudsætninger!$D$98,IF(G93&lt;=Forudsætninger!$E$97,Forudsætninger!$E$98,IF(G93&lt;=Forudsætninger!$F$97,Forudsætninger!$F$98,IF(G93&lt;=Forudsætninger!$G$97,Forudsætninger!$G$98,IF(G93&lt;=Forudsætninger!$H$97,Forudsætninger!$H$98,IF(G93&lt;=Forudsætninger!$I$97,Forudsætninger!$I$98,Forudsætninger!$I$98))))))))</f>
        <v>2.2000000000000002</v>
      </c>
      <c r="AG93" s="1">
        <f t="shared" si="43"/>
        <v>2.2000000000000002</v>
      </c>
      <c r="AH93" s="1">
        <f t="shared" si="47"/>
        <v>200.19999999999973</v>
      </c>
      <c r="AI93" s="1">
        <f t="shared" si="36"/>
        <v>2.1999999999999971</v>
      </c>
      <c r="AJ93" s="20">
        <f>+(W93*Forudsætninger!$C$12)</f>
        <v>0</v>
      </c>
      <c r="AK93" s="20">
        <f>Forudsætninger!$C$17</f>
        <v>250</v>
      </c>
      <c r="AL93" s="20">
        <f>IF(A93&lt;92,Forudsætninger!$C$20,Forudsætninger!$C$21)</f>
        <v>4.0072859744990899</v>
      </c>
      <c r="AM93" s="20">
        <f t="shared" si="44"/>
        <v>364.66302367941756</v>
      </c>
      <c r="AN93" s="19">
        <f>IFERROR(AD93+AJ93-AA93-Z93-AK93-AM93-Forudsætninger!$D$75,-99999)</f>
        <v>-1466.9957199249316</v>
      </c>
      <c r="AO93" s="57">
        <f>IFERROR(AN93/(A93+Forudsætninger!$D$74),-99999)</f>
        <v>-16.120832087087159</v>
      </c>
      <c r="AP93" s="19">
        <f>IFERROR(((365/(A93+Forudsætninger!$D$74))*AN93)/(AI93+Forudsætninger!$D$73),-99999)</f>
        <v>-2547.2310440635592</v>
      </c>
      <c r="AQ93" s="18">
        <f t="shared" si="48"/>
        <v>91</v>
      </c>
      <c r="AR93" s="18">
        <f t="shared" si="49"/>
        <v>3975.5536100980312</v>
      </c>
      <c r="AS93" s="50">
        <f t="shared" si="50"/>
        <v>4.0999999999999996</v>
      </c>
      <c r="AT93" s="50">
        <f t="shared" si="51"/>
        <v>6.3788257798330505</v>
      </c>
      <c r="AU93" s="50">
        <f t="shared" si="52"/>
        <v>0.24999619852133748</v>
      </c>
      <c r="AV93" s="2">
        <f t="shared" si="53"/>
        <v>39.501563835622164</v>
      </c>
      <c r="AW93" s="16">
        <f t="shared" si="45"/>
        <v>-12.113546112588065</v>
      </c>
      <c r="AZ93" s="16"/>
      <c r="BA93" s="2"/>
    </row>
    <row r="94" spans="1:53" x14ac:dyDescent="0.25">
      <c r="A94">
        <v>92</v>
      </c>
      <c r="B94" s="1">
        <f>ROUND((A94+Forudsætninger!$D$60)/30.4,1)</f>
        <v>4.0999999999999996</v>
      </c>
      <c r="C94" s="1">
        <f>VLOOKUP((A94+Forudsætninger!$D$60),'Model tilvækst, slagteform, fe'!A:C,3,FALSE)</f>
        <v>204.95769641735163</v>
      </c>
      <c r="D94" s="3">
        <f t="shared" si="54"/>
        <v>1791.3989220876374</v>
      </c>
      <c r="E94" s="3">
        <f>(1+Forudsætninger!$D$78)*C94</f>
        <v>172.16446499057537</v>
      </c>
      <c r="F94" s="2">
        <f t="shared" si="55"/>
        <v>5.5665822737587574</v>
      </c>
      <c r="G94" s="1">
        <f t="shared" si="30"/>
        <v>177.73104726433414</v>
      </c>
      <c r="H94" s="3">
        <f t="shared" si="37"/>
        <v>1433.1191376701327</v>
      </c>
      <c r="I94" s="3">
        <f t="shared" si="38"/>
        <v>1149.2505137427622</v>
      </c>
      <c r="J94" s="1">
        <f>VLOOKUP((A94+Forudsætninger!$D$60),'Model tilvækst, slagteform, fe'!G:K,3,FALSE)*(1+Forudsætninger!$D$79)</f>
        <v>51.298966129787516</v>
      </c>
      <c r="K94" s="17">
        <f t="shared" si="31"/>
        <v>91.174189738247406</v>
      </c>
      <c r="L94" s="17">
        <f t="shared" si="39"/>
        <v>777.34035713486094</v>
      </c>
      <c r="M94" s="3">
        <f>((K94-(('Model tilvækst, slagteform, fe'!$I$9/100)*'Model tilvækst, slagteform, fe'!$C$9))*1000/(A94+Forudsætninger!$D$60))</f>
        <v>551.23513318950859</v>
      </c>
      <c r="N94" s="17">
        <f t="shared" si="40"/>
        <v>315.84622686211719</v>
      </c>
      <c r="O94" s="19">
        <f>IF( A94&lt;Forudsætninger!$C$14,(G94/100)*Forudsætninger!$C$13,(Forudsætninger!$C$15/1000)*Forudsætninger!$C$13)</f>
        <v>1.1552518072181719</v>
      </c>
      <c r="P94" s="17" cm="1">
        <f t="array" ref="P94">INDEX('Model tilvækst, slagteform, fe'!$O$9:$O$375,MATCH(MIN(ABS('Model tilvækst, slagteform, fe'!$M$9:$M$375-G94)),ABS('Model tilvækst, slagteform, fe'!$M$9:$M$375-G94),0))*(1+Forudsætninger!$D$80)</f>
        <v>5.1652465130778475</v>
      </c>
      <c r="Q94" s="17">
        <f t="shared" si="41"/>
        <v>6.6447682352631636</v>
      </c>
      <c r="R94" s="17">
        <f t="shared" si="42"/>
        <v>5.6185872961959094</v>
      </c>
      <c r="S94" s="2">
        <f t="shared" si="32"/>
        <v>2.9872609326613606</v>
      </c>
      <c r="T94" s="19">
        <f>(P94)*IF(N94&lt;Forudsætninger!$B$228,IF(N94&lt;Forudsætninger!$B$227,Forudsætninger!$B$225,Forudsætninger!$C$9),Forudsætninger!$C$11)+O94</f>
        <v>13.241928647820334</v>
      </c>
      <c r="U94" s="2">
        <f>Forudsætninger!$D$68+((K94-(Forudsætninger!$D$84)))*0.01</f>
        <v>6.0513525787421258</v>
      </c>
      <c r="V94" s="2">
        <f>U94+Forudsætninger!$D$69</f>
        <v>6.0513525787421258</v>
      </c>
      <c r="W94">
        <f t="shared" si="33"/>
        <v>0</v>
      </c>
      <c r="X94">
        <f>IF(A94+Forudsætninger!$D$60&gt;248,IF(A94+Forudsætninger!$D$60&lt;365,IF(K94&gt;180,IF(K94&lt;260,1,0),0),0),0)</f>
        <v>0</v>
      </c>
      <c r="Y94" s="22">
        <f>IF(X94=0,0,IF('Vækstfunktion, kry tyr'!A94&lt;Forudsætninger!$D$66,Forudsætninger!$D$67+(('Vækstfunktion, kry tyr'!A94-Forudsætninger!$D$66)/7)*Forudsætninger!$D$64,Forudsætninger!$D$67))</f>
        <v>0</v>
      </c>
      <c r="Z94" s="19">
        <f t="shared" si="46"/>
        <v>1319.1325150664336</v>
      </c>
      <c r="AA94" s="19">
        <f>Forudsætninger!$D$62+Forudsætninger!$C$16</f>
        <v>2055</v>
      </c>
      <c r="AB94" s="19">
        <f>IF(K94&gt;Forudsætninger!$C$37,IF(K94&gt;Forudsætninger!$C$38,IF(K94&gt;Forudsætninger!$C$39,Forudsætninger!$E$39,Forudsætninger!$E$38+Forudsætninger!$F$39*(K94-Forudsætninger!$C$38)),Forudsætninger!$E$37+Forudsætninger!$F$38*(K94-Forudsætninger!$C$37)),Forudsætninger!$E$37)+IF(K94&gt;Forudsætninger!$C$39,Forudsætninger!$G$39,IF(K94&gt;Forudsætninger!$C$38,Forudsætninger!$G$38+Forudsætninger!$H$39*(K94-Forudsætninger!$C$38),IF(K94&gt;Forudsætninger!$C$37,Forudsætninger!$G$37+Forudsætninger!$H$38*(K94-Forudsætninger!$C$37),Forudsætninger!$G$37)))*(U94-Forudsætninger!$H$37)</f>
        <v>35.205135257874211</v>
      </c>
      <c r="AC94" s="19">
        <f>IF(K94&gt;Forudsætninger!$C$42,IF(K94&gt;Forudsætninger!$C$43,IF(K94&gt;Forudsætninger!$C$44,Forudsætninger!$E$44,Forudsætninger!$E$43+Forudsætninger!$F$44*(K94-Forudsætninger!$C$43)),Forudsætninger!$E$42+Forudsætninger!$F$43*(K94-Forudsætninger!$C$42)),Forudsætninger!$E$42)+IF(K94&gt;Forudsætninger!$C$44,Forudsætninger!$G$44,IF(K94&gt;Forudsætninger!$C$43,Forudsætninger!$G$43+Forudsætninger!$H$44*(K94-Forudsætninger!$C$43),IF(K94&gt;Forudsætninger!$C$42,Forudsætninger!$G$42+Forudsætninger!$H$43*(K94-Forudsætninger!$C$42),Forudsætninger!$G$42)))*(V94-Forudsætninger!$H$42)</f>
        <v>30.16283814468553</v>
      </c>
      <c r="AD94" s="19">
        <f t="shared" si="34"/>
        <v>2750.072328047605</v>
      </c>
      <c r="AE94" s="19">
        <f t="shared" si="35"/>
        <v>30.16283814468553</v>
      </c>
      <c r="AF94">
        <f>IF(G94&lt;=Forudsætninger!$C$97,Forudsætninger!$C$98,(IF(G94&lt;=Forudsætninger!$D$97,Forudsætninger!$D$98,IF(G94&lt;=Forudsætninger!$E$97,Forudsætninger!$E$98,IF(G94&lt;=Forudsætninger!$F$97,Forudsætninger!$F$98,IF(G94&lt;=Forudsætninger!$G$97,Forudsætninger!$G$98,IF(G94&lt;=Forudsætninger!$H$97,Forudsætninger!$H$98,IF(G94&lt;=Forudsætninger!$I$97,Forudsætninger!$I$98,Forudsætninger!$I$98))))))))</f>
        <v>2.2000000000000002</v>
      </c>
      <c r="AG94" s="1">
        <f t="shared" si="43"/>
        <v>2.2000000000000002</v>
      </c>
      <c r="AH94" s="1">
        <f t="shared" si="47"/>
        <v>202.39999999999972</v>
      </c>
      <c r="AI94" s="1">
        <f t="shared" si="36"/>
        <v>2.1999999999999971</v>
      </c>
      <c r="AJ94" s="20">
        <f>+(W94*Forudsætninger!$C$12)</f>
        <v>0</v>
      </c>
      <c r="AK94" s="20">
        <f>Forudsætninger!$C$17</f>
        <v>250</v>
      </c>
      <c r="AL94" s="20">
        <f>IF(A94&lt;92,Forudsætninger!$C$20,Forudsætninger!$C$21)</f>
        <v>1.0566762728146013</v>
      </c>
      <c r="AM94" s="20">
        <f t="shared" si="44"/>
        <v>365.71969995223219</v>
      </c>
      <c r="AN94" s="19">
        <f>IFERROR(AD94+AJ94-AA94-Z94-AK94-AM94-Forudsætninger!$D$75,-99999)</f>
        <v>-1457.6718606720212</v>
      </c>
      <c r="AO94" s="57">
        <f>IFERROR(AN94/(A94+Forudsætninger!$D$74),-99999)</f>
        <v>-15.844259355130665</v>
      </c>
      <c r="AP94" s="19">
        <f>IFERROR(((365/(A94+Forudsætninger!$D$74))*AN94)/(AI94+Forudsætninger!$D$73),-99999)</f>
        <v>-2503.530157845325</v>
      </c>
      <c r="AQ94" s="18">
        <f t="shared" si="48"/>
        <v>92</v>
      </c>
      <c r="AR94" s="18">
        <f t="shared" si="49"/>
        <v>3989.8522150186654</v>
      </c>
      <c r="AS94" s="50">
        <f t="shared" si="50"/>
        <v>4.0999999999999996</v>
      </c>
      <c r="AT94" s="50">
        <f t="shared" si="51"/>
        <v>9.3238592529103244</v>
      </c>
      <c r="AU94" s="50">
        <f t="shared" si="52"/>
        <v>0.27657273195649346</v>
      </c>
      <c r="AV94" s="2">
        <f t="shared" si="53"/>
        <v>43.700886218234245</v>
      </c>
      <c r="AW94" s="16">
        <f t="shared" si="45"/>
        <v>-11.869045225215098</v>
      </c>
      <c r="AZ94" s="16"/>
      <c r="BA94" s="2"/>
    </row>
    <row r="95" spans="1:53" x14ac:dyDescent="0.25">
      <c r="A95">
        <v>93</v>
      </c>
      <c r="B95" s="1">
        <f>ROUND((A95+Forudsætninger!$D$60)/30.4,1)</f>
        <v>4.2</v>
      </c>
      <c r="C95" s="1">
        <f>VLOOKUP((A95+Forudsætninger!$D$60),'Model tilvækst, slagteform, fe'!A:C,3,FALSE)</f>
        <v>206.75251749796013</v>
      </c>
      <c r="D95" s="3">
        <f t="shared" si="54"/>
        <v>1794.8210806085001</v>
      </c>
      <c r="E95" s="3">
        <f>(1+Forudsætninger!$D$78)*C95</f>
        <v>173.67211469828649</v>
      </c>
      <c r="F95" s="2">
        <f t="shared" si="55"/>
        <v>5.4947894305344169</v>
      </c>
      <c r="G95" s="1">
        <f t="shared" si="30"/>
        <v>179.1669041288209</v>
      </c>
      <c r="H95" s="3">
        <f t="shared" si="37"/>
        <v>1435.856864486766</v>
      </c>
      <c r="I95" s="3">
        <f t="shared" si="38"/>
        <v>1152.3323024604397</v>
      </c>
      <c r="J95" s="1">
        <f>VLOOKUP((A95+Forudsætninger!$D$60),'Model tilvækst, slagteform, fe'!G:K,3,FALSE)*(1+Forudsætninger!$D$79)</f>
        <v>51.322999027278065</v>
      </c>
      <c r="K95" s="17">
        <f t="shared" si="31"/>
        <v>91.953828463238963</v>
      </c>
      <c r="L95" s="17">
        <f t="shared" si="39"/>
        <v>779.63872499155684</v>
      </c>
      <c r="M95" s="3">
        <f>((K95-(('Model tilvækst, slagteform, fe'!$I$9/100)*'Model tilvækst, slagteform, fe'!$C$9))*1000/(A95+Forudsætninger!$D$60))</f>
        <v>553.03358666826477</v>
      </c>
      <c r="N95" s="17">
        <f t="shared" si="40"/>
        <v>321.07078331886424</v>
      </c>
      <c r="O95" s="19">
        <f>IF( A95&lt;Forudsætninger!$C$14,(G95/100)*Forudsætninger!$C$13,(Forudsætninger!$C$15/1000)*Forudsætninger!$C$13)</f>
        <v>1.1645848768373359</v>
      </c>
      <c r="P95" s="17" cm="1">
        <f t="array" ref="P95">INDEX('Model tilvækst, slagteform, fe'!$O$9:$O$375,MATCH(MIN(ABS('Model tilvækst, slagteform, fe'!$M$9:$M$375-G95)),ABS('Model tilvækst, slagteform, fe'!$M$9:$M$375-G95),0))*(1+Forudsætninger!$D$80)</f>
        <v>5.2245564567470746</v>
      </c>
      <c r="Q95" s="17">
        <f t="shared" si="41"/>
        <v>6.7012531436322051</v>
      </c>
      <c r="R95" s="17">
        <f t="shared" si="42"/>
        <v>5.633397377389465</v>
      </c>
      <c r="S95" s="2">
        <f t="shared" si="32"/>
        <v>2.9959882290984008</v>
      </c>
      <c r="T95" s="19">
        <f>(P95)*IF(N95&lt;Forudsætninger!$B$228,IF(N95&lt;Forudsætninger!$B$227,Forudsætninger!$B$225,Forudsætninger!$C$9),Forudsætninger!$C$11)+O95</f>
        <v>13.39004698562549</v>
      </c>
      <c r="U95" s="2">
        <f>Forudsætninger!$D$68+((K95-(Forudsætninger!$D$84)))*0.01</f>
        <v>6.0591489659920423</v>
      </c>
      <c r="V95" s="2">
        <f>U95+Forudsætninger!$D$69</f>
        <v>6.0591489659920423</v>
      </c>
      <c r="W95">
        <f t="shared" si="33"/>
        <v>0</v>
      </c>
      <c r="X95">
        <f>IF(A95+Forudsætninger!$D$60&gt;248,IF(A95+Forudsætninger!$D$60&lt;365,IF(K95&gt;180,IF(K95&lt;260,1,0),0),0),0)</f>
        <v>0</v>
      </c>
      <c r="Y95" s="22">
        <f>IF(X95=0,0,IF('Vækstfunktion, kry tyr'!A95&lt;Forudsætninger!$D$66,Forudsætninger!$D$67+(('Vækstfunktion, kry tyr'!A95-Forudsætninger!$D$66)/7)*Forudsætninger!$D$64,Forudsætninger!$D$67))</f>
        <v>0</v>
      </c>
      <c r="Z95" s="19">
        <f t="shared" si="46"/>
        <v>1332.5225620520591</v>
      </c>
      <c r="AA95" s="19">
        <f>Forudsætninger!$D$62+Forudsætninger!$C$16</f>
        <v>2055</v>
      </c>
      <c r="AB95" s="19">
        <f>IF(K95&gt;Forudsætninger!$C$37,IF(K95&gt;Forudsætninger!$C$38,IF(K95&gt;Forudsætninger!$C$39,Forudsætninger!$E$39,Forudsætninger!$E$38+Forudsætninger!$F$39*(K95-Forudsætninger!$C$38)),Forudsætninger!$E$37+Forudsætninger!$F$38*(K95-Forudsætninger!$C$37)),Forudsætninger!$E$37)+IF(K95&gt;Forudsætninger!$C$39,Forudsætninger!$G$39,IF(K95&gt;Forudsætninger!$C$38,Forudsætninger!$G$38+Forudsætninger!$H$39*(K95-Forudsætninger!$C$38),IF(K95&gt;Forudsætninger!$C$37,Forudsætninger!$G$37+Forudsætninger!$H$38*(K95-Forudsætninger!$C$37),Forudsætninger!$G$37)))*(U95-Forudsætninger!$H$37)</f>
        <v>35.205914896599204</v>
      </c>
      <c r="AC95" s="19">
        <f>IF(K95&gt;Forudsætninger!$C$42,IF(K95&gt;Forudsætninger!$C$43,IF(K95&gt;Forudsætninger!$C$44,Forudsætninger!$E$44,Forudsætninger!$E$43+Forudsætninger!$F$44*(K95-Forudsætninger!$C$43)),Forudsætninger!$E$42+Forudsætninger!$F$43*(K95-Forudsætninger!$C$42)),Forudsætninger!$E$42)+IF(K95&gt;Forudsætninger!$C$44,Forudsætninger!$G$44,IF(K95&gt;Forudsætninger!$C$43,Forudsætninger!$G$43+Forudsætninger!$H$44*(K95-Forudsætninger!$C$43),IF(K95&gt;Forudsætninger!$C$42,Forudsætninger!$G$42+Forudsætninger!$H$43*(K95-Forudsætninger!$C$42),Forudsætninger!$G$42)))*(V95-Forudsætninger!$H$42)</f>
        <v>30.164787241498008</v>
      </c>
      <c r="AD95" s="19">
        <f t="shared" si="34"/>
        <v>2773.7676716348069</v>
      </c>
      <c r="AE95" s="19">
        <f t="shared" si="35"/>
        <v>30.164787241498008</v>
      </c>
      <c r="AF95">
        <f>IF(G95&lt;=Forudsætninger!$C$97,Forudsætninger!$C$98,(IF(G95&lt;=Forudsætninger!$D$97,Forudsætninger!$D$98,IF(G95&lt;=Forudsætninger!$E$97,Forudsætninger!$E$98,IF(G95&lt;=Forudsætninger!$F$97,Forudsætninger!$F$98,IF(G95&lt;=Forudsætninger!$G$97,Forudsætninger!$G$98,IF(G95&lt;=Forudsætninger!$H$97,Forudsætninger!$H$98,IF(G95&lt;=Forudsætninger!$I$97,Forudsætninger!$I$98,Forudsætninger!$I$98))))))))</f>
        <v>2.2000000000000002</v>
      </c>
      <c r="AG95" s="1">
        <f t="shared" si="43"/>
        <v>2.2000000000000002</v>
      </c>
      <c r="AH95" s="1">
        <f t="shared" si="47"/>
        <v>204.59999999999971</v>
      </c>
      <c r="AI95" s="1">
        <f t="shared" si="36"/>
        <v>2.1999999999999971</v>
      </c>
      <c r="AJ95" s="20">
        <f>+(W95*Forudsætninger!$C$12)</f>
        <v>0</v>
      </c>
      <c r="AK95" s="20">
        <f>Forudsætninger!$C$17</f>
        <v>250</v>
      </c>
      <c r="AL95" s="20">
        <f>IF(A95&lt;92,Forudsætninger!$C$20,Forudsætninger!$C$21)</f>
        <v>1.0566762728146013</v>
      </c>
      <c r="AM95" s="20">
        <f t="shared" si="44"/>
        <v>366.77637622504682</v>
      </c>
      <c r="AN95" s="19">
        <f>IFERROR(AD95+AJ95-AA95-Z95-AK95-AM95-Forudsætninger!$D$75,-99999)</f>
        <v>-1448.4232403432593</v>
      </c>
      <c r="AO95" s="57">
        <f>IFERROR(AN95/(A95+Forudsætninger!$D$74),-99999)</f>
        <v>-15.574443444551175</v>
      </c>
      <c r="AP95" s="19">
        <f>IFERROR(((365/(A95+Forudsætninger!$D$74))*AN95)/(AI95+Forudsætninger!$D$73),-99999)</f>
        <v>-2460.8969079052754</v>
      </c>
      <c r="AQ95" s="18">
        <f t="shared" si="48"/>
        <v>93</v>
      </c>
      <c r="AR95" s="18">
        <f t="shared" si="49"/>
        <v>4004.2989382771061</v>
      </c>
      <c r="AS95" s="50">
        <f t="shared" si="50"/>
        <v>4.2</v>
      </c>
      <c r="AT95" s="50">
        <f t="shared" si="51"/>
        <v>9.2486203287619446</v>
      </c>
      <c r="AU95" s="50">
        <f t="shared" si="52"/>
        <v>0.26981591057949039</v>
      </c>
      <c r="AV95" s="2">
        <f t="shared" si="53"/>
        <v>42.633249940049609</v>
      </c>
      <c r="AW95" s="16">
        <f t="shared" si="45"/>
        <v>-11.630611442131318</v>
      </c>
      <c r="AZ95" s="16"/>
      <c r="BA95" s="2"/>
    </row>
    <row r="96" spans="1:53" x14ac:dyDescent="0.25">
      <c r="A96">
        <v>94</v>
      </c>
      <c r="B96" s="1">
        <f>ROUND((A96+Forudsætninger!$D$60)/30.4,1)</f>
        <v>4.2</v>
      </c>
      <c r="C96" s="1">
        <f>VLOOKUP((A96+Forudsætninger!$D$60),'Model tilvækst, slagteform, fe'!A:C,3,FALSE)</f>
        <v>208.55066056573301</v>
      </c>
      <c r="D96" s="3">
        <f t="shared" si="54"/>
        <v>1798.1430677728838</v>
      </c>
      <c r="E96" s="3">
        <f>(1+Forudsætninger!$D$78)*C96</f>
        <v>175.18255487521571</v>
      </c>
      <c r="F96" s="2">
        <f t="shared" si="55"/>
        <v>5.4228637078235016</v>
      </c>
      <c r="G96" s="1">
        <f t="shared" si="30"/>
        <v>180.60541858303921</v>
      </c>
      <c r="H96" s="3">
        <f t="shared" si="37"/>
        <v>1438.514454218307</v>
      </c>
      <c r="I96" s="3">
        <f t="shared" si="38"/>
        <v>1155.3767934365874</v>
      </c>
      <c r="J96" s="1">
        <f>VLOOKUP((A96+Forudsætninger!$D$60),'Model tilvækst, slagteform, fe'!G:K,3,FALSE)*(1+Forudsætninger!$D$79)</f>
        <v>51.347147309148525</v>
      </c>
      <c r="K96" s="17">
        <f t="shared" si="31"/>
        <v>92.735730328137436</v>
      </c>
      <c r="L96" s="17">
        <f t="shared" si="39"/>
        <v>781.90186489847235</v>
      </c>
      <c r="M96" s="3">
        <f>((K96-(('Model tilvækst, slagteform, fe'!$I$9/100)*'Model tilvækst, slagteform, fe'!$C$9))*1000/(A96+Forudsætninger!$D$60))</f>
        <v>554.82162009193837</v>
      </c>
      <c r="N96" s="17">
        <f t="shared" si="40"/>
        <v>326.32464814287312</v>
      </c>
      <c r="O96" s="19">
        <f>IF( A96&lt;Forudsætninger!$C$14,(G96/100)*Forudsætninger!$C$13,(Forudsætninger!$C$15/1000)*Forudsætninger!$C$13)</f>
        <v>1.1739352207897549</v>
      </c>
      <c r="P96" s="17" cm="1">
        <f t="array" ref="P96">INDEX('Model tilvækst, slagteform, fe'!$O$9:$O$375,MATCH(MIN(ABS('Model tilvækst, slagteform, fe'!$M$9:$M$375-G96)),ABS('Model tilvækst, slagteform, fe'!$M$9:$M$375-G96),0))*(1+Forudsætninger!$D$80)</f>
        <v>5.2538648240088532</v>
      </c>
      <c r="Q96" s="17">
        <f t="shared" si="41"/>
        <v>6.7193404439456756</v>
      </c>
      <c r="R96" s="17">
        <f t="shared" si="42"/>
        <v>5.6480937896823864</v>
      </c>
      <c r="S96" s="2">
        <f t="shared" si="32"/>
        <v>3.0046810960299073</v>
      </c>
      <c r="T96" s="19">
        <f>(P96)*IF(N96&lt;Forudsætninger!$B$228,IF(N96&lt;Forudsætninger!$B$227,Forudsætninger!$B$225,Forudsætninger!$C$9),Forudsætninger!$C$11)+O96</f>
        <v>13.467978908970471</v>
      </c>
      <c r="U96" s="2">
        <f>Forudsætninger!$D$68+((K96-(Forudsætninger!$D$84)))*0.01</f>
        <v>6.0669679846410265</v>
      </c>
      <c r="V96" s="2">
        <f>U96+Forudsætninger!$D$69</f>
        <v>6.0669679846410265</v>
      </c>
      <c r="W96">
        <f t="shared" si="33"/>
        <v>0</v>
      </c>
      <c r="X96">
        <f>IF(A96+Forudsætninger!$D$60&gt;248,IF(A96+Forudsætninger!$D$60&lt;365,IF(K96&gt;180,IF(K96&lt;260,1,0),0),0),0)</f>
        <v>0</v>
      </c>
      <c r="Y96" s="22">
        <f>IF(X96=0,0,IF('Vækstfunktion, kry tyr'!A96&lt;Forudsætninger!$D$66,Forudsætninger!$D$67+(('Vækstfunktion, kry tyr'!A96-Forudsætninger!$D$66)/7)*Forudsætninger!$D$64,Forudsætninger!$D$67))</f>
        <v>0</v>
      </c>
      <c r="Z96" s="19">
        <f t="shared" si="46"/>
        <v>1345.9905409610296</v>
      </c>
      <c r="AA96" s="19">
        <f>Forudsætninger!$D$62+Forudsætninger!$C$16</f>
        <v>2055</v>
      </c>
      <c r="AB96" s="19">
        <f>IF(K96&gt;Forudsætninger!$C$37,IF(K96&gt;Forudsætninger!$C$38,IF(K96&gt;Forudsætninger!$C$39,Forudsætninger!$E$39,Forudsætninger!$E$38+Forudsætninger!$F$39*(K96-Forudsætninger!$C$38)),Forudsætninger!$E$37+Forudsætninger!$F$38*(K96-Forudsætninger!$C$37)),Forudsætninger!$E$37)+IF(K96&gt;Forudsætninger!$C$39,Forudsætninger!$G$39,IF(K96&gt;Forudsætninger!$C$38,Forudsætninger!$G$38+Forudsætninger!$H$39*(K96-Forudsætninger!$C$38),IF(K96&gt;Forudsætninger!$C$37,Forudsætninger!$G$37+Forudsætninger!$H$38*(K96-Forudsætninger!$C$37),Forudsætninger!$G$37)))*(U96-Forudsætninger!$H$37)</f>
        <v>35.206696798464101</v>
      </c>
      <c r="AC96" s="19">
        <f>IF(K96&gt;Forudsætninger!$C$42,IF(K96&gt;Forudsætninger!$C$43,IF(K96&gt;Forudsætninger!$C$44,Forudsætninger!$E$44,Forudsætninger!$E$43+Forudsætninger!$F$44*(K96-Forudsætninger!$C$43)),Forudsætninger!$E$42+Forudsætninger!$F$43*(K96-Forudsætninger!$C$42)),Forudsætninger!$E$42)+IF(K96&gt;Forudsætninger!$C$44,Forudsætninger!$G$44,IF(K96&gt;Forudsætninger!$C$43,Forudsætninger!$G$43+Forudsætninger!$H$44*(K96-Forudsætninger!$C$43),IF(K96&gt;Forudsætninger!$C$42,Forudsætninger!$G$42+Forudsætninger!$H$43*(K96-Forudsætninger!$C$42),Forudsætninger!$G$42)))*(V96-Forudsætninger!$H$42)</f>
        <v>30.166741996160255</v>
      </c>
      <c r="AD96" s="19">
        <f t="shared" si="34"/>
        <v>2797.5348506344158</v>
      </c>
      <c r="AE96" s="19">
        <f t="shared" si="35"/>
        <v>30.166741996160255</v>
      </c>
      <c r="AF96">
        <f>IF(G96&lt;=Forudsætninger!$C$97,Forudsætninger!$C$98,(IF(G96&lt;=Forudsætninger!$D$97,Forudsætninger!$D$98,IF(G96&lt;=Forudsætninger!$E$97,Forudsætninger!$E$98,IF(G96&lt;=Forudsætninger!$F$97,Forudsætninger!$F$98,IF(G96&lt;=Forudsætninger!$G$97,Forudsætninger!$G$98,IF(G96&lt;=Forudsætninger!$H$97,Forudsætninger!$H$98,IF(G96&lt;=Forudsætninger!$I$97,Forudsætninger!$I$98,Forudsætninger!$I$98))))))))</f>
        <v>2.2000000000000002</v>
      </c>
      <c r="AG96" s="1">
        <f t="shared" si="43"/>
        <v>2.2000000000000002</v>
      </c>
      <c r="AH96" s="1">
        <f t="shared" si="47"/>
        <v>206.7999999999997</v>
      </c>
      <c r="AI96" s="1">
        <f t="shared" si="36"/>
        <v>2.1999999999999966</v>
      </c>
      <c r="AJ96" s="20">
        <f>+(W96*Forudsætninger!$C$12)</f>
        <v>0</v>
      </c>
      <c r="AK96" s="20">
        <f>Forudsætninger!$C$17</f>
        <v>250</v>
      </c>
      <c r="AL96" s="20">
        <f>IF(A96&lt;92,Forudsætninger!$C$20,Forudsætninger!$C$21)</f>
        <v>1.0566762728146013</v>
      </c>
      <c r="AM96" s="20">
        <f t="shared" si="44"/>
        <v>367.83305249786144</v>
      </c>
      <c r="AN96" s="19">
        <f>IFERROR(AD96+AJ96-AA96-Z96-AK96-AM96-Forudsætninger!$D$75,-99999)</f>
        <v>-1439.1807165254356</v>
      </c>
      <c r="AO96" s="57">
        <f>IFERROR(AN96/(A96+Forudsætninger!$D$74),-99999)</f>
        <v>-15.310433154525912</v>
      </c>
      <c r="AP96" s="19">
        <f>IFERROR(((365/(A96+Forudsætninger!$D$74))*AN96)/(AI96+Forudsætninger!$D$73),-99999)</f>
        <v>-2419.1809962779071</v>
      </c>
      <c r="AQ96" s="18">
        <f t="shared" si="48"/>
        <v>94</v>
      </c>
      <c r="AR96" s="18">
        <f t="shared" si="49"/>
        <v>4018.8235934588911</v>
      </c>
      <c r="AS96" s="50">
        <f t="shared" si="50"/>
        <v>4.2</v>
      </c>
      <c r="AT96" s="50">
        <f t="shared" si="51"/>
        <v>9.2425238178236668</v>
      </c>
      <c r="AU96" s="50">
        <f t="shared" si="52"/>
        <v>0.26401029002526322</v>
      </c>
      <c r="AV96" s="2">
        <f t="shared" si="53"/>
        <v>41.715911627368314</v>
      </c>
      <c r="AW96" s="16">
        <f t="shared" si="45"/>
        <v>-11.397315574761427</v>
      </c>
      <c r="AZ96" s="16"/>
      <c r="BA96" s="2"/>
    </row>
    <row r="97" spans="1:53" x14ac:dyDescent="0.25">
      <c r="A97">
        <v>95</v>
      </c>
      <c r="B97" s="1">
        <f>ROUND((A97+Forudsætninger!$D$60)/30.4,1)</f>
        <v>4.2</v>
      </c>
      <c r="C97" s="1">
        <f>VLOOKUP((A97+Forudsætninger!$D$60),'Model tilvækst, slagteform, fe'!A:C,3,FALSE)</f>
        <v>210.3520260702501</v>
      </c>
      <c r="D97" s="3">
        <f t="shared" si="54"/>
        <v>1801.3655045170935</v>
      </c>
      <c r="E97" s="3">
        <f>(1+Forudsætninger!$D$78)*C97</f>
        <v>176.69570189901009</v>
      </c>
      <c r="F97" s="2">
        <f t="shared" si="55"/>
        <v>5.3508090876428183</v>
      </c>
      <c r="G97" s="1">
        <f t="shared" si="30"/>
        <v>182.04651098665292</v>
      </c>
      <c r="H97" s="3">
        <f t="shared" si="37"/>
        <v>1441.0924036137089</v>
      </c>
      <c r="I97" s="3">
        <f t="shared" si="38"/>
        <v>1158.3843261752938</v>
      </c>
      <c r="J97" s="1">
        <f>VLOOKUP((A97+Forudsætninger!$D$60),'Model tilvækst, slagteform, fe'!G:K,3,FALSE)*(1+Forudsætninger!$D$79)</f>
        <v>51.371410394580153</v>
      </c>
      <c r="K97" s="17">
        <f t="shared" si="31"/>
        <v>93.519860267967914</v>
      </c>
      <c r="L97" s="17">
        <f t="shared" si="39"/>
        <v>784.12993983047841</v>
      </c>
      <c r="M97" s="3">
        <f>((K97-(('Model tilvækst, slagteform, fe'!$I$9/100)*'Model tilvækst, slagteform, fe'!$C$9))*1000/(A97+Forudsætninger!$D$60))</f>
        <v>556.59920396588063</v>
      </c>
      <c r="N97" s="17">
        <f t="shared" si="40"/>
        <v>331.60758604150578</v>
      </c>
      <c r="O97" s="19">
        <f>IF( A97&lt;Forudsætninger!$C$14,(G97/100)*Forudsætninger!$C$13,(Forudsætninger!$C$15/1000)*Forudsætninger!$C$13)</f>
        <v>1.1833023214132441</v>
      </c>
      <c r="P97" s="17" cm="1">
        <f t="array" ref="P97">INDEX('Model tilvækst, slagteform, fe'!$O$9:$O$375,MATCH(MIN(ABS('Model tilvækst, slagteform, fe'!$M$9:$M$375-G97)),ABS('Model tilvækst, slagteform, fe'!$M$9:$M$375-G97),0))*(1+Forudsætninger!$D$80)</f>
        <v>5.2829378986326478</v>
      </c>
      <c r="Q97" s="17">
        <f t="shared" si="41"/>
        <v>6.7373245558953787</v>
      </c>
      <c r="R97" s="17">
        <f t="shared" si="42"/>
        <v>5.6626787551067519</v>
      </c>
      <c r="S97" s="2">
        <f t="shared" si="32"/>
        <v>3.0133402964654197</v>
      </c>
      <c r="T97" s="19">
        <f>(P97)*IF(N97&lt;Forudsætninger!$B$228,IF(N97&lt;Forudsætninger!$B$227,Forudsætninger!$B$225,Forudsætninger!$C$9),Forudsætninger!$C$11)+O97</f>
        <v>13.545377004213639</v>
      </c>
      <c r="U97" s="2">
        <f>Forudsætninger!$D$68+((K97-(Forudsætninger!$D$84)))*0.01</f>
        <v>6.0748092840393317</v>
      </c>
      <c r="V97" s="2">
        <f>U97+Forudsætninger!$D$69</f>
        <v>6.0748092840393317</v>
      </c>
      <c r="W97">
        <f t="shared" si="33"/>
        <v>0</v>
      </c>
      <c r="X97">
        <f>IF(A97+Forudsætninger!$D$60&gt;248,IF(A97+Forudsætninger!$D$60&lt;365,IF(K97&gt;180,IF(K97&lt;260,1,0),0),0),0)</f>
        <v>0</v>
      </c>
      <c r="Y97" s="22">
        <f>IF(X97=0,0,IF('Vækstfunktion, kry tyr'!A97&lt;Forudsætninger!$D$66,Forudsætninger!$D$67+(('Vækstfunktion, kry tyr'!A97-Forudsætninger!$D$66)/7)*Forudsætninger!$D$64,Forudsætninger!$D$67))</f>
        <v>0</v>
      </c>
      <c r="Z97" s="19">
        <f t="shared" si="46"/>
        <v>1359.5359179652432</v>
      </c>
      <c r="AA97" s="19">
        <f>Forudsætninger!$D$62+Forudsætninger!$C$16</f>
        <v>2055</v>
      </c>
      <c r="AB97" s="19">
        <f>IF(K97&gt;Forudsætninger!$C$37,IF(K97&gt;Forudsætninger!$C$38,IF(K97&gt;Forudsætninger!$C$39,Forudsætninger!$E$39,Forudsætninger!$E$38+Forudsætninger!$F$39*(K97-Forudsætninger!$C$38)),Forudsætninger!$E$37+Forudsætninger!$F$38*(K97-Forudsætninger!$C$37)),Forudsætninger!$E$37)+IF(K97&gt;Forudsætninger!$C$39,Forudsætninger!$G$39,IF(K97&gt;Forudsætninger!$C$38,Forudsætninger!$G$38+Forudsætninger!$H$39*(K97-Forudsætninger!$C$38),IF(K97&gt;Forudsætninger!$C$37,Forudsætninger!$G$37+Forudsætninger!$H$38*(K97-Forudsætninger!$C$37),Forudsætninger!$G$37)))*(U97-Forudsætninger!$H$37)</f>
        <v>35.207480928403932</v>
      </c>
      <c r="AC97" s="19">
        <f>IF(K97&gt;Forudsætninger!$C$42,IF(K97&gt;Forudsætninger!$C$43,IF(K97&gt;Forudsætninger!$C$44,Forudsætninger!$E$44,Forudsætninger!$E$43+Forudsætninger!$F$44*(K97-Forudsætninger!$C$43)),Forudsætninger!$E$42+Forudsætninger!$F$43*(K97-Forudsætninger!$C$42)),Forudsætninger!$E$42)+IF(K97&gt;Forudsætninger!$C$44,Forudsætninger!$G$44,IF(K97&gt;Forudsætninger!$C$43,Forudsætninger!$G$43+Forudsætninger!$H$44*(K97-Forudsætninger!$C$43),IF(K97&gt;Forudsætninger!$C$42,Forudsætninger!$G$42+Forudsætninger!$H$43*(K97-Forudsætninger!$C$42),Forudsætninger!$G$42)))*(V97-Forudsætninger!$H$42)</f>
        <v>30.168702321009832</v>
      </c>
      <c r="AD97" s="19">
        <f t="shared" si="34"/>
        <v>2821.3728255267588</v>
      </c>
      <c r="AE97" s="19">
        <f t="shared" si="35"/>
        <v>30.168702321009832</v>
      </c>
      <c r="AF97">
        <f>IF(G97&lt;=Forudsætninger!$C$97,Forudsætninger!$C$98,(IF(G97&lt;=Forudsætninger!$D$97,Forudsætninger!$D$98,IF(G97&lt;=Forudsætninger!$E$97,Forudsætninger!$E$98,IF(G97&lt;=Forudsætninger!$F$97,Forudsætninger!$F$98,IF(G97&lt;=Forudsætninger!$G$97,Forudsætninger!$G$98,IF(G97&lt;=Forudsætninger!$H$97,Forudsætninger!$H$98,IF(G97&lt;=Forudsætninger!$I$97,Forudsætninger!$I$98,Forudsætninger!$I$98))))))))</f>
        <v>2.2000000000000002</v>
      </c>
      <c r="AG97" s="1">
        <f t="shared" si="43"/>
        <v>2.2000000000000002</v>
      </c>
      <c r="AH97" s="1">
        <f t="shared" si="47"/>
        <v>208.99999999999969</v>
      </c>
      <c r="AI97" s="1">
        <f t="shared" si="36"/>
        <v>2.1999999999999966</v>
      </c>
      <c r="AJ97" s="20">
        <f>+(W97*Forudsætninger!$C$12)</f>
        <v>0</v>
      </c>
      <c r="AK97" s="20">
        <f>Forudsætninger!$C$17</f>
        <v>250</v>
      </c>
      <c r="AL97" s="20">
        <f>IF(A97&lt;92,Forudsætninger!$C$20,Forudsætninger!$C$21)</f>
        <v>1.0566762728146013</v>
      </c>
      <c r="AM97" s="20">
        <f t="shared" si="44"/>
        <v>368.88972877067607</v>
      </c>
      <c r="AN97" s="19">
        <f>IFERROR(AD97+AJ97-AA97-Z97-AK97-AM97-Forudsætninger!$D$75,-99999)</f>
        <v>-1429.9447949101209</v>
      </c>
      <c r="AO97" s="57">
        <f>IFERROR(AN97/(A97+Forudsætninger!$D$74),-99999)</f>
        <v>-15.052050472738115</v>
      </c>
      <c r="AP97" s="19">
        <f>IFERROR(((365/(A97+Forudsætninger!$D$74))*AN97)/(AI97+Forudsætninger!$D$73),-99999)</f>
        <v>-2378.3542954759396</v>
      </c>
      <c r="AQ97" s="18">
        <f t="shared" si="48"/>
        <v>95</v>
      </c>
      <c r="AR97" s="18">
        <f t="shared" si="49"/>
        <v>4033.4256467359191</v>
      </c>
      <c r="AS97" s="50">
        <f t="shared" si="50"/>
        <v>4.2</v>
      </c>
      <c r="AT97" s="50">
        <f t="shared" si="51"/>
        <v>9.2359216153147372</v>
      </c>
      <c r="AU97" s="50">
        <f t="shared" si="52"/>
        <v>0.258382681787797</v>
      </c>
      <c r="AV97" s="2">
        <f t="shared" si="53"/>
        <v>40.82670080196749</v>
      </c>
      <c r="AW97" s="16">
        <f t="shared" si="45"/>
        <v>-11.169000696204682</v>
      </c>
      <c r="AZ97" s="16"/>
      <c r="BA97" s="2"/>
    </row>
    <row r="98" spans="1:53" x14ac:dyDescent="0.25">
      <c r="A98">
        <v>96</v>
      </c>
      <c r="B98" s="1">
        <f>ROUND((A98+Forudsætninger!$D$60)/30.4,1)</f>
        <v>4.3</v>
      </c>
      <c r="C98" s="1">
        <f>VLOOKUP((A98+Forudsætninger!$D$60),'Model tilvækst, slagteform, fe'!A:C,3,FALSE)</f>
        <v>212.15651508202785</v>
      </c>
      <c r="D98" s="3">
        <f t="shared" si="54"/>
        <v>1804.489011777747</v>
      </c>
      <c r="E98" s="3">
        <f>(1+Forudsætninger!$D$78)*C98</f>
        <v>178.21147266890338</v>
      </c>
      <c r="F98" s="2">
        <f t="shared" si="55"/>
        <v>5.2786295271717085</v>
      </c>
      <c r="G98" s="1">
        <f t="shared" si="30"/>
        <v>183.4901021960751</v>
      </c>
      <c r="H98" s="3">
        <f t="shared" si="37"/>
        <v>1443.5912094221806</v>
      </c>
      <c r="I98" s="3">
        <f t="shared" si="38"/>
        <v>1161.3552312091156</v>
      </c>
      <c r="J98" s="1">
        <f>VLOOKUP((A98+Forudsætninger!$D$60),'Model tilvækst, slagteform, fe'!G:K,3,FALSE)*(1+Forudsætninger!$D$79)</f>
        <v>51.395787702754177</v>
      </c>
      <c r="K98" s="17">
        <f t="shared" si="31"/>
        <v>94.306183380261444</v>
      </c>
      <c r="L98" s="17">
        <f t="shared" si="39"/>
        <v>786.32311229353036</v>
      </c>
      <c r="M98" s="3">
        <f>((K98-(('Model tilvækst, slagteform, fe'!$I$9/100)*'Model tilvækst, slagteform, fe'!$C$9))*1000/(A98+Forudsætninger!$D$60))</f>
        <v>558.3663109530163</v>
      </c>
      <c r="N98" s="17">
        <f t="shared" si="40"/>
        <v>336.91935855493216</v>
      </c>
      <c r="O98" s="19">
        <f>IF( A98&lt;Forudsætninger!$C$14,(G98/100)*Forudsætninger!$C$13,(Forudsætninger!$C$15/1000)*Forudsætninger!$C$13)</f>
        <v>1.1926856642744881</v>
      </c>
      <c r="P98" s="17" cm="1">
        <f t="array" ref="P98">INDEX('Model tilvækst, slagteform, fe'!$O$9:$O$375,MATCH(MIN(ABS('Model tilvækst, slagteform, fe'!$M$9:$M$375-G98)),ABS('Model tilvækst, slagteform, fe'!$M$9:$M$375-G98),0))*(1+Forudsætninger!$D$80)</f>
        <v>5.3117725134263898</v>
      </c>
      <c r="Q98" s="17">
        <f t="shared" si="41"/>
        <v>6.755203338654419</v>
      </c>
      <c r="R98" s="17">
        <f t="shared" si="42"/>
        <v>5.6771543692208377</v>
      </c>
      <c r="S98" s="2">
        <f t="shared" si="32"/>
        <v>3.0219665415894927</v>
      </c>
      <c r="T98" s="19">
        <f>(P98)*IF(N98&lt;Forudsætninger!$B$228,IF(N98&lt;Forudsætninger!$B$227,Forudsætninger!$B$225,Forudsætninger!$C$9),Forudsætninger!$C$11)+O98</f>
        <v>13.622233345692241</v>
      </c>
      <c r="U98" s="2">
        <f>Forudsætninger!$D$68+((K98-(Forudsætninger!$D$84)))*0.01</f>
        <v>6.0826725151622671</v>
      </c>
      <c r="V98" s="2">
        <f>U98+Forudsætninger!$D$69</f>
        <v>6.0826725151622671</v>
      </c>
      <c r="W98">
        <f t="shared" si="33"/>
        <v>0</v>
      </c>
      <c r="X98">
        <f>IF(A98+Forudsætninger!$D$60&gt;248,IF(A98+Forudsætninger!$D$60&lt;365,IF(K98&gt;180,IF(K98&lt;260,1,0),0),0),0)</f>
        <v>0</v>
      </c>
      <c r="Y98" s="22">
        <f>IF(X98=0,0,IF('Vækstfunktion, kry tyr'!A98&lt;Forudsætninger!$D$66,Forudsætninger!$D$67+(('Vækstfunktion, kry tyr'!A98-Forudsætninger!$D$66)/7)*Forudsætninger!$D$64,Forudsætninger!$D$67))</f>
        <v>0</v>
      </c>
      <c r="Z98" s="19">
        <f t="shared" si="46"/>
        <v>1373.1581513109354</v>
      </c>
      <c r="AA98" s="19">
        <f>Forudsætninger!$D$62+Forudsætninger!$C$16</f>
        <v>2055</v>
      </c>
      <c r="AB98" s="19">
        <f>IF(K98&gt;Forudsætninger!$C$37,IF(K98&gt;Forudsætninger!$C$38,IF(K98&gt;Forudsætninger!$C$39,Forudsætninger!$E$39,Forudsætninger!$E$38+Forudsætninger!$F$39*(K98-Forudsætninger!$C$38)),Forudsætninger!$E$37+Forudsætninger!$F$38*(K98-Forudsætninger!$C$37)),Forudsætninger!$E$37)+IF(K98&gt;Forudsætninger!$C$39,Forudsætninger!$G$39,IF(K98&gt;Forudsætninger!$C$38,Forudsætninger!$G$38+Forudsætninger!$H$39*(K98-Forudsætninger!$C$38),IF(K98&gt;Forudsætninger!$C$37,Forudsætninger!$G$37+Forudsætninger!$H$38*(K98-Forudsætninger!$C$37),Forudsætninger!$G$37)))*(U98-Forudsætninger!$H$37)</f>
        <v>35.208267251516226</v>
      </c>
      <c r="AC98" s="19">
        <f>IF(K98&gt;Forudsætninger!$C$42,IF(K98&gt;Forudsætninger!$C$43,IF(K98&gt;Forudsætninger!$C$44,Forudsætninger!$E$44,Forudsætninger!$E$43+Forudsætninger!$F$44*(K98-Forudsætninger!$C$43)),Forudsætninger!$E$42+Forudsætninger!$F$43*(K98-Forudsætninger!$C$42)),Forudsætninger!$E$42)+IF(K98&gt;Forudsætninger!$C$44,Forudsætninger!$G$44,IF(K98&gt;Forudsætninger!$C$43,Forudsætninger!$G$43+Forudsætninger!$H$44*(K98-Forudsætninger!$C$43),IF(K98&gt;Forudsætninger!$C$42,Forudsætninger!$G$42+Forudsætninger!$H$43*(K98-Forudsætninger!$C$42),Forudsætninger!$G$42)))*(V98-Forudsætninger!$H$42)</f>
        <v>30.170668128790567</v>
      </c>
      <c r="AD98" s="19">
        <f t="shared" si="34"/>
        <v>2845.2805612587326</v>
      </c>
      <c r="AE98" s="19">
        <f t="shared" si="35"/>
        <v>30.170668128790567</v>
      </c>
      <c r="AF98">
        <f>IF(G98&lt;=Forudsætninger!$C$97,Forudsætninger!$C$98,(IF(G98&lt;=Forudsætninger!$D$97,Forudsætninger!$D$98,IF(G98&lt;=Forudsætninger!$E$97,Forudsætninger!$E$98,IF(G98&lt;=Forudsætninger!$F$97,Forudsætninger!$F$98,IF(G98&lt;=Forudsætninger!$G$97,Forudsætninger!$G$98,IF(G98&lt;=Forudsætninger!$H$97,Forudsætninger!$H$98,IF(G98&lt;=Forudsætninger!$I$97,Forudsætninger!$I$98,Forudsætninger!$I$98))))))))</f>
        <v>2.2000000000000002</v>
      </c>
      <c r="AG98" s="1">
        <f t="shared" si="43"/>
        <v>2.2000000000000002</v>
      </c>
      <c r="AH98" s="1">
        <f t="shared" si="47"/>
        <v>211.19999999999968</v>
      </c>
      <c r="AI98" s="1">
        <f t="shared" si="36"/>
        <v>2.1999999999999966</v>
      </c>
      <c r="AJ98" s="20">
        <f>+(W98*Forudsætninger!$C$12)</f>
        <v>0</v>
      </c>
      <c r="AK98" s="20">
        <f>Forudsætninger!$C$17</f>
        <v>250</v>
      </c>
      <c r="AL98" s="20">
        <f>IF(A98&lt;92,Forudsætninger!$C$20,Forudsætninger!$C$21)</f>
        <v>1.0566762728146013</v>
      </c>
      <c r="AM98" s="20">
        <f t="shared" si="44"/>
        <v>369.9464050434907</v>
      </c>
      <c r="AN98" s="19">
        <f>IFERROR(AD98+AJ98-AA98-Z98-AK98-AM98-Forudsætninger!$D$75,-99999)</f>
        <v>-1420.7159687966539</v>
      </c>
      <c r="AO98" s="57">
        <f>IFERROR(AN98/(A98+Forudsætninger!$D$74),-99999)</f>
        <v>-14.799124674965144</v>
      </c>
      <c r="AP98" s="19">
        <f>IFERROR(((365/(A98+Forudsætninger!$D$74))*AN98)/(AI98+Forudsætninger!$D$73),-99999)</f>
        <v>-2338.389829594063</v>
      </c>
      <c r="AQ98" s="18">
        <f t="shared" si="48"/>
        <v>96</v>
      </c>
      <c r="AR98" s="18">
        <f t="shared" si="49"/>
        <v>4048.1045563544262</v>
      </c>
      <c r="AS98" s="50">
        <f t="shared" si="50"/>
        <v>4.3</v>
      </c>
      <c r="AT98" s="50">
        <f t="shared" si="51"/>
        <v>9.2288261134669938</v>
      </c>
      <c r="AU98" s="50">
        <f t="shared" si="52"/>
        <v>0.25292579777297064</v>
      </c>
      <c r="AV98" s="2">
        <f t="shared" si="53"/>
        <v>39.964465881876549</v>
      </c>
      <c r="AW98" s="16">
        <f t="shared" si="45"/>
        <v>-10.945516289095451</v>
      </c>
      <c r="AZ98" s="16"/>
      <c r="BA98" s="2"/>
    </row>
    <row r="99" spans="1:53" x14ac:dyDescent="0.25">
      <c r="A99">
        <v>97</v>
      </c>
      <c r="B99" s="1">
        <f>ROUND((A99+Forudsætninger!$D$60)/30.4,1)</f>
        <v>4.3</v>
      </c>
      <c r="C99" s="1">
        <f>VLOOKUP((A99+Forudsætninger!$D$60),'Model tilvækst, slagteform, fe'!A:C,3,FALSE)</f>
        <v>213.96402929251954</v>
      </c>
      <c r="D99" s="3">
        <f t="shared" si="54"/>
        <v>1807.5142104916893</v>
      </c>
      <c r="E99" s="3">
        <f>(1+Forudsætninger!$D$78)*C99</f>
        <v>179.72978460571642</v>
      </c>
      <c r="F99" s="2">
        <f t="shared" si="55"/>
        <v>5.2063289587520414</v>
      </c>
      <c r="G99" s="1">
        <f t="shared" si="30"/>
        <v>184.93611356446846</v>
      </c>
      <c r="H99" s="3">
        <f t="shared" si="37"/>
        <v>1446.0113683933571</v>
      </c>
      <c r="I99" s="3">
        <f t="shared" si="38"/>
        <v>1164.2898305615304</v>
      </c>
      <c r="J99" s="1">
        <f>VLOOKUP((A99+Forudsætninger!$D$60),'Model tilvækst, slagteform, fe'!G:K,3,FALSE)*(1+Forudsætninger!$D$79)</f>
        <v>51.420278652851842</v>
      </c>
      <c r="K99" s="17">
        <f t="shared" si="31"/>
        <v>95.094664924604203</v>
      </c>
      <c r="L99" s="17">
        <f t="shared" si="39"/>
        <v>788.48154434275841</v>
      </c>
      <c r="M99" s="3">
        <f>((K99-(('Model tilvækst, slagteform, fe'!$I$9/100)*'Model tilvækst, slagteform, fe'!$C$9))*1000/(A99+Forudsætninger!$D$60))</f>
        <v>560.12291578805241</v>
      </c>
      <c r="N99" s="17">
        <f t="shared" si="40"/>
        <v>342.28807224968756</v>
      </c>
      <c r="O99" s="19">
        <f>IF( A99&lt;Forudsætninger!$C$14,(G99/100)*Forudsætninger!$C$13,(Forudsætninger!$C$15/1000)*Forudsætninger!$C$13)</f>
        <v>1.2020847381690452</v>
      </c>
      <c r="P99" s="17" cm="1">
        <f t="array" ref="P99">INDEX('Model tilvækst, slagteform, fe'!$O$9:$O$375,MATCH(MIN(ABS('Model tilvækst, slagteform, fe'!$M$9:$M$375-G99)),ABS('Model tilvækst, slagteform, fe'!$M$9:$M$375-G99),0))*(1+Forudsætninger!$D$80)</f>
        <v>5.3687136947554253</v>
      </c>
      <c r="Q99" s="17">
        <f t="shared" si="41"/>
        <v>6.8089275307395249</v>
      </c>
      <c r="R99" s="17">
        <f t="shared" si="42"/>
        <v>5.6919940169942844</v>
      </c>
      <c r="S99" s="2">
        <f t="shared" si="32"/>
        <v>3.0308115043669872</v>
      </c>
      <c r="T99" s="19">
        <f>(P99)*IF(N99&lt;Forudsætninger!$B$228,IF(N99&lt;Forudsætninger!$B$227,Forudsætninger!$B$225,Forudsætninger!$C$9),Forudsætninger!$C$11)+O99</f>
        <v>13.76487478389674</v>
      </c>
      <c r="U99" s="2">
        <f>Forudsætninger!$D$68+((K99-(Forudsætninger!$D$84)))*0.01</f>
        <v>6.0905573306056944</v>
      </c>
      <c r="V99" s="2">
        <f>U99+Forudsætninger!$D$69</f>
        <v>6.0905573306056944</v>
      </c>
      <c r="W99">
        <f t="shared" si="33"/>
        <v>0</v>
      </c>
      <c r="X99">
        <f>IF(A99+Forudsætninger!$D$60&gt;248,IF(A99+Forudsætninger!$D$60&lt;365,IF(K99&gt;180,IF(K99&lt;260,1,0),0),0),0)</f>
        <v>0</v>
      </c>
      <c r="Y99" s="22">
        <f>IF(X99=0,0,IF('Vækstfunktion, kry tyr'!A99&lt;Forudsætninger!$D$66,Forudsætninger!$D$67+(('Vækstfunktion, kry tyr'!A99-Forudsætninger!$D$66)/7)*Forudsætninger!$D$64,Forudsætninger!$D$67))</f>
        <v>0</v>
      </c>
      <c r="Z99" s="19">
        <f t="shared" si="46"/>
        <v>1386.923026094832</v>
      </c>
      <c r="AA99" s="19">
        <f>Forudsætninger!$D$62+Forudsætninger!$C$16</f>
        <v>2055</v>
      </c>
      <c r="AB99" s="19">
        <f>IF(K99&gt;Forudsætninger!$C$37,IF(K99&gt;Forudsætninger!$C$38,IF(K99&gt;Forudsætninger!$C$39,Forudsætninger!$E$39,Forudsætninger!$E$38+Forudsætninger!$F$39*(K99-Forudsætninger!$C$38)),Forudsætninger!$E$37+Forudsætninger!$F$38*(K99-Forudsætninger!$C$37)),Forudsætninger!$E$37)+IF(K99&gt;Forudsætninger!$C$39,Forudsætninger!$G$39,IF(K99&gt;Forudsætninger!$C$38,Forudsætninger!$G$38+Forudsætninger!$H$39*(K99-Forudsætninger!$C$38),IF(K99&gt;Forudsætninger!$C$37,Forudsætninger!$G$37+Forudsætninger!$H$38*(K99-Forudsætninger!$C$37),Forudsætninger!$G$37)))*(U99-Forudsætninger!$H$37)</f>
        <v>35.209055733060573</v>
      </c>
      <c r="AC99" s="19">
        <f>IF(K99&gt;Forudsætninger!$C$42,IF(K99&gt;Forudsætninger!$C$43,IF(K99&gt;Forudsætninger!$C$44,Forudsætninger!$E$44,Forudsætninger!$E$43+Forudsætninger!$F$44*(K99-Forudsætninger!$C$43)),Forudsætninger!$E$42+Forudsætninger!$F$43*(K99-Forudsætninger!$C$42)),Forudsætninger!$E$42)+IF(K99&gt;Forudsætninger!$C$44,Forudsætninger!$G$44,IF(K99&gt;Forudsætninger!$C$43,Forudsætninger!$G$43+Forudsætninger!$H$44*(K99-Forudsætninger!$C$43),IF(K99&gt;Forudsætninger!$C$42,Forudsætninger!$G$42+Forudsætninger!$H$43*(K99-Forudsætninger!$C$42),Forudsætninger!$G$42)))*(V99-Forudsætninger!$H$42)</f>
        <v>30.172639332651421</v>
      </c>
      <c r="AD99" s="19">
        <f t="shared" si="34"/>
        <v>2869.2570272294201</v>
      </c>
      <c r="AE99" s="19">
        <f t="shared" si="35"/>
        <v>30.172639332651421</v>
      </c>
      <c r="AF99">
        <f>IF(G99&lt;=Forudsætninger!$C$97,Forudsætninger!$C$98,(IF(G99&lt;=Forudsætninger!$D$97,Forudsætninger!$D$98,IF(G99&lt;=Forudsætninger!$E$97,Forudsætninger!$E$98,IF(G99&lt;=Forudsætninger!$F$97,Forudsætninger!$F$98,IF(G99&lt;=Forudsætninger!$G$97,Forudsætninger!$G$98,IF(G99&lt;=Forudsætninger!$H$97,Forudsætninger!$H$98,IF(G99&lt;=Forudsætninger!$I$97,Forudsætninger!$I$98,Forudsætninger!$I$98))))))))</f>
        <v>2.2000000000000002</v>
      </c>
      <c r="AG99" s="1">
        <f t="shared" si="43"/>
        <v>2.2000000000000002</v>
      </c>
      <c r="AH99" s="1">
        <f t="shared" si="47"/>
        <v>213.39999999999966</v>
      </c>
      <c r="AI99" s="1">
        <f t="shared" si="36"/>
        <v>2.1999999999999966</v>
      </c>
      <c r="AJ99" s="20">
        <f>+(W99*Forudsætninger!$C$12)</f>
        <v>0</v>
      </c>
      <c r="AK99" s="20">
        <f>Forudsætninger!$C$17</f>
        <v>250</v>
      </c>
      <c r="AL99" s="20">
        <f>IF(A99&lt;92,Forudsætninger!$C$20,Forudsætninger!$C$21)</f>
        <v>1.0566762728146013</v>
      </c>
      <c r="AM99" s="20">
        <f t="shared" si="44"/>
        <v>371.00308131630533</v>
      </c>
      <c r="AN99" s="19">
        <f>IFERROR(AD99+AJ99-AA99-Z99-AK99-AM99-Forudsætninger!$D$75,-99999)</f>
        <v>-1411.5610538826775</v>
      </c>
      <c r="AO99" s="57">
        <f>IFERROR(AN99/(A99+Forudsætninger!$D$74),-99999)</f>
        <v>-14.55217581322348</v>
      </c>
      <c r="AP99" s="19">
        <f>IFERROR(((365/(A99+Forudsætninger!$D$74))*AN99)/(AI99+Forudsætninger!$D$73),-99999)</f>
        <v>-2299.3697713534971</v>
      </c>
      <c r="AQ99" s="18">
        <f t="shared" si="48"/>
        <v>97</v>
      </c>
      <c r="AR99" s="18">
        <f t="shared" si="49"/>
        <v>4062.9261074111373</v>
      </c>
      <c r="AS99" s="50">
        <f t="shared" si="50"/>
        <v>4.3</v>
      </c>
      <c r="AT99" s="50">
        <f t="shared" si="51"/>
        <v>9.1549149139764268</v>
      </c>
      <c r="AU99" s="50">
        <f t="shared" si="52"/>
        <v>0.24694886174166442</v>
      </c>
      <c r="AV99" s="2">
        <f t="shared" si="53"/>
        <v>39.020058240565959</v>
      </c>
      <c r="AW99" s="16">
        <f t="shared" si="45"/>
        <v>-10.727401779034764</v>
      </c>
      <c r="AZ99" s="16"/>
      <c r="BA99" s="2"/>
    </row>
    <row r="100" spans="1:53" x14ac:dyDescent="0.25">
      <c r="A100">
        <v>98</v>
      </c>
      <c r="B100" s="1">
        <f>ROUND((A100+Forudsætninger!$D$60)/30.4,1)</f>
        <v>4.3</v>
      </c>
      <c r="C100" s="1">
        <f>VLOOKUP((A100+Forudsætninger!$D$60),'Model tilvækst, slagteform, fe'!A:C,3,FALSE)</f>
        <v>215.77447101411479</v>
      </c>
      <c r="D100" s="3">
        <f t="shared" si="54"/>
        <v>1810.4417215952537</v>
      </c>
      <c r="E100" s="3">
        <f>(1+Forudsætninger!$D$78)*C100</f>
        <v>181.25055565185642</v>
      </c>
      <c r="F100" s="2">
        <f t="shared" si="55"/>
        <v>5.1339112898882311</v>
      </c>
      <c r="G100" s="1">
        <f t="shared" si="30"/>
        <v>186.38446694174465</v>
      </c>
      <c r="H100" s="3">
        <f t="shared" si="37"/>
        <v>1448.3533772761916</v>
      </c>
      <c r="I100" s="3">
        <f t="shared" si="38"/>
        <v>1167.1884381810678</v>
      </c>
      <c r="J100" s="1">
        <f>VLOOKUP((A100+Forudsætninger!$D$60),'Model tilvækst, slagteform, fe'!G:K,3,FALSE)*(1+Forudsætninger!$D$79)</f>
        <v>51.444882664054354</v>
      </c>
      <c r="K100" s="17">
        <f t="shared" si="31"/>
        <v>95.885270322203723</v>
      </c>
      <c r="L100" s="17">
        <f t="shared" si="39"/>
        <v>790.60539759952064</v>
      </c>
      <c r="M100" s="3">
        <f>((K100-(('Model tilvækst, slagteform, fe'!$I$9/100)*'Model tilvækst, slagteform, fe'!$C$9))*1000/(A100+Forudsætninger!$D$60))</f>
        <v>561.86899519571512</v>
      </c>
      <c r="N100" s="17">
        <f t="shared" si="40"/>
        <v>347.68488617659415</v>
      </c>
      <c r="O100" s="19">
        <f>IF( A100&lt;Forudsætninger!$C$14,(G100/100)*Forudsætninger!$C$13,(Forudsætninger!$C$15/1000)*Forudsætninger!$C$13)</f>
        <v>1.2114990351213402</v>
      </c>
      <c r="P100" s="17" cm="1">
        <f t="array" ref="P100">INDEX('Model tilvækst, slagteform, fe'!$O$9:$O$375,MATCH(MIN(ABS('Model tilvækst, slagteform, fe'!$M$9:$M$375-G100)),ABS('Model tilvækst, slagteform, fe'!$M$9:$M$375-G100),0))*(1+Forudsætninger!$D$80)</f>
        <v>5.3968139269065771</v>
      </c>
      <c r="Q100" s="17">
        <f t="shared" si="41"/>
        <v>6.8261789551306871</v>
      </c>
      <c r="R100" s="17">
        <f t="shared" si="42"/>
        <v>5.7067118469934917</v>
      </c>
      <c r="S100" s="2">
        <f t="shared" si="32"/>
        <v>3.0396162649747547</v>
      </c>
      <c r="T100" s="19">
        <f>(P100)*IF(N100&lt;Forudsætninger!$B$228,IF(N100&lt;Forudsætninger!$B$227,Forudsætninger!$B$225,Forudsætninger!$C$9),Forudsætninger!$C$11)+O100</f>
        <v>13.84004362408273</v>
      </c>
      <c r="U100" s="2">
        <f>Forudsætninger!$D$68+((K100-(Forudsætninger!$D$84)))*0.01</f>
        <v>6.0984633845816898</v>
      </c>
      <c r="V100" s="2">
        <f>U100+Forudsætninger!$D$69</f>
        <v>6.0984633845816898</v>
      </c>
      <c r="W100">
        <f t="shared" si="33"/>
        <v>0</v>
      </c>
      <c r="X100">
        <f>IF(A100+Forudsætninger!$D$60&gt;248,IF(A100+Forudsætninger!$D$60&lt;365,IF(K100&gt;180,IF(K100&lt;260,1,0),0),0),0)</f>
        <v>0</v>
      </c>
      <c r="Y100" s="22">
        <f>IF(X100=0,0,IF('Vækstfunktion, kry tyr'!A100&lt;Forudsætninger!$D$66,Forudsætninger!$D$67+(('Vækstfunktion, kry tyr'!A100-Forudsætninger!$D$66)/7)*Forudsætninger!$D$64,Forudsætninger!$D$67))</f>
        <v>0</v>
      </c>
      <c r="Z100" s="19">
        <f t="shared" si="46"/>
        <v>1400.7630697189147</v>
      </c>
      <c r="AA100" s="19">
        <f>Forudsætninger!$D$62+Forudsætninger!$C$16</f>
        <v>2055</v>
      </c>
      <c r="AB100" s="19">
        <f>IF(K100&gt;Forudsætninger!$C$37,IF(K100&gt;Forudsætninger!$C$38,IF(K100&gt;Forudsætninger!$C$39,Forudsætninger!$E$39,Forudsætninger!$E$38+Forudsætninger!$F$39*(K100-Forudsætninger!$C$38)),Forudsætninger!$E$37+Forudsætninger!$F$38*(K100-Forudsætninger!$C$37)),Forudsætninger!$E$37)+IF(K100&gt;Forudsætninger!$C$39,Forudsætninger!$G$39,IF(K100&gt;Forudsætninger!$C$38,Forudsætninger!$G$38+Forudsætninger!$H$39*(K100-Forudsætninger!$C$38),IF(K100&gt;Forudsætninger!$C$37,Forudsætninger!$G$37+Forudsætninger!$H$38*(K100-Forudsætninger!$C$37),Forudsætninger!$G$37)))*(U100-Forudsætninger!$H$37)</f>
        <v>35.209846338458171</v>
      </c>
      <c r="AC100" s="19">
        <f>IF(K100&gt;Forudsætninger!$C$42,IF(K100&gt;Forudsætninger!$C$43,IF(K100&gt;Forudsætninger!$C$44,Forudsætninger!$E$44,Forudsætninger!$E$43+Forudsætninger!$F$44*(K100-Forudsætninger!$C$43)),Forudsætninger!$E$42+Forudsætninger!$F$43*(K100-Forudsætninger!$C$42)),Forudsætninger!$E$42)+IF(K100&gt;Forudsætninger!$C$44,Forudsætninger!$G$44,IF(K100&gt;Forudsætninger!$C$43,Forudsætninger!$G$43+Forudsætninger!$H$44*(K100-Forudsætninger!$C$43),IF(K100&gt;Forudsætninger!$C$42,Forudsætninger!$G$42+Forudsætninger!$H$43*(K100-Forudsætninger!$C$42),Forudsætninger!$G$42)))*(V100-Forudsætninger!$H$42)</f>
        <v>30.174615846145421</v>
      </c>
      <c r="AD100" s="19">
        <f t="shared" si="34"/>
        <v>2893.3011972763056</v>
      </c>
      <c r="AE100" s="19">
        <f t="shared" si="35"/>
        <v>30.174615846145421</v>
      </c>
      <c r="AF100">
        <f>IF(G100&lt;=Forudsætninger!$C$97,Forudsætninger!$C$98,(IF(G100&lt;=Forudsætninger!$D$97,Forudsætninger!$D$98,IF(G100&lt;=Forudsætninger!$E$97,Forudsætninger!$E$98,IF(G100&lt;=Forudsætninger!$F$97,Forudsætninger!$F$98,IF(G100&lt;=Forudsætninger!$G$97,Forudsætninger!$G$98,IF(G100&lt;=Forudsætninger!$H$97,Forudsætninger!$H$98,IF(G100&lt;=Forudsætninger!$I$97,Forudsætninger!$I$98,Forudsætninger!$I$98))))))))</f>
        <v>2.2000000000000002</v>
      </c>
      <c r="AG100" s="1">
        <f t="shared" si="43"/>
        <v>2.2000000000000002</v>
      </c>
      <c r="AH100" s="1">
        <f t="shared" si="47"/>
        <v>215.59999999999965</v>
      </c>
      <c r="AI100" s="1">
        <f t="shared" si="36"/>
        <v>2.1999999999999966</v>
      </c>
      <c r="AJ100" s="20">
        <f>+(W100*Forudsætninger!$C$12)</f>
        <v>0</v>
      </c>
      <c r="AK100" s="20">
        <f>Forudsætninger!$C$17</f>
        <v>250</v>
      </c>
      <c r="AL100" s="20">
        <f>IF(A100&lt;92,Forudsætninger!$C$20,Forudsætninger!$C$21)</f>
        <v>1.0566762728146013</v>
      </c>
      <c r="AM100" s="20">
        <f t="shared" si="44"/>
        <v>372.05975758911995</v>
      </c>
      <c r="AN100" s="19">
        <f>IFERROR(AD100+AJ100-AA100-Z100-AK100-AM100-Forudsætninger!$D$75,-99999)</f>
        <v>-1402.4136037326894</v>
      </c>
      <c r="AO100" s="57">
        <f>IFERROR(AN100/(A100+Forudsætninger!$D$74),-99999)</f>
        <v>-14.310342895231525</v>
      </c>
      <c r="AP100" s="19">
        <f>IFERROR(((365/(A100+Forudsætninger!$D$74))*AN100)/(AI100+Forudsætninger!$D$73),-99999)</f>
        <v>-2261.1580765192703</v>
      </c>
      <c r="AQ100" s="18">
        <f t="shared" si="48"/>
        <v>98</v>
      </c>
      <c r="AR100" s="18">
        <f t="shared" si="49"/>
        <v>4077.8228273080349</v>
      </c>
      <c r="AS100" s="50">
        <f t="shared" si="50"/>
        <v>4.3</v>
      </c>
      <c r="AT100" s="50">
        <f t="shared" si="51"/>
        <v>9.1474501499881171</v>
      </c>
      <c r="AU100" s="50">
        <f t="shared" si="52"/>
        <v>0.24183291799195494</v>
      </c>
      <c r="AV100" s="2">
        <f t="shared" si="53"/>
        <v>38.211694834226819</v>
      </c>
      <c r="AW100" s="16">
        <f t="shared" si="45"/>
        <v>-10.513814756567035</v>
      </c>
      <c r="AZ100" s="16"/>
      <c r="BA100" s="2"/>
    </row>
    <row r="101" spans="1:53" x14ac:dyDescent="0.25">
      <c r="A101">
        <v>99</v>
      </c>
      <c r="B101" s="1">
        <f>ROUND((A101+Forudsætninger!$D$60)/30.4,1)</f>
        <v>4.4000000000000004</v>
      </c>
      <c r="C101" s="1">
        <f>VLOOKUP((A101+Forudsætninger!$D$60),'Model tilvækst, slagteform, fe'!A:C,3,FALSE)</f>
        <v>217.58774318014011</v>
      </c>
      <c r="D101" s="3">
        <f t="shared" si="54"/>
        <v>1813.2721660253139</v>
      </c>
      <c r="E101" s="3">
        <f>(1+Forudsætninger!$D$78)*C101</f>
        <v>182.77370427131768</v>
      </c>
      <c r="F101" s="2">
        <f t="shared" si="55"/>
        <v>5.0613804032472185</v>
      </c>
      <c r="G101" s="1">
        <f t="shared" si="30"/>
        <v>187.83508467456491</v>
      </c>
      <c r="H101" s="3">
        <f t="shared" si="37"/>
        <v>1450.6177328202625</v>
      </c>
      <c r="I101" s="3">
        <f t="shared" si="38"/>
        <v>1170.0513603491406</v>
      </c>
      <c r="J101" s="1">
        <f>VLOOKUP((A101+Forudsætninger!$D$60),'Model tilvækst, slagteform, fe'!G:K,3,FALSE)*(1+Forudsætninger!$D$79)</f>
        <v>51.46959915554298</v>
      </c>
      <c r="K101" s="17">
        <f t="shared" si="31"/>
        <v>96.677965155473302</v>
      </c>
      <c r="L101" s="17">
        <f t="shared" si="39"/>
        <v>792.69483326957868</v>
      </c>
      <c r="M101" s="3">
        <f>((K101-(('Model tilvækst, slagteform, fe'!$I$9/100)*'Model tilvækst, slagteform, fe'!$C$9))*1000/(A101+Forudsætninger!$D$60))</f>
        <v>563.60452781281185</v>
      </c>
      <c r="N101" s="17">
        <f t="shared" si="40"/>
        <v>353.10954920705353</v>
      </c>
      <c r="O101" s="19">
        <f>IF( A101&lt;Forudsætninger!$C$14,(G101/100)*Forudsætninger!$C$13,(Forudsætninger!$C$15/1000)*Forudsætninger!$C$13)</f>
        <v>1.220928050384672</v>
      </c>
      <c r="P101" s="17" cm="1">
        <f t="array" ref="P101">INDEX('Model tilvækst, slagteform, fe'!$O$9:$O$375,MATCH(MIN(ABS('Model tilvækst, slagteform, fe'!$M$9:$M$375-G101)),ABS('Model tilvækst, slagteform, fe'!$M$9:$M$375-G101),0))*(1+Forudsætninger!$D$80)</f>
        <v>5.4246630304593912</v>
      </c>
      <c r="Q101" s="17">
        <f t="shared" si="41"/>
        <v>6.8433182642109873</v>
      </c>
      <c r="R101" s="17">
        <f t="shared" si="42"/>
        <v>5.7213101428011504</v>
      </c>
      <c r="S101" s="2">
        <f t="shared" si="32"/>
        <v>3.048381672954303</v>
      </c>
      <c r="T101" s="19">
        <f>(P101)*IF(N101&lt;Forudsætninger!$B$228,IF(N101&lt;Forudsætninger!$B$227,Forudsætninger!$B$225,Forudsætninger!$C$9),Forudsætninger!$C$11)+O101</f>
        <v>13.914639541659646</v>
      </c>
      <c r="U101" s="2">
        <f>Forudsætninger!$D$68+((K101-(Forudsætninger!$D$84)))*0.01</f>
        <v>6.1063903329143852</v>
      </c>
      <c r="V101" s="2">
        <f>U101+Forudsætninger!$D$69</f>
        <v>6.1063903329143852</v>
      </c>
      <c r="W101">
        <f t="shared" si="33"/>
        <v>0</v>
      </c>
      <c r="X101">
        <f>IF(A101+Forudsætninger!$D$60&gt;248,IF(A101+Forudsætninger!$D$60&lt;365,IF(K101&gt;180,IF(K101&lt;260,1,0),0),0),0)</f>
        <v>0</v>
      </c>
      <c r="Y101" s="22">
        <f>IF(X101=0,0,IF('Vækstfunktion, kry tyr'!A101&lt;Forudsætninger!$D$66,Forudsætninger!$D$67+(('Vækstfunktion, kry tyr'!A101-Forudsætninger!$D$66)/7)*Forudsætninger!$D$64,Forudsætninger!$D$67))</f>
        <v>0</v>
      </c>
      <c r="Z101" s="19">
        <f t="shared" si="46"/>
        <v>1414.6777092605744</v>
      </c>
      <c r="AA101" s="19">
        <f>Forudsætninger!$D$62+Forudsætninger!$C$16</f>
        <v>2055</v>
      </c>
      <c r="AB101" s="19">
        <f>IF(K101&gt;Forudsætninger!$C$37,IF(K101&gt;Forudsætninger!$C$38,IF(K101&gt;Forudsætninger!$C$39,Forudsætninger!$E$39,Forudsætninger!$E$38+Forudsætninger!$F$39*(K101-Forudsætninger!$C$38)),Forudsætninger!$E$37+Forudsætninger!$F$38*(K101-Forudsætninger!$C$37)),Forudsætninger!$E$37)+IF(K101&gt;Forudsætninger!$C$39,Forudsætninger!$G$39,IF(K101&gt;Forudsætninger!$C$38,Forudsætninger!$G$38+Forudsætninger!$H$39*(K101-Forudsætninger!$C$38),IF(K101&gt;Forudsætninger!$C$37,Forudsætninger!$G$37+Forudsætninger!$H$38*(K101-Forudsætninger!$C$37),Forudsætninger!$G$37)))*(U101-Forudsætninger!$H$37)</f>
        <v>35.210639033291436</v>
      </c>
      <c r="AC101" s="19">
        <f>IF(K101&gt;Forudsætninger!$C$42,IF(K101&gt;Forudsætninger!$C$43,IF(K101&gt;Forudsætninger!$C$44,Forudsætninger!$E$44,Forudsætninger!$E$43+Forudsætninger!$F$44*(K101-Forudsætninger!$C$43)),Forudsætninger!$E$42+Forudsætninger!$F$43*(K101-Forudsætninger!$C$42)),Forudsætninger!$E$42)+IF(K101&gt;Forudsætninger!$C$44,Forudsætninger!$G$44,IF(K101&gt;Forudsætninger!$C$43,Forudsætninger!$G$43+Forudsætninger!$H$44*(K101-Forudsætninger!$C$43),IF(K101&gt;Forudsætninger!$C$42,Forudsætninger!$G$42+Forudsætninger!$H$43*(K101-Forudsætninger!$C$42),Forudsætninger!$G$42)))*(V101-Forudsætninger!$H$42)</f>
        <v>30.176597583228595</v>
      </c>
      <c r="AD101" s="19">
        <f t="shared" si="34"/>
        <v>2917.412049662114</v>
      </c>
      <c r="AE101" s="19">
        <f t="shared" si="35"/>
        <v>30.176597583228595</v>
      </c>
      <c r="AF101">
        <f>IF(G101&lt;=Forudsætninger!$C$97,Forudsætninger!$C$98,(IF(G101&lt;=Forudsætninger!$D$97,Forudsætninger!$D$98,IF(G101&lt;=Forudsætninger!$E$97,Forudsætninger!$E$98,IF(G101&lt;=Forudsætninger!$F$97,Forudsætninger!$F$98,IF(G101&lt;=Forudsætninger!$G$97,Forudsætninger!$G$98,IF(G101&lt;=Forudsætninger!$H$97,Forudsætninger!$H$98,IF(G101&lt;=Forudsætninger!$I$97,Forudsætninger!$I$98,Forudsætninger!$I$98))))))))</f>
        <v>2.2000000000000002</v>
      </c>
      <c r="AG101" s="1">
        <f t="shared" si="43"/>
        <v>2.2000000000000002</v>
      </c>
      <c r="AH101" s="1">
        <f t="shared" si="47"/>
        <v>217.79999999999964</v>
      </c>
      <c r="AI101" s="1">
        <f t="shared" si="36"/>
        <v>2.1999999999999962</v>
      </c>
      <c r="AJ101" s="20">
        <f>+(W101*Forudsætninger!$C$12)</f>
        <v>0</v>
      </c>
      <c r="AK101" s="20">
        <f>Forudsætninger!$C$17</f>
        <v>250</v>
      </c>
      <c r="AL101" s="20">
        <f>IF(A101&lt;92,Forudsætninger!$C$20,Forudsætninger!$C$21)</f>
        <v>1.0566762728146013</v>
      </c>
      <c r="AM101" s="20">
        <f t="shared" si="44"/>
        <v>373.11643386193458</v>
      </c>
      <c r="AN101" s="19">
        <f>IFERROR(AD101+AJ101-AA101-Z101-AK101-AM101-Forudsætninger!$D$75,-99999)</f>
        <v>-1393.2740671613553</v>
      </c>
      <c r="AO101" s="57">
        <f>IFERROR(AN101/(A101+Forudsætninger!$D$74),-99999)</f>
        <v>-14.073475425872276</v>
      </c>
      <c r="AP101" s="19">
        <f>IFERROR(((365/(A101+Forudsætninger!$D$74))*AN101)/(AI101+Forudsætninger!$D$73),-99999)</f>
        <v>-2223.7309655599088</v>
      </c>
      <c r="AQ101" s="18">
        <f t="shared" si="48"/>
        <v>99</v>
      </c>
      <c r="AR101" s="18">
        <f t="shared" si="49"/>
        <v>4092.794143122509</v>
      </c>
      <c r="AS101" s="50">
        <f t="shared" si="50"/>
        <v>4.4000000000000004</v>
      </c>
      <c r="AT101" s="50">
        <f t="shared" si="51"/>
        <v>9.1395365713340198</v>
      </c>
      <c r="AU101" s="50">
        <f t="shared" si="52"/>
        <v>0.23686746935924852</v>
      </c>
      <c r="AV101" s="2">
        <f t="shared" si="53"/>
        <v>37.427110959361471</v>
      </c>
      <c r="AW101" s="16">
        <f t="shared" si="45"/>
        <v>-10.304622558580007</v>
      </c>
      <c r="AZ101" s="16"/>
      <c r="BA101" s="2"/>
    </row>
    <row r="102" spans="1:53" x14ac:dyDescent="0.25">
      <c r="A102">
        <v>100</v>
      </c>
      <c r="B102" s="1">
        <f>ROUND((A102+Forudsætninger!$D$60)/30.4,1)</f>
        <v>4.4000000000000004</v>
      </c>
      <c r="C102" s="1">
        <f>VLOOKUP((A102+Forudsætninger!$D$60),'Model tilvækst, slagteform, fe'!A:C,3,FALSE)</f>
        <v>219.40374934485843</v>
      </c>
      <c r="D102" s="3">
        <f t="shared" si="54"/>
        <v>1816.006164718317</v>
      </c>
      <c r="E102" s="3">
        <f>(1+Forudsætninger!$D$78)*C102</f>
        <v>184.29914944968107</v>
      </c>
      <c r="F102" s="2">
        <f t="shared" si="55"/>
        <v>4.9887401566584861</v>
      </c>
      <c r="G102" s="1">
        <f t="shared" si="30"/>
        <v>189.28788960633955</v>
      </c>
      <c r="H102" s="3">
        <f t="shared" si="37"/>
        <v>1452.8049317746365</v>
      </c>
      <c r="I102" s="3">
        <f t="shared" si="38"/>
        <v>1172.8788960633956</v>
      </c>
      <c r="J102" s="1">
        <f>VLOOKUP((A102+Forudsætninger!$D$60),'Model tilvækst, slagteform, fe'!G:K,3,FALSE)*(1+Forudsætninger!$D$79)</f>
        <v>51.494427546498912</v>
      </c>
      <c r="K102" s="17">
        <f t="shared" si="31"/>
        <v>97.472715167633368</v>
      </c>
      <c r="L102" s="17">
        <f t="shared" si="39"/>
        <v>794.75001216006547</v>
      </c>
      <c r="M102" s="3">
        <f>((K102-(('Model tilvækst, slagteform, fe'!$I$9/100)*'Model tilvækst, slagteform, fe'!$C$9))*1000/(A102+Forudsætninger!$D$60))</f>
        <v>565.32949411391076</v>
      </c>
      <c r="N102" s="17">
        <f t="shared" si="40"/>
        <v>358.56180704527532</v>
      </c>
      <c r="O102" s="19">
        <f>IF( A102&lt;Forudsætninger!$C$14,(G102/100)*Forudsætninger!$C$13,(Forudsætninger!$C$15/1000)*Forudsætninger!$C$13)</f>
        <v>1.2303712824412072</v>
      </c>
      <c r="P102" s="17" cm="1">
        <f t="array" ref="P102">INDEX('Model tilvækst, slagteform, fe'!$O$9:$O$375,MATCH(MIN(ABS('Model tilvækst, slagteform, fe'!$M$9:$M$375-G102)),ABS('Model tilvækst, slagteform, fe'!$M$9:$M$375-G102),0))*(1+Forudsætninger!$D$80)</f>
        <v>5.4522578382217972</v>
      </c>
      <c r="Q102" s="17">
        <f t="shared" si="41"/>
        <v>6.8603431957213905</v>
      </c>
      <c r="R102" s="17">
        <f t="shared" si="42"/>
        <v>5.7357910631612148</v>
      </c>
      <c r="S102" s="2">
        <f t="shared" si="32"/>
        <v>3.0571085237251521</v>
      </c>
      <c r="T102" s="19">
        <f>(P102)*IF(N102&lt;Forudsætninger!$B$228,IF(N102&lt;Forudsætninger!$B$227,Forudsætninger!$B$225,Forudsætninger!$C$9),Forudsætninger!$C$11)+O102</f>
        <v>13.988654623880212</v>
      </c>
      <c r="U102" s="2">
        <f>Forudsætninger!$D$68+((K102-(Forudsætninger!$D$84)))*0.01</f>
        <v>6.1143378330359859</v>
      </c>
      <c r="V102" s="2">
        <f>U102+Forudsætninger!$D$69</f>
        <v>6.1143378330359859</v>
      </c>
      <c r="W102">
        <f t="shared" si="33"/>
        <v>0</v>
      </c>
      <c r="X102">
        <f>IF(A102+Forudsætninger!$D$60&gt;248,IF(A102+Forudsætninger!$D$60&lt;365,IF(K102&gt;180,IF(K102&lt;260,1,0),0),0),0)</f>
        <v>0</v>
      </c>
      <c r="Y102" s="22">
        <f>IF(X102=0,0,IF('Vækstfunktion, kry tyr'!A102&lt;Forudsætninger!$D$66,Forudsætninger!$D$67+(('Vækstfunktion, kry tyr'!A102-Forudsætninger!$D$66)/7)*Forudsætninger!$D$64,Forudsætninger!$D$67))</f>
        <v>0</v>
      </c>
      <c r="Z102" s="19">
        <f t="shared" si="46"/>
        <v>1428.6663638844545</v>
      </c>
      <c r="AA102" s="19">
        <f>Forudsætninger!$D$62+Forudsætninger!$C$16</f>
        <v>2055</v>
      </c>
      <c r="AB102" s="19">
        <f>IF(K102&gt;Forudsætninger!$C$37,IF(K102&gt;Forudsætninger!$C$38,IF(K102&gt;Forudsætninger!$C$39,Forudsætninger!$E$39,Forudsætninger!$E$38+Forudsætninger!$F$39*(K102-Forudsætninger!$C$38)),Forudsætninger!$E$37+Forudsætninger!$F$38*(K102-Forudsætninger!$C$37)),Forudsætninger!$E$37)+IF(K102&gt;Forudsætninger!$C$39,Forudsætninger!$G$39,IF(K102&gt;Forudsætninger!$C$38,Forudsætninger!$G$38+Forudsætninger!$H$39*(K102-Forudsætninger!$C$38),IF(K102&gt;Forudsætninger!$C$37,Forudsætninger!$G$37+Forudsætninger!$H$38*(K102-Forudsætninger!$C$37),Forudsætninger!$G$37)))*(U102-Forudsætninger!$H$37)</f>
        <v>35.211433783303598</v>
      </c>
      <c r="AC102" s="19">
        <f>IF(K102&gt;Forudsætninger!$C$42,IF(K102&gt;Forudsætninger!$C$43,IF(K102&gt;Forudsætninger!$C$44,Forudsætninger!$E$44,Forudsætninger!$E$43+Forudsætninger!$F$44*(K102-Forudsætninger!$C$43)),Forudsætninger!$E$42+Forudsætninger!$F$43*(K102-Forudsætninger!$C$42)),Forudsætninger!$E$42)+IF(K102&gt;Forudsætninger!$C$44,Forudsætninger!$G$44,IF(K102&gt;Forudsætninger!$C$43,Forudsætninger!$G$43+Forudsætninger!$H$44*(K102-Forudsætninger!$C$43),IF(K102&gt;Forudsætninger!$C$42,Forudsætninger!$G$42+Forudsætninger!$H$43*(K102-Forudsætninger!$C$42),Forudsætninger!$G$42)))*(V102-Forudsætninger!$H$42)</f>
        <v>30.178584458258996</v>
      </c>
      <c r="AD102" s="19">
        <f t="shared" si="34"/>
        <v>2941.5885670622461</v>
      </c>
      <c r="AE102" s="19">
        <f t="shared" si="35"/>
        <v>30.178584458258992</v>
      </c>
      <c r="AF102">
        <f>IF(G102&lt;=Forudsætninger!$C$97,Forudsætninger!$C$98,(IF(G102&lt;=Forudsætninger!$D$97,Forudsætninger!$D$98,IF(G102&lt;=Forudsætninger!$E$97,Forudsætninger!$E$98,IF(G102&lt;=Forudsætninger!$F$97,Forudsætninger!$F$98,IF(G102&lt;=Forudsætninger!$G$97,Forudsætninger!$G$98,IF(G102&lt;=Forudsætninger!$H$97,Forudsætninger!$H$98,IF(G102&lt;=Forudsætninger!$I$97,Forudsætninger!$I$98,Forudsætninger!$I$98))))))))</f>
        <v>2.2000000000000002</v>
      </c>
      <c r="AG102" s="1">
        <f t="shared" si="43"/>
        <v>2.2000000000000002</v>
      </c>
      <c r="AH102" s="1">
        <f t="shared" si="47"/>
        <v>219.99999999999963</v>
      </c>
      <c r="AI102" s="1">
        <f t="shared" si="36"/>
        <v>2.1999999999999962</v>
      </c>
      <c r="AJ102" s="20">
        <f>+(W102*Forudsætninger!$C$12)</f>
        <v>0</v>
      </c>
      <c r="AK102" s="20">
        <f>Forudsætninger!$C$17</f>
        <v>250</v>
      </c>
      <c r="AL102" s="20">
        <f>IF(A102&lt;92,Forudsætninger!$C$20,Forudsætninger!$C$21)</f>
        <v>1.0566762728146013</v>
      </c>
      <c r="AM102" s="20">
        <f t="shared" si="44"/>
        <v>374.17311013474921</v>
      </c>
      <c r="AN102" s="19">
        <f>IFERROR(AD102+AJ102-AA102-Z102-AK102-AM102-Forudsætninger!$D$75,-99999)</f>
        <v>-1384.1428806579181</v>
      </c>
      <c r="AO102" s="57">
        <f>IFERROR(AN102/(A102+Forudsætninger!$D$74),-99999)</f>
        <v>-13.841428806579181</v>
      </c>
      <c r="AP102" s="19">
        <f>IFERROR(((365/(A102+Forudsætninger!$D$74))*AN102)/(AI102+Forudsætninger!$D$73),-99999)</f>
        <v>-2187.065590649961</v>
      </c>
      <c r="AQ102" s="18">
        <f t="shared" si="48"/>
        <v>100</v>
      </c>
      <c r="AR102" s="18">
        <f t="shared" si="49"/>
        <v>4107.8394740192043</v>
      </c>
      <c r="AS102" s="50">
        <f t="shared" si="50"/>
        <v>4.4000000000000004</v>
      </c>
      <c r="AT102" s="50">
        <f t="shared" si="51"/>
        <v>9.1311865034372204</v>
      </c>
      <c r="AU102" s="50">
        <f t="shared" si="52"/>
        <v>0.23204661929309545</v>
      </c>
      <c r="AV102" s="2">
        <f t="shared" si="53"/>
        <v>36.665374909947786</v>
      </c>
      <c r="AW102" s="16">
        <f t="shared" si="45"/>
        <v>-10.099697705231689</v>
      </c>
      <c r="AZ102" s="16"/>
      <c r="BA102" s="2"/>
    </row>
    <row r="103" spans="1:53" x14ac:dyDescent="0.25">
      <c r="A103">
        <v>101</v>
      </c>
      <c r="B103" s="1">
        <f>ROUND((A103+Forudsætninger!$D$60)/30.4,1)</f>
        <v>4.4000000000000004</v>
      </c>
      <c r="C103" s="1">
        <f>VLOOKUP((A103+Forudsætninger!$D$60),'Model tilvækst, slagteform, fe'!A:C,3,FALSE)</f>
        <v>221.22239368346925</v>
      </c>
      <c r="D103" s="3">
        <f t="shared" si="54"/>
        <v>1818.6443386108238</v>
      </c>
      <c r="E103" s="3">
        <f>(1+Forudsætninger!$D$78)*C103</f>
        <v>185.82681069411416</v>
      </c>
      <c r="F103" s="2">
        <f t="shared" si="55"/>
        <v>4.9159943831140529</v>
      </c>
      <c r="G103" s="1">
        <f t="shared" si="30"/>
        <v>190.74280507722821</v>
      </c>
      <c r="H103" s="3">
        <f t="shared" si="37"/>
        <v>1454.9154708886647</v>
      </c>
      <c r="I103" s="3">
        <f t="shared" si="38"/>
        <v>1175.6713373982991</v>
      </c>
      <c r="J103" s="1">
        <f>VLOOKUP((A103+Forudsætninger!$D$60),'Model tilvækst, slagteform, fe'!G:K,3,FALSE)*(1+Forudsætninger!$D$79)</f>
        <v>51.519367256103415</v>
      </c>
      <c r="K103" s="17">
        <f t="shared" si="31"/>
        <v>98.269486262330659</v>
      </c>
      <c r="L103" s="17">
        <f t="shared" si="39"/>
        <v>796.77109469729146</v>
      </c>
      <c r="M103" s="3">
        <f>((K103-(('Model tilvækst, slagteform, fe'!$I$9/100)*'Model tilvækst, slagteform, fe'!$C$9))*1000/(A103+Forudsætninger!$D$60))</f>
        <v>567.04387634045429</v>
      </c>
      <c r="N103" s="17">
        <f t="shared" si="40"/>
        <v>364.06847894288239</v>
      </c>
      <c r="O103" s="19">
        <f>IF( A103&lt;Forudsætninger!$C$14,(G103/100)*Forudsætninger!$C$13,(Forudsætninger!$C$15/1000)*Forudsætninger!$C$13)</f>
        <v>1.2398282330019834</v>
      </c>
      <c r="P103" s="17" cm="1">
        <f t="array" ref="P103">INDEX('Model tilvækst, slagteform, fe'!$O$9:$O$375,MATCH(MIN(ABS('Model tilvækst, slagteform, fe'!$M$9:$M$375-G103)),ABS('Model tilvækst, slagteform, fe'!$M$9:$M$375-G103),0))*(1+Forudsætninger!$D$80)</f>
        <v>5.5066718976070987</v>
      </c>
      <c r="Q103" s="17">
        <f t="shared" si="41"/>
        <v>6.9112345242634445</v>
      </c>
      <c r="R103" s="17">
        <f t="shared" si="42"/>
        <v>5.7505843341290079</v>
      </c>
      <c r="S103" s="2">
        <f t="shared" si="32"/>
        <v>3.0660255895597102</v>
      </c>
      <c r="T103" s="19">
        <f>(P103)*IF(N103&lt;Forudsætninger!$B$228,IF(N103&lt;Forudsætninger!$B$227,Forudsætninger!$B$225,Forudsætninger!$C$9),Forudsætninger!$C$11)+O103</f>
        <v>14.125440473402593</v>
      </c>
      <c r="U103" s="2">
        <f>Forudsætninger!$D$68+((K103-(Forudsætninger!$D$84)))*0.01</f>
        <v>6.122305543982959</v>
      </c>
      <c r="V103" s="2">
        <f>U103+Forudsætninger!$D$69</f>
        <v>6.122305543982959</v>
      </c>
      <c r="W103">
        <f t="shared" si="33"/>
        <v>0</v>
      </c>
      <c r="X103">
        <f>IF(A103+Forudsætninger!$D$60&gt;248,IF(A103+Forudsætninger!$D$60&lt;365,IF(K103&gt;180,IF(K103&lt;260,1,0),0),0),0)</f>
        <v>0</v>
      </c>
      <c r="Y103" s="22">
        <f>IF(X103=0,0,IF('Vækstfunktion, kry tyr'!A103&lt;Forudsætninger!$D$66,Forudsætninger!$D$67+(('Vækstfunktion, kry tyr'!A103-Forudsætninger!$D$66)/7)*Forudsætninger!$D$64,Forudsætninger!$D$67))</f>
        <v>0</v>
      </c>
      <c r="Z103" s="19">
        <f t="shared" si="46"/>
        <v>1442.7918043578572</v>
      </c>
      <c r="AA103" s="19">
        <f>Forudsætninger!$D$62+Forudsætninger!$C$16</f>
        <v>2055</v>
      </c>
      <c r="AB103" s="19">
        <f>IF(K103&gt;Forudsætninger!$C$37,IF(K103&gt;Forudsætninger!$C$38,IF(K103&gt;Forudsætninger!$C$39,Forudsætninger!$E$39,Forudsætninger!$E$38+Forudsætninger!$F$39*(K103-Forudsætninger!$C$38)),Forudsætninger!$E$37+Forudsætninger!$F$38*(K103-Forudsætninger!$C$37)),Forudsætninger!$E$37)+IF(K103&gt;Forudsætninger!$C$39,Forudsætninger!$G$39,IF(K103&gt;Forudsætninger!$C$38,Forudsætninger!$G$38+Forudsætninger!$H$39*(K103-Forudsætninger!$C$38),IF(K103&gt;Forudsætninger!$C$37,Forudsætninger!$G$37+Forudsætninger!$H$38*(K103-Forudsætninger!$C$37),Forudsætninger!$G$37)))*(U103-Forudsætninger!$H$37)</f>
        <v>35.212230554398296</v>
      </c>
      <c r="AC103" s="19">
        <f>IF(K103&gt;Forudsætninger!$C$42,IF(K103&gt;Forudsætninger!$C$43,IF(K103&gt;Forudsætninger!$C$44,Forudsætninger!$E$44,Forudsætninger!$E$43+Forudsætninger!$F$44*(K103-Forudsætninger!$C$43)),Forudsætninger!$E$42+Forudsætninger!$F$43*(K103-Forudsætninger!$C$42)),Forudsætninger!$E$42)+IF(K103&gt;Forudsætninger!$C$44,Forudsætninger!$G$44,IF(K103&gt;Forudsætninger!$C$43,Forudsætninger!$G$43+Forudsætninger!$H$44*(K103-Forudsætninger!$C$43),IF(K103&gt;Forudsætninger!$C$42,Forudsætninger!$G$42+Forudsætninger!$H$43*(K103-Forudsætninger!$C$42),Forudsætninger!$G$42)))*(V103-Forudsætninger!$H$42)</f>
        <v>30.180576385995739</v>
      </c>
      <c r="AD103" s="19">
        <f t="shared" si="34"/>
        <v>2965.8297365528292</v>
      </c>
      <c r="AE103" s="19">
        <f t="shared" si="35"/>
        <v>30.180576385995739</v>
      </c>
      <c r="AF103">
        <f>IF(G103&lt;=Forudsætninger!$C$97,Forudsætninger!$C$98,(IF(G103&lt;=Forudsætninger!$D$97,Forudsætninger!$D$98,IF(G103&lt;=Forudsætninger!$E$97,Forudsætninger!$E$98,IF(G103&lt;=Forudsætninger!$F$97,Forudsætninger!$F$98,IF(G103&lt;=Forudsætninger!$G$97,Forudsætninger!$G$98,IF(G103&lt;=Forudsætninger!$H$97,Forudsætninger!$H$98,IF(G103&lt;=Forudsætninger!$I$97,Forudsætninger!$I$98,Forudsætninger!$I$98))))))))</f>
        <v>2.2000000000000002</v>
      </c>
      <c r="AG103" s="1">
        <f t="shared" si="43"/>
        <v>2.2000000000000002</v>
      </c>
      <c r="AH103" s="1">
        <f t="shared" si="47"/>
        <v>222.19999999999962</v>
      </c>
      <c r="AI103" s="1">
        <f t="shared" si="36"/>
        <v>2.1999999999999962</v>
      </c>
      <c r="AJ103" s="20">
        <f>+(W103*Forudsætninger!$C$12)</f>
        <v>0</v>
      </c>
      <c r="AK103" s="20">
        <f>Forudsætninger!$C$17</f>
        <v>250</v>
      </c>
      <c r="AL103" s="20">
        <f>IF(A103&lt;92,Forudsætninger!$C$20,Forudsætninger!$C$21)</f>
        <v>1.0566762728146013</v>
      </c>
      <c r="AM103" s="20">
        <f t="shared" si="44"/>
        <v>375.22978640756384</v>
      </c>
      <c r="AN103" s="19">
        <f>IFERROR(AD103+AJ103-AA103-Z103-AK103-AM103-Forudsætninger!$D$75,-99999)</f>
        <v>-1375.0838279135521</v>
      </c>
      <c r="AO103" s="57">
        <f>IFERROR(AN103/(A103+Forudsætninger!$D$74),-99999)</f>
        <v>-13.614691365480715</v>
      </c>
      <c r="AP103" s="19">
        <f>IFERROR(((365/(A103+Forudsætninger!$D$74))*AN103)/(AI103+Forudsætninger!$D$73),-99999)</f>
        <v>-2151.2391118616752</v>
      </c>
      <c r="AQ103" s="18">
        <f t="shared" si="48"/>
        <v>101</v>
      </c>
      <c r="AR103" s="18">
        <f t="shared" si="49"/>
        <v>4123.021590765421</v>
      </c>
      <c r="AS103" s="50">
        <f t="shared" si="50"/>
        <v>4.4000000000000004</v>
      </c>
      <c r="AT103" s="50">
        <f t="shared" si="51"/>
        <v>9.0590527443659994</v>
      </c>
      <c r="AU103" s="50">
        <f t="shared" si="52"/>
        <v>0.22673744109846616</v>
      </c>
      <c r="AV103" s="2">
        <f t="shared" si="53"/>
        <v>35.82647878828584</v>
      </c>
      <c r="AW103" s="16">
        <f t="shared" si="45"/>
        <v>-9.8995449654058252</v>
      </c>
      <c r="AZ103" s="16"/>
      <c r="BA103" s="2"/>
    </row>
    <row r="104" spans="1:53" x14ac:dyDescent="0.25">
      <c r="A104">
        <v>102</v>
      </c>
      <c r="B104" s="1">
        <f>ROUND((A104+Forudsætninger!$D$60)/30.4,1)</f>
        <v>4.5</v>
      </c>
      <c r="C104" s="1">
        <f>VLOOKUP((A104+Forudsætninger!$D$60),'Model tilvækst, slagteform, fe'!A:C,3,FALSE)</f>
        <v>223.04358099210887</v>
      </c>
      <c r="D104" s="3">
        <f t="shared" si="54"/>
        <v>1821.1873086396224</v>
      </c>
      <c r="E104" s="3">
        <f>(1+Forudsætninger!$D$78)*C104</f>
        <v>187.35660803337146</v>
      </c>
      <c r="F104" s="2">
        <f t="shared" si="55"/>
        <v>4.8431468907684678</v>
      </c>
      <c r="G104" s="1">
        <f t="shared" si="30"/>
        <v>192.19975492413994</v>
      </c>
      <c r="H104" s="3">
        <f t="shared" si="37"/>
        <v>1456.9498469117264</v>
      </c>
      <c r="I104" s="3">
        <f t="shared" si="38"/>
        <v>1178.4289698445093</v>
      </c>
      <c r="J104" s="1">
        <f>VLOOKUP((A104+Forudsætninger!$D$60),'Model tilvækst, slagteform, fe'!G:K,3,FALSE)*(1+Forudsætninger!$D$79)</f>
        <v>51.544417703537725</v>
      </c>
      <c r="K104" s="17">
        <f t="shared" si="31"/>
        <v>99.068244503274514</v>
      </c>
      <c r="L104" s="17">
        <f t="shared" si="39"/>
        <v>798.7582409438545</v>
      </c>
      <c r="M104" s="3">
        <f>((K104-(('Model tilvækst, slagteform, fe'!$I$9/100)*'Model tilvækst, slagteform, fe'!$C$9))*1000/(A104+Forudsætninger!$D$60))</f>
        <v>568.74765843312639</v>
      </c>
      <c r="N104" s="17">
        <f t="shared" si="40"/>
        <v>369.60196375772824</v>
      </c>
      <c r="O104" s="19">
        <f>IF( A104&lt;Forudsætninger!$C$14,(G104/100)*Forudsætninger!$C$13,(Forudsætninger!$C$15/1000)*Forudsætninger!$C$13)</f>
        <v>1.2492984070069098</v>
      </c>
      <c r="P104" s="17" cm="1">
        <f t="array" ref="P104">INDEX('Model tilvækst, slagteform, fe'!$O$9:$O$375,MATCH(MIN(ABS('Model tilvækst, slagteform, fe'!$M$9:$M$375-G104)),ABS('Model tilvækst, slagteform, fe'!$M$9:$M$375-G104),0))*(1+Forudsætninger!$D$80)</f>
        <v>5.5334848148458526</v>
      </c>
      <c r="Q104" s="17">
        <f t="shared" si="41"/>
        <v>6.9276090451438694</v>
      </c>
      <c r="R104" s="17">
        <f t="shared" si="42"/>
        <v>5.7652494251805022</v>
      </c>
      <c r="S104" s="2">
        <f t="shared" si="32"/>
        <v>3.074897814816596</v>
      </c>
      <c r="T104" s="19">
        <f>(P104)*IF(N104&lt;Forudsætninger!$B$228,IF(N104&lt;Forudsætninger!$B$227,Forudsætninger!$B$225,Forudsætninger!$C$9),Forudsætninger!$C$11)+O104</f>
        <v>14.197652873746204</v>
      </c>
      <c r="U104" s="2">
        <f>Forudsætninger!$D$68+((K104-(Forudsætninger!$D$84)))*0.01</f>
        <v>6.130293126392397</v>
      </c>
      <c r="V104" s="2">
        <f>U104+Forudsætninger!$D$69</f>
        <v>6.130293126392397</v>
      </c>
      <c r="W104">
        <f t="shared" si="33"/>
        <v>0</v>
      </c>
      <c r="X104">
        <f>IF(A104+Forudsætninger!$D$60&gt;248,IF(A104+Forudsætninger!$D$60&lt;365,IF(K104&gt;180,IF(K104&lt;260,1,0),0),0),0)</f>
        <v>0</v>
      </c>
      <c r="Y104" s="22">
        <f>IF(X104=0,0,IF('Vækstfunktion, kry tyr'!A104&lt;Forudsætninger!$D$66,Forudsætninger!$D$67+(('Vækstfunktion, kry tyr'!A104-Forudsætninger!$D$66)/7)*Forudsætninger!$D$64,Forudsætninger!$D$67))</f>
        <v>0</v>
      </c>
      <c r="Z104" s="19">
        <f t="shared" si="46"/>
        <v>1456.9894572316034</v>
      </c>
      <c r="AA104" s="19">
        <f>Forudsætninger!$D$62+Forudsætninger!$C$16</f>
        <v>2055</v>
      </c>
      <c r="AB104" s="19">
        <f>IF(K104&gt;Forudsætninger!$C$37,IF(K104&gt;Forudsætninger!$C$38,IF(K104&gt;Forudsætninger!$C$39,Forudsætninger!$E$39,Forudsætninger!$E$38+Forudsætninger!$F$39*(K104-Forudsætninger!$C$38)),Forudsætninger!$E$37+Forudsætninger!$F$38*(K104-Forudsætninger!$C$37)),Forudsætninger!$E$37)+IF(K104&gt;Forudsætninger!$C$39,Forudsætninger!$G$39,IF(K104&gt;Forudsætninger!$C$38,Forudsætninger!$G$38+Forudsætninger!$H$39*(K104-Forudsætninger!$C$38),IF(K104&gt;Forudsætninger!$C$37,Forudsætninger!$G$37+Forudsætninger!$H$38*(K104-Forudsætninger!$C$37),Forudsætninger!$G$37)))*(U104-Forudsætninger!$H$37)</f>
        <v>35.213029312639243</v>
      </c>
      <c r="AC104" s="19">
        <f>IF(K104&gt;Forudsætninger!$C$42,IF(K104&gt;Forudsætninger!$C$43,IF(K104&gt;Forudsætninger!$C$44,Forudsætninger!$E$44,Forudsætninger!$E$43+Forudsætninger!$F$44*(K104-Forudsætninger!$C$43)),Forudsætninger!$E$42+Forudsætninger!$F$43*(K104-Forudsætninger!$C$42)),Forudsætninger!$E$42)+IF(K104&gt;Forudsætninger!$C$44,Forudsætninger!$G$44,IF(K104&gt;Forudsætninger!$C$43,Forudsætninger!$G$43+Forudsætninger!$H$44*(K104-Forudsætninger!$C$43),IF(K104&gt;Forudsætninger!$C$42,Forudsætninger!$G$42+Forudsætninger!$H$43*(K104-Forudsætninger!$C$42),Forudsætninger!$G$42)))*(V104-Forudsætninger!$H$42)</f>
        <v>30.182573281598099</v>
      </c>
      <c r="AD104" s="19">
        <f t="shared" si="34"/>
        <v>2990.134549599361</v>
      </c>
      <c r="AE104" s="19">
        <f t="shared" si="35"/>
        <v>30.182573281598099</v>
      </c>
      <c r="AF104">
        <f>IF(G104&lt;=Forudsætninger!$C$97,Forudsætninger!$C$98,(IF(G104&lt;=Forudsætninger!$D$97,Forudsætninger!$D$98,IF(G104&lt;=Forudsætninger!$E$97,Forudsætninger!$E$98,IF(G104&lt;=Forudsætninger!$F$97,Forudsætninger!$F$98,IF(G104&lt;=Forudsætninger!$G$97,Forudsætninger!$G$98,IF(G104&lt;=Forudsætninger!$H$97,Forudsætninger!$H$98,IF(G104&lt;=Forudsætninger!$I$97,Forudsætninger!$I$98,Forudsætninger!$I$98))))))))</f>
        <v>2.2000000000000002</v>
      </c>
      <c r="AG104" s="1">
        <f t="shared" si="43"/>
        <v>2.2000000000000002</v>
      </c>
      <c r="AH104" s="1">
        <f t="shared" si="47"/>
        <v>224.39999999999961</v>
      </c>
      <c r="AI104" s="1">
        <f t="shared" si="36"/>
        <v>2.1999999999999962</v>
      </c>
      <c r="AJ104" s="20">
        <f>+(W104*Forudsætninger!$C$12)</f>
        <v>0</v>
      </c>
      <c r="AK104" s="20">
        <f>Forudsætninger!$C$17</f>
        <v>250</v>
      </c>
      <c r="AL104" s="20">
        <f>IF(A104&lt;92,Forudsætninger!$C$20,Forudsætninger!$C$21)</f>
        <v>1.0566762728146013</v>
      </c>
      <c r="AM104" s="20">
        <f t="shared" si="44"/>
        <v>376.28646268037846</v>
      </c>
      <c r="AN104" s="19">
        <f>IFERROR(AD104+AJ104-AA104-Z104-AK104-AM104-Forudsætninger!$D$75,-99999)</f>
        <v>-1366.0333440135812</v>
      </c>
      <c r="AO104" s="57">
        <f>IFERROR(AN104/(A104+Forudsætninger!$D$74),-99999)</f>
        <v>-13.392483764839032</v>
      </c>
      <c r="AP104" s="19">
        <f>IFERROR(((365/(A104+Forudsætninger!$D$74))*AN104)/(AI104+Forudsætninger!$D$73),-99999)</f>
        <v>-2116.1283870849588</v>
      </c>
      <c r="AQ104" s="18">
        <f t="shared" si="48"/>
        <v>102</v>
      </c>
      <c r="AR104" s="18">
        <f t="shared" si="49"/>
        <v>4138.2759199119819</v>
      </c>
      <c r="AS104" s="50">
        <f t="shared" si="50"/>
        <v>4.5</v>
      </c>
      <c r="AT104" s="50">
        <f t="shared" si="51"/>
        <v>9.0504838999709136</v>
      </c>
      <c r="AU104" s="50">
        <f t="shared" si="52"/>
        <v>0.2222076006416831</v>
      </c>
      <c r="AV104" s="2">
        <f t="shared" si="53"/>
        <v>35.110724776716324</v>
      </c>
      <c r="AW104" s="16">
        <f t="shared" si="45"/>
        <v>-9.7034007973843401</v>
      </c>
      <c r="AZ104" s="16"/>
      <c r="BA104" s="2"/>
    </row>
    <row r="105" spans="1:53" x14ac:dyDescent="0.25">
      <c r="A105">
        <v>103</v>
      </c>
      <c r="B105" s="1">
        <f>ROUND((A105+Forudsætninger!$D$60)/30.4,1)</f>
        <v>4.5</v>
      </c>
      <c r="C105" s="1">
        <f>VLOOKUP((A105+Forudsætninger!$D$60),'Model tilvækst, slagteform, fe'!A:C,3,FALSE)</f>
        <v>224.86721668785017</v>
      </c>
      <c r="D105" s="3">
        <f t="shared" si="54"/>
        <v>1823.6356957413022</v>
      </c>
      <c r="E105" s="3">
        <f>(1+Forudsætninger!$D$78)*C105</f>
        <v>188.88846201779413</v>
      </c>
      <c r="F105" s="2">
        <f t="shared" si="55"/>
        <v>4.7702014629388154</v>
      </c>
      <c r="G105" s="1">
        <f t="shared" si="30"/>
        <v>193.65866348073294</v>
      </c>
      <c r="H105" s="3">
        <f t="shared" si="37"/>
        <v>1458.908556593002</v>
      </c>
      <c r="I105" s="3">
        <f t="shared" si="38"/>
        <v>1181.152072628475</v>
      </c>
      <c r="J105" s="1">
        <f>VLOOKUP((A105+Forudsætninger!$D$60),'Model tilvækst, slagteform, fe'!G:K,3,FALSE)*(1+Forudsætninger!$D$79)</f>
        <v>51.569578307983051</v>
      </c>
      <c r="K105" s="17">
        <f t="shared" si="31"/>
        <v>99.868956113889951</v>
      </c>
      <c r="L105" s="17">
        <f t="shared" si="39"/>
        <v>800.71161061543705</v>
      </c>
      <c r="M105" s="3">
        <f>((K105-(('Model tilvækst, slagteform, fe'!$I$9/100)*'Model tilvækst, slagteform, fe'!$C$9))*1000/(A105+Forudsætninger!$D$60))</f>
        <v>570.44082596730379</v>
      </c>
      <c r="N105" s="17">
        <f t="shared" si="40"/>
        <v>375.16199452525416</v>
      </c>
      <c r="O105" s="19">
        <f>IF( A105&lt;Forudsætninger!$C$14,(G105/100)*Forudsætninger!$C$13,(Forudsætninger!$C$15/1000)*Forudsætninger!$C$13)</f>
        <v>1.2587813126247642</v>
      </c>
      <c r="P105" s="17" cm="1">
        <f t="array" ref="P105">INDEX('Model tilvækst, slagteform, fe'!$O$9:$O$375,MATCH(MIN(ABS('Model tilvækst, slagteform, fe'!$M$9:$M$375-G105)),ABS('Model tilvækst, slagteform, fe'!$M$9:$M$375-G105),0))*(1+Forudsætninger!$D$80)</f>
        <v>5.5600307675259151</v>
      </c>
      <c r="Q105" s="17">
        <f t="shared" si="41"/>
        <v>6.9438618021941823</v>
      </c>
      <c r="R105" s="17">
        <f t="shared" si="42"/>
        <v>5.7797886162061687</v>
      </c>
      <c r="S105" s="2">
        <f t="shared" si="32"/>
        <v>3.0837260889740787</v>
      </c>
      <c r="T105" s="19">
        <f>(P105)*IF(N105&lt;Forudsætninger!$B$228,IF(N105&lt;Forudsætninger!$B$227,Forudsætninger!$B$225,Forudsætninger!$C$9),Forudsætninger!$C$11)+O105</f>
        <v>14.269253308635404</v>
      </c>
      <c r="U105" s="2">
        <f>Forudsætninger!$D$68+((K105-(Forudsætninger!$D$84)))*0.01</f>
        <v>6.138300242498552</v>
      </c>
      <c r="V105" s="2">
        <f>U105+Forudsætninger!$D$69</f>
        <v>6.138300242498552</v>
      </c>
      <c r="W105">
        <f t="shared" si="33"/>
        <v>0</v>
      </c>
      <c r="X105">
        <f>IF(A105+Forudsætninger!$D$60&gt;248,IF(A105+Forudsætninger!$D$60&lt;365,IF(K105&gt;180,IF(K105&lt;260,1,0),0),0),0)</f>
        <v>0</v>
      </c>
      <c r="Y105" s="22">
        <f>IF(X105=0,0,IF('Vækstfunktion, kry tyr'!A105&lt;Forudsætninger!$D$66,Forudsætninger!$D$67+(('Vækstfunktion, kry tyr'!A105-Forudsætninger!$D$66)/7)*Forudsætninger!$D$64,Forudsætninger!$D$67))</f>
        <v>0</v>
      </c>
      <c r="Z105" s="19">
        <f t="shared" si="46"/>
        <v>1471.2587105402388</v>
      </c>
      <c r="AA105" s="19">
        <f>Forudsætninger!$D$62+Forudsætninger!$C$16</f>
        <v>2055</v>
      </c>
      <c r="AB105" s="19">
        <f>IF(K105&gt;Forudsætninger!$C$37,IF(K105&gt;Forudsætninger!$C$38,IF(K105&gt;Forudsætninger!$C$39,Forudsætninger!$E$39,Forudsætninger!$E$38+Forudsætninger!$F$39*(K105-Forudsætninger!$C$38)),Forudsætninger!$E$37+Forudsætninger!$F$38*(K105-Forudsætninger!$C$37)),Forudsætninger!$E$37)+IF(K105&gt;Forudsætninger!$C$39,Forudsætninger!$G$39,IF(K105&gt;Forudsætninger!$C$38,Forudsætninger!$G$38+Forudsætninger!$H$39*(K105-Forudsætninger!$C$38),IF(K105&gt;Forudsætninger!$C$37,Forudsætninger!$G$37+Forudsætninger!$H$38*(K105-Forudsætninger!$C$37),Forudsætninger!$G$37)))*(U105-Forudsætninger!$H$37)</f>
        <v>35.213830024249859</v>
      </c>
      <c r="AC105" s="19">
        <f>IF(K105&gt;Forudsætninger!$C$42,IF(K105&gt;Forudsætninger!$C$43,IF(K105&gt;Forudsætninger!$C$44,Forudsætninger!$E$44,Forudsætninger!$E$43+Forudsætninger!$F$44*(K105-Forudsætninger!$C$43)),Forudsætninger!$E$42+Forudsætninger!$F$43*(K105-Forudsætninger!$C$42)),Forudsætninger!$E$42)+IF(K105&gt;Forudsætninger!$C$44,Forudsætninger!$G$44,IF(K105&gt;Forudsætninger!$C$43,Forudsætninger!$G$43+Forudsætninger!$H$44*(K105-Forudsætninger!$C$43),IF(K105&gt;Forudsætninger!$C$42,Forudsætninger!$G$42+Forudsætninger!$H$43*(K105-Forudsætninger!$C$42),Forudsætninger!$G$42)))*(V105-Forudsætninger!$H$42)</f>
        <v>30.184575060624638</v>
      </c>
      <c r="AD105" s="19">
        <f t="shared" si="34"/>
        <v>3014.5020020459392</v>
      </c>
      <c r="AE105" s="19">
        <f t="shared" si="35"/>
        <v>30.184575060624638</v>
      </c>
      <c r="AF105">
        <f>IF(G105&lt;=Forudsætninger!$C$97,Forudsætninger!$C$98,(IF(G105&lt;=Forudsætninger!$D$97,Forudsætninger!$D$98,IF(G105&lt;=Forudsætninger!$E$97,Forudsætninger!$E$98,IF(G105&lt;=Forudsætninger!$F$97,Forudsætninger!$F$98,IF(G105&lt;=Forudsætninger!$G$97,Forudsætninger!$G$98,IF(G105&lt;=Forudsætninger!$H$97,Forudsætninger!$H$98,IF(G105&lt;=Forudsætninger!$I$97,Forudsætninger!$I$98,Forudsætninger!$I$98))))))))</f>
        <v>2.2000000000000002</v>
      </c>
      <c r="AG105" s="1">
        <f t="shared" si="43"/>
        <v>2.2000000000000002</v>
      </c>
      <c r="AH105" s="1">
        <f t="shared" si="47"/>
        <v>226.5999999999996</v>
      </c>
      <c r="AI105" s="1">
        <f t="shared" si="36"/>
        <v>2.1999999999999962</v>
      </c>
      <c r="AJ105" s="20">
        <f>+(W105*Forudsætninger!$C$12)</f>
        <v>0</v>
      </c>
      <c r="AK105" s="20">
        <f>Forudsætninger!$C$17</f>
        <v>250</v>
      </c>
      <c r="AL105" s="20">
        <f>IF(A105&lt;92,Forudsætninger!$C$20,Forudsætninger!$C$21)</f>
        <v>1.0566762728146013</v>
      </c>
      <c r="AM105" s="20">
        <f t="shared" si="44"/>
        <v>377.34313895319309</v>
      </c>
      <c r="AN105" s="19">
        <f>IFERROR(AD105+AJ105-AA105-Z105-AK105-AM105-Forudsætninger!$D$75,-99999)</f>
        <v>-1356.991821148453</v>
      </c>
      <c r="AO105" s="57">
        <f>IFERROR(AN105/(A105+Forudsætninger!$D$74),-99999)</f>
        <v>-13.174677875227699</v>
      </c>
      <c r="AP105" s="19">
        <f>IFERROR(((365/(A105+Forudsætninger!$D$74))*AN105)/(AI105+Forudsætninger!$D$73),-99999)</f>
        <v>-2081.7131707610902</v>
      </c>
      <c r="AQ105" s="18">
        <f t="shared" si="48"/>
        <v>103</v>
      </c>
      <c r="AR105" s="18">
        <f t="shared" si="49"/>
        <v>4153.6018494934324</v>
      </c>
      <c r="AS105" s="50">
        <f t="shared" si="50"/>
        <v>4.5</v>
      </c>
      <c r="AT105" s="50">
        <f t="shared" si="51"/>
        <v>9.0415228651281723</v>
      </c>
      <c r="AU105" s="50">
        <f t="shared" si="52"/>
        <v>0.2178058896113324</v>
      </c>
      <c r="AV105" s="2">
        <f t="shared" si="53"/>
        <v>34.415216323868663</v>
      </c>
      <c r="AW105" s="16">
        <f t="shared" si="45"/>
        <v>-9.5111522543229121</v>
      </c>
      <c r="AZ105" s="16"/>
      <c r="BA105" s="2"/>
    </row>
    <row r="106" spans="1:53" x14ac:dyDescent="0.25">
      <c r="A106">
        <v>104</v>
      </c>
      <c r="B106" s="1">
        <f>ROUND((A106+Forudsætninger!$D$60)/30.4,1)</f>
        <v>4.5</v>
      </c>
      <c r="C106" s="1">
        <f>VLOOKUP((A106+Forudsætninger!$D$60),'Model tilvækst, slagteform, fe'!A:C,3,FALSE)</f>
        <v>226.69320680870248</v>
      </c>
      <c r="D106" s="3">
        <f t="shared" si="54"/>
        <v>1825.9901208523104</v>
      </c>
      <c r="E106" s="3">
        <f>(1+Forudsætninger!$D$78)*C106</f>
        <v>190.42229371931009</v>
      </c>
      <c r="F106" s="2">
        <f t="shared" si="55"/>
        <v>4.6971618581047228</v>
      </c>
      <c r="G106" s="1">
        <f t="shared" si="30"/>
        <v>195.11945557741481</v>
      </c>
      <c r="H106" s="3">
        <f t="shared" si="37"/>
        <v>1460.792096681871</v>
      </c>
      <c r="I106" s="3">
        <f t="shared" si="38"/>
        <v>1183.840919013604</v>
      </c>
      <c r="J106" s="1">
        <f>VLOOKUP((A106+Forudsætninger!$D$60),'Model tilvækst, slagteform, fe'!G:K,3,FALSE)*(1+Forudsætninger!$D$79)</f>
        <v>51.594848488620634</v>
      </c>
      <c r="K106" s="17">
        <f t="shared" si="31"/>
        <v>100.67158747698862</v>
      </c>
      <c r="L106" s="17">
        <f t="shared" si="39"/>
        <v>802.63136309866923</v>
      </c>
      <c r="M106" s="3">
        <f>((K106-(('Model tilvækst, slagteform, fe'!$I$9/100)*'Model tilvækst, slagteform, fe'!$C$9))*1000/(A106+Forudsætninger!$D$60))</f>
        <v>572.12336609144415</v>
      </c>
      <c r="N106" s="17">
        <f t="shared" si="40"/>
        <v>380.74830111370937</v>
      </c>
      <c r="O106" s="19">
        <f>IF( A106&lt;Forudsætninger!$C$14,(G106/100)*Forudsætninger!$C$13,(Forudsætninger!$C$15/1000)*Forudsætninger!$C$13)</f>
        <v>1.2682764612531963</v>
      </c>
      <c r="P106" s="17" cm="1">
        <f t="array" ref="P106">INDEX('Model tilvækst, slagteform, fe'!$O$9:$O$375,MATCH(MIN(ABS('Model tilvækst, slagteform, fe'!$M$9:$M$375-G106)),ABS('Model tilvækst, slagteform, fe'!$M$9:$M$375-G106),0))*(1+Forudsætninger!$D$80)</f>
        <v>5.5863065884552139</v>
      </c>
      <c r="Q106" s="17">
        <f t="shared" si="41"/>
        <v>6.9599904081601123</v>
      </c>
      <c r="R106" s="17">
        <f t="shared" si="42"/>
        <v>5.7942040663364827</v>
      </c>
      <c r="S106" s="2">
        <f t="shared" si="32"/>
        <v>3.0925112471302572</v>
      </c>
      <c r="T106" s="19">
        <f>(P106)*IF(N106&lt;Forudsætninger!$B$228,IF(N106&lt;Forudsætninger!$B$227,Forudsætninger!$B$225,Forudsætninger!$C$9),Forudsætninger!$C$11)+O106</f>
        <v>14.340233878238395</v>
      </c>
      <c r="U106" s="2">
        <f>Forudsætninger!$D$68+((K106-(Forudsætninger!$D$84)))*0.01</f>
        <v>6.146326556129539</v>
      </c>
      <c r="V106" s="2">
        <f>U106+Forudsætninger!$D$69</f>
        <v>6.146326556129539</v>
      </c>
      <c r="W106">
        <f t="shared" si="33"/>
        <v>0</v>
      </c>
      <c r="X106">
        <f>IF(A106+Forudsætninger!$D$60&gt;248,IF(A106+Forudsætninger!$D$60&lt;365,IF(K106&gt;180,IF(K106&lt;260,1,0),0),0),0)</f>
        <v>0</v>
      </c>
      <c r="Y106" s="22">
        <f>IF(X106=0,0,IF('Vækstfunktion, kry tyr'!A106&lt;Forudsætninger!$D$66,Forudsætninger!$D$67+(('Vækstfunktion, kry tyr'!A106-Forudsætninger!$D$66)/7)*Forudsætninger!$D$64,Forudsætninger!$D$67))</f>
        <v>0</v>
      </c>
      <c r="Z106" s="19">
        <f t="shared" si="46"/>
        <v>1485.5989444184772</v>
      </c>
      <c r="AA106" s="19">
        <f>Forudsætninger!$D$62+Forudsætninger!$C$16</f>
        <v>2055</v>
      </c>
      <c r="AB106" s="19">
        <f>IF(K106&gt;Forudsætninger!$C$37,IF(K106&gt;Forudsætninger!$C$38,IF(K106&gt;Forudsætninger!$C$39,Forudsætninger!$E$39,Forudsætninger!$E$38+Forudsætninger!$F$39*(K106-Forudsætninger!$C$38)),Forudsætninger!$E$37+Forudsætninger!$F$38*(K106-Forudsætninger!$C$37)),Forudsætninger!$E$37)+IF(K106&gt;Forudsætninger!$C$39,Forudsætninger!$G$39,IF(K106&gt;Forudsætninger!$C$38,Forudsætninger!$G$38+Forudsætninger!$H$39*(K106-Forudsætninger!$C$38),IF(K106&gt;Forudsætninger!$C$37,Forudsætninger!$G$37+Forudsætninger!$H$38*(K106-Forudsætninger!$C$37),Forudsætninger!$G$37)))*(U106-Forudsætninger!$H$37)</f>
        <v>35.214632655612952</v>
      </c>
      <c r="AC106" s="19">
        <f>IF(K106&gt;Forudsætninger!$C$42,IF(K106&gt;Forudsætninger!$C$43,IF(K106&gt;Forudsætninger!$C$44,Forudsætninger!$E$44,Forudsætninger!$E$43+Forudsætninger!$F$44*(K106-Forudsætninger!$C$43)),Forudsætninger!$E$42+Forudsætninger!$F$43*(K106-Forudsætninger!$C$42)),Forudsætninger!$E$42)+IF(K106&gt;Forudsætninger!$C$44,Forudsætninger!$G$44,IF(K106&gt;Forudsætninger!$C$43,Forudsætninger!$G$43+Forudsætninger!$H$44*(K106-Forudsætninger!$C$43),IF(K106&gt;Forudsætninger!$C$42,Forudsætninger!$G$42+Forudsætninger!$H$43*(K106-Forudsætninger!$C$42),Forudsætninger!$G$42)))*(V106-Forudsætninger!$H$42)</f>
        <v>30.186581639032383</v>
      </c>
      <c r="AD106" s="19">
        <f t="shared" si="34"/>
        <v>3038.9310941051071</v>
      </c>
      <c r="AE106" s="19">
        <f t="shared" si="35"/>
        <v>30.186581639032383</v>
      </c>
      <c r="AF106">
        <f>IF(G106&lt;=Forudsætninger!$C$97,Forudsætninger!$C$98,(IF(G106&lt;=Forudsætninger!$D$97,Forudsætninger!$D$98,IF(G106&lt;=Forudsætninger!$E$97,Forudsætninger!$E$98,IF(G106&lt;=Forudsætninger!$F$97,Forudsætninger!$F$98,IF(G106&lt;=Forudsætninger!$G$97,Forudsætninger!$G$98,IF(G106&lt;=Forudsætninger!$H$97,Forudsætninger!$H$98,IF(G106&lt;=Forudsætninger!$I$97,Forudsætninger!$I$98,Forudsætninger!$I$98))))))))</f>
        <v>2.2000000000000002</v>
      </c>
      <c r="AG106" s="1">
        <f t="shared" si="43"/>
        <v>2.2000000000000002</v>
      </c>
      <c r="AH106" s="1">
        <f t="shared" si="47"/>
        <v>228.79999999999959</v>
      </c>
      <c r="AI106" s="1">
        <f t="shared" si="36"/>
        <v>2.1999999999999962</v>
      </c>
      <c r="AJ106" s="20">
        <f>+(W106*Forudsætninger!$C$12)</f>
        <v>0</v>
      </c>
      <c r="AK106" s="20">
        <f>Forudsætninger!$C$17</f>
        <v>250</v>
      </c>
      <c r="AL106" s="20">
        <f>IF(A106&lt;92,Forudsætninger!$C$20,Forudsætninger!$C$21)</f>
        <v>1.0566762728146013</v>
      </c>
      <c r="AM106" s="20">
        <f t="shared" si="44"/>
        <v>378.39981522600772</v>
      </c>
      <c r="AN106" s="19">
        <f>IFERROR(AD106+AJ106-AA106-Z106-AK106-AM106-Forudsætninger!$D$75,-99999)</f>
        <v>-1347.959639240338</v>
      </c>
      <c r="AO106" s="57">
        <f>IFERROR(AN106/(A106+Forudsætninger!$D$74),-99999)</f>
        <v>-12.961150377310942</v>
      </c>
      <c r="AP106" s="19">
        <f>IFERROR(((365/(A106+Forudsætninger!$D$74))*AN106)/(AI106+Forudsætninger!$D$73),-99999)</f>
        <v>-2047.973977367317</v>
      </c>
      <c r="AQ106" s="18">
        <f t="shared" si="48"/>
        <v>104</v>
      </c>
      <c r="AR106" s="18">
        <f t="shared" si="49"/>
        <v>4168.9987596444844</v>
      </c>
      <c r="AS106" s="50">
        <f t="shared" si="50"/>
        <v>4.5</v>
      </c>
      <c r="AT106" s="50">
        <f t="shared" si="51"/>
        <v>9.0321819081150352</v>
      </c>
      <c r="AU106" s="50">
        <f t="shared" si="52"/>
        <v>0.21352749791675762</v>
      </c>
      <c r="AV106" s="2">
        <f t="shared" si="53"/>
        <v>33.739193393773121</v>
      </c>
      <c r="AW106" s="16">
        <f t="shared" si="45"/>
        <v>-9.3226906155224061</v>
      </c>
      <c r="AZ106" s="16"/>
      <c r="BA106" s="2"/>
    </row>
    <row r="107" spans="1:53" x14ac:dyDescent="0.25">
      <c r="A107">
        <v>105</v>
      </c>
      <c r="B107" s="1">
        <f>ROUND((A107+Forudsætninger!$D$60)/30.4,1)</f>
        <v>4.5999999999999996</v>
      </c>
      <c r="C107" s="1">
        <f>VLOOKUP((A107+Forudsætninger!$D$60),'Model tilvækst, slagteform, fe'!A:C,3,FALSE)</f>
        <v>228.521458013612</v>
      </c>
      <c r="D107" s="3">
        <f t="shared" si="54"/>
        <v>1828.2512049095203</v>
      </c>
      <c r="E107" s="3">
        <f>(1+Forudsætninger!$D$78)*C107</f>
        <v>191.95802473143408</v>
      </c>
      <c r="F107" s="2">
        <f t="shared" si="55"/>
        <v>4.6240318099083417</v>
      </c>
      <c r="G107" s="1">
        <f t="shared" si="30"/>
        <v>196.58205654134241</v>
      </c>
      <c r="H107" s="3">
        <f t="shared" si="37"/>
        <v>1462.6009639275992</v>
      </c>
      <c r="I107" s="3">
        <f t="shared" si="38"/>
        <v>1186.4957765842134</v>
      </c>
      <c r="J107" s="1">
        <f>VLOOKUP((A107+Forudsætninger!$D$60),'Model tilvækst, slagteform, fe'!G:K,3,FALSE)*(1+Forudsætninger!$D$79)</f>
        <v>51.620227664631713</v>
      </c>
      <c r="K107" s="17">
        <f t="shared" si="31"/>
        <v>101.47610513445599</v>
      </c>
      <c r="L107" s="17">
        <f t="shared" si="39"/>
        <v>804.51765746737181</v>
      </c>
      <c r="M107" s="3">
        <f>((K107-(('Model tilvækst, slagteform, fe'!$I$9/100)*'Model tilvækst, slagteform, fe'!$C$9))*1000/(A107+Forudsætninger!$D$60))</f>
        <v>573.79526746824934</v>
      </c>
      <c r="N107" s="17">
        <f t="shared" si="40"/>
        <v>386.38633628000264</v>
      </c>
      <c r="O107" s="19">
        <f>IF( A107&lt;Forudsætninger!$C$14,(G107/100)*Forudsætninger!$C$13,(Forudsætninger!$C$15/1000)*Forudsætninger!$C$13)</f>
        <v>1.2777833675187258</v>
      </c>
      <c r="P107" s="17" cm="1">
        <f t="array" ref="P107">INDEX('Model tilvækst, slagteform, fe'!$O$9:$O$375,MATCH(MIN(ABS('Model tilvækst, slagteform, fe'!$M$9:$M$375-G107)),ABS('Model tilvækst, slagteform, fe'!$M$9:$M$375-G107),0))*(1+Forudsætninger!$D$80)</f>
        <v>5.63803516629324</v>
      </c>
      <c r="Q107" s="17">
        <f t="shared" si="41"/>
        <v>7.0079694509649686</v>
      </c>
      <c r="R107" s="17">
        <f t="shared" si="42"/>
        <v>5.808884582158262</v>
      </c>
      <c r="S107" s="2">
        <f t="shared" si="32"/>
        <v>3.1014605715051813</v>
      </c>
      <c r="T107" s="19">
        <f>(P107)*IF(N107&lt;Forudsætninger!$B$228,IF(N107&lt;Forudsætninger!$B$227,Forudsætninger!$B$225,Forudsætninger!$C$9),Forudsætninger!$C$11)+O107</f>
        <v>14.470785656644907</v>
      </c>
      <c r="U107" s="2">
        <f>Forudsætninger!$D$68+((K107-(Forudsætninger!$D$84)))*0.01</f>
        <v>6.1543717327042122</v>
      </c>
      <c r="V107" s="2">
        <f>U107+Forudsætninger!$D$69</f>
        <v>6.1543717327042122</v>
      </c>
      <c r="W107">
        <f t="shared" si="33"/>
        <v>0</v>
      </c>
      <c r="X107">
        <f>IF(A107+Forudsætninger!$D$60&gt;248,IF(A107+Forudsætninger!$D$60&lt;365,IF(K107&gt;180,IF(K107&lt;260,1,0),0),0),0)</f>
        <v>0</v>
      </c>
      <c r="Y107" s="22">
        <f>IF(X107=0,0,IF('Vækstfunktion, kry tyr'!A107&lt;Forudsætninger!$D$66,Forudsætninger!$D$67+(('Vækstfunktion, kry tyr'!A107-Forudsætninger!$D$66)/7)*Forudsætninger!$D$64,Forudsætninger!$D$67))</f>
        <v>0</v>
      </c>
      <c r="Z107" s="19">
        <f t="shared" si="46"/>
        <v>1500.0697300751222</v>
      </c>
      <c r="AA107" s="19">
        <f>Forudsætninger!$D$62+Forudsætninger!$C$16</f>
        <v>2055</v>
      </c>
      <c r="AB107" s="19">
        <f>IF(K107&gt;Forudsætninger!$C$37,IF(K107&gt;Forudsætninger!$C$38,IF(K107&gt;Forudsætninger!$C$39,Forudsætninger!$E$39,Forudsætninger!$E$38+Forudsætninger!$F$39*(K107-Forudsætninger!$C$38)),Forudsætninger!$E$37+Forudsætninger!$F$38*(K107-Forudsætninger!$C$37)),Forudsætninger!$E$37)+IF(K107&gt;Forudsætninger!$C$39,Forudsætninger!$G$39,IF(K107&gt;Forudsætninger!$C$38,Forudsætninger!$G$38+Forudsætninger!$H$39*(K107-Forudsætninger!$C$38),IF(K107&gt;Forudsætninger!$C$37,Forudsætninger!$G$37+Forudsætninger!$H$38*(K107-Forudsætninger!$C$37),Forudsætninger!$G$37)))*(U107-Forudsætninger!$H$37)</f>
        <v>35.215437173270423</v>
      </c>
      <c r="AC107" s="19">
        <f>IF(K107&gt;Forudsætninger!$C$42,IF(K107&gt;Forudsætninger!$C$43,IF(K107&gt;Forudsætninger!$C$44,Forudsætninger!$E$44,Forudsætninger!$E$43+Forudsætninger!$F$44*(K107-Forudsætninger!$C$43)),Forudsætninger!$E$42+Forudsætninger!$F$43*(K107-Forudsætninger!$C$42)),Forudsætninger!$E$42)+IF(K107&gt;Forudsætninger!$C$44,Forudsætninger!$G$44,IF(K107&gt;Forudsætninger!$C$43,Forudsætninger!$G$43+Forudsætninger!$H$44*(K107-Forudsætninger!$C$43),IF(K107&gt;Forudsætninger!$C$42,Forudsætninger!$G$42+Forudsætninger!$H$43*(K107-Forudsætninger!$C$42),Forudsætninger!$G$42)))*(V107-Forudsætninger!$H$42)</f>
        <v>30.18859293317605</v>
      </c>
      <c r="AD107" s="19">
        <f t="shared" si="34"/>
        <v>3063.4208303482678</v>
      </c>
      <c r="AE107" s="19">
        <f t="shared" si="35"/>
        <v>30.188592933176047</v>
      </c>
      <c r="AF107">
        <f>IF(G107&lt;=Forudsætninger!$C$97,Forudsætninger!$C$98,(IF(G107&lt;=Forudsætninger!$D$97,Forudsætninger!$D$98,IF(G107&lt;=Forudsætninger!$E$97,Forudsætninger!$E$98,IF(G107&lt;=Forudsætninger!$F$97,Forudsætninger!$F$98,IF(G107&lt;=Forudsætninger!$G$97,Forudsætninger!$G$98,IF(G107&lt;=Forudsætninger!$H$97,Forudsætninger!$H$98,IF(G107&lt;=Forudsætninger!$I$97,Forudsætninger!$I$98,Forudsætninger!$I$98))))))))</f>
        <v>2.2000000000000002</v>
      </c>
      <c r="AG107" s="1">
        <f t="shared" si="43"/>
        <v>2.2000000000000002</v>
      </c>
      <c r="AH107" s="1">
        <f t="shared" si="47"/>
        <v>230.99999999999957</v>
      </c>
      <c r="AI107" s="1">
        <f t="shared" si="36"/>
        <v>2.1999999999999957</v>
      </c>
      <c r="AJ107" s="20">
        <f>+(W107*Forudsætninger!$C$12)</f>
        <v>0</v>
      </c>
      <c r="AK107" s="20">
        <f>Forudsætninger!$C$17</f>
        <v>250</v>
      </c>
      <c r="AL107" s="20">
        <f>IF(A107&lt;92,Forudsætninger!$C$20,Forudsætninger!$C$21)</f>
        <v>1.0566762728146013</v>
      </c>
      <c r="AM107" s="20">
        <f t="shared" si="44"/>
        <v>379.45649149882234</v>
      </c>
      <c r="AN107" s="19">
        <f>IFERROR(AD107+AJ107-AA107-Z107-AK107-AM107-Forudsætninger!$D$75,-99999)</f>
        <v>-1338.9973649266369</v>
      </c>
      <c r="AO107" s="57">
        <f>IFERROR(AN107/(A107+Forudsætninger!$D$74),-99999)</f>
        <v>-12.752355856444161</v>
      </c>
      <c r="AP107" s="19">
        <f>IFERROR(((365/(A107+Forudsætninger!$D$74))*AN107)/(AI107+Forudsætninger!$D$73),-99999)</f>
        <v>-2014.9826353255964</v>
      </c>
      <c r="AQ107" s="18">
        <f t="shared" si="48"/>
        <v>105</v>
      </c>
      <c r="AR107" s="18">
        <f t="shared" si="49"/>
        <v>4184.5262215739449</v>
      </c>
      <c r="AS107" s="50">
        <f t="shared" si="50"/>
        <v>4.5999999999999996</v>
      </c>
      <c r="AT107" s="50">
        <f t="shared" si="51"/>
        <v>8.962274313701073</v>
      </c>
      <c r="AU107" s="50">
        <f t="shared" si="52"/>
        <v>0.20879452086678008</v>
      </c>
      <c r="AV107" s="2">
        <f t="shared" si="53"/>
        <v>32.9913420417206</v>
      </c>
      <c r="AW107" s="16">
        <f t="shared" si="45"/>
        <v>-9.1384845088363296</v>
      </c>
      <c r="AZ107" s="16"/>
      <c r="BA107" s="2"/>
    </row>
    <row r="108" spans="1:53" x14ac:dyDescent="0.25">
      <c r="A108">
        <v>106</v>
      </c>
      <c r="B108" s="1">
        <f>ROUND((A108+Forudsætninger!$D$60)/30.4,1)</f>
        <v>4.5999999999999996</v>
      </c>
      <c r="C108" s="1">
        <f>VLOOKUP((A108+Forudsætninger!$D$60),'Model tilvækst, slagteform, fe'!A:C,3,FALSE)</f>
        <v>230.35187758246124</v>
      </c>
      <c r="D108" s="3">
        <f t="shared" si="54"/>
        <v>1830.4195688492371</v>
      </c>
      <c r="E108" s="3">
        <f>(1+Forudsætninger!$D$78)*C108</f>
        <v>193.49557716926745</v>
      </c>
      <c r="F108" s="2">
        <f t="shared" si="55"/>
        <v>4.5508150271543721</v>
      </c>
      <c r="G108" s="1">
        <f t="shared" si="30"/>
        <v>198.04639219642183</v>
      </c>
      <c r="H108" s="3">
        <f t="shared" si="37"/>
        <v>1464.3356550794238</v>
      </c>
      <c r="I108" s="3">
        <f t="shared" si="38"/>
        <v>1189.1169075134135</v>
      </c>
      <c r="J108" s="1">
        <f>VLOOKUP((A108+Forudsætninger!$D$60),'Model tilvækst, slagteform, fe'!G:K,3,FALSE)*(1+Forudsætninger!$D$79)</f>
        <v>51.645715255197537</v>
      </c>
      <c r="K108" s="17">
        <f t="shared" si="31"/>
        <v>102.28247578695577</v>
      </c>
      <c r="L108" s="17">
        <f t="shared" si="39"/>
        <v>806.37065249977979</v>
      </c>
      <c r="M108" s="3">
        <f>((K108-(('Model tilvækst, slagteform, fe'!$I$9/100)*'Model tilvækst, slagteform, fe'!$C$9))*1000/(A108+Forudsætninger!$D$60))</f>
        <v>575.45652021847457</v>
      </c>
      <c r="N108" s="17">
        <f t="shared" si="40"/>
        <v>392.04981786882047</v>
      </c>
      <c r="O108" s="19">
        <f>IF( A108&lt;Forudsætninger!$C$14,(G108/100)*Forudsætninger!$C$13,(Forudsætninger!$C$15/1000)*Forudsætninger!$C$13)</f>
        <v>1.2873015492767419</v>
      </c>
      <c r="P108" s="17" cm="1">
        <f t="array" ref="P108">INDEX('Model tilvækst, slagteform, fe'!$O$9:$O$375,MATCH(MIN(ABS('Model tilvækst, slagteform, fe'!$M$9:$M$375-G108)),ABS('Model tilvækst, slagteform, fe'!$M$9:$M$375-G108),0))*(1+Forudsætninger!$D$80)</f>
        <v>5.6634815888178256</v>
      </c>
      <c r="Q108" s="17">
        <f t="shared" si="41"/>
        <v>7.0234222578175638</v>
      </c>
      <c r="R108" s="17">
        <f t="shared" si="42"/>
        <v>5.82343191752196</v>
      </c>
      <c r="S108" s="2">
        <f t="shared" si="32"/>
        <v>3.1103612807725396</v>
      </c>
      <c r="T108" s="19">
        <f>(P108)*IF(N108&lt;Forudsætninger!$B$228,IF(N108&lt;Forudsætninger!$B$227,Forudsætninger!$B$225,Forudsætninger!$C$9),Forudsætninger!$C$11)+O108</f>
        <v>14.539848467110454</v>
      </c>
      <c r="U108" s="2">
        <f>Forudsætninger!$D$68+((K108-(Forudsætninger!$D$84)))*0.01</f>
        <v>6.1624354392292098</v>
      </c>
      <c r="V108" s="2">
        <f>U108+Forudsætninger!$D$69</f>
        <v>6.1624354392292098</v>
      </c>
      <c r="W108">
        <f t="shared" si="33"/>
        <v>0</v>
      </c>
      <c r="X108">
        <f>IF(A108+Forudsætninger!$D$60&gt;248,IF(A108+Forudsætninger!$D$60&lt;365,IF(K108&gt;180,IF(K108&lt;260,1,0),0),0),0)</f>
        <v>0</v>
      </c>
      <c r="Y108" s="22">
        <f>IF(X108=0,0,IF('Vækstfunktion, kry tyr'!A108&lt;Forudsætninger!$D$66,Forudsætninger!$D$67+(('Vækstfunktion, kry tyr'!A108-Forudsætninger!$D$66)/7)*Forudsætninger!$D$64,Forudsætninger!$D$67))</f>
        <v>0</v>
      </c>
      <c r="Z108" s="19">
        <f t="shared" si="46"/>
        <v>1514.6095785422326</v>
      </c>
      <c r="AA108" s="19">
        <f>Forudsætninger!$D$62+Forudsætninger!$C$16</f>
        <v>2055</v>
      </c>
      <c r="AB108" s="19">
        <f>IF(K108&gt;Forudsætninger!$C$37,IF(K108&gt;Forudsætninger!$C$38,IF(K108&gt;Forudsætninger!$C$39,Forudsætninger!$E$39,Forudsætninger!$E$38+Forudsætninger!$F$39*(K108-Forudsætninger!$C$38)),Forudsætninger!$E$37+Forudsætninger!$F$38*(K108-Forudsætninger!$C$37)),Forudsætninger!$E$37)+IF(K108&gt;Forudsætninger!$C$39,Forudsætninger!$G$39,IF(K108&gt;Forudsætninger!$C$38,Forudsætninger!$G$38+Forudsætninger!$H$39*(K108-Forudsætninger!$C$38),IF(K108&gt;Forudsætninger!$C$37,Forudsætninger!$G$37+Forudsætninger!$H$38*(K108-Forudsætninger!$C$37),Forudsætninger!$G$37)))*(U108-Forudsætninger!$H$37)</f>
        <v>35.216243543922921</v>
      </c>
      <c r="AC108" s="19">
        <f>IF(K108&gt;Forudsætninger!$C$42,IF(K108&gt;Forudsætninger!$C$43,IF(K108&gt;Forudsætninger!$C$44,Forudsætninger!$E$44,Forudsætninger!$E$43+Forudsætninger!$F$44*(K108-Forudsætninger!$C$43)),Forudsætninger!$E$42+Forudsætninger!$F$43*(K108-Forudsætninger!$C$42)),Forudsætninger!$E$42)+IF(K108&gt;Forudsætninger!$C$44,Forudsætninger!$G$44,IF(K108&gt;Forudsætninger!$C$43,Forudsætninger!$G$43+Forudsætninger!$H$44*(K108-Forudsætninger!$C$43),IF(K108&gt;Forudsætninger!$C$42,Forudsætninger!$G$42+Forudsætninger!$H$43*(K108-Forudsætninger!$C$42),Forudsætninger!$G$42)))*(V108-Forudsætninger!$H$42)</f>
        <v>30.190608859807302</v>
      </c>
      <c r="AD108" s="19">
        <f t="shared" si="34"/>
        <v>3087.9702196966928</v>
      </c>
      <c r="AE108" s="19">
        <f t="shared" si="35"/>
        <v>30.190608859807302</v>
      </c>
      <c r="AF108">
        <f>IF(G108&lt;=Forudsætninger!$C$97,Forudsætninger!$C$98,(IF(G108&lt;=Forudsætninger!$D$97,Forudsætninger!$D$98,IF(G108&lt;=Forudsætninger!$E$97,Forudsætninger!$E$98,IF(G108&lt;=Forudsætninger!$F$97,Forudsætninger!$F$98,IF(G108&lt;=Forudsætninger!$G$97,Forudsætninger!$G$98,IF(G108&lt;=Forudsætninger!$H$97,Forudsætninger!$H$98,IF(G108&lt;=Forudsætninger!$I$97,Forudsætninger!$I$98,Forudsætninger!$I$98))))))))</f>
        <v>2.2000000000000002</v>
      </c>
      <c r="AG108" s="1">
        <f t="shared" si="43"/>
        <v>2.2000000000000002</v>
      </c>
      <c r="AH108" s="1">
        <f t="shared" si="47"/>
        <v>233.19999999999956</v>
      </c>
      <c r="AI108" s="1">
        <f t="shared" si="36"/>
        <v>2.1999999999999957</v>
      </c>
      <c r="AJ108" s="20">
        <f>+(W108*Forudsætninger!$C$12)</f>
        <v>0</v>
      </c>
      <c r="AK108" s="20">
        <f>Forudsætninger!$C$17</f>
        <v>250</v>
      </c>
      <c r="AL108" s="20">
        <f>IF(A108&lt;92,Forudsætninger!$C$20,Forudsætninger!$C$21)</f>
        <v>1.0566762728146013</v>
      </c>
      <c r="AM108" s="20">
        <f t="shared" si="44"/>
        <v>380.51316777163697</v>
      </c>
      <c r="AN108" s="19">
        <f>IFERROR(AD108+AJ108-AA108-Z108-AK108-AM108-Forudsætninger!$D$75,-99999)</f>
        <v>-1330.0445003181371</v>
      </c>
      <c r="AO108" s="57">
        <f>IFERROR(AN108/(A108+Forudsætninger!$D$74),-99999)</f>
        <v>-12.547589625642804</v>
      </c>
      <c r="AP108" s="19">
        <f>IFERROR(((365/(A108+Forudsætninger!$D$74))*AN108)/(AI108+Forudsætninger!$D$73),-99999)</f>
        <v>-1982.6277979911824</v>
      </c>
      <c r="AQ108" s="18">
        <f t="shared" si="48"/>
        <v>106</v>
      </c>
      <c r="AR108" s="18">
        <f t="shared" si="49"/>
        <v>4200.1227463138694</v>
      </c>
      <c r="AS108" s="50">
        <f t="shared" si="50"/>
        <v>4.5999999999999996</v>
      </c>
      <c r="AT108" s="50">
        <f t="shared" si="51"/>
        <v>8.9528646084997945</v>
      </c>
      <c r="AU108" s="50">
        <f t="shared" si="52"/>
        <v>0.20476623080135781</v>
      </c>
      <c r="AV108" s="2">
        <f t="shared" si="53"/>
        <v>32.354837334414015</v>
      </c>
      <c r="AW108" s="16">
        <f t="shared" si="45"/>
        <v>-8.9578427598726424</v>
      </c>
      <c r="AZ108" s="16"/>
      <c r="BA108" s="2"/>
    </row>
    <row r="109" spans="1:53" x14ac:dyDescent="0.25">
      <c r="A109">
        <v>107</v>
      </c>
      <c r="B109" s="1">
        <f>ROUND((A109+Forudsætninger!$D$60)/30.4,1)</f>
        <v>4.5999999999999996</v>
      </c>
      <c r="C109" s="1">
        <f>VLOOKUP((A109+Forudsætninger!$D$60),'Model tilvækst, slagteform, fe'!A:C,3,FALSE)</f>
        <v>232.18437341606955</v>
      </c>
      <c r="D109" s="3">
        <f t="shared" si="54"/>
        <v>1832.4958336083057</v>
      </c>
      <c r="E109" s="3">
        <f>(1+Forudsætninger!$D$78)*C109</f>
        <v>195.03487366949841</v>
      </c>
      <c r="F109" s="2">
        <f t="shared" si="55"/>
        <v>4.4775151938100395</v>
      </c>
      <c r="G109" s="1">
        <f t="shared" si="30"/>
        <v>199.51238886330844</v>
      </c>
      <c r="H109" s="3">
        <f t="shared" si="37"/>
        <v>1465.9966668866105</v>
      </c>
      <c r="I109" s="3">
        <f t="shared" si="38"/>
        <v>1191.7045688159667</v>
      </c>
      <c r="J109" s="1">
        <f>VLOOKUP((A109+Forudsætninger!$D$60),'Model tilvækst, slagteform, fe'!G:K,3,FALSE)*(1+Forudsætninger!$D$79)</f>
        <v>51.671310679499307</v>
      </c>
      <c r="K109" s="17">
        <f t="shared" si="31"/>
        <v>103.09066629365088</v>
      </c>
      <c r="L109" s="17">
        <f t="shared" si="39"/>
        <v>808.19050669511228</v>
      </c>
      <c r="M109" s="3">
        <f>((K109-(('Model tilvækst, slagteform, fe'!$I$9/100)*'Model tilvækst, slagteform, fe'!$C$9))*1000/(A109+Forudsætninger!$D$60))</f>
        <v>577.10711586724506</v>
      </c>
      <c r="N109" s="17">
        <f t="shared" si="40"/>
        <v>397.73846307964385</v>
      </c>
      <c r="O109" s="19">
        <f>IF( A109&lt;Forudsætninger!$C$14,(G109/100)*Forudsætninger!$C$13,(Forudsætninger!$C$15/1000)*Forudsætninger!$C$13)</f>
        <v>1.2968305276115049</v>
      </c>
      <c r="P109" s="17" cm="1">
        <f t="array" ref="P109">INDEX('Model tilvækst, slagteform, fe'!$O$9:$O$375,MATCH(MIN(ABS('Model tilvækst, slagteform, fe'!$M$9:$M$375-G109)),ABS('Model tilvækst, slagteform, fe'!$M$9:$M$375-G109),0))*(1+Forudsætninger!$D$80)</f>
        <v>5.6886452108233652</v>
      </c>
      <c r="Q109" s="17">
        <f t="shared" si="41"/>
        <v>7.0387429247166242</v>
      </c>
      <c r="R109" s="17">
        <f t="shared" si="42"/>
        <v>5.8378483031389568</v>
      </c>
      <c r="S109" s="2">
        <f t="shared" si="32"/>
        <v>3.1192142710620385</v>
      </c>
      <c r="T109" s="19">
        <f>(P109)*IF(N109&lt;Forudsætninger!$B$228,IF(N109&lt;Forudsætninger!$B$227,Forudsætninger!$B$225,Forudsætninger!$C$9),Forudsætninger!$C$11)+O109</f>
        <v>14.608260320938179</v>
      </c>
      <c r="U109" s="2">
        <f>Forudsætninger!$D$68+((K109-(Forudsætninger!$D$84)))*0.01</f>
        <v>6.1705173442961616</v>
      </c>
      <c r="V109" s="2">
        <f>U109+Forudsætninger!$D$69</f>
        <v>6.1705173442961616</v>
      </c>
      <c r="W109">
        <f t="shared" si="33"/>
        <v>0</v>
      </c>
      <c r="X109">
        <f>IF(A109+Forudsætninger!$D$60&gt;248,IF(A109+Forudsætninger!$D$60&lt;365,IF(K109&gt;180,IF(K109&lt;260,1,0),0),0),0)</f>
        <v>0</v>
      </c>
      <c r="Y109" s="22">
        <f>IF(X109=0,0,IF('Vækstfunktion, kry tyr'!A109&lt;Forudsætninger!$D$66,Forudsætninger!$D$67+(('Vækstfunktion, kry tyr'!A109-Forudsætninger!$D$66)/7)*Forudsætninger!$D$64,Forudsætninger!$D$67))</f>
        <v>0</v>
      </c>
      <c r="Z109" s="19">
        <f t="shared" si="46"/>
        <v>1529.2178388631708</v>
      </c>
      <c r="AA109" s="19">
        <f>Forudsætninger!$D$62+Forudsætninger!$C$16</f>
        <v>2055</v>
      </c>
      <c r="AB109" s="19">
        <f>IF(K109&gt;Forudsætninger!$C$37,IF(K109&gt;Forudsætninger!$C$38,IF(K109&gt;Forudsætninger!$C$39,Forudsætninger!$E$39,Forudsætninger!$E$38+Forudsætninger!$F$39*(K109-Forudsætninger!$C$38)),Forudsætninger!$E$37+Forudsætninger!$F$38*(K109-Forudsætninger!$C$37)),Forudsætninger!$E$37)+IF(K109&gt;Forudsætninger!$C$39,Forudsætninger!$G$39,IF(K109&gt;Forudsætninger!$C$38,Forudsætninger!$G$38+Forudsætninger!$H$39*(K109-Forudsætninger!$C$38),IF(K109&gt;Forudsætninger!$C$37,Forudsætninger!$G$37+Forudsætninger!$H$38*(K109-Forudsætninger!$C$37),Forudsætninger!$G$37)))*(U109-Forudsætninger!$H$37)</f>
        <v>35.217051734429617</v>
      </c>
      <c r="AC109" s="19">
        <f>IF(K109&gt;Forudsætninger!$C$42,IF(K109&gt;Forudsætninger!$C$43,IF(K109&gt;Forudsætninger!$C$44,Forudsætninger!$E$44,Forudsætninger!$E$43+Forudsætninger!$F$44*(K109-Forudsætninger!$C$43)),Forudsætninger!$E$42+Forudsætninger!$F$43*(K109-Forudsætninger!$C$42)),Forudsætninger!$E$42)+IF(K109&gt;Forudsætninger!$C$44,Forudsætninger!$G$44,IF(K109&gt;Forudsætninger!$C$43,Forudsætninger!$G$43+Forudsætninger!$H$44*(K109-Forudsætninger!$C$43),IF(K109&gt;Forudsætninger!$C$42,Forudsætninger!$G$42+Forudsætninger!$H$43*(K109-Forudsætninger!$C$42),Forudsætninger!$G$42)))*(V109-Forudsætninger!$H$42)</f>
        <v>30.192629336074038</v>
      </c>
      <c r="AD109" s="19">
        <f t="shared" si="34"/>
        <v>3112.5782754131028</v>
      </c>
      <c r="AE109" s="19">
        <f t="shared" si="35"/>
        <v>30.192629336074038</v>
      </c>
      <c r="AF109">
        <f>IF(G109&lt;=Forudsætninger!$C$97,Forudsætninger!$C$98,(IF(G109&lt;=Forudsætninger!$D$97,Forudsætninger!$D$98,IF(G109&lt;=Forudsætninger!$E$97,Forudsætninger!$E$98,IF(G109&lt;=Forudsætninger!$F$97,Forudsætninger!$F$98,IF(G109&lt;=Forudsætninger!$G$97,Forudsætninger!$G$98,IF(G109&lt;=Forudsætninger!$H$97,Forudsætninger!$H$98,IF(G109&lt;=Forudsætninger!$I$97,Forudsætninger!$I$98,Forudsætninger!$I$98))))))))</f>
        <v>2.2000000000000002</v>
      </c>
      <c r="AG109" s="1">
        <f t="shared" si="43"/>
        <v>2.2000000000000002</v>
      </c>
      <c r="AH109" s="1">
        <f t="shared" si="47"/>
        <v>235.39999999999955</v>
      </c>
      <c r="AI109" s="1">
        <f t="shared" si="36"/>
        <v>2.1999999999999957</v>
      </c>
      <c r="AJ109" s="20">
        <f>+(W109*Forudsætninger!$C$12)</f>
        <v>0</v>
      </c>
      <c r="AK109" s="20">
        <f>Forudsætninger!$C$17</f>
        <v>250</v>
      </c>
      <c r="AL109" s="20">
        <f>IF(A109&lt;92,Forudsætninger!$C$20,Forudsætninger!$C$21)</f>
        <v>1.0566762728146013</v>
      </c>
      <c r="AM109" s="20">
        <f t="shared" si="44"/>
        <v>381.5698440444516</v>
      </c>
      <c r="AN109" s="19">
        <f>IFERROR(AD109+AJ109-AA109-Z109-AK109-AM109-Forudsætninger!$D$75,-99999)</f>
        <v>-1321.1013811954799</v>
      </c>
      <c r="AO109" s="57">
        <f>IFERROR(AN109/(A109+Forudsætninger!$D$74),-99999)</f>
        <v>-12.346741880331589</v>
      </c>
      <c r="AP109" s="19">
        <f>IFERROR(((365/(A109+Forudsætninger!$D$74))*AN109)/(AI109+Forudsætninger!$D$73),-99999)</f>
        <v>-1950.8921152904927</v>
      </c>
      <c r="AQ109" s="18">
        <f t="shared" si="48"/>
        <v>107</v>
      </c>
      <c r="AR109" s="18">
        <f t="shared" si="49"/>
        <v>4215.7876829076222</v>
      </c>
      <c r="AS109" s="50">
        <f t="shared" si="50"/>
        <v>4.5999999999999996</v>
      </c>
      <c r="AT109" s="50">
        <f t="shared" si="51"/>
        <v>8.9431191226572082</v>
      </c>
      <c r="AU109" s="50">
        <f t="shared" si="52"/>
        <v>0.20084774531121496</v>
      </c>
      <c r="AV109" s="2">
        <f t="shared" si="53"/>
        <v>31.735682700689722</v>
      </c>
      <c r="AW109" s="16">
        <f t="shared" si="45"/>
        <v>-8.7806685715049362</v>
      </c>
      <c r="AZ109" s="16"/>
      <c r="BA109" s="2"/>
    </row>
    <row r="110" spans="1:53" x14ac:dyDescent="0.25">
      <c r="A110">
        <v>108</v>
      </c>
      <c r="B110" s="1">
        <f>ROUND((A110+Forudsætninger!$D$60)/30.4,1)</f>
        <v>4.7</v>
      </c>
      <c r="C110" s="1">
        <f>VLOOKUP((A110+Forudsætninger!$D$60),'Model tilvækst, slagteform, fe'!A:C,3,FALSE)</f>
        <v>234.01885403619278</v>
      </c>
      <c r="D110" s="3">
        <f t="shared" si="54"/>
        <v>1834.4806201232302</v>
      </c>
      <c r="E110" s="3">
        <f>(1+Forudsætninger!$D$78)*C110</f>
        <v>196.57583739040192</v>
      </c>
      <c r="F110" s="2">
        <f t="shared" si="55"/>
        <v>4.4041359690051101</v>
      </c>
      <c r="G110" s="1">
        <f t="shared" si="30"/>
        <v>200.97997335940701</v>
      </c>
      <c r="H110" s="3">
        <f t="shared" si="37"/>
        <v>1467.5844960985671</v>
      </c>
      <c r="I110" s="3">
        <f t="shared" si="38"/>
        <v>1194.259012587102</v>
      </c>
      <c r="J110" s="1">
        <f>VLOOKUP((A110+Forudsætninger!$D$60),'Model tilvækst, slagteform, fe'!G:K,3,FALSE)*(1+Forudsætninger!$D$79)</f>
        <v>51.697013356718287</v>
      </c>
      <c r="K110" s="17">
        <f t="shared" si="31"/>
        <v>103.90064367194151</v>
      </c>
      <c r="L110" s="17">
        <f t="shared" si="39"/>
        <v>809.97737829062544</v>
      </c>
      <c r="M110" s="3">
        <f>((K110-(('Model tilvækst, slagteform, fe'!$I$9/100)*'Model tilvækst, slagteform, fe'!$C$9))*1000/(A110+Forudsætninger!$D$60))</f>
        <v>578.74704729276186</v>
      </c>
      <c r="N110" s="17">
        <f t="shared" si="40"/>
        <v>403.47657446415286</v>
      </c>
      <c r="O110" s="19">
        <f>IF( A110&lt;Forudsætninger!$C$14,(G110/100)*Forudsætninger!$C$13,(Forudsætninger!$C$15/1000)*Forudsætninger!$C$13)</f>
        <v>1.3063698268361457</v>
      </c>
      <c r="P110" s="17" cm="1">
        <f t="array" ref="P110">INDEX('Model tilvækst, slagteform, fe'!$O$9:$O$375,MATCH(MIN(ABS('Model tilvækst, slagteform, fe'!$M$9:$M$375-G110)),ABS('Model tilvækst, slagteform, fe'!$M$9:$M$375-G110),0))*(1+Forudsætninger!$D$80)</f>
        <v>5.738111384509021</v>
      </c>
      <c r="Q110" s="17">
        <f t="shared" si="41"/>
        <v>7.0842859792192217</v>
      </c>
      <c r="R110" s="17">
        <f t="shared" si="42"/>
        <v>5.8524925148755464</v>
      </c>
      <c r="S110" s="2">
        <f t="shared" si="32"/>
        <v>3.1282110234264966</v>
      </c>
      <c r="T110" s="19">
        <f>(P110)*IF(N110&lt;Forudsætninger!$B$228,IF(N110&lt;Forudsætninger!$B$227,Forudsætninger!$B$225,Forudsætninger!$C$9),Forudsætninger!$C$11)+O110</f>
        <v>14.733550466587255</v>
      </c>
      <c r="U110" s="2">
        <f>Forudsætninger!$D$68+((K110-(Forudsætninger!$D$84)))*0.01</f>
        <v>6.1786171180790674</v>
      </c>
      <c r="V110" s="2">
        <f>U110+Forudsætninger!$D$69</f>
        <v>6.1786171180790674</v>
      </c>
      <c r="W110">
        <f t="shared" si="33"/>
        <v>0</v>
      </c>
      <c r="X110">
        <f>IF(A110+Forudsætninger!$D$60&gt;248,IF(A110+Forudsætninger!$D$60&lt;365,IF(K110&gt;180,IF(K110&lt;260,1,0),0),0),0)</f>
        <v>0</v>
      </c>
      <c r="Y110" s="22">
        <f>IF(X110=0,0,IF('Vækstfunktion, kry tyr'!A110&lt;Forudsætninger!$D$66,Forudsætninger!$D$67+(('Vækstfunktion, kry tyr'!A110-Forudsætninger!$D$66)/7)*Forudsætninger!$D$64,Forudsætninger!$D$67))</f>
        <v>0</v>
      </c>
      <c r="Z110" s="19">
        <f t="shared" si="46"/>
        <v>1543.9513893297581</v>
      </c>
      <c r="AA110" s="19">
        <f>Forudsætninger!$D$62+Forudsætninger!$C$16</f>
        <v>2055</v>
      </c>
      <c r="AB110" s="19">
        <f>IF(K110&gt;Forudsætninger!$C$37,IF(K110&gt;Forudsætninger!$C$38,IF(K110&gt;Forudsætninger!$C$39,Forudsætninger!$E$39,Forudsætninger!$E$38+Forudsætninger!$F$39*(K110-Forudsætninger!$C$38)),Forudsætninger!$E$37+Forudsætninger!$F$38*(K110-Forudsætninger!$C$37)),Forudsætninger!$E$37)+IF(K110&gt;Forudsætninger!$C$39,Forudsætninger!$G$39,IF(K110&gt;Forudsætninger!$C$38,Forudsætninger!$G$38+Forudsætninger!$H$39*(K110-Forudsætninger!$C$38),IF(K110&gt;Forudsætninger!$C$37,Forudsætninger!$G$37+Forudsætninger!$H$38*(K110-Forudsætninger!$C$37),Forudsætninger!$G$37)))*(U110-Forudsætninger!$H$37)</f>
        <v>35.217861711807906</v>
      </c>
      <c r="AC110" s="19">
        <f>IF(K110&gt;Forudsætninger!$C$42,IF(K110&gt;Forudsætninger!$C$43,IF(K110&gt;Forudsætninger!$C$44,Forudsætninger!$E$44,Forudsætninger!$E$43+Forudsætninger!$F$44*(K110-Forudsætninger!$C$43)),Forudsætninger!$E$42+Forudsætninger!$F$43*(K110-Forudsætninger!$C$42)),Forudsætninger!$E$42)+IF(K110&gt;Forudsætninger!$C$44,Forudsætninger!$G$44,IF(K110&gt;Forudsætninger!$C$43,Forudsætninger!$G$43+Forudsætninger!$H$44*(K110-Forudsætninger!$C$43),IF(K110&gt;Forudsætninger!$C$42,Forudsætninger!$G$42+Forudsætninger!$H$43*(K110-Forudsætninger!$C$42),Forudsætninger!$G$42)))*(V110-Forudsætninger!$H$42)</f>
        <v>30.194654279519767</v>
      </c>
      <c r="AD110" s="19">
        <f t="shared" si="34"/>
        <v>3137.2440150938473</v>
      </c>
      <c r="AE110" s="19">
        <f t="shared" si="35"/>
        <v>30.194654279519771</v>
      </c>
      <c r="AF110">
        <f>IF(G110&lt;=Forudsætninger!$C$97,Forudsætninger!$C$98,(IF(G110&lt;=Forudsætninger!$D$97,Forudsætninger!$D$98,IF(G110&lt;=Forudsætninger!$E$97,Forudsætninger!$E$98,IF(G110&lt;=Forudsætninger!$F$97,Forudsætninger!$F$98,IF(G110&lt;=Forudsætninger!$G$97,Forudsætninger!$G$98,IF(G110&lt;=Forudsætninger!$H$97,Forudsætninger!$H$98,IF(G110&lt;=Forudsætninger!$I$97,Forudsætninger!$I$98,Forudsætninger!$I$98))))))))</f>
        <v>3.2</v>
      </c>
      <c r="AG110" s="1">
        <f t="shared" si="43"/>
        <v>3.2</v>
      </c>
      <c r="AH110" s="1">
        <f t="shared" si="47"/>
        <v>238.59999999999954</v>
      </c>
      <c r="AI110" s="1">
        <f t="shared" si="36"/>
        <v>2.2092592592592548</v>
      </c>
      <c r="AJ110" s="20">
        <f>+(W110*Forudsætninger!$C$12)</f>
        <v>0</v>
      </c>
      <c r="AK110" s="20">
        <f>Forudsætninger!$C$17</f>
        <v>250</v>
      </c>
      <c r="AL110" s="20">
        <f>IF(A110&lt;92,Forudsætninger!$C$20,Forudsætninger!$C$21)</f>
        <v>1.0566762728146013</v>
      </c>
      <c r="AM110" s="20">
        <f t="shared" si="44"/>
        <v>382.62652031726623</v>
      </c>
      <c r="AN110" s="19">
        <f>IFERROR(AD110+AJ110-AA110-Z110-AK110-AM110-Forudsætninger!$D$75,-99999)</f>
        <v>-1312.2258682541371</v>
      </c>
      <c r="AO110" s="57">
        <f>IFERROR(AN110/(A110+Forudsætninger!$D$74),-99999)</f>
        <v>-12.15023952087164</v>
      </c>
      <c r="AP110" s="19">
        <f>IFERROR(((365/(A110+Forudsætninger!$D$74))*AN110)/(AI110+Forudsætninger!$D$73),-99999)</f>
        <v>-1912.1783851515529</v>
      </c>
      <c r="AQ110" s="18">
        <f t="shared" si="48"/>
        <v>108</v>
      </c>
      <c r="AR110" s="18">
        <f t="shared" si="49"/>
        <v>4231.5779096470242</v>
      </c>
      <c r="AS110" s="50">
        <f t="shared" si="50"/>
        <v>4.7</v>
      </c>
      <c r="AT110" s="50">
        <f t="shared" si="51"/>
        <v>8.8755129413427767</v>
      </c>
      <c r="AU110" s="50">
        <f t="shared" si="52"/>
        <v>0.19650235945994865</v>
      </c>
      <c r="AV110" s="2">
        <f t="shared" si="53"/>
        <v>38.713730138939809</v>
      </c>
      <c r="AW110" s="16">
        <f t="shared" si="45"/>
        <v>-8.6074013697858422</v>
      </c>
      <c r="AZ110" s="16"/>
      <c r="BA110" s="2"/>
    </row>
    <row r="111" spans="1:53" x14ac:dyDescent="0.25">
      <c r="A111">
        <v>109</v>
      </c>
      <c r="B111" s="1">
        <f>ROUND((A111+Forudsætninger!$D$60)/30.4,1)</f>
        <v>4.7</v>
      </c>
      <c r="C111" s="1">
        <f>VLOOKUP((A111+Forudsætninger!$D$60),'Model tilvækst, slagteform, fe'!A:C,3,FALSE)</f>
        <v>235.85522858552343</v>
      </c>
      <c r="D111" s="3">
        <f>(C111-C110)*1000</f>
        <v>1836.3745493306567</v>
      </c>
      <c r="E111" s="3">
        <f>(1+Forudsætninger!$D$78)*C111</f>
        <v>198.11839201183969</v>
      </c>
      <c r="F111" s="2">
        <f t="shared" si="55"/>
        <v>4.3306809870318839</v>
      </c>
      <c r="G111" s="1">
        <f t="shared" si="30"/>
        <v>202.44907299887157</v>
      </c>
      <c r="H111" s="3">
        <f t="shared" si="37"/>
        <v>1469.0996394645595</v>
      </c>
      <c r="I111" s="3">
        <f t="shared" si="38"/>
        <v>1196.7804862281796</v>
      </c>
      <c r="J111" s="1">
        <f>VLOOKUP((A111+Forudsætninger!$D$60),'Model tilvækst, slagteform, fe'!G:K,3,FALSE)*(1+Forudsætninger!$D$79)</f>
        <v>51.722822706035672</v>
      </c>
      <c r="K111" s="17">
        <f t="shared" si="31"/>
        <v>104.71237509721908</v>
      </c>
      <c r="L111" s="17">
        <f t="shared" si="39"/>
        <v>811.73142527757136</v>
      </c>
      <c r="M111" s="3">
        <f>((K111-(('Model tilvækst, slagteform, fe'!$I$9/100)*'Model tilvækst, slagteform, fe'!$C$9))*1000/(A111+Forudsætninger!$D$60))</f>
        <v>580.37630867727103</v>
      </c>
      <c r="N111" s="17">
        <f t="shared" si="40"/>
        <v>409.23898206595788</v>
      </c>
      <c r="O111" s="19">
        <f>IF( A111&lt;Forudsætninger!$C$14,(G111/100)*Forudsætninger!$C$13,(Forudsætninger!$C$15/1000)*Forudsætninger!$C$13)</f>
        <v>1.3159189744926654</v>
      </c>
      <c r="P111" s="17" cm="1">
        <f t="array" ref="P111">INDEX('Model tilvækst, slagteform, fe'!$O$9:$O$375,MATCH(MIN(ABS('Model tilvækst, slagteform, fe'!$M$9:$M$375-G111)),ABS('Model tilvækst, slagteform, fe'!$M$9:$M$375-G111),0))*(1+Forudsætninger!$D$80)</f>
        <v>5.7624076018049966</v>
      </c>
      <c r="Q111" s="17">
        <f t="shared" si="41"/>
        <v>7.0989091001799549</v>
      </c>
      <c r="R111" s="17">
        <f t="shared" si="42"/>
        <v>5.8669974061994719</v>
      </c>
      <c r="S111" s="2">
        <f t="shared" si="32"/>
        <v>3.1371551568595506</v>
      </c>
      <c r="T111" s="19">
        <f>(P111)*IF(N111&lt;Forudsætninger!$B$228,IF(N111&lt;Forudsætninger!$B$227,Forudsætninger!$B$225,Forudsætninger!$C$9),Forudsætninger!$C$11)+O111</f>
        <v>14.799952762716357</v>
      </c>
      <c r="U111" s="2">
        <f>Forudsætninger!$D$68+((K111-(Forudsætninger!$D$84)))*0.01</f>
        <v>6.1867344323318427</v>
      </c>
      <c r="V111" s="2">
        <f>U111+Forudsætninger!$D$69</f>
        <v>6.1867344323318427</v>
      </c>
      <c r="W111">
        <f t="shared" si="33"/>
        <v>0</v>
      </c>
      <c r="X111">
        <f>IF(A111+Forudsætninger!$D$60&gt;248,IF(A111+Forudsætninger!$D$60&lt;365,IF(K111&gt;180,IF(K111&lt;260,1,0),0),0),0)</f>
        <v>0</v>
      </c>
      <c r="Y111" s="22">
        <f>IF(X111=0,0,IF('Vækstfunktion, kry tyr'!A111&lt;Forudsætninger!$D$66,Forudsætninger!$D$67+(('Vækstfunktion, kry tyr'!A111-Forudsætninger!$D$66)/7)*Forudsætninger!$D$64,Forudsætninger!$D$67))</f>
        <v>0</v>
      </c>
      <c r="Z111" s="19">
        <f t="shared" si="46"/>
        <v>1558.7513420924745</v>
      </c>
      <c r="AA111" s="19">
        <f>Forudsætninger!$D$62+Forudsætninger!$C$16</f>
        <v>2055</v>
      </c>
      <c r="AB111" s="19">
        <f>IF(K111&gt;Forudsætninger!$C$37,IF(K111&gt;Forudsætninger!$C$38,IF(K111&gt;Forudsætninger!$C$39,Forudsætninger!$E$39,Forudsætninger!$E$38+Forudsætninger!$F$39*(K111-Forudsætninger!$C$38)),Forudsætninger!$E$37+Forudsætninger!$F$38*(K111-Forudsætninger!$C$37)),Forudsætninger!$E$37)+IF(K111&gt;Forudsætninger!$C$39,Forudsætninger!$G$39,IF(K111&gt;Forudsætninger!$C$38,Forudsætninger!$G$38+Forudsætninger!$H$39*(K111-Forudsætninger!$C$38),IF(K111&gt;Forudsætninger!$C$37,Forudsætninger!$G$37+Forudsætninger!$H$38*(K111-Forudsætninger!$C$37),Forudsætninger!$G$37)))*(U111-Forudsætninger!$H$37)</f>
        <v>35.218673443233186</v>
      </c>
      <c r="AC111" s="19">
        <f>IF(K111&gt;Forudsætninger!$C$42,IF(K111&gt;Forudsætninger!$C$43,IF(K111&gt;Forudsætninger!$C$44,Forudsætninger!$E$44,Forudsætninger!$E$43+Forudsætninger!$F$44*(K111-Forudsætninger!$C$43)),Forudsætninger!$E$42+Forudsætninger!$F$43*(K111-Forudsætninger!$C$42)),Forudsætninger!$E$42)+IF(K111&gt;Forudsætninger!$C$44,Forudsætninger!$G$44,IF(K111&gt;Forudsætninger!$C$43,Forudsætninger!$G$43+Forudsætninger!$H$44*(K111-Forudsætninger!$C$43),IF(K111&gt;Forudsætninger!$C$42,Forudsætninger!$G$42+Forudsætninger!$H$43*(K111-Forudsætninger!$C$42),Forudsætninger!$G$42)))*(V111-Forudsætninger!$H$42)</f>
        <v>30.19668360808296</v>
      </c>
      <c r="AD111" s="19">
        <f t="shared" si="34"/>
        <v>3161.9664606616298</v>
      </c>
      <c r="AE111" s="19">
        <f t="shared" si="35"/>
        <v>30.19668360808296</v>
      </c>
      <c r="AF111">
        <f>IF(G111&lt;=Forudsætninger!$C$97,Forudsætninger!$C$98,(IF(G111&lt;=Forudsætninger!$D$97,Forudsætninger!$D$98,IF(G111&lt;=Forudsætninger!$E$97,Forudsætninger!$E$98,IF(G111&lt;=Forudsætninger!$F$97,Forudsætninger!$F$98,IF(G111&lt;=Forudsætninger!$G$97,Forudsætninger!$G$98,IF(G111&lt;=Forudsætninger!$H$97,Forudsætninger!$H$98,IF(G111&lt;=Forudsætninger!$I$97,Forudsætninger!$I$98,Forudsætninger!$I$98))))))))</f>
        <v>3.2</v>
      </c>
      <c r="AG111" s="1">
        <f t="shared" si="43"/>
        <v>3.2</v>
      </c>
      <c r="AH111" s="1">
        <f t="shared" si="47"/>
        <v>241.79999999999953</v>
      </c>
      <c r="AI111" s="1">
        <f t="shared" si="36"/>
        <v>2.2183486238532066</v>
      </c>
      <c r="AJ111" s="20">
        <f>+(W111*Forudsætninger!$C$12)</f>
        <v>0</v>
      </c>
      <c r="AK111" s="20">
        <f>Forudsætninger!$C$17</f>
        <v>250</v>
      </c>
      <c r="AL111" s="20">
        <f>IF(A111&lt;92,Forudsætninger!$C$20,Forudsætninger!$C$21)</f>
        <v>1.0566762728146013</v>
      </c>
      <c r="AM111" s="20">
        <f t="shared" si="44"/>
        <v>383.68319659008085</v>
      </c>
      <c r="AN111" s="19">
        <f>IFERROR(AD111+AJ111-AA111-Z111-AK111-AM111-Forudsætninger!$D$75,-99999)</f>
        <v>-1303.3600517218858</v>
      </c>
      <c r="AO111" s="57">
        <f>IFERROR(AN111/(A111+Forudsætninger!$D$74),-99999)</f>
        <v>-11.957431667173264</v>
      </c>
      <c r="AP111" s="19">
        <f>IFERROR(((365/(A111+Forudsætninger!$D$74))*AN111)/(AI111+Forudsætninger!$D$73),-99999)</f>
        <v>-1874.4884309014906</v>
      </c>
      <c r="AQ111" s="18">
        <f t="shared" si="48"/>
        <v>109</v>
      </c>
      <c r="AR111" s="18">
        <f t="shared" si="49"/>
        <v>4247.4345386825553</v>
      </c>
      <c r="AS111" s="50">
        <f t="shared" si="50"/>
        <v>4.7</v>
      </c>
      <c r="AT111" s="50">
        <f t="shared" si="51"/>
        <v>8.8658165322513014</v>
      </c>
      <c r="AU111" s="50">
        <f t="shared" si="52"/>
        <v>0.19280785369837616</v>
      </c>
      <c r="AV111" s="2">
        <f t="shared" si="53"/>
        <v>37.689954250062328</v>
      </c>
      <c r="AW111" s="16">
        <f t="shared" si="45"/>
        <v>-8.4374023406587622</v>
      </c>
      <c r="AZ111" s="16"/>
      <c r="BA111" s="2"/>
    </row>
    <row r="112" spans="1:53" x14ac:dyDescent="0.25">
      <c r="A112">
        <v>110</v>
      </c>
      <c r="B112" s="1">
        <f>ROUND((A112+Forudsætninger!$D$60)/30.4,1)</f>
        <v>4.7</v>
      </c>
      <c r="C112" s="1">
        <f>VLOOKUP((A112+Forudsætninger!$D$60),'Model tilvækst, slagteform, fe'!A:C,3,FALSE)</f>
        <v>237.69340682769072</v>
      </c>
      <c r="D112" s="3">
        <f t="shared" si="54"/>
        <v>1838.1782421672881</v>
      </c>
      <c r="E112" s="3">
        <f>(1+Forudsætninger!$D$78)*C112</f>
        <v>199.66246173526019</v>
      </c>
      <c r="F112" s="2">
        <f t="shared" si="55"/>
        <v>4.2571538573451919</v>
      </c>
      <c r="G112" s="1">
        <f t="shared" si="30"/>
        <v>203.9196155926054</v>
      </c>
      <c r="H112" s="3">
        <f t="shared" si="37"/>
        <v>1470.5425937338248</v>
      </c>
      <c r="I112" s="3">
        <f t="shared" si="38"/>
        <v>1199.2692326600491</v>
      </c>
      <c r="J112" s="1">
        <f>VLOOKUP((A112+Forudsætninger!$D$60),'Model tilvækst, slagteform, fe'!G:K,3,FALSE)*(1+Forudsætninger!$D$79)</f>
        <v>51.748738146632732</v>
      </c>
      <c r="K112" s="17">
        <f t="shared" si="31"/>
        <v>105.52582790263742</v>
      </c>
      <c r="L112" s="17">
        <f t="shared" si="39"/>
        <v>813.45280541833631</v>
      </c>
      <c r="M112" s="3">
        <f>((K112-(('Model tilvækst, slagteform, fe'!$I$9/100)*'Model tilvækst, slagteform, fe'!$C$9))*1000/(A112+Forudsætninger!$D$60))</f>
        <v>581.99489546019504</v>
      </c>
      <c r="N112" s="17">
        <f t="shared" si="40"/>
        <v>415.02539041577154</v>
      </c>
      <c r="O112" s="19">
        <f>IF( A112&lt;Forudsætninger!$C$14,(G112/100)*Forudsætninger!$C$13,(Forudsætninger!$C$15/1000)*Forudsætninger!$C$13)</f>
        <v>1.3254775013519351</v>
      </c>
      <c r="P112" s="17" cm="1">
        <f t="array" ref="P112">INDEX('Model tilvækst, slagteform, fe'!$O$9:$O$375,MATCH(MIN(ABS('Model tilvækst, slagteform, fe'!$M$9:$M$375-G112)),ABS('Model tilvækst, slagteform, fe'!$M$9:$M$375-G112),0))*(1+Forudsætninger!$D$80)</f>
        <v>5.7864083498136436</v>
      </c>
      <c r="Q112" s="17">
        <f t="shared" si="41"/>
        <v>7.1133915960101133</v>
      </c>
      <c r="R112" s="17">
        <f t="shared" si="42"/>
        <v>5.8813652388431192</v>
      </c>
      <c r="S112" s="2">
        <f t="shared" si="32"/>
        <v>3.1460476029391593</v>
      </c>
      <c r="T112" s="19">
        <f>(P112)*IF(N112&lt;Forudsætninger!$B$228,IF(N112&lt;Forudsætninger!$B$227,Forudsætninger!$B$225,Forudsætninger!$C$9),Forudsætninger!$C$11)+O112</f>
        <v>14.86567303991586</v>
      </c>
      <c r="U112" s="2">
        <f>Forudsætninger!$D$68+((K112-(Forudsætninger!$D$84)))*0.01</f>
        <v>6.1948689603860263</v>
      </c>
      <c r="V112" s="2">
        <f>U112+Forudsætninger!$D$69</f>
        <v>6.1948689603860263</v>
      </c>
      <c r="W112">
        <f t="shared" si="33"/>
        <v>0</v>
      </c>
      <c r="X112">
        <f>IF(A112+Forudsætninger!$D$60&gt;248,IF(A112+Forudsætninger!$D$60&lt;365,IF(K112&gt;180,IF(K112&lt;260,1,0),0),0),0)</f>
        <v>0</v>
      </c>
      <c r="Y112" s="22">
        <f>IF(X112=0,0,IF('Vækstfunktion, kry tyr'!A112&lt;Forudsætninger!$D$66,Forudsætninger!$D$67+(('Vækstfunktion, kry tyr'!A112-Forudsætninger!$D$66)/7)*Forudsætninger!$D$64,Forudsætninger!$D$67))</f>
        <v>0</v>
      </c>
      <c r="Z112" s="19">
        <f t="shared" si="46"/>
        <v>1573.6170151323904</v>
      </c>
      <c r="AA112" s="19">
        <f>Forudsætninger!$D$62+Forudsætninger!$C$16</f>
        <v>2055</v>
      </c>
      <c r="AB112" s="19">
        <f>IF(K112&gt;Forudsætninger!$C$37,IF(K112&gt;Forudsætninger!$C$38,IF(K112&gt;Forudsætninger!$C$39,Forudsætninger!$E$39,Forudsætninger!$E$38+Forudsætninger!$F$39*(K112-Forudsætninger!$C$38)),Forudsætninger!$E$37+Forudsætninger!$F$38*(K112-Forudsætninger!$C$37)),Forudsætninger!$E$37)+IF(K112&gt;Forudsætninger!$C$39,Forudsætninger!$G$39,IF(K112&gt;Forudsætninger!$C$38,Forudsætninger!$G$38+Forudsætninger!$H$39*(K112-Forudsætninger!$C$38),IF(K112&gt;Forudsætninger!$C$37,Forudsætninger!$G$37+Forudsætninger!$H$38*(K112-Forudsætninger!$C$37),Forudsætninger!$G$37)))*(U112-Forudsætninger!$H$37)</f>
        <v>35.219486896038603</v>
      </c>
      <c r="AC112" s="19">
        <f>IF(K112&gt;Forudsætninger!$C$42,IF(K112&gt;Forudsætninger!$C$43,IF(K112&gt;Forudsætninger!$C$44,Forudsætninger!$E$44,Forudsætninger!$E$43+Forudsætninger!$F$44*(K112-Forudsætninger!$C$43)),Forudsætninger!$E$42+Forudsætninger!$F$43*(K112-Forudsætninger!$C$42)),Forudsætninger!$E$42)+IF(K112&gt;Forudsætninger!$C$44,Forudsætninger!$G$44,IF(K112&gt;Forudsætninger!$C$43,Forudsætninger!$G$43+Forudsætninger!$H$44*(K112-Forudsætninger!$C$43),IF(K112&gt;Forudsætninger!$C$42,Forudsætninger!$G$42+Forudsætninger!$H$43*(K112-Forudsætninger!$C$42),Forudsætninger!$G$42)))*(V112-Forudsætninger!$H$42)</f>
        <v>30.198717240096506</v>
      </c>
      <c r="AD112" s="19">
        <f t="shared" si="34"/>
        <v>3186.7446383588335</v>
      </c>
      <c r="AE112" s="19">
        <f t="shared" si="35"/>
        <v>30.198717240096506</v>
      </c>
      <c r="AF112">
        <f>IF(G112&lt;=Forudsætninger!$C$97,Forudsætninger!$C$98,(IF(G112&lt;=Forudsætninger!$D$97,Forudsætninger!$D$98,IF(G112&lt;=Forudsætninger!$E$97,Forudsætninger!$E$98,IF(G112&lt;=Forudsætninger!$F$97,Forudsætninger!$F$98,IF(G112&lt;=Forudsætninger!$G$97,Forudsætninger!$G$98,IF(G112&lt;=Forudsætninger!$H$97,Forudsætninger!$H$98,IF(G112&lt;=Forudsætninger!$I$97,Forudsætninger!$I$98,Forudsætninger!$I$98))))))))</f>
        <v>3.2</v>
      </c>
      <c r="AG112" s="1">
        <f t="shared" si="43"/>
        <v>3.2</v>
      </c>
      <c r="AH112" s="1">
        <f t="shared" si="47"/>
        <v>244.99999999999952</v>
      </c>
      <c r="AI112" s="1">
        <f t="shared" si="36"/>
        <v>2.2272727272727231</v>
      </c>
      <c r="AJ112" s="20">
        <f>+(W112*Forudsætninger!$C$12)</f>
        <v>0</v>
      </c>
      <c r="AK112" s="20">
        <f>Forudsætninger!$C$17</f>
        <v>250</v>
      </c>
      <c r="AL112" s="20">
        <f>IF(A112&lt;92,Forudsætninger!$C$20,Forudsætninger!$C$21)</f>
        <v>1.0566762728146013</v>
      </c>
      <c r="AM112" s="20">
        <f t="shared" si="44"/>
        <v>384.73987286289548</v>
      </c>
      <c r="AN112" s="19">
        <f>IFERROR(AD112+AJ112-AA112-Z112-AK112-AM112-Forudsætninger!$D$75,-99999)</f>
        <v>-1294.5042233374127</v>
      </c>
      <c r="AO112" s="57">
        <f>IFERROR(AN112/(A112+Forudsætninger!$D$74),-99999)</f>
        <v>-11.768220212158297</v>
      </c>
      <c r="AP112" s="19">
        <f>IFERROR(((365/(A112+Forudsætninger!$D$74))*AN112)/(AI112+Forudsætninger!$D$73),-99999)</f>
        <v>-1837.7831253137167</v>
      </c>
      <c r="AQ112" s="18">
        <f t="shared" si="48"/>
        <v>110</v>
      </c>
      <c r="AR112" s="18">
        <f t="shared" si="49"/>
        <v>4263.3568879952854</v>
      </c>
      <c r="AS112" s="50">
        <f t="shared" si="50"/>
        <v>4.7</v>
      </c>
      <c r="AT112" s="50">
        <f t="shared" si="51"/>
        <v>8.8558283844731704</v>
      </c>
      <c r="AU112" s="50">
        <f t="shared" si="52"/>
        <v>0.18921145501496639</v>
      </c>
      <c r="AV112" s="2">
        <f t="shared" si="53"/>
        <v>36.705305587773864</v>
      </c>
      <c r="AW112" s="16">
        <f t="shared" si="45"/>
        <v>-8.2705850043137925</v>
      </c>
      <c r="AZ112" s="16"/>
      <c r="BA112" s="2"/>
    </row>
    <row r="113" spans="1:53" x14ac:dyDescent="0.25">
      <c r="A113">
        <v>111</v>
      </c>
      <c r="B113" s="1">
        <f>ROUND((A113+Forudsætninger!$D$60)/30.4,1)</f>
        <v>4.8</v>
      </c>
      <c r="C113" s="1">
        <f>VLOOKUP((A113+Forudsætninger!$D$60),'Model tilvækst, slagteform, fe'!A:C,3,FALSE)</f>
        <v>239.53329914726024</v>
      </c>
      <c r="D113" s="3">
        <f t="shared" si="54"/>
        <v>1839.8923195695147</v>
      </c>
      <c r="E113" s="3">
        <f>(1+Forudsætninger!$D$78)*C113</f>
        <v>201.20797128369858</v>
      </c>
      <c r="F113" s="2">
        <f t="shared" si="55"/>
        <v>4.1835581645624114</v>
      </c>
      <c r="G113" s="1">
        <f t="shared" si="30"/>
        <v>205.391529448261</v>
      </c>
      <c r="H113" s="3">
        <f t="shared" si="37"/>
        <v>1471.9138556556004</v>
      </c>
      <c r="I113" s="3">
        <f t="shared" si="38"/>
        <v>1201.7254905248737</v>
      </c>
      <c r="J113" s="1">
        <f>VLOOKUP((A113+Forudsætninger!$D$60),'Model tilvækst, slagteform, fe'!G:K,3,FALSE)*(1+Forudsætninger!$D$79)</f>
        <v>51.774759097690691</v>
      </c>
      <c r="K113" s="17">
        <f t="shared" si="31"/>
        <v>106.34096957889957</v>
      </c>
      <c r="L113" s="17">
        <f t="shared" si="39"/>
        <v>815.14167626215794</v>
      </c>
      <c r="M113" s="3">
        <f>((K113-(('Model tilvækst, slagteform, fe'!$I$9/100)*'Model tilvækst, slagteform, fe'!$C$9))*1000/(A113+Forudsætninger!$D$60))</f>
        <v>583.60280429331203</v>
      </c>
      <c r="N113" s="17">
        <f t="shared" si="40"/>
        <v>420.83550087711444</v>
      </c>
      <c r="O113" s="19">
        <f>IF( A113&lt;Forudsætninger!$C$14,(G113/100)*Forudsætninger!$C$13,(Forudsætninger!$C$15/1000)*Forudsætninger!$C$13)</f>
        <v>1.3350449414136965</v>
      </c>
      <c r="P113" s="17" cm="1">
        <f t="array" ref="P113">INDEX('Model tilvækst, slagteform, fe'!$O$9:$O$375,MATCH(MIN(ABS('Model tilvækst, slagteform, fe'!$M$9:$M$375-G113)),ABS('Model tilvækst, slagteform, fe'!$M$9:$M$375-G113),0))*(1+Forudsætninger!$D$80)</f>
        <v>5.8101104613428864</v>
      </c>
      <c r="Q113" s="17">
        <f t="shared" si="41"/>
        <v>7.1277308356814961</v>
      </c>
      <c r="R113" s="17">
        <f t="shared" si="42"/>
        <v>5.89559816042759</v>
      </c>
      <c r="S113" s="2">
        <f t="shared" si="32"/>
        <v>3.1548892393526775</v>
      </c>
      <c r="T113" s="19">
        <f>(P113)*IF(N113&lt;Forudsætninger!$B$228,IF(N113&lt;Forudsætninger!$B$227,Forudsætninger!$B$225,Forudsætninger!$C$9),Forudsætninger!$C$11)+O113</f>
        <v>14.93070342095605</v>
      </c>
      <c r="U113" s="2">
        <f>Forudsætninger!$D$68+((K113-(Forudsætninger!$D$84)))*0.01</f>
        <v>6.2030203771486478</v>
      </c>
      <c r="V113" s="2">
        <f>U113+Forudsætninger!$D$69</f>
        <v>6.2030203771486478</v>
      </c>
      <c r="W113">
        <f t="shared" si="33"/>
        <v>0</v>
      </c>
      <c r="X113">
        <f>IF(A113+Forudsætninger!$D$60&gt;248,IF(A113+Forudsætninger!$D$60&lt;365,IF(K113&gt;180,IF(K113&lt;260,1,0),0),0),0)</f>
        <v>0</v>
      </c>
      <c r="Y113" s="22">
        <f>IF(X113=0,0,IF('Vækstfunktion, kry tyr'!A113&lt;Forudsætninger!$D$66,Forudsætninger!$D$67+(('Vækstfunktion, kry tyr'!A113-Forudsætninger!$D$66)/7)*Forudsætninger!$D$64,Forudsætninger!$D$67))</f>
        <v>0</v>
      </c>
      <c r="Z113" s="19">
        <f t="shared" si="46"/>
        <v>1588.5477185533464</v>
      </c>
      <c r="AA113" s="19">
        <f>Forudsætninger!$D$62+Forudsætninger!$C$16</f>
        <v>2055</v>
      </c>
      <c r="AB113" s="19">
        <f>IF(K113&gt;Forudsætninger!$C$37,IF(K113&gt;Forudsætninger!$C$38,IF(K113&gt;Forudsætninger!$C$39,Forudsætninger!$E$39,Forudsætninger!$E$38+Forudsætninger!$F$39*(K113-Forudsætninger!$C$38)),Forudsætninger!$E$37+Forudsætninger!$F$38*(K113-Forudsætninger!$C$37)),Forudsætninger!$E$37)+IF(K113&gt;Forudsætninger!$C$39,Forudsætninger!$G$39,IF(K113&gt;Forudsætninger!$C$38,Forudsætninger!$G$38+Forudsætninger!$H$39*(K113-Forudsætninger!$C$38),IF(K113&gt;Forudsætninger!$C$37,Forudsætninger!$G$37+Forudsætninger!$H$38*(K113-Forudsætninger!$C$37),Forudsætninger!$G$37)))*(U113-Forudsætninger!$H$37)</f>
        <v>35.220302037714866</v>
      </c>
      <c r="AC113" s="19">
        <f>IF(K113&gt;Forudsætninger!$C$42,IF(K113&gt;Forudsætninger!$C$43,IF(K113&gt;Forudsætninger!$C$44,Forudsætninger!$E$44,Forudsætninger!$E$43+Forudsætninger!$F$44*(K113-Forudsætninger!$C$43)),Forudsætninger!$E$42+Forudsætninger!$F$43*(K113-Forudsætninger!$C$42)),Forudsætninger!$E$42)+IF(K113&gt;Forudsætninger!$C$44,Forudsætninger!$G$44,IF(K113&gt;Forudsætninger!$C$43,Forudsætninger!$G$43+Forudsætninger!$H$44*(K113-Forudsætninger!$C$43),IF(K113&gt;Forudsætninger!$C$42,Forudsætninger!$G$42+Forudsætninger!$H$43*(K113-Forudsætninger!$C$42),Forudsætninger!$G$42)))*(V113-Forudsætninger!$H$42)</f>
        <v>30.20075509428716</v>
      </c>
      <c r="AD113" s="19">
        <f t="shared" si="34"/>
        <v>3211.5775787413872</v>
      </c>
      <c r="AE113" s="19">
        <f t="shared" si="35"/>
        <v>30.20075509428716</v>
      </c>
      <c r="AF113">
        <f>IF(G113&lt;=Forudsætninger!$C$97,Forudsætninger!$C$98,(IF(G113&lt;=Forudsætninger!$D$97,Forudsætninger!$D$98,IF(G113&lt;=Forudsætninger!$E$97,Forudsætninger!$E$98,IF(G113&lt;=Forudsætninger!$F$97,Forudsætninger!$F$98,IF(G113&lt;=Forudsætninger!$G$97,Forudsætninger!$G$98,IF(G113&lt;=Forudsætninger!$H$97,Forudsætninger!$H$98,IF(G113&lt;=Forudsætninger!$I$97,Forudsætninger!$I$98,Forudsætninger!$I$98))))))))</f>
        <v>3.2</v>
      </c>
      <c r="AG113" s="1">
        <f t="shared" si="43"/>
        <v>3.2</v>
      </c>
      <c r="AH113" s="1">
        <f t="shared" si="47"/>
        <v>248.19999999999951</v>
      </c>
      <c r="AI113" s="1">
        <f t="shared" si="36"/>
        <v>2.2360360360360314</v>
      </c>
      <c r="AJ113" s="20">
        <f>+(W113*Forudsætninger!$C$12)</f>
        <v>0</v>
      </c>
      <c r="AK113" s="20">
        <f>Forudsætninger!$C$17</f>
        <v>250</v>
      </c>
      <c r="AL113" s="20">
        <f>IF(A113&lt;92,Forudsætninger!$C$20,Forudsætninger!$C$21)</f>
        <v>1.0566762728146013</v>
      </c>
      <c r="AM113" s="20">
        <f t="shared" si="44"/>
        <v>385.79654913571011</v>
      </c>
      <c r="AN113" s="19">
        <f>IFERROR(AD113+AJ113-AA113-Z113-AK113-AM113-Forudsætninger!$D$75,-99999)</f>
        <v>-1285.6586626486296</v>
      </c>
      <c r="AO113" s="57">
        <f>IFERROR(AN113/(A113+Forudsætninger!$D$74),-99999)</f>
        <v>-11.582510474311979</v>
      </c>
      <c r="AP113" s="19">
        <f>IFERROR(((365/(A113+Forudsætninger!$D$74))*AN113)/(AI113+Forudsætninger!$D$73),-99999)</f>
        <v>-1802.0253134163465</v>
      </c>
      <c r="AQ113" s="18">
        <f t="shared" si="48"/>
        <v>111</v>
      </c>
      <c r="AR113" s="18">
        <f t="shared" si="49"/>
        <v>4279.3442676890563</v>
      </c>
      <c r="AS113" s="50">
        <f t="shared" si="50"/>
        <v>4.8</v>
      </c>
      <c r="AT113" s="50">
        <f t="shared" si="51"/>
        <v>8.8455606887830527</v>
      </c>
      <c r="AU113" s="50">
        <f t="shared" si="52"/>
        <v>0.18570973784631839</v>
      </c>
      <c r="AV113" s="2">
        <f t="shared" si="53"/>
        <v>35.757811897370175</v>
      </c>
      <c r="AW113" s="16">
        <f t="shared" si="45"/>
        <v>-8.106865887503778</v>
      </c>
      <c r="AZ113" s="16"/>
      <c r="BA113" s="2"/>
    </row>
    <row r="114" spans="1:53" x14ac:dyDescent="0.25">
      <c r="A114">
        <v>112</v>
      </c>
      <c r="B114" s="1">
        <f>ROUND((A114+Forudsætninger!$D$60)/30.4,1)</f>
        <v>4.8</v>
      </c>
      <c r="C114" s="1">
        <f>VLOOKUP((A114+Forudsætninger!$D$60),'Model tilvækst, slagteform, fe'!A:C,3,FALSE)</f>
        <v>241.37481654973445</v>
      </c>
      <c r="D114" s="3">
        <f t="shared" si="54"/>
        <v>1841.51740247421</v>
      </c>
      <c r="E114" s="3">
        <f>(1+Forudsætninger!$D$78)*C114</f>
        <v>202.75484590177692</v>
      </c>
      <c r="F114" s="2">
        <f t="shared" si="55"/>
        <v>4.1098974684634433</v>
      </c>
      <c r="G114" s="1">
        <f t="shared" si="30"/>
        <v>206.86474337024035</v>
      </c>
      <c r="H114" s="3">
        <f t="shared" si="37"/>
        <v>1473.213921979351</v>
      </c>
      <c r="I114" s="3">
        <f t="shared" si="38"/>
        <v>1204.1494943771461</v>
      </c>
      <c r="J114" s="1">
        <f>VLOOKUP((A114+Forudsætninger!$D$60),'Model tilvækst, slagteform, fe'!G:K,3,FALSE)*(1+Forudsætninger!$D$79)</f>
        <v>51.800884978390769</v>
      </c>
      <c r="K114" s="17">
        <f t="shared" si="31"/>
        <v>107.15776777406145</v>
      </c>
      <c r="L114" s="17">
        <f t="shared" si="39"/>
        <v>816.7981951618799</v>
      </c>
      <c r="M114" s="3">
        <f>((K114-(('Model tilvækst, slagteform, fe'!$I$9/100)*'Model tilvækst, slagteform, fe'!$C$9))*1000/(A114+Forudsætninger!$D$60))</f>
        <v>585.2000329978913</v>
      </c>
      <c r="N114" s="17">
        <f t="shared" si="40"/>
        <v>426.69210698330932</v>
      </c>
      <c r="O114" s="19">
        <f>IF( A114&lt;Forudsætninger!$C$14,(G114/100)*Forudsætninger!$C$13,(Forudsætninger!$C$15/1000)*Forudsætninger!$C$13)</f>
        <v>1.3446208319065625</v>
      </c>
      <c r="P114" s="17" cm="1">
        <f t="array" ref="P114">INDEX('Model tilvækst, slagteform, fe'!$O$9:$O$375,MATCH(MIN(ABS('Model tilvækst, slagteform, fe'!$M$9:$M$375-G114)),ABS('Model tilvækst, slagteform, fe'!$M$9:$M$375-G114),0))*(1+Forudsætninger!$D$80)</f>
        <v>5.8566061061948913</v>
      </c>
      <c r="Q114" s="17">
        <f t="shared" si="41"/>
        <v>7.1701996170965829</v>
      </c>
      <c r="R114" s="17">
        <f t="shared" si="42"/>
        <v>5.9100180980405304</v>
      </c>
      <c r="S114" s="2">
        <f t="shared" si="32"/>
        <v>3.1638521404509969</v>
      </c>
      <c r="T114" s="19">
        <f>(P114)*IF(N114&lt;Forudsætninger!$B$228,IF(N114&lt;Forudsætninger!$B$227,Forudsætninger!$B$225,Forudsætninger!$C$9),Forudsætninger!$C$11)+O114</f>
        <v>15.049079120402608</v>
      </c>
      <c r="U114" s="2">
        <f>Forudsætninger!$D$68+((K114-(Forudsætninger!$D$84)))*0.01</f>
        <v>6.2111883591002668</v>
      </c>
      <c r="V114" s="2">
        <f>U114+Forudsætninger!$D$69</f>
        <v>6.2111883591002668</v>
      </c>
      <c r="W114">
        <f t="shared" si="33"/>
        <v>0</v>
      </c>
      <c r="X114">
        <f>IF(A114+Forudsætninger!$D$60&gt;248,IF(A114+Forudsætninger!$D$60&lt;365,IF(K114&gt;180,IF(K114&lt;260,1,0),0),0),0)</f>
        <v>0</v>
      </c>
      <c r="Y114" s="22">
        <f>IF(X114=0,0,IF('Vækstfunktion, kry tyr'!A114&lt;Forudsætninger!$D$66,Forudsætninger!$D$67+(('Vækstfunktion, kry tyr'!A114-Forudsætninger!$D$66)/7)*Forudsætninger!$D$64,Forudsætninger!$D$67))</f>
        <v>0</v>
      </c>
      <c r="Z114" s="19">
        <f t="shared" si="46"/>
        <v>1603.5967976737491</v>
      </c>
      <c r="AA114" s="19">
        <f>Forudsætninger!$D$62+Forudsætninger!$C$16</f>
        <v>2055</v>
      </c>
      <c r="AB114" s="19">
        <f>IF(K114&gt;Forudsætninger!$C$37,IF(K114&gt;Forudsætninger!$C$38,IF(K114&gt;Forudsætninger!$C$39,Forudsætninger!$E$39,Forudsætninger!$E$38+Forudsætninger!$F$39*(K114-Forudsætninger!$C$38)),Forudsætninger!$E$37+Forudsætninger!$F$38*(K114-Forudsætninger!$C$37)),Forudsætninger!$E$37)+IF(K114&gt;Forudsætninger!$C$39,Forudsætninger!$G$39,IF(K114&gt;Forudsætninger!$C$38,Forudsætninger!$G$38+Forudsætninger!$H$39*(K114-Forudsætninger!$C$38),IF(K114&gt;Forudsætninger!$C$37,Forudsætninger!$G$37+Forudsætninger!$H$38*(K114-Forudsætninger!$C$37),Forudsætninger!$G$37)))*(U114-Forudsætninger!$H$37)</f>
        <v>35.221118835910026</v>
      </c>
      <c r="AC114" s="19">
        <f>IF(K114&gt;Forudsætninger!$C$42,IF(K114&gt;Forudsætninger!$C$43,IF(K114&gt;Forudsætninger!$C$44,Forudsætninger!$E$44,Forudsætninger!$E$43+Forudsætninger!$F$44*(K114-Forudsætninger!$C$43)),Forudsætninger!$E$42+Forudsætninger!$F$43*(K114-Forudsætninger!$C$42)),Forudsætninger!$E$42)+IF(K114&gt;Forudsætninger!$C$44,Forudsætninger!$G$44,IF(K114&gt;Forudsætninger!$C$43,Forudsætninger!$G$43+Forudsætninger!$H$44*(K114-Forudsætninger!$C$43),IF(K114&gt;Forudsætninger!$C$42,Forudsætninger!$G$42+Forudsætninger!$H$43*(K114-Forudsætninger!$C$42),Forudsætninger!$G$42)))*(V114-Forudsætninger!$H$42)</f>
        <v>30.202797089775064</v>
      </c>
      <c r="AD114" s="19">
        <f t="shared" si="34"/>
        <v>3236.4643166732153</v>
      </c>
      <c r="AE114" s="19">
        <f t="shared" si="35"/>
        <v>30.202797089775064</v>
      </c>
      <c r="AF114">
        <f>IF(G114&lt;=Forudsætninger!$C$97,Forudsætninger!$C$98,(IF(G114&lt;=Forudsætninger!$D$97,Forudsætninger!$D$98,IF(G114&lt;=Forudsætninger!$E$97,Forudsætninger!$E$98,IF(G114&lt;=Forudsætninger!$F$97,Forudsætninger!$F$98,IF(G114&lt;=Forudsætninger!$G$97,Forudsætninger!$G$98,IF(G114&lt;=Forudsætninger!$H$97,Forudsætninger!$H$98,IF(G114&lt;=Forudsætninger!$I$97,Forudsætninger!$I$98,Forudsætninger!$I$98))))))))</f>
        <v>3.2</v>
      </c>
      <c r="AG114" s="1">
        <f t="shared" si="43"/>
        <v>3.2</v>
      </c>
      <c r="AH114" s="1">
        <f t="shared" si="47"/>
        <v>251.39999999999949</v>
      </c>
      <c r="AI114" s="1">
        <f t="shared" si="36"/>
        <v>2.2446428571428525</v>
      </c>
      <c r="AJ114" s="20">
        <f>+(W114*Forudsætninger!$C$12)</f>
        <v>0</v>
      </c>
      <c r="AK114" s="20">
        <f>Forudsætninger!$C$17</f>
        <v>250</v>
      </c>
      <c r="AL114" s="20">
        <f>IF(A114&lt;92,Forudsætninger!$C$20,Forudsætninger!$C$21)</f>
        <v>1.0566762728146013</v>
      </c>
      <c r="AM114" s="20">
        <f t="shared" si="44"/>
        <v>386.85322540852474</v>
      </c>
      <c r="AN114" s="19">
        <f>IFERROR(AD114+AJ114-AA114-Z114-AK114-AM114-Forudsætninger!$D$75,-99999)</f>
        <v>-1276.8776801100187</v>
      </c>
      <c r="AO114" s="57">
        <f>IFERROR(AN114/(A114+Forudsætninger!$D$74),-99999)</f>
        <v>-11.400693572410882</v>
      </c>
      <c r="AP114" s="19">
        <f>IFERROR(((365/(A114+Forudsætninger!$D$74))*AN114)/(AI114+Forudsætninger!$D$73),-99999)</f>
        <v>-1767.2544867289464</v>
      </c>
      <c r="AQ114" s="18">
        <f t="shared" si="48"/>
        <v>112</v>
      </c>
      <c r="AR114" s="18">
        <f t="shared" si="49"/>
        <v>4295.4500230822741</v>
      </c>
      <c r="AS114" s="50">
        <f t="shared" si="50"/>
        <v>4.8</v>
      </c>
      <c r="AT114" s="50">
        <f t="shared" si="51"/>
        <v>8.7809825386109424</v>
      </c>
      <c r="AU114" s="50">
        <f t="shared" si="52"/>
        <v>0.18181690190109734</v>
      </c>
      <c r="AV114" s="2">
        <f t="shared" si="53"/>
        <v>34.770826687400131</v>
      </c>
      <c r="AW114" s="16">
        <f t="shared" si="45"/>
        <v>-7.9466469169776248</v>
      </c>
      <c r="AZ114" s="16"/>
      <c r="BA114" s="2"/>
    </row>
    <row r="115" spans="1:53" x14ac:dyDescent="0.25">
      <c r="A115">
        <v>113</v>
      </c>
      <c r="B115" s="1">
        <f>ROUND((A115+Forudsætninger!$D$60)/30.4,1)</f>
        <v>4.8</v>
      </c>
      <c r="C115" s="1">
        <f>VLOOKUP((A115+Forudsætninger!$D$60),'Model tilvækst, slagteform, fe'!A:C,3,FALSE)</f>
        <v>243.21787066155233</v>
      </c>
      <c r="D115" s="3">
        <f t="shared" si="54"/>
        <v>1843.054111817878</v>
      </c>
      <c r="E115" s="3">
        <f>(1+Forudsætninger!$D$78)*C115</f>
        <v>204.30301135570394</v>
      </c>
      <c r="F115" s="2">
        <f t="shared" si="55"/>
        <v>4.0361753039907278</v>
      </c>
      <c r="G115" s="1">
        <f t="shared" si="30"/>
        <v>208.33918665969466</v>
      </c>
      <c r="H115" s="3">
        <f t="shared" si="37"/>
        <v>1474.4432894543138</v>
      </c>
      <c r="I115" s="3">
        <f t="shared" si="38"/>
        <v>1206.5414748645544</v>
      </c>
      <c r="J115" s="1">
        <f>VLOOKUP((A115+Forudsætninger!$D$60),'Model tilvækst, slagteform, fe'!G:K,3,FALSE)*(1+Forudsætninger!$D$79)</f>
        <v>51.827115207914204</v>
      </c>
      <c r="K115" s="17">
        <f t="shared" si="31"/>
        <v>107.97619029335138</v>
      </c>
      <c r="L115" s="17">
        <f t="shared" si="39"/>
        <v>818.42251928992482</v>
      </c>
      <c r="M115" s="3">
        <f>((K115-(('Model tilvækst, slagteform, fe'!$I$9/100)*'Model tilvækst, slagteform, fe'!$C$9))*1000/(A115+Forudsætninger!$D$60))</f>
        <v>586.78658052368746</v>
      </c>
      <c r="N115" s="17">
        <f t="shared" si="40"/>
        <v>432.57150028844285</v>
      </c>
      <c r="O115" s="19">
        <f>IF( A115&lt;Forudsætninger!$C$14,(G115/100)*Forudsætninger!$C$13,(Forudsætninger!$C$15/1000)*Forudsætninger!$C$13)</f>
        <v>1.3542047132880153</v>
      </c>
      <c r="P115" s="17" cm="1">
        <f t="array" ref="P115">INDEX('Model tilvækst, slagteform, fe'!$O$9:$O$375,MATCH(MIN(ABS('Model tilvækst, slagteform, fe'!$M$9:$M$375-G115)),ABS('Model tilvækst, slagteform, fe'!$M$9:$M$375-G115),0))*(1+Forudsætninger!$D$80)</f>
        <v>5.8793933051335108</v>
      </c>
      <c r="Q115" s="17">
        <f t="shared" si="41"/>
        <v>7.1838117433945454</v>
      </c>
      <c r="R115" s="17">
        <f t="shared" si="42"/>
        <v>5.9242957066890698</v>
      </c>
      <c r="S115" s="2">
        <f t="shared" si="32"/>
        <v>3.1727598710717704</v>
      </c>
      <c r="T115" s="19">
        <f>(P115)*IF(N115&lt;Forudsætninger!$B$228,IF(N115&lt;Forudsætninger!$B$227,Forudsætninger!$B$225,Forudsætninger!$C$9),Forudsætninger!$C$11)+O115</f>
        <v>15.111985047300429</v>
      </c>
      <c r="U115" s="2">
        <f>Forudsætninger!$D$68+((K115-(Forudsætninger!$D$84)))*0.01</f>
        <v>6.2193725842931666</v>
      </c>
      <c r="V115" s="2">
        <f>U115+Forudsætninger!$D$69</f>
        <v>6.2193725842931666</v>
      </c>
      <c r="W115">
        <f t="shared" si="33"/>
        <v>0</v>
      </c>
      <c r="X115">
        <f>IF(A115+Forudsætninger!$D$60&gt;248,IF(A115+Forudsætninger!$D$60&lt;365,IF(K115&gt;180,IF(K115&lt;260,1,0),0),0),0)</f>
        <v>0</v>
      </c>
      <c r="Y115" s="22">
        <f>IF(X115=0,0,IF('Vækstfunktion, kry tyr'!A115&lt;Forudsætninger!$D$66,Forudsætninger!$D$67+(('Vækstfunktion, kry tyr'!A115-Forudsætninger!$D$66)/7)*Forudsætninger!$D$64,Forudsætninger!$D$67))</f>
        <v>0</v>
      </c>
      <c r="Z115" s="19">
        <f t="shared" si="46"/>
        <v>1618.7087827210494</v>
      </c>
      <c r="AA115" s="19">
        <f>Forudsætninger!$D$62+Forudsætninger!$C$16</f>
        <v>2055</v>
      </c>
      <c r="AB115" s="19">
        <f>IF(K115&gt;Forudsætninger!$C$37,IF(K115&gt;Forudsætninger!$C$38,IF(K115&gt;Forudsætninger!$C$39,Forudsætninger!$E$39,Forudsætninger!$E$38+Forudsætninger!$F$39*(K115-Forudsætninger!$C$38)),Forudsætninger!$E$37+Forudsætninger!$F$38*(K115-Forudsætninger!$C$37)),Forudsætninger!$E$37)+IF(K115&gt;Forudsætninger!$C$39,Forudsætninger!$G$39,IF(K115&gt;Forudsætninger!$C$38,Forudsætninger!$G$38+Forudsætninger!$H$39*(K115-Forudsætninger!$C$38),IF(K115&gt;Forudsætninger!$C$37,Forudsætninger!$G$37+Forudsætninger!$H$38*(K115-Forudsætninger!$C$37),Forudsætninger!$G$37)))*(U115-Forudsætninger!$H$37)</f>
        <v>35.221937258429314</v>
      </c>
      <c r="AC115" s="19">
        <f>IF(K115&gt;Forudsætninger!$C$42,IF(K115&gt;Forudsætninger!$C$43,IF(K115&gt;Forudsætninger!$C$44,Forudsætninger!$E$44,Forudsætninger!$E$43+Forudsætninger!$F$44*(K115-Forudsætninger!$C$43)),Forudsætninger!$E$42+Forudsætninger!$F$43*(K115-Forudsætninger!$C$42)),Forudsætninger!$E$42)+IF(K115&gt;Forudsætninger!$C$44,Forudsætninger!$G$44,IF(K115&gt;Forudsætninger!$C$43,Forudsætninger!$G$43+Forudsætninger!$H$44*(K115-Forudsætninger!$C$43),IF(K115&gt;Forudsætninger!$C$42,Forudsætninger!$G$42+Forudsætninger!$H$43*(K115-Forudsætninger!$C$42),Forudsætninger!$G$42)))*(V115-Forudsætninger!$H$42)</f>
        <v>30.204843146073291</v>
      </c>
      <c r="AD115" s="19">
        <f t="shared" si="34"/>
        <v>3261.4038913212398</v>
      </c>
      <c r="AE115" s="19">
        <f t="shared" si="35"/>
        <v>30.204843146073291</v>
      </c>
      <c r="AF115">
        <f>IF(G115&lt;=Forudsætninger!$C$97,Forudsætninger!$C$98,(IF(G115&lt;=Forudsætninger!$D$97,Forudsætninger!$D$98,IF(G115&lt;=Forudsætninger!$E$97,Forudsætninger!$E$98,IF(G115&lt;=Forudsætninger!$F$97,Forudsætninger!$F$98,IF(G115&lt;=Forudsætninger!$G$97,Forudsætninger!$G$98,IF(G115&lt;=Forudsætninger!$H$97,Forudsætninger!$H$98,IF(G115&lt;=Forudsætninger!$I$97,Forudsætninger!$I$98,Forudsætninger!$I$98))))))))</f>
        <v>3.2</v>
      </c>
      <c r="AG115" s="1">
        <f t="shared" si="43"/>
        <v>3.2</v>
      </c>
      <c r="AH115" s="1">
        <f t="shared" si="47"/>
        <v>254.59999999999948</v>
      </c>
      <c r="AI115" s="1">
        <f t="shared" si="36"/>
        <v>2.2530973451327387</v>
      </c>
      <c r="AJ115" s="20">
        <f>+(W115*Forudsætninger!$C$12)</f>
        <v>0</v>
      </c>
      <c r="AK115" s="20">
        <f>Forudsætninger!$C$17</f>
        <v>250</v>
      </c>
      <c r="AL115" s="20">
        <f>IF(A115&lt;92,Forudsætninger!$C$20,Forudsætninger!$C$21)</f>
        <v>1.0566762728146013</v>
      </c>
      <c r="AM115" s="20">
        <f t="shared" si="44"/>
        <v>387.90990168133936</v>
      </c>
      <c r="AN115" s="19">
        <f>IFERROR(AD115+AJ115-AA115-Z115-AK115-AM115-Forudsætninger!$D$75,-99999)</f>
        <v>-1268.1067667821092</v>
      </c>
      <c r="AO115" s="57">
        <f>IFERROR(AN115/(A115+Forudsætninger!$D$74),-99999)</f>
        <v>-11.222183776832825</v>
      </c>
      <c r="AP115" s="19">
        <f>IFERROR(((365/(A115+Forudsætninger!$D$74))*AN115)/(AI115+Forudsætninger!$D$73),-99999)</f>
        <v>-1733.3594348030961</v>
      </c>
      <c r="AQ115" s="18">
        <f t="shared" si="48"/>
        <v>113</v>
      </c>
      <c r="AR115" s="18">
        <f t="shared" si="49"/>
        <v>4311.6186844023887</v>
      </c>
      <c r="AS115" s="50">
        <f t="shared" si="50"/>
        <v>4.8</v>
      </c>
      <c r="AT115" s="50">
        <f t="shared" si="51"/>
        <v>8.7709133279095113</v>
      </c>
      <c r="AU115" s="50">
        <f t="shared" si="52"/>
        <v>0.1785097955780568</v>
      </c>
      <c r="AV115" s="2">
        <f t="shared" si="53"/>
        <v>33.895051925850339</v>
      </c>
      <c r="AW115" s="16">
        <f t="shared" si="45"/>
        <v>-7.7893527885023879</v>
      </c>
      <c r="AZ115" s="16"/>
      <c r="BA115" s="2"/>
    </row>
    <row r="116" spans="1:53" x14ac:dyDescent="0.25">
      <c r="A116">
        <v>114</v>
      </c>
      <c r="B116" s="1">
        <f>ROUND((A116+Forudsætninger!$D$60)/30.4,1)</f>
        <v>4.9000000000000004</v>
      </c>
      <c r="C116" s="1">
        <f>VLOOKUP((A116+Forudsætninger!$D$60),'Model tilvækst, slagteform, fe'!A:C,3,FALSE)</f>
        <v>245.06237373008938</v>
      </c>
      <c r="D116" s="3">
        <f t="shared" si="54"/>
        <v>1844.5030685370511</v>
      </c>
      <c r="E116" s="3">
        <f>(1+Forudsætninger!$D$78)*C116</f>
        <v>205.85239393327507</v>
      </c>
      <c r="F116" s="2">
        <f t="shared" si="55"/>
        <v>3.9623951812492457</v>
      </c>
      <c r="G116" s="1">
        <f t="shared" si="30"/>
        <v>209.8147891145243</v>
      </c>
      <c r="H116" s="3">
        <f t="shared" si="37"/>
        <v>1475.6024548296409</v>
      </c>
      <c r="I116" s="3">
        <f t="shared" si="38"/>
        <v>1208.9016588993359</v>
      </c>
      <c r="J116" s="1">
        <f>VLOOKUP((A116+Forudsætninger!$D$60),'Model tilvækst, slagteform, fe'!G:K,3,FALSE)*(1+Forudsætninger!$D$79)</f>
        <v>51.853449205442246</v>
      </c>
      <c r="K116" s="17">
        <f t="shared" si="31"/>
        <v>108.79620509900563</v>
      </c>
      <c r="L116" s="17">
        <f t="shared" si="39"/>
        <v>820.01480565425311</v>
      </c>
      <c r="M116" s="3">
        <f>((K116-(('Model tilvækst, slagteform, fe'!$I$9/100)*'Model tilvækst, slagteform, fe'!$C$9))*1000/(A116+Forudsætninger!$D$60))</f>
        <v>588.36244690970477</v>
      </c>
      <c r="N116" s="17">
        <f t="shared" si="40"/>
        <v>438.47336948726729</v>
      </c>
      <c r="O116" s="19">
        <f>IF( A116&lt;Forudsætninger!$C$14,(G116/100)*Forudsætninger!$C$13,(Forudsætninger!$C$15/1000)*Forudsætninger!$C$13)</f>
        <v>1.3637961292444079</v>
      </c>
      <c r="P116" s="17" cm="1">
        <f t="array" ref="P116">INDEX('Model tilvækst, slagteform, fe'!$O$9:$O$375,MATCH(MIN(ABS('Model tilvækst, slagteform, fe'!$M$9:$M$375-G116)),ABS('Model tilvækst, slagteform, fe'!$M$9:$M$375-G116),0))*(1+Forudsætninger!$D$80)</f>
        <v>5.9018691988244454</v>
      </c>
      <c r="Q116" s="17">
        <f t="shared" si="41"/>
        <v>7.1972715103791423</v>
      </c>
      <c r="R116" s="17">
        <f t="shared" si="42"/>
        <v>5.9384331374774204</v>
      </c>
      <c r="S116" s="2">
        <f t="shared" si="32"/>
        <v>3.1816133254239882</v>
      </c>
      <c r="T116" s="19">
        <f>(P116)*IF(N116&lt;Forudsætninger!$B$228,IF(N116&lt;Forudsætninger!$B$227,Forudsætninger!$B$225,Forudsætninger!$C$9),Forudsætninger!$C$11)+O116</f>
        <v>15.17417005449361</v>
      </c>
      <c r="U116" s="2">
        <f>Forudsætninger!$D$68+((K116-(Forudsætninger!$D$84)))*0.01</f>
        <v>6.2275727323497083</v>
      </c>
      <c r="V116" s="2">
        <f>U116+Forudsætninger!$D$69</f>
        <v>6.2275727323497083</v>
      </c>
      <c r="W116">
        <f t="shared" si="33"/>
        <v>0</v>
      </c>
      <c r="X116">
        <f>IF(A116+Forudsætninger!$D$60&gt;248,IF(A116+Forudsætninger!$D$60&lt;365,IF(K116&gt;180,IF(K116&lt;260,1,0),0),0),0)</f>
        <v>0</v>
      </c>
      <c r="Y116" s="22">
        <f>IF(X116=0,0,IF('Vækstfunktion, kry tyr'!A116&lt;Forudsætninger!$D$66,Forudsætninger!$D$67+(('Vækstfunktion, kry tyr'!A116-Forudsætninger!$D$66)/7)*Forudsætninger!$D$64,Forudsætninger!$D$67))</f>
        <v>0</v>
      </c>
      <c r="Z116" s="19">
        <f t="shared" si="46"/>
        <v>1633.8829527755429</v>
      </c>
      <c r="AA116" s="19">
        <f>Forudsætninger!$D$62+Forudsætninger!$C$16</f>
        <v>2055</v>
      </c>
      <c r="AB116" s="19">
        <f>IF(K116&gt;Forudsætninger!$C$37,IF(K116&gt;Forudsætninger!$C$38,IF(K116&gt;Forudsætninger!$C$39,Forudsætninger!$E$39,Forudsætninger!$E$38+Forudsætninger!$F$39*(K116-Forudsætninger!$C$38)),Forudsætninger!$E$37+Forudsætninger!$F$38*(K116-Forudsætninger!$C$37)),Forudsætninger!$E$37)+IF(K116&gt;Forudsætninger!$C$39,Forudsætninger!$G$39,IF(K116&gt;Forudsætninger!$C$38,Forudsætninger!$G$38+Forudsætninger!$H$39*(K116-Forudsætninger!$C$38),IF(K116&gt;Forudsætninger!$C$37,Forudsætninger!$G$37+Forudsætninger!$H$38*(K116-Forudsætninger!$C$37),Forudsætninger!$G$37)))*(U116-Forudsætninger!$H$37)</f>
        <v>35.222757273234969</v>
      </c>
      <c r="AC116" s="19">
        <f>IF(K116&gt;Forudsætninger!$C$42,IF(K116&gt;Forudsætninger!$C$43,IF(K116&gt;Forudsætninger!$C$44,Forudsætninger!$E$44,Forudsætninger!$E$43+Forudsætninger!$F$44*(K116-Forudsætninger!$C$43)),Forudsætninger!$E$42+Forudsætninger!$F$43*(K116-Forudsætninger!$C$42)),Forudsætninger!$E$42)+IF(K116&gt;Forudsætninger!$C$44,Forudsætninger!$G$44,IF(K116&gt;Forudsætninger!$C$43,Forudsætninger!$G$43+Forudsætninger!$H$44*(K116-Forudsætninger!$C$43),IF(K116&gt;Forudsætninger!$C$42,Forudsætninger!$G$42+Forudsætninger!$H$43*(K116-Forudsætninger!$C$42),Forudsætninger!$G$42)))*(V116-Forudsætninger!$H$42)</f>
        <v>30.206893183087427</v>
      </c>
      <c r="AD116" s="19">
        <f t="shared" si="34"/>
        <v>3286.395346150935</v>
      </c>
      <c r="AE116" s="19">
        <f t="shared" si="35"/>
        <v>30.206893183087427</v>
      </c>
      <c r="AF116">
        <f>IF(G116&lt;=Forudsætninger!$C$97,Forudsætninger!$C$98,(IF(G116&lt;=Forudsætninger!$D$97,Forudsætninger!$D$98,IF(G116&lt;=Forudsætninger!$E$97,Forudsætninger!$E$98,IF(G116&lt;=Forudsætninger!$F$97,Forudsætninger!$F$98,IF(G116&lt;=Forudsætninger!$G$97,Forudsætninger!$G$98,IF(G116&lt;=Forudsætninger!$H$97,Forudsætninger!$H$98,IF(G116&lt;=Forudsætninger!$I$97,Forudsætninger!$I$98,Forudsætninger!$I$98))))))))</f>
        <v>3.2</v>
      </c>
      <c r="AG116" s="1">
        <f t="shared" si="43"/>
        <v>3.2</v>
      </c>
      <c r="AH116" s="1">
        <f t="shared" si="47"/>
        <v>257.7999999999995</v>
      </c>
      <c r="AI116" s="1">
        <f t="shared" si="36"/>
        <v>2.2614035087719255</v>
      </c>
      <c r="AJ116" s="20">
        <f>+(W116*Forudsætninger!$C$12)</f>
        <v>0</v>
      </c>
      <c r="AK116" s="20">
        <f>Forudsætninger!$C$17</f>
        <v>250</v>
      </c>
      <c r="AL116" s="20">
        <f>IF(A116&lt;92,Forudsætninger!$C$20,Forudsætninger!$C$21)</f>
        <v>1.0566762728146013</v>
      </c>
      <c r="AM116" s="20">
        <f t="shared" si="44"/>
        <v>388.96657795415399</v>
      </c>
      <c r="AN116" s="19">
        <f>IFERROR(AD116+AJ116-AA116-Z116-AK116-AM116-Forudsætninger!$D$75,-99999)</f>
        <v>-1259.3461582797222</v>
      </c>
      <c r="AO116" s="57">
        <f>IFERROR(AN116/(A116+Forudsætninger!$D$74),-99999)</f>
        <v>-11.046896125260721</v>
      </c>
      <c r="AP116" s="19">
        <f>IFERROR(((365/(A116+Forudsætninger!$D$74))*AN116)/(AI116+Forudsætninger!$D$73),-99999)</f>
        <v>-1700.3083072135069</v>
      </c>
      <c r="AQ116" s="18">
        <f t="shared" si="48"/>
        <v>114</v>
      </c>
      <c r="AR116" s="18">
        <f t="shared" si="49"/>
        <v>4327.8495307296971</v>
      </c>
      <c r="AS116" s="50">
        <f t="shared" si="50"/>
        <v>4.9000000000000004</v>
      </c>
      <c r="AT116" s="50">
        <f t="shared" si="51"/>
        <v>8.7606085023869582</v>
      </c>
      <c r="AU116" s="50">
        <f t="shared" si="52"/>
        <v>0.1752876515721038</v>
      </c>
      <c r="AV116" s="2">
        <f t="shared" si="53"/>
        <v>33.051127589589214</v>
      </c>
      <c r="AW116" s="16">
        <f t="shared" si="45"/>
        <v>-7.6349085993470895</v>
      </c>
      <c r="AZ116" s="16"/>
      <c r="BA116" s="2"/>
    </row>
    <row r="117" spans="1:53" x14ac:dyDescent="0.25">
      <c r="A117">
        <v>115</v>
      </c>
      <c r="B117" s="1">
        <f>ROUND((A117+Forudsætninger!$D$60)/30.4,1)</f>
        <v>4.9000000000000004</v>
      </c>
      <c r="C117" s="1">
        <f>VLOOKUP((A117+Forudsætninger!$D$60),'Model tilvækst, slagteform, fe'!A:C,3,FALSE)</f>
        <v>246.90823862365772</v>
      </c>
      <c r="D117" s="3">
        <f t="shared" si="54"/>
        <v>1845.864893568347</v>
      </c>
      <c r="E117" s="3">
        <f>(1+Forudsætninger!$D$78)*C117</f>
        <v>207.40292044387249</v>
      </c>
      <c r="F117" s="2">
        <f t="shared" si="55"/>
        <v>3.8885605855065117</v>
      </c>
      <c r="G117" s="1">
        <f t="shared" si="30"/>
        <v>211.29148102937901</v>
      </c>
      <c r="H117" s="3">
        <f t="shared" si="37"/>
        <v>1476.6919148547117</v>
      </c>
      <c r="I117" s="3">
        <f t="shared" si="38"/>
        <v>1211.230269820687</v>
      </c>
      <c r="J117" s="1">
        <f>VLOOKUP((A117+Forudsætninger!$D$60),'Model tilvækst, slagteform, fe'!G:K,3,FALSE)*(1+Forudsætninger!$D$79)</f>
        <v>51.879886390156109</v>
      </c>
      <c r="K117" s="17">
        <f t="shared" si="31"/>
        <v>109.61778031012007</v>
      </c>
      <c r="L117" s="17">
        <f t="shared" si="39"/>
        <v>821.57521111443543</v>
      </c>
      <c r="M117" s="3">
        <f>((K117-(('Model tilvækst, slagteform, fe'!$I$9/100)*'Model tilvækst, slagteform, fe'!$C$9))*1000/(A117+Forudsætninger!$D$60))</f>
        <v>589.92763324664929</v>
      </c>
      <c r="N117" s="17">
        <f t="shared" si="40"/>
        <v>444.41924388896228</v>
      </c>
      <c r="O117" s="19">
        <f>IF( A117&lt;Forudsætninger!$C$14,(G117/100)*Forudsætninger!$C$13,(Forudsætninger!$C$15/1000)*Forudsætninger!$C$13)</f>
        <v>1.3733946266909638</v>
      </c>
      <c r="P117" s="17" cm="1">
        <f t="array" ref="P117">INDEX('Model tilvækst, slagteform, fe'!$O$9:$O$375,MATCH(MIN(ABS('Model tilvækst, slagteform, fe'!$M$9:$M$375-G117)),ABS('Model tilvækst, slagteform, fe'!$M$9:$M$375-G117),0))*(1+Forudsætninger!$D$80)</f>
        <v>5.9458744016949794</v>
      </c>
      <c r="Q117" s="17">
        <f t="shared" si="41"/>
        <v>7.2371638302348824</v>
      </c>
      <c r="R117" s="17">
        <f t="shared" si="42"/>
        <v>5.9527250186392742</v>
      </c>
      <c r="S117" s="2">
        <f t="shared" si="32"/>
        <v>3.1905701669955429</v>
      </c>
      <c r="T117" s="19">
        <f>(P117)*IF(N117&lt;Forudsætninger!$B$228,IF(N117&lt;Forudsætninger!$B$227,Forudsætninger!$B$225,Forudsætninger!$C$9),Forudsætninger!$C$11)+O117</f>
        <v>15.286740726657214</v>
      </c>
      <c r="U117" s="2">
        <f>Forudsætninger!$D$68+((K117-(Forudsætninger!$D$84)))*0.01</f>
        <v>6.2357884844608531</v>
      </c>
      <c r="V117" s="2">
        <f>U117+Forudsætninger!$D$69</f>
        <v>6.2357884844608531</v>
      </c>
      <c r="W117">
        <f t="shared" si="33"/>
        <v>0</v>
      </c>
      <c r="X117">
        <f>IF(A117+Forudsætninger!$D$60&gt;248,IF(A117+Forudsætninger!$D$60&lt;365,IF(K117&gt;180,IF(K117&lt;260,1,0),0),0),0)</f>
        <v>0</v>
      </c>
      <c r="Y117" s="22">
        <f>IF(X117=0,0,IF('Vækstfunktion, kry tyr'!A117&lt;Forudsætninger!$D$66,Forudsætninger!$D$67+(('Vækstfunktion, kry tyr'!A117-Forudsætninger!$D$66)/7)*Forudsætninger!$D$64,Forudsætninger!$D$67))</f>
        <v>0</v>
      </c>
      <c r="Z117" s="19">
        <f t="shared" si="46"/>
        <v>1649.1696935022001</v>
      </c>
      <c r="AA117" s="19">
        <f>Forudsætninger!$D$62+Forudsætninger!$C$16</f>
        <v>2055</v>
      </c>
      <c r="AB117" s="19">
        <f>IF(K117&gt;Forudsætninger!$C$37,IF(K117&gt;Forudsætninger!$C$38,IF(K117&gt;Forudsætninger!$C$39,Forudsætninger!$E$39,Forudsætninger!$E$38+Forudsætninger!$F$39*(K117-Forudsætninger!$C$38)),Forudsætninger!$E$37+Forudsætninger!$F$38*(K117-Forudsætninger!$C$37)),Forudsætninger!$E$37)+IF(K117&gt;Forudsætninger!$C$39,Forudsætninger!$G$39,IF(K117&gt;Forudsætninger!$C$38,Forudsætninger!$G$38+Forudsætninger!$H$39*(K117-Forudsætninger!$C$38),IF(K117&gt;Forudsætninger!$C$37,Forudsætninger!$G$37+Forudsætninger!$H$38*(K117-Forudsætninger!$C$37),Forudsætninger!$G$37)))*(U117-Forudsætninger!$H$37)</f>
        <v>35.223578848446088</v>
      </c>
      <c r="AC117" s="19">
        <f>IF(K117&gt;Forudsætninger!$C$42,IF(K117&gt;Forudsætninger!$C$43,IF(K117&gt;Forudsætninger!$C$44,Forudsætninger!$E$44,Forudsætninger!$E$43+Forudsætninger!$F$44*(K117-Forudsætninger!$C$43)),Forudsætninger!$E$42+Forudsætninger!$F$43*(K117-Forudsætninger!$C$42)),Forudsætninger!$E$42)+IF(K117&gt;Forudsætninger!$C$44,Forudsætninger!$G$44,IF(K117&gt;Forudsætninger!$C$43,Forudsætninger!$G$43+Forudsætninger!$H$44*(K117-Forudsætninger!$C$43),IF(K117&gt;Forudsætninger!$C$42,Forudsætninger!$G$42+Forudsætninger!$H$43*(K117-Forudsætninger!$C$42),Forudsætninger!$G$42)))*(V117-Forudsætninger!$H$42)</f>
        <v>30.208947121115212</v>
      </c>
      <c r="AD117" s="19">
        <f t="shared" si="34"/>
        <v>3311.4377289224412</v>
      </c>
      <c r="AE117" s="19">
        <f t="shared" si="35"/>
        <v>30.208947121115209</v>
      </c>
      <c r="AF117">
        <f>IF(G117&lt;=Forudsætninger!$C$97,Forudsætninger!$C$98,(IF(G117&lt;=Forudsætninger!$D$97,Forudsætninger!$D$98,IF(G117&lt;=Forudsætninger!$E$97,Forudsætninger!$E$98,IF(G117&lt;=Forudsætninger!$F$97,Forudsætninger!$F$98,IF(G117&lt;=Forudsætninger!$G$97,Forudsætninger!$G$98,IF(G117&lt;=Forudsætninger!$H$97,Forudsætninger!$H$98,IF(G117&lt;=Forudsætninger!$I$97,Forudsætninger!$I$98,Forudsætninger!$I$98))))))))</f>
        <v>3.2</v>
      </c>
      <c r="AG117" s="1">
        <f t="shared" si="43"/>
        <v>3.2</v>
      </c>
      <c r="AH117" s="1">
        <f t="shared" si="47"/>
        <v>260.99999999999949</v>
      </c>
      <c r="AI117" s="1">
        <f t="shared" si="36"/>
        <v>2.2695652173912997</v>
      </c>
      <c r="AJ117" s="20">
        <f>+(W117*Forudsætninger!$C$12)</f>
        <v>0</v>
      </c>
      <c r="AK117" s="20">
        <f>Forudsætninger!$C$17</f>
        <v>250</v>
      </c>
      <c r="AL117" s="20">
        <f>IF(A117&lt;92,Forudsætninger!$C$20,Forudsætninger!$C$21)</f>
        <v>1.0566762728146013</v>
      </c>
      <c r="AM117" s="20">
        <f t="shared" si="44"/>
        <v>390.02325422696862</v>
      </c>
      <c r="AN117" s="19">
        <f>IFERROR(AD117+AJ117-AA117-Z117-AK117-AM117-Forudsætninger!$D$75,-99999)</f>
        <v>-1250.6471925076878</v>
      </c>
      <c r="AO117" s="57">
        <f>IFERROR(AN117/(A117+Forudsætninger!$D$74),-99999)</f>
        <v>-10.875192978327719</v>
      </c>
      <c r="AP117" s="19">
        <f>IFERROR(((365/(A117+Forudsætninger!$D$74))*AN117)/(AI117+Forudsætninger!$D$73),-99999)</f>
        <v>-1668.1389558388707</v>
      </c>
      <c r="AQ117" s="18">
        <f t="shared" si="48"/>
        <v>115</v>
      </c>
      <c r="AR117" s="18">
        <f t="shared" si="49"/>
        <v>4344.1929477291687</v>
      </c>
      <c r="AS117" s="50">
        <f t="shared" si="50"/>
        <v>4.9000000000000004</v>
      </c>
      <c r="AT117" s="50">
        <f t="shared" si="51"/>
        <v>8.6989657720343985</v>
      </c>
      <c r="AU117" s="50">
        <f t="shared" si="52"/>
        <v>0.1717031469330017</v>
      </c>
      <c r="AV117" s="2">
        <f t="shared" si="53"/>
        <v>32.169351374636108</v>
      </c>
      <c r="AW117" s="16">
        <f t="shared" si="45"/>
        <v>-7.4836864198323401</v>
      </c>
      <c r="AZ117" s="16"/>
      <c r="BA117" s="2"/>
    </row>
    <row r="118" spans="1:53" x14ac:dyDescent="0.25">
      <c r="A118">
        <v>116</v>
      </c>
      <c r="B118" s="1">
        <f>ROUND((A118+Forudsætninger!$D$60)/30.4,1)</f>
        <v>4.9000000000000004</v>
      </c>
      <c r="C118" s="1">
        <f>VLOOKUP((A118+Forudsætninger!$D$60),'Model tilvækst, slagteform, fe'!A:C,3,FALSE)</f>
        <v>248.75537883150631</v>
      </c>
      <c r="D118" s="3">
        <f t="shared" si="54"/>
        <v>1847.1402078485823</v>
      </c>
      <c r="E118" s="3">
        <f>(1+Forudsætninger!$D$78)*C118</f>
        <v>208.9545182184653</v>
      </c>
      <c r="F118" s="2">
        <f t="shared" si="55"/>
        <v>3.8146749771925683</v>
      </c>
      <c r="G118" s="1">
        <f t="shared" si="30"/>
        <v>212.76919319565786</v>
      </c>
      <c r="H118" s="3">
        <f t="shared" si="37"/>
        <v>1477.7121662788488</v>
      </c>
      <c r="I118" s="3">
        <f t="shared" si="38"/>
        <v>1213.5275275487747</v>
      </c>
      <c r="J118" s="1">
        <f>VLOOKUP((A118+Forudsætninger!$D$60),'Model tilvækst, slagteform, fe'!G:K,3,FALSE)*(1+Forudsætninger!$D$79)</f>
        <v>51.906426181237038</v>
      </c>
      <c r="K118" s="17">
        <f t="shared" si="31"/>
        <v>110.44088420251778</v>
      </c>
      <c r="L118" s="17">
        <f t="shared" si="39"/>
        <v>823.10389239771098</v>
      </c>
      <c r="M118" s="3">
        <f>((K118-(('Model tilvækst, slagteform, fe'!$I$9/100)*'Model tilvækst, slagteform, fe'!$C$9))*1000/(A118+Forudsætninger!$D$60))</f>
        <v>591.48214164098965</v>
      </c>
      <c r="N118" s="17">
        <f t="shared" si="40"/>
        <v>450.38664126545274</v>
      </c>
      <c r="O118" s="19">
        <f>IF( A118&lt;Forudsætninger!$C$14,(G118/100)*Forudsætninger!$C$13,(Forudsætninger!$C$15/1000)*Forudsætninger!$C$13)</f>
        <v>1.3829997557717761</v>
      </c>
      <c r="P118" s="17" cm="1">
        <f t="array" ref="P118">INDEX('Model tilvækst, slagteform, fe'!$O$9:$O$375,MATCH(MIN(ABS('Model tilvækst, slagteform, fe'!$M$9:$M$375-G118)),ABS('Model tilvækst, slagteform, fe'!$M$9:$M$375-G118),0))*(1+Forudsætninger!$D$80)</f>
        <v>5.967397376490438</v>
      </c>
      <c r="Q118" s="17">
        <f t="shared" si="41"/>
        <v>7.249871409436957</v>
      </c>
      <c r="R118" s="17">
        <f t="shared" si="42"/>
        <v>5.9668700764904123</v>
      </c>
      <c r="S118" s="2">
        <f t="shared" si="32"/>
        <v>3.1994687974054914</v>
      </c>
      <c r="T118" s="19">
        <f>(P118)*IF(N118&lt;Forudsætninger!$B$228,IF(N118&lt;Forudsætninger!$B$227,Forudsætninger!$B$225,Forudsætninger!$C$9),Forudsætninger!$C$11)+O118</f>
        <v>15.3467096167594</v>
      </c>
      <c r="U118" s="2">
        <f>Forudsætninger!$D$68+((K118-(Forudsætninger!$D$84)))*0.01</f>
        <v>6.2440195233848304</v>
      </c>
      <c r="V118" s="2">
        <f>U118+Forudsætninger!$D$69</f>
        <v>6.2440195233848304</v>
      </c>
      <c r="W118">
        <f t="shared" si="33"/>
        <v>0</v>
      </c>
      <c r="X118">
        <f>IF(A118+Forudsætninger!$D$60&gt;248,IF(A118+Forudsætninger!$D$60&lt;365,IF(K118&gt;180,IF(K118&lt;260,1,0),0),0),0)</f>
        <v>0</v>
      </c>
      <c r="Y118" s="22">
        <f>IF(X118=0,0,IF('Vækstfunktion, kry tyr'!A118&lt;Forudsætninger!$D$66,Forudsætninger!$D$67+(('Vækstfunktion, kry tyr'!A118-Forudsætninger!$D$66)/7)*Forudsætninger!$D$64,Forudsætninger!$D$67))</f>
        <v>0</v>
      </c>
      <c r="Z118" s="19">
        <f t="shared" si="46"/>
        <v>1664.5164031189595</v>
      </c>
      <c r="AA118" s="19">
        <f>Forudsætninger!$D$62+Forudsætninger!$C$16</f>
        <v>2055</v>
      </c>
      <c r="AB118" s="19">
        <f>IF(K118&gt;Forudsætninger!$C$37,IF(K118&gt;Forudsætninger!$C$38,IF(K118&gt;Forudsætninger!$C$39,Forudsætninger!$E$39,Forudsætninger!$E$38+Forudsætninger!$F$39*(K118-Forudsætninger!$C$38)),Forudsætninger!$E$37+Forudsætninger!$F$38*(K118-Forudsætninger!$C$37)),Forudsætninger!$E$37)+IF(K118&gt;Forudsætninger!$C$39,Forudsætninger!$G$39,IF(K118&gt;Forudsætninger!$C$38,Forudsætninger!$G$38+Forudsætninger!$H$39*(K118-Forudsætninger!$C$38),IF(K118&gt;Forudsætninger!$C$37,Forudsætninger!$G$37+Forudsætninger!$H$38*(K118-Forudsætninger!$C$37),Forudsætninger!$G$37)))*(U118-Forudsætninger!$H$37)</f>
        <v>35.224401952338482</v>
      </c>
      <c r="AC118" s="19">
        <f>IF(K118&gt;Forudsætninger!$C$42,IF(K118&gt;Forudsætninger!$C$43,IF(K118&gt;Forudsætninger!$C$44,Forudsætninger!$E$44,Forudsætninger!$E$43+Forudsætninger!$F$44*(K118-Forudsætninger!$C$43)),Forudsætninger!$E$42+Forudsætninger!$F$43*(K118-Forudsætninger!$C$42)),Forudsætninger!$E$42)+IF(K118&gt;Forudsætninger!$C$44,Forudsætninger!$G$44,IF(K118&gt;Forudsætninger!$C$43,Forudsætninger!$G$43+Forudsætninger!$H$44*(K118-Forudsætninger!$C$43),IF(K118&gt;Forudsætninger!$C$42,Forudsætninger!$G$42+Forudsætninger!$H$43*(K118-Forudsætninger!$C$42),Forudsætninger!$G$42)))*(V118-Forudsætninger!$H$42)</f>
        <v>30.211004880846207</v>
      </c>
      <c r="AD118" s="19">
        <f t="shared" si="34"/>
        <v>3336.5300916872357</v>
      </c>
      <c r="AE118" s="19">
        <f t="shared" si="35"/>
        <v>30.211004880846211</v>
      </c>
      <c r="AF118">
        <f>IF(G118&lt;=Forudsætninger!$C$97,Forudsætninger!$C$98,(IF(G118&lt;=Forudsætninger!$D$97,Forudsætninger!$D$98,IF(G118&lt;=Forudsætninger!$E$97,Forudsætninger!$E$98,IF(G118&lt;=Forudsætninger!$F$97,Forudsætninger!$F$98,IF(G118&lt;=Forudsætninger!$G$97,Forudsætninger!$G$98,IF(G118&lt;=Forudsætninger!$H$97,Forudsætninger!$H$98,IF(G118&lt;=Forudsætninger!$I$97,Forudsætninger!$I$98,Forudsætninger!$I$98))))))))</f>
        <v>3.2</v>
      </c>
      <c r="AG118" s="1">
        <f t="shared" si="43"/>
        <v>3.2</v>
      </c>
      <c r="AH118" s="1">
        <f t="shared" si="47"/>
        <v>264.19999999999948</v>
      </c>
      <c r="AI118" s="1">
        <f t="shared" si="36"/>
        <v>2.2775862068965473</v>
      </c>
      <c r="AJ118" s="20">
        <f>+(W118*Forudsætninger!$C$12)</f>
        <v>0</v>
      </c>
      <c r="AK118" s="20">
        <f>Forudsætninger!$C$17</f>
        <v>250</v>
      </c>
      <c r="AL118" s="20">
        <f>IF(A118&lt;92,Forudsætninger!$C$20,Forudsætninger!$C$21)</f>
        <v>1.0566762728146013</v>
      </c>
      <c r="AM118" s="20">
        <f t="shared" si="44"/>
        <v>391.07993049978325</v>
      </c>
      <c r="AN118" s="19">
        <f>IFERROR(AD118+AJ118-AA118-Z118-AK118-AM118-Forudsætninger!$D$75,-99999)</f>
        <v>-1241.9582156324675</v>
      </c>
      <c r="AO118" s="57">
        <f>IFERROR(AN118/(A118+Forudsætninger!$D$74),-99999)</f>
        <v>-10.706536341659202</v>
      </c>
      <c r="AP118" s="19">
        <f>IFERROR(((365/(A118+Forudsætninger!$D$74))*AN118)/(AI118+Forudsætninger!$D$73),-99999)</f>
        <v>-1636.7516923232649</v>
      </c>
      <c r="AQ118" s="18">
        <f t="shared" si="48"/>
        <v>116</v>
      </c>
      <c r="AR118" s="18">
        <f t="shared" si="49"/>
        <v>4360.5963336187433</v>
      </c>
      <c r="AS118" s="50">
        <f t="shared" si="50"/>
        <v>4.9000000000000004</v>
      </c>
      <c r="AT118" s="50">
        <f t="shared" si="51"/>
        <v>8.6889768752203054</v>
      </c>
      <c r="AU118" s="50">
        <f t="shared" si="52"/>
        <v>0.16865663666851738</v>
      </c>
      <c r="AV118" s="2">
        <f t="shared" si="53"/>
        <v>31.38726351560581</v>
      </c>
      <c r="AW118" s="16">
        <f t="shared" si="45"/>
        <v>-7.3351576304541748</v>
      </c>
      <c r="AZ118" s="16"/>
      <c r="BA118" s="2"/>
    </row>
    <row r="119" spans="1:53" x14ac:dyDescent="0.25">
      <c r="A119">
        <v>117</v>
      </c>
      <c r="B119" s="1">
        <f>ROUND((A119+Forudsætninger!$D$60)/30.4,1)</f>
        <v>5</v>
      </c>
      <c r="C119" s="1">
        <f>VLOOKUP((A119+Forudsætninger!$D$60),'Model tilvækst, slagteform, fe'!A:C,3,FALSE)</f>
        <v>250.60370846382048</v>
      </c>
      <c r="D119" s="3">
        <f t="shared" si="54"/>
        <v>1848.3296323141758</v>
      </c>
      <c r="E119" s="3">
        <f>(1+Forudsætninger!$D$78)*C119</f>
        <v>210.5071151096092</v>
      </c>
      <c r="F119" s="2">
        <f t="shared" si="55"/>
        <v>3.7407417919000014</v>
      </c>
      <c r="G119" s="1">
        <f t="shared" si="30"/>
        <v>214.24785690150921</v>
      </c>
      <c r="H119" s="3">
        <f t="shared" si="37"/>
        <v>1478.6637058513463</v>
      </c>
      <c r="I119" s="3">
        <f t="shared" si="38"/>
        <v>1215.793648730848</v>
      </c>
      <c r="J119" s="1">
        <f>VLOOKUP((A119+Forudsætninger!$D$60),'Model tilvækst, slagteform, fe'!G:K,3,FALSE)*(1+Forudsætninger!$D$79)</f>
        <v>51.933067997866253</v>
      </c>
      <c r="K119" s="17">
        <f t="shared" si="31"/>
        <v>111.26548520863197</v>
      </c>
      <c r="L119" s="17">
        <f t="shared" si="39"/>
        <v>824.60100611419307</v>
      </c>
      <c r="M119" s="3">
        <f>((K119-(('Model tilvækst, slagteform, fe'!$I$9/100)*'Model tilvækst, slagteform, fe'!$C$9))*1000/(A119+Forudsætninger!$D$60))</f>
        <v>593.02597518054733</v>
      </c>
      <c r="N119" s="17">
        <f t="shared" si="40"/>
        <v>456.37523764272265</v>
      </c>
      <c r="O119" s="19">
        <f>IF( A119&lt;Forudsætninger!$C$14,(G119/100)*Forudsætninger!$C$13,(Forudsætninger!$C$15/1000)*Forudsætninger!$C$13)</f>
        <v>1.39261106985981</v>
      </c>
      <c r="P119" s="17" cm="1">
        <f t="array" ref="P119">INDEX('Model tilvækst, slagteform, fe'!$O$9:$O$375,MATCH(MIN(ABS('Model tilvækst, slagteform, fe'!$M$9:$M$375-G119)),ABS('Model tilvækst, slagteform, fe'!$M$9:$M$375-G119),0))*(1+Forudsætninger!$D$80)</f>
        <v>5.9885963772699293</v>
      </c>
      <c r="Q119" s="17">
        <f t="shared" si="41"/>
        <v>7.2624170148545897</v>
      </c>
      <c r="R119" s="17">
        <f t="shared" si="42"/>
        <v>5.9808704407517235</v>
      </c>
      <c r="S119" s="2">
        <f t="shared" si="32"/>
        <v>3.2083101115450314</v>
      </c>
      <c r="T119" s="19">
        <f>(P119)*IF(N119&lt;Forudsætninger!$B$228,IF(N119&lt;Forudsætninger!$B$227,Forudsætninger!$B$225,Forudsætninger!$C$9),Forudsætninger!$C$11)+O119</f>
        <v>15.405926592671445</v>
      </c>
      <c r="U119" s="2">
        <f>Forudsætninger!$D$68+((K119-(Forudsætninger!$D$84)))*0.01</f>
        <v>6.2522655334459722</v>
      </c>
      <c r="V119" s="2">
        <f>U119+Forudsætninger!$D$69</f>
        <v>6.2522655334459722</v>
      </c>
      <c r="W119">
        <f t="shared" si="33"/>
        <v>0</v>
      </c>
      <c r="X119">
        <f>IF(A119+Forudsætninger!$D$60&gt;248,IF(A119+Forudsætninger!$D$60&lt;365,IF(K119&gt;180,IF(K119&lt;260,1,0),0),0),0)</f>
        <v>0</v>
      </c>
      <c r="Y119" s="22">
        <f>IF(X119=0,0,IF('Vækstfunktion, kry tyr'!A119&lt;Forudsætninger!$D$66,Forudsætninger!$D$67+(('Vækstfunktion, kry tyr'!A119-Forudsætninger!$D$66)/7)*Forudsætninger!$D$64,Forudsætninger!$D$67))</f>
        <v>0</v>
      </c>
      <c r="Z119" s="19">
        <f t="shared" si="46"/>
        <v>1679.9223297116309</v>
      </c>
      <c r="AA119" s="19">
        <f>Forudsætninger!$D$62+Forudsætninger!$C$16</f>
        <v>2055</v>
      </c>
      <c r="AB119" s="19">
        <f>IF(K119&gt;Forudsætninger!$C$37,IF(K119&gt;Forudsætninger!$C$38,IF(K119&gt;Forudsætninger!$C$39,Forudsætninger!$E$39,Forudsætninger!$E$38+Forudsætninger!$F$39*(K119-Forudsætninger!$C$38)),Forudsætninger!$E$37+Forudsætninger!$F$38*(K119-Forudsætninger!$C$37)),Forudsætninger!$E$37)+IF(K119&gt;Forudsætninger!$C$39,Forudsætninger!$G$39,IF(K119&gt;Forudsætninger!$C$38,Forudsætninger!$G$38+Forudsætninger!$H$39*(K119-Forudsætninger!$C$38),IF(K119&gt;Forudsætninger!$C$37,Forudsætninger!$G$37+Forudsætninger!$H$38*(K119-Forudsætninger!$C$37),Forudsætninger!$G$37)))*(U119-Forudsætninger!$H$37)</f>
        <v>35.225226553344598</v>
      </c>
      <c r="AC119" s="19">
        <f>IF(K119&gt;Forudsætninger!$C$42,IF(K119&gt;Forudsætninger!$C$43,IF(K119&gt;Forudsætninger!$C$44,Forudsætninger!$E$44,Forudsætninger!$E$43+Forudsætninger!$F$44*(K119-Forudsætninger!$C$43)),Forudsætninger!$E$42+Forudsætninger!$F$43*(K119-Forudsætninger!$C$42)),Forudsætninger!$E$42)+IF(K119&gt;Forudsætninger!$C$44,Forudsætninger!$G$44,IF(K119&gt;Forudsætninger!$C$43,Forudsætninger!$G$43+Forudsætninger!$H$44*(K119-Forudsætninger!$C$43),IF(K119&gt;Forudsætninger!$C$42,Forudsætninger!$G$42+Forudsætninger!$H$43*(K119-Forudsætninger!$C$42),Forudsætninger!$G$42)))*(V119-Forudsætninger!$H$42)</f>
        <v>30.213066383361493</v>
      </c>
      <c r="AD119" s="19">
        <f t="shared" si="34"/>
        <v>3361.6714907853243</v>
      </c>
      <c r="AE119" s="19">
        <f t="shared" si="35"/>
        <v>30.213066383361497</v>
      </c>
      <c r="AF119">
        <f>IF(G119&lt;=Forudsætninger!$C$97,Forudsætninger!$C$98,(IF(G119&lt;=Forudsætninger!$D$97,Forudsætninger!$D$98,IF(G119&lt;=Forudsætninger!$E$97,Forudsætninger!$E$98,IF(G119&lt;=Forudsætninger!$F$97,Forudsætninger!$F$98,IF(G119&lt;=Forudsætninger!$G$97,Forudsætninger!$G$98,IF(G119&lt;=Forudsætninger!$H$97,Forudsætninger!$H$98,IF(G119&lt;=Forudsætninger!$I$97,Forudsætninger!$I$98,Forudsætninger!$I$98))))))))</f>
        <v>3.2</v>
      </c>
      <c r="AG119" s="1">
        <f t="shared" si="43"/>
        <v>3.2</v>
      </c>
      <c r="AH119" s="1">
        <f t="shared" si="47"/>
        <v>267.39999999999947</v>
      </c>
      <c r="AI119" s="1">
        <f t="shared" si="36"/>
        <v>2.2854700854700809</v>
      </c>
      <c r="AJ119" s="20">
        <f>+(W119*Forudsætninger!$C$12)</f>
        <v>0</v>
      </c>
      <c r="AK119" s="20">
        <f>Forudsætninger!$C$17</f>
        <v>250</v>
      </c>
      <c r="AL119" s="20">
        <f>IF(A119&lt;92,Forudsætninger!$C$20,Forudsætninger!$C$21)</f>
        <v>1.0566762728146013</v>
      </c>
      <c r="AM119" s="20">
        <f t="shared" si="44"/>
        <v>392.13660677259787</v>
      </c>
      <c r="AN119" s="19">
        <f>IFERROR(AD119+AJ119-AA119-Z119-AK119-AM119-Forudsætninger!$D$75,-99999)</f>
        <v>-1233.2794193998648</v>
      </c>
      <c r="AO119" s="57">
        <f>IFERROR(AN119/(A119+Forudsætninger!$D$74),-99999)</f>
        <v>-10.540849738460382</v>
      </c>
      <c r="AP119" s="19">
        <f>IFERROR(((365/(A119+Forudsætninger!$D$74))*AN119)/(AI119+Forudsætninger!$D$73),-99999)</f>
        <v>-1606.1190569128037</v>
      </c>
      <c r="AQ119" s="18">
        <f t="shared" si="48"/>
        <v>117</v>
      </c>
      <c r="AR119" s="18">
        <f t="shared" si="49"/>
        <v>4377.058936484229</v>
      </c>
      <c r="AS119" s="50">
        <f t="shared" si="50"/>
        <v>5</v>
      </c>
      <c r="AT119" s="50">
        <f t="shared" si="51"/>
        <v>8.6787962326027355</v>
      </c>
      <c r="AU119" s="50">
        <f t="shared" si="52"/>
        <v>0.16568660319881978</v>
      </c>
      <c r="AV119" s="2">
        <f t="shared" si="53"/>
        <v>30.632635410461262</v>
      </c>
      <c r="AW119" s="16">
        <f t="shared" si="45"/>
        <v>-7.189254808780059</v>
      </c>
      <c r="AZ119" s="16"/>
      <c r="BA119" s="2"/>
    </row>
    <row r="120" spans="1:53" x14ac:dyDescent="0.25">
      <c r="A120">
        <v>118</v>
      </c>
      <c r="B120" s="1">
        <f>ROUND((A120+Forudsætninger!$D$60)/30.4,1)</f>
        <v>5</v>
      </c>
      <c r="C120" s="1">
        <f>VLOOKUP((A120+Forudsætninger!$D$60),'Model tilvækst, slagteform, fe'!A:C,3,FALSE)</f>
        <v>252.4531422517222</v>
      </c>
      <c r="D120" s="3">
        <f t="shared" si="54"/>
        <v>1849.4337879017166</v>
      </c>
      <c r="E120" s="3">
        <f>(1+Forudsætninger!$D$78)*C120</f>
        <v>212.06063949144664</v>
      </c>
      <c r="F120" s="2">
        <f t="shared" si="55"/>
        <v>3.6667644403839326</v>
      </c>
      <c r="G120" s="1">
        <f t="shared" si="30"/>
        <v>215.72740393183057</v>
      </c>
      <c r="H120" s="3">
        <f t="shared" si="37"/>
        <v>1479.5470303213563</v>
      </c>
      <c r="I120" s="3">
        <f t="shared" si="38"/>
        <v>1218.0288468799201</v>
      </c>
      <c r="J120" s="1">
        <f>VLOOKUP((A120+Forudsætninger!$D$60),'Model tilvækst, slagteform, fe'!G:K,3,FALSE)*(1+Forudsætninger!$D$79)</f>
        <v>51.959811259224999</v>
      </c>
      <c r="K120" s="17">
        <f t="shared" si="31"/>
        <v>112.09155191740508</v>
      </c>
      <c r="L120" s="17">
        <f t="shared" si="39"/>
        <v>826.06670877311217</v>
      </c>
      <c r="M120" s="3">
        <f>((K120-(('Model tilvækst, slagteform, fe'!$I$9/100)*'Model tilvækst, slagteform, fe'!$C$9))*1000/(A120+Forudsætninger!$D$60))</f>
        <v>594.55913790155103</v>
      </c>
      <c r="N120" s="17">
        <f t="shared" si="40"/>
        <v>462.38470587956402</v>
      </c>
      <c r="O120" s="19">
        <f>IF( A120&lt;Forudsætninger!$C$14,(G120/100)*Forudsætninger!$C$13,(Forudsætninger!$C$15/1000)*Forudsætninger!$C$13)</f>
        <v>1.4022281255568987</v>
      </c>
      <c r="P120" s="17" cm="1">
        <f t="array" ref="P120">INDEX('Model tilvækst, slagteform, fe'!$O$9:$O$375,MATCH(MIN(ABS('Model tilvækst, slagteform, fe'!$M$9:$M$375-G120)),ABS('Model tilvækst, slagteform, fe'!$M$9:$M$375-G120),0))*(1+Forudsætninger!$D$80)</f>
        <v>6.0094682368413821</v>
      </c>
      <c r="Q120" s="17">
        <f t="shared" si="41"/>
        <v>7.2747977530370918</v>
      </c>
      <c r="R120" s="17">
        <f t="shared" si="42"/>
        <v>5.9947281368177352</v>
      </c>
      <c r="S120" s="2">
        <f t="shared" si="32"/>
        <v>3.2170949535752524</v>
      </c>
      <c r="T120" s="19">
        <f>(P120)*IF(N120&lt;Forudsætninger!$B$228,IF(N120&lt;Forudsætninger!$B$227,Forudsætninger!$B$225,Forudsætninger!$C$9),Forudsætninger!$C$11)+O120</f>
        <v>15.464383799765733</v>
      </c>
      <c r="U120" s="2">
        <f>Forudsætninger!$D$68+((K120-(Forudsætninger!$D$84)))*0.01</f>
        <v>6.260526200533703</v>
      </c>
      <c r="V120" s="2">
        <f>U120+Forudsætninger!$D$69</f>
        <v>6.260526200533703</v>
      </c>
      <c r="W120">
        <f t="shared" si="33"/>
        <v>0</v>
      </c>
      <c r="X120">
        <f>IF(A120+Forudsætninger!$D$60&gt;248,IF(A120+Forudsætninger!$D$60&lt;365,IF(K120&gt;180,IF(K120&lt;260,1,0),0),0),0)</f>
        <v>0</v>
      </c>
      <c r="Y120" s="22">
        <f>IF(X120=0,0,IF('Vækstfunktion, kry tyr'!A120&lt;Forudsætninger!$D$66,Forudsætninger!$D$67+(('Vækstfunktion, kry tyr'!A120-Forudsætninger!$D$66)/7)*Forudsætninger!$D$64,Forudsætninger!$D$67))</f>
        <v>0</v>
      </c>
      <c r="Z120" s="19">
        <f t="shared" si="46"/>
        <v>1695.3867135113967</v>
      </c>
      <c r="AA120" s="19">
        <f>Forudsætninger!$D$62+Forudsætninger!$C$16</f>
        <v>2055</v>
      </c>
      <c r="AB120" s="19">
        <f>IF(K120&gt;Forudsætninger!$C$37,IF(K120&gt;Forudsætninger!$C$38,IF(K120&gt;Forudsætninger!$C$39,Forudsætninger!$E$39,Forudsætninger!$E$38+Forudsætninger!$F$39*(K120-Forudsætninger!$C$38)),Forudsætninger!$E$37+Forudsætninger!$F$38*(K120-Forudsætninger!$C$37)),Forudsætninger!$E$37)+IF(K120&gt;Forudsætninger!$C$39,Forudsætninger!$G$39,IF(K120&gt;Forudsætninger!$C$38,Forudsætninger!$G$38+Forudsætninger!$H$39*(K120-Forudsætninger!$C$38),IF(K120&gt;Forudsætninger!$C$37,Forudsætninger!$G$37+Forudsætninger!$H$38*(K120-Forudsætninger!$C$37),Forudsætninger!$G$37)))*(U120-Forudsætninger!$H$37)</f>
        <v>35.226052620053373</v>
      </c>
      <c r="AC120" s="19">
        <f>IF(K120&gt;Forudsætninger!$C$42,IF(K120&gt;Forudsætninger!$C$43,IF(K120&gt;Forudsætninger!$C$44,Forudsætninger!$E$44,Forudsætninger!$E$43+Forudsætninger!$F$44*(K120-Forudsætninger!$C$43)),Forudsætninger!$E$42+Forudsætninger!$F$43*(K120-Forudsætninger!$C$42)),Forudsætninger!$E$42)+IF(K120&gt;Forudsætninger!$C$44,Forudsætninger!$G$44,IF(K120&gt;Forudsætninger!$C$43,Forudsætninger!$G$43+Forudsætninger!$H$44*(K120-Forudsætninger!$C$43),IF(K120&gt;Forudsætninger!$C$42,Forudsætninger!$G$42+Forudsætninger!$H$43*(K120-Forudsætninger!$C$42),Forudsætninger!$G$42)))*(V120-Forudsætninger!$H$42)</f>
        <v>30.215131550133425</v>
      </c>
      <c r="AD120" s="19">
        <f t="shared" si="34"/>
        <v>3386.8609868430053</v>
      </c>
      <c r="AE120" s="19">
        <f t="shared" si="35"/>
        <v>30.215131550133428</v>
      </c>
      <c r="AF120">
        <f>IF(G120&lt;=Forudsætninger!$C$97,Forudsætninger!$C$98,(IF(G120&lt;=Forudsætninger!$D$97,Forudsætninger!$D$98,IF(G120&lt;=Forudsætninger!$E$97,Forudsætninger!$E$98,IF(G120&lt;=Forudsætninger!$F$97,Forudsætninger!$F$98,IF(G120&lt;=Forudsætninger!$G$97,Forudsætninger!$G$98,IF(G120&lt;=Forudsætninger!$H$97,Forudsætninger!$H$98,IF(G120&lt;=Forudsætninger!$I$97,Forudsætninger!$I$98,Forudsætninger!$I$98))))))))</f>
        <v>3.2</v>
      </c>
      <c r="AG120" s="1">
        <f t="shared" si="43"/>
        <v>3.2</v>
      </c>
      <c r="AH120" s="1">
        <f t="shared" si="47"/>
        <v>270.59999999999945</v>
      </c>
      <c r="AI120" s="1">
        <f t="shared" si="36"/>
        <v>2.2932203389830463</v>
      </c>
      <c r="AJ120" s="20">
        <f>+(W120*Forudsætninger!$C$12)</f>
        <v>0</v>
      </c>
      <c r="AK120" s="20">
        <f>Forudsætninger!$C$17</f>
        <v>250</v>
      </c>
      <c r="AL120" s="20">
        <f>IF(A120&lt;92,Forudsætninger!$C$20,Forudsætninger!$C$21)</f>
        <v>1.0566762728146013</v>
      </c>
      <c r="AM120" s="20">
        <f t="shared" si="44"/>
        <v>393.1932830454125</v>
      </c>
      <c r="AN120" s="19">
        <f>IFERROR(AD120+AJ120-AA120-Z120-AK120-AM120-Forudsætninger!$D$75,-99999)</f>
        <v>-1224.6109834147642</v>
      </c>
      <c r="AO120" s="57">
        <f>IFERROR(AN120/(A120+Forudsætninger!$D$74),-99999)</f>
        <v>-10.378059181481053</v>
      </c>
      <c r="AP120" s="19">
        <f>IFERROR(((365/(A120+Forudsætninger!$D$74))*AN120)/(AI120+Forudsætninger!$D$73),-99999)</f>
        <v>-1576.2148562888419</v>
      </c>
      <c r="AQ120" s="18">
        <f t="shared" si="48"/>
        <v>118</v>
      </c>
      <c r="AR120" s="18">
        <f t="shared" si="49"/>
        <v>4393.5799965568094</v>
      </c>
      <c r="AS120" s="50">
        <f t="shared" si="50"/>
        <v>5</v>
      </c>
      <c r="AT120" s="50">
        <f t="shared" si="51"/>
        <v>8.6684359851005865</v>
      </c>
      <c r="AU120" s="50">
        <f t="shared" si="52"/>
        <v>0.16279055697932954</v>
      </c>
      <c r="AV120" s="2">
        <f t="shared" si="53"/>
        <v>29.904200623961742</v>
      </c>
      <c r="AW120" s="16">
        <f t="shared" si="45"/>
        <v>-7.0459127149945058</v>
      </c>
      <c r="AZ120" s="16"/>
      <c r="BA120" s="2"/>
    </row>
    <row r="121" spans="1:53" x14ac:dyDescent="0.25">
      <c r="A121">
        <v>119</v>
      </c>
      <c r="B121" s="1">
        <f>ROUND((A121+Forudsætninger!$D$60)/30.4,1)</f>
        <v>5</v>
      </c>
      <c r="C121" s="1">
        <f>VLOOKUP((A121+Forudsætninger!$D$60),'Model tilvækst, slagteform, fe'!A:C,3,FALSE)</f>
        <v>254.30359554727016</v>
      </c>
      <c r="D121" s="3">
        <f t="shared" si="54"/>
        <v>1850.4532955479647</v>
      </c>
      <c r="E121" s="3">
        <f>(1+Forudsætninger!$D$78)*C121</f>
        <v>213.61502025970694</v>
      </c>
      <c r="F121" s="2">
        <f t="shared" si="55"/>
        <v>3.5927463085620142</v>
      </c>
      <c r="G121" s="1">
        <f t="shared" si="30"/>
        <v>217.20776656826897</v>
      </c>
      <c r="H121" s="3">
        <f t="shared" si="37"/>
        <v>1480.3626364384002</v>
      </c>
      <c r="I121" s="3">
        <f t="shared" si="38"/>
        <v>1220.2333325064619</v>
      </c>
      <c r="J121" s="1">
        <f>VLOOKUP((A121+Forudsætninger!$D$60),'Model tilvækst, slagteform, fe'!G:K,3,FALSE)*(1+Forudsætninger!$D$79)</f>
        <v>51.986655384494512</v>
      </c>
      <c r="K121" s="17">
        <f t="shared" si="31"/>
        <v>112.91905307420326</v>
      </c>
      <c r="L121" s="17">
        <f t="shared" si="39"/>
        <v>827.50115679817782</v>
      </c>
      <c r="M121" s="3">
        <f>((K121-(('Model tilvækst, slagteform, fe'!$I$9/100)*'Model tilvækst, slagteform, fe'!$C$9))*1000/(A121+Forudsætninger!$D$60))</f>
        <v>596.08163475708454</v>
      </c>
      <c r="N121" s="17">
        <f t="shared" si="40"/>
        <v>468.43492913986086</v>
      </c>
      <c r="O121" s="19">
        <f>IF( A121&lt;Forudsætninger!$C$14,(G121/100)*Forudsætninger!$C$13,(Forudsætninger!$C$15/1000)*Forudsætninger!$C$13)</f>
        <v>1.4118504826937484</v>
      </c>
      <c r="P121" s="17" cm="1">
        <f t="array" ref="P121">INDEX('Model tilvækst, slagteform, fe'!$O$9:$O$375,MATCH(MIN(ABS('Model tilvækst, slagteform, fe'!$M$9:$M$375-G121)),ABS('Model tilvækst, slagteform, fe'!$M$9:$M$375-G121),0))*(1+Forudsætninger!$D$80)</f>
        <v>6.0502232602968515</v>
      </c>
      <c r="Q121" s="17">
        <f t="shared" si="41"/>
        <v>7.3114378277207193</v>
      </c>
      <c r="R121" s="17">
        <f t="shared" si="42"/>
        <v>6.0087043722486886</v>
      </c>
      <c r="S121" s="2">
        <f t="shared" si="32"/>
        <v>3.2259633228338904</v>
      </c>
      <c r="T121" s="19">
        <f>(P121)*IF(N121&lt;Forudsætninger!$B$228,IF(N121&lt;Forudsætninger!$B$227,Forudsætninger!$B$225,Forudsætninger!$C$9),Forudsætninger!$C$11)+O121</f>
        <v>15.569372911788381</v>
      </c>
      <c r="U121" s="2">
        <f>Forudsætninger!$D$68+((K121-(Forudsætninger!$D$84)))*0.01</f>
        <v>6.2688012121016854</v>
      </c>
      <c r="V121" s="2">
        <f>U121+Forudsætninger!$D$69</f>
        <v>6.2688012121016854</v>
      </c>
      <c r="W121">
        <f t="shared" si="33"/>
        <v>0</v>
      </c>
      <c r="X121">
        <f>IF(A121+Forudsætninger!$D$60&gt;248,IF(A121+Forudsætninger!$D$60&lt;365,IF(K121&gt;180,IF(K121&lt;260,1,0),0),0),0)</f>
        <v>0</v>
      </c>
      <c r="Y121" s="22">
        <f>IF(X121=0,0,IF('Vækstfunktion, kry tyr'!A121&lt;Forudsætninger!$D$66,Forudsætninger!$D$67+(('Vækstfunktion, kry tyr'!A121-Forudsætninger!$D$66)/7)*Forudsætninger!$D$64,Forudsætninger!$D$67))</f>
        <v>0</v>
      </c>
      <c r="Z121" s="19">
        <f t="shared" si="46"/>
        <v>1710.9560864231851</v>
      </c>
      <c r="AA121" s="19">
        <f>Forudsætninger!$D$62+Forudsætninger!$C$16</f>
        <v>2055</v>
      </c>
      <c r="AB121" s="19">
        <f>IF(K121&gt;Forudsætninger!$C$37,IF(K121&gt;Forudsætninger!$C$38,IF(K121&gt;Forudsætninger!$C$39,Forudsætninger!$E$39,Forudsætninger!$E$38+Forudsætninger!$F$39*(K121-Forudsætninger!$C$38)),Forudsætninger!$E$37+Forudsætninger!$F$38*(K121-Forudsætninger!$C$37)),Forudsætninger!$E$37)+IF(K121&gt;Forudsætninger!$C$39,Forudsætninger!$G$39,IF(K121&gt;Forudsætninger!$C$38,Forudsætninger!$G$38+Forudsætninger!$H$39*(K121-Forudsætninger!$C$38),IF(K121&gt;Forudsætninger!$C$37,Forudsætninger!$G$37+Forudsætninger!$H$38*(K121-Forudsætninger!$C$37),Forudsætninger!$G$37)))*(U121-Forudsætninger!$H$37)</f>
        <v>35.226880121210172</v>
      </c>
      <c r="AC121" s="19">
        <f>IF(K121&gt;Forudsætninger!$C$42,IF(K121&gt;Forudsætninger!$C$43,IF(K121&gt;Forudsætninger!$C$44,Forudsætninger!$E$44,Forudsætninger!$E$43+Forudsætninger!$F$44*(K121-Forudsætninger!$C$43)),Forudsætninger!$E$42+Forudsætninger!$F$43*(K121-Forudsætninger!$C$42)),Forudsætninger!$E$42)+IF(K121&gt;Forudsætninger!$C$44,Forudsætninger!$G$44,IF(K121&gt;Forudsætninger!$C$43,Forudsætninger!$G$43+Forudsætninger!$H$44*(K121-Forudsætninger!$C$43),IF(K121&gt;Forudsætninger!$C$42,Forudsætninger!$G$42+Forudsætninger!$H$43*(K121-Forudsætninger!$C$42),Forudsætninger!$G$42)))*(V121-Forudsætninger!$H$42)</f>
        <v>30.217200303025422</v>
      </c>
      <c r="AD121" s="19">
        <f t="shared" si="34"/>
        <v>3412.0976447711587</v>
      </c>
      <c r="AE121" s="19">
        <f t="shared" si="35"/>
        <v>30.217200303025422</v>
      </c>
      <c r="AF121">
        <f>IF(G121&lt;=Forudsætninger!$C$97,Forudsætninger!$C$98,(IF(G121&lt;=Forudsætninger!$D$97,Forudsætninger!$D$98,IF(G121&lt;=Forudsætninger!$E$97,Forudsætninger!$E$98,IF(G121&lt;=Forudsætninger!$F$97,Forudsætninger!$F$98,IF(G121&lt;=Forudsætninger!$G$97,Forudsætninger!$G$98,IF(G121&lt;=Forudsætninger!$H$97,Forudsætninger!$H$98,IF(G121&lt;=Forudsætninger!$I$97,Forudsætninger!$I$98,Forudsætninger!$I$98))))))))</f>
        <v>3.2</v>
      </c>
      <c r="AG121" s="1">
        <f t="shared" si="43"/>
        <v>3.2</v>
      </c>
      <c r="AH121" s="1">
        <f t="shared" si="47"/>
        <v>273.79999999999944</v>
      </c>
      <c r="AI121" s="1">
        <f t="shared" si="36"/>
        <v>2.3008403361344492</v>
      </c>
      <c r="AJ121" s="20">
        <f>+(W121*Forudsætninger!$C$12)</f>
        <v>0</v>
      </c>
      <c r="AK121" s="20">
        <f>Forudsætninger!$C$17</f>
        <v>250</v>
      </c>
      <c r="AL121" s="20">
        <f>IF(A121&lt;92,Forudsætninger!$C$20,Forudsætninger!$C$21)</f>
        <v>1.0566762728146013</v>
      </c>
      <c r="AM121" s="20">
        <f t="shared" si="44"/>
        <v>394.24995931822713</v>
      </c>
      <c r="AN121" s="19">
        <f>IFERROR(AD121+AJ121-AA121-Z121-AK121-AM121-Forudsætninger!$D$75,-99999)</f>
        <v>-1216.0003746712139</v>
      </c>
      <c r="AO121" s="57">
        <f>IFERROR(AN121/(A121+Forudsætninger!$D$74),-99999)</f>
        <v>-10.218490543455578</v>
      </c>
      <c r="AP121" s="19">
        <f>IFERROR(((365/(A121+Forudsætninger!$D$74))*AN121)/(AI121+Forudsætninger!$D$73),-99999)</f>
        <v>-1547.0742680295373</v>
      </c>
      <c r="AQ121" s="18">
        <f t="shared" si="48"/>
        <v>119</v>
      </c>
      <c r="AR121" s="18">
        <f t="shared" si="49"/>
        <v>4410.2060457414127</v>
      </c>
      <c r="AS121" s="50">
        <f t="shared" si="50"/>
        <v>5</v>
      </c>
      <c r="AT121" s="50">
        <f t="shared" si="51"/>
        <v>8.6106087435503014</v>
      </c>
      <c r="AU121" s="50">
        <f t="shared" si="52"/>
        <v>0.15956863802547439</v>
      </c>
      <c r="AV121" s="2">
        <f t="shared" si="53"/>
        <v>29.14058825930465</v>
      </c>
      <c r="AW121" s="16">
        <f t="shared" si="45"/>
        <v>-6.905465675235182</v>
      </c>
      <c r="AZ121" s="16"/>
      <c r="BA121" s="2"/>
    </row>
    <row r="122" spans="1:53" x14ac:dyDescent="0.25">
      <c r="A122">
        <v>120</v>
      </c>
      <c r="B122" s="1">
        <f>ROUND((A122+Forudsætninger!$D$60)/30.4,1)</f>
        <v>5.0999999999999996</v>
      </c>
      <c r="C122" s="1">
        <f>VLOOKUP((A122+Forudsætninger!$D$60),'Model tilvækst, slagteform, fe'!A:C,3,FALSE)</f>
        <v>256.15498432345976</v>
      </c>
      <c r="D122" s="3">
        <f t="shared" si="54"/>
        <v>1851.3887761895944</v>
      </c>
      <c r="E122" s="3">
        <f>(1+Forudsætninger!$D$78)*C122</f>
        <v>215.17018683170619</v>
      </c>
      <c r="F122" s="2">
        <f t="shared" si="55"/>
        <v>3.5186907575144302</v>
      </c>
      <c r="G122" s="1">
        <f t="shared" si="30"/>
        <v>218.68887758922062</v>
      </c>
      <c r="H122" s="3">
        <f t="shared" si="37"/>
        <v>1481.1110209516585</v>
      </c>
      <c r="I122" s="3">
        <f t="shared" si="38"/>
        <v>1222.4073132435051</v>
      </c>
      <c r="J122" s="1">
        <f>VLOOKUP((A122+Forudsætninger!$D$60),'Model tilvækst, slagteform, fe'!G:K,3,FALSE)*(1+Forudsætninger!$D$79)</f>
        <v>52.013599792856006</v>
      </c>
      <c r="K122" s="17">
        <f t="shared" si="31"/>
        <v>113.74795758074598</v>
      </c>
      <c r="L122" s="17">
        <f t="shared" si="39"/>
        <v>828.90450654271319</v>
      </c>
      <c r="M122" s="3">
        <f>((K122-(('Model tilvækst, slagteform, fe'!$I$9/100)*'Model tilvækst, slagteform, fe'!$C$9))*1000/(A122+Forudsætninger!$D$60))</f>
        <v>597.59347158686137</v>
      </c>
      <c r="N122" s="17">
        <f t="shared" si="40"/>
        <v>474.50504057578877</v>
      </c>
      <c r="O122" s="19">
        <f>IF( A122&lt;Forudsætninger!$C$14,(G122/100)*Forudsætninger!$C$13,(Forudsætninger!$C$15/1000)*Forudsætninger!$C$13)</f>
        <v>1.421477704329934</v>
      </c>
      <c r="P122" s="17" cm="1">
        <f t="array" ref="P122">INDEX('Model tilvækst, slagteform, fe'!$O$9:$O$375,MATCH(MIN(ABS('Model tilvækst, slagteform, fe'!$M$9:$M$375-G122)),ABS('Model tilvækst, slagteform, fe'!$M$9:$M$375-G122),0))*(1+Forudsætninger!$D$80)</f>
        <v>6.0701114359279318</v>
      </c>
      <c r="Q122" s="17">
        <f t="shared" si="41"/>
        <v>7.3230527618263599</v>
      </c>
      <c r="R122" s="17">
        <f t="shared" si="42"/>
        <v>6.022532178859489</v>
      </c>
      <c r="S122" s="2">
        <f t="shared" si="32"/>
        <v>3.234771772571376</v>
      </c>
      <c r="T122" s="19">
        <f>(P122)*IF(N122&lt;Forudsætninger!$B$228,IF(N122&lt;Forudsætninger!$B$227,Forudsætninger!$B$225,Forudsætninger!$C$9),Forudsætninger!$C$11)+O122</f>
        <v>15.625538464401293</v>
      </c>
      <c r="U122" s="2">
        <f>Forudsætninger!$D$68+((K122-(Forudsætninger!$D$84)))*0.01</f>
        <v>6.2770902571671119</v>
      </c>
      <c r="V122" s="2">
        <f>U122+Forudsætninger!$D$69</f>
        <v>6.2770902571671119</v>
      </c>
      <c r="W122">
        <f t="shared" si="33"/>
        <v>0</v>
      </c>
      <c r="X122">
        <f>IF(A122+Forudsætninger!$D$60&gt;248,IF(A122+Forudsætninger!$D$60&lt;365,IF(K122&gt;180,IF(K122&lt;260,1,0),0),0),0)</f>
        <v>0</v>
      </c>
      <c r="Y122" s="22">
        <f>IF(X122=0,0,IF('Vækstfunktion, kry tyr'!A122&lt;Forudsætninger!$D$66,Forudsætninger!$D$67+(('Vækstfunktion, kry tyr'!A122-Forudsætninger!$D$66)/7)*Forudsætninger!$D$64,Forudsætninger!$D$67))</f>
        <v>0</v>
      </c>
      <c r="Z122" s="19">
        <f t="shared" si="46"/>
        <v>1726.5816248875863</v>
      </c>
      <c r="AA122" s="19">
        <f>Forudsætninger!$D$62+Forudsætninger!$C$16</f>
        <v>2055</v>
      </c>
      <c r="AB122" s="19">
        <f>IF(K122&gt;Forudsætninger!$C$37,IF(K122&gt;Forudsætninger!$C$38,IF(K122&gt;Forudsætninger!$C$39,Forudsætninger!$E$39,Forudsætninger!$E$38+Forudsætninger!$F$39*(K122-Forudsætninger!$C$38)),Forudsætninger!$E$37+Forudsætninger!$F$38*(K122-Forudsætninger!$C$37)),Forudsætninger!$E$37)+IF(K122&gt;Forudsætninger!$C$39,Forudsætninger!$G$39,IF(K122&gt;Forudsætninger!$C$38,Forudsætninger!$G$38+Forudsætninger!$H$39*(K122-Forudsætninger!$C$38),IF(K122&gt;Forudsætninger!$C$37,Forudsætninger!$G$37+Forudsætninger!$H$38*(K122-Forudsætninger!$C$37),Forudsætninger!$G$37)))*(U122-Forudsætninger!$H$37)</f>
        <v>35.227709025716713</v>
      </c>
      <c r="AC122" s="19">
        <f>IF(K122&gt;Forudsætninger!$C$42,IF(K122&gt;Forudsætninger!$C$43,IF(K122&gt;Forudsætninger!$C$44,Forudsætninger!$E$44,Forudsætninger!$E$43+Forudsætninger!$F$44*(K122-Forudsætninger!$C$43)),Forudsætninger!$E$42+Forudsætninger!$F$43*(K122-Forudsætninger!$C$42)),Forudsætninger!$E$42)+IF(K122&gt;Forudsætninger!$C$44,Forudsætninger!$G$44,IF(K122&gt;Forudsætninger!$C$43,Forudsætninger!$G$43+Forudsætninger!$H$44*(K122-Forudsætninger!$C$43),IF(K122&gt;Forudsætninger!$C$42,Forudsætninger!$G$42+Forudsætninger!$H$43*(K122-Forudsætninger!$C$42),Forudsætninger!$G$42)))*(V122-Forudsætninger!$H$42)</f>
        <v>30.219272564291778</v>
      </c>
      <c r="AD122" s="19">
        <f t="shared" si="34"/>
        <v>3437.380533764062</v>
      </c>
      <c r="AE122" s="19">
        <f t="shared" si="35"/>
        <v>30.219272564291778</v>
      </c>
      <c r="AF122">
        <f>IF(G122&lt;=Forudsætninger!$C$97,Forudsætninger!$C$98,(IF(G122&lt;=Forudsætninger!$D$97,Forudsætninger!$D$98,IF(G122&lt;=Forudsætninger!$E$97,Forudsætninger!$E$98,IF(G122&lt;=Forudsætninger!$F$97,Forudsætninger!$F$98,IF(G122&lt;=Forudsætninger!$G$97,Forudsætninger!$G$98,IF(G122&lt;=Forudsætninger!$H$97,Forudsætninger!$H$98,IF(G122&lt;=Forudsætninger!$I$97,Forudsætninger!$I$98,Forudsætninger!$I$98))))))))</f>
        <v>3.2</v>
      </c>
      <c r="AG122" s="1">
        <f t="shared" si="43"/>
        <v>3.2</v>
      </c>
      <c r="AH122" s="1">
        <f t="shared" si="47"/>
        <v>276.99999999999943</v>
      </c>
      <c r="AI122" s="1">
        <f t="shared" si="36"/>
        <v>2.3083333333333287</v>
      </c>
      <c r="AJ122" s="20">
        <f>+(W122*Forudsætninger!$C$12)</f>
        <v>0</v>
      </c>
      <c r="AK122" s="20">
        <f>Forudsætninger!$C$17</f>
        <v>250</v>
      </c>
      <c r="AL122" s="20">
        <f>IF(A122&lt;92,Forudsætninger!$C$20,Forudsætninger!$C$21)</f>
        <v>1.0566762728146013</v>
      </c>
      <c r="AM122" s="20">
        <f t="shared" si="44"/>
        <v>395.30663559104175</v>
      </c>
      <c r="AN122" s="19">
        <f>IFERROR(AD122+AJ122-AA122-Z122-AK122-AM122-Forudsætninger!$D$75,-99999)</f>
        <v>-1207.3997004155262</v>
      </c>
      <c r="AO122" s="57">
        <f>IFERROR(AN122/(A122+Forudsætninger!$D$74),-99999)</f>
        <v>-10.061664170129385</v>
      </c>
      <c r="AP122" s="19">
        <f>IFERROR(((365/(A122+Forudsætninger!$D$74))*AN122)/(AI122+Forudsætninger!$D$73),-99999)</f>
        <v>-1518.610925746616</v>
      </c>
      <c r="AQ122" s="18">
        <f t="shared" si="48"/>
        <v>120</v>
      </c>
      <c r="AR122" s="18">
        <f t="shared" si="49"/>
        <v>4426.8882604786277</v>
      </c>
      <c r="AS122" s="50">
        <f t="shared" si="50"/>
        <v>5.0999999999999996</v>
      </c>
      <c r="AT122" s="50">
        <f t="shared" si="51"/>
        <v>8.6006742556876361</v>
      </c>
      <c r="AU122" s="50">
        <f t="shared" si="52"/>
        <v>0.15682637332619365</v>
      </c>
      <c r="AV122" s="2">
        <f t="shared" si="53"/>
        <v>28.463342282921303</v>
      </c>
      <c r="AW122" s="16">
        <f t="shared" si="45"/>
        <v>-6.7674422068707036</v>
      </c>
      <c r="AZ122" s="16"/>
      <c r="BA122" s="2"/>
    </row>
    <row r="123" spans="1:53" x14ac:dyDescent="0.25">
      <c r="A123">
        <v>121</v>
      </c>
      <c r="B123" s="1">
        <f>ROUND((A123+Forudsætninger!$D$60)/30.4,1)</f>
        <v>5.0999999999999996</v>
      </c>
      <c r="C123" s="1">
        <f>VLOOKUP((A123+Forudsætninger!$D$60),'Model tilvækst, slagteform, fe'!A:C,3,FALSE)</f>
        <v>258.00722517422258</v>
      </c>
      <c r="D123" s="3">
        <f t="shared" si="54"/>
        <v>1852.2408507628256</v>
      </c>
      <c r="E123" s="3">
        <f>(1+Forudsætninger!$D$78)*C123</f>
        <v>216.72606914634696</v>
      </c>
      <c r="F123" s="2">
        <f t="shared" si="55"/>
        <v>3.4446011234839173</v>
      </c>
      <c r="G123" s="1">
        <f t="shared" si="30"/>
        <v>220.17067026983088</v>
      </c>
      <c r="H123" s="3">
        <f t="shared" si="37"/>
        <v>1481.7926806102548</v>
      </c>
      <c r="I123" s="3">
        <f t="shared" si="38"/>
        <v>1224.5509939655444</v>
      </c>
      <c r="J123" s="1">
        <f>VLOOKUP((A123+Forudsætninger!$D$60),'Model tilvækst, slagteform, fe'!G:K,3,FALSE)*(1+Forudsætninger!$D$79)</f>
        <v>52.040643903490725</v>
      </c>
      <c r="K123" s="17">
        <f t="shared" si="31"/>
        <v>114.5782344950514</v>
      </c>
      <c r="L123" s="17">
        <f t="shared" si="39"/>
        <v>830.27691430542916</v>
      </c>
      <c r="M123" s="3">
        <f>((K123-(('Model tilvækst, slagteform, fe'!$I$9/100)*'Model tilvækst, slagteform, fe'!$C$9))*1000/(A123+Forudsætninger!$D$60))</f>
        <v>599.09465508827145</v>
      </c>
      <c r="N123" s="17">
        <f t="shared" si="40"/>
        <v>480.59471909011313</v>
      </c>
      <c r="O123" s="19">
        <f>IF( A123&lt;Forudsætninger!$C$14,(G123/100)*Forudsætninger!$C$13,(Forudsætninger!$C$15/1000)*Forudsætninger!$C$13)</f>
        <v>1.4311093567539006</v>
      </c>
      <c r="P123" s="17" cm="1">
        <f t="array" ref="P123">INDEX('Model tilvækst, slagteform, fe'!$O$9:$O$375,MATCH(MIN(ABS('Model tilvækst, slagteform, fe'!$M$9:$M$375-G123)),ABS('Model tilvækst, slagteform, fe'!$M$9:$M$375-G123),0))*(1+Forudsætninger!$D$80)</f>
        <v>6.0896785143243495</v>
      </c>
      <c r="Q123" s="17">
        <f t="shared" si="41"/>
        <v>7.3345150387791884</v>
      </c>
      <c r="R123" s="17">
        <f t="shared" si="42"/>
        <v>6.0362137742146693</v>
      </c>
      <c r="S123" s="2">
        <f t="shared" si="32"/>
        <v>3.2435212597399401</v>
      </c>
      <c r="T123" s="19">
        <f>(P123)*IF(N123&lt;Forudsætninger!$B$228,IF(N123&lt;Forudsætninger!$B$227,Forudsætninger!$B$225,Forudsætninger!$C$9),Forudsætninger!$C$11)+O123</f>
        <v>15.680957080272877</v>
      </c>
      <c r="U123" s="2">
        <f>Forudsætninger!$D$68+((K123-(Forudsætninger!$D$84)))*0.01</f>
        <v>6.2853930263101665</v>
      </c>
      <c r="V123" s="2">
        <f>U123+Forudsætninger!$D$69</f>
        <v>6.2853930263101665</v>
      </c>
      <c r="W123">
        <f t="shared" si="33"/>
        <v>0</v>
      </c>
      <c r="X123">
        <f>IF(A123+Forudsætninger!$D$60&gt;248,IF(A123+Forudsætninger!$D$60&lt;365,IF(K123&gt;180,IF(K123&lt;260,1,0),0),0),0)</f>
        <v>0</v>
      </c>
      <c r="Y123" s="22">
        <f>IF(X123=0,0,IF('Vækstfunktion, kry tyr'!A123&lt;Forudsætninger!$D$66,Forudsætninger!$D$67+(('Vækstfunktion, kry tyr'!A123-Forudsætninger!$D$66)/7)*Forudsætninger!$D$64,Forudsætninger!$D$67))</f>
        <v>0</v>
      </c>
      <c r="Z123" s="19">
        <f t="shared" si="46"/>
        <v>1742.2625819678592</v>
      </c>
      <c r="AA123" s="19">
        <f>Forudsætninger!$D$62+Forudsætninger!$C$16</f>
        <v>2055</v>
      </c>
      <c r="AB123" s="19">
        <f>IF(K123&gt;Forudsætninger!$C$37,IF(K123&gt;Forudsætninger!$C$38,IF(K123&gt;Forudsætninger!$C$39,Forudsætninger!$E$39,Forudsætninger!$E$38+Forudsætninger!$F$39*(K123-Forudsætninger!$C$38)),Forudsætninger!$E$37+Forudsætninger!$F$38*(K123-Forudsætninger!$C$37)),Forudsætninger!$E$37)+IF(K123&gt;Forudsætninger!$C$39,Forudsætninger!$G$39,IF(K123&gt;Forudsætninger!$C$38,Forudsætninger!$G$38+Forudsætninger!$H$39*(K123-Forudsætninger!$C$38),IF(K123&gt;Forudsætninger!$C$37,Forudsætninger!$G$37+Forudsætninger!$H$38*(K123-Forudsætninger!$C$37),Forudsætninger!$G$37)))*(U123-Forudsætninger!$H$37)</f>
        <v>35.22853930263102</v>
      </c>
      <c r="AC123" s="19">
        <f>IF(K123&gt;Forudsætninger!$C$42,IF(K123&gt;Forudsætninger!$C$43,IF(K123&gt;Forudsætninger!$C$44,Forudsætninger!$E$44,Forudsætninger!$E$43+Forudsætninger!$F$44*(K123-Forudsætninger!$C$43)),Forudsætninger!$E$42+Forudsætninger!$F$43*(K123-Forudsætninger!$C$42)),Forudsætninger!$E$42)+IF(K123&gt;Forudsætninger!$C$44,Forudsætninger!$G$44,IF(K123&gt;Forudsætninger!$C$43,Forudsætninger!$G$43+Forudsætninger!$H$44*(K123-Forudsætninger!$C$43),IF(K123&gt;Forudsætninger!$C$42,Forudsætninger!$G$42+Forudsætninger!$H$43*(K123-Forudsætninger!$C$42),Forudsætninger!$G$42)))*(V123-Forudsætninger!$H$42)</f>
        <v>30.221348256577539</v>
      </c>
      <c r="AD123" s="19">
        <f t="shared" si="34"/>
        <v>3462.7087272987542</v>
      </c>
      <c r="AE123" s="19">
        <f t="shared" si="35"/>
        <v>30.221348256577539</v>
      </c>
      <c r="AF123">
        <f>IF(G123&lt;=Forudsætninger!$C$97,Forudsætninger!$C$98,(IF(G123&lt;=Forudsætninger!$D$97,Forudsætninger!$D$98,IF(G123&lt;=Forudsætninger!$E$97,Forudsætninger!$E$98,IF(G123&lt;=Forudsætninger!$F$97,Forudsætninger!$F$98,IF(G123&lt;=Forudsætninger!$G$97,Forudsætninger!$G$98,IF(G123&lt;=Forudsætninger!$H$97,Forudsætninger!$H$98,IF(G123&lt;=Forudsætninger!$I$97,Forudsætninger!$I$98,Forudsætninger!$I$98))))))))</f>
        <v>3.2</v>
      </c>
      <c r="AG123" s="1">
        <f t="shared" si="43"/>
        <v>3.2</v>
      </c>
      <c r="AH123" s="1">
        <f t="shared" si="47"/>
        <v>280.19999999999942</v>
      </c>
      <c r="AI123" s="1">
        <f t="shared" si="36"/>
        <v>2.3157024793388383</v>
      </c>
      <c r="AJ123" s="20">
        <f>+(W123*Forudsætninger!$C$12)</f>
        <v>0</v>
      </c>
      <c r="AK123" s="20">
        <f>Forudsætninger!$C$17</f>
        <v>250</v>
      </c>
      <c r="AL123" s="20">
        <f>IF(A123&lt;92,Forudsætninger!$C$20,Forudsætninger!$C$21)</f>
        <v>1.0566762728146013</v>
      </c>
      <c r="AM123" s="20">
        <f t="shared" si="44"/>
        <v>396.36331186385638</v>
      </c>
      <c r="AN123" s="19">
        <f>IFERROR(AD123+AJ123-AA123-Z123-AK123-AM123-Forudsætninger!$D$75,-99999)</f>
        <v>-1198.8091402339217</v>
      </c>
      <c r="AO123" s="57">
        <f>IFERROR(AN123/(A123+Forudsætninger!$D$74),-99999)</f>
        <v>-9.9075135556522458</v>
      </c>
      <c r="AP123" s="19">
        <f>IFERROR(((365/(A123+Forudsætninger!$D$74))*AN123)/(AI123+Forudsætninger!$D$73),-99999)</f>
        <v>-1490.8021402520603</v>
      </c>
      <c r="AQ123" s="18">
        <f t="shared" si="48"/>
        <v>121</v>
      </c>
      <c r="AR123" s="18">
        <f t="shared" si="49"/>
        <v>4443.625893831716</v>
      </c>
      <c r="AS123" s="50">
        <f t="shared" si="50"/>
        <v>5.0999999999999996</v>
      </c>
      <c r="AT123" s="50">
        <f t="shared" si="51"/>
        <v>8.5905601816045873</v>
      </c>
      <c r="AU123" s="50">
        <f t="shared" si="52"/>
        <v>0.15415061447713896</v>
      </c>
      <c r="AV123" s="2">
        <f t="shared" si="53"/>
        <v>27.80878549455565</v>
      </c>
      <c r="AW123" s="16">
        <f t="shared" si="45"/>
        <v>-6.63178370553773</v>
      </c>
      <c r="AZ123" s="16"/>
      <c r="BA123" s="2"/>
    </row>
    <row r="124" spans="1:53" x14ac:dyDescent="0.25">
      <c r="A124">
        <v>122</v>
      </c>
      <c r="B124" s="1">
        <f>ROUND((A124+Forudsætninger!$D$60)/30.4,1)</f>
        <v>5.0999999999999996</v>
      </c>
      <c r="C124" s="1">
        <f>VLOOKUP((A124+Forudsætninger!$D$60),'Model tilvækst, slagteform, fe'!A:C,3,FALSE)</f>
        <v>259.86023531442743</v>
      </c>
      <c r="D124" s="3">
        <f t="shared" si="54"/>
        <v>1853.0101402048444</v>
      </c>
      <c r="E124" s="3">
        <f>(1+Forudsætninger!$D$78)*C124</f>
        <v>218.28259766411904</v>
      </c>
      <c r="F124" s="2">
        <f t="shared" si="55"/>
        <v>3.3704807178757235</v>
      </c>
      <c r="G124" s="1">
        <f t="shared" si="30"/>
        <v>221.65307838199476</v>
      </c>
      <c r="H124" s="3">
        <f t="shared" si="37"/>
        <v>1482.4081121638812</v>
      </c>
      <c r="I124" s="3">
        <f t="shared" si="38"/>
        <v>1226.6645769015965</v>
      </c>
      <c r="J124" s="1">
        <f>VLOOKUP((A124+Forudsætninger!$D$60),'Model tilvækst, slagteform, fe'!G:K,3,FALSE)*(1+Forudsætninger!$D$79)</f>
        <v>52.06778713557992</v>
      </c>
      <c r="K124" s="17">
        <f t="shared" si="31"/>
        <v>115.40985303139715</v>
      </c>
      <c r="L124" s="17">
        <f t="shared" si="39"/>
        <v>831.61853634574356</v>
      </c>
      <c r="M124" s="3">
        <f>((K124-(('Model tilvækst, slagteform, fe'!$I$9/100)*'Model tilvækst, slagteform, fe'!$C$9))*1000/(A124+Forudsætninger!$D$60))</f>
        <v>600.58519278863992</v>
      </c>
      <c r="N124" s="17">
        <f t="shared" si="40"/>
        <v>486.70364744178772</v>
      </c>
      <c r="O124" s="19">
        <f>IF( A124&lt;Forudsætninger!$C$14,(G124/100)*Forudsætninger!$C$13,(Forudsætninger!$C$15/1000)*Forudsætninger!$C$13)</f>
        <v>1.4407450094829661</v>
      </c>
      <c r="P124" s="17" cm="1">
        <f t="array" ref="P124">INDEX('Model tilvækst, slagteform, fe'!$O$9:$O$375,MATCH(MIN(ABS('Model tilvækst, slagteform, fe'!$M$9:$M$375-G124)),ABS('Model tilvækst, slagteform, fe'!$M$9:$M$375-G124),0))*(1+Forudsætninger!$D$80)</f>
        <v>6.108928351674578</v>
      </c>
      <c r="Q124" s="17">
        <f t="shared" si="41"/>
        <v>7.3458299504940383</v>
      </c>
      <c r="R124" s="17">
        <f t="shared" si="42"/>
        <v>6.0497513567199643</v>
      </c>
      <c r="S124" s="2">
        <f t="shared" si="32"/>
        <v>3.2522127356408901</v>
      </c>
      <c r="T124" s="19">
        <f>(P124)*IF(N124&lt;Forudsætninger!$B$228,IF(N124&lt;Forudsætninger!$B$227,Forudsætninger!$B$225,Forudsætninger!$C$9),Forudsætninger!$C$11)+O124</f>
        <v>15.735637352401479</v>
      </c>
      <c r="U124" s="2">
        <f>Forudsætninger!$D$68+((K124-(Forudsætninger!$D$84)))*0.01</f>
        <v>6.2937092116736242</v>
      </c>
      <c r="V124" s="2">
        <f>U124+Forudsætninger!$D$69</f>
        <v>6.2937092116736242</v>
      </c>
      <c r="W124">
        <f t="shared" si="33"/>
        <v>0</v>
      </c>
      <c r="X124">
        <f>IF(A124+Forudsætninger!$D$60&gt;248,IF(A124+Forudsætninger!$D$60&lt;365,IF(K124&gt;180,IF(K124&lt;260,1,0),0),0),0)</f>
        <v>0</v>
      </c>
      <c r="Y124" s="22">
        <f>IF(X124=0,0,IF('Vækstfunktion, kry tyr'!A124&lt;Forudsætninger!$D$66,Forudsætninger!$D$67+(('Vækstfunktion, kry tyr'!A124-Forudsætninger!$D$66)/7)*Forudsætninger!$D$64,Forudsætninger!$D$67))</f>
        <v>0</v>
      </c>
      <c r="Z124" s="19">
        <f t="shared" si="46"/>
        <v>1757.9982193202607</v>
      </c>
      <c r="AA124" s="19">
        <f>Forudsætninger!$D$62+Forudsætninger!$C$16</f>
        <v>2055</v>
      </c>
      <c r="AB124" s="19">
        <f>IF(K124&gt;Forudsætninger!$C$37,IF(K124&gt;Forudsætninger!$C$38,IF(K124&gt;Forudsætninger!$C$39,Forudsætninger!$E$39,Forudsætninger!$E$38+Forudsætninger!$F$39*(K124-Forudsætninger!$C$38)),Forudsætninger!$E$37+Forudsætninger!$F$38*(K124-Forudsætninger!$C$37)),Forudsætninger!$E$37)+IF(K124&gt;Forudsætninger!$C$39,Forudsætninger!$G$39,IF(K124&gt;Forudsætninger!$C$38,Forudsætninger!$G$38+Forudsætninger!$H$39*(K124-Forudsætninger!$C$38),IF(K124&gt;Forudsætninger!$C$37,Forudsætninger!$G$37+Forudsætninger!$H$38*(K124-Forudsætninger!$C$37),Forudsætninger!$G$37)))*(U124-Forudsætninger!$H$37)</f>
        <v>35.229370921167366</v>
      </c>
      <c r="AC124" s="19">
        <f>IF(K124&gt;Forudsætninger!$C$42,IF(K124&gt;Forudsætninger!$C$43,IF(K124&gt;Forudsætninger!$C$44,Forudsætninger!$E$44,Forudsætninger!$E$43+Forudsætninger!$F$44*(K124-Forudsætninger!$C$43)),Forudsætninger!$E$42+Forudsætninger!$F$43*(K124-Forudsætninger!$C$42)),Forudsætninger!$E$42)+IF(K124&gt;Forudsætninger!$C$44,Forudsætninger!$G$44,IF(K124&gt;Forudsætninger!$C$43,Forudsætninger!$G$43+Forudsætninger!$H$44*(K124-Forudsætninger!$C$43),IF(K124&gt;Forudsætninger!$C$42,Forudsætninger!$G$42+Forudsætninger!$H$43*(K124-Forudsætninger!$C$42),Forudsætninger!$G$42)))*(V124-Forudsætninger!$H$42)</f>
        <v>30.223427302918406</v>
      </c>
      <c r="AD124" s="19">
        <f t="shared" si="34"/>
        <v>3488.0813031349289</v>
      </c>
      <c r="AE124" s="19">
        <f t="shared" si="35"/>
        <v>30.223427302918406</v>
      </c>
      <c r="AF124">
        <f>IF(G124&lt;=Forudsætninger!$C$97,Forudsætninger!$C$98,(IF(G124&lt;=Forudsætninger!$D$97,Forudsætninger!$D$98,IF(G124&lt;=Forudsætninger!$E$97,Forudsætninger!$E$98,IF(G124&lt;=Forudsætninger!$F$97,Forudsætninger!$F$98,IF(G124&lt;=Forudsætninger!$G$97,Forudsætninger!$G$98,IF(G124&lt;=Forudsætninger!$H$97,Forudsætninger!$H$98,IF(G124&lt;=Forudsætninger!$I$97,Forudsætninger!$I$98,Forudsætninger!$I$98))))))))</f>
        <v>3.2</v>
      </c>
      <c r="AG124" s="1">
        <f t="shared" si="43"/>
        <v>3.2</v>
      </c>
      <c r="AH124" s="1">
        <f t="shared" si="47"/>
        <v>283.39999999999941</v>
      </c>
      <c r="AI124" s="1">
        <f t="shared" si="36"/>
        <v>2.3229508196721262</v>
      </c>
      <c r="AJ124" s="20">
        <f>+(W124*Forudsætninger!$C$12)</f>
        <v>0</v>
      </c>
      <c r="AK124" s="20">
        <f>Forudsætninger!$C$17</f>
        <v>250</v>
      </c>
      <c r="AL124" s="20">
        <f>IF(A124&lt;92,Forudsætninger!$C$20,Forudsætninger!$C$21)</f>
        <v>1.0566762728146013</v>
      </c>
      <c r="AM124" s="20">
        <f t="shared" si="44"/>
        <v>397.41998813667101</v>
      </c>
      <c r="AN124" s="19">
        <f>IFERROR(AD124+AJ124-AA124-Z124-AK124-AM124-Forudsætninger!$D$75,-99999)</f>
        <v>-1190.228878022963</v>
      </c>
      <c r="AO124" s="57">
        <f>IFERROR(AN124/(A124+Forudsætninger!$D$74),-99999)</f>
        <v>-9.7559744100242867</v>
      </c>
      <c r="AP124" s="19">
        <f>IFERROR(((365/(A124+Forudsætninger!$D$74))*AN124)/(AI124+Forudsætninger!$D$73),-99999)</f>
        <v>-1463.6262397358075</v>
      </c>
      <c r="AQ124" s="18">
        <f t="shared" si="48"/>
        <v>122</v>
      </c>
      <c r="AR124" s="18">
        <f t="shared" si="49"/>
        <v>4460.4182074569317</v>
      </c>
      <c r="AS124" s="50">
        <f t="shared" si="50"/>
        <v>5.0999999999999996</v>
      </c>
      <c r="AT124" s="50">
        <f t="shared" si="51"/>
        <v>8.5802622109586082</v>
      </c>
      <c r="AU124" s="50">
        <f t="shared" si="52"/>
        <v>0.15153914562795912</v>
      </c>
      <c r="AV124" s="2">
        <f t="shared" si="53"/>
        <v>27.175900516252796</v>
      </c>
      <c r="AW124" s="16">
        <f t="shared" si="45"/>
        <v>-6.4984335236581314</v>
      </c>
      <c r="AZ124" s="16"/>
      <c r="BA124" s="2"/>
    </row>
    <row r="125" spans="1:53" x14ac:dyDescent="0.25">
      <c r="A125">
        <v>123</v>
      </c>
      <c r="B125" s="1">
        <f>ROUND((A125+Forudsætninger!$D$60)/30.4,1)</f>
        <v>5.2</v>
      </c>
      <c r="C125" s="1">
        <f>VLOOKUP((A125+Forudsætninger!$D$60),'Model tilvækst, slagteform, fe'!A:C,3,FALSE)</f>
        <v>261.71393257987904</v>
      </c>
      <c r="D125" s="3">
        <f t="shared" si="54"/>
        <v>1853.6972654516148</v>
      </c>
      <c r="E125" s="3">
        <f>(1+Forudsætninger!$D$78)*C125</f>
        <v>219.83970336709839</v>
      </c>
      <c r="F125" s="2">
        <f t="shared" si="55"/>
        <v>3.2963328272576589</v>
      </c>
      <c r="G125" s="1">
        <f t="shared" si="30"/>
        <v>223.13603619435605</v>
      </c>
      <c r="H125" s="3">
        <f>(G125-G124)*1000</f>
        <v>1482.9578123612919</v>
      </c>
      <c r="I125" s="3">
        <f t="shared" si="38"/>
        <v>1228.748261742732</v>
      </c>
      <c r="J125" s="1">
        <f>VLOOKUP((A125+Forudsætninger!$D$60),'Model tilvækst, slagteform, fe'!G:K,3,FALSE)*(1+Forudsætninger!$D$79)</f>
        <v>52.095028908304791</v>
      </c>
      <c r="K125" s="17">
        <f t="shared" si="31"/>
        <v>116.24278256029521</v>
      </c>
      <c r="L125" s="17">
        <f t="shared" si="39"/>
        <v>832.92952889806315</v>
      </c>
      <c r="M125" s="3">
        <f>((K125-(('Model tilvækst, slagteform, fe'!$I$9/100)*'Model tilvækst, slagteform, fe'!$C$9))*1000/(A125+Forudsætninger!$D$60))</f>
        <v>602.06509301863616</v>
      </c>
      <c r="N125" s="17">
        <f t="shared" si="40"/>
        <v>492.85013916977806</v>
      </c>
      <c r="O125" s="19">
        <f>IF( A125&lt;Forudsætninger!$C$14,(G125/100)*Forudsætninger!$C$13,(Forudsætninger!$C$15/1000)*Forudsætninger!$C$13)</f>
        <v>1.4503842352633143</v>
      </c>
      <c r="P125" s="17" cm="1">
        <f t="array" ref="P125">INDEX('Model tilvækst, slagteform, fe'!$O$9:$O$375,MATCH(MIN(ABS('Model tilvækst, slagteform, fe'!$M$9:$M$375-G125)),ABS('Model tilvækst, slagteform, fe'!$M$9:$M$375-G125),0))*(1+Forudsætninger!$D$80)</f>
        <v>6.146491727990341</v>
      </c>
      <c r="Q125" s="17">
        <f t="shared" si="41"/>
        <v>7.3793658583841255</v>
      </c>
      <c r="R125" s="17">
        <f t="shared" si="42"/>
        <v>6.0633762665891471</v>
      </c>
      <c r="S125" s="2">
        <f t="shared" si="32"/>
        <v>3.2609703918394999</v>
      </c>
      <c r="T125" s="19">
        <f>(P125)*IF(N125&lt;Forudsætninger!$B$228,IF(N125&lt;Forudsætninger!$B$227,Forudsætninger!$B$225,Forudsætninger!$C$9),Forudsætninger!$C$11)+O125</f>
        <v>15.833174878760712</v>
      </c>
      <c r="U125" s="2">
        <f>Forudsætninger!$D$68+((K125-(Forudsætninger!$D$84)))*0.01</f>
        <v>6.3020385069626048</v>
      </c>
      <c r="V125" s="2">
        <f>U125+Forudsætninger!$D$69</f>
        <v>6.3020385069626048</v>
      </c>
      <c r="W125">
        <f t="shared" si="33"/>
        <v>0</v>
      </c>
      <c r="X125">
        <f>IF(A125+Forudsætninger!$D$60&gt;248,IF(A125+Forudsætninger!$D$60&lt;365,IF(K125&gt;180,IF(K125&lt;260,1,0),0),0),0)</f>
        <v>0</v>
      </c>
      <c r="Y125" s="22">
        <f>IF(X125=0,0,IF('Vækstfunktion, kry tyr'!A125&lt;Forudsætninger!$D$66,Forudsætninger!$D$67+(('Vækstfunktion, kry tyr'!A125-Forudsætninger!$D$66)/7)*Forudsætninger!$D$64,Forudsætninger!$D$67))</f>
        <v>0</v>
      </c>
      <c r="Z125" s="19">
        <f t="shared" si="46"/>
        <v>1773.8313941990214</v>
      </c>
      <c r="AA125" s="19">
        <f>Forudsætninger!$D$62+Forudsætninger!$C$16</f>
        <v>2055</v>
      </c>
      <c r="AB125" s="19">
        <f>IF(K125&gt;Forudsætninger!$C$37,IF(K125&gt;Forudsætninger!$C$38,IF(K125&gt;Forudsætninger!$C$39,Forudsætninger!$E$39,Forudsætninger!$E$38+Forudsætninger!$F$39*(K125-Forudsætninger!$C$38)),Forudsætninger!$E$37+Forudsætninger!$F$38*(K125-Forudsætninger!$C$37)),Forudsætninger!$E$37)+IF(K125&gt;Forudsætninger!$C$39,Forudsætninger!$G$39,IF(K125&gt;Forudsætninger!$C$38,Forudsætninger!$G$38+Forudsætninger!$H$39*(K125-Forudsætninger!$C$38),IF(K125&gt;Forudsætninger!$C$37,Forudsætninger!$G$37+Forudsætninger!$H$38*(K125-Forudsætninger!$C$37),Forudsætninger!$G$37)))*(U125-Forudsætninger!$H$37)</f>
        <v>35.230203850696263</v>
      </c>
      <c r="AC125" s="19">
        <f>IF(K125&gt;Forudsætninger!$C$42,IF(K125&gt;Forudsætninger!$C$43,IF(K125&gt;Forudsætninger!$C$44,Forudsætninger!$E$44,Forudsætninger!$E$43+Forudsætninger!$F$44*(K125-Forudsætninger!$C$43)),Forudsætninger!$E$42+Forudsætninger!$F$43*(K125-Forudsætninger!$C$42)),Forudsætninger!$E$42)+IF(K125&gt;Forudsætninger!$C$44,Forudsætninger!$G$44,IF(K125&gt;Forudsætninger!$C$43,Forudsætninger!$G$43+Forudsætninger!$H$44*(K125-Forudsætninger!$C$43),IF(K125&gt;Forudsætninger!$C$42,Forudsætninger!$G$42+Forudsætninger!$H$43*(K125-Forudsætninger!$C$42),Forudsætninger!$G$42)))*(V125-Forudsætninger!$H$42)</f>
        <v>30.225509626740649</v>
      </c>
      <c r="AD125" s="19">
        <f t="shared" si="34"/>
        <v>3513.4973433153232</v>
      </c>
      <c r="AE125" s="19">
        <f t="shared" si="35"/>
        <v>30.225509626740653</v>
      </c>
      <c r="AF125">
        <f>IF(G125&lt;=Forudsætninger!$C$97,Forudsætninger!$C$98,(IF(G125&lt;=Forudsætninger!$D$97,Forudsætninger!$D$98,IF(G125&lt;=Forudsætninger!$E$97,Forudsætninger!$E$98,IF(G125&lt;=Forudsætninger!$F$97,Forudsætninger!$F$98,IF(G125&lt;=Forudsætninger!$G$97,Forudsætninger!$G$98,IF(G125&lt;=Forudsætninger!$H$97,Forudsætninger!$H$98,IF(G125&lt;=Forudsætninger!$I$97,Forudsætninger!$I$98,Forudsætninger!$I$98))))))))</f>
        <v>3.2</v>
      </c>
      <c r="AG125" s="1">
        <f t="shared" si="43"/>
        <v>3.2</v>
      </c>
      <c r="AH125" s="1">
        <f t="shared" si="47"/>
        <v>286.5999999999994</v>
      </c>
      <c r="AI125" s="1">
        <f t="shared" si="36"/>
        <v>2.3300813008130032</v>
      </c>
      <c r="AJ125" s="20">
        <f>+(W125*Forudsætninger!$C$12)</f>
        <v>0</v>
      </c>
      <c r="AK125" s="20">
        <f>Forudsætninger!$C$17</f>
        <v>250</v>
      </c>
      <c r="AL125" s="20">
        <f>IF(A125&lt;92,Forudsætninger!$C$20,Forudsætninger!$C$21)</f>
        <v>1.0566762728146013</v>
      </c>
      <c r="AM125" s="20">
        <f t="shared" si="44"/>
        <v>398.47666440948564</v>
      </c>
      <c r="AN125" s="19">
        <f>IFERROR(AD125+AJ125-AA125-Z125-AK125-AM125-Forudsætninger!$D$75,-99999)</f>
        <v>-1181.7026889941442</v>
      </c>
      <c r="AO125" s="57">
        <f>IFERROR(AN125/(A125+Forudsætninger!$D$74),-99999)</f>
        <v>-9.6073389349117413</v>
      </c>
      <c r="AP125" s="19">
        <f>IFERROR(((365/(A125+Forudsætninger!$D$74))*AN125)/(AI125+Forudsætninger!$D$73),-99999)</f>
        <v>-1437.1155215502065</v>
      </c>
      <c r="AQ125" s="18">
        <f t="shared" si="48"/>
        <v>123</v>
      </c>
      <c r="AR125" s="18">
        <f t="shared" si="49"/>
        <v>4477.3080586085071</v>
      </c>
      <c r="AS125" s="50">
        <f t="shared" si="50"/>
        <v>5.2</v>
      </c>
      <c r="AT125" s="50">
        <f t="shared" si="51"/>
        <v>8.5261890288188624</v>
      </c>
      <c r="AU125" s="50">
        <f t="shared" si="52"/>
        <v>0.14863547511254538</v>
      </c>
      <c r="AV125" s="2">
        <f t="shared" si="53"/>
        <v>26.510718185601036</v>
      </c>
      <c r="AW125" s="16">
        <f t="shared" si="45"/>
        <v>-6.3676912567858412</v>
      </c>
      <c r="AZ125" s="16"/>
      <c r="BA125" s="2"/>
    </row>
    <row r="126" spans="1:53" x14ac:dyDescent="0.25">
      <c r="A126">
        <v>124</v>
      </c>
      <c r="B126" s="1">
        <f>ROUND((A126+Forudsætninger!$D$60)/30.4,1)</f>
        <v>5.2</v>
      </c>
      <c r="C126" s="1">
        <f>VLOOKUP((A126+Forudsætninger!$D$60),'Model tilvækst, slagteform, fe'!A:C,3,FALSE)</f>
        <v>263.56823542731934</v>
      </c>
      <c r="D126" s="3">
        <f t="shared" si="54"/>
        <v>1854.3028474402945</v>
      </c>
      <c r="E126" s="3">
        <f>(1+Forudsætninger!$D$78)*C126</f>
        <v>221.39731775894825</v>
      </c>
      <c r="F126" s="2">
        <f t="shared" si="55"/>
        <v>3.2221607133600472</v>
      </c>
      <c r="G126" s="1">
        <f t="shared" si="30"/>
        <v>224.61947847230829</v>
      </c>
      <c r="H126" s="3">
        <f t="shared" si="37"/>
        <v>1483.4422779522356</v>
      </c>
      <c r="I126" s="3">
        <f t="shared" si="38"/>
        <v>1230.8022457444217</v>
      </c>
      <c r="J126" s="1">
        <f>VLOOKUP((A126+Forudsætninger!$D$60),'Model tilvækst, slagteform, fe'!G:K,3,FALSE)*(1+Forudsætninger!$D$79)</f>
        <v>52.122368640846595</v>
      </c>
      <c r="K126" s="17">
        <f t="shared" si="31"/>
        <v>117.07699260848358</v>
      </c>
      <c r="L126" s="17">
        <f t="shared" si="39"/>
        <v>834.21004818836764</v>
      </c>
      <c r="M126" s="3">
        <f>((K126-(('Model tilvækst, slagteform, fe'!$I$9/100)*'Model tilvækst, slagteform, fe'!$C$9))*1000/(A126+Forudsætninger!$D$60))</f>
        <v>603.53436488679904</v>
      </c>
      <c r="N126" s="17">
        <f t="shared" si="40"/>
        <v>499.01495214911085</v>
      </c>
      <c r="O126" s="19">
        <f>IF( A126&lt;Forudsætninger!$C$14,(G126/100)*Forudsætninger!$C$13,(Forudsætninger!$C$15/1000)*Forudsætninger!$C$13)</f>
        <v>1.4600266100700039</v>
      </c>
      <c r="P126" s="17" cm="1">
        <f t="array" ref="P126">INDEX('Model tilvækst, slagteform, fe'!$O$9:$O$375,MATCH(MIN(ABS('Model tilvækst, slagteform, fe'!$M$9:$M$375-G126)),ABS('Model tilvækst, slagteform, fe'!$M$9:$M$375-G126),0))*(1+Forudsætninger!$D$80)</f>
        <v>6.1648129793328206</v>
      </c>
      <c r="Q126" s="17">
        <f t="shared" si="41"/>
        <v>7.3900008669528559</v>
      </c>
      <c r="R126" s="17">
        <f t="shared" si="42"/>
        <v>6.0768531243304995</v>
      </c>
      <c r="S126" s="2">
        <f t="shared" si="32"/>
        <v>3.2696675230721191</v>
      </c>
      <c r="T126" s="19">
        <f>(P126)*IF(N126&lt;Forudsætninger!$B$228,IF(N126&lt;Forudsætninger!$B$227,Forudsætninger!$B$225,Forudsætninger!$C$9),Forudsætninger!$C$11)+O126</f>
        <v>15.885688981708803</v>
      </c>
      <c r="U126" s="2">
        <f>Forudsætninger!$D$68+((K126-(Forudsætninger!$D$84)))*0.01</f>
        <v>6.3103806074444879</v>
      </c>
      <c r="V126" s="2">
        <f>U126+Forudsætninger!$D$69</f>
        <v>6.3103806074444879</v>
      </c>
      <c r="W126">
        <f t="shared" si="33"/>
        <v>0</v>
      </c>
      <c r="X126">
        <f>IF(A126+Forudsætninger!$D$60&gt;248,IF(A126+Forudsætninger!$D$60&lt;365,IF(K126&gt;180,IF(K126&lt;260,1,0),0),0),0)</f>
        <v>0</v>
      </c>
      <c r="Y126" s="22">
        <f>IF(X126=0,0,IF('Vækstfunktion, kry tyr'!A126&lt;Forudsætninger!$D$66,Forudsætninger!$D$67+(('Vækstfunktion, kry tyr'!A126-Forudsætninger!$D$66)/7)*Forudsætninger!$D$64,Forudsætninger!$D$67))</f>
        <v>0</v>
      </c>
      <c r="Z126" s="19">
        <f t="shared" si="46"/>
        <v>1789.7170831807302</v>
      </c>
      <c r="AA126" s="19">
        <f>Forudsætninger!$D$62+Forudsætninger!$C$16</f>
        <v>2055</v>
      </c>
      <c r="AB126" s="19">
        <f>IF(K126&gt;Forudsætninger!$C$37,IF(K126&gt;Forudsætninger!$C$38,IF(K126&gt;Forudsætninger!$C$39,Forudsætninger!$E$39,Forudsætninger!$E$38+Forudsætninger!$F$39*(K126-Forudsætninger!$C$38)),Forudsætninger!$E$37+Forudsætninger!$F$38*(K126-Forudsætninger!$C$37)),Forudsætninger!$E$37)+IF(K126&gt;Forudsætninger!$C$39,Forudsætninger!$G$39,IF(K126&gt;Forudsætninger!$C$38,Forudsætninger!$G$38+Forudsætninger!$H$39*(K126-Forudsætninger!$C$38),IF(K126&gt;Forudsætninger!$C$37,Forudsætninger!$G$37+Forudsætninger!$H$38*(K126-Forudsætninger!$C$37),Forudsætninger!$G$37)))*(U126-Forudsætninger!$H$37)</f>
        <v>35.231038060744446</v>
      </c>
      <c r="AC126" s="19">
        <f>IF(K126&gt;Forudsætninger!$C$42,IF(K126&gt;Forudsætninger!$C$43,IF(K126&gt;Forudsætninger!$C$44,Forudsætninger!$E$44,Forudsætninger!$E$43+Forudsætninger!$F$44*(K126-Forudsætninger!$C$43)),Forudsætninger!$E$42+Forudsætninger!$F$43*(K126-Forudsætninger!$C$42)),Forudsætninger!$E$42)+IF(K126&gt;Forudsætninger!$C$44,Forudsætninger!$G$44,IF(K126&gt;Forudsætninger!$C$43,Forudsætninger!$G$43+Forudsætninger!$H$44*(K126-Forudsætninger!$C$43),IF(K126&gt;Forudsætninger!$C$42,Forudsætninger!$G$42+Forudsætninger!$H$43*(K126-Forudsætninger!$C$42),Forudsætninger!$G$42)))*(V126-Forudsætninger!$H$42)</f>
        <v>30.22759515186112</v>
      </c>
      <c r="AD126" s="19">
        <f t="shared" si="34"/>
        <v>3538.9559341666786</v>
      </c>
      <c r="AE126" s="19">
        <f t="shared" si="35"/>
        <v>30.22759515186112</v>
      </c>
      <c r="AF126">
        <f>IF(G126&lt;=Forudsætninger!$C$97,Forudsætninger!$C$98,(IF(G126&lt;=Forudsætninger!$D$97,Forudsætninger!$D$98,IF(G126&lt;=Forudsætninger!$E$97,Forudsætninger!$E$98,IF(G126&lt;=Forudsætninger!$F$97,Forudsætninger!$F$98,IF(G126&lt;=Forudsætninger!$G$97,Forudsætninger!$G$98,IF(G126&lt;=Forudsætninger!$H$97,Forudsætninger!$H$98,IF(G126&lt;=Forudsætninger!$I$97,Forudsætninger!$I$98,Forudsætninger!$I$98))))))))</f>
        <v>3.2</v>
      </c>
      <c r="AG126" s="1">
        <f t="shared" si="43"/>
        <v>3.2</v>
      </c>
      <c r="AH126" s="1">
        <f t="shared" si="47"/>
        <v>289.79999999999939</v>
      </c>
      <c r="AI126" s="1">
        <f t="shared" si="36"/>
        <v>2.3370967741935433</v>
      </c>
      <c r="AJ126" s="20">
        <f>+(W126*Forudsætninger!$C$12)</f>
        <v>0</v>
      </c>
      <c r="AK126" s="20">
        <f>Forudsætninger!$C$17</f>
        <v>250</v>
      </c>
      <c r="AL126" s="20">
        <f>IF(A126&lt;92,Forudsætninger!$C$20,Forudsætninger!$C$21)</f>
        <v>1.0566762728146013</v>
      </c>
      <c r="AM126" s="20">
        <f t="shared" si="44"/>
        <v>399.53334068230026</v>
      </c>
      <c r="AN126" s="19">
        <f>IFERROR(AD126+AJ126-AA126-Z126-AK126-AM126-Forudsætninger!$D$75,-99999)</f>
        <v>-1173.1864633973121</v>
      </c>
      <c r="AO126" s="57">
        <f>IFERROR(AN126/(A126+Forudsætninger!$D$74),-99999)</f>
        <v>-9.4611811564299355</v>
      </c>
      <c r="AP126" s="19">
        <f>IFERROR(((365/(A126+Forudsætninger!$D$74))*AN126)/(AI126+Forudsætninger!$D$73),-99999)</f>
        <v>-1411.1951593066826</v>
      </c>
      <c r="AQ126" s="18">
        <f t="shared" si="48"/>
        <v>124</v>
      </c>
      <c r="AR126" s="18">
        <f t="shared" si="49"/>
        <v>4494.2504238630308</v>
      </c>
      <c r="AS126" s="50">
        <f t="shared" si="50"/>
        <v>5.2</v>
      </c>
      <c r="AT126" s="50">
        <f t="shared" si="51"/>
        <v>8.5162255968321006</v>
      </c>
      <c r="AU126" s="50">
        <f t="shared" si="52"/>
        <v>0.14615777848180578</v>
      </c>
      <c r="AV126" s="2">
        <f t="shared" si="53"/>
        <v>25.920362243523869</v>
      </c>
      <c r="AW126" s="16">
        <f t="shared" si="45"/>
        <v>-6.2391380864113852</v>
      </c>
      <c r="AZ126" s="16"/>
      <c r="BA126" s="2"/>
    </row>
    <row r="127" spans="1:53" x14ac:dyDescent="0.25">
      <c r="A127">
        <v>125</v>
      </c>
      <c r="B127" s="1">
        <f>ROUND((A127+Forudsætninger!$D$60)/30.4,1)</f>
        <v>5.2</v>
      </c>
      <c r="C127" s="1">
        <f>VLOOKUP((A127+Forudsætninger!$D$60),'Model tilvækst, slagteform, fe'!A:C,3,FALSE)</f>
        <v>265.42306293442675</v>
      </c>
      <c r="D127" s="3">
        <f t="shared" si="54"/>
        <v>1854.8275071074158</v>
      </c>
      <c r="E127" s="3">
        <f>(1+Forudsætninger!$D$78)*C127</f>
        <v>222.95537286491847</v>
      </c>
      <c r="F127" s="2">
        <f t="shared" si="55"/>
        <v>3.1479676130757506</v>
      </c>
      <c r="G127" s="1">
        <f t="shared" si="30"/>
        <v>226.10334047799424</v>
      </c>
      <c r="H127" s="3">
        <f t="shared" si="37"/>
        <v>1483.8620056859497</v>
      </c>
      <c r="I127" s="3">
        <f t="shared" si="38"/>
        <v>1232.8267238239539</v>
      </c>
      <c r="J127" s="1">
        <f>VLOOKUP((A127+Forudsætninger!$D$60),'Model tilvækst, slagteform, fe'!G:K,3,FALSE)*(1+Forudsætninger!$D$79)</f>
        <v>52.149805752386563</v>
      </c>
      <c r="K127" s="17">
        <f t="shared" si="31"/>
        <v>117.9124528589312</v>
      </c>
      <c r="L127" s="17">
        <f t="shared" si="39"/>
        <v>835.46025044762473</v>
      </c>
      <c r="M127" s="3">
        <f>((K127-(('Model tilvækst, slagteform, fe'!$I$9/100)*'Model tilvækst, slagteform, fe'!$C$9))*1000/(A127+Forudsætninger!$D$60))</f>
        <v>604.99301825510611</v>
      </c>
      <c r="N127" s="17">
        <f t="shared" si="40"/>
        <v>505.19778456349383</v>
      </c>
      <c r="O127" s="19">
        <f>IF( A127&lt;Forudsætninger!$C$14,(G127/100)*Forudsætninger!$C$13,(Forudsætninger!$C$15/1000)*Forudsætninger!$C$13)</f>
        <v>1.4696717131069625</v>
      </c>
      <c r="P127" s="17" cm="1">
        <f t="array" ref="P127">INDEX('Model tilvækst, slagteform, fe'!$O$9:$O$375,MATCH(MIN(ABS('Model tilvækst, slagteform, fe'!$M$9:$M$375-G127)),ABS('Model tilvækst, slagteform, fe'!$M$9:$M$375-G127),0))*(1+Forudsætninger!$D$80)</f>
        <v>6.1828324143829931</v>
      </c>
      <c r="Q127" s="17">
        <f t="shared" si="41"/>
        <v>7.4005105701562002</v>
      </c>
      <c r="R127" s="17">
        <f t="shared" si="42"/>
        <v>6.0901843598506158</v>
      </c>
      <c r="S127" s="2">
        <f t="shared" si="32"/>
        <v>3.2783052138680628</v>
      </c>
      <c r="T127" s="19">
        <f>(P127)*IF(N127&lt;Forudsætninger!$B$228,IF(N127&lt;Forudsætninger!$B$227,Forudsætninger!$B$225,Forudsætninger!$C$9),Forudsætninger!$C$11)+O127</f>
        <v>15.937499562763165</v>
      </c>
      <c r="U127" s="2">
        <f>Forudsætninger!$D$68+((K127-(Forudsætninger!$D$84)))*0.01</f>
        <v>6.3187352099489642</v>
      </c>
      <c r="V127" s="2">
        <f>U127+Forudsætninger!$D$69</f>
        <v>6.3187352099489642</v>
      </c>
      <c r="W127">
        <f t="shared" si="33"/>
        <v>0</v>
      </c>
      <c r="X127">
        <f>IF(A127+Forudsætninger!$D$60&gt;248,IF(A127+Forudsætninger!$D$60&lt;365,IF(K127&gt;180,IF(K127&lt;260,1,0),0),0),0)</f>
        <v>0</v>
      </c>
      <c r="Y127" s="22">
        <f>IF(X127=0,0,IF('Vækstfunktion, kry tyr'!A127&lt;Forudsætninger!$D$66,Forudsætninger!$D$67+(('Vækstfunktion, kry tyr'!A127-Forudsætninger!$D$66)/7)*Forudsætninger!$D$64,Forudsætninger!$D$67))</f>
        <v>0</v>
      </c>
      <c r="Z127" s="19">
        <f t="shared" si="46"/>
        <v>1805.6545827434934</v>
      </c>
      <c r="AA127" s="19">
        <f>Forudsætninger!$D$62+Forudsætninger!$C$16</f>
        <v>2055</v>
      </c>
      <c r="AB127" s="19">
        <f>IF(K127&gt;Forudsætninger!$C$37,IF(K127&gt;Forudsætninger!$C$38,IF(K127&gt;Forudsætninger!$C$39,Forudsætninger!$E$39,Forudsætninger!$E$38+Forudsætninger!$F$39*(K127-Forudsætninger!$C$38)),Forudsætninger!$E$37+Forudsætninger!$F$38*(K127-Forudsætninger!$C$37)),Forudsætninger!$E$37)+IF(K127&gt;Forudsætninger!$C$39,Forudsætninger!$G$39,IF(K127&gt;Forudsætninger!$C$38,Forudsætninger!$G$38+Forudsætninger!$H$39*(K127-Forudsætninger!$C$38),IF(K127&gt;Forudsætninger!$C$37,Forudsætninger!$G$37+Forudsætninger!$H$38*(K127-Forudsætninger!$C$37),Forudsætninger!$G$37)))*(U127-Forudsætninger!$H$37)</f>
        <v>35.231873520994895</v>
      </c>
      <c r="AC127" s="19">
        <f>IF(K127&gt;Forudsætninger!$C$42,IF(K127&gt;Forudsætninger!$C$43,IF(K127&gt;Forudsætninger!$C$44,Forudsætninger!$E$44,Forudsætninger!$E$43+Forudsætninger!$F$44*(K127-Forudsætninger!$C$43)),Forudsætninger!$E$42+Forudsætninger!$F$43*(K127-Forudsætninger!$C$42)),Forudsætninger!$E$42)+IF(K127&gt;Forudsætninger!$C$44,Forudsætninger!$G$44,IF(K127&gt;Forudsætninger!$C$43,Forudsætninger!$G$43+Forudsætninger!$H$44*(K127-Forudsætninger!$C$43),IF(K127&gt;Forudsætninger!$C$42,Forudsætninger!$G$42+Forudsætninger!$H$43*(K127-Forudsætninger!$C$42),Forudsætninger!$G$42)))*(V127-Forudsætninger!$H$42)</f>
        <v>30.229683802487241</v>
      </c>
      <c r="AD127" s="19">
        <f t="shared" si="34"/>
        <v>3564.4561663011727</v>
      </c>
      <c r="AE127" s="19">
        <f t="shared" si="35"/>
        <v>30.229683802487241</v>
      </c>
      <c r="AF127">
        <f>IF(G127&lt;=Forudsætninger!$C$97,Forudsætninger!$C$98,(IF(G127&lt;=Forudsætninger!$D$97,Forudsætninger!$D$98,IF(G127&lt;=Forudsætninger!$E$97,Forudsætninger!$E$98,IF(G127&lt;=Forudsætninger!$F$97,Forudsætninger!$F$98,IF(G127&lt;=Forudsætninger!$G$97,Forudsætninger!$G$98,IF(G127&lt;=Forudsætninger!$H$97,Forudsætninger!$H$98,IF(G127&lt;=Forudsætninger!$I$97,Forudsætninger!$I$98,Forudsætninger!$I$98))))))))</f>
        <v>3.2</v>
      </c>
      <c r="AG127" s="1">
        <f t="shared" si="43"/>
        <v>3.2</v>
      </c>
      <c r="AH127" s="1">
        <f t="shared" si="47"/>
        <v>292.99999999999937</v>
      </c>
      <c r="AI127" s="1">
        <f t="shared" si="36"/>
        <v>2.343999999999995</v>
      </c>
      <c r="AJ127" s="20">
        <f>+(W127*Forudsætninger!$C$12)</f>
        <v>0</v>
      </c>
      <c r="AK127" s="20">
        <f>Forudsætninger!$C$17</f>
        <v>250</v>
      </c>
      <c r="AL127" s="20">
        <f>IF(A127&lt;92,Forudsætninger!$C$20,Forudsætninger!$C$21)</f>
        <v>1.0566762728146013</v>
      </c>
      <c r="AM127" s="20">
        <f t="shared" si="44"/>
        <v>400.59001695511489</v>
      </c>
      <c r="AN127" s="19">
        <f>IFERROR(AD127+AJ127-AA127-Z127-AK127-AM127-Forudsætninger!$D$75,-99999)</f>
        <v>-1164.6804070983958</v>
      </c>
      <c r="AO127" s="57">
        <f>IFERROR(AN127/(A127+Forudsætninger!$D$74),-99999)</f>
        <v>-9.3174432567871666</v>
      </c>
      <c r="AP127" s="19">
        <f>IFERROR(((365/(A127+Forudsætninger!$D$74))*AN127)/(AI127+Forudsætninger!$D$73),-99999)</f>
        <v>-1385.846287174948</v>
      </c>
      <c r="AQ127" s="18">
        <f t="shared" si="48"/>
        <v>125</v>
      </c>
      <c r="AR127" s="18">
        <f t="shared" si="49"/>
        <v>4511.244599698608</v>
      </c>
      <c r="AS127" s="50">
        <f t="shared" si="50"/>
        <v>5.2</v>
      </c>
      <c r="AT127" s="50">
        <f t="shared" si="51"/>
        <v>8.5060562989162918</v>
      </c>
      <c r="AU127" s="50">
        <f t="shared" si="52"/>
        <v>0.14373789964276895</v>
      </c>
      <c r="AV127" s="2">
        <f t="shared" si="53"/>
        <v>25.348872131734652</v>
      </c>
      <c r="AW127" s="16">
        <f t="shared" si="45"/>
        <v>-6.1127231211462476</v>
      </c>
      <c r="AZ127" s="16"/>
      <c r="BA127" s="2"/>
    </row>
    <row r="128" spans="1:53" x14ac:dyDescent="0.25">
      <c r="A128">
        <v>126</v>
      </c>
      <c r="B128" s="1">
        <f>ROUND((A128+Forudsætninger!$D$60)/30.4,1)</f>
        <v>5.3</v>
      </c>
      <c r="C128" s="1">
        <f>VLOOKUP((A128+Forudsætninger!$D$60),'Model tilvækst, slagteform, fe'!A:C,3,FALSE)</f>
        <v>267.27833479981598</v>
      </c>
      <c r="D128" s="3">
        <f t="shared" si="54"/>
        <v>1855.2718653892271</v>
      </c>
      <c r="E128" s="3">
        <f>(1+Forudsætninger!$D$78)*C128</f>
        <v>224.51380123184541</v>
      </c>
      <c r="F128" s="2">
        <f t="shared" si="55"/>
        <v>3.0737567384601814</v>
      </c>
      <c r="G128" s="1">
        <f t="shared" si="30"/>
        <v>227.5875579703056</v>
      </c>
      <c r="H128" s="3">
        <f t="shared" si="37"/>
        <v>1484.2174923113589</v>
      </c>
      <c r="I128" s="3">
        <f t="shared" si="38"/>
        <v>1234.8218886532188</v>
      </c>
      <c r="J128" s="1">
        <f>VLOOKUP((A128+Forudsætninger!$D$60),'Model tilvækst, slagteform, fe'!G:K,3,FALSE)*(1+Forudsætninger!$D$79)</f>
        <v>52.177339662105922</v>
      </c>
      <c r="K128" s="17">
        <f t="shared" si="31"/>
        <v>118.74913315085858</v>
      </c>
      <c r="L128" s="17">
        <f t="shared" si="39"/>
        <v>836.68029192737947</v>
      </c>
      <c r="M128" s="3">
        <f>((K128-(('Model tilvækst, slagteform, fe'!$I$9/100)*'Model tilvækst, slagteform, fe'!$C$9))*1000/(A128+Forudsætninger!$D$60))</f>
        <v>606.4410637155579</v>
      </c>
      <c r="N128" s="17">
        <f t="shared" si="40"/>
        <v>511.41576582385414</v>
      </c>
      <c r="O128" s="19">
        <f>IF( A128&lt;Forudsætninger!$C$14,(G128/100)*Forudsætninger!$C$13,(Forudsætninger!$C$15/1000)*Forudsætninger!$C$13)</f>
        <v>1.4793191268069863</v>
      </c>
      <c r="P128" s="17" cm="1">
        <f t="array" ref="P128">INDEX('Model tilvækst, slagteform, fe'!$O$9:$O$375,MATCH(MIN(ABS('Model tilvækst, slagteform, fe'!$M$9:$M$375-G128)),ABS('Model tilvækst, slagteform, fe'!$M$9:$M$375-G128),0))*(1+Forudsætninger!$D$80)</f>
        <v>6.2179812603603004</v>
      </c>
      <c r="Q128" s="17">
        <f t="shared" si="41"/>
        <v>7.4317290849967774</v>
      </c>
      <c r="R128" s="17">
        <f t="shared" si="42"/>
        <v>6.1035803632827825</v>
      </c>
      <c r="S128" s="2">
        <f t="shared" si="32"/>
        <v>3.2869965471240286</v>
      </c>
      <c r="T128" s="19">
        <f>(P128)*IF(N128&lt;Forudsætninger!$B$228,IF(N128&lt;Forudsætninger!$B$227,Forudsætninger!$B$225,Forudsætninger!$C$9),Forudsætninger!$C$11)+O128</f>
        <v>16.029395276050089</v>
      </c>
      <c r="U128" s="2">
        <f>Forudsætninger!$D$68+((K128-(Forudsætninger!$D$84)))*0.01</f>
        <v>6.327102012868238</v>
      </c>
      <c r="V128" s="2">
        <f>U128+Forudsætninger!$D$69</f>
        <v>6.327102012868238</v>
      </c>
      <c r="W128">
        <f t="shared" si="33"/>
        <v>0</v>
      </c>
      <c r="X128">
        <f>IF(A128+Forudsætninger!$D$60&gt;248,IF(A128+Forudsætninger!$D$60&lt;365,IF(K128&gt;180,IF(K128&lt;260,1,0),0),0),0)</f>
        <v>0</v>
      </c>
      <c r="Y128" s="22">
        <f>IF(X128=0,0,IF('Vækstfunktion, kry tyr'!A128&lt;Forudsætninger!$D$66,Forudsætninger!$D$67+(('Vækstfunktion, kry tyr'!A128-Forudsætninger!$D$66)/7)*Forudsætninger!$D$64,Forudsætninger!$D$67))</f>
        <v>0</v>
      </c>
      <c r="Z128" s="19">
        <f t="shared" si="46"/>
        <v>1821.6839780195435</v>
      </c>
      <c r="AA128" s="19">
        <f>Forudsætninger!$D$62+Forudsætninger!$C$16</f>
        <v>2055</v>
      </c>
      <c r="AB128" s="19">
        <f>IF(K128&gt;Forudsætninger!$C$37,IF(K128&gt;Forudsætninger!$C$38,IF(K128&gt;Forudsætninger!$C$39,Forudsætninger!$E$39,Forudsætninger!$E$38+Forudsætninger!$F$39*(K128-Forudsætninger!$C$38)),Forudsætninger!$E$37+Forudsætninger!$F$38*(K128-Forudsætninger!$C$37)),Forudsætninger!$E$37)+IF(K128&gt;Forudsætninger!$C$39,Forudsætninger!$G$39,IF(K128&gt;Forudsætninger!$C$38,Forudsætninger!$G$38+Forudsætninger!$H$39*(K128-Forudsætninger!$C$38),IF(K128&gt;Forudsætninger!$C$37,Forudsætninger!$G$37+Forudsætninger!$H$38*(K128-Forudsætninger!$C$37),Forudsætninger!$G$37)))*(U128-Forudsætninger!$H$37)</f>
        <v>35.232710201286821</v>
      </c>
      <c r="AC128" s="19">
        <f>IF(K128&gt;Forudsætninger!$C$42,IF(K128&gt;Forudsætninger!$C$43,IF(K128&gt;Forudsætninger!$C$44,Forudsætninger!$E$44,Forudsætninger!$E$43+Forudsætninger!$F$44*(K128-Forudsætninger!$C$43)),Forudsætninger!$E$42+Forudsætninger!$F$43*(K128-Forudsætninger!$C$42)),Forudsætninger!$E$42)+IF(K128&gt;Forudsætninger!$C$44,Forudsætninger!$G$44,IF(K128&gt;Forudsætninger!$C$43,Forudsætninger!$G$43+Forudsætninger!$H$44*(K128-Forudsætninger!$C$43),IF(K128&gt;Forudsætninger!$C$42,Forudsætninger!$G$42+Forudsætninger!$H$43*(K128-Forudsætninger!$C$42),Forudsætninger!$G$42)))*(V128-Forudsætninger!$H$42)</f>
        <v>30.231775503217058</v>
      </c>
      <c r="AD128" s="19">
        <f t="shared" si="34"/>
        <v>3589.997134618387</v>
      </c>
      <c r="AE128" s="19">
        <f t="shared" si="35"/>
        <v>30.231775503217058</v>
      </c>
      <c r="AF128">
        <f>IF(G128&lt;=Forudsætninger!$C$97,Forudsætninger!$C$98,(IF(G128&lt;=Forudsætninger!$D$97,Forudsætninger!$D$98,IF(G128&lt;=Forudsætninger!$E$97,Forudsætninger!$E$98,IF(G128&lt;=Forudsætninger!$F$97,Forudsætninger!$F$98,IF(G128&lt;=Forudsætninger!$G$97,Forudsætninger!$G$98,IF(G128&lt;=Forudsætninger!$H$97,Forudsætninger!$H$98,IF(G128&lt;=Forudsætninger!$I$97,Forudsætninger!$I$98,Forudsætninger!$I$98))))))))</f>
        <v>3.2</v>
      </c>
      <c r="AG128" s="1">
        <f t="shared" si="43"/>
        <v>3.2</v>
      </c>
      <c r="AH128" s="1">
        <f t="shared" si="47"/>
        <v>296.19999999999936</v>
      </c>
      <c r="AI128" s="1">
        <f t="shared" si="36"/>
        <v>2.3507936507936456</v>
      </c>
      <c r="AJ128" s="20">
        <f>+(W128*Forudsætninger!$C$12)</f>
        <v>0</v>
      </c>
      <c r="AK128" s="20">
        <f>Forudsætninger!$C$17</f>
        <v>250</v>
      </c>
      <c r="AL128" s="20">
        <f>IF(A128&lt;92,Forudsætninger!$C$20,Forudsætninger!$C$21)</f>
        <v>1.0566762728146013</v>
      </c>
      <c r="AM128" s="20">
        <f t="shared" si="44"/>
        <v>401.64669322792952</v>
      </c>
      <c r="AN128" s="19">
        <f>IFERROR(AD128+AJ128-AA128-Z128-AK128-AM128-Forudsætninger!$D$75,-99999)</f>
        <v>-1156.2255103300463</v>
      </c>
      <c r="AO128" s="57">
        <f>IFERROR(AN128/(A128+Forudsætninger!$D$74),-99999)</f>
        <v>-9.1763929391273518</v>
      </c>
      <c r="AP128" s="19">
        <f>IFERROR(((365/(A128+Forudsætninger!$D$74))*AN128)/(AI128+Forudsætninger!$D$73),-99999)</f>
        <v>-1361.0988559326188</v>
      </c>
      <c r="AQ128" s="18">
        <f t="shared" si="48"/>
        <v>126</v>
      </c>
      <c r="AR128" s="18">
        <f t="shared" si="49"/>
        <v>4528.3306712474732</v>
      </c>
      <c r="AS128" s="50">
        <f t="shared" si="50"/>
        <v>5.3</v>
      </c>
      <c r="AT128" s="50">
        <f t="shared" si="51"/>
        <v>8.4548967683494993</v>
      </c>
      <c r="AU128" s="50">
        <f t="shared" si="52"/>
        <v>0.14105031765981479</v>
      </c>
      <c r="AV128" s="2">
        <f t="shared" si="53"/>
        <v>24.747431242329185</v>
      </c>
      <c r="AW128" s="16">
        <f t="shared" si="45"/>
        <v>-5.98872077065172</v>
      </c>
      <c r="AZ128" s="16"/>
      <c r="BA128" s="2"/>
    </row>
    <row r="129" spans="1:53" x14ac:dyDescent="0.25">
      <c r="A129">
        <v>127</v>
      </c>
      <c r="B129" s="1">
        <f>ROUND((A129+Forudsætninger!$D$60)/30.4,1)</f>
        <v>5.3</v>
      </c>
      <c r="C129" s="1">
        <f>VLOOKUP((A129+Forudsætninger!$D$60),'Model tilvækst, slagteform, fe'!A:C,3,FALSE)</f>
        <v>269.1339713430387</v>
      </c>
      <c r="D129" s="3">
        <f t="shared" si="54"/>
        <v>1855.6365432227153</v>
      </c>
      <c r="E129" s="3">
        <f>(1+Forudsætninger!$D$78)*C129</f>
        <v>226.07253592815249</v>
      </c>
      <c r="F129" s="2">
        <f t="shared" si="55"/>
        <v>2.9995312767312727</v>
      </c>
      <c r="G129" s="1">
        <f t="shared" si="30"/>
        <v>229.07206720488375</v>
      </c>
      <c r="H129" s="3">
        <f t="shared" si="37"/>
        <v>1484.5092345781552</v>
      </c>
      <c r="I129" s="3">
        <f t="shared" si="38"/>
        <v>1236.7879307471162</v>
      </c>
      <c r="J129" s="1">
        <f>VLOOKUP((A129+Forudsætninger!$D$60),'Model tilvækst, slagteform, fe'!G:K,3,FALSE)*(1+Forudsætninger!$D$79)</f>
        <v>52.204969789185903</v>
      </c>
      <c r="K129" s="17">
        <f t="shared" si="31"/>
        <v>119.5870034797732</v>
      </c>
      <c r="L129" s="17">
        <f t="shared" si="39"/>
        <v>837.87032891461877</v>
      </c>
      <c r="M129" s="3">
        <f>((K129-(('Model tilvækst, slagteform, fe'!$I$9/100)*'Model tilvækst, slagteform, fe'!$C$9))*1000/(A129+Forudsætninger!$D$60))</f>
        <v>607.87851256772592</v>
      </c>
      <c r="N129" s="17">
        <f t="shared" si="40"/>
        <v>517.65088420751852</v>
      </c>
      <c r="O129" s="19">
        <f>IF( A129&lt;Forudsætninger!$C$14,(G129/100)*Forudsætninger!$C$13,(Forudsætninger!$C$15/1000)*Forudsætninger!$C$13)</f>
        <v>1.4889684368317444</v>
      </c>
      <c r="P129" s="17" cm="1">
        <f t="array" ref="P129">INDEX('Model tilvækst, slagteform, fe'!$O$9:$O$375,MATCH(MIN(ABS('Model tilvækst, slagteform, fe'!$M$9:$M$375-G129)),ABS('Model tilvækst, slagteform, fe'!$M$9:$M$375-G129),0))*(1+Forudsætninger!$D$80)</f>
        <v>6.2351183836643784</v>
      </c>
      <c r="Q129" s="17">
        <f t="shared" si="41"/>
        <v>7.4416269063273557</v>
      </c>
      <c r="R129" s="17">
        <f t="shared" si="42"/>
        <v>6.1168279672869685</v>
      </c>
      <c r="S129" s="2">
        <f t="shared" si="32"/>
        <v>3.2956266089775097</v>
      </c>
      <c r="T129" s="19">
        <f>(P129)*IF(N129&lt;Forudsætninger!$B$228,IF(N129&lt;Forudsætninger!$B$227,Forudsætninger!$B$225,Forudsætninger!$C$9),Forudsætninger!$C$11)+O129</f>
        <v>16.07914545460639</v>
      </c>
      <c r="U129" s="2">
        <f>Forudsætninger!$D$68+((K129-(Forudsætninger!$D$84)))*0.01</f>
        <v>6.3354807161573845</v>
      </c>
      <c r="V129" s="2">
        <f>U129+Forudsætninger!$D$69</f>
        <v>6.3354807161573845</v>
      </c>
      <c r="W129">
        <f t="shared" si="33"/>
        <v>0</v>
      </c>
      <c r="X129">
        <f>IF(A129+Forudsætninger!$D$60&gt;248,IF(A129+Forudsætninger!$D$60&lt;365,IF(K129&gt;180,IF(K129&lt;260,1,0),0),0),0)</f>
        <v>0</v>
      </c>
      <c r="Y129" s="22">
        <f>IF(X129=0,0,IF('Vækstfunktion, kry tyr'!A129&lt;Forudsætninger!$D$66,Forudsætninger!$D$67+(('Vækstfunktion, kry tyr'!A129-Forudsætninger!$D$66)/7)*Forudsætninger!$D$64,Forudsætninger!$D$67))</f>
        <v>0</v>
      </c>
      <c r="Z129" s="19">
        <f t="shared" si="46"/>
        <v>1837.7631234741498</v>
      </c>
      <c r="AA129" s="19">
        <f>Forudsætninger!$D$62+Forudsætninger!$C$16</f>
        <v>2055</v>
      </c>
      <c r="AB129" s="19">
        <f>IF(K129&gt;Forudsætninger!$C$37,IF(K129&gt;Forudsætninger!$C$38,IF(K129&gt;Forudsætninger!$C$39,Forudsætninger!$E$39,Forudsætninger!$E$38+Forudsætninger!$F$39*(K129-Forudsætninger!$C$38)),Forudsætninger!$E$37+Forudsætninger!$F$38*(K129-Forudsætninger!$C$37)),Forudsætninger!$E$37)+IF(K129&gt;Forudsætninger!$C$39,Forudsætninger!$G$39,IF(K129&gt;Forudsætninger!$C$38,Forudsætninger!$G$38+Forudsætninger!$H$39*(K129-Forudsætninger!$C$38),IF(K129&gt;Forudsætninger!$C$37,Forudsætninger!$G$37+Forudsætninger!$H$38*(K129-Forudsætninger!$C$37),Forudsætninger!$G$37)))*(U129-Forudsætninger!$H$37)</f>
        <v>35.233548071615736</v>
      </c>
      <c r="AC129" s="19">
        <f>IF(K129&gt;Forudsætninger!$C$42,IF(K129&gt;Forudsætninger!$C$43,IF(K129&gt;Forudsætninger!$C$44,Forudsætninger!$E$44,Forudsætninger!$E$43+Forudsætninger!$F$44*(K129-Forudsætninger!$C$43)),Forudsætninger!$E$42+Forudsætninger!$F$43*(K129-Forudsætninger!$C$42)),Forudsætninger!$E$42)+IF(K129&gt;Forudsætninger!$C$44,Forudsætninger!$G$44,IF(K129&gt;Forudsætninger!$C$43,Forudsætninger!$G$43+Forudsætninger!$H$44*(K129-Forudsætninger!$C$43),IF(K129&gt;Forudsætninger!$C$42,Forudsætninger!$G$42+Forudsætninger!$H$43*(K129-Forudsætninger!$C$42),Forudsætninger!$G$42)))*(V129-Forudsætninger!$H$42)</f>
        <v>30.233870179039343</v>
      </c>
      <c r="AD129" s="19">
        <f t="shared" si="34"/>
        <v>3615.5779383077893</v>
      </c>
      <c r="AE129" s="19">
        <f t="shared" si="35"/>
        <v>30.233870179039343</v>
      </c>
      <c r="AF129">
        <f>IF(G129&lt;=Forudsætninger!$C$97,Forudsætninger!$C$98,(IF(G129&lt;=Forudsætninger!$D$97,Forudsætninger!$D$98,IF(G129&lt;=Forudsætninger!$E$97,Forudsætninger!$E$98,IF(G129&lt;=Forudsætninger!$F$97,Forudsætninger!$F$98,IF(G129&lt;=Forudsætninger!$G$97,Forudsætninger!$G$98,IF(G129&lt;=Forudsætninger!$H$97,Forudsætninger!$H$98,IF(G129&lt;=Forudsætninger!$I$97,Forudsætninger!$I$98,Forudsætninger!$I$98))))))))</f>
        <v>3.2</v>
      </c>
      <c r="AG129" s="1">
        <f t="shared" si="43"/>
        <v>3.2</v>
      </c>
      <c r="AH129" s="1">
        <f t="shared" si="47"/>
        <v>299.39999999999935</v>
      </c>
      <c r="AI129" s="1">
        <f t="shared" si="36"/>
        <v>2.3574803149606249</v>
      </c>
      <c r="AJ129" s="20">
        <f>+(W129*Forudsætninger!$C$12)</f>
        <v>0</v>
      </c>
      <c r="AK129" s="20">
        <f>Forudsætninger!$C$17</f>
        <v>250</v>
      </c>
      <c r="AL129" s="20">
        <f>IF(A129&lt;92,Forudsætninger!$C$20,Forudsætninger!$C$21)</f>
        <v>1.0566762728146013</v>
      </c>
      <c r="AM129" s="20">
        <f t="shared" si="44"/>
        <v>402.70336950074415</v>
      </c>
      <c r="AN129" s="19">
        <f>IFERROR(AD129+AJ129-AA129-Z129-AK129-AM129-Forudsætninger!$D$75,-99999)</f>
        <v>-1147.780528368065</v>
      </c>
      <c r="AO129" s="57">
        <f>IFERROR(AN129/(A129+Forudsætninger!$D$74),-99999)</f>
        <v>-9.0376419556540544</v>
      </c>
      <c r="AP129" s="19">
        <f>IFERROR(((365/(A129+Forudsætninger!$D$74))*AN129)/(AI129+Forudsætninger!$D$73),-99999)</f>
        <v>-1336.8857671581343</v>
      </c>
      <c r="AQ129" s="18">
        <f t="shared" si="48"/>
        <v>127</v>
      </c>
      <c r="AR129" s="18">
        <f t="shared" si="49"/>
        <v>4545.4664929748933</v>
      </c>
      <c r="AS129" s="50">
        <f t="shared" si="50"/>
        <v>5.3</v>
      </c>
      <c r="AT129" s="50">
        <f t="shared" si="51"/>
        <v>8.4449819619812843</v>
      </c>
      <c r="AU129" s="50">
        <f t="shared" si="52"/>
        <v>0.1387509834732974</v>
      </c>
      <c r="AV129" s="2">
        <f t="shared" si="53"/>
        <v>24.213088774484504</v>
      </c>
      <c r="AW129" s="16">
        <f t="shared" si="45"/>
        <v>-5.8667492824198488</v>
      </c>
      <c r="AZ129" s="16"/>
      <c r="BA129" s="2"/>
    </row>
    <row r="130" spans="1:53" x14ac:dyDescent="0.25">
      <c r="A130">
        <v>128</v>
      </c>
      <c r="B130" s="1">
        <f>ROUND((A130+Forudsætninger!$D$60)/30.4,1)</f>
        <v>5.3</v>
      </c>
      <c r="C130" s="1">
        <f>VLOOKUP((A130+Forudsætninger!$D$60),'Model tilvækst, slagteform, fe'!A:C,3,FALSE)</f>
        <v>270.98989350458294</v>
      </c>
      <c r="D130" s="3">
        <f t="shared" si="54"/>
        <v>1855.9221615442425</v>
      </c>
      <c r="E130" s="3">
        <f>(1+Forudsætninger!$D$78)*C130</f>
        <v>227.63151054384966</v>
      </c>
      <c r="F130" s="2">
        <f t="shared" si="55"/>
        <v>2.925294390269503</v>
      </c>
      <c r="G130" s="1">
        <f t="shared" si="30"/>
        <v>230.55680493411916</v>
      </c>
      <c r="H130" s="3">
        <f t="shared" si="37"/>
        <v>1484.7377292354054</v>
      </c>
      <c r="I130" s="3">
        <f t="shared" si="38"/>
        <v>1238.725038547806</v>
      </c>
      <c r="J130" s="1">
        <f>VLOOKUP((A130+Forudsætninger!$D$60),'Model tilvækst, slagteform, fe'!G:K,3,FALSE)*(1+Forudsætninger!$D$79)</f>
        <v>52.232695552807748</v>
      </c>
      <c r="K130" s="17">
        <f t="shared" si="31"/>
        <v>120.4260339975193</v>
      </c>
      <c r="L130" s="17">
        <f t="shared" si="39"/>
        <v>839.03051774609594</v>
      </c>
      <c r="M130" s="3">
        <f>((K130-(('Model tilvækst, slagteform, fe'!$I$9/100)*'Model tilvækst, slagteform, fe'!$C$9))*1000/(A130+Forudsætninger!$D$60))</f>
        <v>609.30537679722204</v>
      </c>
      <c r="N130" s="17">
        <f t="shared" si="40"/>
        <v>523.90285332294854</v>
      </c>
      <c r="O130" s="19">
        <f>IF( A130&lt;Forudsætninger!$C$14,(G130/100)*Forudsætninger!$C$13,(Forudsætninger!$C$15/1000)*Forudsætninger!$C$13)</f>
        <v>1.4986192320717746</v>
      </c>
      <c r="P130" s="17" cm="1">
        <f t="array" ref="P130">INDEX('Model tilvækst, slagteform, fe'!$O$9:$O$375,MATCH(MIN(ABS('Model tilvækst, slagteform, fe'!$M$9:$M$375-G130)),ABS('Model tilvækst, slagteform, fe'!$M$9:$M$375-G130),0))*(1+Forudsætninger!$D$80)</f>
        <v>6.2519691154300334</v>
      </c>
      <c r="Q130" s="17">
        <f t="shared" si="41"/>
        <v>7.4514203991349683</v>
      </c>
      <c r="R130" s="17">
        <f t="shared" si="42"/>
        <v>6.1299297728686435</v>
      </c>
      <c r="S130" s="2">
        <f t="shared" si="32"/>
        <v>3.3041965845655872</v>
      </c>
      <c r="T130" s="19">
        <f>(P130)*IF(N130&lt;Forudsætninger!$B$228,IF(N130&lt;Forudsætninger!$B$227,Forudsætninger!$B$225,Forudsætninger!$C$9),Forudsætninger!$C$11)+O130</f>
        <v>16.128226962178051</v>
      </c>
      <c r="U130" s="2">
        <f>Forudsætninger!$D$68+((K130-(Forudsætninger!$D$84)))*0.01</f>
        <v>6.343871021334845</v>
      </c>
      <c r="V130" s="2">
        <f>U130+Forudsætninger!$D$69</f>
        <v>6.343871021334845</v>
      </c>
      <c r="W130">
        <f t="shared" si="33"/>
        <v>0</v>
      </c>
      <c r="X130">
        <f>IF(A130+Forudsætninger!$D$60&gt;248,IF(A130+Forudsætninger!$D$60&lt;365,IF(K130&gt;180,IF(K130&lt;260,1,0),0),0),0)</f>
        <v>0</v>
      </c>
      <c r="Y130" s="22">
        <f>IF(X130=0,0,IF('Vækstfunktion, kry tyr'!A130&lt;Forudsætninger!$D$66,Forudsætninger!$D$67+(('Vækstfunktion, kry tyr'!A130-Forudsætninger!$D$66)/7)*Forudsætninger!$D$64,Forudsætninger!$D$67))</f>
        <v>0</v>
      </c>
      <c r="Z130" s="19">
        <f t="shared" si="46"/>
        <v>1853.8913504363279</v>
      </c>
      <c r="AA130" s="19">
        <f>Forudsætninger!$D$62+Forudsætninger!$C$16</f>
        <v>2055</v>
      </c>
      <c r="AB130" s="19">
        <f>IF(K130&gt;Forudsætninger!$C$37,IF(K130&gt;Forudsætninger!$C$38,IF(K130&gt;Forudsætninger!$C$39,Forudsætninger!$E$39,Forudsætninger!$E$38+Forudsætninger!$F$39*(K130-Forudsætninger!$C$38)),Forudsætninger!$E$37+Forudsætninger!$F$38*(K130-Forudsætninger!$C$37)),Forudsætninger!$E$37)+IF(K130&gt;Forudsætninger!$C$39,Forudsætninger!$G$39,IF(K130&gt;Forudsætninger!$C$38,Forudsætninger!$G$38+Forudsætninger!$H$39*(K130-Forudsætninger!$C$38),IF(K130&gt;Forudsætninger!$C$37,Forudsætninger!$G$37+Forudsætninger!$H$38*(K130-Forudsætninger!$C$37),Forudsætninger!$G$37)))*(U130-Forudsætninger!$H$37)</f>
        <v>35.234387102133482</v>
      </c>
      <c r="AC130" s="19">
        <f>IF(K130&gt;Forudsætninger!$C$42,IF(K130&gt;Forudsætninger!$C$43,IF(K130&gt;Forudsætninger!$C$44,Forudsætninger!$E$44,Forudsætninger!$E$43+Forudsætninger!$F$44*(K130-Forudsætninger!$C$43)),Forudsætninger!$E$42+Forudsætninger!$F$43*(K130-Forudsætninger!$C$42)),Forudsætninger!$E$42)+IF(K130&gt;Forudsætninger!$C$44,Forudsætninger!$G$44,IF(K130&gt;Forudsætninger!$C$43,Forudsætninger!$G$43+Forudsætninger!$H$44*(K130-Forudsætninger!$C$43),IF(K130&gt;Forudsætninger!$C$42,Forudsætninger!$G$42+Forudsætninger!$H$43*(K130-Forudsætninger!$C$42),Forudsætninger!$G$42)))*(V130-Forudsætninger!$H$42)</f>
        <v>30.235967755333711</v>
      </c>
      <c r="AD130" s="19">
        <f t="shared" si="34"/>
        <v>3641.1976808517147</v>
      </c>
      <c r="AE130" s="19">
        <f t="shared" si="35"/>
        <v>30.235967755333711</v>
      </c>
      <c r="AF130">
        <f>IF(G130&lt;=Forudsætninger!$C$97,Forudsætninger!$C$98,(IF(G130&lt;=Forudsætninger!$D$97,Forudsætninger!$D$98,IF(G130&lt;=Forudsætninger!$E$97,Forudsætninger!$E$98,IF(G130&lt;=Forudsætninger!$F$97,Forudsætninger!$F$98,IF(G130&lt;=Forudsætninger!$G$97,Forudsætninger!$G$98,IF(G130&lt;=Forudsætninger!$H$97,Forudsætninger!$H$98,IF(G130&lt;=Forudsætninger!$I$97,Forudsætninger!$I$98,Forudsætninger!$I$98))))))))</f>
        <v>3.2</v>
      </c>
      <c r="AG130" s="1">
        <f t="shared" si="43"/>
        <v>3.2</v>
      </c>
      <c r="AH130" s="1">
        <f t="shared" si="47"/>
        <v>302.59999999999934</v>
      </c>
      <c r="AI130" s="1">
        <f t="shared" si="36"/>
        <v>2.3640624999999948</v>
      </c>
      <c r="AJ130" s="20">
        <f>+(W130*Forudsætninger!$C$12)</f>
        <v>0</v>
      </c>
      <c r="AK130" s="20">
        <f>Forudsætninger!$C$17</f>
        <v>250</v>
      </c>
      <c r="AL130" s="20">
        <f>IF(A130&lt;92,Forudsætninger!$C$20,Forudsætninger!$C$21)</f>
        <v>1.0566762728146013</v>
      </c>
      <c r="AM130" s="20">
        <f t="shared" si="44"/>
        <v>403.76004577355877</v>
      </c>
      <c r="AN130" s="19">
        <f>IFERROR(AD130+AJ130-AA130-Z130-AK130-AM130-Forudsætninger!$D$75,-99999)</f>
        <v>-1139.3456890591322</v>
      </c>
      <c r="AO130" s="57">
        <f>IFERROR(AN130/(A130+Forudsætninger!$D$74),-99999)</f>
        <v>-8.90113819577447</v>
      </c>
      <c r="AP130" s="19">
        <f>IFERROR(((365/(A130+Forudsætninger!$D$74))*AN130)/(AI130+Forudsætninger!$D$73),-99999)</f>
        <v>-1313.1905283143367</v>
      </c>
      <c r="AQ130" s="18">
        <f t="shared" si="48"/>
        <v>128</v>
      </c>
      <c r="AR130" s="18">
        <f t="shared" si="49"/>
        <v>4562.651396209887</v>
      </c>
      <c r="AS130" s="50">
        <f t="shared" si="50"/>
        <v>5.3</v>
      </c>
      <c r="AT130" s="50">
        <f t="shared" si="51"/>
        <v>8.4348393089328511</v>
      </c>
      <c r="AU130" s="50">
        <f t="shared" si="52"/>
        <v>0.13650375987958441</v>
      </c>
      <c r="AV130" s="2">
        <f t="shared" si="53"/>
        <v>23.695238843797597</v>
      </c>
      <c r="AW130" s="16">
        <f t="shared" si="45"/>
        <v>-5.7467628381685421</v>
      </c>
      <c r="AZ130" s="16"/>
      <c r="BA130" s="2"/>
    </row>
    <row r="131" spans="1:53" x14ac:dyDescent="0.25">
      <c r="A131">
        <v>129</v>
      </c>
      <c r="B131" s="1">
        <f>ROUND((A131+Forudsætninger!$D$60)/30.4,1)</f>
        <v>5.4</v>
      </c>
      <c r="C131" s="1">
        <f>VLOOKUP((A131+Forudsætninger!$D$60),'Model tilvækst, slagteform, fe'!A:C,3,FALSE)</f>
        <v>272.84602284587368</v>
      </c>
      <c r="D131" s="3">
        <f t="shared" si="54"/>
        <v>1856.1293412907389</v>
      </c>
      <c r="E131" s="3">
        <f>(1+Forudsætninger!$D$78)*C131</f>
        <v>229.19065919053389</v>
      </c>
      <c r="F131" s="2">
        <f t="shared" si="55"/>
        <v>2.8510492166178736</v>
      </c>
      <c r="G131" s="1">
        <f t="shared" ref="G131:G194" si="56">E131+F131</f>
        <v>232.04170840715176</v>
      </c>
      <c r="H131" s="3">
        <f t="shared" si="37"/>
        <v>1484.9034730326025</v>
      </c>
      <c r="I131" s="3">
        <f t="shared" si="38"/>
        <v>1240.6333985050524</v>
      </c>
      <c r="J131" s="1">
        <f>VLOOKUP((A131+Forudsætninger!$D$60),'Model tilvækst, slagteform, fe'!G:K,3,FALSE)*(1+Forudsætninger!$D$79)</f>
        <v>52.260516372152686</v>
      </c>
      <c r="K131" s="17">
        <f t="shared" ref="K131:K194" si="57">G131*(J131/100)</f>
        <v>121.26619501234235</v>
      </c>
      <c r="L131" s="17">
        <f t="shared" si="39"/>
        <v>840.16101482305316</v>
      </c>
      <c r="M131" s="3">
        <f>((K131-(('Model tilvækst, slagteform, fe'!$I$9/100)*'Model tilvækst, slagteform, fe'!$C$9))*1000/(A131+Forudsætninger!$D$60))</f>
        <v>610.72166905504923</v>
      </c>
      <c r="N131" s="17">
        <f t="shared" si="40"/>
        <v>530.18768015204853</v>
      </c>
      <c r="O131" s="19">
        <f>IF( A131&lt;Forudsætninger!$C$14,(G131/100)*Forudsætninger!$C$13,(Forudsætninger!$C$15/1000)*Forudsætninger!$C$13)</f>
        <v>1.5082711046464865</v>
      </c>
      <c r="P131" s="17" cm="1">
        <f t="array" ref="P131">INDEX('Model tilvækst, slagteform, fe'!$O$9:$O$375,MATCH(MIN(ABS('Model tilvækst, slagteform, fe'!$M$9:$M$375-G131)),ABS('Model tilvækst, slagteform, fe'!$M$9:$M$375-G131),0))*(1+Forudsætninger!$D$80)</f>
        <v>6.2848268290999565</v>
      </c>
      <c r="Q131" s="17">
        <f t="shared" si="41"/>
        <v>7.4805028062669718</v>
      </c>
      <c r="R131" s="17">
        <f t="shared" si="42"/>
        <v>6.143077083754326</v>
      </c>
      <c r="S131" s="2">
        <f t="shared" ref="S131:S194" si="58">N131/(G131-$G$2)</f>
        <v>3.3128094259230996</v>
      </c>
      <c r="T131" s="19">
        <f>(P131)*IF(N131&lt;Forudsætninger!$B$228,IF(N131&lt;Forudsætninger!$B$227,Forudsætninger!$B$225,Forudsætninger!$C$9),Forudsætninger!$C$11)+O131</f>
        <v>16.214765884740384</v>
      </c>
      <c r="U131" s="2">
        <f>Forudsætninger!$D$68+((K131-(Forudsætninger!$D$84)))*0.01</f>
        <v>6.3522726314830757</v>
      </c>
      <c r="V131" s="2">
        <f>U131+Forudsætninger!$D$69</f>
        <v>6.3522726314830757</v>
      </c>
      <c r="W131">
        <f t="shared" ref="W131:W194" si="59">IF(K131&gt;130,1,0)</f>
        <v>0</v>
      </c>
      <c r="X131">
        <f>IF(A131+Forudsætninger!$D$60&gt;248,IF(A131+Forudsætninger!$D$60&lt;365,IF(K131&gt;180,IF(K131&lt;260,1,0),0),0),0)</f>
        <v>0</v>
      </c>
      <c r="Y131" s="22">
        <f>IF(X131=0,0,IF('Vækstfunktion, kry tyr'!A131&lt;Forudsætninger!$D$66,Forudsætninger!$D$67+(('Vækstfunktion, kry tyr'!A131-Forudsætninger!$D$66)/7)*Forudsætninger!$D$64,Forudsætninger!$D$67))</f>
        <v>0</v>
      </c>
      <c r="Z131" s="19">
        <f t="shared" si="46"/>
        <v>1870.1061163210684</v>
      </c>
      <c r="AA131" s="19">
        <f>Forudsætninger!$D$62+Forudsætninger!$C$16</f>
        <v>2055</v>
      </c>
      <c r="AB131" s="19">
        <f>IF(K131&gt;Forudsætninger!$C$37,IF(K131&gt;Forudsætninger!$C$38,IF(K131&gt;Forudsætninger!$C$39,Forudsætninger!$E$39,Forudsætninger!$E$38+Forudsætninger!$F$39*(K131-Forudsætninger!$C$38)),Forudsætninger!$E$37+Forudsætninger!$F$38*(K131-Forudsætninger!$C$37)),Forudsætninger!$E$37)+IF(K131&gt;Forudsætninger!$C$39,Forudsætninger!$G$39,IF(K131&gt;Forudsætninger!$C$38,Forudsætninger!$G$38+Forudsætninger!$H$39*(K131-Forudsætninger!$C$38),IF(K131&gt;Forudsætninger!$C$37,Forudsætninger!$G$37+Forudsætninger!$H$38*(K131-Forudsætninger!$C$37),Forudsætninger!$G$37)))*(U131-Forudsætninger!$H$37)</f>
        <v>35.23522726314831</v>
      </c>
      <c r="AC131" s="19">
        <f>IF(K131&gt;Forudsætninger!$C$42,IF(K131&gt;Forudsætninger!$C$43,IF(K131&gt;Forudsætninger!$C$44,Forudsætninger!$E$44,Forudsætninger!$E$43+Forudsætninger!$F$44*(K131-Forudsætninger!$C$43)),Forudsætninger!$E$42+Forudsætninger!$F$43*(K131-Forudsætninger!$C$42)),Forudsætninger!$E$42)+IF(K131&gt;Forudsætninger!$C$44,Forudsætninger!$G$44,IF(K131&gt;Forudsætninger!$C$43,Forudsætninger!$G$43+Forudsætninger!$H$44*(K131-Forudsætninger!$C$43),IF(K131&gt;Forudsætninger!$C$42,Forudsætninger!$G$42+Forudsætninger!$H$43*(K131-Forudsætninger!$C$42),Forudsætninger!$G$42)))*(V131-Forudsætninger!$H$42)</f>
        <v>30.238068157870767</v>
      </c>
      <c r="AD131" s="19">
        <f t="shared" ref="AD131:AD194" si="60">(K131*(Y131*AB131+((1-Y131)*AC131)))</f>
        <v>3666.855470028856</v>
      </c>
      <c r="AE131" s="19">
        <f t="shared" ref="AE131:AE194" si="61">AD131/K131</f>
        <v>30.238068157870767</v>
      </c>
      <c r="AF131">
        <f>IF(G131&lt;=Forudsætninger!$C$97,Forudsætninger!$C$98,(IF(G131&lt;=Forudsætninger!$D$97,Forudsætninger!$D$98,IF(G131&lt;=Forudsætninger!$E$97,Forudsætninger!$E$98,IF(G131&lt;=Forudsætninger!$F$97,Forudsætninger!$F$98,IF(G131&lt;=Forudsætninger!$G$97,Forudsætninger!$G$98,IF(G131&lt;=Forudsætninger!$H$97,Forudsætninger!$H$98,IF(G131&lt;=Forudsætninger!$I$97,Forudsætninger!$I$98,Forudsætninger!$I$98))))))))</f>
        <v>3.2</v>
      </c>
      <c r="AG131" s="1">
        <f t="shared" si="43"/>
        <v>3.2</v>
      </c>
      <c r="AH131" s="1">
        <f t="shared" si="47"/>
        <v>305.79999999999933</v>
      </c>
      <c r="AI131" s="1">
        <f t="shared" ref="AI131:AI194" si="62">AH131/A131</f>
        <v>2.3705426356589094</v>
      </c>
      <c r="AJ131" s="20">
        <f>+(W131*Forudsætninger!$C$12)</f>
        <v>0</v>
      </c>
      <c r="AK131" s="20">
        <f>Forudsætninger!$C$17</f>
        <v>250</v>
      </c>
      <c r="AL131" s="20">
        <f>IF(A131&lt;92,Forudsætninger!$C$20,Forudsætninger!$C$21)</f>
        <v>1.0566762728146013</v>
      </c>
      <c r="AM131" s="20">
        <f t="shared" si="44"/>
        <v>404.8167220463734</v>
      </c>
      <c r="AN131" s="19">
        <f>IFERROR(AD131+AJ131-AA131-Z131-AK131-AM131-Forudsætninger!$D$75,-99999)</f>
        <v>-1130.9593420395461</v>
      </c>
      <c r="AO131" s="57">
        <f>IFERROR(AN131/(A131+Forudsætninger!$D$74),-99999)</f>
        <v>-8.7671266824771017</v>
      </c>
      <c r="AP131" s="19">
        <f>IFERROR(((365/(A131+Forudsætninger!$D$74))*AN131)/(AI131+Forudsætninger!$D$73),-99999)</f>
        <v>-1290.0408132892755</v>
      </c>
      <c r="AQ131" s="18">
        <f t="shared" si="48"/>
        <v>129</v>
      </c>
      <c r="AR131" s="18">
        <f t="shared" si="49"/>
        <v>4579.9228383674426</v>
      </c>
      <c r="AS131" s="50">
        <f t="shared" si="50"/>
        <v>5.4</v>
      </c>
      <c r="AT131" s="50">
        <f t="shared" si="51"/>
        <v>8.3863470195860828</v>
      </c>
      <c r="AU131" s="50">
        <f t="shared" si="52"/>
        <v>0.13401151329736827</v>
      </c>
      <c r="AV131" s="2">
        <f t="shared" si="53"/>
        <v>23.149715025061141</v>
      </c>
      <c r="AW131" s="16">
        <f t="shared" si="45"/>
        <v>-5.6290125580866102</v>
      </c>
      <c r="AZ131" s="16"/>
      <c r="BA131" s="2"/>
    </row>
    <row r="132" spans="1:53" x14ac:dyDescent="0.25">
      <c r="A132">
        <v>130</v>
      </c>
      <c r="B132" s="1">
        <f>ROUND((A132+Forudsætninger!$D$60)/30.4,1)</f>
        <v>5.4</v>
      </c>
      <c r="C132" s="1">
        <f>VLOOKUP((A132+Forudsætninger!$D$60),'Model tilvækst, slagteform, fe'!A:C,3,FALSE)</f>
        <v>274.70228154927219</v>
      </c>
      <c r="D132" s="3">
        <f t="shared" si="54"/>
        <v>1856.2587033985096</v>
      </c>
      <c r="E132" s="3">
        <f>(1+Forudsætninger!$D$78)*C132</f>
        <v>230.74991650138864</v>
      </c>
      <c r="F132" s="2">
        <f t="shared" si="55"/>
        <v>2.7767988684819334</v>
      </c>
      <c r="G132" s="1">
        <f t="shared" si="56"/>
        <v>233.52671536987057</v>
      </c>
      <c r="H132" s="3">
        <f t="shared" ref="H132:H195" si="63">(G132-G131)*1000</f>
        <v>1485.0069627188134</v>
      </c>
      <c r="I132" s="3">
        <f t="shared" ref="I132:I195" si="64">(G132-$G$2)*1000/A132</f>
        <v>1242.5131951528506</v>
      </c>
      <c r="J132" s="1">
        <f>VLOOKUP((A132+Forudsætninger!$D$60),'Model tilvækst, slagteform, fe'!G:K,3,FALSE)*(1+Forudsætninger!$D$79)</f>
        <v>52.288431666401941</v>
      </c>
      <c r="K132" s="17">
        <f t="shared" si="57"/>
        <v>122.10745698896773</v>
      </c>
      <c r="L132" s="17">
        <f t="shared" ref="L132:L195" si="65">(K132-K131)*1000</f>
        <v>841.2619766253755</v>
      </c>
      <c r="M132" s="3">
        <f>((K132-(('Model tilvækst, slagteform, fe'!$I$9/100)*'Model tilvækst, slagteform, fe'!$C$9))*1000/(A132+Forudsætninger!$D$60))</f>
        <v>612.12740263779517</v>
      </c>
      <c r="N132" s="17">
        <f t="shared" ref="N132:N195" si="66">N131+P132</f>
        <v>536.48852167542975</v>
      </c>
      <c r="O132" s="19">
        <f>IF( A132&lt;Forudsætninger!$C$14,(G132/100)*Forudsætninger!$C$13,(Forudsætninger!$C$15/1000)*Forudsætninger!$C$13)</f>
        <v>1.5179236499041588</v>
      </c>
      <c r="P132" s="17" cm="1">
        <f t="array" ref="P132">INDEX('Model tilvækst, slagteform, fe'!$O$9:$O$375,MATCH(MIN(ABS('Model tilvækst, slagteform, fe'!$M$9:$M$375-G132)),ABS('Model tilvækst, slagteform, fe'!$M$9:$M$375-G132),0))*(1+Forudsætninger!$D$80)</f>
        <v>6.3008415233811688</v>
      </c>
      <c r="Q132" s="17">
        <f t="shared" ref="Q132:Q195" si="67">P132/(L132/1000)</f>
        <v>7.4897495648813956</v>
      </c>
      <c r="R132" s="17">
        <f t="shared" ref="R132:R195" si="68">N132/(K132-$K$2)</f>
        <v>6.1560768890162949</v>
      </c>
      <c r="S132" s="2">
        <f t="shared" si="58"/>
        <v>3.3213609305863496</v>
      </c>
      <c r="T132" s="19">
        <f>(P132)*IF(N132&lt;Forudsætninger!$B$228,IF(N132&lt;Forudsætninger!$B$227,Forudsætninger!$B$225,Forudsætninger!$C$9),Forudsætninger!$C$11)+O132</f>
        <v>16.261892814616093</v>
      </c>
      <c r="U132" s="2">
        <f>Forudsætninger!$D$68+((K132-(Forudsætninger!$D$84)))*0.01</f>
        <v>6.360685251249329</v>
      </c>
      <c r="V132" s="2">
        <f>U132+Forudsætninger!$D$69</f>
        <v>6.360685251249329</v>
      </c>
      <c r="W132">
        <f t="shared" si="59"/>
        <v>0</v>
      </c>
      <c r="X132">
        <f>IF(A132+Forudsætninger!$D$60&gt;248,IF(A132+Forudsætninger!$D$60&lt;365,IF(K132&gt;180,IF(K132&lt;260,1,0),0),0),0)</f>
        <v>0</v>
      </c>
      <c r="Y132" s="22">
        <f>IF(X132=0,0,IF('Vækstfunktion, kry tyr'!A132&lt;Forudsætninger!$D$66,Forudsætninger!$D$67+(('Vækstfunktion, kry tyr'!A132-Forudsætninger!$D$66)/7)*Forudsætninger!$D$64,Forudsætninger!$D$67))</f>
        <v>0</v>
      </c>
      <c r="Z132" s="19">
        <f t="shared" si="46"/>
        <v>1886.3680091356846</v>
      </c>
      <c r="AA132" s="19">
        <f>Forudsætninger!$D$62+Forudsætninger!$C$16</f>
        <v>2055</v>
      </c>
      <c r="AB132" s="19">
        <f>IF(K132&gt;Forudsætninger!$C$37,IF(K132&gt;Forudsætninger!$C$38,IF(K132&gt;Forudsætninger!$C$39,Forudsætninger!$E$39,Forudsætninger!$E$38+Forudsætninger!$F$39*(K132-Forudsætninger!$C$38)),Forudsætninger!$E$37+Forudsætninger!$F$38*(K132-Forudsætninger!$C$37)),Forudsætninger!$E$37)+IF(K132&gt;Forudsætninger!$C$39,Forudsætninger!$G$39,IF(K132&gt;Forudsætninger!$C$38,Forudsætninger!$G$38+Forudsætninger!$H$39*(K132-Forudsætninger!$C$38),IF(K132&gt;Forudsætninger!$C$37,Forudsætninger!$G$37+Forudsætninger!$H$38*(K132-Forudsætninger!$C$37),Forudsætninger!$G$37)))*(U132-Forudsætninger!$H$37)</f>
        <v>35.236068525124935</v>
      </c>
      <c r="AC132" s="19">
        <f>IF(K132&gt;Forudsætninger!$C$42,IF(K132&gt;Forudsætninger!$C$43,IF(K132&gt;Forudsætninger!$C$44,Forudsætninger!$E$44,Forudsætninger!$E$43+Forudsætninger!$F$44*(K132-Forudsætninger!$C$43)),Forudsætninger!$E$42+Forudsætninger!$F$43*(K132-Forudsætninger!$C$42)),Forudsætninger!$E$42)+IF(K132&gt;Forudsætninger!$C$44,Forudsætninger!$G$44,IF(K132&gt;Forudsætninger!$C$43,Forudsætninger!$G$43+Forudsætninger!$H$44*(K132-Forudsætninger!$C$43),IF(K132&gt;Forudsætninger!$C$42,Forudsætninger!$G$42+Forudsætninger!$H$43*(K132-Forudsætninger!$C$42),Forudsætninger!$G$42)))*(V132-Forudsætninger!$H$42)</f>
        <v>30.240171312812329</v>
      </c>
      <c r="AD132" s="19">
        <f t="shared" si="60"/>
        <v>3692.5504179182471</v>
      </c>
      <c r="AE132" s="19">
        <f t="shared" si="61"/>
        <v>30.240171312812329</v>
      </c>
      <c r="AF132">
        <f>IF(G132&lt;=Forudsætninger!$C$97,Forudsætninger!$C$98,(IF(G132&lt;=Forudsætninger!$D$97,Forudsætninger!$D$98,IF(G132&lt;=Forudsætninger!$E$97,Forudsætninger!$E$98,IF(G132&lt;=Forudsætninger!$F$97,Forudsætninger!$F$98,IF(G132&lt;=Forudsætninger!$G$97,Forudsætninger!$G$98,IF(G132&lt;=Forudsætninger!$H$97,Forudsætninger!$H$98,IF(G132&lt;=Forudsætninger!$I$97,Forudsætninger!$I$98,Forudsætninger!$I$98))))))))</f>
        <v>3.2</v>
      </c>
      <c r="AG132" s="1">
        <f t="shared" ref="AG132:AG195" si="69">IF(AF132&lt;=3.2,IF(AF132&lt;=2.2,2.2,3.2),4.4)</f>
        <v>3.2</v>
      </c>
      <c r="AH132" s="1">
        <f t="shared" si="47"/>
        <v>308.99999999999932</v>
      </c>
      <c r="AI132" s="1">
        <f t="shared" si="62"/>
        <v>2.3769230769230716</v>
      </c>
      <c r="AJ132" s="20">
        <f>+(W132*Forudsætninger!$C$12)</f>
        <v>0</v>
      </c>
      <c r="AK132" s="20">
        <f>Forudsætninger!$C$17</f>
        <v>250</v>
      </c>
      <c r="AL132" s="20">
        <f>IF(A132&lt;92,Forudsætninger!$C$20,Forudsætninger!$C$21)</f>
        <v>1.0566762728146013</v>
      </c>
      <c r="AM132" s="20">
        <f t="shared" ref="AM132:AM195" si="70">AL132+AM131</f>
        <v>405.87339831918803</v>
      </c>
      <c r="AN132" s="19">
        <f>IFERROR(AD132+AJ132-AA132-Z132-AK132-AM132-Forudsætninger!$D$75,-99999)</f>
        <v>-1122.5829632375858</v>
      </c>
      <c r="AO132" s="57">
        <f>IFERROR(AN132/(A132+Forudsætninger!$D$74),-99999)</f>
        <v>-8.6352535633660441</v>
      </c>
      <c r="AP132" s="19">
        <f>IFERROR(((365/(A132+Forudsætninger!$D$74))*AN132)/(AI132+Forudsætninger!$D$73),-99999)</f>
        <v>-1267.3763735902248</v>
      </c>
      <c r="AQ132" s="18">
        <f t="shared" si="48"/>
        <v>130</v>
      </c>
      <c r="AR132" s="18">
        <f t="shared" si="49"/>
        <v>4597.2414074548724</v>
      </c>
      <c r="AS132" s="50">
        <f t="shared" si="50"/>
        <v>5.4</v>
      </c>
      <c r="AT132" s="50">
        <f t="shared" si="51"/>
        <v>8.3763788019602998</v>
      </c>
      <c r="AU132" s="50">
        <f t="shared" si="52"/>
        <v>0.13187311911105759</v>
      </c>
      <c r="AV132" s="2">
        <f t="shared" si="53"/>
        <v>22.664439699050718</v>
      </c>
      <c r="AW132" s="16">
        <f t="shared" ref="AW132:AW195" si="71">((AN132+AM132)/A132)</f>
        <v>-5.5131504993722906</v>
      </c>
      <c r="AZ132" s="16"/>
      <c r="BA132" s="2"/>
    </row>
    <row r="133" spans="1:53" x14ac:dyDescent="0.25">
      <c r="A133">
        <v>131</v>
      </c>
      <c r="B133" s="1">
        <f>ROUND((A133+Forudsætninger!$D$60)/30.4,1)</f>
        <v>5.4</v>
      </c>
      <c r="C133" s="1">
        <f>VLOOKUP((A133+Forudsætninger!$D$60),'Model tilvækst, slagteform, fe'!A:C,3,FALSE)</f>
        <v>276.55859241807639</v>
      </c>
      <c r="D133" s="3">
        <f t="shared" si="54"/>
        <v>1856.3108688042007</v>
      </c>
      <c r="E133" s="3">
        <f>(1+Forudsætninger!$D$78)*C133</f>
        <v>232.30921763118417</v>
      </c>
      <c r="F133" s="2">
        <f t="shared" si="55"/>
        <v>2.7025464337297653</v>
      </c>
      <c r="G133" s="1">
        <f t="shared" si="56"/>
        <v>235.01176406491393</v>
      </c>
      <c r="H133" s="3">
        <f t="shared" si="63"/>
        <v>1485.0486950433606</v>
      </c>
      <c r="I133" s="3">
        <f t="shared" si="64"/>
        <v>1244.3646111825492</v>
      </c>
      <c r="J133" s="1">
        <f>VLOOKUP((A133+Forudsætninger!$D$60),'Model tilvækst, slagteform, fe'!G:K,3,FALSE)*(1+Forudsætninger!$D$79)</f>
        <v>52.316440854736769</v>
      </c>
      <c r="K133" s="17">
        <f t="shared" si="57"/>
        <v>122.94979054869421</v>
      </c>
      <c r="L133" s="17">
        <f t="shared" si="65"/>
        <v>842.33355972648383</v>
      </c>
      <c r="M133" s="3">
        <f>((K133-(('Model tilvækst, slagteform, fe'!$I$9/100)*'Model tilvækst, slagteform, fe'!$C$9))*1000/(A133+Forudsætninger!$D$60))</f>
        <v>613.5225914686356</v>
      </c>
      <c r="N133" s="17">
        <f t="shared" si="66"/>
        <v>542.80510692630764</v>
      </c>
      <c r="O133" s="19">
        <f>IF( A133&lt;Forudsætninger!$C$14,(G133/100)*Forudsætninger!$C$13,(Forudsætninger!$C$15/1000)*Forudsætninger!$C$13)</f>
        <v>1.5275764664219407</v>
      </c>
      <c r="P133" s="17" cm="1">
        <f t="array" ref="P133">INDEX('Model tilvækst, slagteform, fe'!$O$9:$O$375,MATCH(MIN(ABS('Model tilvækst, slagteform, fe'!$M$9:$M$375-G133)),ABS('Model tilvækst, slagteform, fe'!$M$9:$M$375-G133),0))*(1+Forudsætninger!$D$80)</f>
        <v>6.316585250877842</v>
      </c>
      <c r="Q133" s="17">
        <f t="shared" si="67"/>
        <v>7.4989120140587957</v>
      </c>
      <c r="R133" s="17">
        <f t="shared" si="68"/>
        <v>6.1689319117338295</v>
      </c>
      <c r="S133" s="2">
        <f t="shared" si="58"/>
        <v>3.3298523578344557</v>
      </c>
      <c r="T133" s="19">
        <f>(P133)*IF(N133&lt;Forudsætninger!$B$228,IF(N133&lt;Forudsætninger!$B$227,Forudsætninger!$B$225,Forudsætninger!$C$9),Forudsætninger!$C$11)+O133</f>
        <v>16.30838595347609</v>
      </c>
      <c r="U133" s="2">
        <f>Forudsætninger!$D$68+((K133-(Forudsætninger!$D$84)))*0.01</f>
        <v>6.3691085868465942</v>
      </c>
      <c r="V133" s="2">
        <f>U133+Forudsætninger!$D$69</f>
        <v>6.3691085868465942</v>
      </c>
      <c r="W133">
        <f t="shared" si="59"/>
        <v>0</v>
      </c>
      <c r="X133">
        <f>IF(A133+Forudsætninger!$D$60&gt;248,IF(A133+Forudsætninger!$D$60&lt;365,IF(K133&gt;180,IF(K133&lt;260,1,0),0),0),0)</f>
        <v>0</v>
      </c>
      <c r="Y133" s="22">
        <f>IF(X133=0,0,IF('Vækstfunktion, kry tyr'!A133&lt;Forudsætninger!$D$66,Forudsætninger!$D$67+(('Vækstfunktion, kry tyr'!A133-Forudsætninger!$D$66)/7)*Forudsætninger!$D$64,Forudsætninger!$D$67))</f>
        <v>0</v>
      </c>
      <c r="Z133" s="19">
        <f t="shared" ref="Z133:Z196" si="72">Z132+T133</f>
        <v>1902.6763950891607</v>
      </c>
      <c r="AA133" s="19">
        <f>Forudsætninger!$D$62+Forudsætninger!$C$16</f>
        <v>2055</v>
      </c>
      <c r="AB133" s="19">
        <f>IF(K133&gt;Forudsætninger!$C$37,IF(K133&gt;Forudsætninger!$C$38,IF(K133&gt;Forudsætninger!$C$39,Forudsætninger!$E$39,Forudsætninger!$E$38+Forudsætninger!$F$39*(K133-Forudsætninger!$C$38)),Forudsætninger!$E$37+Forudsætninger!$F$38*(K133-Forudsætninger!$C$37)),Forudsætninger!$E$37)+IF(K133&gt;Forudsætninger!$C$39,Forudsætninger!$G$39,IF(K133&gt;Forudsætninger!$C$38,Forudsætninger!$G$38+Forudsætninger!$H$39*(K133-Forudsætninger!$C$38),IF(K133&gt;Forudsætninger!$C$37,Forudsætninger!$G$37+Forudsætninger!$H$38*(K133-Forudsætninger!$C$37),Forudsætninger!$G$37)))*(U133-Forudsætninger!$H$37)</f>
        <v>35.236910858684659</v>
      </c>
      <c r="AC133" s="19">
        <f>IF(K133&gt;Forudsætninger!$C$42,IF(K133&gt;Forudsætninger!$C$43,IF(K133&gt;Forudsætninger!$C$44,Forudsætninger!$E$44,Forudsætninger!$E$43+Forudsætninger!$F$44*(K133-Forudsætninger!$C$43)),Forudsætninger!$E$42+Forudsætninger!$F$43*(K133-Forudsætninger!$C$42)),Forudsætninger!$E$42)+IF(K133&gt;Forudsætninger!$C$44,Forudsætninger!$G$44,IF(K133&gt;Forudsætninger!$C$43,Forudsætninger!$G$43+Forudsætninger!$H$44*(K133-Forudsætninger!$C$43),IF(K133&gt;Forudsætninger!$C$42,Forudsætninger!$G$42+Forudsætninger!$H$43*(K133-Forudsætninger!$C$42),Forudsætninger!$G$42)))*(V133-Forudsætninger!$H$42)</f>
        <v>30.242277146711647</v>
      </c>
      <c r="AD133" s="19">
        <f t="shared" si="60"/>
        <v>3718.2816409037587</v>
      </c>
      <c r="AE133" s="19">
        <f t="shared" si="61"/>
        <v>30.242277146711647</v>
      </c>
      <c r="AF133">
        <f>IF(G133&lt;=Forudsætninger!$C$97,Forudsætninger!$C$98,(IF(G133&lt;=Forudsætninger!$D$97,Forudsætninger!$D$98,IF(G133&lt;=Forudsætninger!$E$97,Forudsætninger!$E$98,IF(G133&lt;=Forudsætninger!$F$97,Forudsætninger!$F$98,IF(G133&lt;=Forudsætninger!$G$97,Forudsætninger!$G$98,IF(G133&lt;=Forudsætninger!$H$97,Forudsætninger!$H$98,IF(G133&lt;=Forudsætninger!$I$97,Forudsætninger!$I$98,Forudsætninger!$I$98))))))))</f>
        <v>3.2</v>
      </c>
      <c r="AG133" s="1">
        <f t="shared" si="69"/>
        <v>3.2</v>
      </c>
      <c r="AH133" s="1">
        <f t="shared" ref="AH133:AH196" si="73">AH132+AG133</f>
        <v>312.19999999999931</v>
      </c>
      <c r="AI133" s="1">
        <f t="shared" si="62"/>
        <v>2.3832061068702237</v>
      </c>
      <c r="AJ133" s="20">
        <f>+(W133*Forudsætninger!$C$12)</f>
        <v>0</v>
      </c>
      <c r="AK133" s="20">
        <f>Forudsætninger!$C$17</f>
        <v>250</v>
      </c>
      <c r="AL133" s="20">
        <f>IF(A133&lt;92,Forudsætninger!$C$20,Forudsætninger!$C$21)</f>
        <v>1.0566762728146013</v>
      </c>
      <c r="AM133" s="20">
        <f t="shared" si="70"/>
        <v>406.93007459200265</v>
      </c>
      <c r="AN133" s="19">
        <f>IFERROR(AD133+AJ133-AA133-Z133-AK133-AM133-Forudsætninger!$D$75,-99999)</f>
        <v>-1114.216802478365</v>
      </c>
      <c r="AO133" s="57">
        <f>IFERROR(AN133/(A133+Forudsætninger!$D$74),-99999)</f>
        <v>-8.5054717746440076</v>
      </c>
      <c r="AP133" s="19">
        <f>IFERROR(((365/(A133+Forudsætninger!$D$74))*AN133)/(AI133+Forudsætninger!$D$73),-99999)</f>
        <v>-1245.1827344680325</v>
      </c>
      <c r="AQ133" s="18">
        <f t="shared" ref="AQ133:AQ196" si="74">A133</f>
        <v>131</v>
      </c>
      <c r="AR133" s="18">
        <f t="shared" ref="AR133:AR196" si="75">AA133+Z133+AK133+AM133</f>
        <v>4614.6064696811636</v>
      </c>
      <c r="AS133" s="50">
        <f t="shared" ref="AS133:AS196" si="76">B133</f>
        <v>5.4</v>
      </c>
      <c r="AT133" s="50">
        <f t="shared" ref="AT133:AT196" si="77">AN133-AN132</f>
        <v>8.3661607592207474</v>
      </c>
      <c r="AU133" s="50">
        <f t="shared" ref="AU133:AU196" si="78">AO133-AO132</f>
        <v>0.1297817887220365</v>
      </c>
      <c r="AV133" s="2">
        <f t="shared" ref="AV133:AV196" si="79">AP133-AP132</f>
        <v>22.19363912219228</v>
      </c>
      <c r="AW133" s="16">
        <f t="shared" si="71"/>
        <v>-5.3991353273768112</v>
      </c>
      <c r="AZ133" s="16"/>
      <c r="BA133" s="2"/>
    </row>
    <row r="134" spans="1:53" x14ac:dyDescent="0.25">
      <c r="A134">
        <v>132</v>
      </c>
      <c r="B134" s="1">
        <f>ROUND((A134+Forudsætninger!$D$60)/30.4,1)</f>
        <v>5.5</v>
      </c>
      <c r="C134" s="1">
        <f>VLOOKUP((A134+Forudsætninger!$D$60),'Model tilvækst, slagteform, fe'!A:C,3,FALSE)</f>
        <v>278.41487887652102</v>
      </c>
      <c r="D134" s="3">
        <f t="shared" ref="D134:D197" si="80">(C134-C133)*1000</f>
        <v>1856.2864584446288</v>
      </c>
      <c r="E134" s="3">
        <f>(1+Forudsætninger!$D$78)*C134</f>
        <v>233.86849825627763</v>
      </c>
      <c r="F134" s="2">
        <f t="shared" si="55"/>
        <v>2.62829497539198</v>
      </c>
      <c r="G134" s="1">
        <f t="shared" si="56"/>
        <v>236.49679323166961</v>
      </c>
      <c r="H134" s="3">
        <f t="shared" si="63"/>
        <v>1485.0291667556803</v>
      </c>
      <c r="I134" s="3">
        <f t="shared" si="64"/>
        <v>1246.1878275126485</v>
      </c>
      <c r="J134" s="1">
        <f>VLOOKUP((A134+Forudsætninger!$D$60),'Model tilvækst, slagteform, fe'!G:K,3,FALSE)*(1+Forudsætninger!$D$79)</f>
        <v>52.344543356338384</v>
      </c>
      <c r="K134" s="17">
        <f t="shared" si="57"/>
        <v>123.79316646950123</v>
      </c>
      <c r="L134" s="17">
        <f t="shared" si="65"/>
        <v>843.37592080701995</v>
      </c>
      <c r="M134" s="3">
        <f>((K134-(('Model tilvækst, slagteform, fe'!$I$9/100)*'Model tilvækst, slagteform, fe'!$C$9))*1000/(A134+Forudsætninger!$D$60))</f>
        <v>614.90725007910783</v>
      </c>
      <c r="N134" s="17">
        <f t="shared" si="66"/>
        <v>549.13716879408605</v>
      </c>
      <c r="O134" s="19">
        <f>IF( A134&lt;Forudsætninger!$C$14,(G134/100)*Forudsætninger!$C$13,(Forudsætninger!$C$15/1000)*Forudsætninger!$C$13)</f>
        <v>1.5372291560058526</v>
      </c>
      <c r="P134" s="17" cm="1">
        <f t="array" ref="P134">INDEX('Model tilvækst, slagteform, fe'!$O$9:$O$375,MATCH(MIN(ABS('Model tilvækst, slagteform, fe'!$M$9:$M$375-G134)),ABS('Model tilvækst, slagteform, fe'!$M$9:$M$375-G134),0))*(1+Forudsætninger!$D$80)</f>
        <v>6.3320618677784468</v>
      </c>
      <c r="Q134" s="17">
        <f t="shared" si="67"/>
        <v>7.5079946101844426</v>
      </c>
      <c r="R134" s="17">
        <f t="shared" si="68"/>
        <v>6.1816448318574082</v>
      </c>
      <c r="S134" s="2">
        <f t="shared" si="58"/>
        <v>3.3382849477236123</v>
      </c>
      <c r="T134" s="19">
        <f>(P134)*IF(N134&lt;Forudsætninger!$B$228,IF(N134&lt;Forudsætninger!$B$227,Forudsætninger!$B$225,Forudsætninger!$C$9),Forudsætninger!$C$11)+O134</f>
        <v>16.354253926607417</v>
      </c>
      <c r="U134" s="2">
        <f>Forudsætninger!$D$68+((K134-(Forudsætninger!$D$84)))*0.01</f>
        <v>6.3775423460546641</v>
      </c>
      <c r="V134" s="2">
        <f>U134+Forudsætninger!$D$69</f>
        <v>6.3775423460546641</v>
      </c>
      <c r="W134">
        <f t="shared" si="59"/>
        <v>0</v>
      </c>
      <c r="X134">
        <f>IF(A134+Forudsætninger!$D$60&gt;248,IF(A134+Forudsætninger!$D$60&lt;365,IF(K134&gt;180,IF(K134&lt;260,1,0),0),0),0)</f>
        <v>0</v>
      </c>
      <c r="Y134" s="22">
        <f>IF(X134=0,0,IF('Vækstfunktion, kry tyr'!A134&lt;Forudsætninger!$D$66,Forudsætninger!$D$67+(('Vækstfunktion, kry tyr'!A134-Forudsætninger!$D$66)/7)*Forudsætninger!$D$64,Forudsætninger!$D$67))</f>
        <v>0</v>
      </c>
      <c r="Z134" s="19">
        <f t="shared" si="72"/>
        <v>1919.0306490157682</v>
      </c>
      <c r="AA134" s="19">
        <f>Forudsætninger!$D$62+Forudsætninger!$C$16</f>
        <v>2055</v>
      </c>
      <c r="AB134" s="19">
        <f>IF(K134&gt;Forudsætninger!$C$37,IF(K134&gt;Forudsætninger!$C$38,IF(K134&gt;Forudsætninger!$C$39,Forudsætninger!$E$39,Forudsætninger!$E$38+Forudsætninger!$F$39*(K134-Forudsætninger!$C$38)),Forudsætninger!$E$37+Forudsætninger!$F$38*(K134-Forudsætninger!$C$37)),Forudsætninger!$E$37)+IF(K134&gt;Forudsætninger!$C$39,Forudsætninger!$G$39,IF(K134&gt;Forudsætninger!$C$38,Forudsætninger!$G$38+Forudsætninger!$H$39*(K134-Forudsætninger!$C$38),IF(K134&gt;Forudsætninger!$C$37,Forudsætninger!$G$37+Forudsætninger!$H$38*(K134-Forudsætninger!$C$37),Forudsætninger!$G$37)))*(U134-Forudsætninger!$H$37)</f>
        <v>35.237754234605468</v>
      </c>
      <c r="AC134" s="19">
        <f>IF(K134&gt;Forudsætninger!$C$42,IF(K134&gt;Forudsætninger!$C$43,IF(K134&gt;Forudsætninger!$C$44,Forudsætninger!$E$44,Forudsætninger!$E$43+Forudsætninger!$F$44*(K134-Forudsætninger!$C$43)),Forudsætninger!$E$42+Forudsætninger!$F$43*(K134-Forudsætninger!$C$42)),Forudsætninger!$E$42)+IF(K134&gt;Forudsætninger!$C$44,Forudsætninger!$G$44,IF(K134&gt;Forudsætninger!$C$43,Forudsætninger!$G$43+Forudsætninger!$H$44*(K134-Forudsætninger!$C$43),IF(K134&gt;Forudsætninger!$C$42,Forudsætninger!$G$42+Forudsætninger!$H$43*(K134-Forudsætninger!$C$42),Forudsætninger!$G$42)))*(V134-Forudsætninger!$H$42)</f>
        <v>30.244385586513665</v>
      </c>
      <c r="AD134" s="19">
        <f t="shared" si="60"/>
        <v>3744.0482596790698</v>
      </c>
      <c r="AE134" s="19">
        <f t="shared" si="61"/>
        <v>30.244385586513665</v>
      </c>
      <c r="AF134">
        <f>IF(G134&lt;=Forudsætninger!$C$97,Forudsætninger!$C$98,(IF(G134&lt;=Forudsætninger!$D$97,Forudsætninger!$D$98,IF(G134&lt;=Forudsætninger!$E$97,Forudsætninger!$E$98,IF(G134&lt;=Forudsætninger!$F$97,Forudsætninger!$F$98,IF(G134&lt;=Forudsætninger!$G$97,Forudsætninger!$G$98,IF(G134&lt;=Forudsætninger!$H$97,Forudsætninger!$H$98,IF(G134&lt;=Forudsætninger!$I$97,Forudsætninger!$I$98,Forudsætninger!$I$98))))))))</f>
        <v>3.2</v>
      </c>
      <c r="AG134" s="1">
        <f t="shared" si="69"/>
        <v>3.2</v>
      </c>
      <c r="AH134" s="1">
        <f t="shared" si="73"/>
        <v>315.3999999999993</v>
      </c>
      <c r="AI134" s="1">
        <f t="shared" si="62"/>
        <v>2.3893939393939339</v>
      </c>
      <c r="AJ134" s="20">
        <f>+(W134*Forudsætninger!$C$12)</f>
        <v>0</v>
      </c>
      <c r="AK134" s="20">
        <f>Forudsætninger!$C$17</f>
        <v>250</v>
      </c>
      <c r="AL134" s="20">
        <f>IF(A134&lt;92,Forudsætninger!$C$20,Forudsætninger!$C$21)</f>
        <v>1.0566762728146013</v>
      </c>
      <c r="AM134" s="20">
        <f t="shared" si="70"/>
        <v>407.98675086481728</v>
      </c>
      <c r="AN134" s="19">
        <f>IFERROR(AD134+AJ134-AA134-Z134-AK134-AM134-Forudsætninger!$D$75,-99999)</f>
        <v>-1105.8611139024758</v>
      </c>
      <c r="AO134" s="57">
        <f>IFERROR(AN134/(A134+Forudsætninger!$D$74),-99999)</f>
        <v>-8.3777357113823925</v>
      </c>
      <c r="AP134" s="19">
        <f>IFERROR(((365/(A134+Forudsætninger!$D$74))*AN134)/(AI134+Forudsætninger!$D$73),-99999)</f>
        <v>-1223.4460068331855</v>
      </c>
      <c r="AQ134" s="18">
        <f t="shared" si="74"/>
        <v>132</v>
      </c>
      <c r="AR134" s="18">
        <f t="shared" si="75"/>
        <v>4632.0173998805858</v>
      </c>
      <c r="AS134" s="50">
        <f t="shared" si="76"/>
        <v>5.5</v>
      </c>
      <c r="AT134" s="50">
        <f t="shared" si="77"/>
        <v>8.3556885758891895</v>
      </c>
      <c r="AU134" s="50">
        <f t="shared" si="78"/>
        <v>0.12773606326161513</v>
      </c>
      <c r="AV134" s="2">
        <f t="shared" si="79"/>
        <v>21.736727634847057</v>
      </c>
      <c r="AW134" s="16">
        <f t="shared" si="71"/>
        <v>-5.2869269927095344</v>
      </c>
      <c r="AZ134" s="16"/>
      <c r="BA134" s="2"/>
    </row>
    <row r="135" spans="1:53" x14ac:dyDescent="0.25">
      <c r="A135">
        <v>133</v>
      </c>
      <c r="B135" s="1">
        <f>ROUND((A135+Forudsætninger!$D$60)/30.4,1)</f>
        <v>5.5</v>
      </c>
      <c r="C135" s="1">
        <f>VLOOKUP((A135+Forudsætninger!$D$60),'Model tilvækst, slagteform, fe'!A:C,3,FALSE)</f>
        <v>280.2710649697774</v>
      </c>
      <c r="D135" s="3">
        <f t="shared" si="80"/>
        <v>1856.1860932563832</v>
      </c>
      <c r="E135" s="3">
        <f>(1+Forudsætninger!$D$78)*C135</f>
        <v>235.42769457461301</v>
      </c>
      <c r="F135" s="2">
        <f t="shared" si="55"/>
        <v>2.5540475316617246</v>
      </c>
      <c r="G135" s="1">
        <f t="shared" si="56"/>
        <v>237.98174210627474</v>
      </c>
      <c r="H135" s="3">
        <f t="shared" si="63"/>
        <v>1484.9488746051236</v>
      </c>
      <c r="I135" s="3">
        <f t="shared" si="64"/>
        <v>1247.9830233554492</v>
      </c>
      <c r="J135" s="1">
        <f>VLOOKUP((A135+Forudsætninger!$D$60),'Model tilvækst, slagteform, fe'!G:K,3,FALSE)*(1+Forudsætninger!$D$79)</f>
        <v>52.372738590388018</v>
      </c>
      <c r="K135" s="17">
        <f t="shared" si="57"/>
        <v>124.63755568617063</v>
      </c>
      <c r="L135" s="17">
        <f t="shared" si="65"/>
        <v>844.38921666939848</v>
      </c>
      <c r="M135" s="3">
        <f>((K135-(('Model tilvækst, slagteform, fe'!$I$9/100)*'Model tilvækst, slagteform, fe'!$C$9))*1000/(A135+Forudsætninger!$D$60))</f>
        <v>616.28139359162458</v>
      </c>
      <c r="N135" s="17">
        <f t="shared" si="66"/>
        <v>555.49939798863136</v>
      </c>
      <c r="O135" s="19">
        <f>IF( A135&lt;Forudsætninger!$C$14,(G135/100)*Forudsætninger!$C$13,(Forudsætninger!$C$15/1000)*Forudsætninger!$C$13)</f>
        <v>1.5468813236907859</v>
      </c>
      <c r="P135" s="17" cm="1">
        <f t="array" ref="P135">INDEX('Model tilvækst, slagteform, fe'!$O$9:$O$375,MATCH(MIN(ABS('Model tilvækst, slagteform, fe'!$M$9:$M$375-G135)),ABS('Model tilvækst, slagteform, fe'!$M$9:$M$375-G135),0))*(1+Forudsætninger!$D$80)</f>
        <v>6.3622291945453373</v>
      </c>
      <c r="Q135" s="17">
        <f t="shared" si="67"/>
        <v>7.5347115630401573</v>
      </c>
      <c r="R135" s="17">
        <f t="shared" si="68"/>
        <v>6.1943850392886786</v>
      </c>
      <c r="S135" s="2">
        <f t="shared" si="58"/>
        <v>3.3467500156309744</v>
      </c>
      <c r="T135" s="19">
        <f>(P135)*IF(N135&lt;Forudsætninger!$B$228,IF(N135&lt;Forudsætninger!$B$227,Forudsætninger!$B$225,Forudsætninger!$C$9),Forudsætninger!$C$11)+O135</f>
        <v>16.434497638926874</v>
      </c>
      <c r="U135" s="2">
        <f>Forudsætninger!$D$68+((K135-(Forudsætninger!$D$84)))*0.01</f>
        <v>6.3859862382213581</v>
      </c>
      <c r="V135" s="2">
        <f>U135+Forudsætninger!$D$69</f>
        <v>6.3859862382213581</v>
      </c>
      <c r="W135">
        <f t="shared" si="59"/>
        <v>0</v>
      </c>
      <c r="X135">
        <f>IF(A135+Forudsætninger!$D$60&gt;248,IF(A135+Forudsætninger!$D$60&lt;365,IF(K135&gt;180,IF(K135&lt;260,1,0),0),0),0)</f>
        <v>0</v>
      </c>
      <c r="Y135" s="22">
        <f>IF(X135=0,0,IF('Vækstfunktion, kry tyr'!A135&lt;Forudsætninger!$D$66,Forudsætninger!$D$67+(('Vækstfunktion, kry tyr'!A135-Forudsætninger!$D$66)/7)*Forudsætninger!$D$64,Forudsætninger!$D$67))</f>
        <v>0</v>
      </c>
      <c r="Z135" s="19">
        <f t="shared" si="72"/>
        <v>1935.465146654695</v>
      </c>
      <c r="AA135" s="19">
        <f>Forudsætninger!$D$62+Forudsætninger!$C$16</f>
        <v>2055</v>
      </c>
      <c r="AB135" s="19">
        <f>IF(K135&gt;Forudsætninger!$C$37,IF(K135&gt;Forudsætninger!$C$38,IF(K135&gt;Forudsætninger!$C$39,Forudsætninger!$E$39,Forudsætninger!$E$38+Forudsætninger!$F$39*(K135-Forudsætninger!$C$38)),Forudsætninger!$E$37+Forudsætninger!$F$38*(K135-Forudsætninger!$C$37)),Forudsætninger!$E$37)+IF(K135&gt;Forudsætninger!$C$39,Forudsætninger!$G$39,IF(K135&gt;Forudsætninger!$C$38,Forudsætninger!$G$38+Forudsætninger!$H$39*(K135-Forudsætninger!$C$38),IF(K135&gt;Forudsætninger!$C$37,Forudsætninger!$G$37+Forudsætninger!$H$38*(K135-Forudsætninger!$C$37),Forudsætninger!$G$37)))*(U135-Forudsætninger!$H$37)</f>
        <v>35.238598623822135</v>
      </c>
      <c r="AC135" s="19">
        <f>IF(K135&gt;Forudsætninger!$C$42,IF(K135&gt;Forudsætninger!$C$43,IF(K135&gt;Forudsætninger!$C$44,Forudsætninger!$E$44,Forudsætninger!$E$43+Forudsætninger!$F$44*(K135-Forudsætninger!$C$43)),Forudsætninger!$E$42+Forudsætninger!$F$43*(K135-Forudsætninger!$C$42)),Forudsætninger!$E$42)+IF(K135&gt;Forudsætninger!$C$44,Forudsætninger!$G$44,IF(K135&gt;Forudsætninger!$C$43,Forudsætninger!$G$43+Forudsætninger!$H$44*(K135-Forudsætninger!$C$43),IF(K135&gt;Forudsætninger!$C$42,Forudsætninger!$G$42+Forudsætninger!$H$43*(K135-Forudsætninger!$C$42),Forudsætninger!$G$42)))*(V135-Forudsætninger!$H$42)</f>
        <v>30.246496559555339</v>
      </c>
      <c r="AD135" s="19">
        <f t="shared" si="60"/>
        <v>3769.8493992531471</v>
      </c>
      <c r="AE135" s="19">
        <f t="shared" si="61"/>
        <v>30.246496559555339</v>
      </c>
      <c r="AF135">
        <f>IF(G135&lt;=Forudsætninger!$C$97,Forudsætninger!$C$98,(IF(G135&lt;=Forudsætninger!$D$97,Forudsætninger!$D$98,IF(G135&lt;=Forudsætninger!$E$97,Forudsætninger!$E$98,IF(G135&lt;=Forudsætninger!$F$97,Forudsætninger!$F$98,IF(G135&lt;=Forudsætninger!$G$97,Forudsætninger!$G$98,IF(G135&lt;=Forudsætninger!$H$97,Forudsætninger!$H$98,IF(G135&lt;=Forudsætninger!$I$97,Forudsætninger!$I$98,Forudsætninger!$I$98))))))))</f>
        <v>3.2</v>
      </c>
      <c r="AG135" s="1">
        <f t="shared" si="69"/>
        <v>3.2</v>
      </c>
      <c r="AH135" s="1">
        <f t="shared" si="73"/>
        <v>318.59999999999928</v>
      </c>
      <c r="AI135" s="1">
        <f t="shared" si="62"/>
        <v>2.3954887218045058</v>
      </c>
      <c r="AJ135" s="20">
        <f>+(W135*Forudsætninger!$C$12)</f>
        <v>0</v>
      </c>
      <c r="AK135" s="20">
        <f>Forudsætninger!$C$17</f>
        <v>250</v>
      </c>
      <c r="AL135" s="20">
        <f>IF(A135&lt;92,Forudsætninger!$C$20,Forudsætninger!$C$21)</f>
        <v>1.0566762728146013</v>
      </c>
      <c r="AM135" s="20">
        <f t="shared" si="70"/>
        <v>409.04342713763191</v>
      </c>
      <c r="AN135" s="19">
        <f>IFERROR(AD135+AJ135-AA135-Z135-AK135-AM135-Forudsætninger!$D$75,-99999)</f>
        <v>-1097.55114824014</v>
      </c>
      <c r="AO135" s="57">
        <f>IFERROR(AN135/(A135+Forudsætninger!$D$74),-99999)</f>
        <v>-8.2522642724822557</v>
      </c>
      <c r="AP135" s="19">
        <f>IFERROR(((365/(A135+Forudsætninger!$D$74))*AN135)/(AI135+Forudsætninger!$D$73),-99999)</f>
        <v>-1202.1911865907991</v>
      </c>
      <c r="AQ135" s="18">
        <f t="shared" si="74"/>
        <v>133</v>
      </c>
      <c r="AR135" s="18">
        <f t="shared" si="75"/>
        <v>4649.5085737923264</v>
      </c>
      <c r="AS135" s="50">
        <f t="shared" si="76"/>
        <v>5.5</v>
      </c>
      <c r="AT135" s="50">
        <f t="shared" si="77"/>
        <v>8.3099656623357987</v>
      </c>
      <c r="AU135" s="50">
        <f t="shared" si="78"/>
        <v>0.12547143890013679</v>
      </c>
      <c r="AV135" s="2">
        <f t="shared" si="79"/>
        <v>21.254820242386359</v>
      </c>
      <c r="AW135" s="16">
        <f t="shared" si="71"/>
        <v>-5.1767497827256257</v>
      </c>
      <c r="AZ135" s="16"/>
      <c r="BA135" s="2"/>
    </row>
    <row r="136" spans="1:53" x14ac:dyDescent="0.25">
      <c r="A136">
        <v>134</v>
      </c>
      <c r="B136" s="1">
        <f>ROUND((A136+Forudsætninger!$D$60)/30.4,1)</f>
        <v>5.5</v>
      </c>
      <c r="C136" s="1">
        <f>VLOOKUP((A136+Forudsætninger!$D$60),'Model tilvækst, slagteform, fe'!A:C,3,FALSE)</f>
        <v>282.12707536395311</v>
      </c>
      <c r="D136" s="3">
        <f t="shared" si="80"/>
        <v>1856.010394175712</v>
      </c>
      <c r="E136" s="3">
        <f>(1+Forudsætninger!$D$78)*C136</f>
        <v>236.98674330572061</v>
      </c>
      <c r="F136" s="2">
        <f t="shared" si="55"/>
        <v>2.4798071158946962</v>
      </c>
      <c r="G136" s="1">
        <f t="shared" si="56"/>
        <v>239.4665504216153</v>
      </c>
      <c r="H136" s="3">
        <f t="shared" si="63"/>
        <v>1484.8083153405582</v>
      </c>
      <c r="I136" s="3">
        <f t="shared" si="64"/>
        <v>1249.7503762807112</v>
      </c>
      <c r="J136" s="1">
        <f>VLOOKUP((A136+Forudsætninger!$D$60),'Model tilvækst, slagteform, fe'!G:K,3,FALSE)*(1+Forudsætninger!$D$79)</f>
        <v>52.401025976066911</v>
      </c>
      <c r="K136" s="17">
        <f t="shared" si="57"/>
        <v>125.48292929042199</v>
      </c>
      <c r="L136" s="17">
        <f t="shared" si="65"/>
        <v>845.37360425136399</v>
      </c>
      <c r="M136" s="3">
        <f>((K136-(('Model tilvækst, slagteform, fe'!$I$9/100)*'Model tilvækst, slagteform, fe'!$C$9))*1000/(A136+Forudsætninger!$D$60))</f>
        <v>617.64503770269448</v>
      </c>
      <c r="N136" s="17">
        <f t="shared" si="66"/>
        <v>561.87632560541988</v>
      </c>
      <c r="O136" s="19">
        <f>IF( A136&lt;Forudsætninger!$C$14,(G136/100)*Forudsætninger!$C$13,(Forudsætninger!$C$15/1000)*Forudsætninger!$C$13)</f>
        <v>1.5565325777404995</v>
      </c>
      <c r="P136" s="17" cm="1">
        <f t="array" ref="P136">INDEX('Model tilvækst, slagteform, fe'!$O$9:$O$375,MATCH(MIN(ABS('Model tilvækst, slagteform, fe'!$M$9:$M$375-G136)),ABS('Model tilvækst, slagteform, fe'!$M$9:$M$375-G136),0))*(1+Forudsætninger!$D$80)</f>
        <v>6.3769276167885653</v>
      </c>
      <c r="Q136" s="17">
        <f t="shared" si="67"/>
        <v>7.5433247320701122</v>
      </c>
      <c r="R136" s="17">
        <f t="shared" si="68"/>
        <v>6.2069824416399051</v>
      </c>
      <c r="S136" s="2">
        <f t="shared" si="58"/>
        <v>3.3551555471276799</v>
      </c>
      <c r="T136" s="19">
        <f>(P136)*IF(N136&lt;Forudsætninger!$B$228,IF(N136&lt;Forudsætninger!$B$227,Forudsætninger!$B$225,Forudsætninger!$C$9),Forudsætninger!$C$11)+O136</f>
        <v>16.47854320102574</v>
      </c>
      <c r="U136" s="2">
        <f>Forudsætninger!$D$68+((K136-(Forudsætninger!$D$84)))*0.01</f>
        <v>6.3944399742638725</v>
      </c>
      <c r="V136" s="2">
        <f>U136+Forudsætninger!$D$69</f>
        <v>6.3944399742638725</v>
      </c>
      <c r="W136">
        <f t="shared" si="59"/>
        <v>0</v>
      </c>
      <c r="X136">
        <f>IF(A136+Forudsætninger!$D$60&gt;248,IF(A136+Forudsætninger!$D$60&lt;365,IF(K136&gt;180,IF(K136&lt;260,1,0),0),0),0)</f>
        <v>0</v>
      </c>
      <c r="Y136" s="22">
        <f>IF(X136=0,0,IF('Vækstfunktion, kry tyr'!A136&lt;Forudsætninger!$D$66,Forudsætninger!$D$67+(('Vækstfunktion, kry tyr'!A136-Forudsætninger!$D$66)/7)*Forudsætninger!$D$64,Forudsætninger!$D$67))</f>
        <v>0</v>
      </c>
      <c r="Z136" s="19">
        <f t="shared" si="72"/>
        <v>1951.9436898557208</v>
      </c>
      <c r="AA136" s="19">
        <f>Forudsætninger!$D$62+Forudsætninger!$C$16</f>
        <v>2055</v>
      </c>
      <c r="AB136" s="19">
        <f>IF(K136&gt;Forudsætninger!$C$37,IF(K136&gt;Forudsætninger!$C$38,IF(K136&gt;Forudsætninger!$C$39,Forudsætninger!$E$39,Forudsætninger!$E$38+Forudsætninger!$F$39*(K136-Forudsætninger!$C$38)),Forudsætninger!$E$37+Forudsætninger!$F$38*(K136-Forudsætninger!$C$37)),Forudsætninger!$E$37)+IF(K136&gt;Forudsætninger!$C$39,Forudsætninger!$G$39,IF(K136&gt;Forudsætninger!$C$38,Forudsætninger!$G$38+Forudsætninger!$H$39*(K136-Forudsætninger!$C$38),IF(K136&gt;Forudsætninger!$C$37,Forudsætninger!$G$37+Forudsætninger!$H$38*(K136-Forudsætninger!$C$37),Forudsætninger!$G$37)))*(U136-Forudsætninger!$H$37)</f>
        <v>35.239443997426385</v>
      </c>
      <c r="AC136" s="19">
        <f>IF(K136&gt;Forudsætninger!$C$42,IF(K136&gt;Forudsætninger!$C$43,IF(K136&gt;Forudsætninger!$C$44,Forudsætninger!$E$44,Forudsætninger!$E$43+Forudsætninger!$F$44*(K136-Forudsætninger!$C$43)),Forudsætninger!$E$42+Forudsætninger!$F$43*(K136-Forudsætninger!$C$42)),Forudsætninger!$E$42)+IF(K136&gt;Forudsætninger!$C$44,Forudsætninger!$G$44,IF(K136&gt;Forudsætninger!$C$43,Forudsætninger!$G$43+Forudsætninger!$H$44*(K136-Forudsætninger!$C$43),IF(K136&gt;Forudsætninger!$C$42,Forudsætninger!$G$42+Forudsætninger!$H$43*(K136-Forudsætninger!$C$42),Forudsætninger!$G$42)))*(V136-Forudsætninger!$H$42)</f>
        <v>30.248609993565967</v>
      </c>
      <c r="AD136" s="19">
        <f t="shared" si="60"/>
        <v>3795.6841889561902</v>
      </c>
      <c r="AE136" s="19">
        <f t="shared" si="61"/>
        <v>30.248609993565967</v>
      </c>
      <c r="AF136">
        <f>IF(G136&lt;=Forudsætninger!$C$97,Forudsætninger!$C$98,(IF(G136&lt;=Forudsætninger!$D$97,Forudsætninger!$D$98,IF(G136&lt;=Forudsætninger!$E$97,Forudsætninger!$E$98,IF(G136&lt;=Forudsætninger!$F$97,Forudsætninger!$F$98,IF(G136&lt;=Forudsætninger!$G$97,Forudsætninger!$G$98,IF(G136&lt;=Forudsætninger!$H$97,Forudsætninger!$H$98,IF(G136&lt;=Forudsætninger!$I$97,Forudsætninger!$I$98,Forudsætninger!$I$98))))))))</f>
        <v>3.2</v>
      </c>
      <c r="AG136" s="1">
        <f t="shared" si="69"/>
        <v>3.2</v>
      </c>
      <c r="AH136" s="1">
        <f t="shared" si="73"/>
        <v>321.79999999999927</v>
      </c>
      <c r="AI136" s="1">
        <f t="shared" si="62"/>
        <v>2.4014925373134273</v>
      </c>
      <c r="AJ136" s="20">
        <f>+(W136*Forudsætninger!$C$12)</f>
        <v>0</v>
      </c>
      <c r="AK136" s="20">
        <f>Forudsætninger!$C$17</f>
        <v>250</v>
      </c>
      <c r="AL136" s="20">
        <f>IF(A136&lt;92,Forudsætninger!$C$20,Forudsætninger!$C$21)</f>
        <v>1.0566762728146013</v>
      </c>
      <c r="AM136" s="20">
        <f t="shared" si="70"/>
        <v>410.10010341044654</v>
      </c>
      <c r="AN136" s="19">
        <f>IFERROR(AD136+AJ136-AA136-Z136-AK136-AM136-Forudsætninger!$D$75,-99999)</f>
        <v>-1089.2515780109375</v>
      </c>
      <c r="AO136" s="57">
        <f>IFERROR(AN136/(A136+Forudsætninger!$D$74),-99999)</f>
        <v>-8.1287431194846071</v>
      </c>
      <c r="AP136" s="19">
        <f>IFERROR(((365/(A136+Forudsætninger!$D$74))*AN136)/(AI136+Forudsætninger!$D$73),-99999)</f>
        <v>-1181.3657395079131</v>
      </c>
      <c r="AQ136" s="18">
        <f t="shared" si="74"/>
        <v>134</v>
      </c>
      <c r="AR136" s="18">
        <f t="shared" si="75"/>
        <v>4667.0437932661671</v>
      </c>
      <c r="AS136" s="50">
        <f t="shared" si="76"/>
        <v>5.5</v>
      </c>
      <c r="AT136" s="50">
        <f t="shared" si="77"/>
        <v>8.2995702292025726</v>
      </c>
      <c r="AU136" s="50">
        <f t="shared" si="78"/>
        <v>0.12352115299764854</v>
      </c>
      <c r="AV136" s="2">
        <f t="shared" si="79"/>
        <v>20.825447082886058</v>
      </c>
      <c r="AW136" s="16">
        <f t="shared" si="71"/>
        <v>-5.0682945865708282</v>
      </c>
      <c r="AZ136" s="16"/>
      <c r="BA136" s="2"/>
    </row>
    <row r="137" spans="1:53" x14ac:dyDescent="0.25">
      <c r="A137">
        <v>135</v>
      </c>
      <c r="B137" s="1">
        <f>ROUND((A137+Forudsætninger!$D$60)/30.4,1)</f>
        <v>5.6</v>
      </c>
      <c r="C137" s="1">
        <f>VLOOKUP((A137+Forudsætninger!$D$60),'Model tilvækst, slagteform, fe'!A:C,3,FALSE)</f>
        <v>283.98283534609277</v>
      </c>
      <c r="D137" s="3">
        <f t="shared" si="80"/>
        <v>1855.7599821396593</v>
      </c>
      <c r="E137" s="3">
        <f>(1+Forudsætninger!$D$78)*C137</f>
        <v>238.54558169071791</v>
      </c>
      <c r="F137" s="2">
        <f t="shared" ref="F137:F156" si="81">MAX(F136-((D137/1000)/25),0)</f>
        <v>2.4055767166091098</v>
      </c>
      <c r="G137" s="1">
        <f t="shared" si="56"/>
        <v>240.95115840732703</v>
      </c>
      <c r="H137" s="3">
        <f t="shared" si="63"/>
        <v>1484.6079857117331</v>
      </c>
      <c r="I137" s="3">
        <f t="shared" si="64"/>
        <v>1251.4900622764965</v>
      </c>
      <c r="J137" s="1">
        <f>VLOOKUP((A137+Forudsætninger!$D$60),'Model tilvækst, slagteform, fe'!G:K,3,FALSE)*(1+Forudsætninger!$D$79)</f>
        <v>52.429404932556302</v>
      </c>
      <c r="K137" s="17">
        <f t="shared" si="57"/>
        <v>126.32925853106266</v>
      </c>
      <c r="L137" s="17">
        <f t="shared" si="65"/>
        <v>846.32924064067083</v>
      </c>
      <c r="M137" s="3">
        <f>((K137-(('Model tilvækst, slagteform, fe'!$I$9/100)*'Model tilvækst, slagteform, fe'!$C$9))*1000/(A137+Forudsætninger!$D$60))</f>
        <v>618.99819866682446</v>
      </c>
      <c r="N137" s="17">
        <f t="shared" si="66"/>
        <v>568.26769995860946</v>
      </c>
      <c r="O137" s="19">
        <f>IF( A137&lt;Forudsætninger!$C$14,(G137/100)*Forudsætninger!$C$13,(Forudsætninger!$C$15/1000)*Forudsætninger!$C$13)</f>
        <v>1.5661825296476257</v>
      </c>
      <c r="P137" s="17" cm="1">
        <f t="array" ref="P137">INDEX('Model tilvækst, slagteform, fe'!$O$9:$O$375,MATCH(MIN(ABS('Model tilvækst, slagteform, fe'!$M$9:$M$375-G137)),ABS('Model tilvækst, slagteform, fe'!$M$9:$M$375-G137),0))*(1+Forudsætninger!$D$80)</f>
        <v>6.391374353189609</v>
      </c>
      <c r="Q137" s="17">
        <f t="shared" si="67"/>
        <v>7.5518770311555601</v>
      </c>
      <c r="R137" s="17">
        <f t="shared" si="68"/>
        <v>6.2194397980252631</v>
      </c>
      <c r="S137" s="2">
        <f t="shared" si="58"/>
        <v>3.3635028331002257</v>
      </c>
      <c r="T137" s="19">
        <f>(P137)*IF(N137&lt;Forudsætninger!$B$228,IF(N137&lt;Forudsætninger!$B$227,Forudsætninger!$B$225,Forudsætninger!$C$9),Forudsætninger!$C$11)+O137</f>
        <v>16.52199851611131</v>
      </c>
      <c r="U137" s="2">
        <f>Forudsætninger!$D$68+((K137-(Forudsætninger!$D$84)))*0.01</f>
        <v>6.402903266670279</v>
      </c>
      <c r="V137" s="2">
        <f>U137+Forudsætninger!$D$69</f>
        <v>6.402903266670279</v>
      </c>
      <c r="W137">
        <f t="shared" si="59"/>
        <v>0</v>
      </c>
      <c r="X137">
        <f>IF(A137+Forudsætninger!$D$60&gt;248,IF(A137+Forudsætninger!$D$60&lt;365,IF(K137&gt;180,IF(K137&lt;260,1,0),0),0),0)</f>
        <v>0</v>
      </c>
      <c r="Y137" s="22">
        <f>IF(X137=0,0,IF('Vækstfunktion, kry tyr'!A137&lt;Forudsætninger!$D$66,Forudsætninger!$D$67+(('Vækstfunktion, kry tyr'!A137-Forudsætninger!$D$66)/7)*Forudsætninger!$D$64,Forudsætninger!$D$67))</f>
        <v>0</v>
      </c>
      <c r="Z137" s="19">
        <f t="shared" si="72"/>
        <v>1968.4656883718321</v>
      </c>
      <c r="AA137" s="19">
        <f>Forudsætninger!$D$62+Forudsætninger!$C$16</f>
        <v>2055</v>
      </c>
      <c r="AB137" s="19">
        <f>IF(K137&gt;Forudsætninger!$C$37,IF(K137&gt;Forudsætninger!$C$38,IF(K137&gt;Forudsætninger!$C$39,Forudsætninger!$E$39,Forudsætninger!$E$38+Forudsætninger!$F$39*(K137-Forudsætninger!$C$38)),Forudsætninger!$E$37+Forudsætninger!$F$38*(K137-Forudsætninger!$C$37)),Forudsætninger!$E$37)+IF(K137&gt;Forudsætninger!$C$39,Forudsætninger!$G$39,IF(K137&gt;Forudsætninger!$C$38,Forudsætninger!$G$38+Forudsætninger!$H$39*(K137-Forudsætninger!$C$38),IF(K137&gt;Forudsætninger!$C$37,Forudsætninger!$G$37+Forudsætninger!$H$38*(K137-Forudsætninger!$C$37),Forudsætninger!$G$37)))*(U137-Forudsætninger!$H$37)</f>
        <v>35.240290326667029</v>
      </c>
      <c r="AC137" s="19">
        <f>IF(K137&gt;Forudsætninger!$C$42,IF(K137&gt;Forudsætninger!$C$43,IF(K137&gt;Forudsætninger!$C$44,Forudsætninger!$E$44,Forudsætninger!$E$43+Forudsætninger!$F$44*(K137-Forudsætninger!$C$43)),Forudsætninger!$E$42+Forudsætninger!$F$43*(K137-Forudsætninger!$C$42)),Forudsætninger!$E$42)+IF(K137&gt;Forudsætninger!$C$44,Forudsætninger!$G$44,IF(K137&gt;Forudsætninger!$C$43,Forudsætninger!$G$43+Forudsætninger!$H$44*(K137-Forudsætninger!$C$43),IF(K137&gt;Forudsætninger!$C$42,Forudsætninger!$G$42+Forudsætninger!$H$43*(K137-Forudsætninger!$C$42),Forudsætninger!$G$42)))*(V137-Forudsætninger!$H$42)</f>
        <v>30.250725816667568</v>
      </c>
      <c r="AD137" s="19">
        <f t="shared" si="60"/>
        <v>3821.551762446089</v>
      </c>
      <c r="AE137" s="19">
        <f t="shared" si="61"/>
        <v>30.250725816667568</v>
      </c>
      <c r="AF137">
        <f>IF(G137&lt;=Forudsætninger!$C$97,Forudsætninger!$C$98,(IF(G137&lt;=Forudsætninger!$D$97,Forudsætninger!$D$98,IF(G137&lt;=Forudsætninger!$E$97,Forudsætninger!$E$98,IF(G137&lt;=Forudsætninger!$F$97,Forudsætninger!$F$98,IF(G137&lt;=Forudsætninger!$G$97,Forudsætninger!$G$98,IF(G137&lt;=Forudsætninger!$H$97,Forudsætninger!$H$98,IF(G137&lt;=Forudsætninger!$I$97,Forudsætninger!$I$98,Forudsætninger!$I$98))))))))</f>
        <v>3.2</v>
      </c>
      <c r="AG137" s="1">
        <f t="shared" si="69"/>
        <v>3.2</v>
      </c>
      <c r="AH137" s="1">
        <f t="shared" si="73"/>
        <v>324.99999999999926</v>
      </c>
      <c r="AI137" s="1">
        <f t="shared" si="62"/>
        <v>2.4074074074074021</v>
      </c>
      <c r="AJ137" s="20">
        <f>+(W137*Forudsætninger!$C$12)</f>
        <v>0</v>
      </c>
      <c r="AK137" s="20">
        <f>Forudsætninger!$C$17</f>
        <v>250</v>
      </c>
      <c r="AL137" s="20">
        <f>IF(A137&lt;92,Forudsætninger!$C$20,Forudsætninger!$C$21)</f>
        <v>1.0566762728146013</v>
      </c>
      <c r="AM137" s="20">
        <f t="shared" si="70"/>
        <v>411.15677968326116</v>
      </c>
      <c r="AN137" s="19">
        <f>IFERROR(AD137+AJ137-AA137-Z137-AK137-AM137-Forudsætninger!$D$75,-99999)</f>
        <v>-1080.9626793099646</v>
      </c>
      <c r="AO137" s="57">
        <f>IFERROR(AN137/(A137+Forudsætninger!$D$74),-99999)</f>
        <v>-8.0071309578515901</v>
      </c>
      <c r="AP137" s="19">
        <f>IFERROR(((365/(A137+Forudsætninger!$D$74))*AN137)/(AI137+Forudsætninger!$D$73),-99999)</f>
        <v>-1160.9574163546799</v>
      </c>
      <c r="AQ137" s="18">
        <f t="shared" si="74"/>
        <v>135</v>
      </c>
      <c r="AR137" s="18">
        <f t="shared" si="75"/>
        <v>4684.622468055094</v>
      </c>
      <c r="AS137" s="50">
        <f t="shared" si="76"/>
        <v>5.6</v>
      </c>
      <c r="AT137" s="50">
        <f t="shared" si="77"/>
        <v>8.2888987009728226</v>
      </c>
      <c r="AU137" s="50">
        <f t="shared" si="78"/>
        <v>0.12161216163301702</v>
      </c>
      <c r="AV137" s="2">
        <f t="shared" si="79"/>
        <v>20.408323153233141</v>
      </c>
      <c r="AW137" s="16">
        <f t="shared" si="71"/>
        <v>-4.9615251824200257</v>
      </c>
      <c r="AZ137" s="16"/>
      <c r="BA137" s="2"/>
    </row>
    <row r="138" spans="1:53" x14ac:dyDescent="0.25">
      <c r="A138">
        <v>136</v>
      </c>
      <c r="B138" s="1">
        <f>ROUND((A138+Forudsætninger!$D$60)/30.4,1)</f>
        <v>5.6</v>
      </c>
      <c r="C138" s="1">
        <f>VLOOKUP((A138+Forudsætninger!$D$60),'Model tilvækst, slagteform, fe'!A:C,3,FALSE)</f>
        <v>285.83827082417753</v>
      </c>
      <c r="D138" s="3">
        <f t="shared" si="80"/>
        <v>1855.4354780847575</v>
      </c>
      <c r="E138" s="3">
        <f>(1+Forudsætninger!$D$78)*C138</f>
        <v>240.10414749230912</v>
      </c>
      <c r="F138" s="2">
        <f t="shared" si="81"/>
        <v>2.3313592974857196</v>
      </c>
      <c r="G138" s="1">
        <f t="shared" si="56"/>
        <v>242.43550678979486</v>
      </c>
      <c r="H138" s="3">
        <f t="shared" si="63"/>
        <v>1484.3483824678287</v>
      </c>
      <c r="I138" s="3">
        <f t="shared" si="64"/>
        <v>1253.2022558073152</v>
      </c>
      <c r="J138" s="1">
        <f>VLOOKUP((A138+Forudsætninger!$D$60),'Model tilvækst, slagteform, fe'!G:K,3,FALSE)*(1+Forudsætninger!$D$79)</f>
        <v>52.457874879037426</v>
      </c>
      <c r="K138" s="17">
        <f t="shared" si="57"/>
        <v>127.17651481415086</v>
      </c>
      <c r="L138" s="17">
        <f t="shared" si="65"/>
        <v>847.25628308819978</v>
      </c>
      <c r="M138" s="3">
        <f>((K138-(('Model tilvækst, slagteform, fe'!$I$9/100)*'Model tilvækst, slagteform, fe'!$C$9))*1000/(A138+Forudsætninger!$D$60))</f>
        <v>620.34089328106779</v>
      </c>
      <c r="N138" s="17">
        <f t="shared" si="66"/>
        <v>574.68722815182844</v>
      </c>
      <c r="O138" s="19">
        <f>IF( A138&lt;Forudsætninger!$C$14,(G138/100)*Forudsætninger!$C$13,(Forudsætninger!$C$15/1000)*Forudsætninger!$C$13)</f>
        <v>1.5758307941336664</v>
      </c>
      <c r="P138" s="17" cm="1">
        <f t="array" ref="P138">INDEX('Model tilvækst, slagteform, fe'!$O$9:$O$375,MATCH(MIN(ABS('Model tilvækst, slagteform, fe'!$M$9:$M$375-G138)),ABS('Model tilvækst, slagteform, fe'!$M$9:$M$375-G138),0))*(1+Forudsætninger!$D$80)</f>
        <v>6.4195281932190289</v>
      </c>
      <c r="Q138" s="17">
        <f t="shared" si="67"/>
        <v>7.5768434195851846</v>
      </c>
      <c r="R138" s="17">
        <f t="shared" si="68"/>
        <v>6.2319111492160237</v>
      </c>
      <c r="S138" s="2">
        <f t="shared" si="58"/>
        <v>3.3718750216796898</v>
      </c>
      <c r="T138" s="19">
        <f>(P138)*IF(N138&lt;Forudsætninger!$B$228,IF(N138&lt;Forudsætninger!$B$227,Forudsætninger!$B$225,Forudsætninger!$C$9),Forudsætninger!$C$11)+O138</f>
        <v>16.597526766266192</v>
      </c>
      <c r="U138" s="2">
        <f>Forudsætninger!$D$68+((K138-(Forudsætninger!$D$84)))*0.01</f>
        <v>6.4113758295011607</v>
      </c>
      <c r="V138" s="2">
        <f>U138+Forudsætninger!$D$69</f>
        <v>6.4113758295011607</v>
      </c>
      <c r="W138">
        <f t="shared" si="59"/>
        <v>0</v>
      </c>
      <c r="X138">
        <f>IF(A138+Forudsætninger!$D$60&gt;248,IF(A138+Forudsætninger!$D$60&lt;365,IF(K138&gt;180,IF(K138&lt;260,1,0),0),0),0)</f>
        <v>0</v>
      </c>
      <c r="Y138" s="22">
        <f>IF(X138=0,0,IF('Vækstfunktion, kry tyr'!A138&lt;Forudsætninger!$D$66,Forudsætninger!$D$67+(('Vækstfunktion, kry tyr'!A138-Forudsætninger!$D$66)/7)*Forudsætninger!$D$64,Forudsætninger!$D$67))</f>
        <v>0</v>
      </c>
      <c r="Z138" s="19">
        <f t="shared" si="72"/>
        <v>1985.0632151380983</v>
      </c>
      <c r="AA138" s="19">
        <f>Forudsætninger!$D$62+Forudsætninger!$C$16</f>
        <v>2055</v>
      </c>
      <c r="AB138" s="19">
        <f>IF(K138&gt;Forudsætninger!$C$37,IF(K138&gt;Forudsætninger!$C$38,IF(K138&gt;Forudsætninger!$C$39,Forudsætninger!$E$39,Forudsætninger!$E$38+Forudsætninger!$F$39*(K138-Forudsætninger!$C$38)),Forudsætninger!$E$37+Forudsætninger!$F$38*(K138-Forudsætninger!$C$37)),Forudsætninger!$E$37)+IF(K138&gt;Forudsætninger!$C$39,Forudsætninger!$G$39,IF(K138&gt;Forudsætninger!$C$38,Forudsætninger!$G$38+Forudsætninger!$H$39*(K138-Forudsætninger!$C$38),IF(K138&gt;Forudsætninger!$C$37,Forudsætninger!$G$37+Forudsætninger!$H$38*(K138-Forudsætninger!$C$37),Forudsætninger!$G$37)))*(U138-Forudsætninger!$H$37)</f>
        <v>35.241137582950117</v>
      </c>
      <c r="AC138" s="19">
        <f>IF(K138&gt;Forudsætninger!$C$42,IF(K138&gt;Forudsætninger!$C$43,IF(K138&gt;Forudsætninger!$C$44,Forudsætninger!$E$44,Forudsætninger!$E$43+Forudsætninger!$F$44*(K138-Forudsætninger!$C$43)),Forudsætninger!$E$42+Forudsætninger!$F$43*(K138-Forudsætninger!$C$42)),Forudsætninger!$E$42)+IF(K138&gt;Forudsætninger!$C$44,Forudsætninger!$G$44,IF(K138&gt;Forudsætninger!$C$43,Forudsætninger!$G$43+Forudsætninger!$H$44*(K138-Forudsætninger!$C$43),IF(K138&gt;Forudsætninger!$C$42,Forudsætninger!$G$42+Forudsætninger!$H$43*(K138-Forudsætninger!$C$42),Forudsætninger!$G$42)))*(V138-Forudsætninger!$H$42)</f>
        <v>30.252843957375291</v>
      </c>
      <c r="AD138" s="19">
        <f t="shared" si="60"/>
        <v>3847.4512577153332</v>
      </c>
      <c r="AE138" s="19">
        <f t="shared" si="61"/>
        <v>30.252843957375291</v>
      </c>
      <c r="AF138">
        <f>IF(G138&lt;=Forudsætninger!$C$97,Forudsætninger!$C$98,(IF(G138&lt;=Forudsætninger!$D$97,Forudsætninger!$D$98,IF(G138&lt;=Forudsætninger!$E$97,Forudsætninger!$E$98,IF(G138&lt;=Forudsætninger!$F$97,Forudsætninger!$F$98,IF(G138&lt;=Forudsætninger!$G$97,Forudsætninger!$G$98,IF(G138&lt;=Forudsætninger!$H$97,Forudsætninger!$H$98,IF(G138&lt;=Forudsætninger!$I$97,Forudsætninger!$I$98,Forudsætninger!$I$98))))))))</f>
        <v>3.2</v>
      </c>
      <c r="AG138" s="1">
        <f t="shared" si="69"/>
        <v>3.2</v>
      </c>
      <c r="AH138" s="1">
        <f t="shared" si="73"/>
        <v>328.19999999999925</v>
      </c>
      <c r="AI138" s="1">
        <f t="shared" si="62"/>
        <v>2.4132352941176416</v>
      </c>
      <c r="AJ138" s="20">
        <f>+(W138*Forudsætninger!$C$12)</f>
        <v>0</v>
      </c>
      <c r="AK138" s="20">
        <f>Forudsætninger!$C$17</f>
        <v>250</v>
      </c>
      <c r="AL138" s="20">
        <f>IF(A138&lt;92,Forudsætninger!$C$20,Forudsætninger!$C$21)</f>
        <v>1.0566762728146013</v>
      </c>
      <c r="AM138" s="20">
        <f t="shared" si="70"/>
        <v>412.21345595607579</v>
      </c>
      <c r="AN138" s="19">
        <f>IFERROR(AD138+AJ138-AA138-Z138-AK138-AM138-Forudsætninger!$D$75,-99999)</f>
        <v>-1072.717387079801</v>
      </c>
      <c r="AO138" s="57">
        <f>IFERROR(AN138/(A138+Forudsætninger!$D$74),-99999)</f>
        <v>-7.8876278461750076</v>
      </c>
      <c r="AP138" s="19">
        <f>IFERROR(((365/(A138+Forudsætninger!$D$74))*AN138)/(AI138+Forudsætninger!$D$73),-99999)</f>
        <v>-1140.9891778882393</v>
      </c>
      <c r="AQ138" s="18">
        <f t="shared" si="74"/>
        <v>136</v>
      </c>
      <c r="AR138" s="18">
        <f t="shared" si="75"/>
        <v>4702.2766710941733</v>
      </c>
      <c r="AS138" s="50">
        <f t="shared" si="76"/>
        <v>5.6</v>
      </c>
      <c r="AT138" s="50">
        <f t="shared" si="77"/>
        <v>8.2452922301636136</v>
      </c>
      <c r="AU138" s="50">
        <f t="shared" si="78"/>
        <v>0.11950311167658256</v>
      </c>
      <c r="AV138" s="2">
        <f t="shared" si="79"/>
        <v>19.968238466440653</v>
      </c>
      <c r="AW138" s="16">
        <f t="shared" si="71"/>
        <v>-4.856646552380333</v>
      </c>
      <c r="AZ138" s="16"/>
      <c r="BA138" s="2"/>
    </row>
    <row r="139" spans="1:53" x14ac:dyDescent="0.25">
      <c r="A139">
        <v>137</v>
      </c>
      <c r="B139" s="1">
        <f>ROUND((A139+Forudsætninger!$D$60)/30.4,1)</f>
        <v>5.6</v>
      </c>
      <c r="C139" s="1">
        <f>VLOOKUP((A139+Forudsætninger!$D$60),'Model tilvækst, slagteform, fe'!A:C,3,FALSE)</f>
        <v>287.6933083271249</v>
      </c>
      <c r="D139" s="3">
        <f t="shared" si="80"/>
        <v>1855.0375029473685</v>
      </c>
      <c r="E139" s="3">
        <f>(1+Forudsætninger!$D$78)*C139</f>
        <v>241.66237899478492</v>
      </c>
      <c r="F139" s="2">
        <f t="shared" si="81"/>
        <v>2.257157797367825</v>
      </c>
      <c r="G139" s="1">
        <f t="shared" si="56"/>
        <v>243.91953679215274</v>
      </c>
      <c r="H139" s="3">
        <f t="shared" si="63"/>
        <v>1484.0300023578834</v>
      </c>
      <c r="I139" s="3">
        <f t="shared" si="64"/>
        <v>1254.8871298697279</v>
      </c>
      <c r="J139" s="1">
        <f>VLOOKUP((A139+Forudsætninger!$D$60),'Model tilvækst, slagteform, fe'!G:K,3,FALSE)*(1+Forudsætninger!$D$79)</f>
        <v>52.486435234691484</v>
      </c>
      <c r="K139" s="17">
        <f t="shared" si="57"/>
        <v>128.02466970317272</v>
      </c>
      <c r="L139" s="17">
        <f t="shared" si="65"/>
        <v>848.15488902185621</v>
      </c>
      <c r="M139" s="3">
        <f>((K139-(('Model tilvækst, slagteform, fe'!$I$9/100)*'Model tilvækst, slagteform, fe'!$C$9))*1000/(A139+Forudsætninger!$D$60))</f>
        <v>621.6731388701952</v>
      </c>
      <c r="N139" s="17">
        <f t="shared" si="66"/>
        <v>581.12047116105282</v>
      </c>
      <c r="O139" s="19">
        <f>IF( A139&lt;Forudsætninger!$C$14,(G139/100)*Forudsætninger!$C$13,(Forudsætninger!$C$15/1000)*Forudsætninger!$C$13)</f>
        <v>1.5854769891489928</v>
      </c>
      <c r="P139" s="17" cm="1">
        <f t="array" ref="P139">INDEX('Model tilvækst, slagteform, fe'!$O$9:$O$375,MATCH(MIN(ABS('Model tilvækst, slagteform, fe'!$M$9:$M$375-G139)),ABS('Model tilvækst, slagteform, fe'!$M$9:$M$375-G139),0))*(1+Forudsætninger!$D$80)</f>
        <v>6.4332430092243476</v>
      </c>
      <c r="Q139" s="17">
        <f t="shared" si="67"/>
        <v>7.5849860591425164</v>
      </c>
      <c r="R139" s="17">
        <f t="shared" si="68"/>
        <v>6.2442424984349758</v>
      </c>
      <c r="S139" s="2">
        <f t="shared" si="58"/>
        <v>3.3801886743309213</v>
      </c>
      <c r="T139" s="19">
        <f>(P139)*IF(N139&lt;Forudsætninger!$B$228,IF(N139&lt;Forudsætninger!$B$227,Forudsætninger!$B$225,Forudsætninger!$C$9),Forudsætninger!$C$11)+O139</f>
        <v>16.639265630733966</v>
      </c>
      <c r="U139" s="2">
        <f>Forudsætninger!$D$68+((K139-(Forudsætninger!$D$84)))*0.01</f>
        <v>6.419857378391379</v>
      </c>
      <c r="V139" s="2">
        <f>U139+Forudsætninger!$D$69</f>
        <v>6.419857378391379</v>
      </c>
      <c r="W139">
        <f t="shared" si="59"/>
        <v>0</v>
      </c>
      <c r="X139">
        <f>IF(A139+Forudsætninger!$D$60&gt;248,IF(A139+Forudsætninger!$D$60&lt;365,IF(K139&gt;180,IF(K139&lt;260,1,0),0),0),0)</f>
        <v>0</v>
      </c>
      <c r="Y139" s="22">
        <f>IF(X139=0,0,IF('Vækstfunktion, kry tyr'!A139&lt;Forudsætninger!$D$66,Forudsætninger!$D$67+(('Vækstfunktion, kry tyr'!A139-Forudsætninger!$D$66)/7)*Forudsætninger!$D$64,Forudsætninger!$D$67))</f>
        <v>0</v>
      </c>
      <c r="Z139" s="19">
        <f t="shared" si="72"/>
        <v>2001.7024807688322</v>
      </c>
      <c r="AA139" s="19">
        <f>Forudsætninger!$D$62+Forudsætninger!$C$16</f>
        <v>2055</v>
      </c>
      <c r="AB139" s="19">
        <f>IF(K139&gt;Forudsætninger!$C$37,IF(K139&gt;Forudsætninger!$C$38,IF(K139&gt;Forudsætninger!$C$39,Forudsætninger!$E$39,Forudsætninger!$E$38+Forudsætninger!$F$39*(K139-Forudsætninger!$C$38)),Forudsætninger!$E$37+Forudsætninger!$F$38*(K139-Forudsætninger!$C$37)),Forudsætninger!$E$37)+IF(K139&gt;Forudsætninger!$C$39,Forudsætninger!$G$39,IF(K139&gt;Forudsætninger!$C$38,Forudsætninger!$G$38+Forudsætninger!$H$39*(K139-Forudsætninger!$C$38),IF(K139&gt;Forudsætninger!$C$37,Forudsætninger!$G$37+Forudsætninger!$H$38*(K139-Forudsætninger!$C$37),Forudsætninger!$G$37)))*(U139-Forudsætninger!$H$37)</f>
        <v>35.241985737839137</v>
      </c>
      <c r="AC139" s="19">
        <f>IF(K139&gt;Forudsætninger!$C$42,IF(K139&gt;Forudsætninger!$C$43,IF(K139&gt;Forudsætninger!$C$44,Forudsætninger!$E$44,Forudsætninger!$E$43+Forudsætninger!$F$44*(K139-Forudsætninger!$C$43)),Forudsætninger!$E$42+Forudsætninger!$F$43*(K139-Forudsætninger!$C$42)),Forudsætninger!$E$42)+IF(K139&gt;Forudsætninger!$C$44,Forudsætninger!$G$44,IF(K139&gt;Forudsætninger!$C$43,Forudsætninger!$G$43+Forudsætninger!$H$44*(K139-Forudsætninger!$C$43),IF(K139&gt;Forudsætninger!$C$42,Forudsætninger!$G$42+Forudsætninger!$H$43*(K139-Forudsætninger!$C$42),Forudsætninger!$G$42)))*(V139-Forudsætninger!$H$42)</f>
        <v>30.254964344597845</v>
      </c>
      <c r="AD139" s="19">
        <f t="shared" si="60"/>
        <v>3873.3818170984064</v>
      </c>
      <c r="AE139" s="19">
        <f t="shared" si="61"/>
        <v>30.254964344597845</v>
      </c>
      <c r="AF139">
        <f>IF(G139&lt;=Forudsætninger!$C$97,Forudsætninger!$C$98,(IF(G139&lt;=Forudsætninger!$D$97,Forudsætninger!$D$98,IF(G139&lt;=Forudsætninger!$E$97,Forudsætninger!$E$98,IF(G139&lt;=Forudsætninger!$F$97,Forudsætninger!$F$98,IF(G139&lt;=Forudsætninger!$G$97,Forudsætninger!$G$98,IF(G139&lt;=Forudsætninger!$H$97,Forudsætninger!$H$98,IF(G139&lt;=Forudsætninger!$I$97,Forudsætninger!$I$98,Forudsætninger!$I$98))))))))</f>
        <v>3.2</v>
      </c>
      <c r="AG139" s="1">
        <f t="shared" si="69"/>
        <v>3.2</v>
      </c>
      <c r="AH139" s="1">
        <f t="shared" si="73"/>
        <v>331.39999999999924</v>
      </c>
      <c r="AI139" s="1">
        <f t="shared" si="62"/>
        <v>2.4189781021897754</v>
      </c>
      <c r="AJ139" s="20">
        <f>+(W139*Forudsætninger!$C$12)</f>
        <v>0</v>
      </c>
      <c r="AK139" s="20">
        <f>Forudsætninger!$C$17</f>
        <v>250</v>
      </c>
      <c r="AL139" s="20">
        <f>IF(A139&lt;92,Forudsætninger!$C$20,Forudsætninger!$C$21)</f>
        <v>1.0566762728146013</v>
      </c>
      <c r="AM139" s="20">
        <f t="shared" si="70"/>
        <v>413.27013222889042</v>
      </c>
      <c r="AN139" s="19">
        <f>IFERROR(AD139+AJ139-AA139-Z139-AK139-AM139-Forudsætninger!$D$75,-99999)</f>
        <v>-1064.4827696002765</v>
      </c>
      <c r="AO139" s="57">
        <f>IFERROR(AN139/(A139+Forudsætninger!$D$74),-99999)</f>
        <v>-7.769947223359682</v>
      </c>
      <c r="AP139" s="19">
        <f>IFERROR(((365/(A139+Forudsætninger!$D$74))*AN139)/(AI139+Forudsætninger!$D$73),-99999)</f>
        <v>-1121.4137180826676</v>
      </c>
      <c r="AQ139" s="18">
        <f t="shared" si="74"/>
        <v>137</v>
      </c>
      <c r="AR139" s="18">
        <f t="shared" si="75"/>
        <v>4719.9726129977225</v>
      </c>
      <c r="AS139" s="50">
        <f t="shared" si="76"/>
        <v>5.6</v>
      </c>
      <c r="AT139" s="50">
        <f t="shared" si="77"/>
        <v>8.2346174795245588</v>
      </c>
      <c r="AU139" s="50">
        <f t="shared" si="78"/>
        <v>0.11768062281532554</v>
      </c>
      <c r="AV139" s="2">
        <f t="shared" si="79"/>
        <v>19.575459805571654</v>
      </c>
      <c r="AW139" s="16">
        <f t="shared" si="71"/>
        <v>-4.753376915119607</v>
      </c>
      <c r="AZ139" s="16"/>
      <c r="BA139" s="2"/>
    </row>
    <row r="140" spans="1:53" x14ac:dyDescent="0.25">
      <c r="A140">
        <v>138</v>
      </c>
      <c r="B140" s="1">
        <f>ROUND((A140+Forudsætninger!$D$60)/30.4,1)</f>
        <v>5.7</v>
      </c>
      <c r="C140" s="1">
        <f>VLOOKUP((A140+Forudsætninger!$D$60),'Model tilvækst, slagteform, fe'!A:C,3,FALSE)</f>
        <v>289.5478750047892</v>
      </c>
      <c r="D140" s="3">
        <f t="shared" si="80"/>
        <v>1854.5666776643088</v>
      </c>
      <c r="E140" s="3">
        <f>(1+Forudsætninger!$D$78)*C140</f>
        <v>243.22021500402292</v>
      </c>
      <c r="F140" s="2">
        <f t="shared" si="81"/>
        <v>2.1829751302612528</v>
      </c>
      <c r="G140" s="1">
        <f t="shared" si="56"/>
        <v>245.40319013428416</v>
      </c>
      <c r="H140" s="3">
        <f t="shared" si="63"/>
        <v>1483.6533421314186</v>
      </c>
      <c r="I140" s="3">
        <f t="shared" si="64"/>
        <v>1256.5448560455372</v>
      </c>
      <c r="J140" s="1">
        <f>VLOOKUP((A140+Forudsætninger!$D$60),'Model tilvækst, slagteform, fe'!G:K,3,FALSE)*(1+Forudsætninger!$D$79)</f>
        <v>52.515085418699748</v>
      </c>
      <c r="K140" s="17">
        <f t="shared" si="57"/>
        <v>128.87369491923349</v>
      </c>
      <c r="L140" s="17">
        <f t="shared" si="65"/>
        <v>849.02521606076675</v>
      </c>
      <c r="M140" s="3">
        <f>((K140-(('Model tilvækst, slagteform, fe'!$I$9/100)*'Model tilvækst, slagteform, fe'!$C$9))*1000/(A140+Forudsætninger!$D$60))</f>
        <v>622.99495327246609</v>
      </c>
      <c r="N140" s="17">
        <f t="shared" si="66"/>
        <v>587.56719272519422</v>
      </c>
      <c r="O140" s="19">
        <f>IF( A140&lt;Forudsætninger!$C$14,(G140/100)*Forudsætninger!$C$13,(Forudsætninger!$C$15/1000)*Forudsætninger!$C$13)</f>
        <v>1.5951207358728472</v>
      </c>
      <c r="P140" s="17" cm="1">
        <f t="array" ref="P140">INDEX('Model tilvækst, slagteform, fe'!$O$9:$O$375,MATCH(MIN(ABS('Model tilvækst, slagteform, fe'!$M$9:$M$375-G140)),ABS('Model tilvækst, slagteform, fe'!$M$9:$M$375-G140),0))*(1+Forudsætninger!$D$80)</f>
        <v>6.4467215641413667</v>
      </c>
      <c r="Q140" s="17">
        <f t="shared" si="67"/>
        <v>7.5930860970800182</v>
      </c>
      <c r="R140" s="17">
        <f t="shared" si="68"/>
        <v>6.2564366530468956</v>
      </c>
      <c r="S140" s="2">
        <f t="shared" si="58"/>
        <v>3.3884451160914613</v>
      </c>
      <c r="T140" s="19">
        <f>(P140)*IF(N140&lt;Forudsætninger!$B$228,IF(N140&lt;Forudsætninger!$B$227,Forudsætninger!$B$225,Forudsætninger!$C$9),Forudsætninger!$C$11)+O140</f>
        <v>16.680449195963643</v>
      </c>
      <c r="U140" s="2">
        <f>Forudsætninger!$D$68+((K140-(Forudsætninger!$D$84)))*0.01</f>
        <v>6.4283476305519871</v>
      </c>
      <c r="V140" s="2">
        <f>U140+Forudsætninger!$D$69</f>
        <v>6.4283476305519871</v>
      </c>
      <c r="W140">
        <f t="shared" si="59"/>
        <v>0</v>
      </c>
      <c r="X140">
        <f>IF(A140+Forudsætninger!$D$60&gt;248,IF(A140+Forudsætninger!$D$60&lt;365,IF(K140&gt;180,IF(K140&lt;260,1,0),0),0),0)</f>
        <v>0</v>
      </c>
      <c r="Y140" s="22">
        <f>IF(X140=0,0,IF('Vækstfunktion, kry tyr'!A140&lt;Forudsætninger!$D$66,Forudsætninger!$D$67+(('Vækstfunktion, kry tyr'!A140-Forudsætninger!$D$66)/7)*Forudsætninger!$D$64,Forudsætninger!$D$67))</f>
        <v>0</v>
      </c>
      <c r="Z140" s="19">
        <f t="shared" si="72"/>
        <v>2018.3829299647957</v>
      </c>
      <c r="AA140" s="19">
        <f>Forudsætninger!$D$62+Forudsætninger!$C$16</f>
        <v>2055</v>
      </c>
      <c r="AB140" s="19">
        <f>IF(K140&gt;Forudsætninger!$C$37,IF(K140&gt;Forudsætninger!$C$38,IF(K140&gt;Forudsætninger!$C$39,Forudsætninger!$E$39,Forudsætninger!$E$38+Forudsætninger!$F$39*(K140-Forudsætninger!$C$38)),Forudsætninger!$E$37+Forudsætninger!$F$38*(K140-Forudsætninger!$C$37)),Forudsætninger!$E$37)+IF(K140&gt;Forudsætninger!$C$39,Forudsætninger!$G$39,IF(K140&gt;Forudsætninger!$C$38,Forudsætninger!$G$38+Forudsætninger!$H$39*(K140-Forudsætninger!$C$38),IF(K140&gt;Forudsætninger!$C$37,Forudsætninger!$G$37+Forudsætninger!$H$38*(K140-Forudsætninger!$C$37),Forudsætninger!$G$37)))*(U140-Forudsætninger!$H$37)</f>
        <v>35.2428347630552</v>
      </c>
      <c r="AC140" s="19">
        <f>IF(K140&gt;Forudsætninger!$C$42,IF(K140&gt;Forudsætninger!$C$43,IF(K140&gt;Forudsætninger!$C$44,Forudsætninger!$E$44,Forudsætninger!$E$43+Forudsætninger!$F$44*(K140-Forudsætninger!$C$43)),Forudsætninger!$E$42+Forudsætninger!$F$43*(K140-Forudsætninger!$C$42)),Forudsætninger!$E$42)+IF(K140&gt;Forudsætninger!$C$44,Forudsætninger!$G$44,IF(K140&gt;Forudsætninger!$C$43,Forudsætninger!$G$43+Forudsætninger!$H$44*(K140-Forudsætninger!$C$43),IF(K140&gt;Forudsætninger!$C$42,Forudsætninger!$G$42+Forudsætninger!$H$43*(K140-Forudsætninger!$C$42),Forudsætninger!$G$42)))*(V140-Forudsætninger!$H$42)</f>
        <v>30.257086907637994</v>
      </c>
      <c r="AD140" s="19">
        <f t="shared" si="60"/>
        <v>3899.3425872796724</v>
      </c>
      <c r="AE140" s="19">
        <f t="shared" si="61"/>
        <v>30.257086907637994</v>
      </c>
      <c r="AF140">
        <f>IF(G140&lt;=Forudsætninger!$C$97,Forudsætninger!$C$98,(IF(G140&lt;=Forudsætninger!$D$97,Forudsætninger!$D$98,IF(G140&lt;=Forudsætninger!$E$97,Forudsætninger!$E$98,IF(G140&lt;=Forudsætninger!$F$97,Forudsætninger!$F$98,IF(G140&lt;=Forudsætninger!$G$97,Forudsætninger!$G$98,IF(G140&lt;=Forudsætninger!$H$97,Forudsætninger!$H$98,IF(G140&lt;=Forudsætninger!$I$97,Forudsætninger!$I$98,Forudsætninger!$I$98))))))))</f>
        <v>3.2</v>
      </c>
      <c r="AG140" s="1">
        <f t="shared" si="69"/>
        <v>3.2</v>
      </c>
      <c r="AH140" s="1">
        <f t="shared" si="73"/>
        <v>334.59999999999923</v>
      </c>
      <c r="AI140" s="1">
        <f t="shared" si="62"/>
        <v>2.4246376811594148</v>
      </c>
      <c r="AJ140" s="20">
        <f>+(W140*Forudsætninger!$C$12)</f>
        <v>0</v>
      </c>
      <c r="AK140" s="20">
        <f>Forudsætninger!$C$17</f>
        <v>250</v>
      </c>
      <c r="AL140" s="20">
        <f>IF(A140&lt;92,Forudsætninger!$C$20,Forudsætninger!$C$21)</f>
        <v>1.0566762728146013</v>
      </c>
      <c r="AM140" s="20">
        <f t="shared" si="70"/>
        <v>414.32680850170505</v>
      </c>
      <c r="AN140" s="19">
        <f>IFERROR(AD140+AJ140-AA140-Z140-AK140-AM140-Forudsætninger!$D$75,-99999)</f>
        <v>-1056.2591248877886</v>
      </c>
      <c r="AO140" s="57">
        <f>IFERROR(AN140/(A140+Forudsætninger!$D$74),-99999)</f>
        <v>-7.654051629621657</v>
      </c>
      <c r="AP140" s="19">
        <f>IFERROR(((365/(A140+Forudsætninger!$D$74))*AN140)/(AI140+Forudsætninger!$D$73),-99999)</f>
        <v>-1102.2201972212354</v>
      </c>
      <c r="AQ140" s="18">
        <f t="shared" si="74"/>
        <v>138</v>
      </c>
      <c r="AR140" s="18">
        <f t="shared" si="75"/>
        <v>4737.7097384665012</v>
      </c>
      <c r="AS140" s="50">
        <f t="shared" si="76"/>
        <v>5.7</v>
      </c>
      <c r="AT140" s="50">
        <f t="shared" si="77"/>
        <v>8.2236447124878396</v>
      </c>
      <c r="AU140" s="50">
        <f t="shared" si="78"/>
        <v>0.11589559373802505</v>
      </c>
      <c r="AV140" s="2">
        <f t="shared" si="79"/>
        <v>19.193520861432262</v>
      </c>
      <c r="AW140" s="16">
        <f t="shared" si="71"/>
        <v>-4.6516834520730699</v>
      </c>
      <c r="AZ140" s="16"/>
      <c r="BA140" s="2"/>
    </row>
    <row r="141" spans="1:53" x14ac:dyDescent="0.25">
      <c r="A141">
        <v>139</v>
      </c>
      <c r="B141" s="1">
        <f>ROUND((A141+Forudsætninger!$D$60)/30.4,1)</f>
        <v>5.7</v>
      </c>
      <c r="C141" s="1">
        <f>VLOOKUP((A141+Forudsætninger!$D$60),'Model tilvækst, slagteform, fe'!A:C,3,FALSE)</f>
        <v>291.40189862796132</v>
      </c>
      <c r="D141" s="3">
        <f t="shared" si="80"/>
        <v>1854.023623172111</v>
      </c>
      <c r="E141" s="3">
        <f>(1+Forudsætninger!$D$78)*C141</f>
        <v>244.77759484748751</v>
      </c>
      <c r="F141" s="2">
        <f t="shared" si="81"/>
        <v>2.1088141853343685</v>
      </c>
      <c r="G141" s="1">
        <f t="shared" si="56"/>
        <v>246.88640903282189</v>
      </c>
      <c r="H141" s="3">
        <f t="shared" si="63"/>
        <v>1483.2188985377286</v>
      </c>
      <c r="I141" s="3">
        <f t="shared" si="64"/>
        <v>1258.1756045526754</v>
      </c>
      <c r="J141" s="1">
        <f>VLOOKUP((A141+Forudsætninger!$D$60),'Model tilvækst, slagteform, fe'!G:K,3,FALSE)*(1+Forudsætninger!$D$79)</f>
        <v>52.543824850243446</v>
      </c>
      <c r="K141" s="17">
        <f t="shared" si="57"/>
        <v>129.72356234126156</v>
      </c>
      <c r="L141" s="17">
        <f t="shared" si="65"/>
        <v>849.86742202806909</v>
      </c>
      <c r="M141" s="3">
        <f>((K141-(('Model tilvækst, slagteform, fe'!$I$9/100)*'Model tilvækst, slagteform, fe'!$C$9))*1000/(A141+Forudsætninger!$D$60))</f>
        <v>624.30635482596665</v>
      </c>
      <c r="N141" s="17">
        <f t="shared" si="66"/>
        <v>594.02716043935277</v>
      </c>
      <c r="O141" s="19">
        <f>IF( A141&lt;Forudsætninger!$C$14,(G141/100)*Forudsætninger!$C$13,(Forudsætninger!$C$15/1000)*Forudsætninger!$C$13)</f>
        <v>1.6047616587133424</v>
      </c>
      <c r="P141" s="17" cm="1">
        <f t="array" ref="P141">INDEX('Model tilvækst, slagteform, fe'!$O$9:$O$375,MATCH(MIN(ABS('Model tilvækst, slagteform, fe'!$M$9:$M$375-G141)),ABS('Model tilvækst, slagteform, fe'!$M$9:$M$375-G141),0))*(1+Forudsætninger!$D$80)</f>
        <v>6.4599677141585579</v>
      </c>
      <c r="Q141" s="17">
        <f t="shared" si="67"/>
        <v>7.6011475986959303</v>
      </c>
      <c r="R141" s="17">
        <f t="shared" si="68"/>
        <v>6.268496372311315</v>
      </c>
      <c r="S141" s="2">
        <f t="shared" si="58"/>
        <v>3.3966456497363864</v>
      </c>
      <c r="T141" s="19">
        <f>(P141)*IF(N141&lt;Forudsætninger!$B$228,IF(N141&lt;Forudsætninger!$B$227,Forudsætninger!$B$225,Forudsætninger!$C$9),Forudsætninger!$C$11)+O141</f>
        <v>16.721086109844368</v>
      </c>
      <c r="U141" s="2">
        <f>Forudsætninger!$D$68+((K141-(Forudsætninger!$D$84)))*0.01</f>
        <v>6.4368463047722679</v>
      </c>
      <c r="V141" s="2">
        <f>U141+Forudsætninger!$D$69</f>
        <v>6.4368463047722679</v>
      </c>
      <c r="W141">
        <f t="shared" si="59"/>
        <v>0</v>
      </c>
      <c r="X141">
        <f>IF(A141+Forudsætninger!$D$60&gt;248,IF(A141+Forudsætninger!$D$60&lt;365,IF(K141&gt;180,IF(K141&lt;260,1,0),0),0),0)</f>
        <v>0</v>
      </c>
      <c r="Y141" s="22">
        <f>IF(X141=0,0,IF('Vækstfunktion, kry tyr'!A141&lt;Forudsætninger!$D$66,Forudsætninger!$D$67+(('Vækstfunktion, kry tyr'!A141-Forudsætninger!$D$66)/7)*Forudsætninger!$D$64,Forudsætninger!$D$67))</f>
        <v>0</v>
      </c>
      <c r="Z141" s="19">
        <f t="shared" si="72"/>
        <v>2035.1040160746402</v>
      </c>
      <c r="AA141" s="19">
        <f>Forudsætninger!$D$62+Forudsætninger!$C$16</f>
        <v>2055</v>
      </c>
      <c r="AB141" s="19">
        <f>IF(K141&gt;Forudsætninger!$C$37,IF(K141&gt;Forudsætninger!$C$38,IF(K141&gt;Forudsætninger!$C$39,Forudsætninger!$E$39,Forudsætninger!$E$38+Forudsætninger!$F$39*(K141-Forudsætninger!$C$38)),Forudsætninger!$E$37+Forudsætninger!$F$38*(K141-Forudsætninger!$C$37)),Forudsætninger!$E$37)+IF(K141&gt;Forudsætninger!$C$39,Forudsætninger!$G$39,IF(K141&gt;Forudsætninger!$C$38,Forudsætninger!$G$38+Forudsætninger!$H$39*(K141-Forudsætninger!$C$38),IF(K141&gt;Forudsætninger!$C$37,Forudsætninger!$G$37+Forudsætninger!$H$38*(K141-Forudsætninger!$C$37),Forudsætninger!$G$37)))*(U141-Forudsætninger!$H$37)</f>
        <v>35.243684630477226</v>
      </c>
      <c r="AC141" s="19">
        <f>IF(K141&gt;Forudsætninger!$C$42,IF(K141&gt;Forudsætninger!$C$43,IF(K141&gt;Forudsætninger!$C$44,Forudsætninger!$E$44,Forudsætninger!$E$43+Forudsætninger!$F$44*(K141-Forudsætninger!$C$43)),Forudsætninger!$E$42+Forudsætninger!$F$43*(K141-Forudsætninger!$C$42)),Forudsætninger!$E$42)+IF(K141&gt;Forudsætninger!$C$44,Forudsætninger!$G$44,IF(K141&gt;Forudsætninger!$C$43,Forudsætninger!$G$43+Forudsætninger!$H$44*(K141-Forudsætninger!$C$43),IF(K141&gt;Forudsætninger!$C$42,Forudsætninger!$G$42+Forudsætninger!$H$43*(K141-Forudsætninger!$C$42),Forudsætninger!$G$42)))*(V141-Forudsætninger!$H$42)</f>
        <v>30.259211576193067</v>
      </c>
      <c r="AD141" s="19">
        <f t="shared" si="60"/>
        <v>3925.3327193017049</v>
      </c>
      <c r="AE141" s="19">
        <f t="shared" si="61"/>
        <v>30.259211576193067</v>
      </c>
      <c r="AF141">
        <f>IF(G141&lt;=Forudsætninger!$C$97,Forudsætninger!$C$98,(IF(G141&lt;=Forudsætninger!$D$97,Forudsætninger!$D$98,IF(G141&lt;=Forudsætninger!$E$97,Forudsætninger!$E$98,IF(G141&lt;=Forudsætninger!$F$97,Forudsætninger!$F$98,IF(G141&lt;=Forudsætninger!$G$97,Forudsætninger!$G$98,IF(G141&lt;=Forudsætninger!$H$97,Forudsætninger!$H$98,IF(G141&lt;=Forudsætninger!$I$97,Forudsætninger!$I$98,Forudsætninger!$I$98))))))))</f>
        <v>3.2</v>
      </c>
      <c r="AG141" s="1">
        <f t="shared" si="69"/>
        <v>3.2</v>
      </c>
      <c r="AH141" s="1">
        <f t="shared" si="73"/>
        <v>337.79999999999922</v>
      </c>
      <c r="AI141" s="1">
        <f t="shared" si="62"/>
        <v>2.4302158273381238</v>
      </c>
      <c r="AJ141" s="20">
        <f>+(W141*Forudsætninger!$C$12)</f>
        <v>0</v>
      </c>
      <c r="AK141" s="20">
        <f>Forudsætninger!$C$17</f>
        <v>250</v>
      </c>
      <c r="AL141" s="20">
        <f>IF(A141&lt;92,Forudsætninger!$C$20,Forudsætninger!$C$21)</f>
        <v>1.0566762728146013</v>
      </c>
      <c r="AM141" s="20">
        <f t="shared" si="70"/>
        <v>415.38348477451967</v>
      </c>
      <c r="AN141" s="19">
        <f>IFERROR(AD141+AJ141-AA141-Z141-AK141-AM141-Forudsætninger!$D$75,-99999)</f>
        <v>-1048.0467552484154</v>
      </c>
      <c r="AO141" s="57">
        <f>IFERROR(AN141/(A141+Forudsætninger!$D$74),-99999)</f>
        <v>-7.5399047140173767</v>
      </c>
      <c r="AP141" s="19">
        <f>IFERROR(((365/(A141+Forudsætninger!$D$74))*AN141)/(AI141+Forudsætninger!$D$73),-99999)</f>
        <v>-1083.3981864841046</v>
      </c>
      <c r="AQ141" s="18">
        <f t="shared" si="74"/>
        <v>139</v>
      </c>
      <c r="AR141" s="18">
        <f t="shared" si="75"/>
        <v>4755.487500849159</v>
      </c>
      <c r="AS141" s="50">
        <f t="shared" si="76"/>
        <v>5.7</v>
      </c>
      <c r="AT141" s="50">
        <f t="shared" si="77"/>
        <v>8.2123696393732644</v>
      </c>
      <c r="AU141" s="50">
        <f t="shared" si="78"/>
        <v>0.11414691560428025</v>
      </c>
      <c r="AV141" s="2">
        <f t="shared" si="79"/>
        <v>18.822010737130768</v>
      </c>
      <c r="AW141" s="16">
        <f t="shared" si="71"/>
        <v>-4.551534319956084</v>
      </c>
      <c r="AZ141" s="16"/>
      <c r="BA141" s="2"/>
    </row>
    <row r="142" spans="1:53" x14ac:dyDescent="0.25">
      <c r="A142">
        <v>140</v>
      </c>
      <c r="B142" s="1">
        <f>ROUND((A142+Forudsætninger!$D$60)/30.4,1)</f>
        <v>5.7</v>
      </c>
      <c r="C142" s="1">
        <f>VLOOKUP((A142+Forudsætninger!$D$60),'Model tilvækst, slagteform, fe'!A:C,3,FALSE)</f>
        <v>293.25530758836902</v>
      </c>
      <c r="D142" s="3">
        <f t="shared" si="80"/>
        <v>1853.4089604077053</v>
      </c>
      <c r="E142" s="3">
        <f>(1+Forudsætninger!$D$78)*C142</f>
        <v>246.33445837422997</v>
      </c>
      <c r="F142" s="2">
        <f t="shared" si="81"/>
        <v>2.0346778269180601</v>
      </c>
      <c r="G142" s="1">
        <f t="shared" si="56"/>
        <v>248.36913620114802</v>
      </c>
      <c r="H142" s="3">
        <f t="shared" si="63"/>
        <v>1482.7271683261358</v>
      </c>
      <c r="I142" s="3">
        <f t="shared" si="64"/>
        <v>1259.7795442939146</v>
      </c>
      <c r="J142" s="1">
        <f>VLOOKUP((A142+Forudsætninger!$D$60),'Model tilvækst, slagteform, fe'!G:K,3,FALSE)*(1+Forudsætninger!$D$79)</f>
        <v>52.57265294850378</v>
      </c>
      <c r="K142" s="17">
        <f t="shared" si="57"/>
        <v>130.57424400622622</v>
      </c>
      <c r="L142" s="17">
        <f t="shared" si="65"/>
        <v>850.68166496466802</v>
      </c>
      <c r="M142" s="3">
        <f>((K142-(('Model tilvækst, slagteform, fe'!$I$9/100)*'Model tilvækst, slagteform, fe'!$C$9))*1000/(A142+Forudsætninger!$D$60))</f>
        <v>625.60736235549939</v>
      </c>
      <c r="N142" s="17">
        <f t="shared" si="66"/>
        <v>600.51293866360015</v>
      </c>
      <c r="O142" s="19">
        <f>IF( A142&lt;Forudsætninger!$C$14,(G142/100)*Forudsætninger!$C$13,(Forudsætninger!$C$15/1000)*Forudsætninger!$C$13)</f>
        <v>1.6143993853074623</v>
      </c>
      <c r="P142" s="17" cm="1">
        <f t="array" ref="P142">INDEX('Model tilvækst, slagteform, fe'!$O$9:$O$375,MATCH(MIN(ABS('Model tilvækst, slagteform, fe'!$M$9:$M$375-G142)),ABS('Model tilvækst, slagteform, fe'!$M$9:$M$375-G142),0))*(1+Forudsætninger!$D$80)</f>
        <v>6.485778224247337</v>
      </c>
      <c r="Q142" s="17">
        <f t="shared" si="67"/>
        <v>7.6242130180585423</v>
      </c>
      <c r="R142" s="17">
        <f t="shared" si="68"/>
        <v>6.2805581653871512</v>
      </c>
      <c r="S142" s="2">
        <f t="shared" si="58"/>
        <v>3.4048640912926991</v>
      </c>
      <c r="T142" s="19">
        <f>(P142)*IF(N142&lt;Forudsætninger!$B$228,IF(N142&lt;Forudsætninger!$B$227,Forudsætninger!$B$225,Forudsætninger!$C$9),Forudsætninger!$C$11)+O142</f>
        <v>16.791120430046231</v>
      </c>
      <c r="U142" s="2">
        <f>Forudsætninger!$D$68+((K142-(Forudsætninger!$D$84)))*0.01</f>
        <v>6.4453531214219142</v>
      </c>
      <c r="V142" s="2">
        <f>U142+Forudsætninger!$D$69</f>
        <v>6.4453531214219142</v>
      </c>
      <c r="W142">
        <f t="shared" si="59"/>
        <v>1</v>
      </c>
      <c r="X142">
        <f>IF(A142+Forudsætninger!$D$60&gt;248,IF(A142+Forudsætninger!$D$60&lt;365,IF(K142&gt;180,IF(K142&lt;260,1,0),0),0),0)</f>
        <v>0</v>
      </c>
      <c r="Y142" s="22">
        <f>IF(X142=0,0,IF('Vækstfunktion, kry tyr'!A142&lt;Forudsætninger!$D$66,Forudsætninger!$D$67+(('Vækstfunktion, kry tyr'!A142-Forudsætninger!$D$66)/7)*Forudsætninger!$D$64,Forudsætninger!$D$67))</f>
        <v>0</v>
      </c>
      <c r="Z142" s="19">
        <f t="shared" si="72"/>
        <v>2051.8951365046864</v>
      </c>
      <c r="AA142" s="19">
        <f>Forudsætninger!$D$62+Forudsætninger!$C$16</f>
        <v>2055</v>
      </c>
      <c r="AB142" s="19">
        <f>IF(K142&gt;Forudsætninger!$C$37,IF(K142&gt;Forudsætninger!$C$38,IF(K142&gt;Forudsætninger!$C$39,Forudsætninger!$E$39,Forudsætninger!$E$38+Forudsætninger!$F$39*(K142-Forudsætninger!$C$38)),Forudsætninger!$E$37+Forudsætninger!$F$38*(K142-Forudsætninger!$C$37)),Forudsætninger!$E$37)+IF(K142&gt;Forudsætninger!$C$39,Forudsætninger!$G$39,IF(K142&gt;Forudsætninger!$C$38,Forudsætninger!$G$38+Forudsætninger!$H$39*(K142-Forudsætninger!$C$38),IF(K142&gt;Forudsætninger!$C$37,Forudsætninger!$G$37+Forudsætninger!$H$38*(K142-Forudsætninger!$C$37),Forudsætninger!$G$37)))*(U142-Forudsætninger!$H$37)</f>
        <v>35.24453531214219</v>
      </c>
      <c r="AC142" s="19">
        <f>IF(K142&gt;Forudsætninger!$C$42,IF(K142&gt;Forudsætninger!$C$43,IF(K142&gt;Forudsætninger!$C$44,Forudsætninger!$E$44,Forudsætninger!$E$43+Forudsætninger!$F$44*(K142-Forudsætninger!$C$43)),Forudsætninger!$E$42+Forudsætninger!$F$43*(K142-Forudsætninger!$C$42)),Forudsætninger!$E$42)+IF(K142&gt;Forudsætninger!$C$44,Forudsætninger!$G$44,IF(K142&gt;Forudsætninger!$C$43,Forudsætninger!$G$43+Forudsætninger!$H$44*(K142-Forudsætninger!$C$43),IF(K142&gt;Forudsætninger!$C$42,Forudsætninger!$G$42+Forudsætninger!$H$43*(K142-Forudsætninger!$C$42),Forudsætninger!$G$42)))*(V142-Forudsætninger!$H$42)</f>
        <v>30.261338280355478</v>
      </c>
      <c r="AD142" s="19">
        <f t="shared" si="60"/>
        <v>3951.3513685740904</v>
      </c>
      <c r="AE142" s="19">
        <f t="shared" si="61"/>
        <v>30.261338280355478</v>
      </c>
      <c r="AF142">
        <f>IF(G142&lt;=Forudsætninger!$C$97,Forudsætninger!$C$98,(IF(G142&lt;=Forudsætninger!$D$97,Forudsætninger!$D$98,IF(G142&lt;=Forudsætninger!$E$97,Forudsætninger!$E$98,IF(G142&lt;=Forudsætninger!$F$97,Forudsætninger!$F$98,IF(G142&lt;=Forudsætninger!$G$97,Forudsætninger!$G$98,IF(G142&lt;=Forudsætninger!$H$97,Forudsætninger!$H$98,IF(G142&lt;=Forudsætninger!$I$97,Forudsætninger!$I$98,Forudsætninger!$I$98))))))))</f>
        <v>3.2</v>
      </c>
      <c r="AG142" s="1">
        <f t="shared" si="69"/>
        <v>3.2</v>
      </c>
      <c r="AH142" s="1">
        <f t="shared" si="73"/>
        <v>340.9999999999992</v>
      </c>
      <c r="AI142" s="1">
        <f t="shared" si="62"/>
        <v>2.4357142857142802</v>
      </c>
      <c r="AJ142" s="20">
        <f>+(W142*Forudsætninger!$C$12)</f>
        <v>900</v>
      </c>
      <c r="AK142" s="20">
        <f>Forudsætninger!$C$17</f>
        <v>250</v>
      </c>
      <c r="AL142" s="20">
        <f>IF(A142&lt;92,Forudsætninger!$C$20,Forudsætninger!$C$21)</f>
        <v>1.0566762728146013</v>
      </c>
      <c r="AM142" s="20">
        <f t="shared" si="70"/>
        <v>416.4401610473343</v>
      </c>
      <c r="AN142" s="19">
        <f>IFERROR(AD142+AJ142-AA142-Z142-AK142-AM142-Forudsætninger!$D$75,-99999)</f>
        <v>-139.87590267889007</v>
      </c>
      <c r="AO142" s="57">
        <f>IFERROR(AN142/(A142+Forudsætninger!$D$74),-99999)</f>
        <v>-0.99911359056350046</v>
      </c>
      <c r="AP142" s="19">
        <f>IFERROR(((365/(A142+Forudsætninger!$D$74))*AN142)/(AI142+Forudsætninger!$D$73),-99999)</f>
        <v>-143.25113489841468</v>
      </c>
      <c r="AQ142" s="18">
        <f t="shared" si="74"/>
        <v>140</v>
      </c>
      <c r="AR142" s="18">
        <f t="shared" si="75"/>
        <v>4773.3352975520211</v>
      </c>
      <c r="AS142" s="50">
        <f t="shared" si="76"/>
        <v>5.7</v>
      </c>
      <c r="AT142" s="50">
        <f t="shared" si="77"/>
        <v>908.17085256952532</v>
      </c>
      <c r="AU142" s="50">
        <f t="shared" si="78"/>
        <v>6.540791123453876</v>
      </c>
      <c r="AV142" s="2">
        <f t="shared" si="79"/>
        <v>940.14705158568995</v>
      </c>
      <c r="AW142" s="16">
        <f t="shared" si="71"/>
        <v>1.9754589883460305</v>
      </c>
      <c r="AZ142" s="16"/>
      <c r="BA142" s="2"/>
    </row>
    <row r="143" spans="1:53" x14ac:dyDescent="0.25">
      <c r="A143">
        <v>141</v>
      </c>
      <c r="B143" s="1">
        <f>ROUND((A143+Forudsætninger!$D$60)/30.4,1)</f>
        <v>5.8</v>
      </c>
      <c r="C143" s="1">
        <f>VLOOKUP((A143+Forudsætninger!$D$60),'Model tilvækst, slagteform, fe'!A:C,3,FALSE)</f>
        <v>295.10803089867619</v>
      </c>
      <c r="D143" s="3">
        <f t="shared" si="80"/>
        <v>1852.7233103071694</v>
      </c>
      <c r="E143" s="3">
        <f>(1+Forudsætninger!$D$78)*C143</f>
        <v>247.89074595488799</v>
      </c>
      <c r="F143" s="2">
        <f t="shared" si="81"/>
        <v>1.9605688945057733</v>
      </c>
      <c r="G143" s="1">
        <f t="shared" si="56"/>
        <v>249.85131484939376</v>
      </c>
      <c r="H143" s="3">
        <f t="shared" si="63"/>
        <v>1482.1786482457355</v>
      </c>
      <c r="I143" s="3">
        <f t="shared" si="64"/>
        <v>1261.356842903502</v>
      </c>
      <c r="J143" s="1">
        <f>VLOOKUP((A143+Forudsætninger!$D$60),'Model tilvækst, slagteform, fe'!G:K,3,FALSE)*(1+Forudsætninger!$D$79)</f>
        <v>52.601569132662028</v>
      </c>
      <c r="K143" s="17">
        <f t="shared" si="57"/>
        <v>131.42571210936893</v>
      </c>
      <c r="L143" s="17">
        <f t="shared" si="65"/>
        <v>851.46810314270738</v>
      </c>
      <c r="M143" s="3">
        <f>((K143-(('Model tilvækst, slagteform, fe'!$I$9/100)*'Model tilvækst, slagteform, fe'!$C$9))*1000/(A143+Forudsætninger!$D$60))</f>
        <v>626.89799515999766</v>
      </c>
      <c r="N143" s="17">
        <f t="shared" si="66"/>
        <v>607.01128896029604</v>
      </c>
      <c r="O143" s="19">
        <f>IF( A143&lt;Forudsætninger!$C$14,(G143/100)*Forudsætninger!$C$13,(Forudsætninger!$C$15/1000)*Forudsætninger!$C$13)</f>
        <v>1.6240335465210596</v>
      </c>
      <c r="P143" s="17" cm="1">
        <f t="array" ref="P143">INDEX('Model tilvækst, slagteform, fe'!$O$9:$O$375,MATCH(MIN(ABS('Model tilvækst, slagteform, fe'!$M$9:$M$375-G143)),ABS('Model tilvækst, slagteform, fe'!$M$9:$M$375-G143),0))*(1+Forudsætninger!$D$80)</f>
        <v>6.4983502966958682</v>
      </c>
      <c r="Q143" s="17">
        <f t="shared" si="67"/>
        <v>7.6319362671495572</v>
      </c>
      <c r="R143" s="17">
        <f t="shared" si="68"/>
        <v>6.2924862515614111</v>
      </c>
      <c r="S143" s="2">
        <f t="shared" si="58"/>
        <v>3.4130267154579048</v>
      </c>
      <c r="T143" s="19">
        <f>(P143)*IF(N143&lt;Forudsætninger!$B$228,IF(N143&lt;Forudsætninger!$B$227,Forudsætninger!$B$225,Forudsætninger!$C$9),Forudsætninger!$C$11)+O143</f>
        <v>16.830173240789389</v>
      </c>
      <c r="U143" s="2">
        <f>Forudsætninger!$D$68+((K143-(Forudsætninger!$D$84)))*0.01</f>
        <v>6.4538678024533418</v>
      </c>
      <c r="V143" s="2">
        <f>U143+Forudsætninger!$D$69</f>
        <v>6.4538678024533418</v>
      </c>
      <c r="W143">
        <f t="shared" si="59"/>
        <v>1</v>
      </c>
      <c r="X143">
        <f>IF(A143+Forudsætninger!$D$60&gt;248,IF(A143+Forudsætninger!$D$60&lt;365,IF(K143&gt;180,IF(K143&lt;260,1,0),0),0),0)</f>
        <v>0</v>
      </c>
      <c r="Y143" s="22">
        <f>IF(X143=0,0,IF('Vækstfunktion, kry tyr'!A143&lt;Forudsætninger!$D$66,Forudsætninger!$D$67+(('Vækstfunktion, kry tyr'!A143-Forudsætninger!$D$66)/7)*Forudsætninger!$D$64,Forudsætninger!$D$67))</f>
        <v>0</v>
      </c>
      <c r="Z143" s="19">
        <f t="shared" si="72"/>
        <v>2068.7253097454759</v>
      </c>
      <c r="AA143" s="19">
        <f>Forudsætninger!$D$62+Forudsætninger!$C$16</f>
        <v>2055</v>
      </c>
      <c r="AB143" s="19">
        <f>IF(K143&gt;Forudsætninger!$C$37,IF(K143&gt;Forudsætninger!$C$38,IF(K143&gt;Forudsætninger!$C$39,Forudsætninger!$E$39,Forudsætninger!$E$38+Forudsætninger!$F$39*(K143-Forudsætninger!$C$38)),Forudsætninger!$E$37+Forudsætninger!$F$38*(K143-Forudsætninger!$C$37)),Forudsætninger!$E$37)+IF(K143&gt;Forudsætninger!$C$39,Forudsætninger!$G$39,IF(K143&gt;Forudsætninger!$C$38,Forudsætninger!$G$38+Forudsætninger!$H$39*(K143-Forudsætninger!$C$38),IF(K143&gt;Forudsætninger!$C$37,Forudsætninger!$G$37+Forudsætninger!$H$38*(K143-Forudsætninger!$C$37),Forudsætninger!$G$37)))*(U143-Forudsætninger!$H$37)</f>
        <v>35.245386780245333</v>
      </c>
      <c r="AC143" s="19">
        <f>IF(K143&gt;Forudsætninger!$C$42,IF(K143&gt;Forudsætninger!$C$43,IF(K143&gt;Forudsætninger!$C$44,Forudsætninger!$E$44,Forudsætninger!$E$43+Forudsætninger!$F$44*(K143-Forudsætninger!$C$43)),Forudsætninger!$E$42+Forudsætninger!$F$43*(K143-Forudsætninger!$C$42)),Forudsætninger!$E$42)+IF(K143&gt;Forudsætninger!$C$44,Forudsætninger!$G$44,IF(K143&gt;Forudsætninger!$C$43,Forudsætninger!$G$43+Forudsætninger!$H$44*(K143-Forudsætninger!$C$43),IF(K143&gt;Forudsætninger!$C$42,Forudsætninger!$G$42+Forudsætninger!$H$43*(K143-Forudsætninger!$C$42),Forudsætninger!$G$42)))*(V143-Forudsætninger!$H$42)</f>
        <v>30.263466950613335</v>
      </c>
      <c r="AD143" s="19">
        <f t="shared" si="60"/>
        <v>3977.3976948827094</v>
      </c>
      <c r="AE143" s="19">
        <f t="shared" si="61"/>
        <v>30.263466950613335</v>
      </c>
      <c r="AF143">
        <f>IF(G143&lt;=Forudsætninger!$C$97,Forudsætninger!$C$98,(IF(G143&lt;=Forudsætninger!$D$97,Forudsætninger!$D$98,IF(G143&lt;=Forudsætninger!$E$97,Forudsætninger!$E$98,IF(G143&lt;=Forudsætninger!$F$97,Forudsætninger!$F$98,IF(G143&lt;=Forudsætninger!$G$97,Forudsætninger!$G$98,IF(G143&lt;=Forudsætninger!$H$97,Forudsætninger!$H$98,IF(G143&lt;=Forudsætninger!$I$97,Forudsætninger!$I$98,Forudsætninger!$I$98))))))))</f>
        <v>3.2</v>
      </c>
      <c r="AG143" s="1">
        <f t="shared" si="69"/>
        <v>3.2</v>
      </c>
      <c r="AH143" s="1">
        <f t="shared" si="73"/>
        <v>344.19999999999919</v>
      </c>
      <c r="AI143" s="1">
        <f t="shared" si="62"/>
        <v>2.4411347517730437</v>
      </c>
      <c r="AJ143" s="20">
        <f>+(W143*Forudsætninger!$C$12)</f>
        <v>900</v>
      </c>
      <c r="AK143" s="20">
        <f>Forudsætninger!$C$17</f>
        <v>250</v>
      </c>
      <c r="AL143" s="20">
        <f>IF(A143&lt;92,Forudsætninger!$C$20,Forudsætninger!$C$21)</f>
        <v>1.0566762728146013</v>
      </c>
      <c r="AM143" s="20">
        <f t="shared" si="70"/>
        <v>417.49683732014893</v>
      </c>
      <c r="AN143" s="19">
        <f>IFERROR(AD143+AJ143-AA143-Z143-AK143-AM143-Forudsætninger!$D$75,-99999)</f>
        <v>-131.71642588387564</v>
      </c>
      <c r="AO143" s="57">
        <f>IFERROR(AN143/(A143+Forudsætninger!$D$74),-99999)</f>
        <v>-0.93415904882181311</v>
      </c>
      <c r="AP143" s="19">
        <f>IFERROR(((365/(A143+Forudsætninger!$D$74))*AN143)/(AI143+Forudsætninger!$D$73),-99999)</f>
        <v>-133.65348599598209</v>
      </c>
      <c r="AQ143" s="18">
        <f t="shared" si="74"/>
        <v>141</v>
      </c>
      <c r="AR143" s="18">
        <f t="shared" si="75"/>
        <v>4791.222147065625</v>
      </c>
      <c r="AS143" s="50">
        <f t="shared" si="76"/>
        <v>5.8</v>
      </c>
      <c r="AT143" s="50">
        <f t="shared" si="77"/>
        <v>8.1594767950144274</v>
      </c>
      <c r="AU143" s="50">
        <f t="shared" si="78"/>
        <v>6.4954541741687355E-2</v>
      </c>
      <c r="AV143" s="2">
        <f t="shared" si="79"/>
        <v>9.5976489024325815</v>
      </c>
      <c r="AW143" s="16">
        <f t="shared" si="71"/>
        <v>2.0268114286260519</v>
      </c>
      <c r="AZ143" s="16"/>
      <c r="BA143" s="2"/>
    </row>
    <row r="144" spans="1:53" x14ac:dyDescent="0.25">
      <c r="A144">
        <v>142</v>
      </c>
      <c r="B144" s="1">
        <f>ROUND((A144+Forudsætninger!$D$60)/30.4,1)</f>
        <v>5.8</v>
      </c>
      <c r="C144" s="1">
        <f>VLOOKUP((A144+Forudsætninger!$D$60),'Model tilvækst, slagteform, fe'!A:C,3,FALSE)</f>
        <v>296.95999819248362</v>
      </c>
      <c r="D144" s="3">
        <f t="shared" si="80"/>
        <v>1851.9672938074336</v>
      </c>
      <c r="E144" s="3">
        <f>(1+Forudsætninger!$D$78)*C144</f>
        <v>249.44639848168623</v>
      </c>
      <c r="F144" s="2">
        <f t="shared" si="81"/>
        <v>1.886490202753476</v>
      </c>
      <c r="G144" s="1">
        <f t="shared" si="56"/>
        <v>251.33288868443969</v>
      </c>
      <c r="H144" s="3">
        <f t="shared" si="63"/>
        <v>1481.5738350459355</v>
      </c>
      <c r="I144" s="3">
        <f t="shared" si="64"/>
        <v>1262.9076667918289</v>
      </c>
      <c r="J144" s="1">
        <f>VLOOKUP((A144+Forudsætninger!$D$60),'Model tilvækst, slagteform, fe'!G:K,3,FALSE)*(1+Forudsætninger!$D$79)</f>
        <v>52.630572821899385</v>
      </c>
      <c r="K144" s="17">
        <f t="shared" si="57"/>
        <v>132.27793900444735</v>
      </c>
      <c r="L144" s="17">
        <f t="shared" si="65"/>
        <v>852.22689507841665</v>
      </c>
      <c r="M144" s="3">
        <f>((K144-(('Model tilvækst, slagteform, fe'!$I$9/100)*'Model tilvækst, slagteform, fe'!$C$9))*1000/(A144+Forudsætninger!$D$60))</f>
        <v>628.17827300044326</v>
      </c>
      <c r="N144" s="17">
        <f t="shared" si="66"/>
        <v>613.52199434929446</v>
      </c>
      <c r="O144" s="19">
        <f>IF( A144&lt;Forudsætninger!$C$14,(G144/100)*Forudsætninger!$C$13,(Forudsætninger!$C$15/1000)*Forudsætninger!$C$13)</f>
        <v>1.6336637764488582</v>
      </c>
      <c r="P144" s="17" cm="1">
        <f t="array" ref="P144">INDEX('Model tilvækst, slagteform, fe'!$O$9:$O$375,MATCH(MIN(ABS('Model tilvækst, slagteform, fe'!$M$9:$M$375-G144)),ABS('Model tilvækst, slagteform, fe'!$M$9:$M$375-G144),0))*(1+Forudsætninger!$D$80)</f>
        <v>6.5107053889984545</v>
      </c>
      <c r="Q144" s="17">
        <f t="shared" si="67"/>
        <v>7.6396384889957973</v>
      </c>
      <c r="R144" s="17">
        <f t="shared" si="68"/>
        <v>6.3042834125202605</v>
      </c>
      <c r="S144" s="2">
        <f t="shared" si="58"/>
        <v>3.4211348450917378</v>
      </c>
      <c r="T144" s="19">
        <f>(P144)*IF(N144&lt;Forudsætninger!$B$228,IF(N144&lt;Forudsætninger!$B$227,Forudsætninger!$B$225,Forudsætninger!$C$9),Forudsætninger!$C$11)+O144</f>
        <v>16.868714386705243</v>
      </c>
      <c r="U144" s="2">
        <f>Forudsætninger!$D$68+((K144-(Forudsætninger!$D$84)))*0.01</f>
        <v>6.4623900714041262</v>
      </c>
      <c r="V144" s="2">
        <f>U144+Forudsætninger!$D$69</f>
        <v>6.4623900714041262</v>
      </c>
      <c r="W144">
        <f t="shared" si="59"/>
        <v>1</v>
      </c>
      <c r="X144">
        <f>IF(A144+Forudsætninger!$D$60&gt;248,IF(A144+Forudsætninger!$D$60&lt;365,IF(K144&gt;180,IF(K144&lt;260,1,0),0),0),0)</f>
        <v>0</v>
      </c>
      <c r="Y144" s="22">
        <f>IF(X144=0,0,IF('Vækstfunktion, kry tyr'!A144&lt;Forudsætninger!$D$66,Forudsætninger!$D$67+(('Vækstfunktion, kry tyr'!A144-Forudsætninger!$D$66)/7)*Forudsætninger!$D$64,Forudsætninger!$D$67))</f>
        <v>0</v>
      </c>
      <c r="Z144" s="19">
        <f t="shared" si="72"/>
        <v>2085.5940241321809</v>
      </c>
      <c r="AA144" s="19">
        <f>Forudsætninger!$D$62+Forudsætninger!$C$16</f>
        <v>2055</v>
      </c>
      <c r="AB144" s="19">
        <f>IF(K144&gt;Forudsætninger!$C$37,IF(K144&gt;Forudsætninger!$C$38,IF(K144&gt;Forudsætninger!$C$39,Forudsætninger!$E$39,Forudsætninger!$E$38+Forudsætninger!$F$39*(K144-Forudsætninger!$C$38)),Forudsætninger!$E$37+Forudsætninger!$F$38*(K144-Forudsætninger!$C$37)),Forudsætninger!$E$37)+IF(K144&gt;Forudsætninger!$C$39,Forudsætninger!$G$39,IF(K144&gt;Forudsætninger!$C$38,Forudsætninger!$G$38+Forudsætninger!$H$39*(K144-Forudsætninger!$C$38),IF(K144&gt;Forudsætninger!$C$37,Forudsætninger!$G$37+Forudsætninger!$H$38*(K144-Forudsætninger!$C$37),Forudsætninger!$G$37)))*(U144-Forudsætninger!$H$37)</f>
        <v>35.24623900714041</v>
      </c>
      <c r="AC144" s="19">
        <f>IF(K144&gt;Forudsætninger!$C$42,IF(K144&gt;Forudsætninger!$C$43,IF(K144&gt;Forudsætninger!$C$44,Forudsætninger!$E$44,Forudsætninger!$E$43+Forudsætninger!$F$44*(K144-Forudsætninger!$C$43)),Forudsætninger!$E$42+Forudsætninger!$F$43*(K144-Forudsætninger!$C$42)),Forudsætninger!$E$42)+IF(K144&gt;Forudsætninger!$C$44,Forudsætninger!$G$44,IF(K144&gt;Forudsætninger!$C$43,Forudsætninger!$G$43+Forudsætninger!$H$44*(K144-Forudsætninger!$C$43),IF(K144&gt;Forudsætninger!$C$42,Forudsætninger!$G$42+Forudsætninger!$H$43*(K144-Forudsætninger!$C$42),Forudsætninger!$G$42)))*(V144-Forudsætninger!$H$42)</f>
        <v>30.265597517851031</v>
      </c>
      <c r="AD144" s="19">
        <f t="shared" si="60"/>
        <v>4003.4708623994516</v>
      </c>
      <c r="AE144" s="19">
        <f t="shared" si="61"/>
        <v>30.265597517851031</v>
      </c>
      <c r="AF144">
        <f>IF(G144&lt;=Forudsætninger!$C$97,Forudsætninger!$C$98,(IF(G144&lt;=Forudsætninger!$D$97,Forudsætninger!$D$98,IF(G144&lt;=Forudsætninger!$E$97,Forudsætninger!$E$98,IF(G144&lt;=Forudsætninger!$F$97,Forudsætninger!$F$98,IF(G144&lt;=Forudsætninger!$G$97,Forudsætninger!$G$98,IF(G144&lt;=Forudsætninger!$H$97,Forudsætninger!$H$98,IF(G144&lt;=Forudsætninger!$I$97,Forudsætninger!$I$98,Forudsætninger!$I$98))))))))</f>
        <v>3.2</v>
      </c>
      <c r="AG144" s="1">
        <f t="shared" si="69"/>
        <v>3.2</v>
      </c>
      <c r="AH144" s="1">
        <f t="shared" si="73"/>
        <v>347.39999999999918</v>
      </c>
      <c r="AI144" s="1">
        <f t="shared" si="62"/>
        <v>2.4464788732394309</v>
      </c>
      <c r="AJ144" s="20">
        <f>+(W144*Forudsætninger!$C$12)</f>
        <v>900</v>
      </c>
      <c r="AK144" s="20">
        <f>Forudsætninger!$C$17</f>
        <v>250</v>
      </c>
      <c r="AL144" s="20">
        <f>IF(A144&lt;92,Forudsætninger!$C$20,Forudsætninger!$C$21)</f>
        <v>1.0566762728146013</v>
      </c>
      <c r="AM144" s="20">
        <f t="shared" si="70"/>
        <v>418.55351359296355</v>
      </c>
      <c r="AN144" s="19">
        <f>IFERROR(AD144+AJ144-AA144-Z144-AK144-AM144-Forudsætninger!$D$75,-99999)</f>
        <v>-123.56864902665271</v>
      </c>
      <c r="AO144" s="57">
        <f>IFERROR(AN144/(A144+Forudsætninger!$D$74),-99999)</f>
        <v>-0.87020175370882191</v>
      </c>
      <c r="AP144" s="19">
        <f>IFERROR(((365/(A144+Forudsætninger!$D$74))*AN144)/(AI144+Forudsætninger!$D$73),-99999)</f>
        <v>-124.24262270598959</v>
      </c>
      <c r="AQ144" s="18">
        <f t="shared" si="74"/>
        <v>142</v>
      </c>
      <c r="AR144" s="18">
        <f t="shared" si="75"/>
        <v>4809.1475377251445</v>
      </c>
      <c r="AS144" s="50">
        <f t="shared" si="76"/>
        <v>5.8</v>
      </c>
      <c r="AT144" s="50">
        <f t="shared" si="77"/>
        <v>8.1477768572229365</v>
      </c>
      <c r="AU144" s="50">
        <f t="shared" si="78"/>
        <v>6.3957295112991197E-2</v>
      </c>
      <c r="AV144" s="2">
        <f t="shared" si="79"/>
        <v>9.4108632899925055</v>
      </c>
      <c r="AW144" s="16">
        <f t="shared" si="71"/>
        <v>2.0773582011712035</v>
      </c>
      <c r="AZ144" s="16"/>
      <c r="BA144" s="2"/>
    </row>
    <row r="145" spans="1:53" x14ac:dyDescent="0.25">
      <c r="A145">
        <v>143</v>
      </c>
      <c r="B145" s="1">
        <f>ROUND((A145+Forudsætninger!$D$60)/30.4,1)</f>
        <v>5.8</v>
      </c>
      <c r="C145" s="1">
        <f>VLOOKUP((A145+Forudsætninger!$D$60),'Model tilvækst, slagteform, fe'!A:C,3,FALSE)</f>
        <v>298.81113972432871</v>
      </c>
      <c r="D145" s="3">
        <f t="shared" si="80"/>
        <v>1851.1415318450872</v>
      </c>
      <c r="E145" s="3">
        <f>(1+Forudsætninger!$D$78)*C145</f>
        <v>251.00135736843612</v>
      </c>
      <c r="F145" s="2">
        <f t="shared" si="81"/>
        <v>1.8124445414796726</v>
      </c>
      <c r="G145" s="1">
        <f t="shared" si="56"/>
        <v>252.81380190991578</v>
      </c>
      <c r="H145" s="3">
        <f t="shared" si="63"/>
        <v>1480.9132254760868</v>
      </c>
      <c r="I145" s="3">
        <f t="shared" si="64"/>
        <v>1264.4321811882223</v>
      </c>
      <c r="J145" s="1">
        <f>VLOOKUP((A145+Forudsætninger!$D$60),'Model tilvækst, slagteform, fe'!G:K,3,FALSE)*(1+Forudsætninger!$D$79)</f>
        <v>52.659663435397107</v>
      </c>
      <c r="K145" s="17">
        <f t="shared" si="57"/>
        <v>133.13089720399319</v>
      </c>
      <c r="L145" s="17">
        <f t="shared" si="65"/>
        <v>852.95819954583862</v>
      </c>
      <c r="M145" s="3">
        <f>((K145-(('Model tilvækst, slagteform, fe'!$I$9/100)*'Model tilvækst, slagteform, fe'!$C$9))*1000/(A145+Forudsætninger!$D$60))</f>
        <v>629.44821608827044</v>
      </c>
      <c r="N145" s="17">
        <f t="shared" si="66"/>
        <v>620.05677440721411</v>
      </c>
      <c r="O145" s="19">
        <f>IF( A145&lt;Forudsætninger!$C$14,(G145/100)*Forudsætninger!$C$13,(Forudsætninger!$C$15/1000)*Forudsætninger!$C$13)</f>
        <v>1.6432897124144528</v>
      </c>
      <c r="P145" s="17" cm="1">
        <f t="array" ref="P145">INDEX('Model tilvækst, slagteform, fe'!$O$9:$O$375,MATCH(MIN(ABS('Model tilvækst, slagteform, fe'!$M$9:$M$375-G145)),ABS('Model tilvækst, slagteform, fe'!$M$9:$M$375-G145),0))*(1+Forudsætninger!$D$80)</f>
        <v>6.5347800579196775</v>
      </c>
      <c r="Q145" s="17">
        <f t="shared" si="67"/>
        <v>7.6613133696342333</v>
      </c>
      <c r="R145" s="17">
        <f t="shared" si="68"/>
        <v>6.3160739317705463</v>
      </c>
      <c r="S145" s="2">
        <f t="shared" si="58"/>
        <v>3.4292557750438539</v>
      </c>
      <c r="T145" s="19">
        <f>(P145)*IF(N145&lt;Forudsætninger!$B$228,IF(N145&lt;Forudsætninger!$B$227,Forudsætninger!$B$225,Forudsætninger!$C$9),Forudsætninger!$C$11)+O145</f>
        <v>16.934675047946499</v>
      </c>
      <c r="U145" s="2">
        <f>Forudsætninger!$D$68+((K145-(Forudsætninger!$D$84)))*0.01</f>
        <v>6.4709196533995845</v>
      </c>
      <c r="V145" s="2">
        <f>U145+Forudsætninger!$D$69</f>
        <v>6.4709196533995845</v>
      </c>
      <c r="W145">
        <f t="shared" si="59"/>
        <v>1</v>
      </c>
      <c r="X145">
        <f>IF(A145+Forudsætninger!$D$60&gt;248,IF(A145+Forudsætninger!$D$60&lt;365,IF(K145&gt;180,IF(K145&lt;260,1,0),0),0),0)</f>
        <v>0</v>
      </c>
      <c r="Y145" s="22">
        <f>IF(X145=0,0,IF('Vækstfunktion, kry tyr'!A145&lt;Forudsætninger!$D$66,Forudsætninger!$D$67+(('Vækstfunktion, kry tyr'!A145-Forudsætninger!$D$66)/7)*Forudsætninger!$D$64,Forudsætninger!$D$67))</f>
        <v>0</v>
      </c>
      <c r="Z145" s="19">
        <f t="shared" si="72"/>
        <v>2102.5286991801277</v>
      </c>
      <c r="AA145" s="19">
        <f>Forudsætninger!$D$62+Forudsætninger!$C$16</f>
        <v>2055</v>
      </c>
      <c r="AB145" s="19">
        <f>IF(K145&gt;Forudsætninger!$C$37,IF(K145&gt;Forudsætninger!$C$38,IF(K145&gt;Forudsætninger!$C$39,Forudsætninger!$E$39,Forudsætninger!$E$38+Forudsætninger!$F$39*(K145-Forudsætninger!$C$38)),Forudsætninger!$E$37+Forudsætninger!$F$38*(K145-Forudsætninger!$C$37)),Forudsætninger!$E$37)+IF(K145&gt;Forudsætninger!$C$39,Forudsætninger!$G$39,IF(K145&gt;Forudsætninger!$C$38,Forudsætninger!$G$38+Forudsætninger!$H$39*(K145-Forudsætninger!$C$38),IF(K145&gt;Forudsætninger!$C$37,Forudsætninger!$G$37+Forudsætninger!$H$38*(K145-Forudsætninger!$C$37),Forudsætninger!$G$37)))*(U145-Forudsætninger!$H$37)</f>
        <v>35.247091965339962</v>
      </c>
      <c r="AC145" s="19">
        <f>IF(K145&gt;Forudsætninger!$C$42,IF(K145&gt;Forudsætninger!$C$43,IF(K145&gt;Forudsætninger!$C$44,Forudsætninger!$E$44,Forudsætninger!$E$43+Forudsætninger!$F$44*(K145-Forudsætninger!$C$43)),Forudsætninger!$E$42+Forudsætninger!$F$43*(K145-Forudsætninger!$C$42)),Forudsætninger!$E$42)+IF(K145&gt;Forudsætninger!$C$44,Forudsætninger!$G$44,IF(K145&gt;Forudsætninger!$C$43,Forudsætninger!$G$43+Forudsætninger!$H$44*(K145-Forudsætninger!$C$43),IF(K145&gt;Forudsætninger!$C$42,Forudsætninger!$G$42+Forudsætninger!$H$43*(K145-Forudsætninger!$C$42),Forudsætninger!$G$42)))*(V145-Forudsætninger!$H$42)</f>
        <v>30.267729913349896</v>
      </c>
      <c r="AD145" s="19">
        <f t="shared" si="60"/>
        <v>4029.5700396924144</v>
      </c>
      <c r="AE145" s="19">
        <f t="shared" si="61"/>
        <v>30.267729913349896</v>
      </c>
      <c r="AF145">
        <f>IF(G145&lt;=Forudsætninger!$C$97,Forudsætninger!$C$98,(IF(G145&lt;=Forudsætninger!$D$97,Forudsætninger!$D$98,IF(G145&lt;=Forudsætninger!$E$97,Forudsætninger!$E$98,IF(G145&lt;=Forudsætninger!$F$97,Forudsætninger!$F$98,IF(G145&lt;=Forudsætninger!$G$97,Forudsætninger!$G$98,IF(G145&lt;=Forudsætninger!$H$97,Forudsætninger!$H$98,IF(G145&lt;=Forudsætninger!$I$97,Forudsætninger!$I$98,Forudsætninger!$I$98))))))))</f>
        <v>3.2</v>
      </c>
      <c r="AG145" s="1">
        <f t="shared" si="69"/>
        <v>3.2</v>
      </c>
      <c r="AH145" s="1">
        <f t="shared" si="73"/>
        <v>350.59999999999917</v>
      </c>
      <c r="AI145" s="1">
        <f t="shared" si="62"/>
        <v>2.4517482517482461</v>
      </c>
      <c r="AJ145" s="20">
        <f>+(W145*Forudsætninger!$C$12)</f>
        <v>900</v>
      </c>
      <c r="AK145" s="20">
        <f>Forudsætninger!$C$17</f>
        <v>250</v>
      </c>
      <c r="AL145" s="20">
        <f>IF(A145&lt;92,Forudsætninger!$C$20,Forudsætninger!$C$21)</f>
        <v>1.0566762728146013</v>
      </c>
      <c r="AM145" s="20">
        <f t="shared" si="70"/>
        <v>419.61018986577818</v>
      </c>
      <c r="AN145" s="19">
        <f>IFERROR(AD145+AJ145-AA145-Z145-AK145-AM145-Forudsætninger!$D$75,-99999)</f>
        <v>-115.4608230544512</v>
      </c>
      <c r="AO145" s="57">
        <f>IFERROR(AN145/(A145+Forudsætninger!$D$74),-99999)</f>
        <v>-0.80741834303812021</v>
      </c>
      <c r="AP145" s="19">
        <f>IFERROR(((365/(A145+Forudsætninger!$D$74))*AN145)/(AI145+Forudsætninger!$D$73),-99999)</f>
        <v>-115.04163026471974</v>
      </c>
      <c r="AQ145" s="18">
        <f t="shared" si="74"/>
        <v>143</v>
      </c>
      <c r="AR145" s="18">
        <f t="shared" si="75"/>
        <v>4827.1388890459057</v>
      </c>
      <c r="AS145" s="50">
        <f t="shared" si="76"/>
        <v>5.8</v>
      </c>
      <c r="AT145" s="50">
        <f t="shared" si="77"/>
        <v>8.1078259722015105</v>
      </c>
      <c r="AU145" s="50">
        <f t="shared" si="78"/>
        <v>6.27834106707017E-2</v>
      </c>
      <c r="AV145" s="2">
        <f t="shared" si="79"/>
        <v>9.2009924412698467</v>
      </c>
      <c r="AW145" s="16">
        <f t="shared" si="71"/>
        <v>2.1269186490302587</v>
      </c>
      <c r="AZ145" s="16"/>
      <c r="BA145" s="2"/>
    </row>
    <row r="146" spans="1:53" x14ac:dyDescent="0.25">
      <c r="A146">
        <v>144</v>
      </c>
      <c r="B146" s="1">
        <f>ROUND((A146+Forudsætninger!$D$60)/30.4,1)</f>
        <v>5.9</v>
      </c>
      <c r="C146" s="1">
        <f>VLOOKUP((A146+Forudsætninger!$D$60),'Model tilvækst, slagteform, fe'!A:C,3,FALSE)</f>
        <v>300.66138636968537</v>
      </c>
      <c r="D146" s="3">
        <f t="shared" si="80"/>
        <v>1850.2466453566626</v>
      </c>
      <c r="E146" s="3">
        <f>(1+Forudsætninger!$D$78)*C146</f>
        <v>252.55556455053571</v>
      </c>
      <c r="F146" s="2">
        <f t="shared" si="81"/>
        <v>1.7384346756654061</v>
      </c>
      <c r="G146" s="1">
        <f t="shared" si="56"/>
        <v>254.29399922620112</v>
      </c>
      <c r="H146" s="3">
        <f t="shared" si="63"/>
        <v>1480.1973162853415</v>
      </c>
      <c r="I146" s="3">
        <f t="shared" si="64"/>
        <v>1265.9305501819522</v>
      </c>
      <c r="J146" s="1">
        <f>VLOOKUP((A146+Forudsætninger!$D$60),'Model tilvækst, slagteform, fe'!G:K,3,FALSE)*(1+Forudsætninger!$D$79)</f>
        <v>52.688840392336424</v>
      </c>
      <c r="K146" s="17">
        <f t="shared" si="57"/>
        <v>133.98455937958232</v>
      </c>
      <c r="L146" s="17">
        <f t="shared" si="65"/>
        <v>853.66217558913604</v>
      </c>
      <c r="M146" s="3">
        <f>((K146-(('Model tilvækst, slagteform, fe'!$I$9/100)*'Model tilvækst, slagteform, fe'!$C$9))*1000/(A146+Forudsætninger!$D$60))</f>
        <v>630.70784507423036</v>
      </c>
      <c r="N146" s="17">
        <f t="shared" si="66"/>
        <v>626.6032817541294</v>
      </c>
      <c r="O146" s="19">
        <f>IF( A146&lt;Forudsætninger!$C$14,(G146/100)*Forudsætninger!$C$13,(Forudsætninger!$C$15/1000)*Forudsætninger!$C$13)</f>
        <v>1.6529109949703074</v>
      </c>
      <c r="P146" s="17" cm="1">
        <f t="array" ref="P146">INDEX('Model tilvækst, slagteform, fe'!$O$9:$O$375,MATCH(MIN(ABS('Model tilvækst, slagteform, fe'!$M$9:$M$375-G146)),ABS('Model tilvækst, slagteform, fe'!$M$9:$M$375-G146),0))*(1+Forudsætninger!$D$80)</f>
        <v>6.5465073469152566</v>
      </c>
      <c r="Q146" s="17">
        <f t="shared" si="67"/>
        <v>7.6687330587153282</v>
      </c>
      <c r="R146" s="17">
        <f t="shared" si="68"/>
        <v>6.3277347763978762</v>
      </c>
      <c r="S146" s="2">
        <f t="shared" si="58"/>
        <v>3.4373225910557985</v>
      </c>
      <c r="T146" s="19">
        <f>(P146)*IF(N146&lt;Forudsætninger!$B$228,IF(N146&lt;Forudsætninger!$B$227,Forudsætninger!$B$225,Forudsætninger!$C$9),Forudsætninger!$C$11)+O146</f>
        <v>16.971738186752006</v>
      </c>
      <c r="U146" s="2">
        <f>Forudsætninger!$D$68+((K146-(Forudsætninger!$D$84)))*0.01</f>
        <v>6.4794562751554752</v>
      </c>
      <c r="V146" s="2">
        <f>U146+Forudsætninger!$D$69</f>
        <v>6.4794562751554752</v>
      </c>
      <c r="W146">
        <f t="shared" si="59"/>
        <v>1</v>
      </c>
      <c r="X146">
        <f>IF(A146+Forudsætninger!$D$60&gt;248,IF(A146+Forudsætninger!$D$60&lt;365,IF(K146&gt;180,IF(K146&lt;260,1,0),0),0),0)</f>
        <v>0</v>
      </c>
      <c r="Y146" s="22">
        <f>IF(X146=0,0,IF('Vækstfunktion, kry tyr'!A146&lt;Forudsætninger!$D$66,Forudsætninger!$D$67+(('Vækstfunktion, kry tyr'!A146-Forudsætninger!$D$66)/7)*Forudsætninger!$D$64,Forudsætninger!$D$67))</f>
        <v>0</v>
      </c>
      <c r="Z146" s="19">
        <f t="shared" si="72"/>
        <v>2119.5004373668799</v>
      </c>
      <c r="AA146" s="19">
        <f>Forudsætninger!$D$62+Forudsætninger!$C$16</f>
        <v>2055</v>
      </c>
      <c r="AB146" s="19">
        <f>IF(K146&gt;Forudsætninger!$C$37,IF(K146&gt;Forudsætninger!$C$38,IF(K146&gt;Forudsætninger!$C$39,Forudsætninger!$E$39,Forudsætninger!$E$38+Forudsætninger!$F$39*(K146-Forudsætninger!$C$38)),Forudsætninger!$E$37+Forudsætninger!$F$38*(K146-Forudsætninger!$C$37)),Forudsætninger!$E$37)+IF(K146&gt;Forudsætninger!$C$39,Forudsætninger!$G$39,IF(K146&gt;Forudsætninger!$C$38,Forudsætninger!$G$38+Forudsætninger!$H$39*(K146-Forudsætninger!$C$38),IF(K146&gt;Forudsætninger!$C$37,Forudsætninger!$G$37+Forudsætninger!$H$38*(K146-Forudsætninger!$C$37),Forudsætninger!$G$37)))*(U146-Forudsætninger!$H$37)</f>
        <v>35.247945627515548</v>
      </c>
      <c r="AC146" s="19">
        <f>IF(K146&gt;Forudsætninger!$C$42,IF(K146&gt;Forudsætninger!$C$43,IF(K146&gt;Forudsætninger!$C$44,Forudsætninger!$E$44,Forudsætninger!$E$43+Forudsætninger!$F$44*(K146-Forudsætninger!$C$43)),Forudsætninger!$E$42+Forudsætninger!$F$43*(K146-Forudsætninger!$C$42)),Forudsætninger!$E$42)+IF(K146&gt;Forudsætninger!$C$44,Forudsætninger!$G$44,IF(K146&gt;Forudsætninger!$C$43,Forudsætninger!$G$43+Forudsætninger!$H$44*(K146-Forudsætninger!$C$43),IF(K146&gt;Forudsætninger!$C$42,Forudsætninger!$G$42+Forudsætninger!$H$43*(K146-Forudsætninger!$C$42),Forudsætninger!$G$42)))*(V146-Forudsætninger!$H$42)</f>
        <v>30.269864068788866</v>
      </c>
      <c r="AD146" s="19">
        <f t="shared" si="60"/>
        <v>4055.694399736527</v>
      </c>
      <c r="AE146" s="19">
        <f t="shared" si="61"/>
        <v>30.269864068788866</v>
      </c>
      <c r="AF146">
        <f>IF(G146&lt;=Forudsætninger!$C$97,Forudsætninger!$C$98,(IF(G146&lt;=Forudsætninger!$D$97,Forudsætninger!$D$98,IF(G146&lt;=Forudsætninger!$E$97,Forudsætninger!$E$98,IF(G146&lt;=Forudsætninger!$F$97,Forudsætninger!$F$98,IF(G146&lt;=Forudsætninger!$G$97,Forudsætninger!$G$98,IF(G146&lt;=Forudsætninger!$H$97,Forudsætninger!$H$98,IF(G146&lt;=Forudsætninger!$I$97,Forudsætninger!$I$98,Forudsætninger!$I$98))))))))</f>
        <v>3.2</v>
      </c>
      <c r="AG146" s="1">
        <f t="shared" si="69"/>
        <v>3.2</v>
      </c>
      <c r="AH146" s="1">
        <f t="shared" si="73"/>
        <v>353.79999999999916</v>
      </c>
      <c r="AI146" s="1">
        <f t="shared" si="62"/>
        <v>2.4569444444444386</v>
      </c>
      <c r="AJ146" s="20">
        <f>+(W146*Forudsætninger!$C$12)</f>
        <v>900</v>
      </c>
      <c r="AK146" s="20">
        <f>Forudsætninger!$C$17</f>
        <v>250</v>
      </c>
      <c r="AL146" s="20">
        <f>IF(A146&lt;92,Forudsætninger!$C$20,Forudsætninger!$C$21)</f>
        <v>1.0566762728146013</v>
      </c>
      <c r="AM146" s="20">
        <f t="shared" si="70"/>
        <v>420.66686613859281</v>
      </c>
      <c r="AN146" s="19">
        <f>IFERROR(AD146+AJ146-AA146-Z146-AK146-AM146-Forudsætninger!$D$75,-99999)</f>
        <v>-107.36487746990591</v>
      </c>
      <c r="AO146" s="57">
        <f>IFERROR(AN146/(A146+Forudsætninger!$D$74),-99999)</f>
        <v>-0.74558942687434659</v>
      </c>
      <c r="AP146" s="19">
        <f>IFERROR(((365/(A146+Forudsætninger!$D$74))*AN146)/(AI146+Forudsætninger!$D$73),-99999)</f>
        <v>-106.01715257146344</v>
      </c>
      <c r="AQ146" s="18">
        <f t="shared" si="74"/>
        <v>144</v>
      </c>
      <c r="AR146" s="18">
        <f t="shared" si="75"/>
        <v>4845.1673035054728</v>
      </c>
      <c r="AS146" s="50">
        <f t="shared" si="76"/>
        <v>5.9</v>
      </c>
      <c r="AT146" s="50">
        <f t="shared" si="77"/>
        <v>8.0959455845452908</v>
      </c>
      <c r="AU146" s="50">
        <f t="shared" si="78"/>
        <v>6.1828916163773617E-2</v>
      </c>
      <c r="AV146" s="2">
        <f t="shared" si="79"/>
        <v>9.0244776932563013</v>
      </c>
      <c r="AW146" s="16">
        <f t="shared" si="71"/>
        <v>2.1757082546436592</v>
      </c>
      <c r="AZ146" s="16"/>
      <c r="BA146" s="2"/>
    </row>
    <row r="147" spans="1:53" x14ac:dyDescent="0.25">
      <c r="A147">
        <v>145</v>
      </c>
      <c r="B147" s="1">
        <f>ROUND((A147+Forudsætninger!$D$60)/30.4,1)</f>
        <v>5.9</v>
      </c>
      <c r="C147" s="1">
        <f>VLOOKUP((A147+Forudsætninger!$D$60),'Model tilvækst, slagteform, fe'!A:C,3,FALSE)</f>
        <v>302.51066962496429</v>
      </c>
      <c r="D147" s="3">
        <f t="shared" si="80"/>
        <v>1849.2832552789196</v>
      </c>
      <c r="E147" s="3">
        <f>(1+Forudsætninger!$D$78)*C147</f>
        <v>254.10896248496999</v>
      </c>
      <c r="F147" s="2">
        <f t="shared" si="81"/>
        <v>1.6644633454542492</v>
      </c>
      <c r="G147" s="1">
        <f t="shared" si="56"/>
        <v>255.77342583042423</v>
      </c>
      <c r="H147" s="3">
        <f t="shared" si="63"/>
        <v>1479.4266042231072</v>
      </c>
      <c r="I147" s="3">
        <f t="shared" si="64"/>
        <v>1267.4029367615465</v>
      </c>
      <c r="J147" s="1">
        <f>VLOOKUP((A147+Forudsætninger!$D$60),'Model tilvækst, slagteform, fe'!G:K,3,FALSE)*(1+Forudsætninger!$D$79)</f>
        <v>52.71810311189855</v>
      </c>
      <c r="K147" s="17">
        <f t="shared" si="57"/>
        <v>134.83889836211841</v>
      </c>
      <c r="L147" s="17">
        <f t="shared" si="65"/>
        <v>854.33898253609186</v>
      </c>
      <c r="M147" s="3">
        <f>((K147-(('Model tilvækst, slagteform, fe'!$I$9/100)*'Model tilvækst, slagteform, fe'!$C$9))*1000/(A147+Forudsætninger!$D$60))</f>
        <v>631.95718103770446</v>
      </c>
      <c r="N147" s="17">
        <f t="shared" si="66"/>
        <v>633.16131483464812</v>
      </c>
      <c r="O147" s="19">
        <f>IF( A147&lt;Forudsætninger!$C$14,(G147/100)*Forudsætninger!$C$13,(Forudsætninger!$C$15/1000)*Forudsætninger!$C$13)</f>
        <v>1.6625272678977576</v>
      </c>
      <c r="P147" s="17" cm="1">
        <f t="array" ref="P147">INDEX('Model tilvækst, slagteform, fe'!$O$9:$O$375,MATCH(MIN(ABS('Model tilvækst, slagteform, fe'!$M$9:$M$375-G147)),ABS('Model tilvækst, slagteform, fe'!$M$9:$M$375-G147),0))*(1+Forudsætninger!$D$80)</f>
        <v>6.5580330805187756</v>
      </c>
      <c r="Q147" s="17">
        <f t="shared" si="67"/>
        <v>7.6761487121322238</v>
      </c>
      <c r="R147" s="17">
        <f t="shared" si="68"/>
        <v>6.3392687312136271</v>
      </c>
      <c r="S147" s="2">
        <f t="shared" si="58"/>
        <v>3.4453366256495306</v>
      </c>
      <c r="T147" s="19">
        <f>(P147)*IF(N147&lt;Forudsætninger!$B$228,IF(N147&lt;Forudsætninger!$B$227,Forudsætninger!$B$225,Forudsætninger!$C$9),Forudsætninger!$C$11)+O147</f>
        <v>17.008324676311691</v>
      </c>
      <c r="U147" s="2">
        <f>Forudsætninger!$D$68+((K147-(Forudsætninger!$D$84)))*0.01</f>
        <v>6.4879996649808369</v>
      </c>
      <c r="V147" s="2">
        <f>U147+Forudsætninger!$D$69</f>
        <v>6.4879996649808369</v>
      </c>
      <c r="W147">
        <f t="shared" si="59"/>
        <v>1</v>
      </c>
      <c r="X147">
        <f>IF(A147+Forudsætninger!$D$60&gt;248,IF(A147+Forudsætninger!$D$60&lt;365,IF(K147&gt;180,IF(K147&lt;260,1,0),0),0),0)</f>
        <v>0</v>
      </c>
      <c r="Y147" s="22">
        <f>IF(X147=0,0,IF('Vækstfunktion, kry tyr'!A147&lt;Forudsætninger!$D$66,Forudsætninger!$D$67+(('Vækstfunktion, kry tyr'!A147-Forudsætninger!$D$66)/7)*Forudsætninger!$D$64,Forudsætninger!$D$67))</f>
        <v>0</v>
      </c>
      <c r="Z147" s="19">
        <f t="shared" si="72"/>
        <v>2136.5087620431914</v>
      </c>
      <c r="AA147" s="19">
        <f>Forudsætninger!$D$62+Forudsætninger!$C$16</f>
        <v>2055</v>
      </c>
      <c r="AB147" s="19">
        <f>IF(K147&gt;Forudsætninger!$C$37,IF(K147&gt;Forudsætninger!$C$38,IF(K147&gt;Forudsætninger!$C$39,Forudsætninger!$E$39,Forudsætninger!$E$38+Forudsætninger!$F$39*(K147-Forudsætninger!$C$38)),Forudsætninger!$E$37+Forudsætninger!$F$38*(K147-Forudsætninger!$C$37)),Forudsætninger!$E$37)+IF(K147&gt;Forudsætninger!$C$39,Forudsætninger!$G$39,IF(K147&gt;Forudsætninger!$C$38,Forudsætninger!$G$38+Forudsætninger!$H$39*(K147-Forudsætninger!$C$38),IF(K147&gt;Forudsætninger!$C$37,Forudsætninger!$G$37+Forudsætninger!$H$38*(K147-Forudsætninger!$C$37),Forudsætninger!$G$37)))*(U147-Forudsætninger!$H$37)</f>
        <v>35.248799966498083</v>
      </c>
      <c r="AC147" s="19">
        <f>IF(K147&gt;Forudsætninger!$C$42,IF(K147&gt;Forudsætninger!$C$43,IF(K147&gt;Forudsætninger!$C$44,Forudsætninger!$E$44,Forudsætninger!$E$43+Forudsætninger!$F$44*(K147-Forudsætninger!$C$43)),Forudsætninger!$E$42+Forudsætninger!$F$43*(K147-Forudsætninger!$C$42)),Forudsætninger!$E$42)+IF(K147&gt;Forudsætninger!$C$44,Forudsætninger!$G$44,IF(K147&gt;Forudsætninger!$C$43,Forudsætninger!$G$43+Forudsætninger!$H$44*(K147-Forudsætninger!$C$43),IF(K147&gt;Forudsætninger!$C$42,Forudsætninger!$G$42+Forudsætninger!$H$43*(K147-Forudsætninger!$C$42),Forudsætninger!$G$42)))*(V147-Forudsætninger!$H$42)</f>
        <v>30.271999916245207</v>
      </c>
      <c r="AD147" s="19">
        <f t="shared" si="60"/>
        <v>4081.8431199246447</v>
      </c>
      <c r="AE147" s="19">
        <f t="shared" si="61"/>
        <v>30.271999916245207</v>
      </c>
      <c r="AF147">
        <f>IF(G147&lt;=Forudsætninger!$C$97,Forudsætninger!$C$98,(IF(G147&lt;=Forudsætninger!$D$97,Forudsætninger!$D$98,IF(G147&lt;=Forudsætninger!$E$97,Forudsætninger!$E$98,IF(G147&lt;=Forudsætninger!$F$97,Forudsætninger!$F$98,IF(G147&lt;=Forudsætninger!$G$97,Forudsætninger!$G$98,IF(G147&lt;=Forudsætninger!$H$97,Forudsætninger!$H$98,IF(G147&lt;=Forudsætninger!$I$97,Forudsætninger!$I$98,Forudsætninger!$I$98))))))))</f>
        <v>3.2</v>
      </c>
      <c r="AG147" s="1">
        <f t="shared" si="69"/>
        <v>3.2</v>
      </c>
      <c r="AH147" s="1">
        <f t="shared" si="73"/>
        <v>356.99999999999915</v>
      </c>
      <c r="AI147" s="1">
        <f t="shared" si="62"/>
        <v>2.4620689655172354</v>
      </c>
      <c r="AJ147" s="20">
        <f>+(W147*Forudsætninger!$C$12)</f>
        <v>900</v>
      </c>
      <c r="AK147" s="20">
        <f>Forudsætninger!$C$17</f>
        <v>250</v>
      </c>
      <c r="AL147" s="20">
        <f>IF(A147&lt;92,Forudsætninger!$C$20,Forudsætninger!$C$21)</f>
        <v>1.0566762728146013</v>
      </c>
      <c r="AM147" s="20">
        <f t="shared" si="70"/>
        <v>421.72354241140744</v>
      </c>
      <c r="AN147" s="19">
        <f>IFERROR(AD147+AJ147-AA147-Z147-AK147-AM147-Forudsætninger!$D$75,-99999)</f>
        <v>-99.28115823091477</v>
      </c>
      <c r="AO147" s="57">
        <f>IFERROR(AN147/(A147+Forudsætninger!$D$74),-99999)</f>
        <v>-0.684697642971826</v>
      </c>
      <c r="AP147" s="19">
        <f>IFERROR(((365/(A147+Forudsætninger!$D$74))*AN147)/(AI147+Forudsætninger!$D$73),-99999)</f>
        <v>-97.16482840671398</v>
      </c>
      <c r="AQ147" s="18">
        <f t="shared" si="74"/>
        <v>145</v>
      </c>
      <c r="AR147" s="18">
        <f t="shared" si="75"/>
        <v>4863.2323044545992</v>
      </c>
      <c r="AS147" s="50">
        <f t="shared" si="76"/>
        <v>5.9</v>
      </c>
      <c r="AT147" s="50">
        <f t="shared" si="77"/>
        <v>8.0837192389911365</v>
      </c>
      <c r="AU147" s="50">
        <f t="shared" si="78"/>
        <v>6.0891783902520591E-2</v>
      </c>
      <c r="AV147" s="2">
        <f t="shared" si="79"/>
        <v>8.8523241647494615</v>
      </c>
      <c r="AW147" s="16">
        <f t="shared" si="71"/>
        <v>2.223740580555122</v>
      </c>
      <c r="AZ147" s="16"/>
      <c r="BA147" s="2"/>
    </row>
    <row r="148" spans="1:53" x14ac:dyDescent="0.25">
      <c r="A148">
        <v>146</v>
      </c>
      <c r="B148" s="1">
        <f>ROUND((A148+Forudsætninger!$D$60)/30.4,1)</f>
        <v>5.9</v>
      </c>
      <c r="C148" s="1">
        <f>VLOOKUP((A148+Forudsætninger!$D$60),'Model tilvækst, slagteform, fe'!A:C,3,FALSE)</f>
        <v>304.35892160751274</v>
      </c>
      <c r="D148" s="3">
        <f t="shared" si="80"/>
        <v>1848.2519825484474</v>
      </c>
      <c r="E148" s="3">
        <f>(1+Forudsætninger!$D$78)*C148</f>
        <v>255.66149415031069</v>
      </c>
      <c r="F148" s="2">
        <f t="shared" si="81"/>
        <v>1.5905332661523113</v>
      </c>
      <c r="G148" s="1">
        <f t="shared" si="56"/>
        <v>257.25202741646302</v>
      </c>
      <c r="H148" s="3">
        <f t="shared" si="63"/>
        <v>1478.601586038792</v>
      </c>
      <c r="I148" s="3">
        <f t="shared" si="64"/>
        <v>1268.8495028524865</v>
      </c>
      <c r="J148" s="1">
        <f>VLOOKUP((A148+Forudsætninger!$D$60),'Model tilvækst, slagteform, fe'!G:K,3,FALSE)*(1+Forudsætninger!$D$79)</f>
        <v>52.747451013264744</v>
      </c>
      <c r="K148" s="17">
        <f t="shared" si="57"/>
        <v>135.69388714212923</v>
      </c>
      <c r="L148" s="17">
        <f t="shared" si="65"/>
        <v>854.9887800108138</v>
      </c>
      <c r="M148" s="3">
        <f>((K148-(('Model tilvækst, slagteform, fe'!$I$9/100)*'Model tilvækst, slagteform, fe'!$C$9))*1000/(A148+Forudsætninger!$D$60))</f>
        <v>633.19624547644389</v>
      </c>
      <c r="N148" s="17">
        <f t="shared" si="66"/>
        <v>639.73067594956683</v>
      </c>
      <c r="O148" s="19">
        <f>IF( A148&lt;Forudsætninger!$C$14,(G148/100)*Forudsætninger!$C$13,(Forudsætninger!$C$15/1000)*Forudsætninger!$C$13)</f>
        <v>1.6721381782070095</v>
      </c>
      <c r="P148" s="17" cm="1">
        <f t="array" ref="P148">INDEX('Model tilvækst, slagteform, fe'!$O$9:$O$375,MATCH(MIN(ABS('Model tilvækst, slagteform, fe'!$M$9:$M$375-G148)),ABS('Model tilvækst, slagteform, fe'!$M$9:$M$375-G148),0))*(1+Forudsætninger!$D$80)</f>
        <v>6.5693611149187046</v>
      </c>
      <c r="Q148" s="17">
        <f t="shared" si="67"/>
        <v>7.6835641221345803</v>
      </c>
      <c r="R148" s="17">
        <f t="shared" si="68"/>
        <v>6.3506785324393284</v>
      </c>
      <c r="S148" s="2">
        <f t="shared" si="58"/>
        <v>3.4532991885232942</v>
      </c>
      <c r="T148" s="19">
        <f>(P148)*IF(N148&lt;Forudsætninger!$B$228,IF(N148&lt;Forudsætninger!$B$227,Forudsætninger!$B$225,Forudsætninger!$C$9),Forudsætninger!$C$11)+O148</f>
        <v>17.044443187116777</v>
      </c>
      <c r="U148" s="2">
        <f>Forudsætninger!$D$68+((K148-(Forudsætninger!$D$84)))*0.01</f>
        <v>6.4965495527809445</v>
      </c>
      <c r="V148" s="2">
        <f>U148+Forudsætninger!$D$69</f>
        <v>6.4965495527809445</v>
      </c>
      <c r="W148">
        <f t="shared" si="59"/>
        <v>1</v>
      </c>
      <c r="X148">
        <f>IF(A148+Forudsætninger!$D$60&gt;248,IF(A148+Forudsætninger!$D$60&lt;365,IF(K148&gt;180,IF(K148&lt;260,1,0),0),0),0)</f>
        <v>0</v>
      </c>
      <c r="Y148" s="22">
        <f>IF(X148=0,0,IF('Vækstfunktion, kry tyr'!A148&lt;Forudsætninger!$D$66,Forudsætninger!$D$67+(('Vækstfunktion, kry tyr'!A148-Forudsætninger!$D$66)/7)*Forudsætninger!$D$64,Forudsætninger!$D$67))</f>
        <v>0</v>
      </c>
      <c r="Z148" s="19">
        <f t="shared" si="72"/>
        <v>2153.5532052303083</v>
      </c>
      <c r="AA148" s="19">
        <f>Forudsætninger!$D$62+Forudsætninger!$C$16</f>
        <v>2055</v>
      </c>
      <c r="AB148" s="19">
        <f>IF(K148&gt;Forudsætninger!$C$37,IF(K148&gt;Forudsætninger!$C$38,IF(K148&gt;Forudsætninger!$C$39,Forudsætninger!$E$39,Forudsætninger!$E$38+Forudsætninger!$F$39*(K148-Forudsætninger!$C$38)),Forudsætninger!$E$37+Forudsætninger!$F$38*(K148-Forudsætninger!$C$37)),Forudsætninger!$E$37)+IF(K148&gt;Forudsætninger!$C$39,Forudsætninger!$G$39,IF(K148&gt;Forudsætninger!$C$38,Forudsætninger!$G$38+Forudsætninger!$H$39*(K148-Forudsætninger!$C$38),IF(K148&gt;Forudsætninger!$C$37,Forudsætninger!$G$37+Forudsætninger!$H$38*(K148-Forudsætninger!$C$37),Forudsætninger!$G$37)))*(U148-Forudsætninger!$H$37)</f>
        <v>35.249654955278096</v>
      </c>
      <c r="AC148" s="19">
        <f>IF(K148&gt;Forudsætninger!$C$42,IF(K148&gt;Forudsætninger!$C$43,IF(K148&gt;Forudsætninger!$C$44,Forudsætninger!$E$44,Forudsætninger!$E$43+Forudsætninger!$F$44*(K148-Forudsætninger!$C$43)),Forudsætninger!$E$42+Forudsætninger!$F$43*(K148-Forudsætninger!$C$42)),Forudsætninger!$E$42)+IF(K148&gt;Forudsætninger!$C$44,Forudsætninger!$G$44,IF(K148&gt;Forudsætninger!$C$43,Forudsætninger!$G$43+Forudsætninger!$H$44*(K148-Forudsætninger!$C$43),IF(K148&gt;Forudsætninger!$C$42,Forudsætninger!$G$42+Forudsætninger!$H$43*(K148-Forudsætninger!$C$42),Forudsætninger!$G$42)))*(V148-Forudsætninger!$H$42)</f>
        <v>30.274137388195236</v>
      </c>
      <c r="AD148" s="19">
        <f t="shared" si="60"/>
        <v>4108.0153820790792</v>
      </c>
      <c r="AE148" s="19">
        <f t="shared" si="61"/>
        <v>30.274137388195236</v>
      </c>
      <c r="AF148">
        <f>IF(G148&lt;=Forudsætninger!$C$97,Forudsætninger!$C$98,(IF(G148&lt;=Forudsætninger!$D$97,Forudsætninger!$D$98,IF(G148&lt;=Forudsætninger!$E$97,Forudsætninger!$E$98,IF(G148&lt;=Forudsætninger!$F$97,Forudsætninger!$F$98,IF(G148&lt;=Forudsætninger!$G$97,Forudsætninger!$G$98,IF(G148&lt;=Forudsætninger!$H$97,Forudsætninger!$H$98,IF(G148&lt;=Forudsætninger!$I$97,Forudsætninger!$I$98,Forudsætninger!$I$98))))))))</f>
        <v>3.2</v>
      </c>
      <c r="AG148" s="1">
        <f t="shared" si="69"/>
        <v>3.2</v>
      </c>
      <c r="AH148" s="1">
        <f t="shared" si="73"/>
        <v>360.19999999999914</v>
      </c>
      <c r="AI148" s="1">
        <f t="shared" si="62"/>
        <v>2.4671232876712268</v>
      </c>
      <c r="AJ148" s="20">
        <f>+(W148*Forudsætninger!$C$12)</f>
        <v>900</v>
      </c>
      <c r="AK148" s="20">
        <f>Forudsætninger!$C$17</f>
        <v>250</v>
      </c>
      <c r="AL148" s="20">
        <f>IF(A148&lt;92,Forudsætninger!$C$20,Forudsætninger!$C$21)</f>
        <v>1.0566762728146013</v>
      </c>
      <c r="AM148" s="20">
        <f t="shared" si="70"/>
        <v>422.78021868422206</v>
      </c>
      <c r="AN148" s="19">
        <f>IFERROR(AD148+AJ148-AA148-Z148-AK148-AM148-Forudsætninger!$D$75,-99999)</f>
        <v>-91.210015536411362</v>
      </c>
      <c r="AO148" s="57">
        <f>IFERROR(AN148/(A148+Forudsætninger!$D$74),-99999)</f>
        <v>-0.6247261338110367</v>
      </c>
      <c r="AP148" s="19">
        <f>IFERROR(((365/(A148+Forudsætninger!$D$74))*AN148)/(AI148+Forudsætninger!$D$73),-99999)</f>
        <v>-88.48045412956526</v>
      </c>
      <c r="AQ148" s="18">
        <f t="shared" si="74"/>
        <v>146</v>
      </c>
      <c r="AR148" s="18">
        <f t="shared" si="75"/>
        <v>4881.3334239145297</v>
      </c>
      <c r="AS148" s="50">
        <f t="shared" si="76"/>
        <v>5.9</v>
      </c>
      <c r="AT148" s="50">
        <f t="shared" si="77"/>
        <v>8.0711426945034077</v>
      </c>
      <c r="AU148" s="50">
        <f t="shared" si="78"/>
        <v>5.9971509160789305E-2</v>
      </c>
      <c r="AV148" s="2">
        <f t="shared" si="79"/>
        <v>8.68437427714872</v>
      </c>
      <c r="AW148" s="16">
        <f t="shared" si="71"/>
        <v>2.2710287886836351</v>
      </c>
      <c r="AZ148" s="16"/>
      <c r="BA148" s="2"/>
    </row>
    <row r="149" spans="1:53" x14ac:dyDescent="0.25">
      <c r="A149">
        <v>147</v>
      </c>
      <c r="B149" s="1">
        <f>ROUND((A149+Forudsætninger!$D$60)/30.4,1)</f>
        <v>6</v>
      </c>
      <c r="C149" s="1">
        <f>VLOOKUP((A149+Forudsætninger!$D$60),'Model tilvækst, slagteform, fe'!A:C,3,FALSE)</f>
        <v>306.20607505561435</v>
      </c>
      <c r="D149" s="3">
        <f t="shared" si="80"/>
        <v>1847.1534481016079</v>
      </c>
      <c r="E149" s="3">
        <f>(1+Forudsætninger!$D$78)*C149</f>
        <v>257.21310304671607</v>
      </c>
      <c r="F149" s="2">
        <f t="shared" si="81"/>
        <v>1.516647128228247</v>
      </c>
      <c r="G149" s="1">
        <f t="shared" si="56"/>
        <v>258.72975017494434</v>
      </c>
      <c r="H149" s="3">
        <f t="shared" si="63"/>
        <v>1477.7227584813204</v>
      </c>
      <c r="I149" s="3">
        <f t="shared" si="64"/>
        <v>1270.270409353363</v>
      </c>
      <c r="J149" s="1">
        <f>VLOOKUP((A149+Forudsætninger!$D$60),'Model tilvækst, slagteform, fe'!G:K,3,FALSE)*(1+Forudsætninger!$D$79)</f>
        <v>52.776883515616234</v>
      </c>
      <c r="K149" s="17">
        <f t="shared" si="57"/>
        <v>136.54949887007527</v>
      </c>
      <c r="L149" s="17">
        <f t="shared" si="65"/>
        <v>855.6117279460409</v>
      </c>
      <c r="M149" s="3">
        <f>((K149-(('Model tilvækst, slagteform, fe'!$I$9/100)*'Model tilvækst, slagteform, fe'!$C$9))*1000/(A149+Forudsætninger!$D$60))</f>
        <v>634.4250602967179</v>
      </c>
      <c r="N149" s="17">
        <f t="shared" si="66"/>
        <v>646.32211546042856</v>
      </c>
      <c r="O149" s="19">
        <f>IF( A149&lt;Forudsætninger!$C$14,(G149/100)*Forudsætninger!$C$13,(Forudsætninger!$C$15/1000)*Forudsætninger!$C$13)</f>
        <v>1.6817433761371381</v>
      </c>
      <c r="P149" s="17" cm="1">
        <f t="array" ref="P149">INDEX('Model tilvækst, slagteform, fe'!$O$9:$O$375,MATCH(MIN(ABS('Model tilvækst, slagteform, fe'!$M$9:$M$375-G149)),ABS('Model tilvækst, slagteform, fe'!$M$9:$M$375-G149),0))*(1+Forudsætninger!$D$80)</f>
        <v>6.5914395108616795</v>
      </c>
      <c r="Q149" s="17">
        <f t="shared" si="67"/>
        <v>7.7037741484503917</v>
      </c>
      <c r="R149" s="17">
        <f t="shared" si="68"/>
        <v>6.3620745984532947</v>
      </c>
      <c r="S149" s="2">
        <f t="shared" si="58"/>
        <v>3.4612701771137107</v>
      </c>
      <c r="T149" s="19">
        <f>(P149)*IF(N149&lt;Forudsætninger!$B$228,IF(N149&lt;Forudsætninger!$B$227,Forudsætninger!$B$225,Forudsætninger!$C$9),Forudsætninger!$C$11)+O149</f>
        <v>17.105711831553467</v>
      </c>
      <c r="U149" s="2">
        <f>Forudsætninger!$D$68+((K149-(Forudsætninger!$D$84)))*0.01</f>
        <v>6.5051056700604049</v>
      </c>
      <c r="V149" s="2">
        <f>U149+Forudsætninger!$D$69</f>
        <v>6.5051056700604049</v>
      </c>
      <c r="W149">
        <f t="shared" si="59"/>
        <v>1</v>
      </c>
      <c r="X149">
        <f>IF(A149+Forudsætninger!$D$60&gt;248,IF(A149+Forudsætninger!$D$60&lt;365,IF(K149&gt;180,IF(K149&lt;260,1,0),0),0),0)</f>
        <v>0</v>
      </c>
      <c r="Y149" s="22">
        <f>IF(X149=0,0,IF('Vækstfunktion, kry tyr'!A149&lt;Forudsætninger!$D$66,Forudsætninger!$D$67+(('Vækstfunktion, kry tyr'!A149-Forudsætninger!$D$66)/7)*Forudsætninger!$D$64,Forudsætninger!$D$67))</f>
        <v>0</v>
      </c>
      <c r="Z149" s="19">
        <f t="shared" si="72"/>
        <v>2170.6589170618618</v>
      </c>
      <c r="AA149" s="19">
        <f>Forudsætninger!$D$62+Forudsætninger!$C$16</f>
        <v>2055</v>
      </c>
      <c r="AB149" s="19">
        <f>IF(K149&gt;Forudsætninger!$C$37,IF(K149&gt;Forudsætninger!$C$38,IF(K149&gt;Forudsætninger!$C$39,Forudsætninger!$E$39,Forudsætninger!$E$38+Forudsætninger!$F$39*(K149-Forudsætninger!$C$38)),Forudsætninger!$E$37+Forudsætninger!$F$38*(K149-Forudsætninger!$C$37)),Forudsætninger!$E$37)+IF(K149&gt;Forudsætninger!$C$39,Forudsætninger!$G$39,IF(K149&gt;Forudsætninger!$C$38,Forudsætninger!$G$38+Forudsætninger!$H$39*(K149-Forudsætninger!$C$38),IF(K149&gt;Forudsætninger!$C$37,Forudsætninger!$G$37+Forudsætninger!$H$38*(K149-Forudsætninger!$C$37),Forudsætninger!$G$37)))*(U149-Forudsætninger!$H$37)</f>
        <v>35.250510567006039</v>
      </c>
      <c r="AC149" s="19">
        <f>IF(K149&gt;Forudsætninger!$C$42,IF(K149&gt;Forudsætninger!$C$43,IF(K149&gt;Forudsætninger!$C$44,Forudsætninger!$E$44,Forudsætninger!$E$43+Forudsætninger!$F$44*(K149-Forudsætninger!$C$43)),Forudsætninger!$E$42+Forudsætninger!$F$43*(K149-Forudsætninger!$C$42)),Forudsætninger!$E$42)+IF(K149&gt;Forudsætninger!$C$44,Forudsætninger!$G$44,IF(K149&gt;Forudsætninger!$C$43,Forudsætninger!$G$43+Forudsætninger!$H$44*(K149-Forudsætninger!$C$43),IF(K149&gt;Forudsætninger!$C$42,Forudsætninger!$G$42+Forudsætninger!$H$43*(K149-Forudsætninger!$C$42),Forudsætninger!$G$42)))*(V149-Forudsætninger!$H$42)</f>
        <v>30.276276417515099</v>
      </c>
      <c r="AD149" s="19">
        <f t="shared" si="60"/>
        <v>4134.2103724635645</v>
      </c>
      <c r="AE149" s="19">
        <f t="shared" si="61"/>
        <v>30.276276417515099</v>
      </c>
      <c r="AF149">
        <f>IF(G149&lt;=Forudsætninger!$C$97,Forudsætninger!$C$98,(IF(G149&lt;=Forudsætninger!$D$97,Forudsætninger!$D$98,IF(G149&lt;=Forudsætninger!$E$97,Forudsætninger!$E$98,IF(G149&lt;=Forudsætninger!$F$97,Forudsætninger!$F$98,IF(G149&lt;=Forudsætninger!$G$97,Forudsætninger!$G$98,IF(G149&lt;=Forudsætninger!$H$97,Forudsætninger!$H$98,IF(G149&lt;=Forudsætninger!$I$97,Forudsætninger!$I$98,Forudsætninger!$I$98))))))))</f>
        <v>3.2</v>
      </c>
      <c r="AG149" s="1">
        <f t="shared" si="69"/>
        <v>3.2</v>
      </c>
      <c r="AH149" s="1">
        <f t="shared" si="73"/>
        <v>363.39999999999912</v>
      </c>
      <c r="AI149" s="1">
        <f t="shared" si="62"/>
        <v>2.4721088435374092</v>
      </c>
      <c r="AJ149" s="20">
        <f>+(W149*Forudsætninger!$C$12)</f>
        <v>900</v>
      </c>
      <c r="AK149" s="20">
        <f>Forudsætninger!$C$17</f>
        <v>250</v>
      </c>
      <c r="AL149" s="20">
        <f>IF(A149&lt;92,Forudsætninger!$C$20,Forudsætninger!$C$21)</f>
        <v>1.0566762728146013</v>
      </c>
      <c r="AM149" s="20">
        <f t="shared" si="70"/>
        <v>423.83689495703669</v>
      </c>
      <c r="AN149" s="19">
        <f>IFERROR(AD149+AJ149-AA149-Z149-AK149-AM149-Forudsætninger!$D$75,-99999)</f>
        <v>-83.177413256294216</v>
      </c>
      <c r="AO149" s="57">
        <f>IFERROR(AN149/(A149+Forudsætninger!$D$74),-99999)</f>
        <v>-0.56583274324009669</v>
      </c>
      <c r="AP149" s="19">
        <f>IFERROR(((365/(A149+Forudsætninger!$D$74))*AN149)/(AI149+Forudsætninger!$D$73),-99999)</f>
        <v>-79.984603205067458</v>
      </c>
      <c r="AQ149" s="18">
        <f t="shared" si="74"/>
        <v>147</v>
      </c>
      <c r="AR149" s="18">
        <f t="shared" si="75"/>
        <v>4899.4958120188985</v>
      </c>
      <c r="AS149" s="50">
        <f t="shared" si="76"/>
        <v>6</v>
      </c>
      <c r="AT149" s="50">
        <f t="shared" si="77"/>
        <v>8.0326022801171462</v>
      </c>
      <c r="AU149" s="50">
        <f t="shared" si="78"/>
        <v>5.8893390570940007E-2</v>
      </c>
      <c r="AV149" s="2">
        <f t="shared" si="79"/>
        <v>8.4958509244978018</v>
      </c>
      <c r="AW149" s="16">
        <f t="shared" si="71"/>
        <v>2.3174114401411057</v>
      </c>
      <c r="AZ149" s="16"/>
      <c r="BA149" s="2"/>
    </row>
    <row r="150" spans="1:53" x14ac:dyDescent="0.25">
      <c r="A150">
        <v>148</v>
      </c>
      <c r="B150" s="1">
        <f>ROUND((A150+Forudsætninger!$D$60)/30.4,1)</f>
        <v>6</v>
      </c>
      <c r="C150" s="1">
        <f>VLOOKUP((A150+Forudsætninger!$D$60),'Model tilvækst, slagteform, fe'!A:C,3,FALSE)</f>
        <v>308.05206332848962</v>
      </c>
      <c r="D150" s="3">
        <f t="shared" si="80"/>
        <v>1845.9882728752746</v>
      </c>
      <c r="E150" s="3">
        <f>(1+Forudsætninger!$D$78)*C150</f>
        <v>258.76373319593125</v>
      </c>
      <c r="F150" s="2">
        <f t="shared" si="81"/>
        <v>1.4428075973132359</v>
      </c>
      <c r="G150" s="1">
        <f t="shared" si="56"/>
        <v>260.20654079324447</v>
      </c>
      <c r="H150" s="3">
        <f t="shared" si="63"/>
        <v>1476.7906183001287</v>
      </c>
      <c r="I150" s="3">
        <f t="shared" si="64"/>
        <v>1271.6658161705707</v>
      </c>
      <c r="J150" s="1">
        <f>VLOOKUP((A150+Forudsætninger!$D$60),'Model tilvækst, slagteform, fe'!G:K,3,FALSE)*(1+Forudsætninger!$D$79)</f>
        <v>52.806400038134242</v>
      </c>
      <c r="K150" s="17">
        <f t="shared" si="57"/>
        <v>137.40570685667163</v>
      </c>
      <c r="L150" s="17">
        <f t="shared" si="65"/>
        <v>856.20798659635966</v>
      </c>
      <c r="M150" s="3">
        <f>((K150-(('Model tilvækst, slagteform, fe'!$I$9/100)*'Model tilvækst, slagteform, fe'!$C$9))*1000/(A150+Forudsætninger!$D$60))</f>
        <v>635.64364780385881</v>
      </c>
      <c r="N150" s="17">
        <f t="shared" si="66"/>
        <v>652.92431304521028</v>
      </c>
      <c r="O150" s="19">
        <f>IF( A150&lt;Forudsætninger!$C$14,(G150/100)*Forudsætninger!$C$13,(Forudsætninger!$C$15/1000)*Forudsætninger!$C$13)</f>
        <v>1.6913425151560892</v>
      </c>
      <c r="P150" s="17" cm="1">
        <f t="array" ref="P150">INDEX('Model tilvækst, slagteform, fe'!$O$9:$O$375,MATCH(MIN(ABS('Model tilvækst, slagteform, fe'!$M$9:$M$375-G150)),ABS('Model tilvækst, slagteform, fe'!$M$9:$M$375-G150),0))*(1+Forudsætninger!$D$80)</f>
        <v>6.6021975847816661</v>
      </c>
      <c r="Q150" s="17">
        <f t="shared" si="67"/>
        <v>7.7109740718806519</v>
      </c>
      <c r="R150" s="17">
        <f t="shared" si="68"/>
        <v>6.3733482255904752</v>
      </c>
      <c r="S150" s="2">
        <f t="shared" si="58"/>
        <v>3.4691903389398382</v>
      </c>
      <c r="T150" s="19">
        <f>(P150)*IF(N150&lt;Forudsætninger!$B$228,IF(N150&lt;Forudsætninger!$B$227,Forudsætninger!$B$225,Forudsætninger!$C$9),Forudsætninger!$C$11)+O150</f>
        <v>17.140484863545186</v>
      </c>
      <c r="U150" s="2">
        <f>Forudsætninger!$D$68+((K150-(Forudsætninger!$D$84)))*0.01</f>
        <v>6.5136677499263689</v>
      </c>
      <c r="V150" s="2">
        <f>U150+Forudsætninger!$D$69</f>
        <v>6.5136677499263689</v>
      </c>
      <c r="W150">
        <f t="shared" si="59"/>
        <v>1</v>
      </c>
      <c r="X150">
        <f>IF(A150+Forudsætninger!$D$60&gt;248,IF(A150+Forudsætninger!$D$60&lt;365,IF(K150&gt;180,IF(K150&lt;260,1,0),0),0),0)</f>
        <v>0</v>
      </c>
      <c r="Y150" s="22">
        <f>IF(X150=0,0,IF('Vækstfunktion, kry tyr'!A150&lt;Forudsætninger!$D$66,Forudsætninger!$D$67+(('Vækstfunktion, kry tyr'!A150-Forudsætninger!$D$66)/7)*Forudsætninger!$D$64,Forudsætninger!$D$67))</f>
        <v>0</v>
      </c>
      <c r="Z150" s="19">
        <f t="shared" si="72"/>
        <v>2187.799401925407</v>
      </c>
      <c r="AA150" s="19">
        <f>Forudsætninger!$D$62+Forudsætninger!$C$16</f>
        <v>2055</v>
      </c>
      <c r="AB150" s="19">
        <f>IF(K150&gt;Forudsætninger!$C$37,IF(K150&gt;Forudsætninger!$C$38,IF(K150&gt;Forudsætninger!$C$39,Forudsætninger!$E$39,Forudsætninger!$E$38+Forudsætninger!$F$39*(K150-Forudsætninger!$C$38)),Forudsætninger!$E$37+Forudsætninger!$F$38*(K150-Forudsætninger!$C$37)),Forudsætninger!$E$37)+IF(K150&gt;Forudsætninger!$C$39,Forudsætninger!$G$39,IF(K150&gt;Forudsætninger!$C$38,Forudsætninger!$G$38+Forudsætninger!$H$39*(K150-Forudsætninger!$C$38),IF(K150&gt;Forudsætninger!$C$37,Forudsætninger!$G$37+Forudsætninger!$H$38*(K150-Forudsætninger!$C$37),Forudsætninger!$G$37)))*(U150-Forudsætninger!$H$37)</f>
        <v>35.25136677499264</v>
      </c>
      <c r="AC150" s="19">
        <f>IF(K150&gt;Forudsætninger!$C$42,IF(K150&gt;Forudsætninger!$C$43,IF(K150&gt;Forudsætninger!$C$44,Forudsætninger!$E$44,Forudsætninger!$E$43+Forudsætninger!$F$44*(K150-Forudsætninger!$C$43)),Forudsætninger!$E$42+Forudsætninger!$F$43*(K150-Forudsætninger!$C$42)),Forudsætninger!$E$42)+IF(K150&gt;Forudsætninger!$C$44,Forudsætninger!$G$44,IF(K150&gt;Forudsætninger!$C$43,Forudsætninger!$G$43+Forudsætninger!$H$44*(K150-Forudsætninger!$C$43),IF(K150&gt;Forudsætninger!$C$42,Forudsætninger!$G$42+Forudsætninger!$H$43*(K150-Forudsætninger!$C$42),Forudsætninger!$G$42)))*(V150-Forudsætninger!$H$42)</f>
        <v>30.278416937481591</v>
      </c>
      <c r="AD150" s="19">
        <f t="shared" si="60"/>
        <v>4160.4272817956762</v>
      </c>
      <c r="AE150" s="19">
        <f t="shared" si="61"/>
        <v>30.278416937481587</v>
      </c>
      <c r="AF150">
        <f>IF(G150&lt;=Forudsætninger!$C$97,Forudsætninger!$C$98,(IF(G150&lt;=Forudsætninger!$D$97,Forudsætninger!$D$98,IF(G150&lt;=Forudsætninger!$E$97,Forudsætninger!$E$98,IF(G150&lt;=Forudsætninger!$F$97,Forudsætninger!$F$98,IF(G150&lt;=Forudsætninger!$G$97,Forudsætninger!$G$98,IF(G150&lt;=Forudsætninger!$H$97,Forudsætninger!$H$98,IF(G150&lt;=Forudsætninger!$I$97,Forudsætninger!$I$98,Forudsætninger!$I$98))))))))</f>
        <v>3.2</v>
      </c>
      <c r="AG150" s="1">
        <f t="shared" si="69"/>
        <v>3.2</v>
      </c>
      <c r="AH150" s="1">
        <f t="shared" si="73"/>
        <v>366.59999999999911</v>
      </c>
      <c r="AI150" s="1">
        <f t="shared" si="62"/>
        <v>2.4770270270270212</v>
      </c>
      <c r="AJ150" s="20">
        <f>+(W150*Forudsætninger!$C$12)</f>
        <v>900</v>
      </c>
      <c r="AK150" s="20">
        <f>Forudsætninger!$C$17</f>
        <v>250</v>
      </c>
      <c r="AL150" s="20">
        <f>IF(A150&lt;92,Forudsætninger!$C$20,Forudsætninger!$C$21)</f>
        <v>1.0566762728146013</v>
      </c>
      <c r="AM150" s="20">
        <f t="shared" si="70"/>
        <v>424.89357122985132</v>
      </c>
      <c r="AN150" s="19">
        <f>IFERROR(AD150+AJ150-AA150-Z150-AK150-AM150-Forudsætninger!$D$75,-99999)</f>
        <v>-75.157665060542314</v>
      </c>
      <c r="AO150" s="57">
        <f>IFERROR(AN150/(A150+Forudsætninger!$D$74),-99999)</f>
        <v>-0.50782206121988049</v>
      </c>
      <c r="AP150" s="19">
        <f>IFERROR(((365/(A150+Forudsætninger!$D$74))*AN150)/(AI150+Forudsætninger!$D$73),-99999)</f>
        <v>-71.647899464840179</v>
      </c>
      <c r="AQ150" s="18">
        <f t="shared" si="74"/>
        <v>148</v>
      </c>
      <c r="AR150" s="18">
        <f t="shared" si="75"/>
        <v>4917.6929731552591</v>
      </c>
      <c r="AS150" s="50">
        <f t="shared" si="76"/>
        <v>6</v>
      </c>
      <c r="AT150" s="50">
        <f t="shared" si="77"/>
        <v>8.0197481957519017</v>
      </c>
      <c r="AU150" s="50">
        <f t="shared" si="78"/>
        <v>5.8010682020216198E-2</v>
      </c>
      <c r="AV150" s="2">
        <f t="shared" si="79"/>
        <v>8.3367037402272786</v>
      </c>
      <c r="AW150" s="16">
        <f t="shared" si="71"/>
        <v>2.363080447089926</v>
      </c>
      <c r="AZ150" s="16"/>
      <c r="BA150" s="2"/>
    </row>
    <row r="151" spans="1:53" x14ac:dyDescent="0.25">
      <c r="A151">
        <v>149</v>
      </c>
      <c r="B151" s="1">
        <f>ROUND((A151+Forudsætninger!$D$60)/30.4,1)</f>
        <v>6</v>
      </c>
      <c r="C151" s="1">
        <f>VLOOKUP((A151+Forudsætninger!$D$60),'Model tilvækst, slagteform, fe'!A:C,3,FALSE)</f>
        <v>309.89682040629549</v>
      </c>
      <c r="D151" s="3">
        <f t="shared" si="80"/>
        <v>1844.7570778058662</v>
      </c>
      <c r="E151" s="3">
        <f>(1+Forudsætninger!$D$78)*C151</f>
        <v>260.31332914128819</v>
      </c>
      <c r="F151" s="2">
        <f t="shared" si="81"/>
        <v>1.3690173142010014</v>
      </c>
      <c r="G151" s="1">
        <f t="shared" si="56"/>
        <v>261.68234645548921</v>
      </c>
      <c r="H151" s="3">
        <f t="shared" si="63"/>
        <v>1475.8056622447384</v>
      </c>
      <c r="I151" s="3">
        <f t="shared" si="64"/>
        <v>1273.0358822516052</v>
      </c>
      <c r="J151" s="1">
        <f>VLOOKUP((A151+Forudsætninger!$D$60),'Model tilvækst, slagteform, fe'!G:K,3,FALSE)*(1+Forudsætninger!$D$79)</f>
        <v>52.835999999999999</v>
      </c>
      <c r="K151" s="17">
        <f t="shared" si="57"/>
        <v>138.26248457322225</v>
      </c>
      <c r="L151" s="17">
        <f t="shared" si="65"/>
        <v>856.77771655062429</v>
      </c>
      <c r="M151" s="3">
        <f>((K151-(('Model tilvækst, slagteform, fe'!$I$9/100)*'Model tilvækst, slagteform, fe'!$C$9))*1000/(A151+Forudsætninger!$D$60))</f>
        <v>636.85203069318538</v>
      </c>
      <c r="N151" s="17">
        <f t="shared" si="66"/>
        <v>659.53708642946219</v>
      </c>
      <c r="O151" s="19">
        <f>IF( A151&lt;Forudsætninger!$C$14,(G151/100)*Forudsætninger!$C$13,(Forudsætninger!$C$15/1000)*Forudsætninger!$C$13)</f>
        <v>1.70093525196068</v>
      </c>
      <c r="P151" s="17" cm="1">
        <f t="array" ref="P151">INDEX('Model tilvækst, slagteform, fe'!$O$9:$O$375,MATCH(MIN(ABS('Model tilvækst, slagteform, fe'!$M$9:$M$375-G151)),ABS('Model tilvækst, slagteform, fe'!$M$9:$M$375-G151),0))*(1+Forudsætninger!$D$80)</f>
        <v>6.6127733842519483</v>
      </c>
      <c r="Q151" s="17">
        <f t="shared" si="67"/>
        <v>7.7181902102623372</v>
      </c>
      <c r="R151" s="17">
        <f t="shared" si="68"/>
        <v>6.3845021381853</v>
      </c>
      <c r="S151" s="2">
        <f t="shared" si="58"/>
        <v>3.4770609851361627</v>
      </c>
      <c r="T151" s="19">
        <f>(P151)*IF(N151&lt;Forudsætninger!$B$228,IF(N151&lt;Forudsætninger!$B$227,Forudsætninger!$B$225,Forudsætninger!$C$9),Forudsætninger!$C$11)+O151</f>
        <v>17.174824971110237</v>
      </c>
      <c r="U151" s="2">
        <f>Forudsætninger!$D$68+((K151-(Forudsætninger!$D$84)))*0.01</f>
        <v>6.5222355270918744</v>
      </c>
      <c r="V151" s="2">
        <f>U151+Forudsætninger!$D$69</f>
        <v>6.5222355270918744</v>
      </c>
      <c r="W151">
        <f t="shared" si="59"/>
        <v>1</v>
      </c>
      <c r="X151">
        <f>IF(A151+Forudsætninger!$D$60&gt;248,IF(A151+Forudsætninger!$D$60&lt;365,IF(K151&gt;180,IF(K151&lt;260,1,0),0),0),0)</f>
        <v>0</v>
      </c>
      <c r="Y151" s="22">
        <f>IF(X151=0,0,IF('Vækstfunktion, kry tyr'!A151&lt;Forudsætninger!$D$66,Forudsætninger!$D$67+(('Vækstfunktion, kry tyr'!A151-Forudsætninger!$D$66)/7)*Forudsætninger!$D$64,Forudsætninger!$D$67))</f>
        <v>0</v>
      </c>
      <c r="Z151" s="19">
        <f t="shared" si="72"/>
        <v>2204.9742268965174</v>
      </c>
      <c r="AA151" s="19">
        <f>Forudsætninger!$D$62+Forudsætninger!$C$16</f>
        <v>2055</v>
      </c>
      <c r="AB151" s="19">
        <f>IF(K151&gt;Forudsætninger!$C$37,IF(K151&gt;Forudsætninger!$C$38,IF(K151&gt;Forudsætninger!$C$39,Forudsætninger!$E$39,Forudsætninger!$E$38+Forudsætninger!$F$39*(K151-Forudsætninger!$C$38)),Forudsætninger!$E$37+Forudsætninger!$F$38*(K151-Forudsætninger!$C$37)),Forudsætninger!$E$37)+IF(K151&gt;Forudsætninger!$C$39,Forudsætninger!$G$39,IF(K151&gt;Forudsætninger!$C$38,Forudsætninger!$G$38+Forudsætninger!$H$39*(K151-Forudsætninger!$C$38),IF(K151&gt;Forudsætninger!$C$37,Forudsætninger!$G$37+Forudsætninger!$H$38*(K151-Forudsætninger!$C$37),Forudsætninger!$G$37)))*(U151-Forudsætninger!$H$37)</f>
        <v>35.252223552709189</v>
      </c>
      <c r="AC151" s="19">
        <f>IF(K151&gt;Forudsætninger!$C$42,IF(K151&gt;Forudsætninger!$C$43,IF(K151&gt;Forudsætninger!$C$44,Forudsætninger!$E$44,Forudsætninger!$E$43+Forudsætninger!$F$44*(K151-Forudsætninger!$C$43)),Forudsætninger!$E$42+Forudsætninger!$F$43*(K151-Forudsætninger!$C$42)),Forudsætninger!$E$42)+IF(K151&gt;Forudsætninger!$C$44,Forudsætninger!$G$44,IF(K151&gt;Forudsætninger!$C$43,Forudsætninger!$G$43+Forudsætninger!$H$44*(K151-Forudsætninger!$C$43),IF(K151&gt;Forudsætninger!$C$42,Forudsætninger!$G$42+Forudsætninger!$H$43*(K151-Forudsætninger!$C$42),Forudsætninger!$G$42)))*(V151-Forudsætninger!$H$42)</f>
        <v>30.280558881772969</v>
      </c>
      <c r="AD151" s="19">
        <f t="shared" si="60"/>
        <v>4186.665305259683</v>
      </c>
      <c r="AE151" s="19">
        <f t="shared" si="61"/>
        <v>30.280558881772969</v>
      </c>
      <c r="AF151">
        <f>IF(G151&lt;=Forudsætninger!$C$97,Forudsætninger!$C$98,(IF(G151&lt;=Forudsætninger!$D$97,Forudsætninger!$D$98,IF(G151&lt;=Forudsætninger!$E$97,Forudsætninger!$E$98,IF(G151&lt;=Forudsætninger!$F$97,Forudsætninger!$F$98,IF(G151&lt;=Forudsætninger!$G$97,Forudsætninger!$G$98,IF(G151&lt;=Forudsætninger!$H$97,Forudsætninger!$H$98,IF(G151&lt;=Forudsætninger!$I$97,Forudsætninger!$I$98,Forudsætninger!$I$98))))))))</f>
        <v>3.2</v>
      </c>
      <c r="AG151" s="1">
        <f t="shared" si="69"/>
        <v>3.2</v>
      </c>
      <c r="AH151" s="1">
        <f t="shared" si="73"/>
        <v>369.7999999999991</v>
      </c>
      <c r="AI151" s="1">
        <f t="shared" si="62"/>
        <v>2.4818791946308663</v>
      </c>
      <c r="AJ151" s="20">
        <f>+(W151*Forudsætninger!$C$12)</f>
        <v>900</v>
      </c>
      <c r="AK151" s="20">
        <f>Forudsætninger!$C$17</f>
        <v>250</v>
      </c>
      <c r="AL151" s="20">
        <f>IF(A151&lt;92,Forudsætninger!$C$20,Forudsætninger!$C$21)</f>
        <v>1.0566762728146013</v>
      </c>
      <c r="AM151" s="20">
        <f t="shared" si="70"/>
        <v>425.95024750266595</v>
      </c>
      <c r="AN151" s="19">
        <f>IFERROR(AD151+AJ151-AA151-Z151-AK151-AM151-Forudsætninger!$D$75,-99999)</f>
        <v>-67.151142840460551</v>
      </c>
      <c r="AO151" s="57">
        <f>IFERROR(AN151/(A151+Forudsætninger!$D$74),-99999)</f>
        <v>-0.45067881100980234</v>
      </c>
      <c r="AP151" s="19">
        <f>IFERROR(((365/(A151+Forudsætninger!$D$74))*AN151)/(AI151+Forudsætninger!$D$73),-99999)</f>
        <v>-63.466602285838995</v>
      </c>
      <c r="AQ151" s="18">
        <f t="shared" si="74"/>
        <v>149</v>
      </c>
      <c r="AR151" s="18">
        <f t="shared" si="75"/>
        <v>4935.9244743991831</v>
      </c>
      <c r="AS151" s="50">
        <f t="shared" si="76"/>
        <v>6</v>
      </c>
      <c r="AT151" s="50">
        <f t="shared" si="77"/>
        <v>8.006522220081763</v>
      </c>
      <c r="AU151" s="50">
        <f t="shared" si="78"/>
        <v>5.7143250210078156E-2</v>
      </c>
      <c r="AV151" s="2">
        <f t="shared" si="79"/>
        <v>8.1812971790011844</v>
      </c>
      <c r="AW151" s="16">
        <f t="shared" si="71"/>
        <v>2.4080476822966808</v>
      </c>
      <c r="AZ151" s="16"/>
      <c r="BA151" s="2"/>
    </row>
    <row r="152" spans="1:53" x14ac:dyDescent="0.25">
      <c r="A152">
        <v>150</v>
      </c>
      <c r="B152" s="1">
        <f>ROUND((A152+Forudsætninger!$D$60)/30.4,1)</f>
        <v>6.1</v>
      </c>
      <c r="C152" s="1">
        <f>VLOOKUP((A152+Forudsætninger!$D$60),'Model tilvækst, slagteform, fe'!A:C,3,FALSE)</f>
        <v>311.74028089012592</v>
      </c>
      <c r="D152" s="3">
        <f t="shared" si="80"/>
        <v>1843.4604838304267</v>
      </c>
      <c r="E152" s="3">
        <f>(1+Forudsætninger!$D$78)*C152</f>
        <v>261.86183594770574</v>
      </c>
      <c r="F152" s="2">
        <f t="shared" si="81"/>
        <v>1.2952788948477842</v>
      </c>
      <c r="G152" s="1">
        <f t="shared" si="56"/>
        <v>263.15711484255354</v>
      </c>
      <c r="H152" s="3">
        <f t="shared" si="63"/>
        <v>1474.76838706433</v>
      </c>
      <c r="I152" s="3">
        <f t="shared" si="64"/>
        <v>1274.3807656170236</v>
      </c>
      <c r="J152" s="1">
        <f>VLOOKUP((A152+Forudsætninger!$D$60),'Model tilvækst, slagteform, fe'!G:K,3,FALSE)*(1+Forudsætninger!$D$79)</f>
        <v>52.865681462058213</v>
      </c>
      <c r="K152" s="17">
        <f t="shared" si="57"/>
        <v>139.11980207740706</v>
      </c>
      <c r="L152" s="17">
        <f t="shared" si="65"/>
        <v>857.31750418480601</v>
      </c>
      <c r="M152" s="3">
        <f>((K152-(('Model tilvækst, slagteform, fe'!$I$9/100)*'Model tilvækst, slagteform, fe'!$C$9))*1000/(A152+Forudsætninger!$D$60))</f>
        <v>638.05021261433558</v>
      </c>
      <c r="N152" s="17">
        <f t="shared" si="66"/>
        <v>666.16025719492313</v>
      </c>
      <c r="O152" s="19">
        <f>IF( A152&lt;Forudsætninger!$C$14,(G152/100)*Forudsætninger!$C$13,(Forudsætninger!$C$15/1000)*Forudsætninger!$C$13)</f>
        <v>1.7105212464765982</v>
      </c>
      <c r="P152" s="17" cm="1">
        <f t="array" ref="P152">INDEX('Model tilvækst, slagteform, fe'!$O$9:$O$375,MATCH(MIN(ABS('Model tilvækst, slagteform, fe'!$M$9:$M$375-G152)),ABS('Model tilvækst, slagteform, fe'!$M$9:$M$375-G152),0))*(1+Forudsætninger!$D$80)</f>
        <v>6.623170765460995</v>
      </c>
      <c r="Q152" s="17">
        <f t="shared" si="67"/>
        <v>7.7254584598255018</v>
      </c>
      <c r="R152" s="17">
        <f t="shared" si="68"/>
        <v>6.3955392329412435</v>
      </c>
      <c r="S152" s="2">
        <f t="shared" si="58"/>
        <v>3.4848834046465167</v>
      </c>
      <c r="T152" s="19">
        <f>(P152)*IF(N152&lt;Forudsætninger!$B$228,IF(N152&lt;Forudsætninger!$B$227,Forudsætninger!$B$225,Forudsætninger!$C$9),Forudsætninger!$C$11)+O152</f>
        <v>17.208740837655327</v>
      </c>
      <c r="U152" s="2">
        <f>Forudsætninger!$D$68+((K152-(Forudsætninger!$D$84)))*0.01</f>
        <v>6.5308087021337231</v>
      </c>
      <c r="V152" s="2">
        <f>U152+Forudsætninger!$D$69</f>
        <v>6.5308087021337231</v>
      </c>
      <c r="W152">
        <f t="shared" si="59"/>
        <v>1</v>
      </c>
      <c r="X152">
        <f>IF(A152+Forudsætninger!$D$60&gt;248,IF(A152+Forudsætninger!$D$60&lt;365,IF(K152&gt;180,IF(K152&lt;260,1,0),0),0),0)</f>
        <v>0</v>
      </c>
      <c r="Y152" s="22">
        <f>IF(X152=0,0,IF('Vækstfunktion, kry tyr'!A152&lt;Forudsætninger!$D$66,Forudsætninger!$D$67+(('Vækstfunktion, kry tyr'!A152-Forudsætninger!$D$66)/7)*Forudsætninger!$D$64,Forudsætninger!$D$67))</f>
        <v>0</v>
      </c>
      <c r="Z152" s="19">
        <f t="shared" si="72"/>
        <v>2222.1829677341725</v>
      </c>
      <c r="AA152" s="19">
        <f>Forudsætninger!$D$62+Forudsætninger!$C$16</f>
        <v>2055</v>
      </c>
      <c r="AB152" s="19">
        <f>IF(K152&gt;Forudsætninger!$C$37,IF(K152&gt;Forudsætninger!$C$38,IF(K152&gt;Forudsætninger!$C$39,Forudsætninger!$E$39,Forudsætninger!$E$38+Forudsætninger!$F$39*(K152-Forudsætninger!$C$38)),Forudsætninger!$E$37+Forudsætninger!$F$38*(K152-Forudsætninger!$C$37)),Forudsætninger!$E$37)+IF(K152&gt;Forudsætninger!$C$39,Forudsætninger!$G$39,IF(K152&gt;Forudsætninger!$C$38,Forudsætninger!$G$38+Forudsætninger!$H$39*(K152-Forudsætninger!$C$38),IF(K152&gt;Forudsætninger!$C$37,Forudsætninger!$G$37+Forudsætninger!$H$38*(K152-Forudsætninger!$C$37),Forudsætninger!$G$37)))*(U152-Forudsætninger!$H$37)</f>
        <v>35.253080870213374</v>
      </c>
      <c r="AC152" s="19">
        <f>IF(K152&gt;Forudsætninger!$C$42,IF(K152&gt;Forudsætninger!$C$43,IF(K152&gt;Forudsætninger!$C$44,Forudsætninger!$E$44,Forudsætninger!$E$43+Forudsætninger!$F$44*(K152-Forudsætninger!$C$43)),Forudsætninger!$E$42+Forudsætninger!$F$43*(K152-Forudsætninger!$C$42)),Forudsætninger!$E$42)+IF(K152&gt;Forudsætninger!$C$44,Forudsætninger!$G$44,IF(K152&gt;Forudsætninger!$C$43,Forudsætninger!$G$43+Forudsætninger!$H$44*(K152-Forudsætninger!$C$43),IF(K152&gt;Forudsætninger!$C$42,Forudsætninger!$G$42+Forudsætninger!$H$43*(K152-Forudsætninger!$C$42),Forudsætninger!$G$42)))*(V152-Forudsætninger!$H$42)</f>
        <v>30.28270217553343</v>
      </c>
      <c r="AD152" s="19">
        <f t="shared" si="60"/>
        <v>4212.9235330292749</v>
      </c>
      <c r="AE152" s="19">
        <f t="shared" si="61"/>
        <v>30.28270217553343</v>
      </c>
      <c r="AF152">
        <f>IF(G152&lt;=Forudsætninger!$C$97,Forudsætninger!$C$98,(IF(G152&lt;=Forudsætninger!$D$97,Forudsætninger!$D$98,IF(G152&lt;=Forudsætninger!$E$97,Forudsætninger!$E$98,IF(G152&lt;=Forudsætninger!$F$97,Forudsætninger!$F$98,IF(G152&lt;=Forudsætninger!$G$97,Forudsætninger!$G$98,IF(G152&lt;=Forudsætninger!$H$97,Forudsætninger!$H$98,IF(G152&lt;=Forudsætninger!$I$97,Forudsætninger!$I$98,Forudsætninger!$I$98))))))))</f>
        <v>3.2</v>
      </c>
      <c r="AG152" s="1">
        <f t="shared" si="69"/>
        <v>3.2</v>
      </c>
      <c r="AH152" s="1">
        <f t="shared" si="73"/>
        <v>372.99999999999909</v>
      </c>
      <c r="AI152" s="1">
        <f t="shared" si="62"/>
        <v>2.4866666666666606</v>
      </c>
      <c r="AJ152" s="20">
        <f>+(W152*Forudsætninger!$C$12)</f>
        <v>900</v>
      </c>
      <c r="AK152" s="20">
        <f>Forudsætninger!$C$17</f>
        <v>250</v>
      </c>
      <c r="AL152" s="20">
        <f>IF(A152&lt;92,Forudsætninger!$C$20,Forudsætninger!$C$21)</f>
        <v>1.0566762728146013</v>
      </c>
      <c r="AM152" s="20">
        <f t="shared" si="70"/>
        <v>427.00692377548057</v>
      </c>
      <c r="AN152" s="19">
        <f>IFERROR(AD152+AJ152-AA152-Z152-AK152-AM152-Forudsætninger!$D$75,-99999)</f>
        <v>-59.158332181338352</v>
      </c>
      <c r="AO152" s="57">
        <f>IFERROR(AN152/(A152+Forudsætninger!$D$74),-99999)</f>
        <v>-0.39438888120892235</v>
      </c>
      <c r="AP152" s="19">
        <f>IFERROR(((365/(A152+Forudsætninger!$D$74))*AN152)/(AI152+Forudsætninger!$D$73),-99999)</f>
        <v>-55.437204739893573</v>
      </c>
      <c r="AQ152" s="18">
        <f t="shared" si="74"/>
        <v>150</v>
      </c>
      <c r="AR152" s="18">
        <f t="shared" si="75"/>
        <v>4954.1898915096526</v>
      </c>
      <c r="AS152" s="50">
        <f t="shared" si="76"/>
        <v>6.1</v>
      </c>
      <c r="AT152" s="50">
        <f t="shared" si="77"/>
        <v>7.992810659122199</v>
      </c>
      <c r="AU152" s="50">
        <f t="shared" si="78"/>
        <v>5.628992980087999E-2</v>
      </c>
      <c r="AV152" s="2">
        <f t="shared" si="79"/>
        <v>8.0293975459454217</v>
      </c>
      <c r="AW152" s="16">
        <f t="shared" si="71"/>
        <v>2.4523239439609483</v>
      </c>
      <c r="AZ152" s="16"/>
      <c r="BA152" s="2"/>
    </row>
    <row r="153" spans="1:53" x14ac:dyDescent="0.25">
      <c r="A153">
        <v>151</v>
      </c>
      <c r="B153" s="1">
        <f>ROUND((A153+Forudsætninger!$D$60)/30.4,1)</f>
        <v>6.1</v>
      </c>
      <c r="C153" s="1">
        <f>VLOOKUP((A153+Forudsætninger!$D$60),'Model tilvækst, slagteform, fe'!A:C,3,FALSE)</f>
        <v>313.58238000201084</v>
      </c>
      <c r="D153" s="3">
        <f t="shared" si="80"/>
        <v>1842.0991118849201</v>
      </c>
      <c r="E153" s="3">
        <f>(1+Forudsætninger!$D$78)*C153</f>
        <v>263.40919920168909</v>
      </c>
      <c r="F153" s="2">
        <f t="shared" si="81"/>
        <v>1.2215949303723874</v>
      </c>
      <c r="G153" s="1">
        <f t="shared" si="56"/>
        <v>264.63079413206145</v>
      </c>
      <c r="H153" s="3">
        <f t="shared" si="63"/>
        <v>1473.6792895079134</v>
      </c>
      <c r="I153" s="3">
        <f t="shared" si="64"/>
        <v>1275.7006233911354</v>
      </c>
      <c r="J153" s="1">
        <f>VLOOKUP((A153+Forudsætninger!$D$60),'Model tilvækst, slagteform, fe'!G:K,3,FALSE)*(1+Forudsætninger!$D$79)</f>
        <v>52.895437051807406</v>
      </c>
      <c r="K153" s="17">
        <f t="shared" si="57"/>
        <v>139.9776151298226</v>
      </c>
      <c r="L153" s="17">
        <f t="shared" si="65"/>
        <v>857.81305241553696</v>
      </c>
      <c r="M153" s="3">
        <f>((K153-(('Model tilvækst, slagteform, fe'!$I$9/100)*'Model tilvækst, slagteform, fe'!$C$9))*1000/(A153+Forudsætninger!$D$60))</f>
        <v>639.23811985650411</v>
      </c>
      <c r="N153" s="17">
        <f t="shared" si="66"/>
        <v>672.80370289277244</v>
      </c>
      <c r="O153" s="19">
        <f>IF( A153&lt;Forudsætninger!$C$14,(G153/100)*Forudsætninger!$C$13,(Forudsætninger!$C$15/1000)*Forudsætninger!$C$13)</f>
        <v>1.7201001618583995</v>
      </c>
      <c r="P153" s="17" cm="1">
        <f t="array" ref="P153">INDEX('Model tilvækst, slagteform, fe'!$O$9:$O$375,MATCH(MIN(ABS('Model tilvækst, slagteform, fe'!$M$9:$M$375-G153)),ABS('Model tilvækst, slagteform, fe'!$M$9:$M$375-G153),0))*(1+Forudsætninger!$D$80)</f>
        <v>6.6434456978492724</v>
      </c>
      <c r="Q153" s="17">
        <f t="shared" si="67"/>
        <v>7.744631163097635</v>
      </c>
      <c r="R153" s="17">
        <f t="shared" si="68"/>
        <v>6.4065589551985349</v>
      </c>
      <c r="S153" s="2">
        <f t="shared" si="58"/>
        <v>3.4927110482217083</v>
      </c>
      <c r="T153" s="19">
        <f>(P153)*IF(N153&lt;Forudsætninger!$B$228,IF(N153&lt;Forudsætninger!$B$227,Forudsætninger!$B$225,Forudsætninger!$C$9),Forudsætninger!$C$11)+O153</f>
        <v>17.265763094825697</v>
      </c>
      <c r="U153" s="2">
        <f>Forudsætninger!$D$68+((K153-(Forudsætninger!$D$84)))*0.01</f>
        <v>6.5393868326578781</v>
      </c>
      <c r="V153" s="2">
        <f>U153+Forudsætninger!$D$69</f>
        <v>6.5393868326578781</v>
      </c>
      <c r="W153">
        <f t="shared" si="59"/>
        <v>1</v>
      </c>
      <c r="X153">
        <f>IF(A153+Forudsætninger!$D$60&gt;248,IF(A153+Forudsætninger!$D$60&lt;365,IF(K153&gt;180,IF(K153&lt;260,1,0),0),0),0)</f>
        <v>0</v>
      </c>
      <c r="Y153" s="22">
        <f>IF(X153=0,0,IF('Vækstfunktion, kry tyr'!A153&lt;Forudsætninger!$D$66,Forudsætninger!$D$67+(('Vækstfunktion, kry tyr'!A153-Forudsætninger!$D$66)/7)*Forudsætninger!$D$64,Forudsætninger!$D$67))</f>
        <v>0</v>
      </c>
      <c r="Z153" s="19">
        <f t="shared" si="72"/>
        <v>2239.4487308289981</v>
      </c>
      <c r="AA153" s="19">
        <f>Forudsætninger!$D$62+Forudsætninger!$C$16</f>
        <v>2055</v>
      </c>
      <c r="AB153" s="19">
        <f>IF(K153&gt;Forudsætninger!$C$37,IF(K153&gt;Forudsætninger!$C$38,IF(K153&gt;Forudsætninger!$C$39,Forudsætninger!$E$39,Forudsætninger!$E$38+Forudsætninger!$F$39*(K153-Forudsætninger!$C$38)),Forudsætninger!$E$37+Forudsætninger!$F$38*(K153-Forudsætninger!$C$37)),Forudsætninger!$E$37)+IF(K153&gt;Forudsætninger!$C$39,Forudsætninger!$G$39,IF(K153&gt;Forudsætninger!$C$38,Forudsætninger!$G$38+Forudsætninger!$H$39*(K153-Forudsætninger!$C$38),IF(K153&gt;Forudsætninger!$C$37,Forudsætninger!$G$37+Forudsætninger!$H$38*(K153-Forudsætninger!$C$37),Forudsætninger!$G$37)))*(U153-Forudsætninger!$H$37)</f>
        <v>35.253938683265787</v>
      </c>
      <c r="AC153" s="19">
        <f>IF(K153&gt;Forudsætninger!$C$42,IF(K153&gt;Forudsætninger!$C$43,IF(K153&gt;Forudsætninger!$C$44,Forudsætninger!$E$44,Forudsætninger!$E$43+Forudsætninger!$F$44*(K153-Forudsætninger!$C$43)),Forudsætninger!$E$42+Forudsætninger!$F$43*(K153-Forudsætninger!$C$42)),Forudsætninger!$E$42)+IF(K153&gt;Forudsætninger!$C$44,Forudsætninger!$G$44,IF(K153&gt;Forudsætninger!$C$43,Forudsætninger!$G$43+Forudsætninger!$H$44*(K153-Forudsætninger!$C$43),IF(K153&gt;Forudsætninger!$C$42,Forudsætninger!$G$42+Forudsætninger!$H$43*(K153-Forudsætninger!$C$42),Forudsætninger!$G$42)))*(V153-Forudsætninger!$H$42)</f>
        <v>30.284846708164469</v>
      </c>
      <c r="AD153" s="19">
        <f t="shared" si="60"/>
        <v>4239.2006167811205</v>
      </c>
      <c r="AE153" s="19">
        <f t="shared" si="61"/>
        <v>30.284846708164466</v>
      </c>
      <c r="AF153">
        <f>IF(G153&lt;=Forudsætninger!$C$97,Forudsætninger!$C$98,(IF(G153&lt;=Forudsætninger!$D$97,Forudsætninger!$D$98,IF(G153&lt;=Forudsætninger!$E$97,Forudsætninger!$E$98,IF(G153&lt;=Forudsætninger!$F$97,Forudsætninger!$F$98,IF(G153&lt;=Forudsætninger!$G$97,Forudsætninger!$G$98,IF(G153&lt;=Forudsætninger!$H$97,Forudsætninger!$H$98,IF(G153&lt;=Forudsætninger!$I$97,Forudsætninger!$I$98,Forudsætninger!$I$98))))))))</f>
        <v>3.2</v>
      </c>
      <c r="AG153" s="1">
        <f t="shared" si="69"/>
        <v>3.2</v>
      </c>
      <c r="AH153" s="1">
        <f t="shared" si="73"/>
        <v>376.19999999999908</v>
      </c>
      <c r="AI153" s="1">
        <f t="shared" si="62"/>
        <v>2.4913907284768153</v>
      </c>
      <c r="AJ153" s="20">
        <f>+(W153*Forudsætninger!$C$12)</f>
        <v>900</v>
      </c>
      <c r="AK153" s="20">
        <f>Forudsætninger!$C$17</f>
        <v>250</v>
      </c>
      <c r="AL153" s="20">
        <f>IF(A153&lt;92,Forudsætninger!$C$20,Forudsætninger!$C$21)</f>
        <v>1.0566762728146013</v>
      </c>
      <c r="AM153" s="20">
        <f t="shared" si="70"/>
        <v>428.0636000482952</v>
      </c>
      <c r="AN153" s="19">
        <f>IFERROR(AD153+AJ153-AA153-Z153-AK153-AM153-Forudsætninger!$D$75,-99999)</f>
        <v>-51.203687797133028</v>
      </c>
      <c r="AO153" s="57">
        <f>IFERROR(AN153/(A153+Forudsætninger!$D$74),-99999)</f>
        <v>-0.33909727017968894</v>
      </c>
      <c r="AP153" s="19">
        <f>IFERROR(((365/(A153+Forudsætninger!$D$74))*AN153)/(AI153+Forudsætninger!$D$73),-99999)</f>
        <v>-47.578590275078533</v>
      </c>
      <c r="AQ153" s="18">
        <f t="shared" si="74"/>
        <v>151</v>
      </c>
      <c r="AR153" s="18">
        <f t="shared" si="75"/>
        <v>4972.5123308772936</v>
      </c>
      <c r="AS153" s="50">
        <f t="shared" si="76"/>
        <v>6.1</v>
      </c>
      <c r="AT153" s="50">
        <f t="shared" si="77"/>
        <v>7.9546443842053236</v>
      </c>
      <c r="AU153" s="50">
        <f t="shared" si="78"/>
        <v>5.5291611029233412E-2</v>
      </c>
      <c r="AV153" s="2">
        <f t="shared" si="79"/>
        <v>7.8586144648150409</v>
      </c>
      <c r="AW153" s="16">
        <f t="shared" si="71"/>
        <v>2.4957610082858426</v>
      </c>
      <c r="AZ153" s="16"/>
      <c r="BA153" s="2"/>
    </row>
    <row r="154" spans="1:53" x14ac:dyDescent="0.25">
      <c r="A154">
        <v>152</v>
      </c>
      <c r="B154" s="1">
        <f>ROUND((A154+Forudsætninger!$D$60)/30.4,1)</f>
        <v>6.1</v>
      </c>
      <c r="C154" s="1">
        <f>VLOOKUP((A154+Forudsætninger!$D$60),'Model tilvækst, slagteform, fe'!A:C,3,FALSE)</f>
        <v>315.4230535849174</v>
      </c>
      <c r="D154" s="3">
        <f t="shared" si="80"/>
        <v>1840.673582906561</v>
      </c>
      <c r="E154" s="3">
        <f>(1+Forudsætninger!$D$78)*C154</f>
        <v>264.95536501133063</v>
      </c>
      <c r="F154" s="2">
        <f t="shared" si="81"/>
        <v>1.147967987056125</v>
      </c>
      <c r="G154" s="1">
        <f t="shared" si="56"/>
        <v>266.10333299838675</v>
      </c>
      <c r="H154" s="3">
        <f t="shared" si="63"/>
        <v>1472.5388663252943</v>
      </c>
      <c r="I154" s="3">
        <f t="shared" si="64"/>
        <v>1276.9956118314919</v>
      </c>
      <c r="J154" s="1">
        <f>VLOOKUP((A154+Forudsætninger!$D$60),'Model tilvækst, slagteform, fe'!G:K,3,FALSE)*(1+Forudsætninger!$D$79)</f>
        <v>52.925258038409567</v>
      </c>
      <c r="K154" s="17">
        <f t="shared" si="57"/>
        <v>140.83587563820444</v>
      </c>
      <c r="L154" s="17">
        <f t="shared" si="65"/>
        <v>858.26050838184642</v>
      </c>
      <c r="M154" s="3">
        <f>((K154-(('Model tilvækst, slagteform, fe'!$I$9/100)*'Model tilvækst, slagteform, fe'!$C$9))*1000/(A154+Forudsætninger!$D$60))</f>
        <v>640.41565957975865</v>
      </c>
      <c r="N154" s="17">
        <f t="shared" si="66"/>
        <v>679.45703385417789</v>
      </c>
      <c r="O154" s="19">
        <f>IF( A154&lt;Forudsætninger!$C$14,(G154/100)*Forudsætninger!$C$13,(Forudsætninger!$C$15/1000)*Forudsætninger!$C$13)</f>
        <v>1.729671664489514</v>
      </c>
      <c r="P154" s="17" cm="1">
        <f t="array" ref="P154">INDEX('Model tilvækst, slagteform, fe'!$O$9:$O$375,MATCH(MIN(ABS('Model tilvækst, slagteform, fe'!$M$9:$M$375-G154)),ABS('Model tilvækst, slagteform, fe'!$M$9:$M$375-G154),0))*(1+Forudsætninger!$D$80)</f>
        <v>6.6533309614054437</v>
      </c>
      <c r="Q154" s="17">
        <f t="shared" si="67"/>
        <v>7.7521112720769949</v>
      </c>
      <c r="R154" s="17">
        <f t="shared" si="68"/>
        <v>6.4174663571983546</v>
      </c>
      <c r="S154" s="2">
        <f t="shared" si="58"/>
        <v>3.500491327780678</v>
      </c>
      <c r="T154" s="19">
        <f>(P154)*IF(N154&lt;Forudsætninger!$B$228,IF(N154&lt;Forudsætninger!$B$227,Forudsætninger!$B$225,Forudsætninger!$C$9),Forudsætninger!$C$11)+O154</f>
        <v>17.29846611417825</v>
      </c>
      <c r="U154" s="2">
        <f>Forudsætninger!$D$68+((K154-(Forudsætninger!$D$84)))*0.01</f>
        <v>6.5479694377416964</v>
      </c>
      <c r="V154" s="2">
        <f>U154+Forudsætninger!$D$69</f>
        <v>6.5479694377416964</v>
      </c>
      <c r="W154">
        <f t="shared" si="59"/>
        <v>1</v>
      </c>
      <c r="X154">
        <f>IF(A154+Forudsætninger!$D$60&gt;248,IF(A154+Forudsætninger!$D$60&lt;365,IF(K154&gt;180,IF(K154&lt;260,1,0),0),0),0)</f>
        <v>0</v>
      </c>
      <c r="Y154" s="22">
        <f>IF(X154=0,0,IF('Vækstfunktion, kry tyr'!A154&lt;Forudsætninger!$D$66,Forudsætninger!$D$67+(('Vækstfunktion, kry tyr'!A154-Forudsætninger!$D$66)/7)*Forudsætninger!$D$64,Forudsætninger!$D$67))</f>
        <v>0</v>
      </c>
      <c r="Z154" s="19">
        <f>Z153+T154</f>
        <v>2256.7471969431763</v>
      </c>
      <c r="AA154" s="19">
        <f>Forudsætninger!$D$62+Forudsætninger!$C$16</f>
        <v>2055</v>
      </c>
      <c r="AB154" s="19">
        <f>IF(K154&gt;Forudsætninger!$C$37,IF(K154&gt;Forudsætninger!$C$38,IF(K154&gt;Forudsætninger!$C$39,Forudsætninger!$E$39,Forudsætninger!$E$38+Forudsætninger!$F$39*(K154-Forudsætninger!$C$38)),Forudsætninger!$E$37+Forudsætninger!$F$38*(K154-Forudsætninger!$C$37)),Forudsætninger!$E$37)+IF(K154&gt;Forudsætninger!$C$39,Forudsætninger!$G$39,IF(K154&gt;Forudsætninger!$C$38,Forudsætninger!$G$38+Forudsætninger!$H$39*(K154-Forudsætninger!$C$38),IF(K154&gt;Forudsætninger!$C$37,Forudsætninger!$G$37+Forudsætninger!$H$38*(K154-Forudsætninger!$C$37),Forudsætninger!$G$37)))*(U154-Forudsætninger!$H$37)</f>
        <v>35.254796943774167</v>
      </c>
      <c r="AC154" s="19">
        <f>IF(K154&gt;Forudsætninger!$C$42,IF(K154&gt;Forudsætninger!$C$43,IF(K154&gt;Forudsætninger!$C$44,Forudsætninger!$E$44,Forudsætninger!$E$43+Forudsætninger!$F$44*(K154-Forudsætninger!$C$43)),Forudsætninger!$E$42+Forudsætninger!$F$43*(K154-Forudsætninger!$C$42)),Forudsætninger!$E$42)+IF(K154&gt;Forudsætninger!$C$44,Forudsætninger!$G$44,IF(K154&gt;Forudsætninger!$C$43,Forudsætninger!$G$43+Forudsætninger!$H$44*(K154-Forudsætninger!$C$43),IF(K154&gt;Forudsætninger!$C$42,Forudsætninger!$G$42+Forudsætninger!$H$43*(K154-Forudsætninger!$C$42),Forudsætninger!$G$42)))*(V154-Forudsætninger!$H$42)</f>
        <v>30.286992359435423</v>
      </c>
      <c r="AD154" s="19">
        <f t="shared" si="60"/>
        <v>4265.4950893886953</v>
      </c>
      <c r="AE154" s="19">
        <f t="shared" si="61"/>
        <v>30.286992359435423</v>
      </c>
      <c r="AF154">
        <f>IF(G154&lt;=Forudsætninger!$C$97,Forudsætninger!$C$98,(IF(G154&lt;=Forudsætninger!$D$97,Forudsætninger!$D$98,IF(G154&lt;=Forudsætninger!$E$97,Forudsætninger!$E$98,IF(G154&lt;=Forudsætninger!$F$97,Forudsætninger!$F$98,IF(G154&lt;=Forudsætninger!$G$97,Forudsætninger!$G$98,IF(G154&lt;=Forudsætninger!$H$97,Forudsætninger!$H$98,IF(G154&lt;=Forudsætninger!$I$97,Forudsætninger!$I$98,Forudsætninger!$I$98))))))))</f>
        <v>3.2</v>
      </c>
      <c r="AG154" s="1">
        <f t="shared" si="69"/>
        <v>3.2</v>
      </c>
      <c r="AH154" s="1">
        <f t="shared" si="73"/>
        <v>379.39999999999907</v>
      </c>
      <c r="AI154" s="1">
        <f t="shared" si="62"/>
        <v>2.4960526315789413</v>
      </c>
      <c r="AJ154" s="20">
        <f>+(W154*Forudsætninger!$C$12)</f>
        <v>900</v>
      </c>
      <c r="AK154" s="20">
        <f>Forudsætninger!$C$17</f>
        <v>250</v>
      </c>
      <c r="AL154" s="20">
        <f>IF(A154&lt;92,Forudsætninger!$C$20,Forudsætninger!$C$21)</f>
        <v>1.0566762728146013</v>
      </c>
      <c r="AM154" s="20">
        <f t="shared" si="70"/>
        <v>429.12027632110983</v>
      </c>
      <c r="AN154" s="19">
        <f>IFERROR(AD154+AJ154-AA154-Z154-AK154-AM154-Forudsætninger!$D$75,-99999)</f>
        <v>-43.264357576551021</v>
      </c>
      <c r="AO154" s="57">
        <f>IFERROR(AN154/(A154+Forudsætninger!$D$74),-99999)</f>
        <v>-0.28463393142467774</v>
      </c>
      <c r="AP154" s="19">
        <f>IFERROR(((365/(A154+Forudsætninger!$D$74))*AN154)/(AI154+Forudsætninger!$D$73),-99999)</f>
        <v>-39.865420871052102</v>
      </c>
      <c r="AQ154" s="18">
        <f t="shared" si="74"/>
        <v>152</v>
      </c>
      <c r="AR154" s="18">
        <f t="shared" si="75"/>
        <v>4990.8674732642858</v>
      </c>
      <c r="AS154" s="50">
        <f t="shared" si="76"/>
        <v>6.1</v>
      </c>
      <c r="AT154" s="50">
        <f t="shared" si="77"/>
        <v>7.9393302205820078</v>
      </c>
      <c r="AU154" s="50">
        <f t="shared" si="78"/>
        <v>5.4463338755011192E-2</v>
      </c>
      <c r="AV154" s="2">
        <f t="shared" si="79"/>
        <v>7.7131694040264307</v>
      </c>
      <c r="AW154" s="16">
        <f t="shared" si="71"/>
        <v>2.538525781214203</v>
      </c>
      <c r="AZ154" s="16"/>
      <c r="BA154" s="2"/>
    </row>
    <row r="155" spans="1:53" x14ac:dyDescent="0.25">
      <c r="A155">
        <v>153</v>
      </c>
      <c r="B155" s="1">
        <f>ROUND((A155+Forudsætninger!$D$60)/30.4,1)</f>
        <v>6.2</v>
      </c>
      <c r="C155" s="1">
        <f>VLOOKUP((A155+Forudsætninger!$D$60),'Model tilvækst, slagteform, fe'!A:C,3,FALSE)</f>
        <v>317.26223810274888</v>
      </c>
      <c r="D155" s="3">
        <f t="shared" si="80"/>
        <v>1839.1845178314838</v>
      </c>
      <c r="E155" s="3">
        <f>(1+Forudsætninger!$D$78)*C155</f>
        <v>266.50028000630903</v>
      </c>
      <c r="F155" s="2">
        <f t="shared" si="81"/>
        <v>1.0744006063428657</v>
      </c>
      <c r="G155" s="1">
        <f t="shared" si="56"/>
        <v>267.57468061265189</v>
      </c>
      <c r="H155" s="3">
        <f t="shared" si="63"/>
        <v>1471.3476142651416</v>
      </c>
      <c r="I155" s="3">
        <f t="shared" si="64"/>
        <v>1278.2658863572019</v>
      </c>
      <c r="J155" s="1">
        <f>VLOOKUP((A155+Forudsætninger!$D$60),'Model tilvækst, slagteform, fe'!G:K,3,FALSE)*(1+Forudsætninger!$D$79)</f>
        <v>52.955135691026683</v>
      </c>
      <c r="K155" s="17">
        <f t="shared" si="57"/>
        <v>141.69453519326106</v>
      </c>
      <c r="L155" s="17">
        <f t="shared" si="65"/>
        <v>858.65955505661873</v>
      </c>
      <c r="M155" s="3">
        <f>((K155-(('Model tilvækst, slagteform, fe'!$I$9/100)*'Model tilvækst, slagteform, fe'!$C$9))*1000/(A155+Forudsætninger!$D$60))</f>
        <v>641.58273923471518</v>
      </c>
      <c r="N155" s="17">
        <f t="shared" si="66"/>
        <v>686.12008708563212</v>
      </c>
      <c r="O155" s="19">
        <f>IF( A155&lt;Forudsætninger!$C$14,(G155/100)*Forudsætninger!$C$13,(Forudsætninger!$C$15/1000)*Forudsætninger!$C$13)</f>
        <v>1.7392354239822374</v>
      </c>
      <c r="P155" s="17" cm="1">
        <f t="array" ref="P155">INDEX('Model tilvækst, slagteform, fe'!$O$9:$O$375,MATCH(MIN(ABS('Model tilvækst, slagteform, fe'!$M$9:$M$375-G155)),ABS('Model tilvækst, slagteform, fe'!$M$9:$M$375-G155),0))*(1+Forudsætninger!$D$80)</f>
        <v>6.6630532314542634</v>
      </c>
      <c r="Q155" s="17">
        <f t="shared" si="67"/>
        <v>7.759831230218956</v>
      </c>
      <c r="R155" s="17">
        <f t="shared" si="68"/>
        <v>6.4282653997123136</v>
      </c>
      <c r="S155" s="2">
        <f t="shared" si="58"/>
        <v>3.5082255276414673</v>
      </c>
      <c r="T155" s="19">
        <f>(P155)*IF(N155&lt;Forudsætninger!$B$228,IF(N155&lt;Forudsætninger!$B$227,Forudsætninger!$B$225,Forudsætninger!$C$9),Forudsætninger!$C$11)+O155</f>
        <v>17.330779985585213</v>
      </c>
      <c r="U155" s="2">
        <f>Forudsætninger!$D$68+((K155-(Forudsætninger!$D$84)))*0.01</f>
        <v>6.5565560332922628</v>
      </c>
      <c r="V155" s="2">
        <f>U155+Forudsætninger!$D$69</f>
        <v>6.5565560332922628</v>
      </c>
      <c r="W155">
        <f t="shared" si="59"/>
        <v>1</v>
      </c>
      <c r="X155">
        <f>IF(A155+Forudsætninger!$D$60&gt;248,IF(A155+Forudsætninger!$D$60&lt;365,IF(K155&gt;180,IF(K155&lt;260,1,0),0),0),0)</f>
        <v>0</v>
      </c>
      <c r="Y155" s="22">
        <f>IF(X155=0,0,IF('Vækstfunktion, kry tyr'!A155&lt;Forudsætninger!$D$66,Forudsætninger!$D$67+(('Vækstfunktion, kry tyr'!A155-Forudsætninger!$D$66)/7)*Forudsætninger!$D$64,Forudsætninger!$D$67))</f>
        <v>0</v>
      </c>
      <c r="Z155" s="19">
        <f t="shared" si="72"/>
        <v>2274.0779769287615</v>
      </c>
      <c r="AA155" s="19">
        <f>Forudsætninger!$D$62+Forudsætninger!$C$16</f>
        <v>2055</v>
      </c>
      <c r="AB155" s="19">
        <f>IF(K155&gt;Forudsætninger!$C$37,IF(K155&gt;Forudsætninger!$C$38,IF(K155&gt;Forudsætninger!$C$39,Forudsætninger!$E$39,Forudsætninger!$E$38+Forudsætninger!$F$39*(K155-Forudsætninger!$C$38)),Forudsætninger!$E$37+Forudsætninger!$F$38*(K155-Forudsætninger!$C$37)),Forudsætninger!$E$37)+IF(K155&gt;Forudsætninger!$C$39,Forudsætninger!$G$39,IF(K155&gt;Forudsætninger!$C$38,Forudsætninger!$G$38+Forudsætninger!$H$39*(K155-Forudsætninger!$C$38),IF(K155&gt;Forudsætninger!$C$37,Forudsætninger!$G$37+Forudsætninger!$H$38*(K155-Forudsætninger!$C$37),Forudsætninger!$G$37)))*(U155-Forudsætninger!$H$37)</f>
        <v>35.255655603329224</v>
      </c>
      <c r="AC155" s="19">
        <f>IF(K155&gt;Forudsætninger!$C$42,IF(K155&gt;Forudsætninger!$C$43,IF(K155&gt;Forudsætninger!$C$44,Forudsætninger!$E$44,Forudsætninger!$E$43+Forudsætninger!$F$44*(K155-Forudsætninger!$C$43)),Forudsætninger!$E$42+Forudsætninger!$F$43*(K155-Forudsætninger!$C$42)),Forudsætninger!$E$42)+IF(K155&gt;Forudsætninger!$C$44,Forudsætninger!$G$44,IF(K155&gt;Forudsætninger!$C$43,Forudsætninger!$G$43+Forudsætninger!$H$44*(K155-Forudsætninger!$C$43),IF(K155&gt;Forudsætninger!$C$42,Forudsætninger!$G$42+Forudsætninger!$H$43*(K155-Forudsætninger!$C$42),Forudsætninger!$G$42)))*(V155-Forudsætninger!$H$42)</f>
        <v>30.289139008323065</v>
      </c>
      <c r="AD155" s="19">
        <f t="shared" si="60"/>
        <v>4291.8054731884095</v>
      </c>
      <c r="AE155" s="19">
        <f t="shared" si="61"/>
        <v>30.289139008323069</v>
      </c>
      <c r="AF155">
        <f>IF(G155&lt;=Forudsætninger!$C$97,Forudsætninger!$C$98,(IF(G155&lt;=Forudsætninger!$D$97,Forudsætninger!$D$98,IF(G155&lt;=Forudsætninger!$E$97,Forudsætninger!$E$98,IF(G155&lt;=Forudsætninger!$F$97,Forudsætninger!$F$98,IF(G155&lt;=Forudsætninger!$G$97,Forudsætninger!$G$98,IF(G155&lt;=Forudsætninger!$H$97,Forudsætninger!$H$98,IF(G155&lt;=Forudsætninger!$I$97,Forudsætninger!$I$98,Forudsætninger!$I$98))))))))</f>
        <v>3.2</v>
      </c>
      <c r="AG155" s="1">
        <f t="shared" si="69"/>
        <v>3.2</v>
      </c>
      <c r="AH155" s="1">
        <f t="shared" si="73"/>
        <v>382.59999999999906</v>
      </c>
      <c r="AI155" s="1">
        <f t="shared" si="62"/>
        <v>2.5006535947712356</v>
      </c>
      <c r="AJ155" s="20">
        <f>+(W155*Forudsætninger!$C$12)</f>
        <v>900</v>
      </c>
      <c r="AK155" s="20">
        <f>Forudsætninger!$C$17</f>
        <v>250</v>
      </c>
      <c r="AL155" s="20">
        <f>IF(A155&lt;92,Forudsætninger!$C$20,Forudsætninger!$C$21)</f>
        <v>1.0566762728146013</v>
      </c>
      <c r="AM155" s="20">
        <f t="shared" si="70"/>
        <v>430.17695259392445</v>
      </c>
      <c r="AN155" s="19">
        <f>IFERROR(AD155+AJ155-AA155-Z155-AK155-AM155-Forudsætninger!$D$75,-99999)</f>
        <v>-35.341430035236698</v>
      </c>
      <c r="AO155" s="57">
        <f>IFERROR(AN155/(A155+Forudsætninger!$D$74),-99999)</f>
        <v>-0.23098973879239673</v>
      </c>
      <c r="AP155" s="19">
        <f>IFERROR(((365/(A155+Forudsætninger!$D$74))*AN155)/(AI155+Forudsætninger!$D$73),-99999)</f>
        <v>-32.295075389583722</v>
      </c>
      <c r="AQ155" s="18">
        <f t="shared" si="74"/>
        <v>153</v>
      </c>
      <c r="AR155" s="18">
        <f t="shared" si="75"/>
        <v>5009.2549295226863</v>
      </c>
      <c r="AS155" s="50">
        <f t="shared" si="76"/>
        <v>6.2</v>
      </c>
      <c r="AT155" s="50">
        <f t="shared" si="77"/>
        <v>7.9229275413143228</v>
      </c>
      <c r="AU155" s="50">
        <f t="shared" si="78"/>
        <v>5.3644192632281013E-2</v>
      </c>
      <c r="AV155" s="2">
        <f t="shared" si="79"/>
        <v>7.5703454814683795</v>
      </c>
      <c r="AW155" s="16">
        <f t="shared" si="71"/>
        <v>2.5806243304489396</v>
      </c>
      <c r="AZ155" s="16"/>
      <c r="BA155" s="2"/>
    </row>
    <row r="156" spans="1:53" x14ac:dyDescent="0.25">
      <c r="A156">
        <v>154</v>
      </c>
      <c r="B156" s="1">
        <f>ROUND((A156+Forudsætninger!$D$60)/30.4,1)</f>
        <v>6.2</v>
      </c>
      <c r="C156" s="1">
        <f>VLOOKUP((A156+Forudsætninger!$D$60),'Model tilvækst, slagteform, fe'!A:C,3,FALSE)</f>
        <v>319.09987064034556</v>
      </c>
      <c r="D156" s="3">
        <f t="shared" si="80"/>
        <v>1837.6325375966758</v>
      </c>
      <c r="E156" s="3">
        <f>(1+Forudsætninger!$D$78)*C156</f>
        <v>268.04389133789027</v>
      </c>
      <c r="F156" s="2">
        <f t="shared" si="81"/>
        <v>1.0008953048389988</v>
      </c>
      <c r="G156" s="1">
        <f t="shared" si="56"/>
        <v>269.04478664272926</v>
      </c>
      <c r="H156" s="3">
        <f t="shared" si="63"/>
        <v>1470.1060300773747</v>
      </c>
      <c r="I156" s="3">
        <f t="shared" si="64"/>
        <v>1279.5116015761641</v>
      </c>
      <c r="J156" s="1">
        <f>VLOOKUP((A156+Forudsætninger!$D$60),'Model tilvækst, slagteform, fe'!G:K,3,FALSE)*(1+Forudsætninger!$D$79)</f>
        <v>52.985061278820751</v>
      </c>
      <c r="K156" s="17">
        <f t="shared" si="57"/>
        <v>142.55354507012265</v>
      </c>
      <c r="L156" s="17">
        <f t="shared" si="65"/>
        <v>859.00987686159169</v>
      </c>
      <c r="M156" s="3">
        <f>((K156-(('Model tilvækst, slagteform, fe'!$I$9/100)*'Model tilvækst, slagteform, fe'!$C$9))*1000/(A156+Forudsætninger!$D$60))</f>
        <v>642.73926656251774</v>
      </c>
      <c r="N156" s="17">
        <f t="shared" si="66"/>
        <v>692.80211130141583</v>
      </c>
      <c r="O156" s="19">
        <f>IF( A156&lt;Forudsætninger!$C$14,(G156/100)*Forudsætninger!$C$13,(Forudsætninger!$C$15/1000)*Forudsætninger!$C$13)</f>
        <v>1.7487911131777405</v>
      </c>
      <c r="P156" s="17" cm="1">
        <f t="array" ref="P156">INDEX('Model tilvækst, slagteform, fe'!$O$9:$O$375,MATCH(MIN(ABS('Model tilvækst, slagteform, fe'!$M$9:$M$375-G156)),ABS('Model tilvækst, slagteform, fe'!$M$9:$M$375-G156),0))*(1+Forudsætninger!$D$80)</f>
        <v>6.6820242157837395</v>
      </c>
      <c r="Q156" s="17">
        <f t="shared" si="67"/>
        <v>7.7787513226234806</v>
      </c>
      <c r="R156" s="17">
        <f t="shared" si="68"/>
        <v>6.4390474323146494</v>
      </c>
      <c r="S156" s="2">
        <f t="shared" si="58"/>
        <v>3.5159626555234187</v>
      </c>
      <c r="T156" s="19">
        <f>(P156)*IF(N156&lt;Forudsætninger!$B$228,IF(N156&lt;Forudsætninger!$B$227,Forudsætninger!$B$225,Forudsætninger!$C$9),Forudsætninger!$C$11)+O156</f>
        <v>17.384727778111689</v>
      </c>
      <c r="U156" s="2">
        <f>Forudsætninger!$D$68+((K156-(Forudsætninger!$D$84)))*0.01</f>
        <v>6.565146132060879</v>
      </c>
      <c r="V156" s="2">
        <f>U156+Forudsætninger!$D$69</f>
        <v>6.565146132060879</v>
      </c>
      <c r="W156">
        <f t="shared" si="59"/>
        <v>1</v>
      </c>
      <c r="X156">
        <f>IF(A156+Forudsætninger!$D$60&gt;248,IF(A156+Forudsætninger!$D$60&lt;365,IF(K156&gt;180,IF(K156&lt;260,1,0),0),0),0)</f>
        <v>0</v>
      </c>
      <c r="Y156" s="22">
        <f>IF(X156=0,0,IF('Vækstfunktion, kry tyr'!A156&lt;Forudsætninger!$D$66,Forudsætninger!$D$67+(('Vækstfunktion, kry tyr'!A156-Forudsætninger!$D$66)/7)*Forudsætninger!$D$64,Forudsætninger!$D$67))</f>
        <v>0</v>
      </c>
      <c r="Z156" s="19">
        <f t="shared" si="72"/>
        <v>2291.462704706873</v>
      </c>
      <c r="AA156" s="19">
        <f>Forudsætninger!$D$62+Forudsætninger!$C$16</f>
        <v>2055</v>
      </c>
      <c r="AB156" s="19">
        <f>IF(K156&gt;Forudsætninger!$C$37,IF(K156&gt;Forudsætninger!$C$38,IF(K156&gt;Forudsætninger!$C$39,Forudsætninger!$E$39,Forudsætninger!$E$38+Forudsætninger!$F$39*(K156-Forudsætninger!$C$38)),Forudsætninger!$E$37+Forudsætninger!$F$38*(K156-Forudsætninger!$C$37)),Forudsætninger!$E$37)+IF(K156&gt;Forudsætninger!$C$39,Forudsætninger!$G$39,IF(K156&gt;Forudsætninger!$C$38,Forudsætninger!$G$38+Forudsætninger!$H$39*(K156-Forudsætninger!$C$38),IF(K156&gt;Forudsætninger!$C$37,Forudsætninger!$G$37+Forudsætninger!$H$38*(K156-Forudsætninger!$C$37),Forudsætninger!$G$37)))*(U156-Forudsætninger!$H$37)</f>
        <v>35.256514613206086</v>
      </c>
      <c r="AC156" s="19">
        <f>IF(K156&gt;Forudsætninger!$C$42,IF(K156&gt;Forudsætninger!$C$43,IF(K156&gt;Forudsætninger!$C$44,Forudsætninger!$E$44,Forudsætninger!$E$43+Forudsætninger!$F$44*(K156-Forudsætninger!$C$43)),Forudsætninger!$E$42+Forudsætninger!$F$43*(K156-Forudsætninger!$C$42)),Forudsætninger!$E$42)+IF(K156&gt;Forudsætninger!$C$44,Forudsætninger!$G$44,IF(K156&gt;Forudsætninger!$C$43,Forudsætninger!$G$43+Forudsætninger!$H$44*(K156-Forudsætninger!$C$43),IF(K156&gt;Forudsætninger!$C$42,Forudsætninger!$G$42+Forudsætninger!$H$43*(K156-Forudsætninger!$C$42),Forudsætninger!$G$42)))*(V156-Forudsætninger!$H$42)</f>
        <v>30.291286533015217</v>
      </c>
      <c r="AD156" s="19">
        <f t="shared" si="60"/>
        <v>4318.1302800161839</v>
      </c>
      <c r="AE156" s="19">
        <f t="shared" si="61"/>
        <v>30.291286533015217</v>
      </c>
      <c r="AF156">
        <f>IF(G156&lt;=Forudsætninger!$C$97,Forudsætninger!$C$98,(IF(G156&lt;=Forudsætninger!$D$97,Forudsætninger!$D$98,IF(G156&lt;=Forudsætninger!$E$97,Forudsætninger!$E$98,IF(G156&lt;=Forudsætninger!$F$97,Forudsætninger!$F$98,IF(G156&lt;=Forudsætninger!$G$97,Forudsætninger!$G$98,IF(G156&lt;=Forudsætninger!$H$97,Forudsætninger!$H$98,IF(G156&lt;=Forudsætninger!$I$97,Forudsætninger!$I$98,Forudsætninger!$I$98))))))))</f>
        <v>3.2</v>
      </c>
      <c r="AG156" s="1">
        <f t="shared" si="69"/>
        <v>3.2</v>
      </c>
      <c r="AH156" s="1">
        <f t="shared" si="73"/>
        <v>385.79999999999905</v>
      </c>
      <c r="AI156" s="1">
        <f t="shared" si="62"/>
        <v>2.5051948051947992</v>
      </c>
      <c r="AJ156" s="20">
        <f>+(W156*Forudsætninger!$C$12)</f>
        <v>900</v>
      </c>
      <c r="AK156" s="20">
        <f>Forudsætninger!$C$17</f>
        <v>250</v>
      </c>
      <c r="AL156" s="20">
        <f>IF(A156&lt;92,Forudsætninger!$C$20,Forudsætninger!$C$21)</f>
        <v>1.0566762728146013</v>
      </c>
      <c r="AM156" s="20">
        <f t="shared" si="70"/>
        <v>431.23362886673908</v>
      </c>
      <c r="AN156" s="19">
        <f>IFERROR(AD156+AJ156-AA156-Z156-AK156-AM156-Forudsætninger!$D$75,-99999)</f>
        <v>-27.458027258388398</v>
      </c>
      <c r="AO156" s="57">
        <f>IFERROR(AN156/(A156+Forudsætninger!$D$74),-99999)</f>
        <v>-0.17829887830122337</v>
      </c>
      <c r="AP156" s="19">
        <f>IFERROR(((365/(A156+Forudsætninger!$D$74))*AN156)/(AI156+Forudsætninger!$D$73),-99999)</f>
        <v>-24.884987707483216</v>
      </c>
      <c r="AQ156" s="18">
        <f t="shared" si="74"/>
        <v>154</v>
      </c>
      <c r="AR156" s="18">
        <f t="shared" si="75"/>
        <v>5027.6963335736127</v>
      </c>
      <c r="AS156" s="50">
        <f t="shared" si="76"/>
        <v>6.2</v>
      </c>
      <c r="AT156" s="50">
        <f t="shared" si="77"/>
        <v>7.8834027768482997</v>
      </c>
      <c r="AU156" s="50">
        <f t="shared" si="78"/>
        <v>5.2690860491173358E-2</v>
      </c>
      <c r="AV156" s="2">
        <f t="shared" si="79"/>
        <v>7.4100876821005066</v>
      </c>
      <c r="AW156" s="16">
        <f t="shared" si="71"/>
        <v>2.6219194909633163</v>
      </c>
      <c r="AZ156" s="16"/>
      <c r="BA156" s="2"/>
    </row>
    <row r="157" spans="1:53" x14ac:dyDescent="0.25">
      <c r="A157">
        <v>155</v>
      </c>
      <c r="B157" s="1">
        <f>ROUND((A157+Forudsætninger!$D$60)/30.4,1)</f>
        <v>6.2</v>
      </c>
      <c r="C157" s="1">
        <f>VLOOKUP((A157+Forudsætninger!$D$60),'Model tilvækst, slagteform, fe'!A:C,3,FALSE)</f>
        <v>320.93588890348417</v>
      </c>
      <c r="D157" s="3">
        <f t="shared" si="80"/>
        <v>1836.0182631386124</v>
      </c>
      <c r="E157" s="3">
        <f>(1+Forudsætninger!$D$78)*C157</f>
        <v>269.5861466789267</v>
      </c>
      <c r="F157" s="2">
        <f t="shared" ref="F157:F195" si="82">MAX(F156-((D157/1000)/25),0)</f>
        <v>0.92745457431345435</v>
      </c>
      <c r="G157" s="1">
        <f t="shared" si="56"/>
        <v>270.51360125324015</v>
      </c>
      <c r="H157" s="3">
        <f t="shared" si="63"/>
        <v>1468.8146105108899</v>
      </c>
      <c r="I157" s="3">
        <f t="shared" si="64"/>
        <v>1280.7329113112269</v>
      </c>
      <c r="J157" s="1">
        <f>VLOOKUP((A157+Forudsætninger!$D$60),'Model tilvækst, slagteform, fe'!G:K,3,FALSE)*(1+Forudsætninger!$D$79)</f>
        <v>53.015026070953731</v>
      </c>
      <c r="K157" s="17">
        <f t="shared" si="57"/>
        <v>143.41285622988107</v>
      </c>
      <c r="L157" s="17">
        <f t="shared" si="65"/>
        <v>859.31115975841976</v>
      </c>
      <c r="M157" s="3">
        <f>((K157-(('Model tilvækst, slagteform, fe'!$I$9/100)*'Model tilvækst, slagteform, fe'!$C$9))*1000/(A157+Forudsætninger!$D$60))</f>
        <v>643.88514959530028</v>
      </c>
      <c r="N157" s="17">
        <f t="shared" si="66"/>
        <v>699.4933919438572</v>
      </c>
      <c r="O157" s="19">
        <f>IF( A157&lt;Forudsætninger!$C$14,(G157/100)*Forudsætninger!$C$13,(Forudsætninger!$C$15/1000)*Forudsætninger!$C$13)</f>
        <v>1.7583384081460609</v>
      </c>
      <c r="P157" s="17" cm="1">
        <f t="array" ref="P157">INDEX('Model tilvækst, slagteform, fe'!$O$9:$O$375,MATCH(MIN(ABS('Model tilvækst, slagteform, fe'!$M$9:$M$375-G157)),ABS('Model tilvækst, slagteform, fe'!$M$9:$M$375-G157),0))*(1+Forudsætninger!$D$80)</f>
        <v>6.6912806424413365</v>
      </c>
      <c r="Q157" s="17">
        <f t="shared" si="67"/>
        <v>7.7867959311996744</v>
      </c>
      <c r="R157" s="17">
        <f t="shared" si="68"/>
        <v>6.4497260973600676</v>
      </c>
      <c r="S157" s="2">
        <f t="shared" si="58"/>
        <v>3.5236547396645448</v>
      </c>
      <c r="T157" s="19">
        <f>(P157)*IF(N157&lt;Forudsætninger!$B$228,IF(N157&lt;Forudsætninger!$B$227,Forudsætninger!$B$225,Forudsætninger!$C$9),Forudsætninger!$C$11)+O157</f>
        <v>17.415935111458786</v>
      </c>
      <c r="U157" s="2">
        <f>Forudsætninger!$D$68+((K157-(Forudsætninger!$D$84)))*0.01</f>
        <v>6.573739243658463</v>
      </c>
      <c r="V157" s="2">
        <f>U157+Forudsætninger!$D$69</f>
        <v>6.573739243658463</v>
      </c>
      <c r="W157">
        <f t="shared" si="59"/>
        <v>1</v>
      </c>
      <c r="X157">
        <f>IF(A157+Forudsætninger!$D$60&gt;248,IF(A157+Forudsætninger!$D$60&lt;365,IF(K157&gt;180,IF(K157&lt;260,1,0),0),0),0)</f>
        <v>0</v>
      </c>
      <c r="Y157" s="22">
        <f>IF(X157=0,0,IF('Vækstfunktion, kry tyr'!A157&lt;Forudsætninger!$D$66,Forudsætninger!$D$67+(('Vækstfunktion, kry tyr'!A157-Forudsætninger!$D$66)/7)*Forudsætninger!$D$64,Forudsætninger!$D$67))</f>
        <v>0</v>
      </c>
      <c r="Z157" s="19">
        <f t="shared" si="72"/>
        <v>2308.8786398183315</v>
      </c>
      <c r="AA157" s="19">
        <f>Forudsætninger!$D$62+Forudsætninger!$C$16</f>
        <v>2055</v>
      </c>
      <c r="AB157" s="19">
        <f>IF(K157&gt;Forudsætninger!$C$37,IF(K157&gt;Forudsætninger!$C$38,IF(K157&gt;Forudsætninger!$C$39,Forudsætninger!$E$39,Forudsætninger!$E$38+Forudsætninger!$F$39*(K157-Forudsætninger!$C$38)),Forudsætninger!$E$37+Forudsætninger!$F$38*(K157-Forudsætninger!$C$37)),Forudsætninger!$E$37)+IF(K157&gt;Forudsætninger!$C$39,Forudsætninger!$G$39,IF(K157&gt;Forudsætninger!$C$38,Forudsætninger!$G$38+Forudsætninger!$H$39*(K157-Forudsætninger!$C$38),IF(K157&gt;Forudsætninger!$C$37,Forudsætninger!$G$37+Forudsætninger!$H$38*(K157-Forudsætninger!$C$37),Forudsætninger!$G$37)))*(U157-Forudsætninger!$H$37)</f>
        <v>35.257373924365844</v>
      </c>
      <c r="AC157" s="19">
        <f>IF(K157&gt;Forudsætninger!$C$42,IF(K157&gt;Forudsætninger!$C$43,IF(K157&gt;Forudsætninger!$C$44,Forudsætninger!$E$44,Forudsætninger!$E$43+Forudsætninger!$F$44*(K157-Forudsætninger!$C$43)),Forudsætninger!$E$42+Forudsætninger!$F$43*(K157-Forudsætninger!$C$42)),Forudsætninger!$E$42)+IF(K157&gt;Forudsætninger!$C$44,Forudsætninger!$G$44,IF(K157&gt;Forudsætninger!$C$43,Forudsætninger!$G$43+Forudsætninger!$H$44*(K157-Forudsætninger!$C$43),IF(K157&gt;Forudsætninger!$C$42,Forudsætninger!$G$42+Forudsætninger!$H$43*(K157-Forudsætninger!$C$42),Forudsætninger!$G$42)))*(V157-Forudsætninger!$H$42)</f>
        <v>30.293434810914615</v>
      </c>
      <c r="AD157" s="19">
        <f t="shared" si="60"/>
        <v>4344.4680112469723</v>
      </c>
      <c r="AE157" s="19">
        <f t="shared" si="61"/>
        <v>30.293434810914615</v>
      </c>
      <c r="AF157">
        <f>IF(G157&lt;=Forudsætninger!$C$97,Forudsætninger!$C$98,(IF(G157&lt;=Forudsætninger!$D$97,Forudsætninger!$D$98,IF(G157&lt;=Forudsætninger!$E$97,Forudsætninger!$E$98,IF(G157&lt;=Forudsætninger!$F$97,Forudsætninger!$F$98,IF(G157&lt;=Forudsætninger!$G$97,Forudsætninger!$G$98,IF(G157&lt;=Forudsætninger!$H$97,Forudsætninger!$H$98,IF(G157&lt;=Forudsætninger!$I$97,Forudsætninger!$I$98,Forudsætninger!$I$98))))))))</f>
        <v>3.2</v>
      </c>
      <c r="AG157" s="1">
        <f t="shared" si="69"/>
        <v>3.2</v>
      </c>
      <c r="AH157" s="1">
        <f t="shared" si="73"/>
        <v>388.99999999999903</v>
      </c>
      <c r="AI157" s="1">
        <f t="shared" si="62"/>
        <v>2.5096774193548326</v>
      </c>
      <c r="AJ157" s="20">
        <f>+(W157*Forudsætninger!$C$12)</f>
        <v>900</v>
      </c>
      <c r="AK157" s="20">
        <f>Forudsætninger!$C$17</f>
        <v>250</v>
      </c>
      <c r="AL157" s="20">
        <f>IF(A157&lt;92,Forudsætninger!$C$20,Forudsætninger!$C$21)</f>
        <v>1.0566762728146013</v>
      </c>
      <c r="AM157" s="20">
        <f t="shared" si="70"/>
        <v>432.29030513955371</v>
      </c>
      <c r="AN157" s="19">
        <f>IFERROR(AD157+AJ157-AA157-Z157-AK157-AM157-Forudsætninger!$D$75,-99999)</f>
        <v>-19.592907411873142</v>
      </c>
      <c r="AO157" s="57">
        <f>IFERROR(AN157/(A157+Forudsætninger!$D$74),-99999)</f>
        <v>-0.1264058542701493</v>
      </c>
      <c r="AP157" s="19">
        <f>IFERROR(((365/(A157+Forudsætninger!$D$74))*AN157)/(AI157+Forudsætninger!$D$73),-99999)</f>
        <v>-17.612144330337927</v>
      </c>
      <c r="AQ157" s="18">
        <f t="shared" si="74"/>
        <v>155</v>
      </c>
      <c r="AR157" s="18">
        <f t="shared" si="75"/>
        <v>5046.1689449578844</v>
      </c>
      <c r="AS157" s="50">
        <f t="shared" si="76"/>
        <v>6.2</v>
      </c>
      <c r="AT157" s="50">
        <f t="shared" si="77"/>
        <v>7.8651198465152561</v>
      </c>
      <c r="AU157" s="50">
        <f t="shared" si="78"/>
        <v>5.189302403107407E-2</v>
      </c>
      <c r="AV157" s="2">
        <f t="shared" si="79"/>
        <v>7.2728433771452892</v>
      </c>
      <c r="AW157" s="16">
        <f t="shared" si="71"/>
        <v>2.6625638563076168</v>
      </c>
      <c r="AZ157" s="16"/>
      <c r="BA157" s="2"/>
    </row>
    <row r="158" spans="1:53" x14ac:dyDescent="0.25">
      <c r="A158">
        <v>156</v>
      </c>
      <c r="B158" s="1">
        <f>ROUND((A158+Forudsætninger!$D$60)/30.4,1)</f>
        <v>6.3</v>
      </c>
      <c r="C158" s="1">
        <f>VLOOKUP((A158+Forudsætninger!$D$60),'Model tilvækst, slagteform, fe'!A:C,3,FALSE)</f>
        <v>322.77023121887788</v>
      </c>
      <c r="D158" s="3">
        <f t="shared" si="80"/>
        <v>1834.3423153937124</v>
      </c>
      <c r="E158" s="3">
        <f>(1+Forudsætninger!$D$78)*C158</f>
        <v>271.12699422385742</v>
      </c>
      <c r="F158" s="2">
        <f t="shared" si="82"/>
        <v>0.85408088169770591</v>
      </c>
      <c r="G158" s="1">
        <f t="shared" si="56"/>
        <v>271.98107510555513</v>
      </c>
      <c r="H158" s="3">
        <f t="shared" si="63"/>
        <v>1467.4738523149813</v>
      </c>
      <c r="I158" s="3">
        <f t="shared" si="64"/>
        <v>1281.9299686253532</v>
      </c>
      <c r="J158" s="1">
        <f>VLOOKUP((A158+Forudsætninger!$D$60),'Model tilvækst, slagteform, fe'!G:K,3,FALSE)*(1+Forudsætninger!$D$79)</f>
        <v>53.045021336587638</v>
      </c>
      <c r="K158" s="17">
        <f t="shared" si="57"/>
        <v>144.27241932122217</v>
      </c>
      <c r="L158" s="17">
        <f t="shared" si="65"/>
        <v>859.56309134110143</v>
      </c>
      <c r="M158" s="3">
        <f>((K158-(('Model tilvækst, slagteform, fe'!$I$9/100)*'Model tilvækst, slagteform, fe'!$C$9))*1000/(A158+Forudsætninger!$D$60))</f>
        <v>645.0202966571203</v>
      </c>
      <c r="N158" s="17">
        <f t="shared" si="66"/>
        <v>706.19378144420273</v>
      </c>
      <c r="O158" s="19">
        <f>IF( A158&lt;Forudsætninger!$C$14,(G158/100)*Forudsætninger!$C$13,(Forudsætninger!$C$15/1000)*Forudsætninger!$C$13)</f>
        <v>1.7678769881861085</v>
      </c>
      <c r="P158" s="17" cm="1">
        <f t="array" ref="P158">INDEX('Model tilvækst, slagteform, fe'!$O$9:$O$375,MATCH(MIN(ABS('Model tilvækst, slagteform, fe'!$M$9:$M$375-G158)),ABS('Model tilvækst, slagteform, fe'!$M$9:$M$375-G158),0))*(1+Forudsætninger!$D$80)</f>
        <v>6.7003895003454668</v>
      </c>
      <c r="Q158" s="17">
        <f t="shared" si="67"/>
        <v>7.7951107578286463</v>
      </c>
      <c r="R158" s="17">
        <f t="shared" si="68"/>
        <v>6.4603053109367927</v>
      </c>
      <c r="S158" s="2">
        <f t="shared" si="58"/>
        <v>3.5313030549088484</v>
      </c>
      <c r="T158" s="19">
        <f>(P158)*IF(N158&lt;Forudsætninger!$B$228,IF(N158&lt;Forudsætninger!$B$227,Forudsætninger!$B$225,Forudsætninger!$C$9),Forudsætninger!$C$11)+O158</f>
        <v>17.446788418994501</v>
      </c>
      <c r="U158" s="2">
        <f>Forudsætninger!$D$68+((K158-(Forudsætninger!$D$84)))*0.01</f>
        <v>6.5823348745718739</v>
      </c>
      <c r="V158" s="2">
        <f>U158+Forudsætninger!$D$69</f>
        <v>6.5823348745718739</v>
      </c>
      <c r="W158">
        <f t="shared" si="59"/>
        <v>1</v>
      </c>
      <c r="X158">
        <f>IF(A158+Forudsætninger!$D$60&gt;248,IF(A158+Forudsætninger!$D$60&lt;365,IF(K158&gt;180,IF(K158&lt;260,1,0),0),0),0)</f>
        <v>0</v>
      </c>
      <c r="Y158" s="22">
        <f>IF(X158=0,0,IF('Vækstfunktion, kry tyr'!A158&lt;Forudsætninger!$D$66,Forudsætninger!$D$67+(('Vækstfunktion, kry tyr'!A158-Forudsætninger!$D$66)/7)*Forudsætninger!$D$64,Forudsætninger!$D$67))</f>
        <v>0</v>
      </c>
      <c r="Z158" s="19">
        <f t="shared" si="72"/>
        <v>2326.3254282373259</v>
      </c>
      <c r="AA158" s="19">
        <f>Forudsætninger!$D$62+Forudsætninger!$C$16</f>
        <v>2055</v>
      </c>
      <c r="AB158" s="19">
        <f>IF(K158&gt;Forudsætninger!$C$37,IF(K158&gt;Forudsætninger!$C$38,IF(K158&gt;Forudsætninger!$C$39,Forudsætninger!$E$39,Forudsætninger!$E$38+Forudsætninger!$F$39*(K158-Forudsætninger!$C$38)),Forudsætninger!$E$37+Forudsætninger!$F$38*(K158-Forudsætninger!$C$37)),Forudsætninger!$E$37)+IF(K158&gt;Forudsætninger!$C$39,Forudsætninger!$G$39,IF(K158&gt;Forudsætninger!$C$38,Forudsætninger!$G$38+Forudsætninger!$H$39*(K158-Forudsætninger!$C$38),IF(K158&gt;Forudsætninger!$C$37,Forudsætninger!$G$37+Forudsætninger!$H$38*(K158-Forudsætninger!$C$37),Forudsætninger!$G$37)))*(U158-Forudsætninger!$H$37)</f>
        <v>35.25823348745719</v>
      </c>
      <c r="AC158" s="19">
        <f>IF(K158&gt;Forudsætninger!$C$42,IF(K158&gt;Forudsætninger!$C$43,IF(K158&gt;Forudsætninger!$C$44,Forudsætninger!$E$44,Forudsætninger!$E$43+Forudsætninger!$F$44*(K158-Forudsætninger!$C$43)),Forudsætninger!$E$42+Forudsætninger!$F$43*(K158-Forudsætninger!$C$42)),Forudsætninger!$E$42)+IF(K158&gt;Forudsætninger!$C$44,Forudsætninger!$G$44,IF(K158&gt;Forudsætninger!$C$43,Forudsætninger!$G$43+Forudsætninger!$H$44*(K158-Forudsætninger!$C$43),IF(K158&gt;Forudsætninger!$C$42,Forudsætninger!$G$42+Forudsætninger!$H$43*(K158-Forudsætninger!$C$42),Forudsætninger!$G$42)))*(V158-Forudsætninger!$H$42)</f>
        <v>30.295583718642966</v>
      </c>
      <c r="AD158" s="19">
        <f t="shared" si="60"/>
        <v>4370.8171578372494</v>
      </c>
      <c r="AE158" s="19">
        <f t="shared" si="61"/>
        <v>30.295583718642966</v>
      </c>
      <c r="AF158">
        <f>IF(G158&lt;=Forudsætninger!$C$97,Forudsætninger!$C$98,(IF(G158&lt;=Forudsætninger!$D$97,Forudsætninger!$D$98,IF(G158&lt;=Forudsætninger!$E$97,Forudsætninger!$E$98,IF(G158&lt;=Forudsætninger!$F$97,Forudsætninger!$F$98,IF(G158&lt;=Forudsætninger!$G$97,Forudsætninger!$G$98,IF(G158&lt;=Forudsætninger!$H$97,Forudsætninger!$H$98,IF(G158&lt;=Forudsætninger!$I$97,Forudsætninger!$I$98,Forudsætninger!$I$98))))))))</f>
        <v>3.2</v>
      </c>
      <c r="AG158" s="1">
        <f t="shared" si="69"/>
        <v>3.2</v>
      </c>
      <c r="AH158" s="1">
        <f t="shared" si="73"/>
        <v>392.19999999999902</v>
      </c>
      <c r="AI158" s="1">
        <f t="shared" si="62"/>
        <v>2.5141025641025578</v>
      </c>
      <c r="AJ158" s="20">
        <f>+(W158*Forudsætninger!$C$12)</f>
        <v>900</v>
      </c>
      <c r="AK158" s="20">
        <f>Forudsætninger!$C$17</f>
        <v>250</v>
      </c>
      <c r="AL158" s="20">
        <f>IF(A158&lt;92,Forudsætninger!$C$20,Forudsætninger!$C$21)</f>
        <v>1.0566762728146013</v>
      </c>
      <c r="AM158" s="20">
        <f t="shared" si="70"/>
        <v>433.34698141236834</v>
      </c>
      <c r="AN158" s="19">
        <f>IFERROR(AD158+AJ158-AA158-Z158-AK158-AM158-Forudsætninger!$D$75,-99999)</f>
        <v>-11.747225513405084</v>
      </c>
      <c r="AO158" s="57">
        <f>IFERROR(AN158/(A158+Forudsætninger!$D$74),-99999)</f>
        <v>-7.5302727650032583E-2</v>
      </c>
      <c r="AP158" s="19">
        <f>IFERROR(((365/(A158+Forudsætninger!$D$74))*AN158)/(AI158+Forudsætninger!$D$73),-99999)</f>
        <v>-10.474245926306592</v>
      </c>
      <c r="AQ158" s="18">
        <f t="shared" si="74"/>
        <v>156</v>
      </c>
      <c r="AR158" s="18">
        <f t="shared" si="75"/>
        <v>5064.6724096496937</v>
      </c>
      <c r="AS158" s="50">
        <f t="shared" si="76"/>
        <v>6.3</v>
      </c>
      <c r="AT158" s="50">
        <f t="shared" si="77"/>
        <v>7.8456818984680581</v>
      </c>
      <c r="AU158" s="50">
        <f t="shared" si="78"/>
        <v>5.1103126620116721E-2</v>
      </c>
      <c r="AV158" s="2">
        <f t="shared" si="79"/>
        <v>7.1378984040313345</v>
      </c>
      <c r="AW158" s="16">
        <f t="shared" si="71"/>
        <v>2.7025625378138671</v>
      </c>
      <c r="AZ158" s="16"/>
      <c r="BA158" s="2"/>
    </row>
    <row r="159" spans="1:53" x14ac:dyDescent="0.25">
      <c r="A159">
        <v>157</v>
      </c>
      <c r="B159" s="1">
        <f>ROUND((A159+Forudsætninger!$D$60)/30.4,1)</f>
        <v>6.3</v>
      </c>
      <c r="C159" s="1">
        <f>VLOOKUP((A159+Forudsætninger!$D$60),'Model tilvækst, slagteform, fe'!A:C,3,FALSE)</f>
        <v>324.60283653417673</v>
      </c>
      <c r="D159" s="3">
        <f t="shared" si="80"/>
        <v>1832.6053152988493</v>
      </c>
      <c r="E159" s="3">
        <f>(1+Forudsætninger!$D$78)*C159</f>
        <v>272.66638268870844</v>
      </c>
      <c r="F159" s="2">
        <f t="shared" si="82"/>
        <v>0.78077666908575194</v>
      </c>
      <c r="G159" s="1">
        <f t="shared" si="56"/>
        <v>273.44715935779419</v>
      </c>
      <c r="H159" s="3">
        <f t="shared" si="63"/>
        <v>1466.0842522390567</v>
      </c>
      <c r="I159" s="3">
        <f t="shared" si="64"/>
        <v>1283.1029258458227</v>
      </c>
      <c r="J159" s="1">
        <f>VLOOKUP((A159+Forudsætninger!$D$60),'Model tilvækst, slagteform, fe'!G:K,3,FALSE)*(1+Forudsætninger!$D$79)</f>
        <v>53.075038344884469</v>
      </c>
      <c r="K159" s="17">
        <f t="shared" si="57"/>
        <v>145.13218468214663</v>
      </c>
      <c r="L159" s="17">
        <f t="shared" si="65"/>
        <v>859.76536092445599</v>
      </c>
      <c r="M159" s="3">
        <f>((K159-(('Model tilvækst, slagteform, fe'!$I$9/100)*'Model tilvækst, slagteform, fe'!$C$9))*1000/(A159+Forudsætninger!$D$60))</f>
        <v>646.14461636532621</v>
      </c>
      <c r="N159" s="17">
        <f t="shared" si="66"/>
        <v>712.90313608988731</v>
      </c>
      <c r="O159" s="19">
        <f>IF( A159&lt;Forudsætninger!$C$14,(G159/100)*Forudsætninger!$C$13,(Forudsætninger!$C$15/1000)*Forudsætninger!$C$13)</f>
        <v>1.7774065358256623</v>
      </c>
      <c r="P159" s="17" cm="1">
        <f t="array" ref="P159">INDEX('Model tilvækst, slagteform, fe'!$O$9:$O$375,MATCH(MIN(ABS('Model tilvækst, slagteform, fe'!$M$9:$M$375-G159)),ABS('Model tilvækst, slagteform, fe'!$M$9:$M$375-G159),0))*(1+Forudsætninger!$D$80)</f>
        <v>6.7093546456846029</v>
      </c>
      <c r="Q159" s="17">
        <f t="shared" si="67"/>
        <v>7.8037043019160732</v>
      </c>
      <c r="R159" s="17">
        <f t="shared" si="68"/>
        <v>6.4707889405997543</v>
      </c>
      <c r="S159" s="2">
        <f t="shared" si="58"/>
        <v>3.538908855119105</v>
      </c>
      <c r="T159" s="19">
        <f>(P159)*IF(N159&lt;Forudsætninger!$B$228,IF(N159&lt;Forudsætninger!$B$227,Forudsætninger!$B$225,Forudsætninger!$C$9),Forudsætninger!$C$11)+O159</f>
        <v>17.477296406727632</v>
      </c>
      <c r="U159" s="2">
        <f>Forudsætninger!$D$68+((K159-(Forudsætninger!$D$84)))*0.01</f>
        <v>6.5909325281811189</v>
      </c>
      <c r="V159" s="2">
        <f>U159+Forudsætninger!$D$69</f>
        <v>6.5909325281811189</v>
      </c>
      <c r="W159">
        <f t="shared" si="59"/>
        <v>1</v>
      </c>
      <c r="X159">
        <f>IF(A159+Forudsætninger!$D$60&gt;248,IF(A159+Forudsætninger!$D$60&lt;365,IF(K159&gt;180,IF(K159&lt;260,1,0),0),0),0)</f>
        <v>0</v>
      </c>
      <c r="Y159" s="22">
        <f>IF(X159=0,0,IF('Vækstfunktion, kry tyr'!A159&lt;Forudsætninger!$D$66,Forudsætninger!$D$67+(('Vækstfunktion, kry tyr'!A159-Forudsætninger!$D$66)/7)*Forudsætninger!$D$64,Forudsætninger!$D$67))</f>
        <v>0</v>
      </c>
      <c r="Z159" s="19">
        <f t="shared" si="72"/>
        <v>2343.8027246440533</v>
      </c>
      <c r="AA159" s="19">
        <f>Forudsætninger!$D$62+Forudsætninger!$C$16</f>
        <v>2055</v>
      </c>
      <c r="AB159" s="19">
        <f>IF(K159&gt;Forudsætninger!$C$37,IF(K159&gt;Forudsætninger!$C$38,IF(K159&gt;Forudsætninger!$C$39,Forudsætninger!$E$39,Forudsætninger!$E$38+Forudsætninger!$F$39*(K159-Forudsætninger!$C$38)),Forudsætninger!$E$37+Forudsætninger!$F$38*(K159-Forudsætninger!$C$37)),Forudsætninger!$E$37)+IF(K159&gt;Forudsætninger!$C$39,Forudsætninger!$G$39,IF(K159&gt;Forudsætninger!$C$38,Forudsætninger!$G$38+Forudsætninger!$H$39*(K159-Forudsætninger!$C$38),IF(K159&gt;Forudsætninger!$C$37,Forudsætninger!$G$37+Forudsætninger!$H$38*(K159-Forudsætninger!$C$37),Forudsætninger!$G$37)))*(U159-Forudsætninger!$H$37)</f>
        <v>35.259093252818111</v>
      </c>
      <c r="AC159" s="19">
        <f>IF(K159&gt;Forudsætninger!$C$42,IF(K159&gt;Forudsætninger!$C$43,IF(K159&gt;Forudsætninger!$C$44,Forudsætninger!$E$44,Forudsætninger!$E$43+Forudsætninger!$F$44*(K159-Forudsætninger!$C$43)),Forudsætninger!$E$42+Forudsætninger!$F$43*(K159-Forudsætninger!$C$42)),Forudsætninger!$E$42)+IF(K159&gt;Forudsætninger!$C$44,Forudsætninger!$G$44,IF(K159&gt;Forudsætninger!$C$43,Forudsætninger!$G$43+Forudsætninger!$H$44*(K159-Forudsætninger!$C$43),IF(K159&gt;Forudsætninger!$C$42,Forudsætninger!$G$42+Forudsætninger!$H$43*(K159-Forudsætninger!$C$42),Forudsætninger!$G$42)))*(V159-Forudsætninger!$H$42)</f>
        <v>30.297733132045277</v>
      </c>
      <c r="AD159" s="19">
        <f t="shared" si="60"/>
        <v>4397.176200370388</v>
      </c>
      <c r="AE159" s="19">
        <f t="shared" si="61"/>
        <v>30.297733132045277</v>
      </c>
      <c r="AF159">
        <f>IF(G159&lt;=Forudsætninger!$C$97,Forudsætninger!$C$98,(IF(G159&lt;=Forudsætninger!$D$97,Forudsætninger!$D$98,IF(G159&lt;=Forudsætninger!$E$97,Forudsætninger!$E$98,IF(G159&lt;=Forudsætninger!$F$97,Forudsætninger!$F$98,IF(G159&lt;=Forudsætninger!$G$97,Forudsætninger!$G$98,IF(G159&lt;=Forudsætninger!$H$97,Forudsætninger!$H$98,IF(G159&lt;=Forudsætninger!$I$97,Forudsætninger!$I$98,Forudsætninger!$I$98))))))))</f>
        <v>3.2</v>
      </c>
      <c r="AG159" s="1">
        <f t="shared" si="69"/>
        <v>3.2</v>
      </c>
      <c r="AH159" s="1">
        <f t="shared" si="73"/>
        <v>395.39999999999901</v>
      </c>
      <c r="AI159" s="1">
        <f t="shared" si="62"/>
        <v>2.5184713375796117</v>
      </c>
      <c r="AJ159" s="20">
        <f>+(W159*Forudsætninger!$C$12)</f>
        <v>900</v>
      </c>
      <c r="AK159" s="20">
        <f>Forudsætninger!$C$17</f>
        <v>250</v>
      </c>
      <c r="AL159" s="20">
        <f>IF(A159&lt;92,Forudsætninger!$C$20,Forudsætninger!$C$21)</f>
        <v>1.0566762728146013</v>
      </c>
      <c r="AM159" s="20">
        <f t="shared" si="70"/>
        <v>434.40365768518296</v>
      </c>
      <c r="AN159" s="19">
        <f>IFERROR(AD159+AJ159-AA159-Z159-AK159-AM159-Forudsætninger!$D$75,-99999)</f>
        <v>-3.922155659808567</v>
      </c>
      <c r="AO159" s="57">
        <f>IFERROR(AN159/(A159+Forudsætninger!$D$74),-99999)</f>
        <v>-2.4981883183494057E-2</v>
      </c>
      <c r="AP159" s="19">
        <f>IFERROR(((365/(A159+Forudsætninger!$D$74))*AN159)/(AI159+Forudsætninger!$D$73),-99999)</f>
        <v>-3.4690838098968437</v>
      </c>
      <c r="AQ159" s="18">
        <f t="shared" si="74"/>
        <v>157</v>
      </c>
      <c r="AR159" s="18">
        <f t="shared" si="75"/>
        <v>5083.2063823292365</v>
      </c>
      <c r="AS159" s="50">
        <f t="shared" si="76"/>
        <v>6.3</v>
      </c>
      <c r="AT159" s="50">
        <f t="shared" si="77"/>
        <v>7.8250698535965171</v>
      </c>
      <c r="AU159" s="50">
        <f t="shared" si="78"/>
        <v>5.0320844466538527E-2</v>
      </c>
      <c r="AV159" s="2">
        <f t="shared" si="79"/>
        <v>7.005162116409748</v>
      </c>
      <c r="AW159" s="16">
        <f t="shared" si="71"/>
        <v>2.7419203950660793</v>
      </c>
      <c r="AZ159" s="16"/>
      <c r="BA159" s="2"/>
    </row>
    <row r="160" spans="1:53" x14ac:dyDescent="0.25">
      <c r="A160">
        <v>158</v>
      </c>
      <c r="B160" s="1">
        <f>ROUND((A160+Forudsætninger!$D$60)/30.4,1)</f>
        <v>6.3</v>
      </c>
      <c r="C160" s="1">
        <f>VLOOKUP((A160+Forudsætninger!$D$60),'Model tilvækst, slagteform, fe'!A:C,3,FALSE)</f>
        <v>326.43364441796729</v>
      </c>
      <c r="D160" s="3">
        <f t="shared" si="80"/>
        <v>1830.8078837905555</v>
      </c>
      <c r="E160" s="3">
        <f>(1+Forudsætninger!$D$78)*C160</f>
        <v>274.20426131109252</v>
      </c>
      <c r="F160" s="2">
        <f t="shared" si="82"/>
        <v>0.70754435373412972</v>
      </c>
      <c r="G160" s="1">
        <f t="shared" si="56"/>
        <v>274.91180566482666</v>
      </c>
      <c r="H160" s="3">
        <f t="shared" si="63"/>
        <v>1464.6463070324671</v>
      </c>
      <c r="I160" s="3">
        <f t="shared" si="64"/>
        <v>1284.2519345875105</v>
      </c>
      <c r="J160" s="1">
        <f>VLOOKUP((A160+Forudsætninger!$D$60),'Model tilvækst, slagteform, fe'!G:K,3,FALSE)*(1+Forudsætninger!$D$79)</f>
        <v>53.105068365006183</v>
      </c>
      <c r="K160" s="17">
        <f t="shared" si="57"/>
        <v>145.99210234177914</v>
      </c>
      <c r="L160" s="17">
        <f t="shared" si="65"/>
        <v>859.9176596325151</v>
      </c>
      <c r="M160" s="3">
        <f>((K160-(('Model tilvækst, slagteform, fe'!$I$9/100)*'Model tilvækst, slagteform, fe'!$C$9))*1000/(A160+Forudsætninger!$D$60))</f>
        <v>647.25801763234278</v>
      </c>
      <c r="N160" s="17">
        <f t="shared" si="66"/>
        <v>719.63000531330908</v>
      </c>
      <c r="O160" s="19">
        <f>IF( A160&lt;Forudsætninger!$C$14,(G160/100)*Forudsætninger!$C$13,(Forudsætninger!$C$15/1000)*Forudsætninger!$C$13)</f>
        <v>1.7869267368213735</v>
      </c>
      <c r="P160" s="17" cm="1">
        <f t="array" ref="P160">INDEX('Model tilvækst, slagteform, fe'!$O$9:$O$375,MATCH(MIN(ABS('Model tilvækst, slagteform, fe'!$M$9:$M$375-G160)),ABS('Model tilvækst, slagteform, fe'!$M$9:$M$375-G160),0))*(1+Forudsætninger!$D$80)</f>
        <v>6.7268692234217724</v>
      </c>
      <c r="Q160" s="17">
        <f t="shared" si="67"/>
        <v>7.8226899378906731</v>
      </c>
      <c r="R160" s="17">
        <f t="shared" si="68"/>
        <v>6.4812590657860962</v>
      </c>
      <c r="S160" s="2">
        <f t="shared" si="58"/>
        <v>3.5465161968052601</v>
      </c>
      <c r="T160" s="19">
        <f>(P160)*IF(N160&lt;Forudsætninger!$B$228,IF(N160&lt;Forudsætninger!$B$227,Forudsætninger!$B$225,Forudsætninger!$C$9),Forudsætninger!$C$11)+O160</f>
        <v>17.527800719628321</v>
      </c>
      <c r="U160" s="2">
        <f>Forudsætninger!$D$68+((K160-(Forudsætninger!$D$84)))*0.01</f>
        <v>6.5995317047774442</v>
      </c>
      <c r="V160" s="2">
        <f>U160+Forudsætninger!$D$69</f>
        <v>6.5995317047774442</v>
      </c>
      <c r="W160">
        <f t="shared" si="59"/>
        <v>1</v>
      </c>
      <c r="X160">
        <f>IF(A160+Forudsætninger!$D$60&gt;248,IF(A160+Forudsætninger!$D$60&lt;365,IF(K160&gt;180,IF(K160&lt;260,1,0),0),0),0)</f>
        <v>0</v>
      </c>
      <c r="Y160" s="22">
        <f>IF(X160=0,0,IF('Vækstfunktion, kry tyr'!A160&lt;Forudsætninger!$D$66,Forudsætninger!$D$67+(('Vækstfunktion, kry tyr'!A160-Forudsætninger!$D$66)/7)*Forudsætninger!$D$64,Forudsætninger!$D$67))</f>
        <v>0</v>
      </c>
      <c r="Z160" s="19">
        <f t="shared" si="72"/>
        <v>2361.3305253636818</v>
      </c>
      <c r="AA160" s="19">
        <f>Forudsætninger!$D$62+Forudsætninger!$C$16</f>
        <v>2055</v>
      </c>
      <c r="AB160" s="19">
        <f>IF(K160&gt;Forudsætninger!$C$37,IF(K160&gt;Forudsætninger!$C$38,IF(K160&gt;Forudsætninger!$C$39,Forudsætninger!$E$39,Forudsætninger!$E$38+Forudsætninger!$F$39*(K160-Forudsætninger!$C$38)),Forudsætninger!$E$37+Forudsætninger!$F$38*(K160-Forudsætninger!$C$37)),Forudsætninger!$E$37)+IF(K160&gt;Forudsætninger!$C$39,Forudsætninger!$G$39,IF(K160&gt;Forudsætninger!$C$38,Forudsætninger!$G$38+Forudsætninger!$H$39*(K160-Forudsætninger!$C$38),IF(K160&gt;Forudsætninger!$C$37,Forudsætninger!$G$37+Forudsætninger!$H$38*(K160-Forudsætninger!$C$37),Forudsætninger!$G$37)))*(U160-Forudsætninger!$H$37)</f>
        <v>35.259953170477743</v>
      </c>
      <c r="AC160" s="19">
        <f>IF(K160&gt;Forudsætninger!$C$42,IF(K160&gt;Forudsætninger!$C$43,IF(K160&gt;Forudsætninger!$C$44,Forudsætninger!$E$44,Forudsætninger!$E$43+Forudsætninger!$F$44*(K160-Forudsætninger!$C$43)),Forudsætninger!$E$42+Forudsætninger!$F$43*(K160-Forudsætninger!$C$42)),Forudsætninger!$E$42)+IF(K160&gt;Forudsætninger!$C$44,Forudsætninger!$G$44,IF(K160&gt;Forudsætninger!$C$43,Forudsætninger!$G$43+Forudsætninger!$H$44*(K160-Forudsætninger!$C$43),IF(K160&gt;Forudsætninger!$C$42,Forudsætninger!$G$42+Forudsætninger!$H$43*(K160-Forudsætninger!$C$42),Forudsætninger!$G$42)))*(V160-Forudsætninger!$H$42)</f>
        <v>30.299882926194361</v>
      </c>
      <c r="AD160" s="19">
        <f t="shared" si="60"/>
        <v>4423.5436091048932</v>
      </c>
      <c r="AE160" s="19">
        <f t="shared" si="61"/>
        <v>30.299882926194357</v>
      </c>
      <c r="AF160">
        <f>IF(G160&lt;=Forudsætninger!$C$97,Forudsætninger!$C$98,(IF(G160&lt;=Forudsætninger!$D$97,Forudsætninger!$D$98,IF(G160&lt;=Forudsætninger!$E$97,Forudsætninger!$E$98,IF(G160&lt;=Forudsætninger!$F$97,Forudsætninger!$F$98,IF(G160&lt;=Forudsætninger!$G$97,Forudsætninger!$G$98,IF(G160&lt;=Forudsætninger!$H$97,Forudsætninger!$H$98,IF(G160&lt;=Forudsætninger!$I$97,Forudsætninger!$I$98,Forudsætninger!$I$98))))))))</f>
        <v>3.2</v>
      </c>
      <c r="AG160" s="1">
        <f t="shared" si="69"/>
        <v>3.2</v>
      </c>
      <c r="AH160" s="1">
        <f t="shared" si="73"/>
        <v>398.599999999999</v>
      </c>
      <c r="AI160" s="1">
        <f t="shared" si="62"/>
        <v>2.5227848101265757</v>
      </c>
      <c r="AJ160" s="20">
        <f>+(W160*Forudsætninger!$C$12)</f>
        <v>900</v>
      </c>
      <c r="AK160" s="20">
        <f>Forudsætninger!$C$17</f>
        <v>250</v>
      </c>
      <c r="AL160" s="20">
        <f>IF(A160&lt;92,Forudsætninger!$C$20,Forudsætninger!$C$21)</f>
        <v>1.0566762728146013</v>
      </c>
      <c r="AM160" s="20">
        <f t="shared" si="70"/>
        <v>435.46033395799759</v>
      </c>
      <c r="AN160" s="19">
        <f>IFERROR(AD160+AJ160-AA160-Z160-AK160-AM160-Forudsætninger!$D$75,-99999)</f>
        <v>3.8607760822536363</v>
      </c>
      <c r="AO160" s="57">
        <f>IFERROR(AN160/(A160+Forudsætninger!$D$74),-99999)</f>
        <v>2.4435291659833141E-2</v>
      </c>
      <c r="AP160" s="19">
        <f>IFERROR(((365/(A160+Forudsætninger!$D$74))*AN160)/(AI160+Forudsætninger!$D$73),-99999)</f>
        <v>3.3876226501816937</v>
      </c>
      <c r="AQ160" s="18">
        <f t="shared" si="74"/>
        <v>158</v>
      </c>
      <c r="AR160" s="18">
        <f t="shared" si="75"/>
        <v>5101.7908593216798</v>
      </c>
      <c r="AS160" s="50">
        <f t="shared" si="76"/>
        <v>6.3</v>
      </c>
      <c r="AT160" s="50">
        <f t="shared" si="77"/>
        <v>7.7829317420622033</v>
      </c>
      <c r="AU160" s="50">
        <f t="shared" si="78"/>
        <v>4.9417174843327194E-2</v>
      </c>
      <c r="AV160" s="2">
        <f t="shared" si="79"/>
        <v>6.8567064600785379</v>
      </c>
      <c r="AW160" s="16">
        <f t="shared" si="71"/>
        <v>2.7805133546851346</v>
      </c>
      <c r="AZ160" s="16"/>
      <c r="BA160" s="2"/>
    </row>
    <row r="161" spans="1:53" x14ac:dyDescent="0.25">
      <c r="A161">
        <v>159</v>
      </c>
      <c r="B161" s="1">
        <f>ROUND((A161+Forudsætninger!$D$60)/30.4,1)</f>
        <v>6.3</v>
      </c>
      <c r="C161" s="1">
        <f>VLOOKUP((A161+Forudsætninger!$D$60),'Model tilvækst, slagteform, fe'!A:C,3,FALSE)</f>
        <v>328.26259505977276</v>
      </c>
      <c r="D161" s="3">
        <f t="shared" si="80"/>
        <v>1828.9506418054771</v>
      </c>
      <c r="E161" s="3">
        <f>(1+Forudsætninger!$D$78)*C161</f>
        <v>275.74057985020909</v>
      </c>
      <c r="F161" s="2">
        <f t="shared" si="82"/>
        <v>0.63438632806191064</v>
      </c>
      <c r="G161" s="1">
        <f t="shared" si="56"/>
        <v>276.37496617827099</v>
      </c>
      <c r="H161" s="3">
        <f t="shared" si="63"/>
        <v>1463.1605134443362</v>
      </c>
      <c r="I161" s="3">
        <f t="shared" si="64"/>
        <v>1285.3771457752891</v>
      </c>
      <c r="J161" s="1">
        <f>VLOOKUP((A161+Forudsætninger!$D$60),'Model tilvækst, slagteform, fe'!G:K,3,FALSE)*(1+Forudsætninger!$D$79)</f>
        <v>53.135102666114776</v>
      </c>
      <c r="K161" s="17">
        <f t="shared" si="57"/>
        <v>146.85212202226427</v>
      </c>
      <c r="L161" s="17">
        <f t="shared" si="65"/>
        <v>860.01968048512367</v>
      </c>
      <c r="M161" s="3">
        <f>((K161-(('Model tilvækst, slagteform, fe'!$I$9/100)*'Model tilvækst, slagteform, fe'!$C$9))*1000/(A161+Forudsætninger!$D$60))</f>
        <v>648.36040966784947</v>
      </c>
      <c r="N161" s="17">
        <f t="shared" si="66"/>
        <v>726.36543168150581</v>
      </c>
      <c r="O161" s="19">
        <f>IF( A161&lt;Forudsætninger!$C$14,(G161/100)*Forudsætninger!$C$13,(Forudsætninger!$C$15/1000)*Forudsætninger!$C$13)</f>
        <v>1.7964372801587614</v>
      </c>
      <c r="P161" s="17" cm="1">
        <f t="array" ref="P161">INDEX('Model tilvækst, slagteform, fe'!$O$9:$O$375,MATCH(MIN(ABS('Model tilvækst, slagteform, fe'!$M$9:$M$375-G161)),ABS('Model tilvækst, slagteform, fe'!$M$9:$M$375-G161),0))*(1+Forudsætninger!$D$80)</f>
        <v>6.7354263681967499</v>
      </c>
      <c r="Q161" s="17">
        <f t="shared" si="67"/>
        <v>7.8317119026827395</v>
      </c>
      <c r="R161" s="17">
        <f t="shared" si="68"/>
        <v>6.4916388181436009</v>
      </c>
      <c r="S161" s="2">
        <f t="shared" si="58"/>
        <v>3.5540822110664769</v>
      </c>
      <c r="T161" s="19">
        <f>(P161)*IF(N161&lt;Forudsætninger!$B$228,IF(N161&lt;Forudsætninger!$B$227,Forudsætninger!$B$225,Forudsætninger!$C$9),Forudsætninger!$C$11)+O161</f>
        <v>17.557334981739157</v>
      </c>
      <c r="U161" s="2">
        <f>Forudsætninger!$D$68+((K161-(Forudsætninger!$D$84)))*0.01</f>
        <v>6.6081319015822952</v>
      </c>
      <c r="V161" s="2">
        <f>U161+Forudsætninger!$D$69</f>
        <v>6.6081319015822952</v>
      </c>
      <c r="W161">
        <f t="shared" si="59"/>
        <v>1</v>
      </c>
      <c r="X161">
        <f>IF(A161+Forudsætninger!$D$60&gt;248,IF(A161+Forudsætninger!$D$60&lt;365,IF(K161&gt;180,IF(K161&lt;260,1,0),0),0),0)</f>
        <v>0</v>
      </c>
      <c r="Y161" s="22">
        <f>IF(X161=0,0,IF('Vækstfunktion, kry tyr'!A161&lt;Forudsætninger!$D$66,Forudsætninger!$D$67+(('Vækstfunktion, kry tyr'!A161-Forudsætninger!$D$66)/7)*Forudsætninger!$D$64,Forudsætninger!$D$67))</f>
        <v>0</v>
      </c>
      <c r="Z161" s="19">
        <f t="shared" si="72"/>
        <v>2378.8878603454209</v>
      </c>
      <c r="AA161" s="19">
        <f>Forudsætninger!$D$62+Forudsætninger!$C$16</f>
        <v>2055</v>
      </c>
      <c r="AB161" s="19">
        <f>IF(K161&gt;Forudsætninger!$C$37,IF(K161&gt;Forudsætninger!$C$38,IF(K161&gt;Forudsætninger!$C$39,Forudsætninger!$E$39,Forudsætninger!$E$38+Forudsætninger!$F$39*(K161-Forudsætninger!$C$38)),Forudsætninger!$E$37+Forudsætninger!$F$38*(K161-Forudsætninger!$C$37)),Forudsætninger!$E$37)+IF(K161&gt;Forudsætninger!$C$39,Forudsætninger!$G$39,IF(K161&gt;Forudsætninger!$C$38,Forudsætninger!$G$38+Forudsætninger!$H$39*(K161-Forudsætninger!$C$38),IF(K161&gt;Forudsætninger!$C$37,Forudsætninger!$G$37+Forudsætninger!$H$38*(K161-Forudsætninger!$C$37),Forudsætninger!$G$37)))*(U161-Forudsætninger!$H$37)</f>
        <v>35.260813190158231</v>
      </c>
      <c r="AC161" s="19">
        <f>IF(K161&gt;Forudsætninger!$C$42,IF(K161&gt;Forudsætninger!$C$43,IF(K161&gt;Forudsætninger!$C$44,Forudsætninger!$E$44,Forudsætninger!$E$43+Forudsætninger!$F$44*(K161-Forudsætninger!$C$43)),Forudsætninger!$E$42+Forudsætninger!$F$43*(K161-Forudsætninger!$C$42)),Forudsætninger!$E$42)+IF(K161&gt;Forudsætninger!$C$44,Forudsætninger!$G$44,IF(K161&gt;Forudsætninger!$C$43,Forudsætninger!$G$43+Forudsætninger!$H$44*(K161-Forudsætninger!$C$43),IF(K161&gt;Forudsætninger!$C$42,Forudsætninger!$G$42+Forudsætninger!$H$43*(K161-Forudsætninger!$C$42),Forudsætninger!$G$42)))*(V161-Forudsætninger!$H$42)</f>
        <v>30.302032975395573</v>
      </c>
      <c r="AD161" s="19">
        <f t="shared" si="60"/>
        <v>4449.9178440254664</v>
      </c>
      <c r="AE161" s="19">
        <f t="shared" si="61"/>
        <v>30.302032975395573</v>
      </c>
      <c r="AF161">
        <f>IF(G161&lt;=Forudsætninger!$C$97,Forudsætninger!$C$98,(IF(G161&lt;=Forudsætninger!$D$97,Forudsætninger!$D$98,IF(G161&lt;=Forudsætninger!$E$97,Forudsætninger!$E$98,IF(G161&lt;=Forudsætninger!$F$97,Forudsætninger!$F$98,IF(G161&lt;=Forudsætninger!$G$97,Forudsætninger!$G$98,IF(G161&lt;=Forudsætninger!$H$97,Forudsætninger!$H$98,IF(G161&lt;=Forudsætninger!$I$97,Forudsætninger!$I$98,Forudsætninger!$I$98))))))))</f>
        <v>3.2</v>
      </c>
      <c r="AG161" s="1">
        <f t="shared" si="69"/>
        <v>3.2</v>
      </c>
      <c r="AH161" s="1">
        <f t="shared" si="73"/>
        <v>401.79999999999899</v>
      </c>
      <c r="AI161" s="1">
        <f t="shared" si="62"/>
        <v>2.5270440251572261</v>
      </c>
      <c r="AJ161" s="20">
        <f>+(W161*Forudsætninger!$C$12)</f>
        <v>900</v>
      </c>
      <c r="AK161" s="20">
        <f>Forudsætninger!$C$17</f>
        <v>250</v>
      </c>
      <c r="AL161" s="20">
        <f>IF(A161&lt;92,Forudsætninger!$C$20,Forudsætninger!$C$21)</f>
        <v>1.0566762728146013</v>
      </c>
      <c r="AM161" s="20">
        <f t="shared" si="70"/>
        <v>436.51701023081222</v>
      </c>
      <c r="AN161" s="19">
        <f>IFERROR(AD161+AJ161-AA161-Z161-AK161-AM161-Forudsætninger!$D$75,-99999)</f>
        <v>11.620999748273022</v>
      </c>
      <c r="AO161" s="57">
        <f>IFERROR(AN161/(A161+Forudsætninger!$D$74),-99999)</f>
        <v>7.3088048731276861E-2</v>
      </c>
      <c r="AP161" s="19">
        <f>IFERROR(((365/(A161+Forudsætninger!$D$74))*AN161)/(AI161+Forudsætninger!$D$73),-99999)</f>
        <v>10.116303532446906</v>
      </c>
      <c r="AQ161" s="18">
        <f t="shared" si="74"/>
        <v>159</v>
      </c>
      <c r="AR161" s="18">
        <f t="shared" si="75"/>
        <v>5120.4048705762334</v>
      </c>
      <c r="AS161" s="50">
        <f t="shared" si="76"/>
        <v>6.3</v>
      </c>
      <c r="AT161" s="50">
        <f t="shared" si="77"/>
        <v>7.7602236660193853</v>
      </c>
      <c r="AU161" s="50">
        <f t="shared" si="78"/>
        <v>4.8652757071443717E-2</v>
      </c>
      <c r="AV161" s="2">
        <f t="shared" si="79"/>
        <v>6.7286808822652127</v>
      </c>
      <c r="AW161" s="16">
        <f t="shared" si="71"/>
        <v>2.8184780501829261</v>
      </c>
      <c r="AZ161" s="16"/>
      <c r="BA161" s="2"/>
    </row>
    <row r="162" spans="1:53" x14ac:dyDescent="0.25">
      <c r="A162">
        <v>160</v>
      </c>
      <c r="B162" s="1">
        <f>ROUND((A162+Forudsætninger!$D$60)/30.4,1)</f>
        <v>6.4</v>
      </c>
      <c r="C162" s="1">
        <f>VLOOKUP((A162+Forudsætninger!$D$60),'Model tilvækst, slagteform, fe'!A:C,3,FALSE)</f>
        <v>330.08962927005291</v>
      </c>
      <c r="D162" s="3">
        <f t="shared" si="80"/>
        <v>1827.0342102801465</v>
      </c>
      <c r="E162" s="3">
        <f>(1+Forudsætninger!$D$78)*C162</f>
        <v>277.27528858684445</v>
      </c>
      <c r="F162" s="2">
        <f t="shared" si="82"/>
        <v>0.56130495965070482</v>
      </c>
      <c r="G162" s="1">
        <f t="shared" si="56"/>
        <v>277.83659354649518</v>
      </c>
      <c r="H162" s="3">
        <f t="shared" si="63"/>
        <v>1461.6273682241854</v>
      </c>
      <c r="I162" s="3">
        <f t="shared" si="64"/>
        <v>1286.478709665595</v>
      </c>
      <c r="J162" s="1">
        <f>VLOOKUP((A162+Forudsætninger!$D$60),'Model tilvækst, slagteform, fe'!G:K,3,FALSE)*(1+Forudsætninger!$D$79)</f>
        <v>53.165132517372243</v>
      </c>
      <c r="K162" s="17">
        <f t="shared" si="57"/>
        <v>147.71219314074705</v>
      </c>
      <c r="L162" s="17">
        <f t="shared" si="65"/>
        <v>860.07111848277873</v>
      </c>
      <c r="M162" s="3">
        <f>((K162-(('Model tilvækst, slagteform, fe'!$I$9/100)*'Model tilvækst, slagteform, fe'!$C$9))*1000/(A162+Forudsætninger!$D$60))</f>
        <v>649.45170198132848</v>
      </c>
      <c r="N162" s="17">
        <f t="shared" si="66"/>
        <v>733.1092869066664</v>
      </c>
      <c r="O162" s="19">
        <f>IF( A162&lt;Forudsætninger!$C$14,(G162/100)*Forudsætninger!$C$13,(Forudsætninger!$C$15/1000)*Forudsætninger!$C$13)</f>
        <v>1.8059378580522187</v>
      </c>
      <c r="P162" s="17" cm="1">
        <f t="array" ref="P162">INDEX('Model tilvækst, slagteform, fe'!$O$9:$O$375,MATCH(MIN(ABS('Model tilvækst, slagteform, fe'!$M$9:$M$375-G162)),ABS('Model tilvækst, slagteform, fe'!$M$9:$M$375-G162),0))*(1+Forudsætninger!$D$80)</f>
        <v>6.7438552251606163</v>
      </c>
      <c r="Q162" s="17">
        <f t="shared" si="67"/>
        <v>7.8410437000340325</v>
      </c>
      <c r="R162" s="17">
        <f t="shared" si="68"/>
        <v>6.5019320165547283</v>
      </c>
      <c r="S162" s="2">
        <f t="shared" si="58"/>
        <v>3.5616081391332819</v>
      </c>
      <c r="T162" s="19">
        <f>(P162)*IF(N162&lt;Forudsætninger!$B$228,IF(N162&lt;Forudsætninger!$B$227,Forudsætninger!$B$225,Forudsætninger!$C$9),Forudsætninger!$C$11)+O162</f>
        <v>17.586559084928059</v>
      </c>
      <c r="U162" s="2">
        <f>Forudsætninger!$D$68+((K162-(Forudsætninger!$D$84)))*0.01</f>
        <v>6.6167326127671231</v>
      </c>
      <c r="V162" s="2">
        <f>U162+Forudsætninger!$D$69</f>
        <v>6.6167326127671231</v>
      </c>
      <c r="W162">
        <f t="shared" si="59"/>
        <v>1</v>
      </c>
      <c r="X162">
        <f>IF(A162+Forudsætninger!$D$60&gt;248,IF(A162+Forudsætninger!$D$60&lt;365,IF(K162&gt;180,IF(K162&lt;260,1,0),0),0),0)</f>
        <v>0</v>
      </c>
      <c r="Y162" s="22">
        <f>IF(X162=0,0,IF('Vækstfunktion, kry tyr'!A162&lt;Forudsætninger!$D$66,Forudsætninger!$D$67+(('Vækstfunktion, kry tyr'!A162-Forudsætninger!$D$66)/7)*Forudsætninger!$D$64,Forudsætninger!$D$67))</f>
        <v>0</v>
      </c>
      <c r="Z162" s="19">
        <f t="shared" si="72"/>
        <v>2396.4744194303489</v>
      </c>
      <c r="AA162" s="19">
        <f>Forudsætninger!$D$62+Forudsætninger!$C$16</f>
        <v>2055</v>
      </c>
      <c r="AB162" s="19">
        <f>IF(K162&gt;Forudsætninger!$C$37,IF(K162&gt;Forudsætninger!$C$38,IF(K162&gt;Forudsætninger!$C$39,Forudsætninger!$E$39,Forudsætninger!$E$38+Forudsætninger!$F$39*(K162-Forudsætninger!$C$38)),Forudsætninger!$E$37+Forudsætninger!$F$38*(K162-Forudsætninger!$C$37)),Forudsætninger!$E$37)+IF(K162&gt;Forudsætninger!$C$39,Forudsætninger!$G$39,IF(K162&gt;Forudsætninger!$C$38,Forudsætninger!$G$38+Forudsætninger!$H$39*(K162-Forudsætninger!$C$38),IF(K162&gt;Forudsætninger!$C$37,Forudsætninger!$G$37+Forudsætninger!$H$38*(K162-Forudsætninger!$C$37),Forudsætninger!$G$37)))*(U162-Forudsætninger!$H$37)</f>
        <v>35.261673261276712</v>
      </c>
      <c r="AC162" s="19">
        <f>IF(K162&gt;Forudsætninger!$C$42,IF(K162&gt;Forudsætninger!$C$43,IF(K162&gt;Forudsætninger!$C$44,Forudsætninger!$E$44,Forudsætninger!$E$43+Forudsætninger!$F$44*(K162-Forudsætninger!$C$43)),Forudsætninger!$E$42+Forudsætninger!$F$43*(K162-Forudsætninger!$C$42)),Forudsætninger!$E$42)+IF(K162&gt;Forudsætninger!$C$44,Forudsætninger!$G$44,IF(K162&gt;Forudsætninger!$C$43,Forudsætninger!$G$43+Forudsætninger!$H$44*(K162-Forudsætninger!$C$43),IF(K162&gt;Forudsætninger!$C$42,Forudsætninger!$G$42+Forudsætninger!$H$43*(K162-Forudsætninger!$C$42),Forudsætninger!$G$42)))*(V162-Forudsætninger!$H$42)</f>
        <v>30.304183153191779</v>
      </c>
      <c r="AD162" s="19">
        <f t="shared" si="60"/>
        <v>4476.2973548968366</v>
      </c>
      <c r="AE162" s="19">
        <f t="shared" si="61"/>
        <v>30.304183153191776</v>
      </c>
      <c r="AF162">
        <f>IF(G162&lt;=Forudsætninger!$C$97,Forudsætninger!$C$98,(IF(G162&lt;=Forudsætninger!$D$97,Forudsætninger!$D$98,IF(G162&lt;=Forudsætninger!$E$97,Forudsætninger!$E$98,IF(G162&lt;=Forudsætninger!$F$97,Forudsætninger!$F$98,IF(G162&lt;=Forudsætninger!$G$97,Forudsætninger!$G$98,IF(G162&lt;=Forudsætninger!$H$97,Forudsætninger!$H$98,IF(G162&lt;=Forudsætninger!$I$97,Forudsætninger!$I$98,Forudsætninger!$I$98))))))))</f>
        <v>3.2</v>
      </c>
      <c r="AG162" s="1">
        <f t="shared" si="69"/>
        <v>3.2</v>
      </c>
      <c r="AH162" s="1">
        <f t="shared" si="73"/>
        <v>404.99999999999898</v>
      </c>
      <c r="AI162" s="1">
        <f t="shared" si="62"/>
        <v>2.5312499999999938</v>
      </c>
      <c r="AJ162" s="20">
        <f>+(W162*Forudsætninger!$C$12)</f>
        <v>900</v>
      </c>
      <c r="AK162" s="20">
        <f>Forudsætninger!$C$17</f>
        <v>250</v>
      </c>
      <c r="AL162" s="20">
        <f>IF(A162&lt;92,Forudsætninger!$C$20,Forudsætninger!$C$21)</f>
        <v>1.0566762728146013</v>
      </c>
      <c r="AM162" s="20">
        <f t="shared" si="70"/>
        <v>437.57368650362685</v>
      </c>
      <c r="AN162" s="19">
        <f>IFERROR(AD162+AJ162-AA162-Z162-AK162-AM162-Forudsætninger!$D$75,-99999)</f>
        <v>19.357275261900639</v>
      </c>
      <c r="AO162" s="57">
        <f>IFERROR(AN162/(A162+Forudsætninger!$D$74),-99999)</f>
        <v>0.120982970386879</v>
      </c>
      <c r="AP162" s="19">
        <f>IFERROR(((365/(A162+Forudsætninger!$D$74))*AN162)/(AI162+Forudsætninger!$D$73),-99999)</f>
        <v>16.718896049677593</v>
      </c>
      <c r="AQ162" s="18">
        <f t="shared" si="74"/>
        <v>160</v>
      </c>
      <c r="AR162" s="18">
        <f t="shared" si="75"/>
        <v>5139.0481059339763</v>
      </c>
      <c r="AS162" s="50">
        <f t="shared" si="76"/>
        <v>6.4</v>
      </c>
      <c r="AT162" s="50">
        <f t="shared" si="77"/>
        <v>7.7362755136276178</v>
      </c>
      <c r="AU162" s="50">
        <f t="shared" si="78"/>
        <v>4.7894921655602135E-2</v>
      </c>
      <c r="AV162" s="2">
        <f t="shared" si="79"/>
        <v>6.6025925172306863</v>
      </c>
      <c r="AW162" s="16">
        <f t="shared" si="71"/>
        <v>2.8558185110345469</v>
      </c>
      <c r="AZ162" s="16"/>
      <c r="BA162" s="2"/>
    </row>
    <row r="163" spans="1:53" x14ac:dyDescent="0.25">
      <c r="A163">
        <v>161</v>
      </c>
      <c r="B163" s="1">
        <f>ROUND((A163+Forudsætninger!$D$60)/30.4,1)</f>
        <v>6.4</v>
      </c>
      <c r="C163" s="1">
        <f>VLOOKUP((A163+Forudsætninger!$D$60),'Model tilvækst, slagteform, fe'!A:C,3,FALSE)</f>
        <v>331.91468848020406</v>
      </c>
      <c r="D163" s="3">
        <f t="shared" si="80"/>
        <v>1825.0592101511529</v>
      </c>
      <c r="E163" s="3">
        <f>(1+Forudsætninger!$D$78)*C163</f>
        <v>278.8083383233714</v>
      </c>
      <c r="F163" s="2">
        <f t="shared" si="82"/>
        <v>0.48830259124465869</v>
      </c>
      <c r="G163" s="1">
        <f t="shared" si="56"/>
        <v>279.29664091461603</v>
      </c>
      <c r="H163" s="3">
        <f t="shared" si="63"/>
        <v>1460.0473681208541</v>
      </c>
      <c r="I163" s="3">
        <f t="shared" si="64"/>
        <v>1287.5567758671802</v>
      </c>
      <c r="J163" s="1">
        <f>VLOOKUP((A163+Forudsætninger!$D$60),'Model tilvækst, slagteform, fe'!G:K,3,FALSE)*(1+Forudsætninger!$D$79)</f>
        <v>53.195149187940579</v>
      </c>
      <c r="K163" s="17">
        <f t="shared" si="57"/>
        <v>148.5722648114367</v>
      </c>
      <c r="L163" s="17">
        <f t="shared" si="65"/>
        <v>860.07167068964918</v>
      </c>
      <c r="M163" s="3">
        <f>((K163-(('Model tilvækst, slagteform, fe'!$I$9/100)*'Model tilvækst, slagteform, fe'!$C$9))*1000/(A163+Forudsætninger!$D$60))</f>
        <v>650.53180438496088</v>
      </c>
      <c r="N163" s="17">
        <f t="shared" si="66"/>
        <v>739.86144655716828</v>
      </c>
      <c r="O163" s="19">
        <f>IF( A163&lt;Forudsætninger!$C$14,(G163/100)*Forudsætninger!$C$13,(Forudsætninger!$C$15/1000)*Forudsætninger!$C$13)</f>
        <v>1.8154281659450042</v>
      </c>
      <c r="P163" s="17" cm="1">
        <f t="array" ref="P163">INDEX('Model tilvækst, slagteform, fe'!$O$9:$O$375,MATCH(MIN(ABS('Model tilvækst, slagteform, fe'!$M$9:$M$375-G163)),ABS('Model tilvækst, slagteform, fe'!$M$9:$M$375-G163),0))*(1+Forudsætninger!$D$80)</f>
        <v>6.7521596505018415</v>
      </c>
      <c r="Q163" s="17">
        <f t="shared" si="67"/>
        <v>7.8506941695773058</v>
      </c>
      <c r="R163" s="17">
        <f t="shared" si="68"/>
        <v>6.5121424342185712</v>
      </c>
      <c r="S163" s="2">
        <f t="shared" si="58"/>
        <v>3.5690952023767322</v>
      </c>
      <c r="T163" s="19">
        <f>(P163)*IF(N163&lt;Forudsætninger!$B$228,IF(N163&lt;Forudsætninger!$B$227,Forudsætninger!$B$225,Forudsætninger!$C$9),Forudsætninger!$C$11)+O163</f>
        <v>17.615481748119315</v>
      </c>
      <c r="U163" s="2">
        <f>Forudsætninger!$D$68+((K163-(Forudsætninger!$D$84)))*0.01</f>
        <v>6.6253333294740191</v>
      </c>
      <c r="V163" s="2">
        <f>U163+Forudsætninger!$D$69</f>
        <v>6.6253333294740191</v>
      </c>
      <c r="W163">
        <f t="shared" si="59"/>
        <v>1</v>
      </c>
      <c r="X163">
        <f>IF(A163+Forudsætninger!$D$60&gt;248,IF(A163+Forudsætninger!$D$60&lt;365,IF(K163&gt;180,IF(K163&lt;260,1,0),0),0),0)</f>
        <v>0</v>
      </c>
      <c r="Y163" s="22">
        <f>IF(X163=0,0,IF('Vækstfunktion, kry tyr'!A163&lt;Forudsætninger!$D$66,Forudsætninger!$D$67+(('Vækstfunktion, kry tyr'!A163-Forudsætninger!$D$66)/7)*Forudsætninger!$D$64,Forudsætninger!$D$67))</f>
        <v>0</v>
      </c>
      <c r="Z163" s="19">
        <f t="shared" si="72"/>
        <v>2414.0899011784682</v>
      </c>
      <c r="AA163" s="19">
        <f>Forudsætninger!$D$62+Forudsætninger!$C$16</f>
        <v>2055</v>
      </c>
      <c r="AB163" s="19">
        <f>IF(K163&gt;Forudsætninger!$C$37,IF(K163&gt;Forudsætninger!$C$38,IF(K163&gt;Forudsætninger!$C$39,Forudsætninger!$E$39,Forudsætninger!$E$38+Forudsætninger!$F$39*(K163-Forudsætninger!$C$38)),Forudsætninger!$E$37+Forudsætninger!$F$38*(K163-Forudsætninger!$C$37)),Forudsætninger!$E$37)+IF(K163&gt;Forudsætninger!$C$39,Forudsætninger!$G$39,IF(K163&gt;Forudsætninger!$C$38,Forudsætninger!$G$38+Forudsætninger!$H$39*(K163-Forudsætninger!$C$38),IF(K163&gt;Forudsætninger!$C$37,Forudsætninger!$G$37+Forudsætninger!$H$38*(K163-Forudsætninger!$C$37),Forudsætninger!$G$37)))*(U163-Forudsætninger!$H$37)</f>
        <v>35.262533332947399</v>
      </c>
      <c r="AC163" s="19">
        <f>IF(K163&gt;Forudsætninger!$C$42,IF(K163&gt;Forudsætninger!$C$43,IF(K163&gt;Forudsætninger!$C$44,Forudsætninger!$E$44,Forudsætninger!$E$43+Forudsætninger!$F$44*(K163-Forudsætninger!$C$43)),Forudsætninger!$E$42+Forudsætninger!$F$43*(K163-Forudsætninger!$C$42)),Forudsætninger!$E$42)+IF(K163&gt;Forudsætninger!$C$44,Forudsætninger!$G$44,IF(K163&gt;Forudsætninger!$C$43,Forudsætninger!$G$43+Forudsætninger!$H$44*(K163-Forudsætninger!$C$43),IF(K163&gt;Forudsætninger!$C$42,Forudsætninger!$G$42+Forudsætninger!$H$43*(K163-Forudsætninger!$C$42),Forudsætninger!$G$42)))*(V163-Forudsætninger!$H$42)</f>
        <v>30.306333332368503</v>
      </c>
      <c r="AD163" s="19">
        <f t="shared" si="60"/>
        <v>4502.6805813203237</v>
      </c>
      <c r="AE163" s="19">
        <f t="shared" si="61"/>
        <v>30.306333332368499</v>
      </c>
      <c r="AF163">
        <f>IF(G163&lt;=Forudsætninger!$C$97,Forudsætninger!$C$98,(IF(G163&lt;=Forudsætninger!$D$97,Forudsætninger!$D$98,IF(G163&lt;=Forudsætninger!$E$97,Forudsætninger!$E$98,IF(G163&lt;=Forudsætninger!$F$97,Forudsætninger!$F$98,IF(G163&lt;=Forudsætninger!$G$97,Forudsætninger!$G$98,IF(G163&lt;=Forudsætninger!$H$97,Forudsætninger!$H$98,IF(G163&lt;=Forudsætninger!$I$97,Forudsætninger!$I$98,Forudsætninger!$I$98))))))))</f>
        <v>3.2</v>
      </c>
      <c r="AG163" s="1">
        <f t="shared" si="69"/>
        <v>3.2</v>
      </c>
      <c r="AH163" s="1">
        <f t="shared" si="73"/>
        <v>408.19999999999897</v>
      </c>
      <c r="AI163" s="1">
        <f t="shared" si="62"/>
        <v>2.535403726708068</v>
      </c>
      <c r="AJ163" s="20">
        <f>+(W163*Forudsætninger!$C$12)</f>
        <v>900</v>
      </c>
      <c r="AK163" s="20">
        <f>Forudsætninger!$C$17</f>
        <v>250</v>
      </c>
      <c r="AL163" s="20">
        <f>IF(A163&lt;92,Forudsætninger!$C$20,Forudsætninger!$C$21)</f>
        <v>1.0566762728146013</v>
      </c>
      <c r="AM163" s="20">
        <f t="shared" si="70"/>
        <v>438.63036277644147</v>
      </c>
      <c r="AN163" s="19">
        <f>IFERROR(AD163+AJ163-AA163-Z163-AK163-AM163-Forudsætninger!$D$75,-99999)</f>
        <v>27.068343664453806</v>
      </c>
      <c r="AO163" s="57">
        <f>IFERROR(AN163/(A163+Forudsætninger!$D$74),-99999)</f>
        <v>0.16812635816430935</v>
      </c>
      <c r="AP163" s="19">
        <f>IFERROR(((365/(A163+Forudsætninger!$D$74))*AN163)/(AI163+Forudsætninger!$D$73),-99999)</f>
        <v>23.197261011776348</v>
      </c>
      <c r="AQ163" s="18">
        <f t="shared" si="74"/>
        <v>161</v>
      </c>
      <c r="AR163" s="18">
        <f t="shared" si="75"/>
        <v>5157.7202639549096</v>
      </c>
      <c r="AS163" s="50">
        <f t="shared" si="76"/>
        <v>6.4</v>
      </c>
      <c r="AT163" s="50">
        <f t="shared" si="77"/>
        <v>7.7110684025531668</v>
      </c>
      <c r="AU163" s="50">
        <f t="shared" si="78"/>
        <v>4.7143387777430351E-2</v>
      </c>
      <c r="AV163" s="2">
        <f t="shared" si="79"/>
        <v>6.4783649620987553</v>
      </c>
      <c r="AW163" s="16">
        <f t="shared" si="71"/>
        <v>2.8925385493223312</v>
      </c>
      <c r="AZ163" s="16"/>
      <c r="BA163" s="2"/>
    </row>
    <row r="164" spans="1:53" x14ac:dyDescent="0.25">
      <c r="A164">
        <v>162</v>
      </c>
      <c r="B164" s="1">
        <f>ROUND((A164+Forudsætninger!$D$60)/30.4,1)</f>
        <v>6.4</v>
      </c>
      <c r="C164" s="1">
        <f>VLOOKUP((A164+Forudsætninger!$D$60),'Model tilvækst, slagteform, fe'!A:C,3,FALSE)</f>
        <v>333.73771474255955</v>
      </c>
      <c r="D164" s="3">
        <f t="shared" si="80"/>
        <v>1823.0262623554836</v>
      </c>
      <c r="E164" s="3">
        <f>(1+Forudsætninger!$D$78)*C164</f>
        <v>280.33968038375002</v>
      </c>
      <c r="F164" s="2">
        <f t="shared" si="82"/>
        <v>0.41538154075043932</v>
      </c>
      <c r="G164" s="1">
        <f t="shared" si="56"/>
        <v>280.75506192450047</v>
      </c>
      <c r="H164" s="3">
        <f t="shared" si="63"/>
        <v>1458.4210098844324</v>
      </c>
      <c r="I164" s="3">
        <f t="shared" si="64"/>
        <v>1288.6114933611141</v>
      </c>
      <c r="J164" s="1">
        <f>VLOOKUP((A164+Forudsætninger!$D$60),'Model tilvækst, slagteform, fe'!G:K,3,FALSE)*(1+Forudsætninger!$D$79)</f>
        <v>53.22514394698176</v>
      </c>
      <c r="K164" s="17">
        <f t="shared" si="57"/>
        <v>149.43228584775315</v>
      </c>
      <c r="L164" s="17">
        <f t="shared" si="65"/>
        <v>860.02103631645355</v>
      </c>
      <c r="M164" s="3">
        <f>((K164-(('Model tilvækst, slagteform, fe'!$I$9/100)*'Model tilvækst, slagteform, fe'!$C$9))*1000/(A164+Forudsætninger!$D$60))</f>
        <v>651.60062699685625</v>
      </c>
      <c r="N164" s="17">
        <f t="shared" si="66"/>
        <v>746.62985718823859</v>
      </c>
      <c r="O164" s="19">
        <f>IF( A164&lt;Forudsætninger!$C$14,(G164/100)*Forudsætninger!$C$13,(Forudsætninger!$C$15/1000)*Forudsætninger!$C$13)</f>
        <v>1.8249079025092529</v>
      </c>
      <c r="P164" s="17" cm="1">
        <f t="array" ref="P164">INDEX('Model tilvækst, slagteform, fe'!$O$9:$O$375,MATCH(MIN(ABS('Model tilvækst, slagteform, fe'!$M$9:$M$375-G164)),ABS('Model tilvækst, slagteform, fe'!$M$9:$M$375-G164),0))*(1+Forudsætninger!$D$80)</f>
        <v>6.7684106310702576</v>
      </c>
      <c r="Q164" s="17">
        <f t="shared" si="67"/>
        <v>7.8700524118107174</v>
      </c>
      <c r="R164" s="17">
        <f t="shared" si="68"/>
        <v>6.5223442721354461</v>
      </c>
      <c r="S164" s="2">
        <f t="shared" si="58"/>
        <v>3.5765832469167571</v>
      </c>
      <c r="T164" s="19">
        <f>(P164)*IF(N164&lt;Forudsætninger!$B$228,IF(N164&lt;Forudsætninger!$B$227,Forudsætninger!$B$225,Forudsætninger!$C$9),Forudsætninger!$C$11)+O164</f>
        <v>17.662988779213656</v>
      </c>
      <c r="U164" s="2">
        <f>Forudsætninger!$D$68+((K164-(Forudsætninger!$D$84)))*0.01</f>
        <v>6.6339335398371837</v>
      </c>
      <c r="V164" s="2">
        <f>U164+Forudsætninger!$D$69</f>
        <v>6.6339335398371837</v>
      </c>
      <c r="W164">
        <f t="shared" si="59"/>
        <v>1</v>
      </c>
      <c r="X164">
        <f>IF(A164+Forudsætninger!$D$60&gt;248,IF(A164+Forudsætninger!$D$60&lt;365,IF(K164&gt;180,IF(K164&lt;260,1,0),0),0),0)</f>
        <v>0</v>
      </c>
      <c r="Y164" s="22">
        <f>IF(X164=0,0,IF('Vækstfunktion, kry tyr'!A164&lt;Forudsætninger!$D$66,Forudsætninger!$D$67+(('Vækstfunktion, kry tyr'!A164-Forudsætninger!$D$66)/7)*Forudsætninger!$D$64,Forudsætninger!$D$67))</f>
        <v>0</v>
      </c>
      <c r="Z164" s="19">
        <f t="shared" si="72"/>
        <v>2431.7528899576819</v>
      </c>
      <c r="AA164" s="19">
        <f>Forudsætninger!$D$62+Forudsætninger!$C$16</f>
        <v>2055</v>
      </c>
      <c r="AB164" s="19">
        <f>IF(K164&gt;Forudsætninger!$C$37,IF(K164&gt;Forudsætninger!$C$38,IF(K164&gt;Forudsætninger!$C$39,Forudsætninger!$E$39,Forudsætninger!$E$38+Forudsætninger!$F$39*(K164-Forudsætninger!$C$38)),Forudsætninger!$E$37+Forudsætninger!$F$38*(K164-Forudsætninger!$C$37)),Forudsætninger!$E$37)+IF(K164&gt;Forudsætninger!$C$39,Forudsætninger!$G$39,IF(K164&gt;Forudsætninger!$C$38,Forudsætninger!$G$38+Forudsætninger!$H$39*(K164-Forudsætninger!$C$38),IF(K164&gt;Forudsætninger!$C$37,Forudsætninger!$G$37+Forudsætninger!$H$38*(K164-Forudsætninger!$C$37),Forudsætninger!$G$37)))*(U164-Forudsætninger!$H$37)</f>
        <v>35.263393353983716</v>
      </c>
      <c r="AC164" s="19">
        <f>IF(K164&gt;Forudsætninger!$C$42,IF(K164&gt;Forudsætninger!$C$43,IF(K164&gt;Forudsætninger!$C$44,Forudsætninger!$E$44,Forudsætninger!$E$43+Forudsætninger!$F$44*(K164-Forudsætninger!$C$43)),Forudsætninger!$E$42+Forudsætninger!$F$43*(K164-Forudsætninger!$C$42)),Forudsætninger!$E$42)+IF(K164&gt;Forudsætninger!$C$44,Forudsætninger!$G$44,IF(K164&gt;Forudsætninger!$C$43,Forudsætninger!$G$43+Forudsætninger!$H$44*(K164-Forudsætninger!$C$43),IF(K164&gt;Forudsætninger!$C$42,Forudsætninger!$G$42+Forudsætninger!$H$43*(K164-Forudsætninger!$C$42),Forudsætninger!$G$42)))*(V164-Forudsætninger!$H$42)</f>
        <v>30.308483384959295</v>
      </c>
      <c r="AD164" s="19">
        <f t="shared" si="60"/>
        <v>4529.0659527931148</v>
      </c>
      <c r="AE164" s="19">
        <f t="shared" si="61"/>
        <v>30.308483384959299</v>
      </c>
      <c r="AF164">
        <f>IF(G164&lt;=Forudsætninger!$C$97,Forudsætninger!$C$98,(IF(G164&lt;=Forudsætninger!$D$97,Forudsætninger!$D$98,IF(G164&lt;=Forudsætninger!$E$97,Forudsætninger!$E$98,IF(G164&lt;=Forudsætninger!$F$97,Forudsætninger!$F$98,IF(G164&lt;=Forudsætninger!$G$97,Forudsætninger!$G$98,IF(G164&lt;=Forudsætninger!$H$97,Forudsætninger!$H$98,IF(G164&lt;=Forudsætninger!$I$97,Forudsætninger!$I$98,Forudsætninger!$I$98))))))))</f>
        <v>3.2</v>
      </c>
      <c r="AG164" s="1">
        <f t="shared" si="69"/>
        <v>3.2</v>
      </c>
      <c r="AH164" s="1">
        <f t="shared" si="73"/>
        <v>411.39999999999895</v>
      </c>
      <c r="AI164" s="1">
        <f t="shared" si="62"/>
        <v>2.5395061728394999</v>
      </c>
      <c r="AJ164" s="20">
        <f>+(W164*Forudsætninger!$C$12)</f>
        <v>900</v>
      </c>
      <c r="AK164" s="20">
        <f>Forudsætninger!$C$17</f>
        <v>250</v>
      </c>
      <c r="AL164" s="20">
        <f>IF(A164&lt;92,Forudsætninger!$C$20,Forudsætninger!$C$21)</f>
        <v>1.0566762728146013</v>
      </c>
      <c r="AM164" s="20">
        <f t="shared" si="70"/>
        <v>439.6870390492561</v>
      </c>
      <c r="AN164" s="19">
        <f>IFERROR(AD164+AJ164-AA164-Z164-AK164-AM164-Forudsætninger!$D$75,-99999)</f>
        <v>34.73405008521658</v>
      </c>
      <c r="AO164" s="57">
        <f>IFERROR(AN164/(A164+Forudsætninger!$D$74),-99999)</f>
        <v>0.21440771657541099</v>
      </c>
      <c r="AP164" s="19">
        <f>IFERROR(((365/(A164+Forudsætninger!$D$74))*AN164)/(AI164+Forudsætninger!$D$73),-99999)</f>
        <v>29.537133127776155</v>
      </c>
      <c r="AQ164" s="18">
        <f t="shared" si="74"/>
        <v>162</v>
      </c>
      <c r="AR164" s="18">
        <f t="shared" si="75"/>
        <v>5176.4399290069377</v>
      </c>
      <c r="AS164" s="50">
        <f t="shared" si="76"/>
        <v>6.4</v>
      </c>
      <c r="AT164" s="50">
        <f t="shared" si="77"/>
        <v>7.6657064207627741</v>
      </c>
      <c r="AU164" s="50">
        <f t="shared" si="78"/>
        <v>4.6281358411101647E-2</v>
      </c>
      <c r="AV164" s="2">
        <f t="shared" si="79"/>
        <v>6.3398721159998068</v>
      </c>
      <c r="AW164" s="16">
        <f t="shared" si="71"/>
        <v>2.9285252415708194</v>
      </c>
      <c r="AZ164" s="16"/>
      <c r="BA164" s="2"/>
    </row>
    <row r="165" spans="1:53" x14ac:dyDescent="0.25">
      <c r="A165">
        <v>163</v>
      </c>
      <c r="B165" s="1">
        <f>ROUND((A165+Forudsætninger!$D$60)/30.4,1)</f>
        <v>6.5</v>
      </c>
      <c r="C165" s="1">
        <f>VLOOKUP((A165+Forudsætninger!$D$60),'Model tilvækst, slagteform, fe'!A:C,3,FALSE)</f>
        <v>335.55865073038859</v>
      </c>
      <c r="D165" s="3">
        <f t="shared" si="80"/>
        <v>1820.9359878290456</v>
      </c>
      <c r="E165" s="3">
        <f>(1+Forudsætninger!$D$78)*C165</f>
        <v>281.86926661352641</v>
      </c>
      <c r="F165" s="2">
        <f t="shared" si="82"/>
        <v>0.34254410123727752</v>
      </c>
      <c r="G165" s="1">
        <f t="shared" si="56"/>
        <v>282.21181071476366</v>
      </c>
      <c r="H165" s="3">
        <f t="shared" si="63"/>
        <v>1456.748790263191</v>
      </c>
      <c r="I165" s="3">
        <f t="shared" si="64"/>
        <v>1289.6430105200225</v>
      </c>
      <c r="J165" s="1">
        <f>VLOOKUP((A165+Forudsætninger!$D$60),'Model tilvækst, slagteform, fe'!G:K,3,FALSE)*(1+Forudsætninger!$D$79)</f>
        <v>53.255108063657786</v>
      </c>
      <c r="K165" s="17">
        <f t="shared" si="57"/>
        <v>150.29220476455274</v>
      </c>
      <c r="L165" s="17">
        <f t="shared" si="65"/>
        <v>859.91891679958599</v>
      </c>
      <c r="M165" s="3">
        <f>((K165-(('Model tilvækst, slagteform, fe'!$I$9/100)*'Model tilvækst, slagteform, fe'!$C$9))*1000/(A165+Forudsætninger!$D$60))</f>
        <v>652.6580802445859</v>
      </c>
      <c r="N165" s="17">
        <f t="shared" si="66"/>
        <v>753.40622208691298</v>
      </c>
      <c r="O165" s="19">
        <f>IF( A165&lt;Forudsætninger!$C$14,(G165/100)*Forudsætninger!$C$13,(Forudsætninger!$C$15/1000)*Forudsætninger!$C$13)</f>
        <v>1.8343767696459639</v>
      </c>
      <c r="P165" s="17" cm="1">
        <f t="array" ref="P165">INDEX('Model tilvækst, slagteform, fe'!$O$9:$O$375,MATCH(MIN(ABS('Model tilvækst, slagteform, fe'!$M$9:$M$375-G165)),ABS('Model tilvækst, slagteform, fe'!$M$9:$M$375-G165),0))*(1+Forudsætninger!$D$80)</f>
        <v>6.776364898674391</v>
      </c>
      <c r="Q165" s="17">
        <f t="shared" si="67"/>
        <v>7.8802370389692227</v>
      </c>
      <c r="R165" s="17">
        <f t="shared" si="68"/>
        <v>6.5324687145295393</v>
      </c>
      <c r="S165" s="2">
        <f t="shared" si="58"/>
        <v>3.5840337397084205</v>
      </c>
      <c r="T165" s="19">
        <f>(P165)*IF(N165&lt;Forudsætninger!$B$228,IF(N165&lt;Forudsætninger!$B$227,Forudsætninger!$B$225,Forudsætninger!$C$9),Forudsætninger!$C$11)+O165</f>
        <v>17.69107063254404</v>
      </c>
      <c r="U165" s="2">
        <f>Forudsætninger!$D$68+((K165-(Forudsætninger!$D$84)))*0.01</f>
        <v>6.6425327290051799</v>
      </c>
      <c r="V165" s="2">
        <f>U165+Forudsætninger!$D$69</f>
        <v>6.6425327290051799</v>
      </c>
      <c r="W165">
        <f t="shared" si="59"/>
        <v>1</v>
      </c>
      <c r="X165">
        <f>IF(A165+Forudsætninger!$D$60&gt;248,IF(A165+Forudsætninger!$D$60&lt;365,IF(K165&gt;180,IF(K165&lt;260,1,0),0),0),0)</f>
        <v>0</v>
      </c>
      <c r="Y165" s="22">
        <f>IF(X165=0,0,IF('Vækstfunktion, kry tyr'!A165&lt;Forudsætninger!$D$66,Forudsætninger!$D$67+(('Vækstfunktion, kry tyr'!A165-Forudsætninger!$D$66)/7)*Forudsætninger!$D$64,Forudsætninger!$D$67))</f>
        <v>0</v>
      </c>
      <c r="Z165" s="19">
        <f t="shared" si="72"/>
        <v>2449.4439605902257</v>
      </c>
      <c r="AA165" s="19">
        <f>Forudsætninger!$D$62+Forudsætninger!$C$16</f>
        <v>2055</v>
      </c>
      <c r="AB165" s="19">
        <f>IF(K165&gt;Forudsætninger!$C$37,IF(K165&gt;Forudsætninger!$C$38,IF(K165&gt;Forudsætninger!$C$39,Forudsætninger!$E$39,Forudsætninger!$E$38+Forudsætninger!$F$39*(K165-Forudsætninger!$C$38)),Forudsætninger!$E$37+Forudsætninger!$F$38*(K165-Forudsætninger!$C$37)),Forudsætninger!$E$37)+IF(K165&gt;Forudsætninger!$C$39,Forudsætninger!$G$39,IF(K165&gt;Forudsætninger!$C$38,Forudsætninger!$G$38+Forudsætninger!$H$39*(K165-Forudsætninger!$C$38),IF(K165&gt;Forudsætninger!$C$37,Forudsætninger!$G$37+Forudsætninger!$H$38*(K165-Forudsætninger!$C$37),Forudsætninger!$G$37)))*(U165-Forudsætninger!$H$37)</f>
        <v>35.264253272900518</v>
      </c>
      <c r="AC165" s="19">
        <f>IF(K165&gt;Forudsætninger!$C$42,IF(K165&gt;Forudsætninger!$C$43,IF(K165&gt;Forudsætninger!$C$44,Forudsætninger!$E$44,Forudsætninger!$E$43+Forudsætninger!$F$44*(K165-Forudsætninger!$C$43)),Forudsætninger!$E$42+Forudsætninger!$F$43*(K165-Forudsætninger!$C$42)),Forudsætninger!$E$42)+IF(K165&gt;Forudsætninger!$C$44,Forudsætninger!$G$44,IF(K165&gt;Forudsætninger!$C$43,Forudsætninger!$G$43+Forudsætninger!$H$44*(K165-Forudsætninger!$C$43),IF(K165&gt;Forudsætninger!$C$42,Forudsætninger!$G$42+Forudsætninger!$H$43*(K165-Forudsætninger!$C$42),Forudsætninger!$G$42)))*(V165-Forudsætninger!$H$42)</f>
        <v>30.310633182251294</v>
      </c>
      <c r="AD165" s="19">
        <f t="shared" si="60"/>
        <v>4555.4518887701579</v>
      </c>
      <c r="AE165" s="19">
        <f t="shared" si="61"/>
        <v>30.310633182251291</v>
      </c>
      <c r="AF165">
        <f>IF(G165&lt;=Forudsætninger!$C$97,Forudsætninger!$C$98,(IF(G165&lt;=Forudsætninger!$D$97,Forudsætninger!$D$98,IF(G165&lt;=Forudsætninger!$E$97,Forudsætninger!$E$98,IF(G165&lt;=Forudsætninger!$F$97,Forudsætninger!$F$98,IF(G165&lt;=Forudsætninger!$G$97,Forudsætninger!$G$98,IF(G165&lt;=Forudsætninger!$H$97,Forudsætninger!$H$98,IF(G165&lt;=Forudsætninger!$I$97,Forudsætninger!$I$98,Forudsætninger!$I$98))))))))</f>
        <v>3.2</v>
      </c>
      <c r="AG165" s="1">
        <f t="shared" si="69"/>
        <v>3.2</v>
      </c>
      <c r="AH165" s="1">
        <f t="shared" si="73"/>
        <v>414.59999999999894</v>
      </c>
      <c r="AI165" s="1">
        <f t="shared" si="62"/>
        <v>2.5435582822085823</v>
      </c>
      <c r="AJ165" s="20">
        <f>+(W165*Forudsætninger!$C$12)</f>
        <v>900</v>
      </c>
      <c r="AK165" s="20">
        <f>Forudsætninger!$C$17</f>
        <v>250</v>
      </c>
      <c r="AL165" s="20">
        <f>IF(A165&lt;92,Forudsætninger!$C$20,Forudsætninger!$C$21)</f>
        <v>1.0566762728146013</v>
      </c>
      <c r="AM165" s="20">
        <f t="shared" si="70"/>
        <v>440.74371532207073</v>
      </c>
      <c r="AN165" s="19">
        <f>IFERROR(AD165+AJ165-AA165-Z165-AK165-AM165-Forudsætninger!$D$75,-99999)</f>
        <v>42.372239156901202</v>
      </c>
      <c r="AO165" s="57">
        <f>IFERROR(AN165/(A165+Forudsætninger!$D$74),-99999)</f>
        <v>0.25995238746565152</v>
      </c>
      <c r="AP165" s="19">
        <f>IFERROR(((365/(A165+Forudsætninger!$D$74))*AN165)/(AI165+Forudsætninger!$D$73),-99999)</f>
        <v>35.75675049654123</v>
      </c>
      <c r="AQ165" s="18">
        <f t="shared" si="74"/>
        <v>163</v>
      </c>
      <c r="AR165" s="18">
        <f t="shared" si="75"/>
        <v>5195.187675912297</v>
      </c>
      <c r="AS165" s="50">
        <f t="shared" si="76"/>
        <v>6.5</v>
      </c>
      <c r="AT165" s="50">
        <f t="shared" si="77"/>
        <v>7.6381890716846215</v>
      </c>
      <c r="AU165" s="50">
        <f t="shared" si="78"/>
        <v>4.554467089024053E-2</v>
      </c>
      <c r="AV165" s="2">
        <f t="shared" si="79"/>
        <v>6.2196173687650749</v>
      </c>
      <c r="AW165" s="16">
        <f t="shared" si="71"/>
        <v>2.9639015612206867</v>
      </c>
      <c r="AZ165" s="16"/>
      <c r="BA165" s="2"/>
    </row>
    <row r="166" spans="1:53" x14ac:dyDescent="0.25">
      <c r="A166">
        <v>164</v>
      </c>
      <c r="B166" s="1">
        <f>ROUND((A166+Forudsætninger!$D$60)/30.4,1)</f>
        <v>6.5</v>
      </c>
      <c r="C166" s="1">
        <f>VLOOKUP((A166+Forudsætninger!$D$60),'Model tilvækst, slagteform, fe'!A:C,3,FALSE)</f>
        <v>337.37743973789765</v>
      </c>
      <c r="D166" s="3">
        <f t="shared" si="80"/>
        <v>1818.7890075090536</v>
      </c>
      <c r="E166" s="3">
        <f>(1+Forudsætninger!$D$78)*C166</f>
        <v>283.39704937983402</v>
      </c>
      <c r="F166" s="2">
        <f t="shared" si="82"/>
        <v>0.2697925409369154</v>
      </c>
      <c r="G166" s="1">
        <f t="shared" si="56"/>
        <v>283.66684192077093</v>
      </c>
      <c r="H166" s="3">
        <f t="shared" si="63"/>
        <v>1455.031206007277</v>
      </c>
      <c r="I166" s="3">
        <f t="shared" si="64"/>
        <v>1290.651475126652</v>
      </c>
      <c r="J166" s="1">
        <f>VLOOKUP((A166+Forudsætninger!$D$60),'Model tilvækst, slagteform, fe'!G:K,3,FALSE)*(1+Forudsætninger!$D$79)</f>
        <v>53.285032807130641</v>
      </c>
      <c r="K166" s="17">
        <f t="shared" si="57"/>
        <v>151.1519697804342</v>
      </c>
      <c r="L166" s="17">
        <f t="shared" si="65"/>
        <v>859.76501588146448</v>
      </c>
      <c r="M166" s="3">
        <f>((K166-(('Model tilvækst, slagteform, fe'!$I$9/100)*'Model tilvækst, slagteform, fe'!$C$9))*1000/(A166+Forudsætninger!$D$60))</f>
        <v>653.70407486901456</v>
      </c>
      <c r="N166" s="17">
        <f t="shared" si="66"/>
        <v>760.19043224632276</v>
      </c>
      <c r="O166" s="19">
        <f>IF( A166&lt;Forudsætninger!$C$14,(G166/100)*Forudsætninger!$C$13,(Forudsætninger!$C$15/1000)*Forudsætninger!$C$13)</f>
        <v>1.8438344724850111</v>
      </c>
      <c r="P166" s="17" cm="1">
        <f t="array" ref="P166">INDEX('Model tilvækst, slagteform, fe'!$O$9:$O$375,MATCH(MIN(ABS('Model tilvækst, slagteform, fe'!$M$9:$M$375-G166)),ABS('Model tilvækst, slagteform, fe'!$M$9:$M$375-G166),0))*(1+Forudsætninger!$D$80)</f>
        <v>6.7842101594097661</v>
      </c>
      <c r="Q166" s="17">
        <f t="shared" si="67"/>
        <v>7.8907725181796682</v>
      </c>
      <c r="R166" s="17">
        <f t="shared" si="68"/>
        <v>6.5425194839975367</v>
      </c>
      <c r="S166" s="2">
        <f t="shared" si="58"/>
        <v>3.5914478873874343</v>
      </c>
      <c r="T166" s="19">
        <f>(P166)*IF(N166&lt;Forudsætninger!$B$228,IF(N166&lt;Forudsætninger!$B$227,Forudsætninger!$B$225,Forudsætninger!$C$9),Forudsætninger!$C$11)+O166</f>
        <v>17.718886245503864</v>
      </c>
      <c r="U166" s="2">
        <f>Forudsætninger!$D$68+((K166-(Forudsætninger!$D$84)))*0.01</f>
        <v>6.6511303791639946</v>
      </c>
      <c r="V166" s="2">
        <f>U166+Forudsætninger!$D$69</f>
        <v>6.6511303791639946</v>
      </c>
      <c r="W166">
        <f t="shared" si="59"/>
        <v>1</v>
      </c>
      <c r="X166">
        <f>IF(A166+Forudsætninger!$D$60&gt;248,IF(A166+Forudsætninger!$D$60&lt;365,IF(K166&gt;180,IF(K166&lt;260,1,0),0),0),0)</f>
        <v>0</v>
      </c>
      <c r="Y166" s="22">
        <f>IF(X166=0,0,IF('Vækstfunktion, kry tyr'!A166&lt;Forudsætninger!$D$66,Forudsætninger!$D$67+(('Vækstfunktion, kry tyr'!A166-Forudsætninger!$D$66)/7)*Forudsætninger!$D$64,Forudsætninger!$D$67))</f>
        <v>0</v>
      </c>
      <c r="Z166" s="19">
        <f t="shared" si="72"/>
        <v>2467.1628468357294</v>
      </c>
      <c r="AA166" s="19">
        <f>Forudsætninger!$D$62+Forudsætninger!$C$16</f>
        <v>2055</v>
      </c>
      <c r="AB166" s="19">
        <f>IF(K166&gt;Forudsætninger!$C$37,IF(K166&gt;Forudsætninger!$C$38,IF(K166&gt;Forudsætninger!$C$39,Forudsætninger!$E$39,Forudsætninger!$E$38+Forudsætninger!$F$39*(K166-Forudsætninger!$C$38)),Forudsætninger!$E$37+Forudsætninger!$F$38*(K166-Forudsætninger!$C$37)),Forudsætninger!$E$37)+IF(K166&gt;Forudsætninger!$C$39,Forudsætninger!$G$39,IF(K166&gt;Forudsætninger!$C$38,Forudsætninger!$G$38+Forudsætninger!$H$39*(K166-Forudsætninger!$C$38),IF(K166&gt;Forudsætninger!$C$37,Forudsætninger!$G$37+Forudsætninger!$H$38*(K166-Forudsætninger!$C$37),Forudsætninger!$G$37)))*(U166-Forudsætninger!$H$37)</f>
        <v>35.2651130379164</v>
      </c>
      <c r="AC166" s="19">
        <f>IF(K166&gt;Forudsætninger!$C$42,IF(K166&gt;Forudsætninger!$C$43,IF(K166&gt;Forudsætninger!$C$44,Forudsætninger!$E$44,Forudsætninger!$E$43+Forudsætninger!$F$44*(K166-Forudsætninger!$C$43)),Forudsætninger!$E$42+Forudsætninger!$F$43*(K166-Forudsætninger!$C$42)),Forudsætninger!$E$42)+IF(K166&gt;Forudsætninger!$C$44,Forudsætninger!$G$44,IF(K166&gt;Forudsætninger!$C$43,Forudsætninger!$G$43+Forudsætninger!$H$44*(K166-Forudsætninger!$C$43),IF(K166&gt;Forudsætninger!$C$42,Forudsætninger!$G$42+Forudsætninger!$H$43*(K166-Forudsætninger!$C$42),Forudsætninger!$G$42)))*(V166-Forudsætninger!$H$42)</f>
        <v>30.312782594790995</v>
      </c>
      <c r="AD166" s="19">
        <f t="shared" si="60"/>
        <v>4581.8367987287202</v>
      </c>
      <c r="AE166" s="19">
        <f t="shared" si="61"/>
        <v>30.312782594790995</v>
      </c>
      <c r="AF166">
        <f>IF(G166&lt;=Forudsætninger!$C$97,Forudsætninger!$C$98,(IF(G166&lt;=Forudsætninger!$D$97,Forudsætninger!$D$98,IF(G166&lt;=Forudsætninger!$E$97,Forudsætninger!$E$98,IF(G166&lt;=Forudsætninger!$F$97,Forudsætninger!$F$98,IF(G166&lt;=Forudsætninger!$G$97,Forudsætninger!$G$98,IF(G166&lt;=Forudsætninger!$H$97,Forudsætninger!$H$98,IF(G166&lt;=Forudsætninger!$I$97,Forudsætninger!$I$98,Forudsætninger!$I$98))))))))</f>
        <v>3.2</v>
      </c>
      <c r="AG166" s="1">
        <f t="shared" si="69"/>
        <v>3.2</v>
      </c>
      <c r="AH166" s="1">
        <f t="shared" si="73"/>
        <v>417.79999999999893</v>
      </c>
      <c r="AI166" s="1">
        <f t="shared" si="62"/>
        <v>2.5475609756097497</v>
      </c>
      <c r="AJ166" s="20">
        <f>+(W166*Forudsætninger!$C$12)</f>
        <v>900</v>
      </c>
      <c r="AK166" s="20">
        <f>Forudsætninger!$C$17</f>
        <v>250</v>
      </c>
      <c r="AL166" s="20">
        <f>IF(A166&lt;92,Forudsætninger!$C$20,Forudsætninger!$C$21)</f>
        <v>1.0566762728146013</v>
      </c>
      <c r="AM166" s="20">
        <f t="shared" si="70"/>
        <v>441.80039159488535</v>
      </c>
      <c r="AN166" s="19">
        <f>IFERROR(AD166+AJ166-AA166-Z166-AK166-AM166-Forudsætninger!$D$75,-99999)</f>
        <v>49.981586597145196</v>
      </c>
      <c r="AO166" s="57">
        <f>IFERROR(AN166/(A166+Forudsætninger!$D$74),-99999)</f>
        <v>0.30476577193381216</v>
      </c>
      <c r="AP166" s="19">
        <f>IFERROR(((365/(A166+Forudsætninger!$D$74))*AN166)/(AI166+Forudsætninger!$D$73),-99999)</f>
        <v>41.85774391510197</v>
      </c>
      <c r="AQ166" s="18">
        <f t="shared" si="74"/>
        <v>164</v>
      </c>
      <c r="AR166" s="18">
        <f t="shared" si="75"/>
        <v>5213.9632384306151</v>
      </c>
      <c r="AS166" s="50">
        <f t="shared" si="76"/>
        <v>6.5</v>
      </c>
      <c r="AT166" s="50">
        <f t="shared" si="77"/>
        <v>7.6093474402439938</v>
      </c>
      <c r="AU166" s="50">
        <f t="shared" si="78"/>
        <v>4.4813384468160633E-2</v>
      </c>
      <c r="AV166" s="2">
        <f t="shared" si="79"/>
        <v>6.1009934185607406</v>
      </c>
      <c r="AW166" s="16">
        <f t="shared" si="71"/>
        <v>2.9986705987318936</v>
      </c>
      <c r="AZ166" s="16"/>
      <c r="BA166" s="2"/>
    </row>
    <row r="167" spans="1:53" x14ac:dyDescent="0.25">
      <c r="A167">
        <v>165</v>
      </c>
      <c r="B167" s="1">
        <f>ROUND((A167+Forudsætninger!$D$60)/30.4,1)</f>
        <v>6.5</v>
      </c>
      <c r="C167" s="1">
        <f>VLOOKUP((A167+Forudsætninger!$D$60),'Model tilvækst, slagteform, fe'!A:C,3,FALSE)</f>
        <v>339.19402568022952</v>
      </c>
      <c r="D167" s="3">
        <f t="shared" si="80"/>
        <v>1816.5859423318693</v>
      </c>
      <c r="E167" s="3">
        <f>(1+Forudsætninger!$D$78)*C167</f>
        <v>284.92298157139277</v>
      </c>
      <c r="F167" s="2">
        <f t="shared" si="82"/>
        <v>0.19712910324364064</v>
      </c>
      <c r="G167" s="1">
        <f t="shared" si="56"/>
        <v>285.12011067463641</v>
      </c>
      <c r="H167" s="3">
        <f t="shared" si="63"/>
        <v>1453.2687538654727</v>
      </c>
      <c r="I167" s="3">
        <f t="shared" si="64"/>
        <v>1291.6370343917358</v>
      </c>
      <c r="J167" s="1">
        <f>VLOOKUP((A167+Forudsætninger!$D$60),'Model tilvækst, slagteform, fe'!G:K,3,FALSE)*(1+Forudsætninger!$D$79)</f>
        <v>53.314909446562304</v>
      </c>
      <c r="K167" s="17">
        <f t="shared" si="57"/>
        <v>152.01152882012065</v>
      </c>
      <c r="L167" s="17">
        <f t="shared" si="65"/>
        <v>859.5590396864452</v>
      </c>
      <c r="M167" s="3">
        <f>((K167-(('Model tilvækst, slagteform, fe'!$I$9/100)*'Model tilvækst, slagteform, fe'!$C$9))*1000/(A167+Forudsætninger!$D$60))</f>
        <v>654.73852192839854</v>
      </c>
      <c r="N167" s="17">
        <f t="shared" si="66"/>
        <v>766.99002133135093</v>
      </c>
      <c r="O167" s="19">
        <f>IF( A167&lt;Forudsætninger!$C$14,(G167/100)*Forudsætninger!$C$13,(Forudsætninger!$C$15/1000)*Forudsætninger!$C$13)</f>
        <v>1.8532807193851368</v>
      </c>
      <c r="P167" s="17" cm="1">
        <f t="array" ref="P167">INDEX('Model tilvækst, slagteform, fe'!$O$9:$O$375,MATCH(MIN(ABS('Model tilvækst, slagteform, fe'!$M$9:$M$375-G167)),ABS('Model tilvækst, slagteform, fe'!$M$9:$M$375-G167),0))*(1+Forudsætninger!$D$80)</f>
        <v>6.7995890850281366</v>
      </c>
      <c r="Q167" s="17">
        <f t="shared" si="67"/>
        <v>7.9105550300634722</v>
      </c>
      <c r="R167" s="17">
        <f t="shared" si="68"/>
        <v>6.5525655205137694</v>
      </c>
      <c r="S167" s="2">
        <f t="shared" si="58"/>
        <v>3.5988627206668911</v>
      </c>
      <c r="T167" s="19">
        <f>(P167)*IF(N167&lt;Forudsætninger!$B$228,IF(N167&lt;Forudsætninger!$B$227,Forudsætninger!$B$225,Forudsætninger!$C$9),Forudsætninger!$C$11)+O167</f>
        <v>17.764319178350977</v>
      </c>
      <c r="U167" s="2">
        <f>Forudsætninger!$D$68+((K167-(Forudsætninger!$D$84)))*0.01</f>
        <v>6.659725969560859</v>
      </c>
      <c r="V167" s="2">
        <f>U167+Forudsætninger!$D$69</f>
        <v>6.659725969560859</v>
      </c>
      <c r="W167">
        <f t="shared" si="59"/>
        <v>1</v>
      </c>
      <c r="X167">
        <f>IF(A167+Forudsætninger!$D$60&gt;248,IF(A167+Forudsætninger!$D$60&lt;365,IF(K167&gt;180,IF(K167&lt;260,1,0),0),0),0)</f>
        <v>0</v>
      </c>
      <c r="Y167" s="22">
        <f>IF(X167=0,0,IF('Vækstfunktion, kry tyr'!A167&lt;Forudsætninger!$D$66,Forudsætninger!$D$67+(('Vækstfunktion, kry tyr'!A167-Forudsætninger!$D$66)/7)*Forudsætninger!$D$64,Forudsætninger!$D$67))</f>
        <v>0</v>
      </c>
      <c r="Z167" s="19">
        <f t="shared" si="72"/>
        <v>2484.9271660140803</v>
      </c>
      <c r="AA167" s="19">
        <f>Forudsætninger!$D$62+Forudsætninger!$C$16</f>
        <v>2055</v>
      </c>
      <c r="AB167" s="19">
        <f>IF(K167&gt;Forudsætninger!$C$37,IF(K167&gt;Forudsætninger!$C$38,IF(K167&gt;Forudsætninger!$C$39,Forudsætninger!$E$39,Forudsætninger!$E$38+Forudsætninger!$F$39*(K167-Forudsætninger!$C$38)),Forudsætninger!$E$37+Forudsætninger!$F$38*(K167-Forudsætninger!$C$37)),Forudsætninger!$E$37)+IF(K167&gt;Forudsætninger!$C$39,Forudsætninger!$G$39,IF(K167&gt;Forudsætninger!$C$38,Forudsætninger!$G$38+Forudsætninger!$H$39*(K167-Forudsætninger!$C$38),IF(K167&gt;Forudsætninger!$C$37,Forudsætninger!$G$37+Forudsætninger!$H$38*(K167-Forudsætninger!$C$37),Forudsætninger!$G$37)))*(U167-Forudsætninger!$H$37)</f>
        <v>35.265972596956082</v>
      </c>
      <c r="AC167" s="19">
        <f>IF(K167&gt;Forudsætninger!$C$42,IF(K167&gt;Forudsætninger!$C$43,IF(K167&gt;Forudsætninger!$C$44,Forudsætninger!$E$44,Forudsætninger!$E$43+Forudsætninger!$F$44*(K167-Forudsætninger!$C$43)),Forudsætninger!$E$42+Forudsætninger!$F$43*(K167-Forudsætninger!$C$42)),Forudsætninger!$E$42)+IF(K167&gt;Forudsætninger!$C$44,Forudsætninger!$G$44,IF(K167&gt;Forudsætninger!$C$43,Forudsætninger!$G$43+Forudsætninger!$H$44*(K167-Forudsætninger!$C$43),IF(K167&gt;Forudsætninger!$C$42,Forudsætninger!$G$42+Forudsætninger!$H$43*(K167-Forudsætninger!$C$42),Forudsætninger!$G$42)))*(V167-Forudsætninger!$H$42)</f>
        <v>30.314931492390212</v>
      </c>
      <c r="AD167" s="19">
        <f t="shared" si="60"/>
        <v>4608.2190822354578</v>
      </c>
      <c r="AE167" s="19">
        <f t="shared" si="61"/>
        <v>30.314931492390212</v>
      </c>
      <c r="AF167">
        <f>IF(G167&lt;=Forudsætninger!$C$97,Forudsætninger!$C$98,(IF(G167&lt;=Forudsætninger!$D$97,Forudsætninger!$D$98,IF(G167&lt;=Forudsætninger!$E$97,Forudsætninger!$E$98,IF(G167&lt;=Forudsætninger!$F$97,Forudsætninger!$F$98,IF(G167&lt;=Forudsætninger!$G$97,Forudsætninger!$G$98,IF(G167&lt;=Forudsætninger!$H$97,Forudsætninger!$H$98,IF(G167&lt;=Forudsætninger!$I$97,Forudsætninger!$I$98,Forudsætninger!$I$98))))))))</f>
        <v>3.2</v>
      </c>
      <c r="AG167" s="1">
        <f t="shared" si="69"/>
        <v>3.2</v>
      </c>
      <c r="AH167" s="1">
        <f t="shared" si="73"/>
        <v>420.99999999999892</v>
      </c>
      <c r="AI167" s="1">
        <f t="shared" si="62"/>
        <v>2.5515151515151451</v>
      </c>
      <c r="AJ167" s="20">
        <f>+(W167*Forudsætninger!$C$12)</f>
        <v>900</v>
      </c>
      <c r="AK167" s="20">
        <f>Forudsætninger!$C$17</f>
        <v>250</v>
      </c>
      <c r="AL167" s="20">
        <f>IF(A167&lt;92,Forudsætninger!$C$20,Forudsætninger!$C$21)</f>
        <v>1.0566762728146013</v>
      </c>
      <c r="AM167" s="20">
        <f t="shared" si="70"/>
        <v>442.85706786769998</v>
      </c>
      <c r="AN167" s="19">
        <f>IFERROR(AD167+AJ167-AA167-Z167-AK167-AM167-Forudsætninger!$D$75,-99999)</f>
        <v>57.542874652717302</v>
      </c>
      <c r="AO167" s="57">
        <f>IFERROR(AN167/(A167+Forudsætninger!$D$74),-99999)</f>
        <v>0.34874469486495335</v>
      </c>
      <c r="AP167" s="19">
        <f>IFERROR(((365/(A167+Forudsætninger!$D$74))*AN167)/(AI167+Forudsætninger!$D$73),-99999)</f>
        <v>47.826822835572962</v>
      </c>
      <c r="AQ167" s="18">
        <f t="shared" si="74"/>
        <v>165</v>
      </c>
      <c r="AR167" s="18">
        <f t="shared" si="75"/>
        <v>5232.78423388178</v>
      </c>
      <c r="AS167" s="50">
        <f t="shared" si="76"/>
        <v>6.5</v>
      </c>
      <c r="AT167" s="50">
        <f t="shared" si="77"/>
        <v>7.5612880555721063</v>
      </c>
      <c r="AU167" s="50">
        <f t="shared" si="78"/>
        <v>4.3978922931141196E-2</v>
      </c>
      <c r="AV167" s="2">
        <f t="shared" si="79"/>
        <v>5.9690789204709915</v>
      </c>
      <c r="AW167" s="16">
        <f t="shared" si="71"/>
        <v>3.0327269243661656</v>
      </c>
      <c r="AZ167" s="16"/>
      <c r="BA167" s="2"/>
    </row>
    <row r="168" spans="1:53" x14ac:dyDescent="0.25">
      <c r="A168">
        <v>166</v>
      </c>
      <c r="B168" s="1">
        <f>ROUND((A168+Forudsætninger!$D$60)/30.4,1)</f>
        <v>6.6</v>
      </c>
      <c r="C168" s="1">
        <f>VLOOKUP((A168+Forudsætninger!$D$60),'Model tilvækst, slagteform, fe'!A:C,3,FALSE)</f>
        <v>341.00835309346365</v>
      </c>
      <c r="D168" s="3">
        <f t="shared" si="80"/>
        <v>1814.3274132341389</v>
      </c>
      <c r="E168" s="3">
        <f>(1+Forudsætninger!$D$78)*C168</f>
        <v>286.44701659850944</v>
      </c>
      <c r="F168" s="2">
        <f t="shared" si="82"/>
        <v>0.12455600671427508</v>
      </c>
      <c r="G168" s="1">
        <f t="shared" si="56"/>
        <v>286.57157260522371</v>
      </c>
      <c r="H168" s="3">
        <f t="shared" si="63"/>
        <v>1451.4619305872998</v>
      </c>
      <c r="I168" s="3">
        <f t="shared" si="64"/>
        <v>1292.5998349712272</v>
      </c>
      <c r="J168" s="1">
        <f>VLOOKUP((A168+Forudsætninger!$D$60),'Model tilvækst, slagteform, fe'!G:K,3,FALSE)*(1+Forudsætninger!$D$79)</f>
        <v>53.344729251114778</v>
      </c>
      <c r="K168" s="17">
        <f t="shared" si="57"/>
        <v>152.87082951691838</v>
      </c>
      <c r="L168" s="17">
        <f t="shared" si="65"/>
        <v>859.30069679773169</v>
      </c>
      <c r="M168" s="3">
        <f>((K168-(('Model tilvækst, slagteform, fe'!$I$9/100)*'Model tilvækst, slagteform, fe'!$C$9))*1000/(A168+Forudsætninger!$D$60))</f>
        <v>655.76133280274519</v>
      </c>
      <c r="N168" s="17">
        <f t="shared" si="66"/>
        <v>773.79715179363905</v>
      </c>
      <c r="O168" s="19">
        <f>IF( A168&lt;Forudsætninger!$C$14,(G168/100)*Forudsætninger!$C$13,(Forudsætninger!$C$15/1000)*Forudsætninger!$C$13)</f>
        <v>1.8627152219339542</v>
      </c>
      <c r="P168" s="17" cm="1">
        <f t="array" ref="P168">INDEX('Model tilvækst, slagteform, fe'!$O$9:$O$375,MATCH(MIN(ABS('Model tilvækst, slagteform, fe'!$M$9:$M$375-G168)),ABS('Model tilvækst, slagteform, fe'!$M$9:$M$375-G168),0))*(1+Forudsætninger!$D$80)</f>
        <v>6.8071304622880717</v>
      </c>
      <c r="Q168" s="17">
        <f t="shared" si="67"/>
        <v>7.9217094640508394</v>
      </c>
      <c r="R168" s="17">
        <f t="shared" si="68"/>
        <v>6.5625434248764636</v>
      </c>
      <c r="S168" s="2">
        <f t="shared" si="58"/>
        <v>3.6062426275697672</v>
      </c>
      <c r="T168" s="19">
        <f>(P168)*IF(N168&lt;Forudsætninger!$B$228,IF(N168&lt;Forudsætninger!$B$227,Forudsætninger!$B$225,Forudsætninger!$C$9),Forudsætninger!$C$11)+O168</f>
        <v>17.791400503688042</v>
      </c>
      <c r="U168" s="2">
        <f>Forudsætninger!$D$68+((K168-(Forudsætninger!$D$84)))*0.01</f>
        <v>6.6683189765288358</v>
      </c>
      <c r="V168" s="2">
        <f>U168+Forudsætninger!$D$69</f>
        <v>6.6683189765288358</v>
      </c>
      <c r="W168">
        <f t="shared" si="59"/>
        <v>1</v>
      </c>
      <c r="X168">
        <f>IF(A168+Forudsætninger!$D$60&gt;248,IF(A168+Forudsætninger!$D$60&lt;365,IF(K168&gt;180,IF(K168&lt;260,1,0),0),0),0)</f>
        <v>0</v>
      </c>
      <c r="Y168" s="22">
        <f>IF(X168=0,0,IF('Vækstfunktion, kry tyr'!A168&lt;Forudsætninger!$D$66,Forudsætninger!$D$67+(('Vækstfunktion, kry tyr'!A168-Forudsætninger!$D$66)/7)*Forudsætninger!$D$64,Forudsætninger!$D$67))</f>
        <v>0</v>
      </c>
      <c r="Z168" s="19">
        <f t="shared" si="72"/>
        <v>2502.7185665177685</v>
      </c>
      <c r="AA168" s="19">
        <f>Forudsætninger!$D$62+Forudsætninger!$C$16</f>
        <v>2055</v>
      </c>
      <c r="AB168" s="19">
        <f>IF(K168&gt;Forudsætninger!$C$37,IF(K168&gt;Forudsætninger!$C$38,IF(K168&gt;Forudsætninger!$C$39,Forudsætninger!$E$39,Forudsætninger!$E$38+Forudsætninger!$F$39*(K168-Forudsætninger!$C$38)),Forudsætninger!$E$37+Forudsætninger!$F$38*(K168-Forudsætninger!$C$37)),Forudsætninger!$E$37)+IF(K168&gt;Forudsætninger!$C$39,Forudsætninger!$G$39,IF(K168&gt;Forudsætninger!$C$38,Forudsætninger!$G$38+Forudsætninger!$H$39*(K168-Forudsætninger!$C$38),IF(K168&gt;Forudsætninger!$C$37,Forudsætninger!$G$37+Forudsætninger!$H$38*(K168-Forudsætninger!$C$37),Forudsætninger!$G$37)))*(U168-Forudsætninger!$H$37)</f>
        <v>35.266831897652885</v>
      </c>
      <c r="AC168" s="19">
        <f>IF(K168&gt;Forudsætninger!$C$42,IF(K168&gt;Forudsætninger!$C$43,IF(K168&gt;Forudsætninger!$C$44,Forudsætninger!$E$44,Forudsætninger!$E$43+Forudsætninger!$F$44*(K168-Forudsætninger!$C$43)),Forudsætninger!$E$42+Forudsætninger!$F$43*(K168-Forudsætninger!$C$42)),Forudsætninger!$E$42)+IF(K168&gt;Forudsætninger!$C$44,Forudsætninger!$G$44,IF(K168&gt;Forudsætninger!$C$43,Forudsætninger!$G$43+Forudsætninger!$H$44*(K168-Forudsætninger!$C$43),IF(K168&gt;Forudsætninger!$C$42,Forudsætninger!$G$42+Forudsætninger!$H$43*(K168-Forudsætninger!$C$42),Forudsætninger!$G$42)))*(V168-Forudsætninger!$H$42)</f>
        <v>30.317079744132208</v>
      </c>
      <c r="AD168" s="19">
        <f t="shared" si="60"/>
        <v>4634.5971290160542</v>
      </c>
      <c r="AE168" s="19">
        <f t="shared" si="61"/>
        <v>30.317079744132208</v>
      </c>
      <c r="AF168">
        <f>IF(G168&lt;=Forudsætninger!$C$97,Forudsætninger!$C$98,(IF(G168&lt;=Forudsætninger!$D$97,Forudsætninger!$D$98,IF(G168&lt;=Forudsætninger!$E$97,Forudsætninger!$E$98,IF(G168&lt;=Forudsætninger!$F$97,Forudsætninger!$F$98,IF(G168&lt;=Forudsætninger!$G$97,Forudsætninger!$G$98,IF(G168&lt;=Forudsætninger!$H$97,Forudsætninger!$H$98,IF(G168&lt;=Forudsætninger!$I$97,Forudsætninger!$I$98,Forudsætninger!$I$98))))))))</f>
        <v>3.2</v>
      </c>
      <c r="AG168" s="1">
        <f t="shared" si="69"/>
        <v>3.2</v>
      </c>
      <c r="AH168" s="1">
        <f t="shared" si="73"/>
        <v>424.19999999999891</v>
      </c>
      <c r="AI168" s="1">
        <f t="shared" si="62"/>
        <v>2.5554216867469814</v>
      </c>
      <c r="AJ168" s="20">
        <f>+(W168*Forudsætninger!$C$12)</f>
        <v>900</v>
      </c>
      <c r="AK168" s="20">
        <f>Forudsætninger!$C$17</f>
        <v>250</v>
      </c>
      <c r="AL168" s="20">
        <f>IF(A168&lt;92,Forudsætninger!$C$20,Forudsætninger!$C$21)</f>
        <v>1.0566762728146013</v>
      </c>
      <c r="AM168" s="20">
        <f t="shared" si="70"/>
        <v>443.91374414051461</v>
      </c>
      <c r="AN168" s="19">
        <f>IFERROR(AD168+AJ168-AA168-Z168-AK168-AM168-Forudsætninger!$D$75,-99999)</f>
        <v>65.072844656810815</v>
      </c>
      <c r="AO168" s="57">
        <f>IFERROR(AN168/(A168+Forudsætninger!$D$74),-99999)</f>
        <v>0.39200508829404107</v>
      </c>
      <c r="AP168" s="19">
        <f>IFERROR(((365/(A168+Forudsætninger!$D$74))*AN168)/(AI168+Forudsætninger!$D$73),-99999)</f>
        <v>53.680758260037074</v>
      </c>
      <c r="AQ168" s="18">
        <f t="shared" si="74"/>
        <v>166</v>
      </c>
      <c r="AR168" s="18">
        <f t="shared" si="75"/>
        <v>5251.6323106582831</v>
      </c>
      <c r="AS168" s="50">
        <f t="shared" si="76"/>
        <v>6.6</v>
      </c>
      <c r="AT168" s="50">
        <f t="shared" si="77"/>
        <v>7.5299700040935136</v>
      </c>
      <c r="AU168" s="50">
        <f t="shared" si="78"/>
        <v>4.3260393429087718E-2</v>
      </c>
      <c r="AV168" s="2">
        <f t="shared" si="79"/>
        <v>5.8539354244641117</v>
      </c>
      <c r="AW168" s="16">
        <f t="shared" si="71"/>
        <v>3.0661842698634065</v>
      </c>
      <c r="AZ168" s="16"/>
      <c r="BA168" s="2"/>
    </row>
    <row r="169" spans="1:53" x14ac:dyDescent="0.25">
      <c r="A169">
        <v>167</v>
      </c>
      <c r="B169" s="1">
        <f>ROUND((A169+Forudsætninger!$D$60)/30.4,1)</f>
        <v>6.6</v>
      </c>
      <c r="C169" s="1">
        <f>VLOOKUP((A169+Forudsætninger!$D$60),'Model tilvækst, slagteform, fe'!A:C,3,FALSE)</f>
        <v>342.82036713461639</v>
      </c>
      <c r="D169" s="3">
        <f t="shared" si="80"/>
        <v>1812.0140411527359</v>
      </c>
      <c r="E169" s="3">
        <f>(1+Forudsætninger!$D$78)*C169</f>
        <v>287.96910839307776</v>
      </c>
      <c r="F169" s="2">
        <f t="shared" si="82"/>
        <v>5.2075445068165638E-2</v>
      </c>
      <c r="G169" s="1">
        <f t="shared" si="56"/>
        <v>288.02118383814593</v>
      </c>
      <c r="H169" s="3">
        <f t="shared" si="63"/>
        <v>1449.6112329222228</v>
      </c>
      <c r="I169" s="3">
        <f t="shared" si="64"/>
        <v>1293.5400229829097</v>
      </c>
      <c r="J169" s="1">
        <f>VLOOKUP((A169+Forudsætninger!$D$60),'Model tilvækst, slagteform, fe'!G:K,3,FALSE)*(1+Forudsætninger!$D$79)</f>
        <v>53.374483489950023</v>
      </c>
      <c r="K169" s="17">
        <f t="shared" si="57"/>
        <v>153.72981921524979</v>
      </c>
      <c r="L169" s="17">
        <f t="shared" si="65"/>
        <v>858.98969833141336</v>
      </c>
      <c r="M169" s="3">
        <f>((K169-(('Model tilvækst, slagteform, fe'!$I$9/100)*'Model tilvækst, slagteform, fe'!$C$9))*1000/(A169+Forudsætninger!$D$60))</f>
        <v>656.77241919841026</v>
      </c>
      <c r="N169" s="17">
        <f t="shared" si="66"/>
        <v>780.61173005107219</v>
      </c>
      <c r="O169" s="19">
        <f>IF( A169&lt;Forudsætninger!$C$14,(G169/100)*Forudsætninger!$C$13,(Forudsætninger!$C$15/1000)*Forudsætninger!$C$13)</f>
        <v>1.8721376949479487</v>
      </c>
      <c r="P169" s="17" cm="1">
        <f t="array" ref="P169">INDEX('Model tilvækst, slagteform, fe'!$O$9:$O$375,MATCH(MIN(ABS('Model tilvækst, slagteform, fe'!$M$9:$M$375-G169)),ABS('Model tilvækst, slagteform, fe'!$M$9:$M$375-G169),0))*(1+Forudsætninger!$D$80)</f>
        <v>6.8145782574331353</v>
      </c>
      <c r="Q169" s="17">
        <f t="shared" si="67"/>
        <v>7.9332479431015841</v>
      </c>
      <c r="R169" s="17">
        <f t="shared" si="68"/>
        <v>6.5724568669080785</v>
      </c>
      <c r="S169" s="2">
        <f t="shared" si="58"/>
        <v>3.6135887980131902</v>
      </c>
      <c r="T169" s="19">
        <f>(P169)*IF(N169&lt;Forudsætninger!$B$228,IF(N169&lt;Forudsætninger!$B$227,Forudsætninger!$B$225,Forudsætninger!$C$9),Forudsætninger!$C$11)+O169</f>
        <v>17.818250817341486</v>
      </c>
      <c r="U169" s="2">
        <f>Forudsætninger!$D$68+((K169-(Forudsætninger!$D$84)))*0.01</f>
        <v>6.6769088735121507</v>
      </c>
      <c r="V169" s="2">
        <f>U169+Forudsætninger!$D$69</f>
        <v>6.6769088735121507</v>
      </c>
      <c r="W169">
        <f t="shared" si="59"/>
        <v>1</v>
      </c>
      <c r="X169">
        <f>IF(A169+Forudsætninger!$D$60&gt;248,IF(A169+Forudsætninger!$D$60&lt;365,IF(K169&gt;180,IF(K169&lt;260,1,0),0),0),0)</f>
        <v>0</v>
      </c>
      <c r="Y169" s="22">
        <f>IF(X169=0,0,IF('Vækstfunktion, kry tyr'!A169&lt;Forudsætninger!$D$66,Forudsætninger!$D$67+(('Vækstfunktion, kry tyr'!A169-Forudsætninger!$D$66)/7)*Forudsætninger!$D$64,Forudsætninger!$D$67))</f>
        <v>0</v>
      </c>
      <c r="Z169" s="19">
        <f t="shared" si="72"/>
        <v>2520.5368173351098</v>
      </c>
      <c r="AA169" s="19">
        <f>Forudsætninger!$D$62+Forudsætninger!$C$16</f>
        <v>2055</v>
      </c>
      <c r="AB169" s="19">
        <f>IF(K169&gt;Forudsætninger!$C$37,IF(K169&gt;Forudsætninger!$C$38,IF(K169&gt;Forudsætninger!$C$39,Forudsætninger!$E$39,Forudsætninger!$E$38+Forudsætninger!$F$39*(K169-Forudsætninger!$C$38)),Forudsætninger!$E$37+Forudsætninger!$F$38*(K169-Forudsætninger!$C$37)),Forudsætninger!$E$37)+IF(K169&gt;Forudsætninger!$C$39,Forudsætninger!$G$39,IF(K169&gt;Forudsætninger!$C$38,Forudsætninger!$G$38+Forudsætninger!$H$39*(K169-Forudsætninger!$C$38),IF(K169&gt;Forudsætninger!$C$37,Forudsætninger!$G$37+Forudsætninger!$H$38*(K169-Forudsætninger!$C$37),Forudsætninger!$G$37)))*(U169-Forudsætninger!$H$37)</f>
        <v>35.267690887351215</v>
      </c>
      <c r="AC169" s="19">
        <f>IF(K169&gt;Forudsætninger!$C$42,IF(K169&gt;Forudsætninger!$C$43,IF(K169&gt;Forudsætninger!$C$44,Forudsætninger!$E$44,Forudsætninger!$E$43+Forudsætninger!$F$44*(K169-Forudsætninger!$C$43)),Forudsætninger!$E$42+Forudsætninger!$F$43*(K169-Forudsætninger!$C$42)),Forudsætninger!$E$42)+IF(K169&gt;Forudsætninger!$C$44,Forudsætninger!$G$44,IF(K169&gt;Forudsætninger!$C$43,Forudsætninger!$G$43+Forudsætninger!$H$44*(K169-Forudsætninger!$C$43),IF(K169&gt;Forudsætninger!$C$42,Forudsætninger!$G$42+Forudsætninger!$H$43*(K169-Forudsætninger!$C$42),Forudsætninger!$G$42)))*(V169-Forudsætninger!$H$42)</f>
        <v>30.319227218378035</v>
      </c>
      <c r="AD169" s="19">
        <f t="shared" si="60"/>
        <v>4660.9693190273365</v>
      </c>
      <c r="AE169" s="19">
        <f t="shared" si="61"/>
        <v>30.319227218378039</v>
      </c>
      <c r="AF169">
        <f>IF(G169&lt;=Forudsætninger!$C$97,Forudsætninger!$C$98,(IF(G169&lt;=Forudsætninger!$D$97,Forudsætninger!$D$98,IF(G169&lt;=Forudsætninger!$E$97,Forudsætninger!$E$98,IF(G169&lt;=Forudsætninger!$F$97,Forudsætninger!$F$98,IF(G169&lt;=Forudsætninger!$G$97,Forudsætninger!$G$98,IF(G169&lt;=Forudsætninger!$H$97,Forudsætninger!$H$98,IF(G169&lt;=Forudsætninger!$I$97,Forudsætninger!$I$98,Forudsætninger!$I$98))))))))</f>
        <v>3.2</v>
      </c>
      <c r="AG169" s="1">
        <f t="shared" si="69"/>
        <v>3.2</v>
      </c>
      <c r="AH169" s="1">
        <f t="shared" si="73"/>
        <v>427.3999999999989</v>
      </c>
      <c r="AI169" s="1">
        <f t="shared" si="62"/>
        <v>2.5592814371257417</v>
      </c>
      <c r="AJ169" s="20">
        <f>+(W169*Forudsætninger!$C$12)</f>
        <v>900</v>
      </c>
      <c r="AK169" s="20">
        <f>Forudsætninger!$C$17</f>
        <v>250</v>
      </c>
      <c r="AL169" s="20">
        <f>IF(A169&lt;92,Forudsætninger!$C$20,Forudsætninger!$C$21)</f>
        <v>1.0566762728146013</v>
      </c>
      <c r="AM169" s="20">
        <f t="shared" si="70"/>
        <v>444.97042041332924</v>
      </c>
      <c r="AN169" s="19">
        <f>IFERROR(AD169+AJ169-AA169-Z169-AK169-AM169-Forudsætninger!$D$75,-99999)</f>
        <v>72.570107577937193</v>
      </c>
      <c r="AO169" s="57">
        <f>IFERROR(AN169/(A169+Forudsætninger!$D$74),-99999)</f>
        <v>0.43455154238285743</v>
      </c>
      <c r="AP169" s="19">
        <f>IFERROR(((365/(A169+Forudsætninger!$D$74))*AN169)/(AI169+Forudsætninger!$D$73),-99999)</f>
        <v>59.420977782145819</v>
      </c>
      <c r="AQ169" s="18">
        <f t="shared" si="74"/>
        <v>167</v>
      </c>
      <c r="AR169" s="18">
        <f t="shared" si="75"/>
        <v>5270.5072377484394</v>
      </c>
      <c r="AS169" s="50">
        <f t="shared" si="76"/>
        <v>6.6</v>
      </c>
      <c r="AT169" s="50">
        <f t="shared" si="77"/>
        <v>7.4972629211263779</v>
      </c>
      <c r="AU169" s="50">
        <f t="shared" si="78"/>
        <v>4.2546454088816354E-2</v>
      </c>
      <c r="AV169" s="2">
        <f t="shared" si="79"/>
        <v>5.7402195221087453</v>
      </c>
      <c r="AW169" s="16">
        <f t="shared" si="71"/>
        <v>3.0990450777920149</v>
      </c>
      <c r="AZ169" s="16"/>
      <c r="BA169" s="2"/>
    </row>
    <row r="170" spans="1:53" x14ac:dyDescent="0.25">
      <c r="A170">
        <v>168</v>
      </c>
      <c r="B170" s="1">
        <f>ROUND((A170+Forudsætninger!$D$60)/30.4,1)</f>
        <v>6.6</v>
      </c>
      <c r="C170" s="1">
        <f>VLOOKUP((A170+Forudsætninger!$D$60),'Model tilvækst, slagteform, fe'!A:C,3,FALSE)</f>
        <v>344.63001358164001</v>
      </c>
      <c r="D170" s="3">
        <f t="shared" si="80"/>
        <v>1809.6464470236242</v>
      </c>
      <c r="E170" s="3">
        <f>(1+Forudsætninger!$D$78)*C170</f>
        <v>289.4892114085776</v>
      </c>
      <c r="F170" s="2">
        <f t="shared" si="82"/>
        <v>0</v>
      </c>
      <c r="G170" s="1">
        <f t="shared" si="56"/>
        <v>289.4892114085776</v>
      </c>
      <c r="H170" s="3">
        <f t="shared" si="63"/>
        <v>1468.0275704316728</v>
      </c>
      <c r="I170" s="3">
        <f t="shared" si="64"/>
        <v>1294.5786393367714</v>
      </c>
      <c r="J170" s="1">
        <f>VLOOKUP((A170+Forudsætninger!$D$60),'Model tilvækst, slagteform, fe'!G:K,3,FALSE)*(1+Forudsætninger!$D$79)</f>
        <v>53.404163432230064</v>
      </c>
      <c r="K170" s="17">
        <f t="shared" si="57"/>
        <v>154.5992915793108</v>
      </c>
      <c r="L170" s="17">
        <f t="shared" si="65"/>
        <v>869.47236406101069</v>
      </c>
      <c r="M170" s="3">
        <f>((K170-(('Model tilvækst, slagteform, fe'!$I$9/100)*'Model tilvækst, slagteform, fe'!$C$9))*1000/(A170+Forudsætninger!$D$60))</f>
        <v>657.82538922248273</v>
      </c>
      <c r="N170" s="17">
        <f t="shared" si="66"/>
        <v>787.43366637772397</v>
      </c>
      <c r="O170" s="19">
        <f>IF( A170&lt;Forudsætninger!$C$14,(G170/100)*Forudsætninger!$C$13,(Forudsætninger!$C$15/1000)*Forudsætninger!$C$13)</f>
        <v>1.8816798741557543</v>
      </c>
      <c r="P170" s="17" cm="1">
        <f t="array" ref="P170">INDEX('Model tilvækst, slagteform, fe'!$O$9:$O$375,MATCH(MIN(ABS('Model tilvækst, slagteform, fe'!$M$9:$M$375-G170)),ABS('Model tilvækst, slagteform, fe'!$M$9:$M$375-G170),0))*(1+Forudsætninger!$D$80)</f>
        <v>6.8219363266517989</v>
      </c>
      <c r="Q170" s="17">
        <f t="shared" si="67"/>
        <v>7.8460645888603597</v>
      </c>
      <c r="R170" s="17">
        <f t="shared" si="68"/>
        <v>6.5817127190724571</v>
      </c>
      <c r="S170" s="2">
        <f t="shared" si="58"/>
        <v>3.6205642628334447</v>
      </c>
      <c r="T170" s="19">
        <f>(P170)*IF(N170&lt;Forudsætninger!$B$228,IF(N170&lt;Forudsætninger!$B$227,Forudsætninger!$B$225,Forudsætninger!$C$9),Forudsætninger!$C$11)+O170</f>
        <v>17.845010878520963</v>
      </c>
      <c r="U170" s="2">
        <f>Forudsætninger!$D$68+((K170-(Forudsætninger!$D$84)))*0.01</f>
        <v>6.6856035971527605</v>
      </c>
      <c r="V170" s="2">
        <f>U170+Forudsætninger!$D$69</f>
        <v>6.6856035971527605</v>
      </c>
      <c r="W170">
        <f t="shared" si="59"/>
        <v>1</v>
      </c>
      <c r="X170">
        <f>IF(A170+Forudsætninger!$D$60&gt;248,IF(A170+Forudsætninger!$D$60&lt;365,IF(K170&gt;180,IF(K170&lt;260,1,0),0),0),0)</f>
        <v>0</v>
      </c>
      <c r="Y170" s="22">
        <f>IF(X170=0,0,IF('Vækstfunktion, kry tyr'!A170&lt;Forudsætninger!$D$66,Forudsætninger!$D$67+(('Vækstfunktion, kry tyr'!A170-Forudsætninger!$D$66)/7)*Forudsætninger!$D$64,Forudsætninger!$D$67))</f>
        <v>0</v>
      </c>
      <c r="Z170" s="19">
        <f t="shared" si="72"/>
        <v>2538.3818282136308</v>
      </c>
      <c r="AA170" s="19">
        <f>Forudsætninger!$D$62+Forudsætninger!$C$16</f>
        <v>2055</v>
      </c>
      <c r="AB170" s="19">
        <f>IF(K170&gt;Forudsætninger!$C$37,IF(K170&gt;Forudsætninger!$C$38,IF(K170&gt;Forudsætninger!$C$39,Forudsætninger!$E$39,Forudsætninger!$E$38+Forudsætninger!$F$39*(K170-Forudsætninger!$C$38)),Forudsætninger!$E$37+Forudsætninger!$F$38*(K170-Forudsætninger!$C$37)),Forudsætninger!$E$37)+IF(K170&gt;Forudsætninger!$C$39,Forudsætninger!$G$39,IF(K170&gt;Forudsætninger!$C$38,Forudsætninger!$G$38+Forudsætninger!$H$39*(K170-Forudsætninger!$C$38),IF(K170&gt;Forudsætninger!$C$37,Forudsætninger!$G$37+Forudsætninger!$H$38*(K170-Forudsætninger!$C$37),Forudsætninger!$G$37)))*(U170-Forudsætninger!$H$37)</f>
        <v>35.268560359715273</v>
      </c>
      <c r="AC170" s="19">
        <f>IF(K170&gt;Forudsætninger!$C$42,IF(K170&gt;Forudsætninger!$C$43,IF(K170&gt;Forudsætninger!$C$44,Forudsætninger!$E$44,Forudsætninger!$E$43+Forudsætninger!$F$44*(K170-Forudsætninger!$C$43)),Forudsætninger!$E$42+Forudsætninger!$F$43*(K170-Forudsætninger!$C$42)),Forudsætninger!$E$42)+IF(K170&gt;Forudsætninger!$C$44,Forudsætninger!$G$44,IF(K170&gt;Forudsætninger!$C$43,Forudsætninger!$G$43+Forudsætninger!$H$44*(K170-Forudsætninger!$C$43),IF(K170&gt;Forudsætninger!$C$42,Forudsætninger!$G$42+Forudsætninger!$H$43*(K170-Forudsætninger!$C$42),Forudsætninger!$G$42)))*(V170-Forudsætninger!$H$42)</f>
        <v>30.321400899288189</v>
      </c>
      <c r="AD170" s="19">
        <f t="shared" si="60"/>
        <v>4687.6670987222315</v>
      </c>
      <c r="AE170" s="19">
        <f t="shared" si="61"/>
        <v>30.321400899288189</v>
      </c>
      <c r="AF170">
        <f>IF(G170&lt;=Forudsætninger!$C$97,Forudsætninger!$C$98,(IF(G170&lt;=Forudsætninger!$D$97,Forudsætninger!$D$98,IF(G170&lt;=Forudsætninger!$E$97,Forudsætninger!$E$98,IF(G170&lt;=Forudsætninger!$F$97,Forudsætninger!$F$98,IF(G170&lt;=Forudsætninger!$G$97,Forudsætninger!$G$98,IF(G170&lt;=Forudsætninger!$H$97,Forudsætninger!$H$98,IF(G170&lt;=Forudsætninger!$I$97,Forudsætninger!$I$98,Forudsætninger!$I$98))))))))</f>
        <v>3.2</v>
      </c>
      <c r="AG170" s="1">
        <f t="shared" si="69"/>
        <v>3.2</v>
      </c>
      <c r="AH170" s="1">
        <f t="shared" si="73"/>
        <v>430.59999999999889</v>
      </c>
      <c r="AI170" s="1">
        <f t="shared" si="62"/>
        <v>2.5630952380952317</v>
      </c>
      <c r="AJ170" s="20">
        <f>+(W170*Forudsætninger!$C$12)</f>
        <v>900</v>
      </c>
      <c r="AK170" s="20">
        <f>Forudsætninger!$C$17</f>
        <v>250</v>
      </c>
      <c r="AL170" s="20">
        <f>IF(A170&lt;92,Forudsætninger!$C$20,Forudsætninger!$C$21)</f>
        <v>1.0566762728146013</v>
      </c>
      <c r="AM170" s="20">
        <f t="shared" si="70"/>
        <v>446.02709668614386</v>
      </c>
      <c r="AN170" s="19">
        <f>IFERROR(AD170+AJ170-AA170-Z170-AK170-AM170-Forudsætninger!$D$75,-99999)</f>
        <v>80.366200121496576</v>
      </c>
      <c r="AO170" s="57">
        <f>IFERROR(AN170/(A170+Forudsætninger!$D$74),-99999)</f>
        <v>0.47837023881843199</v>
      </c>
      <c r="AP170" s="19">
        <f>IFERROR(((365/(A170+Forudsætninger!$D$74))*AN170)/(AI170+Forudsætninger!$D$73),-99999)</f>
        <v>65.319459883197467</v>
      </c>
      <c r="AQ170" s="18">
        <f t="shared" si="74"/>
        <v>168</v>
      </c>
      <c r="AR170" s="18">
        <f t="shared" si="75"/>
        <v>5289.4089248997743</v>
      </c>
      <c r="AS170" s="50">
        <f t="shared" si="76"/>
        <v>6.6</v>
      </c>
      <c r="AT170" s="50">
        <f t="shared" si="77"/>
        <v>7.7960925435593822</v>
      </c>
      <c r="AU170" s="50">
        <f t="shared" si="78"/>
        <v>4.3818696435574567E-2</v>
      </c>
      <c r="AV170" s="2">
        <f t="shared" si="79"/>
        <v>5.8984821010516484</v>
      </c>
      <c r="AW170" s="16">
        <f t="shared" si="71"/>
        <v>3.1332934333788125</v>
      </c>
      <c r="AZ170" s="16"/>
      <c r="BA170" s="2"/>
    </row>
    <row r="171" spans="1:53" x14ac:dyDescent="0.25">
      <c r="A171">
        <v>169</v>
      </c>
      <c r="B171" s="1">
        <f>ROUND((A171+Forudsætninger!$D$60)/30.4,1)</f>
        <v>6.7</v>
      </c>
      <c r="C171" s="1">
        <f>VLOOKUP((A171+Forudsætninger!$D$60),'Model tilvækst, slagteform, fe'!A:C,3,FALSE)</f>
        <v>346.43723883342409</v>
      </c>
      <c r="D171" s="3">
        <f t="shared" si="80"/>
        <v>1807.2252517840752</v>
      </c>
      <c r="E171" s="3">
        <f>(1+Forudsætninger!$D$78)*C171</f>
        <v>291.00728062007624</v>
      </c>
      <c r="F171" s="2">
        <f t="shared" si="82"/>
        <v>0</v>
      </c>
      <c r="G171" s="1">
        <f t="shared" si="56"/>
        <v>291.00728062007624</v>
      </c>
      <c r="H171" s="3">
        <f t="shared" si="63"/>
        <v>1518.0692114986414</v>
      </c>
      <c r="I171" s="3">
        <f t="shared" si="64"/>
        <v>1295.9010687578477</v>
      </c>
      <c r="J171" s="1">
        <f>VLOOKUP((A171+Forudsætninger!$D$60),'Model tilvækst, slagteform, fe'!G:K,3,FALSE)*(1+Forudsætninger!$D$79)</f>
        <v>53.433760347116866</v>
      </c>
      <c r="K171" s="17">
        <f t="shared" si="57"/>
        <v>155.4961329191934</v>
      </c>
      <c r="L171" s="17">
        <f t="shared" si="65"/>
        <v>896.84133988259873</v>
      </c>
      <c r="M171" s="3">
        <f>((K171-(('Model tilvækst, slagteform, fe'!$I$9/100)*'Model tilvækst, slagteform, fe'!$C$9))*1000/(A171+Forudsætninger!$D$60))</f>
        <v>659.00280769864082</v>
      </c>
      <c r="N171" s="17">
        <f t="shared" si="66"/>
        <v>794.27006508978775</v>
      </c>
      <c r="O171" s="19">
        <f>IF( A171&lt;Forudsætninger!$C$14,(G171/100)*Forudsætninger!$C$13,(Forudsætninger!$C$15/1000)*Forudsætninger!$C$13)</f>
        <v>1.8915473240304956</v>
      </c>
      <c r="P171" s="17" cm="1">
        <f t="array" ref="P171">INDEX('Model tilvækst, slagteform, fe'!$O$9:$O$375,MATCH(MIN(ABS('Model tilvækst, slagteform, fe'!$M$9:$M$375-G171)),ABS('Model tilvækst, slagteform, fe'!$M$9:$M$375-G171),0))*(1+Forudsætninger!$D$80)</f>
        <v>6.836398712063807</v>
      </c>
      <c r="Q171" s="17">
        <f t="shared" si="67"/>
        <v>7.6227515481821211</v>
      </c>
      <c r="R171" s="17">
        <f t="shared" si="68"/>
        <v>6.589458479816245</v>
      </c>
      <c r="S171" s="2">
        <f t="shared" si="58"/>
        <v>3.626683381671</v>
      </c>
      <c r="T171" s="19">
        <f>(P171)*IF(N171&lt;Forudsætninger!$B$228,IF(N171&lt;Forudsætninger!$B$227,Forudsætninger!$B$225,Forudsætninger!$C$9),Forudsætninger!$C$11)+O171</f>
        <v>17.888720310259803</v>
      </c>
      <c r="U171" s="2">
        <f>Forudsætninger!$D$68+((K171-(Forudsætninger!$D$84)))*0.01</f>
        <v>6.6945720105515862</v>
      </c>
      <c r="V171" s="2">
        <f>U171+Forudsætninger!$D$69</f>
        <v>6.6945720105515862</v>
      </c>
      <c r="W171">
        <f t="shared" si="59"/>
        <v>1</v>
      </c>
      <c r="X171">
        <f>IF(A171+Forudsætninger!$D$60&gt;248,IF(A171+Forudsætninger!$D$60&lt;365,IF(K171&gt;180,IF(K171&lt;260,1,0),0),0),0)</f>
        <v>0</v>
      </c>
      <c r="Y171" s="22">
        <f>IF(X171=0,0,IF('Vækstfunktion, kry tyr'!A171&lt;Forudsætninger!$D$66,Forudsætninger!$D$67+(('Vækstfunktion, kry tyr'!A171-Forudsætninger!$D$66)/7)*Forudsætninger!$D$64,Forudsætninger!$D$67))</f>
        <v>0</v>
      </c>
      <c r="Z171" s="19">
        <f t="shared" si="72"/>
        <v>2556.2705485238907</v>
      </c>
      <c r="AA171" s="19">
        <f>Forudsætninger!$D$62+Forudsætninger!$C$16</f>
        <v>2055</v>
      </c>
      <c r="AB171" s="19">
        <f>IF(K171&gt;Forudsætninger!$C$37,IF(K171&gt;Forudsætninger!$C$38,IF(K171&gt;Forudsætninger!$C$39,Forudsætninger!$E$39,Forudsætninger!$E$38+Forudsætninger!$F$39*(K171-Forudsætninger!$C$38)),Forudsætninger!$E$37+Forudsætninger!$F$38*(K171-Forudsætninger!$C$37)),Forudsætninger!$E$37)+IF(K171&gt;Forudsætninger!$C$39,Forudsætninger!$G$39,IF(K171&gt;Forudsætninger!$C$38,Forudsætninger!$G$38+Forudsætninger!$H$39*(K171-Forudsætninger!$C$38),IF(K171&gt;Forudsætninger!$C$37,Forudsætninger!$G$37+Forudsætninger!$H$38*(K171-Forudsætninger!$C$37),Forudsætninger!$G$37)))*(U171-Forudsætninger!$H$37)</f>
        <v>35.269457201055161</v>
      </c>
      <c r="AC171" s="19">
        <f>IF(K171&gt;Forudsætninger!$C$42,IF(K171&gt;Forudsætninger!$C$43,IF(K171&gt;Forudsætninger!$C$44,Forudsætninger!$E$44,Forudsætninger!$E$43+Forudsætninger!$F$44*(K171-Forudsætninger!$C$43)),Forudsætninger!$E$42+Forudsætninger!$F$43*(K171-Forudsætninger!$C$42)),Forudsætninger!$E$42)+IF(K171&gt;Forudsætninger!$C$44,Forudsætninger!$G$44,IF(K171&gt;Forudsætninger!$C$43,Forudsætninger!$G$43+Forudsætninger!$H$44*(K171-Forudsætninger!$C$43),IF(K171&gt;Forudsætninger!$C$42,Forudsætninger!$G$42+Forudsætninger!$H$43*(K171-Forudsætninger!$C$42),Forudsætninger!$G$42)))*(V171-Forudsætninger!$H$42)</f>
        <v>30.323643002637894</v>
      </c>
      <c r="AD171" s="19">
        <f t="shared" si="60"/>
        <v>4715.2092229323507</v>
      </c>
      <c r="AE171" s="19">
        <f t="shared" si="61"/>
        <v>30.323643002637894</v>
      </c>
      <c r="AF171">
        <f>IF(G171&lt;=Forudsætninger!$C$97,Forudsætninger!$C$98,(IF(G171&lt;=Forudsætninger!$D$97,Forudsætninger!$D$98,IF(G171&lt;=Forudsætninger!$E$97,Forudsætninger!$E$98,IF(G171&lt;=Forudsætninger!$F$97,Forudsætninger!$F$98,IF(G171&lt;=Forudsætninger!$G$97,Forudsætninger!$G$98,IF(G171&lt;=Forudsætninger!$H$97,Forudsætninger!$H$98,IF(G171&lt;=Forudsætninger!$I$97,Forudsætninger!$I$98,Forudsætninger!$I$98))))))))</f>
        <v>3.2</v>
      </c>
      <c r="AG171" s="1">
        <f t="shared" si="69"/>
        <v>3.2</v>
      </c>
      <c r="AH171" s="1">
        <f t="shared" si="73"/>
        <v>433.79999999999887</v>
      </c>
      <c r="AI171" s="1">
        <f t="shared" si="62"/>
        <v>2.566863905325437</v>
      </c>
      <c r="AJ171" s="20">
        <f>+(W171*Forudsætninger!$C$12)</f>
        <v>900</v>
      </c>
      <c r="AK171" s="20">
        <f>Forudsætninger!$C$17</f>
        <v>250</v>
      </c>
      <c r="AL171" s="20">
        <f>IF(A171&lt;92,Forudsætninger!$C$20,Forudsætninger!$C$21)</f>
        <v>1.0566762728146013</v>
      </c>
      <c r="AM171" s="20">
        <f t="shared" si="70"/>
        <v>447.08377295895849</v>
      </c>
      <c r="AN171" s="19">
        <f>IFERROR(AD171+AJ171-AA171-Z171-AK171-AM171-Forudsætninger!$D$75,-99999)</f>
        <v>88.962927748541262</v>
      </c>
      <c r="AO171" s="57">
        <f>IFERROR(AN171/(A171+Forudsætninger!$D$74),-99999)</f>
        <v>0.52640785650024413</v>
      </c>
      <c r="AP171" s="19">
        <f>IFERROR(((365/(A171+Forudsætninger!$D$74))*AN171)/(AI171+Forudsætninger!$D$73),-99999)</f>
        <v>71.777600363000161</v>
      </c>
      <c r="AQ171" s="18">
        <f t="shared" si="74"/>
        <v>169</v>
      </c>
      <c r="AR171" s="18">
        <f t="shared" si="75"/>
        <v>5308.3543214828496</v>
      </c>
      <c r="AS171" s="50">
        <f t="shared" si="76"/>
        <v>6.7</v>
      </c>
      <c r="AT171" s="50">
        <f t="shared" si="77"/>
        <v>8.596727627044686</v>
      </c>
      <c r="AU171" s="50">
        <f t="shared" si="78"/>
        <v>4.8037617681812139E-2</v>
      </c>
      <c r="AV171" s="2">
        <f t="shared" si="79"/>
        <v>6.4581404798026938</v>
      </c>
      <c r="AW171" s="16">
        <f t="shared" si="71"/>
        <v>3.1718739686834305</v>
      </c>
      <c r="AZ171" s="16"/>
      <c r="BA171" s="2"/>
    </row>
    <row r="172" spans="1:53" x14ac:dyDescent="0.25">
      <c r="A172">
        <v>170</v>
      </c>
      <c r="B172" s="1">
        <f>ROUND((A172+Forudsætninger!$D$60)/30.4,1)</f>
        <v>6.7</v>
      </c>
      <c r="C172" s="1">
        <f>VLOOKUP((A172+Forudsætninger!$D$60),'Model tilvækst, slagteform, fe'!A:C,3,FALSE)</f>
        <v>348.24198990979465</v>
      </c>
      <c r="D172" s="3">
        <f t="shared" si="80"/>
        <v>1804.7510763705645</v>
      </c>
      <c r="E172" s="3">
        <f>(1+Forudsætninger!$D$78)*C172</f>
        <v>292.52327152422748</v>
      </c>
      <c r="F172" s="2">
        <f t="shared" si="82"/>
        <v>0</v>
      </c>
      <c r="G172" s="1">
        <f t="shared" si="56"/>
        <v>292.52327152422748</v>
      </c>
      <c r="H172" s="3">
        <f t="shared" si="63"/>
        <v>1515.9909041512378</v>
      </c>
      <c r="I172" s="3">
        <f t="shared" si="64"/>
        <v>1297.1957148483971</v>
      </c>
      <c r="J172" s="1">
        <f>VLOOKUP((A172+Forudsætninger!$D$60),'Model tilvækst, slagteform, fe'!G:K,3,FALSE)*(1+Forudsætninger!$D$79)</f>
        <v>53.463265503772419</v>
      </c>
      <c r="K172" s="17">
        <f t="shared" si="57"/>
        <v>156.39249331531883</v>
      </c>
      <c r="L172" s="17">
        <f t="shared" si="65"/>
        <v>896.36039612543073</v>
      </c>
      <c r="M172" s="3">
        <f>((K172-(('Model tilvækst, slagteform, fe'!$I$9/100)*'Model tilvækst, slagteform, fe'!$C$9))*1000/(A172+Forudsætninger!$D$60))</f>
        <v>660.16632528896821</v>
      </c>
      <c r="N172" s="17">
        <f t="shared" si="66"/>
        <v>801.11357583042184</v>
      </c>
      <c r="O172" s="19">
        <f>IF( A172&lt;Forudsætninger!$C$14,(G172/100)*Forudsætninger!$C$13,(Forudsætninger!$C$15/1000)*Forudsætninger!$C$13)</f>
        <v>1.9014012649074787</v>
      </c>
      <c r="P172" s="17" cm="1">
        <f t="array" ref="P172">INDEX('Model tilvækst, slagteform, fe'!$O$9:$O$375,MATCH(MIN(ABS('Model tilvækst, slagteform, fe'!$M$9:$M$375-G172)),ABS('Model tilvækst, slagteform, fe'!$M$9:$M$375-G172),0))*(1+Forudsætninger!$D$80)</f>
        <v>6.8435107406340947</v>
      </c>
      <c r="Q172" s="17">
        <f t="shared" si="67"/>
        <v>7.6347758894921762</v>
      </c>
      <c r="R172" s="17">
        <f t="shared" si="68"/>
        <v>6.5971745243448368</v>
      </c>
      <c r="S172" s="2">
        <f t="shared" si="58"/>
        <v>3.6327847410082006</v>
      </c>
      <c r="T172" s="19">
        <f>(P172)*IF(N172&lt;Forudsætninger!$B$228,IF(N172&lt;Forudsætninger!$B$227,Forudsætninger!$B$225,Forudsætninger!$C$9),Forudsætninger!$C$11)+O172</f>
        <v>17.915216397991259</v>
      </c>
      <c r="U172" s="2">
        <f>Forudsætninger!$D$68+((K172-(Forudsætninger!$D$84)))*0.01</f>
        <v>6.7035356145128411</v>
      </c>
      <c r="V172" s="2">
        <f>U172+Forudsætninger!$D$69</f>
        <v>6.7035356145128411</v>
      </c>
      <c r="W172">
        <f t="shared" si="59"/>
        <v>1</v>
      </c>
      <c r="X172">
        <f>IF(A172+Forudsætninger!$D$60&gt;248,IF(A172+Forudsætninger!$D$60&lt;365,IF(K172&gt;180,IF(K172&lt;260,1,0),0),0),0)</f>
        <v>0</v>
      </c>
      <c r="Y172" s="22">
        <f>IF(X172=0,0,IF('Vækstfunktion, kry tyr'!A172&lt;Forudsætninger!$D$66,Forudsætninger!$D$67+(('Vækstfunktion, kry tyr'!A172-Forudsætninger!$D$66)/7)*Forudsætninger!$D$64,Forudsætninger!$D$67))</f>
        <v>0</v>
      </c>
      <c r="Z172" s="19">
        <f t="shared" si="72"/>
        <v>2574.1857649218819</v>
      </c>
      <c r="AA172" s="19">
        <f>Forudsætninger!$D$62+Forudsætninger!$C$16</f>
        <v>2055</v>
      </c>
      <c r="AB172" s="19">
        <f>IF(K172&gt;Forudsætninger!$C$37,IF(K172&gt;Forudsætninger!$C$38,IF(K172&gt;Forudsætninger!$C$39,Forudsætninger!$E$39,Forudsætninger!$E$38+Forudsætninger!$F$39*(K172-Forudsætninger!$C$38)),Forudsætninger!$E$37+Forudsætninger!$F$38*(K172-Forudsætninger!$C$37)),Forudsætninger!$E$37)+IF(K172&gt;Forudsætninger!$C$39,Forudsætninger!$G$39,IF(K172&gt;Forudsætninger!$C$38,Forudsætninger!$G$38+Forudsætninger!$H$39*(K172-Forudsætninger!$C$38),IF(K172&gt;Forudsætninger!$C$37,Forudsætninger!$G$37+Forudsætninger!$H$38*(K172-Forudsætninger!$C$37),Forudsætninger!$G$37)))*(U172-Forudsætninger!$H$37)</f>
        <v>35.270353561451287</v>
      </c>
      <c r="AC172" s="19">
        <f>IF(K172&gt;Forudsætninger!$C$42,IF(K172&gt;Forudsætninger!$C$43,IF(K172&gt;Forudsætninger!$C$44,Forudsætninger!$E$44,Forudsætninger!$E$43+Forudsætninger!$F$44*(K172-Forudsætninger!$C$43)),Forudsætninger!$E$42+Forudsætninger!$F$43*(K172-Forudsætninger!$C$42)),Forudsætninger!$E$42)+IF(K172&gt;Forudsætninger!$C$44,Forudsætninger!$G$44,IF(K172&gt;Forudsætninger!$C$43,Forudsætninger!$G$43+Forudsætninger!$H$44*(K172-Forudsætninger!$C$43),IF(K172&gt;Forudsætninger!$C$42,Forudsætninger!$G$42+Forudsætninger!$H$43*(K172-Forudsætninger!$C$42),Forudsætninger!$G$42)))*(V172-Forudsætninger!$H$42)</f>
        <v>30.32588390362821</v>
      </c>
      <c r="AD172" s="19">
        <f t="shared" si="60"/>
        <v>4742.74059567931</v>
      </c>
      <c r="AE172" s="19">
        <f t="shared" si="61"/>
        <v>30.32588390362821</v>
      </c>
      <c r="AF172">
        <f>IF(G172&lt;=Forudsætninger!$C$97,Forudsætninger!$C$98,(IF(G172&lt;=Forudsætninger!$D$97,Forudsætninger!$D$98,IF(G172&lt;=Forudsætninger!$E$97,Forudsætninger!$E$98,IF(G172&lt;=Forudsætninger!$F$97,Forudsætninger!$F$98,IF(G172&lt;=Forudsætninger!$G$97,Forudsætninger!$G$98,IF(G172&lt;=Forudsætninger!$H$97,Forudsætninger!$H$98,IF(G172&lt;=Forudsætninger!$I$97,Forudsætninger!$I$98,Forudsætninger!$I$98))))))))</f>
        <v>3.2</v>
      </c>
      <c r="AG172" s="1">
        <f t="shared" si="69"/>
        <v>3.2</v>
      </c>
      <c r="AH172" s="1">
        <f t="shared" si="73"/>
        <v>436.99999999999886</v>
      </c>
      <c r="AI172" s="1">
        <f t="shared" si="62"/>
        <v>2.5705882352941112</v>
      </c>
      <c r="AJ172" s="20">
        <f>+(W172*Forudsætninger!$C$12)</f>
        <v>900</v>
      </c>
      <c r="AK172" s="20">
        <f>Forudsætninger!$C$17</f>
        <v>250</v>
      </c>
      <c r="AL172" s="20">
        <f>IF(A172&lt;92,Forudsætninger!$C$20,Forudsætninger!$C$21)</f>
        <v>1.0566762728146013</v>
      </c>
      <c r="AM172" s="20">
        <f t="shared" si="70"/>
        <v>448.14044923177312</v>
      </c>
      <c r="AN172" s="19">
        <f>IFERROR(AD172+AJ172-AA172-Z172-AK172-AM172-Forudsætninger!$D$75,-99999)</f>
        <v>97.522407824694795</v>
      </c>
      <c r="AO172" s="57">
        <f>IFERROR(AN172/(A172+Forudsætninger!$D$74),-99999)</f>
        <v>0.57366122249820473</v>
      </c>
      <c r="AP172" s="19">
        <f>IFERROR(((365/(A172+Forudsætninger!$D$74))*AN172)/(AI172+Forudsætninger!$D$73),-99999)</f>
        <v>78.11208877773467</v>
      </c>
      <c r="AQ172" s="18">
        <f t="shared" si="74"/>
        <v>170</v>
      </c>
      <c r="AR172" s="18">
        <f t="shared" si="75"/>
        <v>5327.3262141536552</v>
      </c>
      <c r="AS172" s="50">
        <f t="shared" si="76"/>
        <v>6.7</v>
      </c>
      <c r="AT172" s="50">
        <f t="shared" si="77"/>
        <v>8.5594800761535339</v>
      </c>
      <c r="AU172" s="50">
        <f t="shared" si="78"/>
        <v>4.7253365997960595E-2</v>
      </c>
      <c r="AV172" s="2">
        <f t="shared" si="79"/>
        <v>6.3344884147345084</v>
      </c>
      <c r="AW172" s="16">
        <f t="shared" si="71"/>
        <v>3.2097815120968702</v>
      </c>
      <c r="AZ172" s="16"/>
      <c r="BA172" s="2"/>
    </row>
    <row r="173" spans="1:53" x14ac:dyDescent="0.25">
      <c r="A173">
        <v>171</v>
      </c>
      <c r="B173" s="1">
        <f>ROUND((A173+Forudsætninger!$D$60)/30.4,1)</f>
        <v>6.7</v>
      </c>
      <c r="C173" s="1">
        <f>VLOOKUP((A173+Forudsætninger!$D$60),'Model tilvækst, slagteform, fe'!A:C,3,FALSE)</f>
        <v>350.04421445151394</v>
      </c>
      <c r="D173" s="3">
        <f t="shared" si="80"/>
        <v>1802.2245417192835</v>
      </c>
      <c r="E173" s="3">
        <f>(1+Forudsætninger!$D$78)*C173</f>
        <v>294.03714013927168</v>
      </c>
      <c r="F173" s="2">
        <f t="shared" si="82"/>
        <v>0</v>
      </c>
      <c r="G173" s="1">
        <f t="shared" si="56"/>
        <v>294.03714013927168</v>
      </c>
      <c r="H173" s="3">
        <f>(G173-G172)*1000</f>
        <v>1513.8686150442027</v>
      </c>
      <c r="I173" s="3">
        <f t="shared" si="64"/>
        <v>1298.4628078319981</v>
      </c>
      <c r="J173" s="1">
        <f>VLOOKUP((A173+Forudsætninger!$D$60),'Model tilvækst, slagteform, fe'!G:K,3,FALSE)*(1+Forudsætninger!$D$79)</f>
        <v>53.492670171358725</v>
      </c>
      <c r="K173" s="17">
        <f t="shared" si="57"/>
        <v>157.28831755599643</v>
      </c>
      <c r="L173" s="17">
        <f t="shared" si="65"/>
        <v>895.82424067759803</v>
      </c>
      <c r="M173" s="3">
        <f>((K173-(('Model tilvækst, slagteform, fe'!$I$9/100)*'Model tilvækst, slagteform, fe'!$C$9))*1000/(A173+Forudsætninger!$D$60))</f>
        <v>661.31587609574194</v>
      </c>
      <c r="N173" s="17">
        <f t="shared" si="66"/>
        <v>807.96412429845373</v>
      </c>
      <c r="O173" s="19">
        <f>IF( A173&lt;Forudsætninger!$C$14,(G173/100)*Forudsætninger!$C$13,(Forudsætninger!$C$15/1000)*Forudsætninger!$C$13)</f>
        <v>1.911241410905266</v>
      </c>
      <c r="P173" s="17" cm="1">
        <f t="array" ref="P173">INDEX('Model tilvækst, slagteform, fe'!$O$9:$O$375,MATCH(MIN(ABS('Model tilvækst, slagteform, fe'!$M$9:$M$375-G173)),ABS('Model tilvækst, slagteform, fe'!$M$9:$M$375-G173),0))*(1+Forudsætninger!$D$80)</f>
        <v>6.8505484680318656</v>
      </c>
      <c r="Q173" s="17">
        <f t="shared" si="67"/>
        <v>7.6472014899375091</v>
      </c>
      <c r="R173" s="17">
        <f t="shared" si="68"/>
        <v>6.6048639705428211</v>
      </c>
      <c r="S173" s="2">
        <f t="shared" si="58"/>
        <v>3.6388692621048095</v>
      </c>
      <c r="T173" s="19">
        <f>(P173)*IF(N173&lt;Forudsætninger!$B$228,IF(N173&lt;Forudsætninger!$B$227,Forudsætninger!$B$225,Forudsætninger!$C$9),Forudsætninger!$C$11)+O173</f>
        <v>17.94152482609983</v>
      </c>
      <c r="U173" s="2">
        <f>Forudsætninger!$D$68+((K173-(Forudsætninger!$D$84)))*0.01</f>
        <v>6.7124938569196164</v>
      </c>
      <c r="V173" s="2">
        <f>U173+Forudsætninger!$D$69</f>
        <v>6.7124938569196164</v>
      </c>
      <c r="W173">
        <f t="shared" si="59"/>
        <v>1</v>
      </c>
      <c r="X173">
        <f>IF(A173+Forudsætninger!$D$60&gt;248,IF(A173+Forudsætninger!$D$60&lt;365,IF(K173&gt;180,IF(K173&lt;260,1,0),0),0),0)</f>
        <v>0</v>
      </c>
      <c r="Y173" s="22">
        <f>IF(X173=0,0,IF('Vækstfunktion, kry tyr'!A173&lt;Forudsætninger!$D$66,Forudsætninger!$D$67+(('Vækstfunktion, kry tyr'!A173-Forudsætninger!$D$66)/7)*Forudsætninger!$D$64,Forudsætninger!$D$67))</f>
        <v>0</v>
      </c>
      <c r="Z173" s="19">
        <f t="shared" si="72"/>
        <v>2592.1272897479816</v>
      </c>
      <c r="AA173" s="19">
        <f>Forudsætninger!$D$62+Forudsætninger!$C$16</f>
        <v>2055</v>
      </c>
      <c r="AB173" s="19">
        <f>IF(K173&gt;Forudsætninger!$C$37,IF(K173&gt;Forudsætninger!$C$38,IF(K173&gt;Forudsætninger!$C$39,Forudsætninger!$E$39,Forudsætninger!$E$38+Forudsætninger!$F$39*(K173-Forudsætninger!$C$38)),Forudsætninger!$E$37+Forudsætninger!$F$38*(K173-Forudsætninger!$C$37)),Forudsætninger!$E$37)+IF(K173&gt;Forudsætninger!$C$39,Forudsætninger!$G$39,IF(K173&gt;Forudsætninger!$C$38,Forudsætninger!$G$38+Forudsætninger!$H$39*(K173-Forudsætninger!$C$38),IF(K173&gt;Forudsætninger!$C$37,Forudsætninger!$G$37+Forudsætninger!$H$38*(K173-Forudsætninger!$C$37),Forudsætninger!$G$37)))*(U173-Forudsætninger!$H$37)</f>
        <v>35.271249385691959</v>
      </c>
      <c r="AC173" s="19">
        <f>IF(K173&gt;Forudsætninger!$C$42,IF(K173&gt;Forudsætninger!$C$43,IF(K173&gt;Forudsætninger!$C$44,Forudsætninger!$E$44,Forudsætninger!$E$43+Forudsætninger!$F$44*(K173-Forudsætninger!$C$43)),Forudsætninger!$E$42+Forudsætninger!$F$43*(K173-Forudsætninger!$C$42)),Forudsætninger!$E$42)+IF(K173&gt;Forudsætninger!$C$44,Forudsætninger!$G$44,IF(K173&gt;Forudsætninger!$C$43,Forudsætninger!$G$43+Forudsætninger!$H$44*(K173-Forudsætninger!$C$43),IF(K173&gt;Forudsætninger!$C$42,Forudsætninger!$G$42+Forudsætninger!$H$43*(K173-Forudsætninger!$C$42),Forudsætninger!$G$42)))*(V173-Forudsætninger!$H$42)</f>
        <v>30.328123464229904</v>
      </c>
      <c r="AD173" s="19">
        <f t="shared" si="60"/>
        <v>4770.2595143192593</v>
      </c>
      <c r="AE173" s="19">
        <f t="shared" si="61"/>
        <v>30.3281234642299</v>
      </c>
      <c r="AF173">
        <f>IF(G173&lt;=Forudsætninger!$C$97,Forudsætninger!$C$98,(IF(G173&lt;=Forudsætninger!$D$97,Forudsætninger!$D$98,IF(G173&lt;=Forudsætninger!$E$97,Forudsætninger!$E$98,IF(G173&lt;=Forudsætninger!$F$97,Forudsætninger!$F$98,IF(G173&lt;=Forudsætninger!$G$97,Forudsætninger!$G$98,IF(G173&lt;=Forudsætninger!$H$97,Forudsætninger!$H$98,IF(G173&lt;=Forudsætninger!$I$97,Forudsætninger!$I$98,Forudsætninger!$I$98))))))))</f>
        <v>3.2</v>
      </c>
      <c r="AG173" s="1">
        <f t="shared" si="69"/>
        <v>3.2</v>
      </c>
      <c r="AH173" s="1">
        <f t="shared" si="73"/>
        <v>440.19999999999885</v>
      </c>
      <c r="AI173" s="1">
        <f t="shared" si="62"/>
        <v>2.5742690058479467</v>
      </c>
      <c r="AJ173" s="20">
        <f>+(W173*Forudsætninger!$C$12)</f>
        <v>900</v>
      </c>
      <c r="AK173" s="20">
        <f>Forudsætninger!$C$17</f>
        <v>250</v>
      </c>
      <c r="AL173" s="20">
        <f>IF(A173&lt;92,Forudsætninger!$C$20,Forudsætninger!$C$21)</f>
        <v>1.0566762728146013</v>
      </c>
      <c r="AM173" s="20">
        <f t="shared" si="70"/>
        <v>449.19712550458775</v>
      </c>
      <c r="AN173" s="19">
        <f>IFERROR(AD173+AJ173-AA173-Z173-AK173-AM173-Forudsætninger!$D$75,-99999)</f>
        <v>106.04312536572971</v>
      </c>
      <c r="AO173" s="57">
        <f>IFERROR(AN173/(A173+Forudsætninger!$D$74),-99999)</f>
        <v>0.62013523605689891</v>
      </c>
      <c r="AP173" s="19">
        <f>IFERROR(((365/(A173+Forudsætninger!$D$74))*AN173)/(AI173+Forudsætninger!$D$73),-99999)</f>
        <v>84.324395456507347</v>
      </c>
      <c r="AQ173" s="18">
        <f t="shared" si="74"/>
        <v>171</v>
      </c>
      <c r="AR173" s="18">
        <f t="shared" si="75"/>
        <v>5346.3244152525685</v>
      </c>
      <c r="AS173" s="50">
        <f t="shared" si="76"/>
        <v>6.7</v>
      </c>
      <c r="AT173" s="50">
        <f t="shared" si="77"/>
        <v>8.5207175410349123</v>
      </c>
      <c r="AU173" s="50">
        <f t="shared" si="78"/>
        <v>4.6474013558694183E-2</v>
      </c>
      <c r="AV173" s="2">
        <f t="shared" si="79"/>
        <v>6.2123066787726771</v>
      </c>
      <c r="AW173" s="16">
        <f t="shared" si="71"/>
        <v>3.247019010937529</v>
      </c>
      <c r="AZ173" s="16"/>
      <c r="BA173" s="2"/>
    </row>
    <row r="174" spans="1:53" x14ac:dyDescent="0.25">
      <c r="A174">
        <v>172</v>
      </c>
      <c r="B174" s="1">
        <f>ROUND((A174+Forudsætninger!$D$60)/30.4,1)</f>
        <v>6.8</v>
      </c>
      <c r="C174" s="1">
        <f>VLOOKUP((A174+Forudsætninger!$D$60),'Model tilvækst, slagteform, fe'!A:C,3,FALSE)</f>
        <v>351.84386072028121</v>
      </c>
      <c r="D174" s="3">
        <f t="shared" si="80"/>
        <v>1799.6462687672761</v>
      </c>
      <c r="E174" s="3">
        <f>(1+Forudsætninger!$D$78)*C174</f>
        <v>295.54884300503619</v>
      </c>
      <c r="F174" s="2">
        <f t="shared" si="82"/>
        <v>0</v>
      </c>
      <c r="G174" s="1">
        <f t="shared" si="56"/>
        <v>295.54884300503619</v>
      </c>
      <c r="H174" s="3">
        <f t="shared" si="63"/>
        <v>1511.7028657645051</v>
      </c>
      <c r="I174" s="3">
        <f t="shared" si="64"/>
        <v>1299.7025756106755</v>
      </c>
      <c r="J174" s="1">
        <f>VLOOKUP((A174+Forudsætninger!$D$60),'Model tilvækst, slagteform, fe'!G:K,3,FALSE)*(1+Forudsætninger!$D$79)</f>
        <v>53.521965619037751</v>
      </c>
      <c r="K174" s="17">
        <f t="shared" si="57"/>
        <v>158.18355014061933</v>
      </c>
      <c r="L174" s="17">
        <f t="shared" si="65"/>
        <v>895.232584622903</v>
      </c>
      <c r="M174" s="3">
        <f>((K174-(('Model tilvækst, slagteform, fe'!$I$9/100)*'Model tilvækst, slagteform, fe'!$C$9))*1000/(A174+Forudsætninger!$D$60))</f>
        <v>662.45139409830097</v>
      </c>
      <c r="N174" s="17">
        <f t="shared" si="66"/>
        <v>814.82854074251748</v>
      </c>
      <c r="O174" s="19">
        <f>IF( A174&lt;Forudsætninger!$C$14,(G174/100)*Forudsætninger!$C$13,(Forudsætninger!$C$15/1000)*Forudsætninger!$C$13)</f>
        <v>1.9210674795327354</v>
      </c>
      <c r="P174" s="17" cm="1">
        <f t="array" ref="P174">INDEX('Model tilvækst, slagteform, fe'!$O$9:$O$375,MATCH(MIN(ABS('Model tilvækst, slagteform, fe'!$M$9:$M$375-G174)),ABS('Model tilvækst, slagteform, fe'!$M$9:$M$375-G174),0))*(1+Forudsætninger!$D$80)</f>
        <v>6.8644164440637407</v>
      </c>
      <c r="Q174" s="17">
        <f t="shared" si="67"/>
        <v>7.6677464180498127</v>
      </c>
      <c r="R174" s="17">
        <f t="shared" si="68"/>
        <v>6.612585906778099</v>
      </c>
      <c r="S174" s="2">
        <f t="shared" si="58"/>
        <v>3.6449687226704222</v>
      </c>
      <c r="T174" s="19">
        <f>(P174)*IF(N174&lt;Forudsætninger!$B$228,IF(N174&lt;Forudsætninger!$B$227,Forudsætninger!$B$225,Forudsætninger!$C$9),Forudsætninger!$C$11)+O174</f>
        <v>17.983801958641887</v>
      </c>
      <c r="U174" s="2">
        <f>Forudsætninger!$D$68+((K174-(Forudsætninger!$D$84)))*0.01</f>
        <v>6.7214461827658454</v>
      </c>
      <c r="V174" s="2">
        <f>U174+Forudsætninger!$D$69</f>
        <v>6.7214461827658454</v>
      </c>
      <c r="W174">
        <f t="shared" si="59"/>
        <v>1</v>
      </c>
      <c r="X174">
        <f>IF(A174+Forudsætninger!$D$60&gt;248,IF(A174+Forudsætninger!$D$60&lt;365,IF(K174&gt;180,IF(K174&lt;260,1,0),0),0),0)</f>
        <v>0</v>
      </c>
      <c r="Y174" s="22">
        <f>IF(X174=0,0,IF('Vækstfunktion, kry tyr'!A174&lt;Forudsætninger!$D$66,Forudsætninger!$D$67+(('Vækstfunktion, kry tyr'!A174-Forudsætninger!$D$66)/7)*Forudsætninger!$D$64,Forudsætninger!$D$67))</f>
        <v>0</v>
      </c>
      <c r="Z174" s="19">
        <f t="shared" si="72"/>
        <v>2610.1110917066235</v>
      </c>
      <c r="AA174" s="19">
        <f>Forudsætninger!$D$62+Forudsætninger!$C$16</f>
        <v>2055</v>
      </c>
      <c r="AB174" s="19">
        <f>IF(K174&gt;Forudsætninger!$C$37,IF(K174&gt;Forudsætninger!$C$38,IF(K174&gt;Forudsætninger!$C$39,Forudsætninger!$E$39,Forudsætninger!$E$38+Forudsætninger!$F$39*(K174-Forudsætninger!$C$38)),Forudsætninger!$E$37+Forudsætninger!$F$38*(K174-Forudsætninger!$C$37)),Forudsætninger!$E$37)+IF(K174&gt;Forudsætninger!$C$39,Forudsætninger!$G$39,IF(K174&gt;Forudsætninger!$C$38,Forudsætninger!$G$38+Forudsætninger!$H$39*(K174-Forudsætninger!$C$38),IF(K174&gt;Forudsætninger!$C$37,Forudsætninger!$G$37+Forudsætninger!$H$38*(K174-Forudsætninger!$C$37),Forudsætninger!$G$37)))*(U174-Forudsætninger!$H$37)</f>
        <v>35.272144618276585</v>
      </c>
      <c r="AC174" s="19">
        <f>IF(K174&gt;Forudsætninger!$C$42,IF(K174&gt;Forudsætninger!$C$43,IF(K174&gt;Forudsætninger!$C$44,Forudsætninger!$E$44,Forudsætninger!$E$43+Forudsætninger!$F$44*(K174-Forudsætninger!$C$43)),Forudsætninger!$E$42+Forudsætninger!$F$43*(K174-Forudsætninger!$C$42)),Forudsætninger!$E$42)+IF(K174&gt;Forudsætninger!$C$44,Forudsætninger!$G$44,IF(K174&gt;Forudsætninger!$C$43,Forudsætninger!$G$43+Forudsætninger!$H$44*(K174-Forudsætninger!$C$43),IF(K174&gt;Forudsætninger!$C$42,Forudsætninger!$G$42+Forudsætninger!$H$43*(K174-Forudsætninger!$C$42),Forudsætninger!$G$42)))*(V174-Forudsætninger!$H$42)</f>
        <v>30.33036154569146</v>
      </c>
      <c r="AD174" s="19">
        <f t="shared" si="60"/>
        <v>4797.7642663459974</v>
      </c>
      <c r="AE174" s="19">
        <f t="shared" si="61"/>
        <v>30.33036154569146</v>
      </c>
      <c r="AF174">
        <f>IF(G174&lt;=Forudsætninger!$C$97,Forudsætninger!$C$98,(IF(G174&lt;=Forudsætninger!$D$97,Forudsætninger!$D$98,IF(G174&lt;=Forudsætninger!$E$97,Forudsætninger!$E$98,IF(G174&lt;=Forudsætninger!$F$97,Forudsætninger!$F$98,IF(G174&lt;=Forudsætninger!$G$97,Forudsætninger!$G$98,IF(G174&lt;=Forudsætninger!$H$97,Forudsætninger!$H$98,IF(G174&lt;=Forudsætninger!$I$97,Forudsætninger!$I$98,Forudsætninger!$I$98))))))))</f>
        <v>3.2</v>
      </c>
      <c r="AG174" s="1">
        <f t="shared" si="69"/>
        <v>3.2</v>
      </c>
      <c r="AH174" s="1">
        <f t="shared" si="73"/>
        <v>443.39999999999884</v>
      </c>
      <c r="AI174" s="1">
        <f t="shared" si="62"/>
        <v>2.5779069767441793</v>
      </c>
      <c r="AJ174" s="20">
        <f>+(W174*Forudsætninger!$C$12)</f>
        <v>900</v>
      </c>
      <c r="AK174" s="20">
        <f>Forudsætninger!$C$17</f>
        <v>250</v>
      </c>
      <c r="AL174" s="20">
        <f>IF(A174&lt;92,Forudsætninger!$C$20,Forudsætninger!$C$21)</f>
        <v>1.0566762728146013</v>
      </c>
      <c r="AM174" s="20">
        <f t="shared" si="70"/>
        <v>450.25380177740237</v>
      </c>
      <c r="AN174" s="19">
        <f>IFERROR(AD174+AJ174-AA174-Z174-AK174-AM174-Forudsætninger!$D$75,-99999)</f>
        <v>114.50739916101131</v>
      </c>
      <c r="AO174" s="57">
        <f>IFERROR(AN174/(A174+Forudsætninger!$D$74),-99999)</f>
        <v>0.66574069279657733</v>
      </c>
      <c r="AP174" s="19">
        <f>IFERROR(((365/(A174+Forudsætninger!$D$74))*AN174)/(AI174+Forudsætninger!$D$73),-99999)</f>
        <v>90.403185442484073</v>
      </c>
      <c r="AQ174" s="18">
        <f t="shared" si="74"/>
        <v>172</v>
      </c>
      <c r="AR174" s="18">
        <f t="shared" si="75"/>
        <v>5365.3648934840257</v>
      </c>
      <c r="AS174" s="50">
        <f t="shared" si="76"/>
        <v>6.8</v>
      </c>
      <c r="AT174" s="50">
        <f t="shared" si="77"/>
        <v>8.4642737952815992</v>
      </c>
      <c r="AU174" s="50">
        <f t="shared" si="78"/>
        <v>4.5605456739678418E-2</v>
      </c>
      <c r="AV174" s="2">
        <f t="shared" si="79"/>
        <v>6.0787899859767265</v>
      </c>
      <c r="AW174" s="16">
        <f t="shared" si="71"/>
        <v>3.2834953542931031</v>
      </c>
      <c r="AZ174" s="16"/>
      <c r="BA174" s="2"/>
    </row>
    <row r="175" spans="1:53" x14ac:dyDescent="0.25">
      <c r="A175">
        <v>173</v>
      </c>
      <c r="B175" s="1">
        <f>ROUND((A175+Forudsætninger!$D$60)/30.4,1)</f>
        <v>6.8</v>
      </c>
      <c r="C175" s="1">
        <f>VLOOKUP((A175+Forudsætninger!$D$60),'Model tilvækst, slagteform, fe'!A:C,3,FALSE)</f>
        <v>353.64087759873252</v>
      </c>
      <c r="D175" s="3">
        <f t="shared" si="80"/>
        <v>1797.0168784513021</v>
      </c>
      <c r="E175" s="3">
        <f>(1+Forudsætninger!$D$78)*C175</f>
        <v>297.0583371829353</v>
      </c>
      <c r="F175" s="2">
        <f t="shared" si="82"/>
        <v>0</v>
      </c>
      <c r="G175" s="1">
        <f t="shared" si="56"/>
        <v>297.0583371829353</v>
      </c>
      <c r="H175" s="3">
        <f t="shared" si="63"/>
        <v>1509.4941778991142</v>
      </c>
      <c r="I175" s="3">
        <f t="shared" si="64"/>
        <v>1300.9152438319959</v>
      </c>
      <c r="J175" s="1">
        <f>VLOOKUP((A175+Forudsætninger!$D$60),'Model tilvækst, slagteform, fe'!G:K,3,FALSE)*(1+Forudsætninger!$D$79)</f>
        <v>53.55114311597152</v>
      </c>
      <c r="K175" s="17">
        <f t="shared" si="57"/>
        <v>159.07813528275892</v>
      </c>
      <c r="L175" s="17">
        <f t="shared" si="65"/>
        <v>894.58514213959006</v>
      </c>
      <c r="M175" s="3">
        <f>((K175-(('Model tilvækst, slagteform, fe'!$I$9/100)*'Model tilvækst, slagteform, fe'!$C$9))*1000/(A175+Forudsætninger!$D$60))</f>
        <v>663.5728131709642</v>
      </c>
      <c r="N175" s="17">
        <f t="shared" si="66"/>
        <v>821.69979514759223</v>
      </c>
      <c r="O175" s="19">
        <f>IF( A175&lt;Forudsætninger!$C$14,(G175/100)*Forudsætninger!$C$13,(Forudsætninger!$C$15/1000)*Forudsætninger!$C$13)</f>
        <v>1.9308791916890795</v>
      </c>
      <c r="P175" s="17" cm="1">
        <f t="array" ref="P175">INDEX('Model tilvækst, slagteform, fe'!$O$9:$O$375,MATCH(MIN(ABS('Model tilvækst, slagteform, fe'!$M$9:$M$375-G175)),ABS('Model tilvækst, slagteform, fe'!$M$9:$M$375-G175),0))*(1+Forudsætninger!$D$80)</f>
        <v>6.8712544050747884</v>
      </c>
      <c r="Q175" s="17">
        <f t="shared" si="67"/>
        <v>7.6809395566762113</v>
      </c>
      <c r="R175" s="17">
        <f t="shared" si="68"/>
        <v>6.6202860764845646</v>
      </c>
      <c r="S175" s="2">
        <f t="shared" si="58"/>
        <v>3.6510524579219914</v>
      </c>
      <c r="T175" s="19">
        <f>(P175)*IF(N175&lt;Forudsætninger!$B$228,IF(N175&lt;Forudsætninger!$B$227,Forudsætninger!$B$225,Forudsætninger!$C$9),Forudsætninger!$C$11)+O175</f>
        <v>18.009614499564083</v>
      </c>
      <c r="U175" s="2">
        <f>Forudsætninger!$D$68+((K175-(Forudsætninger!$D$84)))*0.01</f>
        <v>6.7303920341872416</v>
      </c>
      <c r="V175" s="2">
        <f>U175+Forudsætninger!$D$69</f>
        <v>6.7303920341872416</v>
      </c>
      <c r="W175">
        <f t="shared" si="59"/>
        <v>1</v>
      </c>
      <c r="X175">
        <f>IF(A175+Forudsætninger!$D$60&gt;248,IF(A175+Forudsætninger!$D$60&lt;365,IF(K175&gt;180,IF(K175&lt;260,1,0),0),0),0)</f>
        <v>0</v>
      </c>
      <c r="Y175" s="22">
        <f>IF(X175=0,0,IF('Vækstfunktion, kry tyr'!A175&lt;Forudsætninger!$D$66,Forudsætninger!$D$67+(('Vækstfunktion, kry tyr'!A175-Forudsætninger!$D$66)/7)*Forudsætninger!$D$64,Forudsætninger!$D$67))</f>
        <v>0</v>
      </c>
      <c r="Z175" s="19">
        <f t="shared" si="72"/>
        <v>2628.1207062061876</v>
      </c>
      <c r="AA175" s="19">
        <f>Forudsætninger!$D$62+Forudsætninger!$C$16</f>
        <v>2055</v>
      </c>
      <c r="AB175" s="19">
        <f>IF(K175&gt;Forudsætninger!$C$37,IF(K175&gt;Forudsætninger!$C$38,IF(K175&gt;Forudsætninger!$C$39,Forudsætninger!$E$39,Forudsætninger!$E$38+Forudsætninger!$F$39*(K175-Forudsætninger!$C$38)),Forudsætninger!$E$37+Forudsætninger!$F$38*(K175-Forudsætninger!$C$37)),Forudsætninger!$E$37)+IF(K175&gt;Forudsætninger!$C$39,Forudsætninger!$G$39,IF(K175&gt;Forudsætninger!$C$38,Forudsætninger!$G$38+Forudsætninger!$H$39*(K175-Forudsætninger!$C$38),IF(K175&gt;Forudsætninger!$C$37,Forudsætninger!$G$37+Forudsætninger!$H$38*(K175-Forudsætninger!$C$37),Forudsætninger!$G$37)))*(U175-Forudsætninger!$H$37)</f>
        <v>35.273039203418726</v>
      </c>
      <c r="AC175" s="19">
        <f>IF(K175&gt;Forudsætninger!$C$42,IF(K175&gt;Forudsætninger!$C$43,IF(K175&gt;Forudsætninger!$C$44,Forudsætninger!$E$44,Forudsætninger!$E$43+Forudsætninger!$F$44*(K175-Forudsætninger!$C$43)),Forudsætninger!$E$42+Forudsætninger!$F$43*(K175-Forudsætninger!$C$42)),Forudsætninger!$E$42)+IF(K175&gt;Forudsætninger!$C$44,Forudsætninger!$G$44,IF(K175&gt;Forudsætninger!$C$43,Forudsætninger!$G$43+Forudsætninger!$H$44*(K175-Forudsætninger!$C$43),IF(K175&gt;Forudsætninger!$C$42,Forudsætninger!$G$42+Forudsætninger!$H$43*(K175-Forudsætninger!$C$42),Forudsætninger!$G$42)))*(V175-Forudsætninger!$H$42)</f>
        <v>30.33259800854681</v>
      </c>
      <c r="AD175" s="19">
        <f t="shared" si="60"/>
        <v>4825.2531294811533</v>
      </c>
      <c r="AE175" s="19">
        <f t="shared" si="61"/>
        <v>30.33259800854681</v>
      </c>
      <c r="AF175">
        <f>IF(G175&lt;=Forudsætninger!$C$97,Forudsætninger!$C$98,(IF(G175&lt;=Forudsætninger!$D$97,Forudsætninger!$D$98,IF(G175&lt;=Forudsætninger!$E$97,Forudsætninger!$E$98,IF(G175&lt;=Forudsætninger!$F$97,Forudsætninger!$F$98,IF(G175&lt;=Forudsætninger!$G$97,Forudsætninger!$G$98,IF(G175&lt;=Forudsætninger!$H$97,Forudsætninger!$H$98,IF(G175&lt;=Forudsætninger!$I$97,Forudsætninger!$I$98,Forudsætninger!$I$98))))))))</f>
        <v>3.2</v>
      </c>
      <c r="AG175" s="1">
        <f t="shared" si="69"/>
        <v>3.2</v>
      </c>
      <c r="AH175" s="1">
        <f t="shared" si="73"/>
        <v>446.59999999999883</v>
      </c>
      <c r="AI175" s="1">
        <f t="shared" si="62"/>
        <v>2.5815028901734038</v>
      </c>
      <c r="AJ175" s="20">
        <f>+(W175*Forudsætninger!$C$12)</f>
        <v>900</v>
      </c>
      <c r="AK175" s="20">
        <f>Forudsætninger!$C$17</f>
        <v>250</v>
      </c>
      <c r="AL175" s="20">
        <f>IF(A175&lt;92,Forudsætninger!$C$20,Forudsætninger!$C$21)</f>
        <v>1.0566762728146013</v>
      </c>
      <c r="AM175" s="20">
        <f t="shared" si="70"/>
        <v>451.310478050217</v>
      </c>
      <c r="AN175" s="19">
        <f>IFERROR(AD175+AJ175-AA175-Z175-AK175-AM175-Forudsætninger!$D$75,-99999)</f>
        <v>122.92997152378851</v>
      </c>
      <c r="AO175" s="57">
        <f>IFERROR(AN175/(A175+Forudsætninger!$D$74),-99999)</f>
        <v>0.71057787007970241</v>
      </c>
      <c r="AP175" s="19">
        <f>IFERROR(((365/(A175+Forudsætninger!$D$74))*AN175)/(AI175+Forudsætninger!$D$73),-99999)</f>
        <v>96.362862371803601</v>
      </c>
      <c r="AQ175" s="18">
        <f t="shared" si="74"/>
        <v>173</v>
      </c>
      <c r="AR175" s="18">
        <f t="shared" si="75"/>
        <v>5384.4311842564048</v>
      </c>
      <c r="AS175" s="50">
        <f t="shared" si="76"/>
        <v>6.8</v>
      </c>
      <c r="AT175" s="50">
        <f t="shared" si="77"/>
        <v>8.4225723627772027</v>
      </c>
      <c r="AU175" s="50">
        <f t="shared" si="78"/>
        <v>4.4837177283125085E-2</v>
      </c>
      <c r="AV175" s="2">
        <f t="shared" si="79"/>
        <v>5.959676929319528</v>
      </c>
      <c r="AW175" s="16">
        <f t="shared" si="71"/>
        <v>3.3193089570751764</v>
      </c>
      <c r="AZ175" s="16"/>
      <c r="BA175" s="2"/>
    </row>
    <row r="176" spans="1:53" x14ac:dyDescent="0.25">
      <c r="A176">
        <v>174</v>
      </c>
      <c r="B176" s="1">
        <f>ROUND((A176+Forudsætninger!$D$60)/30.4,1)</f>
        <v>6.8</v>
      </c>
      <c r="C176" s="1">
        <f>VLOOKUP((A176+Forudsætninger!$D$60),'Model tilvækst, slagteform, fe'!A:C,3,FALSE)</f>
        <v>355.43521459043978</v>
      </c>
      <c r="D176" s="3">
        <f t="shared" si="80"/>
        <v>1794.3369917072687</v>
      </c>
      <c r="E176" s="3">
        <f>(1+Forudsætninger!$D$78)*C176</f>
        <v>298.56558025596939</v>
      </c>
      <c r="F176" s="2">
        <f t="shared" si="82"/>
        <v>0</v>
      </c>
      <c r="G176" s="1">
        <f t="shared" si="56"/>
        <v>298.56558025596939</v>
      </c>
      <c r="H176" s="3">
        <f t="shared" si="63"/>
        <v>1507.2430730340898</v>
      </c>
      <c r="I176" s="3">
        <f t="shared" si="64"/>
        <v>1302.101035953847</v>
      </c>
      <c r="J176" s="1">
        <f>VLOOKUP((A176+Forudsætninger!$D$60),'Model tilvækst, slagteform, fe'!G:K,3,FALSE)*(1+Forudsætninger!$D$79)</f>
        <v>53.580193931321979</v>
      </c>
      <c r="K176" s="17">
        <f t="shared" si="57"/>
        <v>159.97201691332518</v>
      </c>
      <c r="L176" s="17">
        <f t="shared" si="65"/>
        <v>893.88163056625558</v>
      </c>
      <c r="M176" s="3">
        <f>((K176-(('Model tilvækst, slagteform, fe'!$I$9/100)*'Model tilvækst, slagteform, fe'!$C$9))*1000/(A176+Forudsætninger!$D$60))</f>
        <v>664.6800671007494</v>
      </c>
      <c r="N176" s="17">
        <f t="shared" si="66"/>
        <v>828.57782863725947</v>
      </c>
      <c r="O176" s="19">
        <f>IF( A176&lt;Forudsætninger!$C$14,(G176/100)*Forudsætninger!$C$13,(Forudsætninger!$C$15/1000)*Forudsætninger!$C$13)</f>
        <v>1.9406762716638011</v>
      </c>
      <c r="P176" s="17" cm="1">
        <f t="array" ref="P176">INDEX('Model tilvækst, slagteform, fe'!$O$9:$O$375,MATCH(MIN(ABS('Model tilvækst, slagteform, fe'!$M$9:$M$375-G176)),ABS('Model tilvækst, slagteform, fe'!$M$9:$M$375-G176),0))*(1+Forudsætninger!$D$80)</f>
        <v>6.8780334896672031</v>
      </c>
      <c r="Q176" s="17">
        <f t="shared" si="67"/>
        <v>7.6945685586022288</v>
      </c>
      <c r="R176" s="17">
        <f t="shared" si="68"/>
        <v>6.627967568315432</v>
      </c>
      <c r="S176" s="2">
        <f t="shared" si="58"/>
        <v>3.6571213849038688</v>
      </c>
      <c r="T176" s="19">
        <f>(P176)*IF(N176&lt;Forudsætninger!$B$228,IF(N176&lt;Forudsætninger!$B$227,Forudsætninger!$B$225,Forudsætninger!$C$9),Forudsætninger!$C$11)+O176</f>
        <v>18.035274637485056</v>
      </c>
      <c r="U176" s="2">
        <f>Forudsætninger!$D$68+((K176-(Forudsætninger!$D$84)))*0.01</f>
        <v>6.7393308504929044</v>
      </c>
      <c r="V176" s="2">
        <f>U176+Forudsætninger!$D$69</f>
        <v>6.7393308504929044</v>
      </c>
      <c r="W176">
        <f t="shared" si="59"/>
        <v>1</v>
      </c>
      <c r="X176">
        <f>IF(A176+Forudsætninger!$D$60&gt;248,IF(A176+Forudsætninger!$D$60&lt;365,IF(K176&gt;180,IF(K176&lt;260,1,0),0),0),0)</f>
        <v>0</v>
      </c>
      <c r="Y176" s="22">
        <f>IF(X176=0,0,IF('Vækstfunktion, kry tyr'!A176&lt;Forudsætninger!$D$66,Forudsætninger!$D$67+(('Vækstfunktion, kry tyr'!A176-Forudsætninger!$D$66)/7)*Forudsætninger!$D$64,Forudsætninger!$D$67))</f>
        <v>0</v>
      </c>
      <c r="Z176" s="19">
        <f t="shared" si="72"/>
        <v>2646.1559808436728</v>
      </c>
      <c r="AA176" s="19">
        <f>Forudsætninger!$D$62+Forudsætninger!$C$16</f>
        <v>2055</v>
      </c>
      <c r="AB176" s="19">
        <f>IF(K176&gt;Forudsætninger!$C$37,IF(K176&gt;Forudsætninger!$C$38,IF(K176&gt;Forudsætninger!$C$39,Forudsætninger!$E$39,Forudsætninger!$E$38+Forudsætninger!$F$39*(K176-Forudsætninger!$C$38)),Forudsætninger!$E$37+Forudsætninger!$F$38*(K176-Forudsætninger!$C$37)),Forudsætninger!$E$37)+IF(K176&gt;Forudsætninger!$C$39,Forudsætninger!$G$39,IF(K176&gt;Forudsætninger!$C$38,Forudsætninger!$G$38+Forudsætninger!$H$39*(K176-Forudsætninger!$C$38),IF(K176&gt;Forudsætninger!$C$37,Forudsætninger!$G$37+Forudsætninger!$H$38*(K176-Forudsætninger!$C$37),Forudsætninger!$G$37)))*(U176-Forudsætninger!$H$37)</f>
        <v>35.273933085049293</v>
      </c>
      <c r="AC176" s="19">
        <f>IF(K176&gt;Forudsætninger!$C$42,IF(K176&gt;Forudsætninger!$C$43,IF(K176&gt;Forudsætninger!$C$44,Forudsætninger!$E$44,Forudsætninger!$E$43+Forudsætninger!$F$44*(K176-Forudsætninger!$C$43)),Forudsætninger!$E$42+Forudsætninger!$F$43*(K176-Forudsætninger!$C$42)),Forudsætninger!$E$42)+IF(K176&gt;Forudsætninger!$C$44,Forudsætninger!$G$44,IF(K176&gt;Forudsætninger!$C$43,Forudsætninger!$G$43+Forudsætninger!$H$44*(K176-Forudsætninger!$C$43),IF(K176&gt;Forudsætninger!$C$42,Forudsætninger!$G$42+Forudsætninger!$H$43*(K176-Forudsætninger!$C$42),Forudsætninger!$G$42)))*(V176-Forudsætninger!$H$42)</f>
        <v>30.334832712623225</v>
      </c>
      <c r="AD176" s="19">
        <f t="shared" si="60"/>
        <v>4852.7243717666524</v>
      </c>
      <c r="AE176" s="19">
        <f t="shared" si="61"/>
        <v>30.334832712623225</v>
      </c>
      <c r="AF176">
        <f>IF(G176&lt;=Forudsætninger!$C$97,Forudsætninger!$C$98,(IF(G176&lt;=Forudsætninger!$D$97,Forudsætninger!$D$98,IF(G176&lt;=Forudsætninger!$E$97,Forudsætninger!$E$98,IF(G176&lt;=Forudsætninger!$F$97,Forudsætninger!$F$98,IF(G176&lt;=Forudsætninger!$G$97,Forudsætninger!$G$98,IF(G176&lt;=Forudsætninger!$H$97,Forudsætninger!$H$98,IF(G176&lt;=Forudsætninger!$I$97,Forudsætninger!$I$98,Forudsætninger!$I$98))))))))</f>
        <v>3.2</v>
      </c>
      <c r="AG176" s="1">
        <f t="shared" si="69"/>
        <v>3.2</v>
      </c>
      <c r="AH176" s="1">
        <f t="shared" si="73"/>
        <v>449.79999999999882</v>
      </c>
      <c r="AI176" s="1">
        <f t="shared" si="62"/>
        <v>2.5850574712643608</v>
      </c>
      <c r="AJ176" s="20">
        <f>+(W176*Forudsætninger!$C$12)</f>
        <v>900</v>
      </c>
      <c r="AK176" s="20">
        <f>Forudsætninger!$C$17</f>
        <v>250</v>
      </c>
      <c r="AL176" s="20">
        <f>IF(A176&lt;92,Forudsætninger!$C$20,Forudsætninger!$C$21)</f>
        <v>1.0566762728146013</v>
      </c>
      <c r="AM176" s="20">
        <f t="shared" si="70"/>
        <v>452.36715432303163</v>
      </c>
      <c r="AN176" s="19">
        <f>IFERROR(AD176+AJ176-AA176-Z176-AK176-AM176-Forudsætninger!$D$75,-99999)</f>
        <v>131.30926289898784</v>
      </c>
      <c r="AO176" s="57">
        <f>IFERROR(AN176/(A176+Forudsætninger!$D$74),-99999)</f>
        <v>0.75465093620107948</v>
      </c>
      <c r="AP176" s="19">
        <f>IFERROR(((365/(A176+Forudsætninger!$D$74))*AN176)/(AI176+Forudsætninger!$D$73),-99999)</f>
        <v>102.20471906455131</v>
      </c>
      <c r="AQ176" s="18">
        <f t="shared" si="74"/>
        <v>174</v>
      </c>
      <c r="AR176" s="18">
        <f t="shared" si="75"/>
        <v>5403.5231351667044</v>
      </c>
      <c r="AS176" s="50">
        <f t="shared" si="76"/>
        <v>6.8</v>
      </c>
      <c r="AT176" s="50">
        <f t="shared" si="77"/>
        <v>8.3792913751993297</v>
      </c>
      <c r="AU176" s="50">
        <f t="shared" si="78"/>
        <v>4.4073066121377069E-2</v>
      </c>
      <c r="AV176" s="2">
        <f t="shared" si="79"/>
        <v>5.8418566927477116</v>
      </c>
      <c r="AW176" s="16">
        <f t="shared" si="71"/>
        <v>3.354462167942641</v>
      </c>
      <c r="AZ176" s="16"/>
      <c r="BA176" s="2"/>
    </row>
    <row r="177" spans="1:53" x14ac:dyDescent="0.25">
      <c r="A177">
        <v>175</v>
      </c>
      <c r="B177" s="1">
        <f>ROUND((A177+Forudsætninger!$D$60)/30.4,1)</f>
        <v>6.9</v>
      </c>
      <c r="C177" s="1">
        <f>VLOOKUP((A177+Forudsætninger!$D$60),'Model tilvækst, slagteform, fe'!A:C,3,FALSE)</f>
        <v>357.22682181991235</v>
      </c>
      <c r="D177" s="3">
        <f t="shared" si="80"/>
        <v>1791.6072294725609</v>
      </c>
      <c r="E177" s="3">
        <f>(1+Forudsætninger!$D$78)*C177</f>
        <v>300.07053032872636</v>
      </c>
      <c r="F177" s="2">
        <f t="shared" si="82"/>
        <v>0</v>
      </c>
      <c r="G177" s="1">
        <f t="shared" si="56"/>
        <v>300.07053032872636</v>
      </c>
      <c r="H177" s="3">
        <f t="shared" si="63"/>
        <v>1504.9500727569693</v>
      </c>
      <c r="I177" s="3">
        <f t="shared" si="64"/>
        <v>1303.2601733070078</v>
      </c>
      <c r="J177" s="1">
        <f>VLOOKUP((A177+Forudsætninger!$D$60),'Model tilvækst, slagteform, fe'!G:K,3,FALSE)*(1+Forudsætninger!$D$79)</f>
        <v>53.609109334251144</v>
      </c>
      <c r="K177" s="17">
        <f t="shared" si="57"/>
        <v>160.86513868379416</v>
      </c>
      <c r="L177" s="17">
        <f t="shared" si="65"/>
        <v>893.12177046898</v>
      </c>
      <c r="M177" s="3">
        <f>((K177-(('Model tilvækst, slagteform, fe'!$I$9/100)*'Model tilvækst, slagteform, fe'!$C$9))*1000/(A177+Forudsætninger!$D$60))</f>
        <v>665.77308960490348</v>
      </c>
      <c r="N177" s="17">
        <f t="shared" si="66"/>
        <v>835.4692590916095</v>
      </c>
      <c r="O177" s="19">
        <f>IF( A177&lt;Forudsætninger!$C$14,(G177/100)*Forudsætninger!$C$13,(Forudsætninger!$C$15/1000)*Forudsætninger!$C$13)</f>
        <v>1.9504584471367215</v>
      </c>
      <c r="P177" s="17" cm="1">
        <f t="array" ref="P177">INDEX('Model tilvækst, slagteform, fe'!$O$9:$O$375,MATCH(MIN(ABS('Model tilvækst, slagteform, fe'!$M$9:$M$375-G177)),ABS('Model tilvækst, slagteform, fe'!$M$9:$M$375-G177),0))*(1+Forudsætninger!$D$80)</f>
        <v>6.8914304543500187</v>
      </c>
      <c r="Q177" s="17">
        <f t="shared" si="67"/>
        <v>7.7161151840821383</v>
      </c>
      <c r="R177" s="17">
        <f t="shared" si="68"/>
        <v>6.6356864408932807</v>
      </c>
      <c r="S177" s="2">
        <f t="shared" si="58"/>
        <v>3.6632056666304815</v>
      </c>
      <c r="T177" s="19">
        <f>(P177)*IF(N177&lt;Forudsætninger!$B$228,IF(N177&lt;Forudsætninger!$B$227,Forudsætninger!$B$225,Forudsætninger!$C$9),Forudsætninger!$C$11)+O177</f>
        <v>18.076405710315765</v>
      </c>
      <c r="U177" s="2">
        <f>Forudsætninger!$D$68+((K177-(Forudsætninger!$D$84)))*0.01</f>
        <v>6.7482620681975938</v>
      </c>
      <c r="V177" s="2">
        <f>U177+Forudsætninger!$D$69</f>
        <v>6.7482620681975938</v>
      </c>
      <c r="W177">
        <f t="shared" si="59"/>
        <v>1</v>
      </c>
      <c r="X177">
        <f>IF(A177+Forudsætninger!$D$60&gt;248,IF(A177+Forudsætninger!$D$60&lt;365,IF(K177&gt;180,IF(K177&lt;260,1,0),0),0),0)</f>
        <v>0</v>
      </c>
      <c r="Y177" s="22">
        <f>IF(X177=0,0,IF('Vækstfunktion, kry tyr'!A177&lt;Forudsætninger!$D$66,Forudsætninger!$D$67+(('Vækstfunktion, kry tyr'!A177-Forudsætninger!$D$66)/7)*Forudsætninger!$D$64,Forudsætninger!$D$67))</f>
        <v>0</v>
      </c>
      <c r="Z177" s="19">
        <f t="shared" si="72"/>
        <v>2664.2323865539884</v>
      </c>
      <c r="AA177" s="19">
        <f>Forudsætninger!$D$62+Forudsætninger!$C$16</f>
        <v>2055</v>
      </c>
      <c r="AB177" s="19">
        <f>IF(K177&gt;Forudsætninger!$C$37,IF(K177&gt;Forudsætninger!$C$38,IF(K177&gt;Forudsætninger!$C$39,Forudsætninger!$E$39,Forudsætninger!$E$38+Forudsætninger!$F$39*(K177-Forudsætninger!$C$38)),Forudsætninger!$E$37+Forudsætninger!$F$38*(K177-Forudsætninger!$C$37)),Forudsætninger!$E$37)+IF(K177&gt;Forudsætninger!$C$39,Forudsætninger!$G$39,IF(K177&gt;Forudsætninger!$C$38,Forudsætninger!$G$38+Forudsætninger!$H$39*(K177-Forudsætninger!$C$38),IF(K177&gt;Forudsætninger!$C$37,Forudsætninger!$G$37+Forudsætninger!$H$38*(K177-Forudsætninger!$C$37),Forudsætninger!$G$37)))*(U177-Forudsætninger!$H$37)</f>
        <v>35.27482620681976</v>
      </c>
      <c r="AC177" s="19">
        <f>IF(K177&gt;Forudsætninger!$C$42,IF(K177&gt;Forudsætninger!$C$43,IF(K177&gt;Forudsætninger!$C$44,Forudsætninger!$E$44,Forudsætninger!$E$43+Forudsætninger!$F$44*(K177-Forudsætninger!$C$43)),Forudsætninger!$E$42+Forudsætninger!$F$43*(K177-Forudsætninger!$C$42)),Forudsætninger!$E$42)+IF(K177&gt;Forudsætninger!$C$44,Forudsætninger!$G$44,IF(K177&gt;Forudsætninger!$C$43,Forudsætninger!$G$43+Forudsætninger!$H$44*(K177-Forudsætninger!$C$43),IF(K177&gt;Forudsætninger!$C$42,Forudsætninger!$G$42+Forudsætninger!$H$43*(K177-Forudsætninger!$C$42),Forudsætninger!$G$42)))*(V177-Forudsætninger!$H$42)</f>
        <v>30.337065517049396</v>
      </c>
      <c r="AD177" s="19">
        <f t="shared" si="60"/>
        <v>4880.1762516595008</v>
      </c>
      <c r="AE177" s="19">
        <f t="shared" si="61"/>
        <v>30.337065517049396</v>
      </c>
      <c r="AF177">
        <f>IF(G177&lt;=Forudsætninger!$C$97,Forudsætninger!$C$98,(IF(G177&lt;=Forudsætninger!$D$97,Forudsætninger!$D$98,IF(G177&lt;=Forudsætninger!$E$97,Forudsætninger!$E$98,IF(G177&lt;=Forudsætninger!$F$97,Forudsætninger!$F$98,IF(G177&lt;=Forudsætninger!$G$97,Forudsætninger!$G$98,IF(G177&lt;=Forudsætninger!$H$97,Forudsætninger!$H$98,IF(G177&lt;=Forudsætninger!$I$97,Forudsætninger!$I$98,Forudsætninger!$I$98))))))))</f>
        <v>3.8</v>
      </c>
      <c r="AG177" s="1">
        <f t="shared" si="69"/>
        <v>4.4000000000000004</v>
      </c>
      <c r="AH177" s="1">
        <f t="shared" si="73"/>
        <v>454.19999999999879</v>
      </c>
      <c r="AI177" s="1">
        <f t="shared" si="62"/>
        <v>2.5954285714285645</v>
      </c>
      <c r="AJ177" s="20">
        <f>+(W177*Forudsætninger!$C$12)</f>
        <v>900</v>
      </c>
      <c r="AK177" s="20">
        <f>Forudsætninger!$C$17</f>
        <v>250</v>
      </c>
      <c r="AL177" s="20">
        <f>IF(A177&lt;92,Forudsætninger!$C$20,Forudsætninger!$C$21)</f>
        <v>1.0566762728146013</v>
      </c>
      <c r="AM177" s="20">
        <f t="shared" si="70"/>
        <v>453.42383059584625</v>
      </c>
      <c r="AN177" s="19">
        <f>IFERROR(AD177+AJ177-AA177-Z177-AK177-AM177-Forudsætninger!$D$75,-99999)</f>
        <v>139.62806080870601</v>
      </c>
      <c r="AO177" s="57">
        <f>IFERROR(AN177/(A177+Forudsætninger!$D$74),-99999)</f>
        <v>0.79787463319260576</v>
      </c>
      <c r="AP177" s="19">
        <f>IFERROR(((365/(A177+Forudsætninger!$D$74))*AN177)/(AI177+Forudsætninger!$D$73),-99999)</f>
        <v>107.6444021442134</v>
      </c>
      <c r="AQ177" s="18">
        <f t="shared" si="74"/>
        <v>175</v>
      </c>
      <c r="AR177" s="18">
        <f t="shared" si="75"/>
        <v>5422.6562171498344</v>
      </c>
      <c r="AS177" s="50">
        <f t="shared" si="76"/>
        <v>6.9</v>
      </c>
      <c r="AT177" s="50">
        <f t="shared" si="77"/>
        <v>8.318797909718171</v>
      </c>
      <c r="AU177" s="50">
        <f t="shared" si="78"/>
        <v>4.3223696991526284E-2</v>
      </c>
      <c r="AV177" s="2">
        <f t="shared" si="79"/>
        <v>5.439683079662089</v>
      </c>
      <c r="AW177" s="16">
        <f t="shared" si="71"/>
        <v>3.3888679508831561</v>
      </c>
      <c r="AZ177" s="16"/>
      <c r="BA177" s="2"/>
    </row>
    <row r="178" spans="1:53" x14ac:dyDescent="0.25">
      <c r="A178">
        <v>176</v>
      </c>
      <c r="B178" s="1">
        <f>ROUND((A178+Forudsætninger!$D$60)/30.4,1)</f>
        <v>6.9</v>
      </c>
      <c r="C178" s="1">
        <f>VLOOKUP((A178+Forudsætninger!$D$60),'Model tilvækst, slagteform, fe'!A:C,3,FALSE)</f>
        <v>359.0156500325956</v>
      </c>
      <c r="D178" s="3">
        <f t="shared" si="80"/>
        <v>1788.8282126832564</v>
      </c>
      <c r="E178" s="3">
        <f>(1+Forudsætninger!$D$78)*C178</f>
        <v>301.57314602738029</v>
      </c>
      <c r="F178" s="2">
        <f t="shared" si="82"/>
        <v>0</v>
      </c>
      <c r="G178" s="1">
        <f t="shared" si="56"/>
        <v>301.57314602738029</v>
      </c>
      <c r="H178" s="3">
        <f t="shared" si="63"/>
        <v>1502.6156986539263</v>
      </c>
      <c r="I178" s="3">
        <f t="shared" si="64"/>
        <v>1304.3928751555698</v>
      </c>
      <c r="J178" s="1">
        <f>VLOOKUP((A178+Forudsætninger!$D$60),'Model tilvækst, slagteform, fe'!G:K,3,FALSE)*(1+Forudsætninger!$D$79)</f>
        <v>53.637880593920997</v>
      </c>
      <c r="K178" s="17">
        <f t="shared" si="57"/>
        <v>161.75744396949725</v>
      </c>
      <c r="L178" s="17">
        <f t="shared" si="65"/>
        <v>892.3052857030882</v>
      </c>
      <c r="M178" s="3">
        <f>((K178-(('Model tilvækst, slagteform, fe'!$I$9/100)*'Model tilvækst, slagteform, fe'!$C$9))*1000/(A178+Forudsætninger!$D$60))</f>
        <v>666.85181434822834</v>
      </c>
      <c r="N178" s="17">
        <f t="shared" si="66"/>
        <v>842.36731513842687</v>
      </c>
      <c r="O178" s="19">
        <f>IF( A178&lt;Forudsætninger!$C$14,(G178/100)*Forudsætninger!$C$13,(Forudsætninger!$C$15/1000)*Forudsætninger!$C$13)</f>
        <v>1.9602254491779718</v>
      </c>
      <c r="P178" s="17" cm="1">
        <f t="array" ref="P178">INDEX('Model tilvækst, slagteform, fe'!$O$9:$O$375,MATCH(MIN(ABS('Model tilvækst, slagteform, fe'!$M$9:$M$375-G178)),ABS('Model tilvækst, slagteform, fe'!$M$9:$M$375-G178),0))*(1+Forudsætninger!$D$80)</f>
        <v>6.898056046817362</v>
      </c>
      <c r="Q178" s="17">
        <f t="shared" si="67"/>
        <v>7.7306009023381135</v>
      </c>
      <c r="R178" s="17">
        <f t="shared" si="68"/>
        <v>6.6433916069648316</v>
      </c>
      <c r="S178" s="2">
        <f t="shared" si="58"/>
        <v>3.6692763492379941</v>
      </c>
      <c r="T178" s="19">
        <f>(P178)*IF(N178&lt;Forudsætninger!$B$228,IF(N178&lt;Forudsætninger!$B$227,Forudsætninger!$B$225,Forudsætninger!$C$9),Forudsætninger!$C$11)+O178</f>
        <v>18.101676598730599</v>
      </c>
      <c r="U178" s="2">
        <f>Forudsætninger!$D$68+((K178-(Forudsætninger!$D$84)))*0.01</f>
        <v>6.7571851210546248</v>
      </c>
      <c r="V178" s="2">
        <f>U178+Forudsætninger!$D$69</f>
        <v>6.7571851210546248</v>
      </c>
      <c r="W178">
        <f t="shared" si="59"/>
        <v>1</v>
      </c>
      <c r="X178">
        <f>IF(A178+Forudsætninger!$D$60&gt;248,IF(A178+Forudsætninger!$D$60&lt;365,IF(K178&gt;180,IF(K178&lt;260,1,0),0),0),0)</f>
        <v>0</v>
      </c>
      <c r="Y178" s="22">
        <f>IF(X178=0,0,IF('Vækstfunktion, kry tyr'!A178&lt;Forudsætninger!$D$66,Forudsætninger!$D$67+(('Vækstfunktion, kry tyr'!A178-Forudsætninger!$D$66)/7)*Forudsætninger!$D$64,Forudsætninger!$D$67))</f>
        <v>0</v>
      </c>
      <c r="Z178" s="19">
        <f t="shared" si="72"/>
        <v>2682.334063152719</v>
      </c>
      <c r="AA178" s="19">
        <f>Forudsætninger!$D$62+Forudsætninger!$C$16</f>
        <v>2055</v>
      </c>
      <c r="AB178" s="19">
        <f>IF(K178&gt;Forudsætninger!$C$37,IF(K178&gt;Forudsætninger!$C$38,IF(K178&gt;Forudsætninger!$C$39,Forudsætninger!$E$39,Forudsætninger!$E$38+Forudsætninger!$F$39*(K178-Forudsætninger!$C$38)),Forudsætninger!$E$37+Forudsætninger!$F$38*(K178-Forudsætninger!$C$37)),Forudsætninger!$E$37)+IF(K178&gt;Forudsætninger!$C$39,Forudsætninger!$G$39,IF(K178&gt;Forudsætninger!$C$38,Forudsætninger!$G$38+Forudsætninger!$H$39*(K178-Forudsætninger!$C$38),IF(K178&gt;Forudsætninger!$C$37,Forudsætninger!$G$37+Forudsætninger!$H$38*(K178-Forudsætninger!$C$37),Forudsætninger!$G$37)))*(U178-Forudsætninger!$H$37)</f>
        <v>35.275718512105463</v>
      </c>
      <c r="AC178" s="19">
        <f>IF(K178&gt;Forudsætninger!$C$42,IF(K178&gt;Forudsætninger!$C$43,IF(K178&gt;Forudsætninger!$C$44,Forudsætninger!$E$44,Forudsætninger!$E$43+Forudsætninger!$F$44*(K178-Forudsætninger!$C$43)),Forudsætninger!$E$42+Forudsætninger!$F$43*(K178-Forudsætninger!$C$42)),Forudsætninger!$E$42)+IF(K178&gt;Forudsætninger!$C$44,Forudsætninger!$G$44,IF(K178&gt;Forudsætninger!$C$43,Forudsætninger!$G$43+Forudsætninger!$H$44*(K178-Forudsætninger!$C$43),IF(K178&gt;Forudsætninger!$C$42,Forudsætninger!$G$42+Forudsætninger!$H$43*(K178-Forudsætninger!$C$42),Forudsætninger!$G$42)))*(V178-Forudsætninger!$H$42)</f>
        <v>30.339296280263653</v>
      </c>
      <c r="AD178" s="19">
        <f t="shared" si="60"/>
        <v>4907.6070181287241</v>
      </c>
      <c r="AE178" s="19">
        <f t="shared" si="61"/>
        <v>30.339296280263653</v>
      </c>
      <c r="AF178">
        <f>IF(G178&lt;=Forudsætninger!$C$97,Forudsætninger!$C$98,(IF(G178&lt;=Forudsætninger!$D$97,Forudsætninger!$D$98,IF(G178&lt;=Forudsætninger!$E$97,Forudsætninger!$E$98,IF(G178&lt;=Forudsætninger!$F$97,Forudsætninger!$F$98,IF(G178&lt;=Forudsætninger!$G$97,Forudsætninger!$G$98,IF(G178&lt;=Forudsætninger!$H$97,Forudsætninger!$H$98,IF(G178&lt;=Forudsætninger!$I$97,Forudsætninger!$I$98,Forudsætninger!$I$98))))))))</f>
        <v>3.8</v>
      </c>
      <c r="AG178" s="1">
        <f t="shared" si="69"/>
        <v>4.4000000000000004</v>
      </c>
      <c r="AH178" s="1">
        <f t="shared" si="73"/>
        <v>458.59999999999877</v>
      </c>
      <c r="AI178" s="1">
        <f t="shared" si="62"/>
        <v>2.6056818181818113</v>
      </c>
      <c r="AJ178" s="20">
        <f>+(W178*Forudsætninger!$C$12)</f>
        <v>900</v>
      </c>
      <c r="AK178" s="20">
        <f>Forudsætninger!$C$17</f>
        <v>250</v>
      </c>
      <c r="AL178" s="20">
        <f>IF(A178&lt;92,Forudsætninger!$C$20,Forudsætninger!$C$21)</f>
        <v>1.0566762728146013</v>
      </c>
      <c r="AM178" s="20">
        <f t="shared" si="70"/>
        <v>454.48050686866088</v>
      </c>
      <c r="AN178" s="19">
        <f>IFERROR(AD178+AJ178-AA178-Z178-AK178-AM178-Forudsætninger!$D$75,-99999)</f>
        <v>147.90047440638406</v>
      </c>
      <c r="AO178" s="57">
        <f>IFERROR(AN178/(A178+Forudsætninger!$D$74),-99999)</f>
        <v>0.84034360458172763</v>
      </c>
      <c r="AP178" s="19">
        <f>IFERROR(((365/(A178+Forudsætninger!$D$74))*AN178)/(AI178+Forudsætninger!$D$73),-99999)</f>
        <v>112.94600627318252</v>
      </c>
      <c r="AQ178" s="18">
        <f t="shared" si="74"/>
        <v>176</v>
      </c>
      <c r="AR178" s="18">
        <f t="shared" si="75"/>
        <v>5441.81457002138</v>
      </c>
      <c r="AS178" s="50">
        <f t="shared" si="76"/>
        <v>6.9</v>
      </c>
      <c r="AT178" s="50">
        <f t="shared" si="77"/>
        <v>8.2724135976780531</v>
      </c>
      <c r="AU178" s="50">
        <f t="shared" si="78"/>
        <v>4.2468971389121868E-2</v>
      </c>
      <c r="AV178" s="2">
        <f t="shared" si="79"/>
        <v>5.3016041289691174</v>
      </c>
      <c r="AW178" s="16">
        <f t="shared" si="71"/>
        <v>3.4226192117900283</v>
      </c>
      <c r="AZ178" s="16"/>
      <c r="BA178" s="2"/>
    </row>
    <row r="179" spans="1:53" x14ac:dyDescent="0.25">
      <c r="A179">
        <v>177</v>
      </c>
      <c r="B179" s="1">
        <f>ROUND((A179+Forudsætninger!$D$60)/30.4,1)</f>
        <v>6.9</v>
      </c>
      <c r="C179" s="1">
        <f>VLOOKUP((A179+Forudsætninger!$D$60),'Model tilvækst, slagteform, fe'!A:C,3,FALSE)</f>
        <v>360.80165059487183</v>
      </c>
      <c r="D179" s="3">
        <f t="shared" si="80"/>
        <v>1786.0005622762287</v>
      </c>
      <c r="E179" s="3">
        <f>(1+Forudsætninger!$D$78)*C179</f>
        <v>303.07338649969233</v>
      </c>
      <c r="F179" s="2">
        <f t="shared" si="82"/>
        <v>0</v>
      </c>
      <c r="G179" s="1">
        <f t="shared" si="56"/>
        <v>303.07338649969233</v>
      </c>
      <c r="H179" s="3">
        <f t="shared" si="63"/>
        <v>1500.2404723120435</v>
      </c>
      <c r="I179" s="3">
        <f t="shared" si="64"/>
        <v>1305.499358755324</v>
      </c>
      <c r="J179" s="1">
        <f>VLOOKUP((A179+Forudsætninger!$D$60),'Model tilvækst, slagteform, fe'!G:K,3,FALSE)*(1+Forudsætninger!$D$79)</f>
        <v>53.666498979493518</v>
      </c>
      <c r="K179" s="17">
        <f t="shared" si="57"/>
        <v>162.64887587297383</v>
      </c>
      <c r="L179" s="17">
        <f t="shared" si="65"/>
        <v>891.43190347658674</v>
      </c>
      <c r="M179" s="3">
        <f>((K179-(('Model tilvækst, slagteform, fe'!$I$9/100)*'Model tilvækst, slagteform, fe'!$C$9))*1000/(A179+Forudsætninger!$D$60))</f>
        <v>667.91617496021092</v>
      </c>
      <c r="N179" s="17">
        <f t="shared" si="66"/>
        <v>849.27195332604686</v>
      </c>
      <c r="O179" s="19">
        <f>IF( A179&lt;Forudsætninger!$C$14,(G179/100)*Forudsætninger!$C$13,(Forudsætninger!$C$15/1000)*Forudsætninger!$C$13)</f>
        <v>1.9699770122480005</v>
      </c>
      <c r="P179" s="17" cm="1">
        <f t="array" ref="P179">INDEX('Model tilvækst, slagteform, fe'!$O$9:$O$375,MATCH(MIN(ABS('Model tilvækst, slagteform, fe'!$M$9:$M$375-G179)),ABS('Model tilvækst, slagteform, fe'!$M$9:$M$375-G179),0))*(1+Forudsætninger!$D$80)</f>
        <v>6.9046381876199581</v>
      </c>
      <c r="Q179" s="17">
        <f t="shared" si="67"/>
        <v>7.7455587585454939</v>
      </c>
      <c r="R179" s="17">
        <f t="shared" si="68"/>
        <v>6.6510861250710436</v>
      </c>
      <c r="S179" s="2">
        <f t="shared" si="58"/>
        <v>3.6753343437374935</v>
      </c>
      <c r="T179" s="19">
        <f>(P179)*IF(N179&lt;Forudsætninger!$B$228,IF(N179&lt;Forudsætninger!$B$227,Forudsætninger!$B$225,Forudsætninger!$C$9),Forudsætninger!$C$11)+O179</f>
        <v>18.126830371278704</v>
      </c>
      <c r="U179" s="2">
        <f>Forudsætninger!$D$68+((K179-(Forudsætninger!$D$84)))*0.01</f>
        <v>6.7660994400893903</v>
      </c>
      <c r="V179" s="2">
        <f>U179+Forudsætninger!$D$69</f>
        <v>6.7660994400893903</v>
      </c>
      <c r="W179">
        <f t="shared" si="59"/>
        <v>1</v>
      </c>
      <c r="X179">
        <f>IF(A179+Forudsætninger!$D$60&gt;248,IF(A179+Forudsætninger!$D$60&lt;365,IF(K179&gt;180,IF(K179&lt;260,1,0),0),0),0)</f>
        <v>0</v>
      </c>
      <c r="Y179" s="22">
        <f>IF(X179=0,0,IF('Vækstfunktion, kry tyr'!A179&lt;Forudsætninger!$D$66,Forudsætninger!$D$67+(('Vækstfunktion, kry tyr'!A179-Forudsætninger!$D$66)/7)*Forudsætninger!$D$64,Forudsætninger!$D$67))</f>
        <v>0</v>
      </c>
      <c r="Z179" s="19">
        <f t="shared" si="72"/>
        <v>2700.4608935239976</v>
      </c>
      <c r="AA179" s="19">
        <f>Forudsætninger!$D$62+Forudsætninger!$C$16</f>
        <v>2055</v>
      </c>
      <c r="AB179" s="19">
        <f>IF(K179&gt;Forudsætninger!$C$37,IF(K179&gt;Forudsætninger!$C$38,IF(K179&gt;Forudsætninger!$C$39,Forudsætninger!$E$39,Forudsætninger!$E$38+Forudsætninger!$F$39*(K179-Forudsætninger!$C$38)),Forudsætninger!$E$37+Forudsætninger!$F$38*(K179-Forudsætninger!$C$37)),Forudsætninger!$E$37)+IF(K179&gt;Forudsætninger!$C$39,Forudsætninger!$G$39,IF(K179&gt;Forudsætninger!$C$38,Forudsætninger!$G$38+Forudsætninger!$H$39*(K179-Forudsætninger!$C$38),IF(K179&gt;Forudsætninger!$C$37,Forudsætninger!$G$37+Forudsætninger!$H$38*(K179-Forudsætninger!$C$37),Forudsætninger!$G$37)))*(U179-Forudsætninger!$H$37)</f>
        <v>35.276609944008939</v>
      </c>
      <c r="AC179" s="19">
        <f>IF(K179&gt;Forudsætninger!$C$42,IF(K179&gt;Forudsætninger!$C$43,IF(K179&gt;Forudsætninger!$C$44,Forudsætninger!$E$44,Forudsætninger!$E$43+Forudsætninger!$F$44*(K179-Forudsætninger!$C$43)),Forudsætninger!$E$42+Forudsætninger!$F$43*(K179-Forudsætninger!$C$42)),Forudsætninger!$E$42)+IF(K179&gt;Forudsætninger!$C$44,Forudsætninger!$G$44,IF(K179&gt;Forudsætninger!$C$43,Forudsætninger!$G$43+Forudsætninger!$H$44*(K179-Forudsætninger!$C$43),IF(K179&gt;Forudsætninger!$C$42,Forudsætninger!$G$42+Forudsætninger!$H$43*(K179-Forudsætninger!$C$42),Forudsætninger!$G$42)))*(V179-Forudsætninger!$H$42)</f>
        <v>30.341524860022346</v>
      </c>
      <c r="AD179" s="19">
        <f t="shared" si="60"/>
        <v>4935.014910754524</v>
      </c>
      <c r="AE179" s="19">
        <f t="shared" si="61"/>
        <v>30.341524860022343</v>
      </c>
      <c r="AF179">
        <f>IF(G179&lt;=Forudsætninger!$C$97,Forudsætninger!$C$98,(IF(G179&lt;=Forudsætninger!$D$97,Forudsætninger!$D$98,IF(G179&lt;=Forudsætninger!$E$97,Forudsætninger!$E$98,IF(G179&lt;=Forudsætninger!$F$97,Forudsætninger!$F$98,IF(G179&lt;=Forudsætninger!$G$97,Forudsætninger!$G$98,IF(G179&lt;=Forudsætninger!$H$97,Forudsætninger!$H$98,IF(G179&lt;=Forudsætninger!$I$97,Forudsætninger!$I$98,Forudsætninger!$I$98))))))))</f>
        <v>3.8</v>
      </c>
      <c r="AG179" s="1">
        <f t="shared" si="69"/>
        <v>4.4000000000000004</v>
      </c>
      <c r="AH179" s="1">
        <f t="shared" si="73"/>
        <v>462.99999999999875</v>
      </c>
      <c r="AI179" s="1">
        <f t="shared" si="62"/>
        <v>2.6158192090395409</v>
      </c>
      <c r="AJ179" s="20">
        <f>+(W179*Forudsætninger!$C$12)</f>
        <v>900</v>
      </c>
      <c r="AK179" s="20">
        <f>Forudsætninger!$C$17</f>
        <v>250</v>
      </c>
      <c r="AL179" s="20">
        <f>IF(A179&lt;92,Forudsætninger!$C$20,Forudsætninger!$C$21)</f>
        <v>1.0566762728146013</v>
      </c>
      <c r="AM179" s="20">
        <f t="shared" si="70"/>
        <v>455.53718314147551</v>
      </c>
      <c r="AN179" s="19">
        <f>IFERROR(AD179+AJ179-AA179-Z179-AK179-AM179-Forudsætninger!$D$75,-99999)</f>
        <v>156.12486038809064</v>
      </c>
      <c r="AO179" s="57">
        <f>IFERROR(AN179/(A179+Forudsætninger!$D$74),-99999)</f>
        <v>0.88206135812480591</v>
      </c>
      <c r="AP179" s="19">
        <f>IFERROR(((365/(A179+Forudsætninger!$D$74))*AN179)/(AI179+Forudsætninger!$D$73),-99999)</f>
        <v>118.11216042790895</v>
      </c>
      <c r="AQ179" s="18">
        <f t="shared" si="74"/>
        <v>177</v>
      </c>
      <c r="AR179" s="18">
        <f t="shared" si="75"/>
        <v>5460.9980766654735</v>
      </c>
      <c r="AS179" s="50">
        <f t="shared" si="76"/>
        <v>6.9</v>
      </c>
      <c r="AT179" s="50">
        <f t="shared" si="77"/>
        <v>8.2243859817065754</v>
      </c>
      <c r="AU179" s="50">
        <f t="shared" si="78"/>
        <v>4.1717753543078273E-2</v>
      </c>
      <c r="AV179" s="2">
        <f t="shared" si="79"/>
        <v>5.1661541547264278</v>
      </c>
      <c r="AW179" s="16">
        <f t="shared" si="71"/>
        <v>3.4557177600540463</v>
      </c>
      <c r="AZ179" s="16"/>
      <c r="BA179" s="2"/>
    </row>
    <row r="180" spans="1:53" x14ac:dyDescent="0.25">
      <c r="A180">
        <v>178</v>
      </c>
      <c r="B180" s="1">
        <f>ROUND((A180+Forudsætninger!$D$60)/30.4,1)</f>
        <v>7</v>
      </c>
      <c r="C180" s="1">
        <f>VLOOKUP((A180+Forudsætninger!$D$60),'Model tilvækst, slagteform, fe'!A:C,3,FALSE)</f>
        <v>362.58477549406001</v>
      </c>
      <c r="D180" s="3">
        <f t="shared" si="80"/>
        <v>1783.1248991881807</v>
      </c>
      <c r="E180" s="3">
        <f>(1+Forudsætninger!$D$78)*C180</f>
        <v>304.5712114150104</v>
      </c>
      <c r="F180" s="2">
        <f t="shared" si="82"/>
        <v>0</v>
      </c>
      <c r="G180" s="1">
        <f t="shared" si="56"/>
        <v>304.5712114150104</v>
      </c>
      <c r="H180" s="3">
        <f t="shared" si="63"/>
        <v>1497.8249153180627</v>
      </c>
      <c r="I180" s="3">
        <f t="shared" si="64"/>
        <v>1306.5798394101707</v>
      </c>
      <c r="J180" s="1">
        <f>VLOOKUP((A180+Forudsætninger!$D$60),'Model tilvækst, slagteform, fe'!G:K,3,FALSE)*(1+Forudsætninger!$D$79)</f>
        <v>53.694955760130696</v>
      </c>
      <c r="K180" s="17">
        <f t="shared" si="57"/>
        <v>163.53937722738394</v>
      </c>
      <c r="L180" s="17">
        <f t="shared" si="65"/>
        <v>890.50135441010525</v>
      </c>
      <c r="M180" s="3">
        <f>((K180-(('Model tilvækst, slagteform, fe'!$I$9/100)*'Model tilvækst, slagteform, fe'!$C$9))*1000/(A180+Forudsætninger!$D$60))</f>
        <v>668.96610505195576</v>
      </c>
      <c r="N180" s="17">
        <f t="shared" si="66"/>
        <v>856.18313405899312</v>
      </c>
      <c r="O180" s="19">
        <f>IF( A180&lt;Forudsætninger!$C$14,(G180/100)*Forudsætninger!$C$13,(Forudsætninger!$C$15/1000)*Forudsætninger!$C$13)</f>
        <v>1.9797128741975676</v>
      </c>
      <c r="P180" s="17" cm="1">
        <f t="array" ref="P180">INDEX('Model tilvækst, slagteform, fe'!$O$9:$O$375,MATCH(MIN(ABS('Model tilvækst, slagteform, fe'!$M$9:$M$375-G180)),ABS('Model tilvækst, slagteform, fe'!$M$9:$M$375-G180),0))*(1+Forudsætninger!$D$80)</f>
        <v>6.9111807329462751</v>
      </c>
      <c r="Q180" s="17">
        <f t="shared" si="67"/>
        <v>7.7609996871082227</v>
      </c>
      <c r="R180" s="17">
        <f t="shared" si="68"/>
        <v>6.658773026031656</v>
      </c>
      <c r="S180" s="2">
        <f t="shared" si="58"/>
        <v>3.6813805494231269</v>
      </c>
      <c r="T180" s="19">
        <f>(P180)*IF(N180&lt;Forudsætninger!$B$228,IF(N180&lt;Forudsætninger!$B$227,Forudsætninger!$B$225,Forudsætninger!$C$9),Forudsætninger!$C$11)+O180</f>
        <v>18.15187578929185</v>
      </c>
      <c r="U180" s="2">
        <f>Forudsætninger!$D$68+((K180-(Forudsætninger!$D$84)))*0.01</f>
        <v>6.7750044536334917</v>
      </c>
      <c r="V180" s="2">
        <f>U180+Forudsætninger!$D$69</f>
        <v>6.7750044536334917</v>
      </c>
      <c r="W180">
        <f t="shared" si="59"/>
        <v>1</v>
      </c>
      <c r="X180">
        <f>IF(A180+Forudsætninger!$D$60&gt;248,IF(A180+Forudsætninger!$D$60&lt;365,IF(K180&gt;180,IF(K180&lt;260,1,0),0),0),0)</f>
        <v>0</v>
      </c>
      <c r="Y180" s="22">
        <f>IF(X180=0,0,IF('Vækstfunktion, kry tyr'!A180&lt;Forudsætninger!$D$66,Forudsætninger!$D$67+(('Vækstfunktion, kry tyr'!A180-Forudsætninger!$D$66)/7)*Forudsætninger!$D$64,Forudsætninger!$D$67))</f>
        <v>0</v>
      </c>
      <c r="Z180" s="19">
        <f t="shared" si="72"/>
        <v>2718.6127693132894</v>
      </c>
      <c r="AA180" s="19">
        <f>Forudsætninger!$D$62+Forudsætninger!$C$16</f>
        <v>2055</v>
      </c>
      <c r="AB180" s="19">
        <f>IF(K180&gt;Forudsætninger!$C$37,IF(K180&gt;Forudsætninger!$C$38,IF(K180&gt;Forudsætninger!$C$39,Forudsætninger!$E$39,Forudsætninger!$E$38+Forudsætninger!$F$39*(K180-Forudsætninger!$C$38)),Forudsætninger!$E$37+Forudsætninger!$F$38*(K180-Forudsætninger!$C$37)),Forudsætninger!$E$37)+IF(K180&gt;Forudsætninger!$C$39,Forudsætninger!$G$39,IF(K180&gt;Forudsætninger!$C$38,Forudsætninger!$G$38+Forudsætninger!$H$39*(K180-Forudsætninger!$C$38),IF(K180&gt;Forudsætninger!$C$37,Forudsætninger!$G$37+Forudsætninger!$H$38*(K180-Forudsætninger!$C$37),Forudsætninger!$G$37)))*(U180-Forudsætninger!$H$37)</f>
        <v>35.277500445363351</v>
      </c>
      <c r="AC180" s="19">
        <f>IF(K180&gt;Forudsætninger!$C$42,IF(K180&gt;Forudsætninger!$C$43,IF(K180&gt;Forudsætninger!$C$44,Forudsætninger!$E$44,Forudsætninger!$E$43+Forudsætninger!$F$44*(K180-Forudsætninger!$C$43)),Forudsætninger!$E$42+Forudsætninger!$F$43*(K180-Forudsætninger!$C$42)),Forudsætninger!$E$42)+IF(K180&gt;Forudsætninger!$C$44,Forudsætninger!$G$44,IF(K180&gt;Forudsætninger!$C$43,Forudsætninger!$G$43+Forudsætninger!$H$44*(K180-Forudsætninger!$C$43),IF(K180&gt;Forudsætninger!$C$42,Forudsætninger!$G$42+Forudsætninger!$H$43*(K180-Forudsætninger!$C$42),Forudsætninger!$G$42)))*(V180-Forudsætninger!$H$42)</f>
        <v>30.34375111340837</v>
      </c>
      <c r="AD180" s="19">
        <f t="shared" si="60"/>
        <v>4962.3981598295431</v>
      </c>
      <c r="AE180" s="19">
        <f t="shared" si="61"/>
        <v>30.343751113408373</v>
      </c>
      <c r="AF180">
        <f>IF(G180&lt;=Forudsætninger!$C$97,Forudsætninger!$C$98,(IF(G180&lt;=Forudsætninger!$D$97,Forudsætninger!$D$98,IF(G180&lt;=Forudsætninger!$E$97,Forudsætninger!$E$98,IF(G180&lt;=Forudsætninger!$F$97,Forudsætninger!$F$98,IF(G180&lt;=Forudsætninger!$G$97,Forudsætninger!$G$98,IF(G180&lt;=Forudsætninger!$H$97,Forudsætninger!$H$98,IF(G180&lt;=Forudsætninger!$I$97,Forudsætninger!$I$98,Forudsætninger!$I$98))))))))</f>
        <v>3.8</v>
      </c>
      <c r="AG180" s="1">
        <f t="shared" si="69"/>
        <v>4.4000000000000004</v>
      </c>
      <c r="AH180" s="1">
        <f t="shared" si="73"/>
        <v>467.39999999999873</v>
      </c>
      <c r="AI180" s="1">
        <f t="shared" si="62"/>
        <v>2.6258426966292063</v>
      </c>
      <c r="AJ180" s="20">
        <f>+(W180*Forudsætninger!$C$12)</f>
        <v>900</v>
      </c>
      <c r="AK180" s="20">
        <f>Forudsætninger!$C$17</f>
        <v>250</v>
      </c>
      <c r="AL180" s="20">
        <f>IF(A180&lt;92,Forudsætninger!$C$20,Forudsætninger!$C$21)</f>
        <v>1.0566762728146013</v>
      </c>
      <c r="AM180" s="20">
        <f t="shared" si="70"/>
        <v>456.59385941429014</v>
      </c>
      <c r="AN180" s="19">
        <f>IFERROR(AD180+AJ180-AA180-Z180-AK180-AM180-Forudsætninger!$D$75,-99999)</f>
        <v>164.2995574010034</v>
      </c>
      <c r="AO180" s="57">
        <f>IFERROR(AN180/(A180+Forudsætninger!$D$74),-99999)</f>
        <v>0.92303122135395166</v>
      </c>
      <c r="AP180" s="19">
        <f>IFERROR(((365/(A180+Forudsætninger!$D$74))*AN180)/(AI180+Forudsætninger!$D$73),-99999)</f>
        <v>123.14538266739167</v>
      </c>
      <c r="AQ180" s="18">
        <f t="shared" si="74"/>
        <v>178</v>
      </c>
      <c r="AR180" s="18">
        <f t="shared" si="75"/>
        <v>5480.2066287275793</v>
      </c>
      <c r="AS180" s="50">
        <f t="shared" si="76"/>
        <v>7</v>
      </c>
      <c r="AT180" s="50">
        <f t="shared" si="77"/>
        <v>8.174697012912759</v>
      </c>
      <c r="AU180" s="50">
        <f t="shared" si="78"/>
        <v>4.0969863229145753E-2</v>
      </c>
      <c r="AV180" s="2">
        <f t="shared" si="79"/>
        <v>5.0332222394827255</v>
      </c>
      <c r="AW180" s="16">
        <f t="shared" si="71"/>
        <v>3.488165263007267</v>
      </c>
      <c r="AZ180" s="16"/>
      <c r="BA180" s="2"/>
    </row>
    <row r="181" spans="1:53" x14ac:dyDescent="0.25">
      <c r="A181">
        <v>179</v>
      </c>
      <c r="B181" s="1">
        <f>ROUND((A181+Forudsætninger!$D$60)/30.4,1)</f>
        <v>7</v>
      </c>
      <c r="C181" s="1">
        <f>VLOOKUP((A181+Forudsætninger!$D$60),'Model tilvækst, slagteform, fe'!A:C,3,FALSE)</f>
        <v>364.36497733841543</v>
      </c>
      <c r="D181" s="3">
        <f t="shared" si="80"/>
        <v>1780.2018443554175</v>
      </c>
      <c r="E181" s="3">
        <f>(1+Forudsætninger!$D$78)*C181</f>
        <v>306.06658096426895</v>
      </c>
      <c r="F181" s="2">
        <f t="shared" si="82"/>
        <v>0</v>
      </c>
      <c r="G181" s="1">
        <f t="shared" si="56"/>
        <v>306.06658096426895</v>
      </c>
      <c r="H181" s="3">
        <f t="shared" si="63"/>
        <v>1495.3695492585553</v>
      </c>
      <c r="I181" s="3">
        <f t="shared" si="64"/>
        <v>1307.634530526642</v>
      </c>
      <c r="J181" s="1">
        <f>VLOOKUP((A181+Forudsætninger!$D$60),'Model tilvækst, slagteform, fe'!G:K,3,FALSE)*(1+Forudsætninger!$D$79)</f>
        <v>53.723242204994534</v>
      </c>
      <c r="K181" s="17">
        <f t="shared" si="57"/>
        <v>164.42889059997992</v>
      </c>
      <c r="L181" s="17">
        <f t="shared" si="65"/>
        <v>889.51337259598517</v>
      </c>
      <c r="M181" s="3">
        <f>((K181-(('Model tilvækst, slagteform, fe'!$I$9/100)*'Model tilvækst, slagteform, fe'!$C$9))*1000/(A181+Forudsætninger!$D$60))</f>
        <v>670.00153823291362</v>
      </c>
      <c r="N181" s="17">
        <f t="shared" si="66"/>
        <v>863.10729652091709</v>
      </c>
      <c r="O181" s="19">
        <f>IF( A181&lt;Forudsætninger!$C$14,(G181/100)*Forudsætninger!$C$13,(Forudsætninger!$C$15/1000)*Forudsætninger!$C$13)</f>
        <v>1.9894327762677482</v>
      </c>
      <c r="P181" s="17" cm="1">
        <f t="array" ref="P181">INDEX('Model tilvækst, slagteform, fe'!$O$9:$O$375,MATCH(MIN(ABS('Model tilvækst, slagteform, fe'!$M$9:$M$375-G181)),ABS('Model tilvækst, slagteform, fe'!$M$9:$M$375-G181),0))*(1+Forudsætninger!$D$80)</f>
        <v>6.9241624619239639</v>
      </c>
      <c r="Q181" s="17">
        <f t="shared" si="67"/>
        <v>7.7842140154860848</v>
      </c>
      <c r="R181" s="17">
        <f t="shared" si="68"/>
        <v>6.6665053252603927</v>
      </c>
      <c r="S181" s="2">
        <f t="shared" si="58"/>
        <v>3.687443516990891</v>
      </c>
      <c r="T181" s="19">
        <f>(P181)*IF(N181&lt;Forudsætninger!$B$228,IF(N181&lt;Forudsætninger!$B$227,Forudsætninger!$B$225,Forudsætninger!$C$9),Forudsætninger!$C$11)+O181</f>
        <v>18.191972937169822</v>
      </c>
      <c r="U181" s="2">
        <f>Forudsætninger!$D$68+((K181-(Forudsætninger!$D$84)))*0.01</f>
        <v>6.7838995873594516</v>
      </c>
      <c r="V181" s="2">
        <f>U181+Forudsætninger!$D$69</f>
        <v>6.7838995873594516</v>
      </c>
      <c r="W181">
        <f t="shared" si="59"/>
        <v>1</v>
      </c>
      <c r="X181">
        <f>IF(A181+Forudsætninger!$D$60&gt;248,IF(A181+Forudsætninger!$D$60&lt;365,IF(K181&gt;180,IF(K181&lt;260,1,0),0),0),0)</f>
        <v>0</v>
      </c>
      <c r="Y181" s="22">
        <f>IF(X181=0,0,IF('Vækstfunktion, kry tyr'!A181&lt;Forudsætninger!$D$66,Forudsætninger!$D$67+(('Vækstfunktion, kry tyr'!A181-Forudsætninger!$D$66)/7)*Forudsætninger!$D$64,Forudsætninger!$D$67))</f>
        <v>0</v>
      </c>
      <c r="Z181" s="19">
        <f t="shared" si="72"/>
        <v>2736.8047422504592</v>
      </c>
      <c r="AA181" s="19">
        <f>Forudsætninger!$D$62+Forudsætninger!$C$16</f>
        <v>2055</v>
      </c>
      <c r="AB181" s="19">
        <f>IF(K181&gt;Forudsætninger!$C$37,IF(K181&gt;Forudsætninger!$C$38,IF(K181&gt;Forudsætninger!$C$39,Forudsætninger!$E$39,Forudsætninger!$E$38+Forudsætninger!$F$39*(K181-Forudsætninger!$C$38)),Forudsætninger!$E$37+Forudsætninger!$F$38*(K181-Forudsætninger!$C$37)),Forudsætninger!$E$37)+IF(K181&gt;Forudsætninger!$C$39,Forudsætninger!$G$39,IF(K181&gt;Forudsætninger!$C$38,Forudsætninger!$G$38+Forudsætninger!$H$39*(K181-Forudsætninger!$C$38),IF(K181&gt;Forudsætninger!$C$37,Forudsætninger!$G$37+Forudsætninger!$H$38*(K181-Forudsætninger!$C$37),Forudsætninger!$G$37)))*(U181-Forudsætninger!$H$37)</f>
        <v>35.278389958735943</v>
      </c>
      <c r="AC181" s="19">
        <f>IF(K181&gt;Forudsætninger!$C$42,IF(K181&gt;Forudsætninger!$C$43,IF(K181&gt;Forudsætninger!$C$44,Forudsætninger!$E$44,Forudsætninger!$E$43+Forudsætninger!$F$44*(K181-Forudsætninger!$C$43)),Forudsætninger!$E$42+Forudsætninger!$F$43*(K181-Forudsætninger!$C$42)),Forudsætninger!$E$42)+IF(K181&gt;Forudsætninger!$C$44,Forudsætninger!$G$44,IF(K181&gt;Forudsætninger!$C$43,Forudsætninger!$G$43+Forudsætninger!$H$44*(K181-Forudsætninger!$C$43),IF(K181&gt;Forudsætninger!$C$42,Forudsætninger!$G$42+Forudsætninger!$H$43*(K181-Forudsætninger!$C$42),Forudsætninger!$G$42)))*(V181-Forudsætninger!$H$42)</f>
        <v>30.345974896839863</v>
      </c>
      <c r="AD181" s="19">
        <f t="shared" si="60"/>
        <v>4989.7549864622188</v>
      </c>
      <c r="AE181" s="19">
        <f t="shared" si="61"/>
        <v>30.345974896839863</v>
      </c>
      <c r="AF181">
        <f>IF(G181&lt;=Forudsætninger!$C$97,Forudsætninger!$C$98,(IF(G181&lt;=Forudsætninger!$D$97,Forudsætninger!$D$98,IF(G181&lt;=Forudsætninger!$E$97,Forudsætninger!$E$98,IF(G181&lt;=Forudsætninger!$F$97,Forudsætninger!$F$98,IF(G181&lt;=Forudsætninger!$G$97,Forudsætninger!$G$98,IF(G181&lt;=Forudsætninger!$H$97,Forudsætninger!$H$98,IF(G181&lt;=Forudsætninger!$I$97,Forudsætninger!$I$98,Forudsætninger!$I$98))))))))</f>
        <v>3.8</v>
      </c>
      <c r="AG181" s="1">
        <f t="shared" si="69"/>
        <v>4.4000000000000004</v>
      </c>
      <c r="AH181" s="1">
        <f t="shared" si="73"/>
        <v>471.7999999999987</v>
      </c>
      <c r="AI181" s="1">
        <f t="shared" si="62"/>
        <v>2.635754189944127</v>
      </c>
      <c r="AJ181" s="20">
        <f>+(W181*Forudsætninger!$C$12)</f>
        <v>900</v>
      </c>
      <c r="AK181" s="20">
        <f>Forudsætninger!$C$17</f>
        <v>250</v>
      </c>
      <c r="AL181" s="20">
        <f>IF(A181&lt;92,Forudsætninger!$C$20,Forudsætninger!$C$21)</f>
        <v>1.0566762728146013</v>
      </c>
      <c r="AM181" s="20">
        <f t="shared" si="70"/>
        <v>457.65053568710476</v>
      </c>
      <c r="AN181" s="19">
        <f>IFERROR(AD181+AJ181-AA181-Z181-AK181-AM181-Forudsætninger!$D$75,-99999)</f>
        <v>172.4077348236946</v>
      </c>
      <c r="AO181" s="57">
        <f>IFERROR(AN181/(A181+Forudsætninger!$D$74),-99999)</f>
        <v>0.96317170292566812</v>
      </c>
      <c r="AP181" s="19">
        <f>IFERROR(((365/(A181+Forudsætninger!$D$74))*AN181)/(AI181+Forudsætninger!$D$73),-99999)</f>
        <v>128.03683332448003</v>
      </c>
      <c r="AQ181" s="18">
        <f t="shared" si="74"/>
        <v>179</v>
      </c>
      <c r="AR181" s="18">
        <f t="shared" si="75"/>
        <v>5499.4552779375636</v>
      </c>
      <c r="AS181" s="50">
        <f t="shared" si="76"/>
        <v>7</v>
      </c>
      <c r="AT181" s="50">
        <f t="shared" si="77"/>
        <v>8.1081774226911989</v>
      </c>
      <c r="AU181" s="50">
        <f t="shared" si="78"/>
        <v>4.0140481571716458E-2</v>
      </c>
      <c r="AV181" s="2">
        <f t="shared" si="79"/>
        <v>4.891450657088356</v>
      </c>
      <c r="AW181" s="16">
        <f t="shared" si="71"/>
        <v>3.5198786062055833</v>
      </c>
      <c r="AZ181" s="16"/>
      <c r="BA181" s="2"/>
    </row>
    <row r="182" spans="1:53" x14ac:dyDescent="0.25">
      <c r="A182">
        <v>180</v>
      </c>
      <c r="B182" s="1">
        <f>ROUND((A182+Forudsætninger!$D$60)/30.4,1)</f>
        <v>7</v>
      </c>
      <c r="C182" s="1">
        <f>VLOOKUP((A182+Forudsætninger!$D$60),'Model tilvækst, slagteform, fe'!A:C,3,FALSE)</f>
        <v>366.14220935713007</v>
      </c>
      <c r="D182" s="3">
        <f t="shared" si="80"/>
        <v>1777.232018714642</v>
      </c>
      <c r="E182" s="3">
        <f>(1+Forudsætninger!$D$78)*C182</f>
        <v>307.55945585998927</v>
      </c>
      <c r="F182" s="2">
        <f t="shared" si="82"/>
        <v>0</v>
      </c>
      <c r="G182" s="1">
        <f t="shared" si="56"/>
        <v>307.55945585998927</v>
      </c>
      <c r="H182" s="3">
        <f t="shared" si="63"/>
        <v>1492.8748957203197</v>
      </c>
      <c r="I182" s="3">
        <f t="shared" si="64"/>
        <v>1308.6636436666072</v>
      </c>
      <c r="J182" s="1">
        <f>VLOOKUP((A182+Forudsætninger!$D$60),'Model tilvækst, slagteform, fe'!G:K,3,FALSE)*(1+Forudsætninger!$D$79)</f>
        <v>53.751349583247006</v>
      </c>
      <c r="K182" s="17">
        <f t="shared" si="57"/>
        <v>165.3173582956351</v>
      </c>
      <c r="L182" s="17">
        <f t="shared" si="65"/>
        <v>888.46769565518002</v>
      </c>
      <c r="M182" s="3">
        <f>((K182-(('Model tilvækst, slagteform, fe'!$I$9/100)*'Model tilvækst, slagteform, fe'!$C$9))*1000/(A182+Forudsætninger!$D$60))</f>
        <v>671.02240812741013</v>
      </c>
      <c r="N182" s="17">
        <f t="shared" si="66"/>
        <v>870.03790564318774</v>
      </c>
      <c r="O182" s="19">
        <f>IF( A182&lt;Forudsætninger!$C$14,(G182/100)*Forudsætninger!$C$13,(Forudsætninger!$C$15/1000)*Forudsætninger!$C$13)</f>
        <v>1.9991364630899304</v>
      </c>
      <c r="P182" s="17" cm="1">
        <f t="array" ref="P182">INDEX('Model tilvækst, slagteform, fe'!$O$9:$O$375,MATCH(MIN(ABS('Model tilvækst, slagteform, fe'!$M$9:$M$375-G182)),ABS('Model tilvækst, slagteform, fe'!$M$9:$M$375-G182),0))*(1+Forudsætninger!$D$80)</f>
        <v>6.9306091222706669</v>
      </c>
      <c r="Q182" s="17">
        <f t="shared" si="67"/>
        <v>7.8006315324271291</v>
      </c>
      <c r="R182" s="17">
        <f t="shared" si="68"/>
        <v>6.6742350913789759</v>
      </c>
      <c r="S182" s="2">
        <f t="shared" si="58"/>
        <v>3.6934959900752906</v>
      </c>
      <c r="T182" s="19">
        <f>(P182)*IF(N182&lt;Forudsætninger!$B$228,IF(N182&lt;Forudsætninger!$B$227,Forudsætninger!$B$225,Forudsætninger!$C$9),Forudsætninger!$C$11)+O182</f>
        <v>18.216761809203287</v>
      </c>
      <c r="U182" s="2">
        <f>Forudsætninger!$D$68+((K182-(Forudsætninger!$D$84)))*0.01</f>
        <v>6.792784264316003</v>
      </c>
      <c r="V182" s="2">
        <f>U182+Forudsætninger!$D$69</f>
        <v>6.792784264316003</v>
      </c>
      <c r="W182">
        <f t="shared" si="59"/>
        <v>1</v>
      </c>
      <c r="X182">
        <f>IF(A182+Forudsætninger!$D$60&gt;248,IF(A182+Forudsætninger!$D$60&lt;365,IF(K182&gt;180,IF(K182&lt;260,1,0),0),0),0)</f>
        <v>0</v>
      </c>
      <c r="Y182" s="22">
        <f>IF(X182=0,0,IF('Vækstfunktion, kry tyr'!A182&lt;Forudsætninger!$D$66,Forudsætninger!$D$67+(('Vækstfunktion, kry tyr'!A182-Forudsætninger!$D$66)/7)*Forudsætninger!$D$64,Forudsætninger!$D$67))</f>
        <v>0</v>
      </c>
      <c r="Z182" s="19">
        <f t="shared" si="72"/>
        <v>2755.0215040596627</v>
      </c>
      <c r="AA182" s="19">
        <f>Forudsætninger!$D$62+Forudsætninger!$C$16</f>
        <v>2055</v>
      </c>
      <c r="AB182" s="19">
        <f>IF(K182&gt;Forudsætninger!$C$37,IF(K182&gt;Forudsætninger!$C$38,IF(K182&gt;Forudsætninger!$C$39,Forudsætninger!$E$39,Forudsætninger!$E$38+Forudsætninger!$F$39*(K182-Forudsætninger!$C$38)),Forudsætninger!$E$37+Forudsætninger!$F$38*(K182-Forudsætninger!$C$37)),Forudsætninger!$E$37)+IF(K182&gt;Forudsætninger!$C$39,Forudsætninger!$G$39,IF(K182&gt;Forudsætninger!$C$38,Forudsætninger!$G$38+Forudsætninger!$H$39*(K182-Forudsætninger!$C$38),IF(K182&gt;Forudsætninger!$C$37,Forudsætninger!$G$37+Forudsætninger!$H$38*(K182-Forudsætninger!$C$37),Forudsætninger!$G$37)))*(U182-Forudsætninger!$H$37)</f>
        <v>35.279278426431603</v>
      </c>
      <c r="AC182" s="19">
        <f>IF(K182&gt;Forudsætninger!$C$42,IF(K182&gt;Forudsætninger!$C$43,IF(K182&gt;Forudsætninger!$C$44,Forudsætninger!$E$44,Forudsætninger!$E$43+Forudsætninger!$F$44*(K182-Forudsætninger!$C$43)),Forudsætninger!$E$42+Forudsætninger!$F$43*(K182-Forudsætninger!$C$42)),Forudsætninger!$E$42)+IF(K182&gt;Forudsætninger!$C$44,Forudsætninger!$G$44,IF(K182&gt;Forudsætninger!$C$43,Forudsætninger!$G$43+Forudsætninger!$H$44*(K182-Forudsætninger!$C$43),IF(K182&gt;Forudsætninger!$C$42,Forudsætninger!$G$42+Forudsætninger!$H$43*(K182-Forudsætninger!$C$42),Forudsætninger!$G$42)))*(V182-Forudsætninger!$H$42)</f>
        <v>30.348196066078998</v>
      </c>
      <c r="AD182" s="19">
        <f t="shared" si="60"/>
        <v>5017.0836026821653</v>
      </c>
      <c r="AE182" s="19">
        <f t="shared" si="61"/>
        <v>30.348196066078998</v>
      </c>
      <c r="AF182">
        <f>IF(G182&lt;=Forudsætninger!$C$97,Forudsætninger!$C$98,(IF(G182&lt;=Forudsætninger!$D$97,Forudsætninger!$D$98,IF(G182&lt;=Forudsætninger!$E$97,Forudsætninger!$E$98,IF(G182&lt;=Forudsætninger!$F$97,Forudsætninger!$F$98,IF(G182&lt;=Forudsætninger!$G$97,Forudsætninger!$G$98,IF(G182&lt;=Forudsætninger!$H$97,Forudsætninger!$H$98,IF(G182&lt;=Forudsætninger!$I$97,Forudsætninger!$I$98,Forudsætninger!$I$98))))))))</f>
        <v>3.8</v>
      </c>
      <c r="AG182" s="1">
        <f t="shared" si="69"/>
        <v>4.4000000000000004</v>
      </c>
      <c r="AH182" s="1">
        <f t="shared" si="73"/>
        <v>476.19999999999868</v>
      </c>
      <c r="AI182" s="1">
        <f t="shared" si="62"/>
        <v>2.6455555555555481</v>
      </c>
      <c r="AJ182" s="20">
        <f>+(W182*Forudsætninger!$C$12)</f>
        <v>900</v>
      </c>
      <c r="AK182" s="20">
        <f>Forudsætninger!$C$17</f>
        <v>250</v>
      </c>
      <c r="AL182" s="20">
        <f>IF(A182&lt;92,Forudsætninger!$C$20,Forudsætninger!$C$21)</f>
        <v>1.0566762728146013</v>
      </c>
      <c r="AM182" s="20">
        <f t="shared" si="70"/>
        <v>458.70721195991939</v>
      </c>
      <c r="AN182" s="19">
        <f>IFERROR(AD182+AJ182-AA182-Z182-AK182-AM182-Forudsætninger!$D$75,-99999)</f>
        <v>180.462912961623</v>
      </c>
      <c r="AO182" s="57">
        <f>IFERROR(AN182/(A182+Forudsætninger!$D$74),-99999)</f>
        <v>1.0025717386756834</v>
      </c>
      <c r="AP182" s="19">
        <f>IFERROR(((365/(A182+Forudsætninger!$D$74))*AN182)/(AI182+Forudsætninger!$D$73),-99999)</f>
        <v>132.80032909474309</v>
      </c>
      <c r="AQ182" s="18">
        <f t="shared" si="74"/>
        <v>180</v>
      </c>
      <c r="AR182" s="18">
        <f t="shared" si="75"/>
        <v>5518.7287160195829</v>
      </c>
      <c r="AS182" s="50">
        <f t="shared" si="76"/>
        <v>7</v>
      </c>
      <c r="AT182" s="50">
        <f t="shared" si="77"/>
        <v>8.055178137928408</v>
      </c>
      <c r="AU182" s="50">
        <f t="shared" si="78"/>
        <v>3.9400035750015272E-2</v>
      </c>
      <c r="AV182" s="2">
        <f t="shared" si="79"/>
        <v>4.7634957702630629</v>
      </c>
      <c r="AW182" s="16">
        <f t="shared" si="71"/>
        <v>3.5509451384530135</v>
      </c>
      <c r="AZ182" s="16"/>
      <c r="BA182" s="2"/>
    </row>
    <row r="183" spans="1:53" x14ac:dyDescent="0.25">
      <c r="A183">
        <v>181</v>
      </c>
      <c r="B183" s="1">
        <f>ROUND((A183+Forudsætninger!$D$60)/30.4,1)</f>
        <v>7.1</v>
      </c>
      <c r="C183" s="1">
        <f>VLOOKUP((A183+Forudsætninger!$D$60),'Model tilvækst, slagteform, fe'!A:C,3,FALSE)</f>
        <v>367.9164254003328</v>
      </c>
      <c r="D183" s="3">
        <f t="shared" si="80"/>
        <v>1774.2160432027276</v>
      </c>
      <c r="E183" s="3">
        <f>(1+Forudsætninger!$D$78)*C183</f>
        <v>309.04979733627954</v>
      </c>
      <c r="F183" s="2">
        <f t="shared" si="82"/>
        <v>0</v>
      </c>
      <c r="G183" s="1">
        <f t="shared" si="56"/>
        <v>309.04979733627954</v>
      </c>
      <c r="H183" s="3">
        <f t="shared" si="63"/>
        <v>1490.3414762902685</v>
      </c>
      <c r="I183" s="3">
        <f t="shared" si="64"/>
        <v>1309.6673885982295</v>
      </c>
      <c r="J183" s="1">
        <f>VLOOKUP((A183+Forudsætninger!$D$60),'Model tilvækst, slagteform, fe'!G:K,3,FALSE)*(1+Forudsætninger!$D$79)</f>
        <v>53.779269164050106</v>
      </c>
      <c r="K183" s="17">
        <f t="shared" si="57"/>
        <v>166.20472236042912</v>
      </c>
      <c r="L183" s="17">
        <f t="shared" si="65"/>
        <v>887.36406479401353</v>
      </c>
      <c r="M183" s="3">
        <f>((K183-(('Model tilvækst, slagteform, fe'!$I$9/100)*'Model tilvækst, slagteform, fe'!$C$9))*1000/(A183+Forudsætninger!$D$60))</f>
        <v>672.02864839097572</v>
      </c>
      <c r="N183" s="17">
        <f t="shared" si="66"/>
        <v>876.97493582441507</v>
      </c>
      <c r="O183" s="19">
        <f>IF( A183&lt;Forudsætninger!$C$14,(G183/100)*Forudsætninger!$C$13,(Forudsætninger!$C$15/1000)*Forudsætninger!$C$13)</f>
        <v>2.0088236826858172</v>
      </c>
      <c r="P183" s="17" cm="1">
        <f t="array" ref="P183">INDEX('Model tilvækst, slagteform, fe'!$O$9:$O$375,MATCH(MIN(ABS('Model tilvækst, slagteform, fe'!$M$9:$M$375-G183)),ABS('Model tilvækst, slagteform, fe'!$M$9:$M$375-G183),0))*(1+Forudsætninger!$D$80)</f>
        <v>6.9370301812272741</v>
      </c>
      <c r="Q183" s="17">
        <f t="shared" si="67"/>
        <v>7.8175694243800455</v>
      </c>
      <c r="R183" s="17">
        <f t="shared" si="68"/>
        <v>6.6819653160794257</v>
      </c>
      <c r="S183" s="2">
        <f t="shared" si="58"/>
        <v>3.6995388550378547</v>
      </c>
      <c r="T183" s="19">
        <f>(P183)*IF(N183&lt;Forudsætninger!$B$228,IF(N183&lt;Forudsætninger!$B$227,Forudsætninger!$B$225,Forudsætninger!$C$9),Forudsætninger!$C$11)+O183</f>
        <v>18.241474306757638</v>
      </c>
      <c r="U183" s="2">
        <f>Forudsætninger!$D$68+((K183-(Forudsætninger!$D$84)))*0.01</f>
        <v>6.8016579049639434</v>
      </c>
      <c r="V183" s="2">
        <f>U183+Forudsætninger!$D$69</f>
        <v>6.8016579049639434</v>
      </c>
      <c r="W183">
        <f t="shared" si="59"/>
        <v>1</v>
      </c>
      <c r="X183">
        <f>IF(A183+Forudsætninger!$D$60&gt;248,IF(A183+Forudsætninger!$D$60&lt;365,IF(K183&gt;180,IF(K183&lt;260,1,0),0),0),0)</f>
        <v>0</v>
      </c>
      <c r="Y183" s="22">
        <f>IF(X183=0,0,IF('Vækstfunktion, kry tyr'!A183&lt;Forudsætninger!$D$66,Forudsætninger!$D$67+(('Vækstfunktion, kry tyr'!A183-Forudsætninger!$D$66)/7)*Forudsætninger!$D$64,Forudsætninger!$D$67))</f>
        <v>0</v>
      </c>
      <c r="Z183" s="19">
        <f t="shared" si="72"/>
        <v>2773.2629783664202</v>
      </c>
      <c r="AA183" s="19">
        <f>Forudsætninger!$D$62+Forudsætninger!$C$16</f>
        <v>2055</v>
      </c>
      <c r="AB183" s="19">
        <f>IF(K183&gt;Forudsætninger!$C$37,IF(K183&gt;Forudsætninger!$C$38,IF(K183&gt;Forudsætninger!$C$39,Forudsætninger!$E$39,Forudsætninger!$E$38+Forudsætninger!$F$39*(K183-Forudsætninger!$C$38)),Forudsætninger!$E$37+Forudsætninger!$F$38*(K183-Forudsætninger!$C$37)),Forudsætninger!$E$37)+IF(K183&gt;Forudsætninger!$C$39,Forudsætninger!$G$39,IF(K183&gt;Forudsætninger!$C$38,Forudsætninger!$G$38+Forudsætninger!$H$39*(K183-Forudsætninger!$C$38),IF(K183&gt;Forudsætninger!$C$37,Forudsætninger!$G$37+Forudsætninger!$H$38*(K183-Forudsætninger!$C$37),Forudsætninger!$G$37)))*(U183-Forudsætninger!$H$37)</f>
        <v>35.280165790496397</v>
      </c>
      <c r="AC183" s="19">
        <f>IF(K183&gt;Forudsætninger!$C$42,IF(K183&gt;Forudsætninger!$C$43,IF(K183&gt;Forudsætninger!$C$44,Forudsætninger!$E$44,Forudsætninger!$E$43+Forudsætninger!$F$44*(K183-Forudsætninger!$C$43)),Forudsætninger!$E$42+Forudsætninger!$F$43*(K183-Forudsætninger!$C$42)),Forudsætninger!$E$42)+IF(K183&gt;Forudsætninger!$C$44,Forudsætninger!$G$44,IF(K183&gt;Forudsætninger!$C$43,Forudsætninger!$G$43+Forudsætninger!$H$44*(K183-Forudsætninger!$C$43),IF(K183&gt;Forudsætninger!$C$42,Forudsætninger!$G$42+Forudsætninger!$H$43*(K183-Forudsætninger!$C$42),Forudsætninger!$G$42)))*(V183-Forudsætninger!$H$42)</f>
        <v>30.350414476240985</v>
      </c>
      <c r="AD183" s="19">
        <f t="shared" si="60"/>
        <v>5044.3822115475814</v>
      </c>
      <c r="AE183" s="19">
        <f t="shared" si="61"/>
        <v>30.350414476240985</v>
      </c>
      <c r="AF183">
        <f>IF(G183&lt;=Forudsætninger!$C$97,Forudsætninger!$C$98,(IF(G183&lt;=Forudsætninger!$D$97,Forudsætninger!$D$98,IF(G183&lt;=Forudsætninger!$E$97,Forudsætninger!$E$98,IF(G183&lt;=Forudsætninger!$F$97,Forudsætninger!$F$98,IF(G183&lt;=Forudsætninger!$G$97,Forudsætninger!$G$98,IF(G183&lt;=Forudsætninger!$H$97,Forudsætninger!$H$98,IF(G183&lt;=Forudsætninger!$I$97,Forudsætninger!$I$98,Forudsætninger!$I$98))))))))</f>
        <v>3.8</v>
      </c>
      <c r="AG183" s="1">
        <f t="shared" si="69"/>
        <v>4.4000000000000004</v>
      </c>
      <c r="AH183" s="1">
        <f t="shared" si="73"/>
        <v>480.59999999999866</v>
      </c>
      <c r="AI183" s="1">
        <f t="shared" si="62"/>
        <v>2.655248618784523</v>
      </c>
      <c r="AJ183" s="20">
        <f>+(W183*Forudsætninger!$C$12)</f>
        <v>900</v>
      </c>
      <c r="AK183" s="20">
        <f>Forudsætninger!$C$17</f>
        <v>250</v>
      </c>
      <c r="AL183" s="20">
        <f>IF(A183&lt;92,Forudsætninger!$C$20,Forudsætninger!$C$21)</f>
        <v>1.0566762728146013</v>
      </c>
      <c r="AM183" s="20">
        <f t="shared" si="70"/>
        <v>459.76388823273402</v>
      </c>
      <c r="AN183" s="19">
        <f>IFERROR(AD183+AJ183-AA183-Z183-AK183-AM183-Forudsætninger!$D$75,-99999)</f>
        <v>188.46337124746699</v>
      </c>
      <c r="AO183" s="57">
        <f>IFERROR(AN183/(A183+Forudsætninger!$D$74),-99999)</f>
        <v>1.0412340952898729</v>
      </c>
      <c r="AP183" s="19">
        <f>IFERROR(((365/(A183+Forudsætninger!$D$74))*AN183)/(AI183+Forudsætninger!$D$73),-99999)</f>
        <v>137.43807417499278</v>
      </c>
      <c r="AQ183" s="18">
        <f t="shared" si="74"/>
        <v>181</v>
      </c>
      <c r="AR183" s="18">
        <f t="shared" si="75"/>
        <v>5538.0268665991534</v>
      </c>
      <c r="AS183" s="50">
        <f t="shared" si="76"/>
        <v>7.1</v>
      </c>
      <c r="AT183" s="50">
        <f t="shared" si="77"/>
        <v>8.0004582858439903</v>
      </c>
      <c r="AU183" s="50">
        <f t="shared" si="78"/>
        <v>3.8662356614189486E-2</v>
      </c>
      <c r="AV183" s="2">
        <f t="shared" si="79"/>
        <v>4.6377450802496867</v>
      </c>
      <c r="AW183" s="16">
        <f t="shared" si="71"/>
        <v>3.5813660744762488</v>
      </c>
      <c r="AZ183" s="16"/>
      <c r="BA183" s="2"/>
    </row>
    <row r="184" spans="1:53" x14ac:dyDescent="0.25">
      <c r="A184">
        <v>182</v>
      </c>
      <c r="B184" s="1">
        <f>ROUND((A184+Forudsætninger!$D$60)/30.4,1)</f>
        <v>7.1</v>
      </c>
      <c r="C184" s="1">
        <f>VLOOKUP((A184+Forudsætninger!$D$60),'Model tilvækst, slagteform, fe'!A:C,3,FALSE)</f>
        <v>369.68757993908878</v>
      </c>
      <c r="D184" s="3">
        <f t="shared" si="80"/>
        <v>1771.1545387559795</v>
      </c>
      <c r="E184" s="3">
        <f>(1+Forudsætninger!$D$78)*C184</f>
        <v>310.53756714883457</v>
      </c>
      <c r="F184" s="2">
        <f t="shared" si="82"/>
        <v>0</v>
      </c>
      <c r="G184" s="1">
        <f t="shared" si="56"/>
        <v>310.53756714883457</v>
      </c>
      <c r="H184" s="3">
        <f t="shared" si="63"/>
        <v>1487.7698125550296</v>
      </c>
      <c r="I184" s="3">
        <f t="shared" si="64"/>
        <v>1310.645973345245</v>
      </c>
      <c r="J184" s="1">
        <f>VLOOKUP((A184+Forudsætninger!$D$60),'Model tilvækst, slagteform, fe'!G:K,3,FALSE)*(1+Forudsætninger!$D$79)</f>
        <v>53.806992216565817</v>
      </c>
      <c r="K184" s="17">
        <f t="shared" si="57"/>
        <v>167.09092458528627</v>
      </c>
      <c r="L184" s="17">
        <f t="shared" si="65"/>
        <v>886.20222485715772</v>
      </c>
      <c r="M184" s="3">
        <f>((K184-(('Model tilvækst, slagteform, fe'!$I$9/100)*'Model tilvækst, slagteform, fe'!$C$9))*1000/(A184+Forudsætninger!$D$60))</f>
        <v>673.02019272646737</v>
      </c>
      <c r="N184" s="17">
        <f t="shared" si="66"/>
        <v>883.92474098802177</v>
      </c>
      <c r="O184" s="19">
        <f>IF( A184&lt;Forudsætninger!$C$14,(G184/100)*Forudsætninger!$C$13,(Forudsætninger!$C$15/1000)*Forudsætninger!$C$13)</f>
        <v>2.0184941864674251</v>
      </c>
      <c r="P184" s="17" cm="1">
        <f t="array" ref="P184">INDEX('Model tilvækst, slagteform, fe'!$O$9:$O$375,MATCH(MIN(ABS('Model tilvækst, slagteform, fe'!$M$9:$M$375-G184)),ABS('Model tilvækst, slagteform, fe'!$M$9:$M$375-G184),0))*(1+Forudsætninger!$D$80)</f>
        <v>6.9498051636066434</v>
      </c>
      <c r="Q184" s="17">
        <f t="shared" si="67"/>
        <v>7.8422339378879871</v>
      </c>
      <c r="R184" s="17">
        <f t="shared" si="68"/>
        <v>6.6897472188650458</v>
      </c>
      <c r="S184" s="2">
        <f t="shared" si="58"/>
        <v>3.7055997156058043</v>
      </c>
      <c r="T184" s="19">
        <f>(P184)*IF(N184&lt;Forudsætninger!$B$228,IF(N184&lt;Forudsætninger!$B$227,Forudsætninger!$B$225,Forudsætninger!$C$9),Forudsætninger!$C$11)+O184</f>
        <v>18.281038269306968</v>
      </c>
      <c r="U184" s="2">
        <f>Forudsætninger!$D$68+((K184-(Forudsætninger!$D$84)))*0.01</f>
        <v>6.810519927212515</v>
      </c>
      <c r="V184" s="2">
        <f>U184+Forudsætninger!$D$69</f>
        <v>6.810519927212515</v>
      </c>
      <c r="W184">
        <f t="shared" si="59"/>
        <v>1</v>
      </c>
      <c r="X184">
        <f>IF(A184+Forudsætninger!$D$60&gt;248,IF(A184+Forudsætninger!$D$60&lt;365,IF(K184&gt;180,IF(K184&lt;260,1,0),0),0),0)</f>
        <v>0</v>
      </c>
      <c r="Y184" s="22">
        <f>IF(X184=0,0,IF('Vækstfunktion, kry tyr'!A184&lt;Forudsætninger!$D$66,Forudsætninger!$D$67+(('Vækstfunktion, kry tyr'!A184-Forudsætninger!$D$66)/7)*Forudsætninger!$D$64,Forudsætninger!$D$67))</f>
        <v>0</v>
      </c>
      <c r="Z184" s="19">
        <f>Z183+T184</f>
        <v>2791.5440166357271</v>
      </c>
      <c r="AA184" s="19">
        <f>Forudsætninger!$D$62+Forudsætninger!$C$16</f>
        <v>2055</v>
      </c>
      <c r="AB184" s="19">
        <f>IF(K184&gt;Forudsætninger!$C$37,IF(K184&gt;Forudsætninger!$C$38,IF(K184&gt;Forudsætninger!$C$39,Forudsætninger!$E$39,Forudsætninger!$E$38+Forudsætninger!$F$39*(K184-Forudsætninger!$C$38)),Forudsætninger!$E$37+Forudsætninger!$F$38*(K184-Forudsætninger!$C$37)),Forudsætninger!$E$37)+IF(K184&gt;Forudsætninger!$C$39,Forudsætninger!$G$39,IF(K184&gt;Forudsætninger!$C$38,Forudsætninger!$G$38+Forudsætninger!$H$39*(K184-Forudsætninger!$C$38),IF(K184&gt;Forudsætninger!$C$37,Forudsætninger!$G$37+Forudsætninger!$H$38*(K184-Forudsætninger!$C$37),Forudsætninger!$G$37)))*(U184-Forudsætninger!$H$37)</f>
        <v>35.281051992721252</v>
      </c>
      <c r="AC184" s="19">
        <f>IF(K184&gt;Forudsætninger!$C$42,IF(K184&gt;Forudsætninger!$C$43,IF(K184&gt;Forudsætninger!$C$44,Forudsætninger!$E$44,Forudsætninger!$E$43+Forudsætninger!$F$44*(K184-Forudsætninger!$C$43)),Forudsætninger!$E$42+Forudsætninger!$F$43*(K184-Forudsætninger!$C$42)),Forudsætninger!$E$42)+IF(K184&gt;Forudsætninger!$C$44,Forudsætninger!$G$44,IF(K184&gt;Forudsætninger!$C$43,Forudsætninger!$G$43+Forudsætninger!$H$44*(K184-Forudsætninger!$C$43),IF(K184&gt;Forudsætninger!$C$42,Forudsætninger!$G$42+Forudsætninger!$H$43*(K184-Forudsætninger!$C$42),Forudsætninger!$G$42)))*(V184-Forudsætninger!$H$42)</f>
        <v>30.352629981803126</v>
      </c>
      <c r="AD184" s="19">
        <f t="shared" si="60"/>
        <v>5071.6490072545648</v>
      </c>
      <c r="AE184" s="19">
        <f t="shared" si="61"/>
        <v>30.352629981803123</v>
      </c>
      <c r="AF184">
        <f>IF(G184&lt;=Forudsætninger!$C$97,Forudsætninger!$C$98,(IF(G184&lt;=Forudsætninger!$D$97,Forudsætninger!$D$98,IF(G184&lt;=Forudsætninger!$E$97,Forudsætninger!$E$98,IF(G184&lt;=Forudsætninger!$F$97,Forudsætninger!$F$98,IF(G184&lt;=Forudsætninger!$G$97,Forudsætninger!$G$98,IF(G184&lt;=Forudsætninger!$H$97,Forudsætninger!$H$98,IF(G184&lt;=Forudsætninger!$I$97,Forudsætninger!$I$98,Forudsætninger!$I$98))))))))</f>
        <v>3.8</v>
      </c>
      <c r="AG184" s="1">
        <f t="shared" si="69"/>
        <v>4.4000000000000004</v>
      </c>
      <c r="AH184" s="1">
        <f t="shared" si="73"/>
        <v>484.99999999999864</v>
      </c>
      <c r="AI184" s="1">
        <f t="shared" si="62"/>
        <v>2.6648351648351571</v>
      </c>
      <c r="AJ184" s="20">
        <f>+(W184*Forudsætninger!$C$12)</f>
        <v>900</v>
      </c>
      <c r="AK184" s="20">
        <f>Forudsætninger!$C$17</f>
        <v>250</v>
      </c>
      <c r="AL184" s="20">
        <f>IF(A184&lt;92,Forudsætninger!$C$20,Forudsætninger!$C$21)</f>
        <v>1.0566762728146013</v>
      </c>
      <c r="AM184" s="20">
        <f t="shared" si="70"/>
        <v>460.82056450554865</v>
      </c>
      <c r="AN184" s="19">
        <f>IFERROR(AD184+AJ184-AA184-Z184-AK184-AM184-Forudsætninger!$D$75,-99999)</f>
        <v>196.39245241232888</v>
      </c>
      <c r="AO184" s="57">
        <f>IFERROR(AN184/(A184+Forudsætninger!$D$74),-99999)</f>
        <v>1.0790794088589499</v>
      </c>
      <c r="AP184" s="19">
        <f>IFERROR(((365/(A184+Forudsætninger!$D$74))*AN184)/(AI184+Forudsætninger!$D$73),-99999)</f>
        <v>141.94139861886705</v>
      </c>
      <c r="AQ184" s="18">
        <f t="shared" si="74"/>
        <v>182</v>
      </c>
      <c r="AR184" s="18">
        <f t="shared" si="75"/>
        <v>5557.3645811412762</v>
      </c>
      <c r="AS184" s="50">
        <f t="shared" si="76"/>
        <v>7.1</v>
      </c>
      <c r="AT184" s="50">
        <f t="shared" si="77"/>
        <v>7.9290811648618842</v>
      </c>
      <c r="AU184" s="50">
        <f t="shared" si="78"/>
        <v>3.7845313569077055E-2</v>
      </c>
      <c r="AV184" s="2">
        <f t="shared" si="79"/>
        <v>4.503324443874277</v>
      </c>
      <c r="AW184" s="16">
        <f t="shared" si="71"/>
        <v>3.6110605325158107</v>
      </c>
      <c r="AZ184" s="16"/>
      <c r="BA184" s="2"/>
    </row>
    <row r="185" spans="1:53" x14ac:dyDescent="0.25">
      <c r="A185">
        <v>183</v>
      </c>
      <c r="B185" s="1">
        <f>ROUND((A185+Forudsætninger!$D$60)/30.4,1)</f>
        <v>7.1</v>
      </c>
      <c r="C185" s="1">
        <f>VLOOKUP((A185+Forudsætninger!$D$60),'Model tilvækst, slagteform, fe'!A:C,3,FALSE)</f>
        <v>371.45562806539999</v>
      </c>
      <c r="D185" s="3">
        <f t="shared" si="80"/>
        <v>1768.0481263112142</v>
      </c>
      <c r="E185" s="3">
        <f>(1+Forudsætninger!$D$78)*C185</f>
        <v>312.02272757493597</v>
      </c>
      <c r="F185" s="2">
        <f t="shared" si="82"/>
        <v>0</v>
      </c>
      <c r="G185" s="1">
        <f t="shared" si="56"/>
        <v>312.02272757493597</v>
      </c>
      <c r="H185" s="3">
        <f t="shared" si="63"/>
        <v>1485.1604261014018</v>
      </c>
      <c r="I185" s="3">
        <f t="shared" si="64"/>
        <v>1311.5996042346228</v>
      </c>
      <c r="J185" s="1">
        <f>VLOOKUP((A185+Forudsætninger!$D$60),'Model tilvækst, slagteform, fe'!G:K,3,FALSE)*(1+Forudsætninger!$D$79)</f>
        <v>53.834510009956141</v>
      </c>
      <c r="K185" s="17">
        <f t="shared" si="57"/>
        <v>167.97590650966708</v>
      </c>
      <c r="L185" s="17">
        <f t="shared" si="65"/>
        <v>884.98192438080991</v>
      </c>
      <c r="M185" s="3">
        <f>((K185-(('Model tilvækst, slagteform, fe'!$I$9/100)*'Model tilvækst, slagteform, fe'!$C$9))*1000/(A185+Forudsætninger!$D$60))</f>
        <v>673.9969748999896</v>
      </c>
      <c r="N185" s="17">
        <f t="shared" si="66"/>
        <v>890.88090490936929</v>
      </c>
      <c r="O185" s="19">
        <f>IF( A185&lt;Forudsætninger!$C$14,(G185/100)*Forudsætninger!$C$13,(Forudsætninger!$C$15/1000)*Forudsætninger!$C$13)</f>
        <v>2.0281477292370838</v>
      </c>
      <c r="P185" s="17" cm="1">
        <f t="array" ref="P185">INDEX('Model tilvækst, slagteform, fe'!$O$9:$O$375,MATCH(MIN(ABS('Model tilvækst, slagteform, fe'!$M$9:$M$375-G185)),ABS('Model tilvækst, slagteform, fe'!$M$9:$M$375-G185),0))*(1+Forudsætninger!$D$80)</f>
        <v>6.9561639213475539</v>
      </c>
      <c r="Q185" s="17">
        <f t="shared" si="67"/>
        <v>7.8602327682732414</v>
      </c>
      <c r="R185" s="17">
        <f t="shared" si="68"/>
        <v>6.6975346779389335</v>
      </c>
      <c r="S185" s="2">
        <f t="shared" si="58"/>
        <v>3.7116522835581605</v>
      </c>
      <c r="T185" s="19">
        <f>(P185)*IF(N185&lt;Forudsætninger!$B$228,IF(N185&lt;Forudsætninger!$B$227,Forudsætninger!$B$225,Forudsætninger!$C$9),Forudsætninger!$C$11)+O185</f>
        <v>18.305571305190359</v>
      </c>
      <c r="U185" s="2">
        <f>Forudsætninger!$D$68+((K185-(Forudsætninger!$D$84)))*0.01</f>
        <v>6.8193697464563234</v>
      </c>
      <c r="V185" s="2">
        <f>U185+Forudsætninger!$D$69</f>
        <v>6.8193697464563234</v>
      </c>
      <c r="W185">
        <f t="shared" si="59"/>
        <v>1</v>
      </c>
      <c r="X185">
        <f>IF(A185+Forudsætninger!$D$60&gt;248,IF(A185+Forudsætninger!$D$60&lt;365,IF(K185&gt;180,IF(K185&lt;260,1,0),0),0),0)</f>
        <v>0</v>
      </c>
      <c r="Y185" s="22">
        <f>IF(X185=0,0,IF('Vækstfunktion, kry tyr'!A185&lt;Forudsætninger!$D$66,Forudsætninger!$D$67+(('Vækstfunktion, kry tyr'!A185-Forudsætninger!$D$66)/7)*Forudsætninger!$D$64,Forudsætninger!$D$67))</f>
        <v>0</v>
      </c>
      <c r="Z185" s="19">
        <f t="shared" si="72"/>
        <v>2809.8495879409174</v>
      </c>
      <c r="AA185" s="19">
        <f>Forudsætninger!$D$62+Forudsætninger!$C$16</f>
        <v>2055</v>
      </c>
      <c r="AB185" s="19">
        <f>IF(K185&gt;Forudsætninger!$C$37,IF(K185&gt;Forudsætninger!$C$38,IF(K185&gt;Forudsætninger!$C$39,Forudsætninger!$E$39,Forudsætninger!$E$38+Forudsætninger!$F$39*(K185-Forudsætninger!$C$38)),Forudsætninger!$E$37+Forudsætninger!$F$38*(K185-Forudsætninger!$C$37)),Forudsætninger!$E$37)+IF(K185&gt;Forudsætninger!$C$39,Forudsætninger!$G$39,IF(K185&gt;Forudsætninger!$C$38,Forudsætninger!$G$38+Forudsætninger!$H$39*(K185-Forudsætninger!$C$38),IF(K185&gt;Forudsætninger!$C$37,Forudsætninger!$G$37+Forudsætninger!$H$38*(K185-Forudsætninger!$C$37),Forudsætninger!$G$37)))*(U185-Forudsætninger!$H$37)</f>
        <v>35.281936974645632</v>
      </c>
      <c r="AC185" s="19">
        <f>IF(K185&gt;Forudsætninger!$C$42,IF(K185&gt;Forudsætninger!$C$43,IF(K185&gt;Forudsætninger!$C$44,Forudsætninger!$E$44,Forudsætninger!$E$43+Forudsætninger!$F$44*(K185-Forudsætninger!$C$43)),Forudsætninger!$E$42+Forudsætninger!$F$43*(K185-Forudsætninger!$C$42)),Forudsætninger!$E$42)+IF(K185&gt;Forudsætninger!$C$44,Forudsætninger!$G$44,IF(K185&gt;Forudsætninger!$C$43,Forudsætninger!$G$43+Forudsætninger!$H$44*(K185-Forudsætninger!$C$43),IF(K185&gt;Forudsætninger!$C$42,Forudsætninger!$G$42+Forudsætninger!$H$43*(K185-Forudsætninger!$C$42),Forudsætninger!$G$42)))*(V185-Forudsætninger!$H$42)</f>
        <v>30.354842436614078</v>
      </c>
      <c r="AD185" s="19">
        <f t="shared" si="60"/>
        <v>5098.8821752483609</v>
      </c>
      <c r="AE185" s="19">
        <f t="shared" si="61"/>
        <v>30.354842436614074</v>
      </c>
      <c r="AF185">
        <f>IF(G185&lt;=Forudsætninger!$C$97,Forudsætninger!$C$98,(IF(G185&lt;=Forudsætninger!$D$97,Forudsætninger!$D$98,IF(G185&lt;=Forudsætninger!$E$97,Forudsætninger!$E$98,IF(G185&lt;=Forudsætninger!$F$97,Forudsætninger!$F$98,IF(G185&lt;=Forudsætninger!$G$97,Forudsætninger!$G$98,IF(G185&lt;=Forudsætninger!$H$97,Forudsætninger!$H$98,IF(G185&lt;=Forudsætninger!$I$97,Forudsætninger!$I$98,Forudsætninger!$I$98))))))))</f>
        <v>3.8</v>
      </c>
      <c r="AG185" s="1">
        <f t="shared" si="69"/>
        <v>4.4000000000000004</v>
      </c>
      <c r="AH185" s="1">
        <f t="shared" si="73"/>
        <v>489.39999999999861</v>
      </c>
      <c r="AI185" s="1">
        <f t="shared" si="62"/>
        <v>2.6743169398907027</v>
      </c>
      <c r="AJ185" s="20">
        <f>+(W185*Forudsætninger!$C$12)</f>
        <v>900</v>
      </c>
      <c r="AK185" s="20">
        <f>Forudsætninger!$C$17</f>
        <v>250</v>
      </c>
      <c r="AL185" s="20">
        <f>IF(A185&lt;92,Forudsætninger!$C$20,Forudsætninger!$C$21)</f>
        <v>1.0566762728146013</v>
      </c>
      <c r="AM185" s="20">
        <f t="shared" si="70"/>
        <v>461.87724077836327</v>
      </c>
      <c r="AN185" s="19">
        <f>IFERROR(AD185+AJ185-AA185-Z185-AK185-AM185-Forudsætninger!$D$75,-99999)</f>
        <v>204.26337282811997</v>
      </c>
      <c r="AO185" s="57">
        <f>IFERROR(AN185/(A185+Forudsætninger!$D$74),-99999)</f>
        <v>1.1161932941427322</v>
      </c>
      <c r="AP185" s="19">
        <f>IFERROR(((365/(A185+Forudsætninger!$D$74))*AN185)/(AI185+Forudsætninger!$D$73),-99999)</f>
        <v>146.32333931714322</v>
      </c>
      <c r="AQ185" s="18">
        <f t="shared" si="74"/>
        <v>183</v>
      </c>
      <c r="AR185" s="18">
        <f t="shared" si="75"/>
        <v>5576.726828719281</v>
      </c>
      <c r="AS185" s="50">
        <f t="shared" si="76"/>
        <v>7.1</v>
      </c>
      <c r="AT185" s="50">
        <f t="shared" si="77"/>
        <v>7.8709204157910904</v>
      </c>
      <c r="AU185" s="50">
        <f t="shared" si="78"/>
        <v>3.7113885283782233E-2</v>
      </c>
      <c r="AV185" s="2">
        <f t="shared" si="79"/>
        <v>4.3819406982761677</v>
      </c>
      <c r="AW185" s="16">
        <f t="shared" si="71"/>
        <v>3.6401126426583787</v>
      </c>
      <c r="AZ185" s="16"/>
      <c r="BA185" s="2"/>
    </row>
    <row r="186" spans="1:53" x14ac:dyDescent="0.25">
      <c r="A186">
        <v>184</v>
      </c>
      <c r="B186" s="1">
        <f>ROUND((A186+Forudsætninger!$D$60)/30.4,1)</f>
        <v>7.2</v>
      </c>
      <c r="C186" s="1">
        <f>VLOOKUP((A186+Forudsætninger!$D$60),'Model tilvækst, slagteform, fe'!A:C,3,FALSE)</f>
        <v>373.22052549220501</v>
      </c>
      <c r="D186" s="3">
        <f t="shared" si="80"/>
        <v>1764.897426805021</v>
      </c>
      <c r="E186" s="3">
        <f>(1+Forudsætninger!$D$78)*C186</f>
        <v>313.50524141345221</v>
      </c>
      <c r="F186" s="2">
        <f t="shared" si="82"/>
        <v>0</v>
      </c>
      <c r="G186" s="1">
        <f t="shared" si="56"/>
        <v>313.50524141345221</v>
      </c>
      <c r="H186" s="3">
        <f t="shared" si="63"/>
        <v>1482.5138385162404</v>
      </c>
      <c r="I186" s="3">
        <f t="shared" si="64"/>
        <v>1312.5284859426749</v>
      </c>
      <c r="J186" s="1">
        <f>VLOOKUP((A186+Forudsætninger!$D$60),'Model tilvækst, slagteform, fe'!G:K,3,FALSE)*(1+Forudsætninger!$D$79)</f>
        <v>53.861813813383058</v>
      </c>
      <c r="K186" s="17">
        <f t="shared" si="57"/>
        <v>168.85960942531074</v>
      </c>
      <c r="L186" s="17">
        <f t="shared" si="65"/>
        <v>883.70291564365289</v>
      </c>
      <c r="M186" s="3">
        <f>((K186-(('Model tilvækst, slagteform, fe'!$I$9/100)*'Model tilvækst, slagteform, fe'!$C$9))*1000/(A186+Forudsætninger!$D$60))</f>
        <v>674.95892875661195</v>
      </c>
      <c r="N186" s="17">
        <f t="shared" si="66"/>
        <v>897.84341165570402</v>
      </c>
      <c r="O186" s="19">
        <f>IF( A186&lt;Forudsætninger!$C$14,(G186/100)*Forudsætninger!$C$13,(Forudsætninger!$C$15/1000)*Forudsætninger!$C$13)</f>
        <v>2.0377840691874396</v>
      </c>
      <c r="P186" s="17" cm="1">
        <f t="array" ref="P186">INDEX('Model tilvækst, slagteform, fe'!$O$9:$O$375,MATCH(MIN(ABS('Model tilvækst, slagteform, fe'!$M$9:$M$375-G186)),ABS('Model tilvækst, slagteform, fe'!$M$9:$M$375-G186),0))*(1+Forudsætninger!$D$80)</f>
        <v>6.9625067463347152</v>
      </c>
      <c r="Q186" s="17">
        <f t="shared" si="67"/>
        <v>7.8787866635740489</v>
      </c>
      <c r="R186" s="17">
        <f t="shared" si="68"/>
        <v>6.7053306169979132</v>
      </c>
      <c r="S186" s="2">
        <f t="shared" si="58"/>
        <v>3.7176974147679629</v>
      </c>
      <c r="T186" s="19">
        <f>(P186)*IF(N186&lt;Forudsætninger!$B$228,IF(N186&lt;Forudsætninger!$B$227,Forudsætninger!$B$225,Forudsætninger!$C$9),Forudsætninger!$C$11)+O186</f>
        <v>18.330049855610671</v>
      </c>
      <c r="U186" s="2">
        <f>Forudsætninger!$D$68+((K186-(Forudsætninger!$D$84)))*0.01</f>
        <v>6.8282067756127596</v>
      </c>
      <c r="V186" s="2">
        <f>U186+Forudsætninger!$D$69</f>
        <v>6.8282067756127596</v>
      </c>
      <c r="W186">
        <f t="shared" si="59"/>
        <v>1</v>
      </c>
      <c r="X186">
        <f>IF(A186+Forudsætninger!$D$60&gt;248,IF(A186+Forudsætninger!$D$60&lt;365,IF(K186&gt;180,IF(K186&lt;260,1,0),0),0),0)</f>
        <v>0</v>
      </c>
      <c r="Y186" s="22">
        <f>IF(X186=0,0,IF('Vækstfunktion, kry tyr'!A186&lt;Forudsætninger!$D$66,Forudsætninger!$D$67+(('Vækstfunktion, kry tyr'!A186-Forudsætninger!$D$66)/7)*Forudsætninger!$D$64,Forudsætninger!$D$67))</f>
        <v>0</v>
      </c>
      <c r="Z186" s="19">
        <f t="shared" si="72"/>
        <v>2828.1796377965279</v>
      </c>
      <c r="AA186" s="19">
        <f>Forudsætninger!$D$62+Forudsætninger!$C$16</f>
        <v>2055</v>
      </c>
      <c r="AB186" s="19">
        <f>IF(K186&gt;Forudsætninger!$C$37,IF(K186&gt;Forudsætninger!$C$38,IF(K186&gt;Forudsætninger!$C$39,Forudsætninger!$E$39,Forudsætninger!$E$38+Forudsætninger!$F$39*(K186-Forudsætninger!$C$38)),Forudsætninger!$E$37+Forudsætninger!$F$38*(K186-Forudsætninger!$C$37)),Forudsætninger!$E$37)+IF(K186&gt;Forudsætninger!$C$39,Forudsætninger!$G$39,IF(K186&gt;Forudsætninger!$C$38,Forudsætninger!$G$38+Forudsætninger!$H$39*(K186-Forudsætninger!$C$38),IF(K186&gt;Forudsætninger!$C$37,Forudsætninger!$G$37+Forudsætninger!$H$38*(K186-Forudsætninger!$C$37),Forudsætninger!$G$37)))*(U186-Forudsætninger!$H$37)</f>
        <v>35.282820677561276</v>
      </c>
      <c r="AC186" s="19">
        <f>IF(K186&gt;Forudsætninger!$C$42,IF(K186&gt;Forudsætninger!$C$43,IF(K186&gt;Forudsætninger!$C$44,Forudsætninger!$E$44,Forudsætninger!$E$43+Forudsætninger!$F$44*(K186-Forudsætninger!$C$43)),Forudsætninger!$E$42+Forudsætninger!$F$43*(K186-Forudsætninger!$C$42)),Forudsætninger!$E$42)+IF(K186&gt;Forudsætninger!$C$44,Forudsætninger!$G$44,IF(K186&gt;Forudsætninger!$C$43,Forudsætninger!$G$43+Forudsætninger!$H$44*(K186-Forudsætninger!$C$43),IF(K186&gt;Forudsætninger!$C$42,Forudsætninger!$G$42+Forudsætninger!$H$43*(K186-Forudsætninger!$C$42),Forudsætninger!$G$42)))*(V186-Forudsætninger!$H$42)</f>
        <v>30.357051693903188</v>
      </c>
      <c r="AD186" s="19">
        <f t="shared" si="60"/>
        <v>5126.07989233646</v>
      </c>
      <c r="AE186" s="19">
        <f t="shared" si="61"/>
        <v>30.357051693903188</v>
      </c>
      <c r="AF186">
        <f>IF(G186&lt;=Forudsætninger!$C$97,Forudsætninger!$C$98,(IF(G186&lt;=Forudsætninger!$D$97,Forudsætninger!$D$98,IF(G186&lt;=Forudsætninger!$E$97,Forudsætninger!$E$98,IF(G186&lt;=Forudsætninger!$F$97,Forudsætninger!$F$98,IF(G186&lt;=Forudsætninger!$G$97,Forudsætninger!$G$98,IF(G186&lt;=Forudsætninger!$H$97,Forudsætninger!$H$98,IF(G186&lt;=Forudsætninger!$I$97,Forudsætninger!$I$98,Forudsætninger!$I$98))))))))</f>
        <v>3.8</v>
      </c>
      <c r="AG186" s="1">
        <f t="shared" si="69"/>
        <v>4.4000000000000004</v>
      </c>
      <c r="AH186" s="1">
        <f t="shared" si="73"/>
        <v>493.79999999999859</v>
      </c>
      <c r="AI186" s="1">
        <f t="shared" si="62"/>
        <v>2.6836956521739053</v>
      </c>
      <c r="AJ186" s="20">
        <f>+(W186*Forudsætninger!$C$12)</f>
        <v>900</v>
      </c>
      <c r="AK186" s="20">
        <f>Forudsætninger!$C$17</f>
        <v>250</v>
      </c>
      <c r="AL186" s="20">
        <f>IF(A186&lt;92,Forudsætninger!$C$20,Forudsætninger!$C$21)</f>
        <v>1.0566762728146013</v>
      </c>
      <c r="AM186" s="20">
        <f t="shared" si="70"/>
        <v>462.9339170511779</v>
      </c>
      <c r="AN186" s="19">
        <f>IFERROR(AD186+AJ186-AA186-Z186-AK186-AM186-Forudsætninger!$D$75,-99999)</f>
        <v>212.074363787794</v>
      </c>
      <c r="AO186" s="57">
        <f>IFERROR(AN186/(A186+Forudsætninger!$D$74),-99999)</f>
        <v>1.1525780640640979</v>
      </c>
      <c r="AP186" s="19">
        <f>IFERROR(((365/(A186+Forudsætninger!$D$74))*AN186)/(AI186+Forudsætninger!$D$73),-99999)</f>
        <v>150.5858353095966</v>
      </c>
      <c r="AQ186" s="18">
        <f t="shared" si="74"/>
        <v>184</v>
      </c>
      <c r="AR186" s="18">
        <f t="shared" si="75"/>
        <v>5596.113554847705</v>
      </c>
      <c r="AS186" s="50">
        <f t="shared" si="76"/>
        <v>7.2</v>
      </c>
      <c r="AT186" s="50">
        <f t="shared" si="77"/>
        <v>7.8109909596740295</v>
      </c>
      <c r="AU186" s="50">
        <f t="shared" si="78"/>
        <v>3.6384769921365745E-2</v>
      </c>
      <c r="AV186" s="2">
        <f t="shared" si="79"/>
        <v>4.2624959924533812</v>
      </c>
      <c r="AW186" s="16">
        <f t="shared" si="71"/>
        <v>3.668523265429195</v>
      </c>
      <c r="AZ186" s="16"/>
      <c r="BA186" s="2"/>
    </row>
    <row r="187" spans="1:53" x14ac:dyDescent="0.25">
      <c r="A187">
        <v>185</v>
      </c>
      <c r="B187" s="1">
        <f>ROUND((A187+Forudsætninger!$D$60)/30.4,1)</f>
        <v>7.2</v>
      </c>
      <c r="C187" s="1">
        <f>VLOOKUP((A187+Forudsætninger!$D$60),'Model tilvækst, slagteform, fe'!A:C,3,FALSE)</f>
        <v>374.98222855337883</v>
      </c>
      <c r="D187" s="3">
        <f t="shared" si="80"/>
        <v>1761.7030611738187</v>
      </c>
      <c r="E187" s="3">
        <f>(1+Forudsætninger!$D$78)*C187</f>
        <v>314.98507198483821</v>
      </c>
      <c r="F187" s="2">
        <f t="shared" si="82"/>
        <v>0</v>
      </c>
      <c r="G187" s="1">
        <f t="shared" si="56"/>
        <v>314.98507198483821</v>
      </c>
      <c r="H187" s="3">
        <f t="shared" si="63"/>
        <v>1479.8305713860032</v>
      </c>
      <c r="I187" s="3">
        <f t="shared" si="64"/>
        <v>1313.4328215396661</v>
      </c>
      <c r="J187" s="1">
        <f>VLOOKUP((A187+Forudsætninger!$D$60),'Model tilvækst, slagteform, fe'!G:K,3,FALSE)*(1+Forudsætninger!$D$79)</f>
        <v>53.888894896008544</v>
      </c>
      <c r="K187" s="17">
        <f t="shared" si="57"/>
        <v>169.74197438002631</v>
      </c>
      <c r="L187" s="17">
        <f t="shared" si="65"/>
        <v>882.36495471556964</v>
      </c>
      <c r="M187" s="3">
        <f>((K187-(('Model tilvækst, slagteform, fe'!$I$9/100)*'Model tilvækst, slagteform, fe'!$C$9))*1000/(A187+Forudsætninger!$D$60))</f>
        <v>675.90598823587663</v>
      </c>
      <c r="N187" s="17">
        <f t="shared" si="66"/>
        <v>904.81224771143127</v>
      </c>
      <c r="O187" s="19">
        <f>IF( A187&lt;Forudsætninger!$C$14,(G187/100)*Forudsætninger!$C$13,(Forudsætninger!$C$15/1000)*Forudsætninger!$C$13)</f>
        <v>2.0474029679014483</v>
      </c>
      <c r="P187" s="17" cm="1">
        <f t="array" ref="P187">INDEX('Model tilvækst, slagteform, fe'!$O$9:$O$375,MATCH(MIN(ABS('Model tilvækst, slagteform, fe'!$M$9:$M$375-G187)),ABS('Model tilvækst, slagteform, fe'!$M$9:$M$375-G187),0))*(1+Forudsætninger!$D$80)</f>
        <v>6.9688360557272029</v>
      </c>
      <c r="Q187" s="17">
        <f t="shared" si="67"/>
        <v>7.8979066637722566</v>
      </c>
      <c r="R187" s="17">
        <f t="shared" si="68"/>
        <v>6.7131379271504645</v>
      </c>
      <c r="S187" s="2">
        <f t="shared" si="58"/>
        <v>3.7237359493750701</v>
      </c>
      <c r="T187" s="19">
        <f>(P187)*IF(N187&lt;Forudsætninger!$B$228,IF(N187&lt;Forudsætninger!$B$227,Forudsætninger!$B$225,Forudsætninger!$C$9),Forudsætninger!$C$11)+O187</f>
        <v>18.354479338303101</v>
      </c>
      <c r="U187" s="2">
        <f>Forudsætninger!$D$68+((K187-(Forudsætninger!$D$84)))*0.01</f>
        <v>6.8370304251599157</v>
      </c>
      <c r="V187" s="2">
        <f>U187+Forudsætninger!$D$69</f>
        <v>6.8370304251599157</v>
      </c>
      <c r="W187">
        <f t="shared" si="59"/>
        <v>1</v>
      </c>
      <c r="X187">
        <f>IF(A187+Forudsætninger!$D$60&gt;248,IF(A187+Forudsætninger!$D$60&lt;365,IF(K187&gt;180,IF(K187&lt;260,1,0),0),0),0)</f>
        <v>0</v>
      </c>
      <c r="Y187" s="22">
        <f>IF(X187=0,0,IF('Vækstfunktion, kry tyr'!A187&lt;Forudsætninger!$D$66,Forudsætninger!$D$67+(('Vækstfunktion, kry tyr'!A187-Forudsætninger!$D$66)/7)*Forudsætninger!$D$64,Forudsætninger!$D$67))</f>
        <v>0</v>
      </c>
      <c r="Z187" s="19">
        <f t="shared" si="72"/>
        <v>2846.5341171348309</v>
      </c>
      <c r="AA187" s="19">
        <f>Forudsætninger!$D$62+Forudsætninger!$C$16</f>
        <v>2055</v>
      </c>
      <c r="AB187" s="19">
        <f>IF(K187&gt;Forudsætninger!$C$37,IF(K187&gt;Forudsætninger!$C$38,IF(K187&gt;Forudsætninger!$C$39,Forudsætninger!$E$39,Forudsætninger!$E$38+Forudsætninger!$F$39*(K187-Forudsætninger!$C$38)),Forudsætninger!$E$37+Forudsætninger!$F$38*(K187-Forudsætninger!$C$37)),Forudsætninger!$E$37)+IF(K187&gt;Forudsætninger!$C$39,Forudsætninger!$G$39,IF(K187&gt;Forudsætninger!$C$38,Forudsætninger!$G$38+Forudsætninger!$H$39*(K187-Forudsætninger!$C$38),IF(K187&gt;Forudsætninger!$C$37,Forudsætninger!$G$37+Forudsætninger!$H$38*(K187-Forudsætninger!$C$37),Forudsætninger!$G$37)))*(U187-Forudsætninger!$H$37)</f>
        <v>35.283703042515988</v>
      </c>
      <c r="AC187" s="19">
        <f>IF(K187&gt;Forudsætninger!$C$42,IF(K187&gt;Forudsætninger!$C$43,IF(K187&gt;Forudsætninger!$C$44,Forudsætninger!$E$44,Forudsætninger!$E$43+Forudsætninger!$F$44*(K187-Forudsætninger!$C$43)),Forudsætninger!$E$42+Forudsætninger!$F$43*(K187-Forudsætninger!$C$42)),Forudsætninger!$E$42)+IF(K187&gt;Forudsætninger!$C$44,Forudsætninger!$G$44,IF(K187&gt;Forudsætninger!$C$43,Forudsætninger!$G$43+Forudsætninger!$H$44*(K187-Forudsætninger!$C$43),IF(K187&gt;Forudsætninger!$C$42,Forudsætninger!$G$42+Forudsætninger!$H$43*(K187-Forudsætninger!$C$42),Forudsætninger!$G$42)))*(V187-Forudsætninger!$H$42)</f>
        <v>30.359257606289976</v>
      </c>
      <c r="AD187" s="19">
        <f t="shared" si="60"/>
        <v>5153.2403268034923</v>
      </c>
      <c r="AE187" s="19">
        <f t="shared" si="61"/>
        <v>30.359257606289979</v>
      </c>
      <c r="AF187">
        <f>IF(G187&lt;=Forudsætninger!$C$97,Forudsætninger!$C$98,(IF(G187&lt;=Forudsætninger!$D$97,Forudsætninger!$D$98,IF(G187&lt;=Forudsætninger!$E$97,Forudsætninger!$E$98,IF(G187&lt;=Forudsætninger!$F$97,Forudsætninger!$F$98,IF(G187&lt;=Forudsætninger!$G$97,Forudsætninger!$G$98,IF(G187&lt;=Forudsætninger!$H$97,Forudsætninger!$H$98,IF(G187&lt;=Forudsætninger!$I$97,Forudsætninger!$I$98,Forudsætninger!$I$98))))))))</f>
        <v>3.8</v>
      </c>
      <c r="AG187" s="1">
        <f t="shared" si="69"/>
        <v>4.4000000000000004</v>
      </c>
      <c r="AH187" s="1">
        <f t="shared" si="73"/>
        <v>498.19999999999857</v>
      </c>
      <c r="AI187" s="1">
        <f t="shared" si="62"/>
        <v>2.6929729729729655</v>
      </c>
      <c r="AJ187" s="20">
        <f>+(W187*Forudsætninger!$C$12)</f>
        <v>900</v>
      </c>
      <c r="AK187" s="20">
        <f>Forudsætninger!$C$17</f>
        <v>250</v>
      </c>
      <c r="AL187" s="20">
        <f>IF(A187&lt;92,Forudsætninger!$C$20,Forudsætninger!$C$21)</f>
        <v>1.0566762728146013</v>
      </c>
      <c r="AM187" s="20">
        <f t="shared" si="70"/>
        <v>463.99059332399253</v>
      </c>
      <c r="AN187" s="19">
        <f>IFERROR(AD187+AJ187-AA187-Z187-AK187-AM187-Forudsætninger!$D$75,-99999)</f>
        <v>219.82364264370861</v>
      </c>
      <c r="AO187" s="57">
        <f>IFERROR(AN187/(A187+Forudsætninger!$D$74),-99999)</f>
        <v>1.1882359061822088</v>
      </c>
      <c r="AP187" s="19">
        <f>IFERROR(((365/(A187+Forudsætninger!$D$74))*AN187)/(AI187+Forudsætninger!$D$73),-99999)</f>
        <v>154.73074836554596</v>
      </c>
      <c r="AQ187" s="18">
        <f t="shared" si="74"/>
        <v>185</v>
      </c>
      <c r="AR187" s="18">
        <f t="shared" si="75"/>
        <v>5615.5247104588234</v>
      </c>
      <c r="AS187" s="50">
        <f t="shared" si="76"/>
        <v>7.2</v>
      </c>
      <c r="AT187" s="50">
        <f t="shared" si="77"/>
        <v>7.7492788559146106</v>
      </c>
      <c r="AU187" s="50">
        <f t="shared" si="78"/>
        <v>3.565784211811085E-2</v>
      </c>
      <c r="AV187" s="2">
        <f t="shared" si="79"/>
        <v>4.1449130559493597</v>
      </c>
      <c r="AW187" s="16">
        <f t="shared" si="71"/>
        <v>3.6962931673929793</v>
      </c>
      <c r="AZ187" s="16"/>
      <c r="BA187" s="2"/>
    </row>
    <row r="188" spans="1:53" x14ac:dyDescent="0.25">
      <c r="A188">
        <v>186</v>
      </c>
      <c r="B188" s="1">
        <f>ROUND((A188+Forudsætninger!$D$60)/30.4,1)</f>
        <v>7.2</v>
      </c>
      <c r="C188" s="1">
        <f>VLOOKUP((A188+Forudsætninger!$D$60),'Model tilvækst, slagteform, fe'!A:C,3,FALSE)</f>
        <v>376.7406942037332</v>
      </c>
      <c r="D188" s="3">
        <f t="shared" si="80"/>
        <v>1758.465650354367</v>
      </c>
      <c r="E188" s="3">
        <f>(1+Forudsætninger!$D$78)*C188</f>
        <v>316.46218313113587</v>
      </c>
      <c r="F188" s="2">
        <f t="shared" si="82"/>
        <v>0</v>
      </c>
      <c r="G188" s="1">
        <f t="shared" si="56"/>
        <v>316.46218313113587</v>
      </c>
      <c r="H188" s="3">
        <f t="shared" si="63"/>
        <v>1477.1111462976592</v>
      </c>
      <c r="I188" s="3">
        <f t="shared" si="64"/>
        <v>1314.3128125329886</v>
      </c>
      <c r="J188" s="1">
        <f>VLOOKUP((A188+Forudsætninger!$D$60),'Model tilvækst, slagteform, fe'!G:K,3,FALSE)*(1+Forudsætninger!$D$79)</f>
        <v>53.915744526994615</v>
      </c>
      <c r="K188" s="17">
        <f t="shared" si="57"/>
        <v>170.62294218153306</v>
      </c>
      <c r="L188" s="17">
        <f t="shared" si="65"/>
        <v>880.96780150675613</v>
      </c>
      <c r="M188" s="3">
        <f>((K188-(('Model tilvækst, slagteform, fe'!$I$9/100)*'Model tilvækst, slagteform, fe'!$C$9))*1000/(A188+Forudsætninger!$D$60))</f>
        <v>676.83808738710786</v>
      </c>
      <c r="N188" s="17">
        <f t="shared" si="66"/>
        <v>911.79371150779571</v>
      </c>
      <c r="O188" s="19">
        <f>IF( A188&lt;Forudsætninger!$C$14,(G188/100)*Forudsætninger!$C$13,(Forudsætninger!$C$15/1000)*Forudsætninger!$C$13)</f>
        <v>2.0570041903523832</v>
      </c>
      <c r="P188" s="17" cm="1">
        <f t="array" ref="P188">INDEX('Model tilvækst, slagteform, fe'!$O$9:$O$375,MATCH(MIN(ABS('Model tilvækst, slagteform, fe'!$M$9:$M$375-G188)),ABS('Model tilvækst, slagteform, fe'!$M$9:$M$375-G188),0))*(1+Forudsætninger!$D$80)</f>
        <v>6.9814637963644577</v>
      </c>
      <c r="Q188" s="17">
        <f t="shared" si="67"/>
        <v>7.9247661315473366</v>
      </c>
      <c r="R188" s="17">
        <f t="shared" si="68"/>
        <v>6.7210059769308765</v>
      </c>
      <c r="S188" s="2">
        <f t="shared" si="58"/>
        <v>3.7297945221191364</v>
      </c>
      <c r="T188" s="19">
        <f>(P188)*IF(N188&lt;Forudsætninger!$B$228,IF(N188&lt;Forudsætninger!$B$227,Forudsætninger!$B$225,Forudsætninger!$C$9),Forudsætninger!$C$11)+O188</f>
        <v>18.393629473845213</v>
      </c>
      <c r="U188" s="2">
        <f>Forudsætninger!$D$68+((K188-(Forudsætninger!$D$84)))*0.01</f>
        <v>6.8458401031749831</v>
      </c>
      <c r="V188" s="2">
        <f>U188+Forudsætninger!$D$69</f>
        <v>6.8458401031749831</v>
      </c>
      <c r="W188">
        <f t="shared" si="59"/>
        <v>1</v>
      </c>
      <c r="X188">
        <f>IF(A188+Forudsætninger!$D$60&gt;248,IF(A188+Forudsætninger!$D$60&lt;365,IF(K188&gt;180,IF(K188&lt;260,1,0),0),0),0)</f>
        <v>0</v>
      </c>
      <c r="Y188" s="22">
        <f>IF(X188=0,0,IF('Vækstfunktion, kry tyr'!A188&lt;Forudsætninger!$D$66,Forudsætninger!$D$67+(('Vækstfunktion, kry tyr'!A188-Forudsætninger!$D$66)/7)*Forudsætninger!$D$64,Forudsætninger!$D$67))</f>
        <v>0</v>
      </c>
      <c r="Z188" s="19">
        <f t="shared" si="72"/>
        <v>2864.927746608676</v>
      </c>
      <c r="AA188" s="19">
        <f>Forudsætninger!$D$62+Forudsætninger!$C$16</f>
        <v>2055</v>
      </c>
      <c r="AB188" s="19">
        <f>IF(K188&gt;Forudsætninger!$C$37,IF(K188&gt;Forudsætninger!$C$38,IF(K188&gt;Forudsætninger!$C$39,Forudsætninger!$E$39,Forudsætninger!$E$38+Forudsætninger!$F$39*(K188-Forudsætninger!$C$38)),Forudsætninger!$E$37+Forudsætninger!$F$38*(K188-Forudsætninger!$C$37)),Forudsætninger!$E$37)+IF(K188&gt;Forudsætninger!$C$39,Forudsætninger!$G$39,IF(K188&gt;Forudsætninger!$C$38,Forudsætninger!$G$38+Forudsætninger!$H$39*(K188-Forudsætninger!$C$38),IF(K188&gt;Forudsætninger!$C$37,Forudsætninger!$G$37+Forudsætninger!$H$38*(K188-Forudsætninger!$C$37),Forudsætninger!$G$37)))*(U188-Forudsætninger!$H$37)</f>
        <v>35.284584010317495</v>
      </c>
      <c r="AC188" s="19">
        <f>IF(K188&gt;Forudsætninger!$C$42,IF(K188&gt;Forudsætninger!$C$43,IF(K188&gt;Forudsætninger!$C$44,Forudsætninger!$E$44,Forudsætninger!$E$43+Forudsætninger!$F$44*(K188-Forudsætninger!$C$43)),Forudsætninger!$E$42+Forudsætninger!$F$43*(K188-Forudsætninger!$C$42)),Forudsætninger!$E$42)+IF(K188&gt;Forudsætninger!$C$44,Forudsætninger!$G$44,IF(K188&gt;Forudsætninger!$C$43,Forudsætninger!$G$43+Forudsætninger!$H$44*(K188-Forudsætninger!$C$43),IF(K188&gt;Forudsætninger!$C$42,Forudsætninger!$G$42+Forudsætninger!$H$43*(K188-Forudsætninger!$C$42),Forudsætninger!$G$42)))*(V188-Forudsætninger!$H$42)</f>
        <v>30.361460025793743</v>
      </c>
      <c r="AD188" s="19">
        <f t="shared" si="60"/>
        <v>5180.3616385279329</v>
      </c>
      <c r="AE188" s="19">
        <f t="shared" si="61"/>
        <v>30.361460025793743</v>
      </c>
      <c r="AF188">
        <f>IF(G188&lt;=Forudsætninger!$C$97,Forudsætninger!$C$98,(IF(G188&lt;=Forudsætninger!$D$97,Forudsætninger!$D$98,IF(G188&lt;=Forudsætninger!$E$97,Forudsætninger!$E$98,IF(G188&lt;=Forudsætninger!$F$97,Forudsætninger!$F$98,IF(G188&lt;=Forudsætninger!$G$97,Forudsætninger!$G$98,IF(G188&lt;=Forudsætninger!$H$97,Forudsætninger!$H$98,IF(G188&lt;=Forudsætninger!$I$97,Forudsætninger!$I$98,Forudsætninger!$I$98))))))))</f>
        <v>3.8</v>
      </c>
      <c r="AG188" s="1">
        <f t="shared" si="69"/>
        <v>4.4000000000000004</v>
      </c>
      <c r="AH188" s="1">
        <f t="shared" si="73"/>
        <v>502.59999999999854</v>
      </c>
      <c r="AI188" s="1">
        <f t="shared" si="62"/>
        <v>2.7021505376344006</v>
      </c>
      <c r="AJ188" s="20">
        <f>+(W188*Forudsætninger!$C$12)</f>
        <v>900</v>
      </c>
      <c r="AK188" s="20">
        <f>Forudsætninger!$C$17</f>
        <v>250</v>
      </c>
      <c r="AL188" s="20">
        <f>IF(A188&lt;92,Forudsætninger!$C$20,Forudsætninger!$C$21)</f>
        <v>1.0566762728146013</v>
      </c>
      <c r="AM188" s="20">
        <f t="shared" si="70"/>
        <v>465.04726959680715</v>
      </c>
      <c r="AN188" s="19">
        <f>IFERROR(AD188+AJ188-AA188-Z188-AK188-AM188-Forudsætninger!$D$75,-99999)</f>
        <v>227.49464862148952</v>
      </c>
      <c r="AO188" s="57">
        <f>IFERROR(AN188/(A188+Forudsætninger!$D$74),-99999)</f>
        <v>1.2230895087176856</v>
      </c>
      <c r="AP188" s="19">
        <f>IFERROR(((365/(A188+Forudsætninger!$D$74))*AN188)/(AI188+Forudsætninger!$D$73),-99999)</f>
        <v>158.74956361955401</v>
      </c>
      <c r="AQ188" s="18">
        <f t="shared" si="74"/>
        <v>186</v>
      </c>
      <c r="AR188" s="18">
        <f t="shared" si="75"/>
        <v>5634.9750162054834</v>
      </c>
      <c r="AS188" s="50">
        <f t="shared" si="76"/>
        <v>7.2</v>
      </c>
      <c r="AT188" s="50">
        <f t="shared" si="77"/>
        <v>7.6710059777809079</v>
      </c>
      <c r="AU188" s="50">
        <f t="shared" si="78"/>
        <v>3.4853602535476869E-2</v>
      </c>
      <c r="AV188" s="2">
        <f t="shared" si="79"/>
        <v>4.0188152540080466</v>
      </c>
      <c r="AW188" s="16">
        <f t="shared" si="71"/>
        <v>3.7233436463349285</v>
      </c>
      <c r="AZ188" s="16"/>
      <c r="BA188" s="2"/>
    </row>
    <row r="189" spans="1:53" x14ac:dyDescent="0.25">
      <c r="A189">
        <v>187</v>
      </c>
      <c r="B189" s="1">
        <f>ROUND((A189+Forudsætninger!$D$60)/30.4,1)</f>
        <v>7.3</v>
      </c>
      <c r="C189" s="1">
        <f>VLOOKUP((A189+Forudsætninger!$D$60),'Model tilvækst, slagteform, fe'!A:C,3,FALSE)</f>
        <v>378.49588001901651</v>
      </c>
      <c r="D189" s="3">
        <f t="shared" si="80"/>
        <v>1755.185815283312</v>
      </c>
      <c r="E189" s="3">
        <f>(1+Forudsætninger!$D$78)*C189</f>
        <v>317.93653921597388</v>
      </c>
      <c r="F189" s="2">
        <f t="shared" si="82"/>
        <v>0</v>
      </c>
      <c r="G189" s="1">
        <f t="shared" si="56"/>
        <v>317.93653921597388</v>
      </c>
      <c r="H189" s="3">
        <f t="shared" si="63"/>
        <v>1474.3560848380071</v>
      </c>
      <c r="I189" s="3">
        <f t="shared" si="64"/>
        <v>1315.1686589089511</v>
      </c>
      <c r="J189" s="1">
        <f>VLOOKUP((A189+Forudsætninger!$D$60),'Model tilvækst, slagteform, fe'!G:K,3,FALSE)*(1+Forudsætninger!$D$79)</f>
        <v>53.942353975503217</v>
      </c>
      <c r="K189" s="17">
        <f t="shared" si="57"/>
        <v>171.50245340134524</v>
      </c>
      <c r="L189" s="17">
        <f t="shared" si="65"/>
        <v>879.51121981217284</v>
      </c>
      <c r="M189" s="3">
        <f>((K189-(('Model tilvækst, slagteform, fe'!$I$9/100)*'Model tilvækst, slagteform, fe'!$C$9))*1000/(A189+Forudsætninger!$D$60))</f>
        <v>677.75516038450633</v>
      </c>
      <c r="N189" s="17">
        <f t="shared" si="66"/>
        <v>918.78147856972305</v>
      </c>
      <c r="O189" s="19">
        <f>IF( A189&lt;Forudsætninger!$C$14,(G189/100)*Forudsætninger!$C$13,(Forudsætninger!$C$15/1000)*Forudsætninger!$C$13)</f>
        <v>2.06658750490383</v>
      </c>
      <c r="P189" s="17" cm="1">
        <f t="array" ref="P189">INDEX('Model tilvækst, slagteform, fe'!$O$9:$O$375,MATCH(MIN(ABS('Model tilvækst, slagteform, fe'!$M$9:$M$375-G189)),ABS('Model tilvækst, slagteform, fe'!$M$9:$M$375-G189),0))*(1+Forudsætninger!$D$80)</f>
        <v>6.9877670619273724</v>
      </c>
      <c r="Q189" s="17">
        <f t="shared" si="67"/>
        <v>7.9450573278868122</v>
      </c>
      <c r="R189" s="17">
        <f t="shared" si="68"/>
        <v>6.728890442248507</v>
      </c>
      <c r="S189" s="2">
        <f t="shared" si="58"/>
        <v>3.7358477983740248</v>
      </c>
      <c r="T189" s="19">
        <f>(P189)*IF(N189&lt;Forudsætninger!$B$228,IF(N189&lt;Forudsætninger!$B$227,Forudsætninger!$B$225,Forudsætninger!$C$9),Forudsætninger!$C$11)+O189</f>
        <v>18.41796242981388</v>
      </c>
      <c r="U189" s="2">
        <f>Forudsætninger!$D$68+((K189-(Forudsætninger!$D$84)))*0.01</f>
        <v>6.8546352153731043</v>
      </c>
      <c r="V189" s="2">
        <f>U189+Forudsætninger!$D$69</f>
        <v>6.8546352153731043</v>
      </c>
      <c r="W189">
        <f t="shared" si="59"/>
        <v>1</v>
      </c>
      <c r="X189">
        <f>IF(A189+Forudsætninger!$D$60&gt;248,IF(A189+Forudsætninger!$D$60&lt;365,IF(K189&gt;180,IF(K189&lt;260,1,0),0),0),0)</f>
        <v>0</v>
      </c>
      <c r="Y189" s="22">
        <f>IF(X189=0,0,IF('Vækstfunktion, kry tyr'!A189&lt;Forudsætninger!$D$66,Forudsætninger!$D$67+(('Vækstfunktion, kry tyr'!A189-Forudsætninger!$D$66)/7)*Forudsætninger!$D$64,Forudsætninger!$D$67))</f>
        <v>0</v>
      </c>
      <c r="Z189" s="19">
        <f t="shared" si="72"/>
        <v>2883.34570903849</v>
      </c>
      <c r="AA189" s="19">
        <f>Forudsætninger!$D$62+Forudsætninger!$C$16</f>
        <v>2055</v>
      </c>
      <c r="AB189" s="19">
        <f>IF(K189&gt;Forudsætninger!$C$37,IF(K189&gt;Forudsætninger!$C$38,IF(K189&gt;Forudsætninger!$C$39,Forudsætninger!$E$39,Forudsætninger!$E$38+Forudsætninger!$F$39*(K189-Forudsætninger!$C$38)),Forudsætninger!$E$37+Forudsætninger!$F$38*(K189-Forudsætninger!$C$37)),Forudsætninger!$E$37)+IF(K189&gt;Forudsætninger!$C$39,Forudsætninger!$G$39,IF(K189&gt;Forudsætninger!$C$38,Forudsætninger!$G$38+Forudsætninger!$H$39*(K189-Forudsætninger!$C$38),IF(K189&gt;Forudsætninger!$C$37,Forudsætninger!$G$37+Forudsætninger!$H$38*(K189-Forudsætninger!$C$37),Forudsætninger!$G$37)))*(U189-Forudsætninger!$H$37)</f>
        <v>35.285463521537309</v>
      </c>
      <c r="AC189" s="19">
        <f>IF(K189&gt;Forudsætninger!$C$42,IF(K189&gt;Forudsætninger!$C$43,IF(K189&gt;Forudsætninger!$C$44,Forudsætninger!$E$44,Forudsætninger!$E$43+Forudsætninger!$F$44*(K189-Forudsætninger!$C$43)),Forudsætninger!$E$42+Forudsætninger!$F$43*(K189-Forudsætninger!$C$42)),Forudsætninger!$E$42)+IF(K189&gt;Forudsætninger!$C$44,Forudsætninger!$G$44,IF(K189&gt;Forudsætninger!$C$43,Forudsætninger!$G$43+Forudsætninger!$H$44*(K189-Forudsætninger!$C$43),IF(K189&gt;Forudsætninger!$C$42,Forudsætninger!$G$42+Forudsætninger!$H$43*(K189-Forudsætninger!$C$42),Forudsætninger!$G$42)))*(V189-Forudsætninger!$H$42)</f>
        <v>30.363658803843276</v>
      </c>
      <c r="AD189" s="19">
        <f t="shared" si="60"/>
        <v>5207.4419791004775</v>
      </c>
      <c r="AE189" s="19">
        <f t="shared" si="61"/>
        <v>30.363658803843276</v>
      </c>
      <c r="AF189">
        <f>IF(G189&lt;=Forudsætninger!$C$97,Forudsætninger!$C$98,(IF(G189&lt;=Forudsætninger!$D$97,Forudsætninger!$D$98,IF(G189&lt;=Forudsætninger!$E$97,Forudsætninger!$E$98,IF(G189&lt;=Forudsætninger!$F$97,Forudsætninger!$F$98,IF(G189&lt;=Forudsætninger!$G$97,Forudsætninger!$G$98,IF(G189&lt;=Forudsætninger!$H$97,Forudsætninger!$H$98,IF(G189&lt;=Forudsætninger!$I$97,Forudsætninger!$I$98,Forudsætninger!$I$98))))))))</f>
        <v>3.8</v>
      </c>
      <c r="AG189" s="1">
        <f t="shared" si="69"/>
        <v>4.4000000000000004</v>
      </c>
      <c r="AH189" s="1">
        <f t="shared" si="73"/>
        <v>506.99999999999852</v>
      </c>
      <c r="AI189" s="1">
        <f t="shared" si="62"/>
        <v>2.7112299465240564</v>
      </c>
      <c r="AJ189" s="20">
        <f>+(W189*Forudsætninger!$C$12)</f>
        <v>900</v>
      </c>
      <c r="AK189" s="20">
        <f>Forudsætninger!$C$17</f>
        <v>250</v>
      </c>
      <c r="AL189" s="20">
        <f>IF(A189&lt;92,Forudsætninger!$C$20,Forudsætninger!$C$21)</f>
        <v>1.0566762728146013</v>
      </c>
      <c r="AM189" s="20">
        <f t="shared" si="70"/>
        <v>466.10394586962178</v>
      </c>
      <c r="AN189" s="19">
        <f>IFERROR(AD189+AJ189-AA189-Z189-AK189-AM189-Forudsætninger!$D$75,-99999)</f>
        <v>235.10035049140552</v>
      </c>
      <c r="AO189" s="57">
        <f>IFERROR(AN189/(A189+Forudsætninger!$D$74),-99999)</f>
        <v>1.2572211256224894</v>
      </c>
      <c r="AP189" s="19">
        <f>IFERROR(((365/(A189+Forudsætninger!$D$74))*AN189)/(AI189+Forudsætninger!$D$73),-99999)</f>
        <v>162.65448742226295</v>
      </c>
      <c r="AQ189" s="18">
        <f t="shared" si="74"/>
        <v>187</v>
      </c>
      <c r="AR189" s="18">
        <f t="shared" si="75"/>
        <v>5654.4496549081114</v>
      </c>
      <c r="AS189" s="50">
        <f t="shared" si="76"/>
        <v>7.3</v>
      </c>
      <c r="AT189" s="50">
        <f t="shared" si="77"/>
        <v>7.6057018699160039</v>
      </c>
      <c r="AU189" s="50">
        <f t="shared" si="78"/>
        <v>3.4131616904803819E-2</v>
      </c>
      <c r="AV189" s="2">
        <f t="shared" si="79"/>
        <v>3.9049238027089359</v>
      </c>
      <c r="AW189" s="16">
        <f t="shared" si="71"/>
        <v>3.7497555955135153</v>
      </c>
      <c r="AZ189" s="16"/>
      <c r="BA189" s="2"/>
    </row>
    <row r="190" spans="1:53" x14ac:dyDescent="0.25">
      <c r="A190">
        <v>188</v>
      </c>
      <c r="B190" s="1">
        <f>ROUND((A190+Forudsætninger!$D$60)/30.4,1)</f>
        <v>7.3</v>
      </c>
      <c r="C190" s="1">
        <f>VLOOKUP((A190+Forudsætninger!$D$60),'Model tilvækst, slagteform, fe'!A:C,3,FALSE)</f>
        <v>380.2477441959137</v>
      </c>
      <c r="D190" s="3">
        <f t="shared" si="80"/>
        <v>1751.8641768971861</v>
      </c>
      <c r="E190" s="3">
        <f>(1+Forudsætninger!$D$78)*C190</f>
        <v>319.4081051245675</v>
      </c>
      <c r="F190" s="2">
        <f t="shared" si="82"/>
        <v>0</v>
      </c>
      <c r="G190" s="1">
        <f t="shared" si="56"/>
        <v>319.4081051245675</v>
      </c>
      <c r="H190" s="3">
        <f t="shared" si="63"/>
        <v>1471.5659085936181</v>
      </c>
      <c r="I190" s="3">
        <f t="shared" si="64"/>
        <v>1316.0005591732313</v>
      </c>
      <c r="J190" s="1">
        <f>VLOOKUP((A190+Forudsætninger!$D$60),'Model tilvækst, slagteform, fe'!G:K,3,FALSE)*(1+Forudsætninger!$D$79)</f>
        <v>53.96871451069638</v>
      </c>
      <c r="K190" s="17">
        <f t="shared" si="57"/>
        <v>172.38044837870282</v>
      </c>
      <c r="L190" s="17">
        <f t="shared" si="65"/>
        <v>877.99497735758791</v>
      </c>
      <c r="M190" s="3">
        <f>((K190-(('Model tilvækst, slagteform, fe'!$I$9/100)*'Model tilvækst, slagteform, fe'!$C$9))*1000/(A190+Forudsætninger!$D$60))</f>
        <v>678.65714154204284</v>
      </c>
      <c r="N190" s="17">
        <f t="shared" si="66"/>
        <v>925.775545050255</v>
      </c>
      <c r="O190" s="19">
        <f>IF( A190&lt;Forudsætninger!$C$14,(G190/100)*Forudsætninger!$C$13,(Forudsætninger!$C$15/1000)*Forudsætninger!$C$13)</f>
        <v>2.0761526833096888</v>
      </c>
      <c r="P190" s="17" cm="1">
        <f t="array" ref="P190">INDEX('Model tilvækst, slagteform, fe'!$O$9:$O$375,MATCH(MIN(ABS('Model tilvækst, slagteform, fe'!$M$9:$M$375-G190)),ABS('Model tilvækst, slagteform, fe'!$M$9:$M$375-G190),0))*(1+Forudsætninger!$D$80)</f>
        <v>6.9940664805319122</v>
      </c>
      <c r="Q190" s="17">
        <f t="shared" si="67"/>
        <v>7.9659527228518341</v>
      </c>
      <c r="R190" s="17">
        <f t="shared" si="68"/>
        <v>6.7367941553916921</v>
      </c>
      <c r="S190" s="2">
        <f t="shared" si="58"/>
        <v>3.7418965905912271</v>
      </c>
      <c r="T190" s="19">
        <f>(P190)*IF(N190&lt;Forudsætninger!$B$228,IF(N190&lt;Forudsætninger!$B$227,Forudsætninger!$B$225,Forudsætninger!$C$9),Forudsætninger!$C$11)+O190</f>
        <v>18.442268247754363</v>
      </c>
      <c r="U190" s="2">
        <f>Forudsætninger!$D$68+((K190-(Forudsætninger!$D$84)))*0.01</f>
        <v>6.8634151651466802</v>
      </c>
      <c r="V190" s="2">
        <f>U190+Forudsætninger!$D$69</f>
        <v>6.8634151651466802</v>
      </c>
      <c r="W190">
        <f t="shared" si="59"/>
        <v>1</v>
      </c>
      <c r="X190">
        <f>IF(A190+Forudsætninger!$D$60&gt;248,IF(A190+Forudsætninger!$D$60&lt;365,IF(K190&gt;180,IF(K190&lt;260,1,0),0),0),0)</f>
        <v>0</v>
      </c>
      <c r="Y190" s="22">
        <f>IF(X190=0,0,IF('Vækstfunktion, kry tyr'!A190&lt;Forudsætninger!$D$66,Forudsætninger!$D$67+(('Vækstfunktion, kry tyr'!A190-Forudsætninger!$D$66)/7)*Forudsætninger!$D$64,Forudsætninger!$D$67))</f>
        <v>0</v>
      </c>
      <c r="Z190" s="19">
        <f t="shared" si="72"/>
        <v>2901.7879772862443</v>
      </c>
      <c r="AA190" s="19">
        <f>Forudsætninger!$D$62+Forudsætninger!$C$16</f>
        <v>2055</v>
      </c>
      <c r="AB190" s="19">
        <f>IF(K190&gt;Forudsætninger!$C$37,IF(K190&gt;Forudsætninger!$C$38,IF(K190&gt;Forudsætninger!$C$39,Forudsætninger!$E$39,Forudsætninger!$E$38+Forudsætninger!$F$39*(K190-Forudsætninger!$C$38)),Forudsætninger!$E$37+Forudsætninger!$F$38*(K190-Forudsætninger!$C$37)),Forudsætninger!$E$37)+IF(K190&gt;Forudsætninger!$C$39,Forudsætninger!$G$39,IF(K190&gt;Forudsætninger!$C$38,Forudsætninger!$G$38+Forudsætninger!$H$39*(K190-Forudsætninger!$C$38),IF(K190&gt;Forudsætninger!$C$37,Forudsætninger!$G$37+Forudsætninger!$H$38*(K190-Forudsætninger!$C$37),Forudsætninger!$G$37)))*(U190-Forudsætninger!$H$37)</f>
        <v>35.286341516514668</v>
      </c>
      <c r="AC190" s="19">
        <f>IF(K190&gt;Forudsætninger!$C$42,IF(K190&gt;Forudsætninger!$C$43,IF(K190&gt;Forudsætninger!$C$44,Forudsætninger!$E$44,Forudsætninger!$E$43+Forudsætninger!$F$44*(K190-Forudsætninger!$C$43)),Forudsætninger!$E$42+Forudsætninger!$F$43*(K190-Forudsætninger!$C$42)),Forudsætninger!$E$42)+IF(K190&gt;Forudsætninger!$C$44,Forudsætninger!$G$44,IF(K190&gt;Forudsætninger!$C$43,Forudsætninger!$G$43+Forudsætninger!$H$44*(K190-Forudsætninger!$C$43),IF(K190&gt;Forudsætninger!$C$42,Forudsætninger!$G$42+Forudsætninger!$H$43*(K190-Forudsætninger!$C$42),Forudsætninger!$G$42)))*(V190-Forudsætninger!$H$42)</f>
        <v>30.365853791286668</v>
      </c>
      <c r="AD190" s="19">
        <f t="shared" si="60"/>
        <v>5234.4794919441292</v>
      </c>
      <c r="AE190" s="19">
        <f t="shared" si="61"/>
        <v>30.365853791286671</v>
      </c>
      <c r="AF190">
        <f>IF(G190&lt;=Forudsætninger!$C$97,Forudsætninger!$C$98,(IF(G190&lt;=Forudsætninger!$D$97,Forudsætninger!$D$98,IF(G190&lt;=Forudsætninger!$E$97,Forudsætninger!$E$98,IF(G190&lt;=Forudsætninger!$F$97,Forudsætninger!$F$98,IF(G190&lt;=Forudsætninger!$G$97,Forudsætninger!$G$98,IF(G190&lt;=Forudsætninger!$H$97,Forudsætninger!$H$98,IF(G190&lt;=Forudsætninger!$I$97,Forudsætninger!$I$98,Forudsætninger!$I$98))))))))</f>
        <v>3.8</v>
      </c>
      <c r="AG190" s="1">
        <f t="shared" si="69"/>
        <v>4.4000000000000004</v>
      </c>
      <c r="AH190" s="1">
        <f t="shared" si="73"/>
        <v>511.3999999999985</v>
      </c>
      <c r="AI190" s="1">
        <f t="shared" si="62"/>
        <v>2.7202127659574389</v>
      </c>
      <c r="AJ190" s="20">
        <f>+(W190*Forudsætninger!$C$12)</f>
        <v>900</v>
      </c>
      <c r="AK190" s="20">
        <f>Forudsætninger!$C$17</f>
        <v>250</v>
      </c>
      <c r="AL190" s="20">
        <f>IF(A190&lt;92,Forudsætninger!$C$20,Forudsætninger!$C$21)</f>
        <v>1.0566762728146013</v>
      </c>
      <c r="AM190" s="20">
        <f t="shared" si="70"/>
        <v>467.16062214243641</v>
      </c>
      <c r="AN190" s="19">
        <f>IFERROR(AD190+AJ190-AA190-Z190-AK190-AM190-Forudsætninger!$D$75,-99999)</f>
        <v>242.63891881448828</v>
      </c>
      <c r="AO190" s="57">
        <f>IFERROR(AN190/(A190+Forudsætninger!$D$74),-99999)</f>
        <v>1.2906325468855759</v>
      </c>
      <c r="AP190" s="19">
        <f>IFERROR(((365/(A190+Forudsætninger!$D$74))*AN190)/(AI190+Forudsætninger!$D$73),-99999)</f>
        <v>166.44716089176151</v>
      </c>
      <c r="AQ190" s="18">
        <f t="shared" si="74"/>
        <v>188</v>
      </c>
      <c r="AR190" s="18">
        <f t="shared" si="75"/>
        <v>5673.9485994286806</v>
      </c>
      <c r="AS190" s="50">
        <f t="shared" si="76"/>
        <v>7.3</v>
      </c>
      <c r="AT190" s="50">
        <f t="shared" si="77"/>
        <v>7.5385683230827567</v>
      </c>
      <c r="AU190" s="50">
        <f t="shared" si="78"/>
        <v>3.3411421263086494E-2</v>
      </c>
      <c r="AV190" s="2">
        <f t="shared" si="79"/>
        <v>3.7926734694985669</v>
      </c>
      <c r="AW190" s="16">
        <f t="shared" si="71"/>
        <v>3.7755294731751317</v>
      </c>
      <c r="AZ190" s="16"/>
      <c r="BA190" s="2"/>
    </row>
    <row r="191" spans="1:53" x14ac:dyDescent="0.25">
      <c r="A191">
        <v>189</v>
      </c>
      <c r="B191" s="1">
        <f>ROUND((A191+Forudsætninger!$D$60)/30.4,1)</f>
        <v>7.3</v>
      </c>
      <c r="C191" s="1">
        <f>VLOOKUP((A191+Forudsætninger!$D$60),'Model tilvækst, slagteform, fe'!A:C,3,FALSE)</f>
        <v>381.99624555204656</v>
      </c>
      <c r="D191" s="3">
        <f t="shared" si="80"/>
        <v>1748.5013561328628</v>
      </c>
      <c r="E191" s="3">
        <f>(1+Forudsætninger!$D$78)*C191</f>
        <v>320.87684626371907</v>
      </c>
      <c r="F191" s="2">
        <f t="shared" si="82"/>
        <v>0</v>
      </c>
      <c r="G191" s="1">
        <f t="shared" si="56"/>
        <v>320.87684626371907</v>
      </c>
      <c r="H191" s="3">
        <f t="shared" si="63"/>
        <v>1468.7411391515752</v>
      </c>
      <c r="I191" s="3">
        <f t="shared" si="64"/>
        <v>1316.808710390048</v>
      </c>
      <c r="J191" s="1">
        <f>VLOOKUP((A191+Forudsætninger!$D$60),'Model tilvækst, slagteform, fe'!G:K,3,FALSE)*(1+Forudsætninger!$D$79)</f>
        <v>53.994817401736071</v>
      </c>
      <c r="K191" s="17">
        <f t="shared" si="57"/>
        <v>173.25686722454449</v>
      </c>
      <c r="L191" s="17">
        <f t="shared" si="65"/>
        <v>876.41884584166974</v>
      </c>
      <c r="M191" s="3">
        <f>((K191-(('Model tilvækst, slagteform, fe'!$I$9/100)*'Model tilvækst, slagteform, fe'!$C$9))*1000/(A191+Forudsætninger!$D$60))</f>
        <v>679.54396532813985</v>
      </c>
      <c r="N191" s="17">
        <f t="shared" si="66"/>
        <v>932.78220849575723</v>
      </c>
      <c r="O191" s="19">
        <f>IF( A191&lt;Forudsætninger!$C$14,(G191/100)*Forudsætninger!$C$13,(Forudsætninger!$C$15/1000)*Forudsætninger!$C$13)</f>
        <v>2.0856995007141741</v>
      </c>
      <c r="P191" s="17" cm="1">
        <f t="array" ref="P191">INDEX('Model tilvækst, slagteform, fe'!$O$9:$O$375,MATCH(MIN(ABS('Model tilvækst, slagteform, fe'!$M$9:$M$375-G191)),ABS('Model tilvækst, slagteform, fe'!$M$9:$M$375-G191),0))*(1+Forudsætninger!$D$80)</f>
        <v>7.0066634455021699</v>
      </c>
      <c r="Q191" s="17">
        <f t="shared" si="67"/>
        <v>7.994651733867399</v>
      </c>
      <c r="R191" s="17">
        <f t="shared" si="68"/>
        <v>6.7447654668279986</v>
      </c>
      <c r="S191" s="2">
        <f t="shared" si="58"/>
        <v>3.7479670065705784</v>
      </c>
      <c r="T191" s="19">
        <f>(P191)*IF(N191&lt;Forudsætninger!$B$228,IF(N191&lt;Forudsætninger!$B$227,Forudsætninger!$B$225,Forudsætninger!$C$9),Forudsætninger!$C$11)+O191</f>
        <v>18.48129196318925</v>
      </c>
      <c r="U191" s="2">
        <f>Forudsætninger!$D$68+((K191-(Forudsætninger!$D$84)))*0.01</f>
        <v>6.8721793536050972</v>
      </c>
      <c r="V191" s="2">
        <f>U191+Forudsætninger!$D$69</f>
        <v>6.8721793536050972</v>
      </c>
      <c r="W191">
        <f t="shared" si="59"/>
        <v>1</v>
      </c>
      <c r="X191">
        <f>IF(A191+Forudsætninger!$D$60&gt;248,IF(A191+Forudsætninger!$D$60&lt;365,IF(K191&gt;180,IF(K191&lt;260,1,0),0),0),0)</f>
        <v>0</v>
      </c>
      <c r="Y191" s="22">
        <f>IF(X191=0,0,IF('Vækstfunktion, kry tyr'!A191&lt;Forudsætninger!$D$66,Forudsætninger!$D$67+(('Vækstfunktion, kry tyr'!A191-Forudsætninger!$D$66)/7)*Forudsætninger!$D$64,Forudsætninger!$D$67))</f>
        <v>0</v>
      </c>
      <c r="Z191" s="19">
        <f t="shared" si="72"/>
        <v>2920.2692692494334</v>
      </c>
      <c r="AA191" s="19">
        <f>Forudsætninger!$D$62+Forudsætninger!$C$16</f>
        <v>2055</v>
      </c>
      <c r="AB191" s="19">
        <f>IF(K191&gt;Forudsætninger!$C$37,IF(K191&gt;Forudsætninger!$C$38,IF(K191&gt;Forudsætninger!$C$39,Forudsætninger!$E$39,Forudsætninger!$E$38+Forudsætninger!$F$39*(K191-Forudsætninger!$C$38)),Forudsætninger!$E$37+Forudsætninger!$F$38*(K191-Forudsætninger!$C$37)),Forudsætninger!$E$37)+IF(K191&gt;Forudsætninger!$C$39,Forudsætninger!$G$39,IF(K191&gt;Forudsætninger!$C$38,Forudsætninger!$G$38+Forudsætninger!$H$39*(K191-Forudsætninger!$C$38),IF(K191&gt;Forudsætninger!$C$37,Forudsætninger!$G$37+Forudsætninger!$H$38*(K191-Forudsætninger!$C$37),Forudsætninger!$G$37)))*(U191-Forudsætninger!$H$37)</f>
        <v>35.287217935360509</v>
      </c>
      <c r="AC191" s="19">
        <f>IF(K191&gt;Forudsætninger!$C$42,IF(K191&gt;Forudsætninger!$C$43,IF(K191&gt;Forudsætninger!$C$44,Forudsætninger!$E$44,Forudsætninger!$E$43+Forudsætninger!$F$44*(K191-Forudsætninger!$C$43)),Forudsætninger!$E$42+Forudsætninger!$F$43*(K191-Forudsætninger!$C$42)),Forudsætninger!$E$42)+IF(K191&gt;Forudsætninger!$C$44,Forudsætninger!$G$44,IF(K191&gt;Forudsætninger!$C$43,Forudsætninger!$G$43+Forudsætninger!$H$44*(K191-Forudsætninger!$C$43),IF(K191&gt;Forudsætninger!$C$42,Forudsætninger!$G$42+Forudsætninger!$H$43*(K191-Forudsætninger!$C$42),Forudsætninger!$G$42)))*(V191-Forudsætninger!$H$42)</f>
        <v>30.368044838401271</v>
      </c>
      <c r="AD191" s="19">
        <f t="shared" si="60"/>
        <v>5261.4723124359025</v>
      </c>
      <c r="AE191" s="19">
        <f t="shared" si="61"/>
        <v>30.368044838401271</v>
      </c>
      <c r="AF191">
        <f>IF(G191&lt;=Forudsætninger!$C$97,Forudsætninger!$C$98,(IF(G191&lt;=Forudsætninger!$D$97,Forudsætninger!$D$98,IF(G191&lt;=Forudsætninger!$E$97,Forudsætninger!$E$98,IF(G191&lt;=Forudsætninger!$F$97,Forudsætninger!$F$98,IF(G191&lt;=Forudsætninger!$G$97,Forudsætninger!$G$98,IF(G191&lt;=Forudsætninger!$H$97,Forudsætninger!$H$98,IF(G191&lt;=Forudsætninger!$I$97,Forudsætninger!$I$98,Forudsætninger!$I$98))))))))</f>
        <v>3.8</v>
      </c>
      <c r="AG191" s="1">
        <f t="shared" si="69"/>
        <v>4.4000000000000004</v>
      </c>
      <c r="AH191" s="1">
        <f t="shared" si="73"/>
        <v>515.79999999999848</v>
      </c>
      <c r="AI191" s="1">
        <f t="shared" si="62"/>
        <v>2.729100529100521</v>
      </c>
      <c r="AJ191" s="20">
        <f>+(W191*Forudsætninger!$C$12)</f>
        <v>900</v>
      </c>
      <c r="AK191" s="20">
        <f>Forudsætninger!$C$17</f>
        <v>250</v>
      </c>
      <c r="AL191" s="20">
        <f>IF(A191&lt;92,Forudsætninger!$C$20,Forudsætninger!$C$21)</f>
        <v>1.0566762728146013</v>
      </c>
      <c r="AM191" s="20">
        <f t="shared" si="70"/>
        <v>468.21729841525104</v>
      </c>
      <c r="AN191" s="19">
        <f>IFERROR(AD191+AJ191-AA191-Z191-AK191-AM191-Forudsætninger!$D$75,-99999)</f>
        <v>250.09377107025787</v>
      </c>
      <c r="AO191" s="57">
        <f>IFERROR(AN191/(A191+Forudsætninger!$D$74),-99999)</f>
        <v>1.3232474659802005</v>
      </c>
      <c r="AP191" s="19">
        <f>IFERROR(((365/(A191+Forudsætninger!$D$74))*AN191)/(AI191+Forudsætninger!$D$73),-99999)</f>
        <v>170.11913461049289</v>
      </c>
      <c r="AQ191" s="18">
        <f t="shared" si="74"/>
        <v>189</v>
      </c>
      <c r="AR191" s="18">
        <f t="shared" si="75"/>
        <v>5693.4865676646841</v>
      </c>
      <c r="AS191" s="50">
        <f t="shared" si="76"/>
        <v>7.3</v>
      </c>
      <c r="AT191" s="50">
        <f t="shared" si="77"/>
        <v>7.4548522557695946</v>
      </c>
      <c r="AU191" s="50">
        <f t="shared" si="78"/>
        <v>3.261491909462455E-2</v>
      </c>
      <c r="AV191" s="2">
        <f t="shared" si="79"/>
        <v>3.6719737187313797</v>
      </c>
      <c r="AW191" s="16">
        <f t="shared" si="71"/>
        <v>3.800587669235497</v>
      </c>
      <c r="AZ191" s="16"/>
      <c r="BA191" s="2"/>
    </row>
    <row r="192" spans="1:53" x14ac:dyDescent="0.25">
      <c r="A192">
        <v>190</v>
      </c>
      <c r="B192" s="1">
        <f>ROUND((A192+Forudsætninger!$D$60)/30.4,1)</f>
        <v>7.4</v>
      </c>
      <c r="C192" s="1">
        <f>VLOOKUP((A192+Forudsætninger!$D$60),'Model tilvækst, slagteform, fe'!A:C,3,FALSE)</f>
        <v>383.74134352597287</v>
      </c>
      <c r="D192" s="3">
        <f t="shared" si="80"/>
        <v>1745.0979739263062</v>
      </c>
      <c r="E192" s="3">
        <f>(1+Forudsætninger!$D$78)*C192</f>
        <v>322.34272856181718</v>
      </c>
      <c r="F192" s="2">
        <f t="shared" si="82"/>
        <v>0</v>
      </c>
      <c r="G192" s="1">
        <f t="shared" si="56"/>
        <v>322.34272856181718</v>
      </c>
      <c r="H192" s="3">
        <f t="shared" si="63"/>
        <v>1465.8822980981085</v>
      </c>
      <c r="I192" s="3">
        <f t="shared" si="64"/>
        <v>1317.5933082200904</v>
      </c>
      <c r="J192" s="1">
        <f>VLOOKUP((A192+Forudsætninger!$D$60),'Model tilvækst, slagteform, fe'!G:K,3,FALSE)*(1+Forudsætninger!$D$79)</f>
        <v>54.020653917784287</v>
      </c>
      <c r="K192" s="17">
        <f t="shared" si="57"/>
        <v>174.13164982552206</v>
      </c>
      <c r="L192" s="17">
        <f t="shared" si="65"/>
        <v>874.78260097756788</v>
      </c>
      <c r="M192" s="3">
        <f>((K192-(('Model tilvækst, slagteform, fe'!$I$9/100)*'Model tilvækst, slagteform, fe'!$C$9))*1000/(A192+Forudsætninger!$D$60))</f>
        <v>680.41556638014606</v>
      </c>
      <c r="N192" s="17">
        <f t="shared" si="66"/>
        <v>939.79517432194325</v>
      </c>
      <c r="O192" s="19">
        <f>IF( A192&lt;Forudsætninger!$C$14,(G192/100)*Forudsætninger!$C$13,(Forudsætninger!$C$15/1000)*Forudsætninger!$C$13)</f>
        <v>2.0952277356518119</v>
      </c>
      <c r="P192" s="17" cm="1">
        <f t="array" ref="P192">INDEX('Model tilvækst, slagteform, fe'!$O$9:$O$375,MATCH(MIN(ABS('Model tilvækst, slagteform, fe'!$M$9:$M$375-G192)),ABS('Model tilvækst, slagteform, fe'!$M$9:$M$375-G192),0))*(1+Forudsætninger!$D$80)</f>
        <v>7.0129658261860364</v>
      </c>
      <c r="Q192" s="17">
        <f t="shared" si="67"/>
        <v>8.0168099117987257</v>
      </c>
      <c r="R192" s="17">
        <f t="shared" si="68"/>
        <v>6.7527610582684279</v>
      </c>
      <c r="S192" s="2">
        <f t="shared" si="58"/>
        <v>3.7540342382657998</v>
      </c>
      <c r="T192" s="19">
        <f>(P192)*IF(N192&lt;Forudsætninger!$B$228,IF(N192&lt;Forudsætninger!$B$227,Forudsætninger!$B$225,Forudsætninger!$C$9),Forudsætninger!$C$11)+O192</f>
        <v>18.505567768927136</v>
      </c>
      <c r="U192" s="2">
        <f>Forudsætninger!$D$68+((K192-(Forudsætninger!$D$84)))*0.01</f>
        <v>6.880927179614873</v>
      </c>
      <c r="V192" s="2">
        <f>U192+Forudsætninger!$D$69</f>
        <v>6.880927179614873</v>
      </c>
      <c r="W192">
        <f t="shared" si="59"/>
        <v>1</v>
      </c>
      <c r="X192">
        <f>IF(A192+Forudsætninger!$D$60&gt;248,IF(A192+Forudsætninger!$D$60&lt;365,IF(K192&gt;180,IF(K192&lt;260,1,0),0),0),0)</f>
        <v>0</v>
      </c>
      <c r="Y192" s="22">
        <f>IF(X192=0,0,IF('Vækstfunktion, kry tyr'!A192&lt;Forudsætninger!$D$66,Forudsætninger!$D$67+(('Vækstfunktion, kry tyr'!A192-Forudsætninger!$D$66)/7)*Forudsætninger!$D$64,Forudsætninger!$D$67))</f>
        <v>0</v>
      </c>
      <c r="Z192" s="19">
        <f t="shared" si="72"/>
        <v>2938.7748370183604</v>
      </c>
      <c r="AA192" s="19">
        <f>Forudsætninger!$D$62+Forudsætninger!$C$16</f>
        <v>2055</v>
      </c>
      <c r="AB192" s="19">
        <f>IF(K192&gt;Forudsætninger!$C$37,IF(K192&gt;Forudsætninger!$C$38,IF(K192&gt;Forudsætninger!$C$39,Forudsætninger!$E$39,Forudsætninger!$E$38+Forudsætninger!$F$39*(K192-Forudsætninger!$C$38)),Forudsætninger!$E$37+Forudsætninger!$F$38*(K192-Forudsætninger!$C$37)),Forudsætninger!$E$37)+IF(K192&gt;Forudsætninger!$C$39,Forudsætninger!$G$39,IF(K192&gt;Forudsætninger!$C$38,Forudsætninger!$G$38+Forudsætninger!$H$39*(K192-Forudsætninger!$C$38),IF(K192&gt;Forudsætninger!$C$37,Forudsætninger!$G$37+Forudsætninger!$H$38*(K192-Forudsætninger!$C$37),Forudsætninger!$G$37)))*(U192-Forudsætninger!$H$37)</f>
        <v>35.28809271796149</v>
      </c>
      <c r="AC192" s="19">
        <f>IF(K192&gt;Forudsætninger!$C$42,IF(K192&gt;Forudsætninger!$C$43,IF(K192&gt;Forudsætninger!$C$44,Forudsætninger!$E$44,Forudsætninger!$E$43+Forudsætninger!$F$44*(K192-Forudsætninger!$C$43)),Forudsætninger!$E$42+Forudsætninger!$F$43*(K192-Forudsætninger!$C$42)),Forudsætninger!$E$42)+IF(K192&gt;Forudsætninger!$C$44,Forudsætninger!$G$44,IF(K192&gt;Forudsætninger!$C$43,Forudsætninger!$G$43+Forudsætninger!$H$44*(K192-Forudsætninger!$C$43),IF(K192&gt;Forudsætninger!$C$42,Forudsætninger!$G$42+Forudsætninger!$H$43*(K192-Forudsætninger!$C$42),Forudsætninger!$G$42)))*(V192-Forudsætninger!$H$42)</f>
        <v>30.370231794903717</v>
      </c>
      <c r="AD192" s="19">
        <f t="shared" si="60"/>
        <v>5288.4185680301107</v>
      </c>
      <c r="AE192" s="19">
        <f t="shared" si="61"/>
        <v>30.37023179490372</v>
      </c>
      <c r="AF192">
        <f>IF(G192&lt;=Forudsætninger!$C$97,Forudsætninger!$C$98,(IF(G192&lt;=Forudsætninger!$D$97,Forudsætninger!$D$98,IF(G192&lt;=Forudsætninger!$E$97,Forudsætninger!$E$98,IF(G192&lt;=Forudsætninger!$F$97,Forudsætninger!$F$98,IF(G192&lt;=Forudsætninger!$G$97,Forudsætninger!$G$98,IF(G192&lt;=Forudsætninger!$H$97,Forudsætninger!$H$98,IF(G192&lt;=Forudsætninger!$I$97,Forudsætninger!$I$98,Forudsætninger!$I$98))))))))</f>
        <v>3.8</v>
      </c>
      <c r="AG192" s="1">
        <f t="shared" si="69"/>
        <v>4.4000000000000004</v>
      </c>
      <c r="AH192" s="1">
        <f t="shared" si="73"/>
        <v>520.19999999999845</v>
      </c>
      <c r="AI192" s="1">
        <f t="shared" si="62"/>
        <v>2.7378947368420969</v>
      </c>
      <c r="AJ192" s="20">
        <f>+(W192*Forudsætninger!$C$12)</f>
        <v>900</v>
      </c>
      <c r="AK192" s="20">
        <f>Forudsætninger!$C$17</f>
        <v>250</v>
      </c>
      <c r="AL192" s="20">
        <f>IF(A192&lt;92,Forudsætninger!$C$20,Forudsætninger!$C$21)</f>
        <v>1.0566762728146013</v>
      </c>
      <c r="AM192" s="20">
        <f t="shared" si="70"/>
        <v>469.27397468806566</v>
      </c>
      <c r="AN192" s="19">
        <f>IFERROR(AD192+AJ192-AA192-Z192-AK192-AM192-Forudsætninger!$D$75,-99999)</f>
        <v>257.47778262272448</v>
      </c>
      <c r="AO192" s="57">
        <f>IFERROR(AN192/(A192+Forudsætninger!$D$74),-99999)</f>
        <v>1.3551462243301289</v>
      </c>
      <c r="AP192" s="19">
        <f>IFERROR(((365/(A192+Forudsætninger!$D$74))*AN192)/(AI192+Forudsætninger!$D$73),-99999)</f>
        <v>173.68211173035431</v>
      </c>
      <c r="AQ192" s="18">
        <f t="shared" si="74"/>
        <v>190</v>
      </c>
      <c r="AR192" s="18">
        <f t="shared" si="75"/>
        <v>5713.0488117064251</v>
      </c>
      <c r="AS192" s="50">
        <f t="shared" si="76"/>
        <v>7.4</v>
      </c>
      <c r="AT192" s="50">
        <f t="shared" si="77"/>
        <v>7.3840115524666032</v>
      </c>
      <c r="AU192" s="50">
        <f t="shared" si="78"/>
        <v>3.1898758349928391E-2</v>
      </c>
      <c r="AV192" s="2">
        <f t="shared" si="79"/>
        <v>3.5629771198614151</v>
      </c>
      <c r="AW192" s="16">
        <f t="shared" si="71"/>
        <v>3.8250092490041587</v>
      </c>
      <c r="AZ192" s="16"/>
      <c r="BA192" s="2"/>
    </row>
    <row r="193" spans="1:53" x14ac:dyDescent="0.25">
      <c r="A193">
        <v>191</v>
      </c>
      <c r="B193" s="1">
        <f>ROUND((A193+Forudsætninger!$D$60)/30.4,1)</f>
        <v>7.4</v>
      </c>
      <c r="C193" s="1">
        <f>VLOOKUP((A193+Forudsætninger!$D$60),'Model tilvækst, slagteform, fe'!A:C,3,FALSE)</f>
        <v>385.48299817718771</v>
      </c>
      <c r="D193" s="3">
        <f t="shared" si="80"/>
        <v>1741.6546512148443</v>
      </c>
      <c r="E193" s="3">
        <f>(1+Forudsætninger!$D$78)*C193</f>
        <v>323.80571846883765</v>
      </c>
      <c r="F193" s="2">
        <f t="shared" si="82"/>
        <v>0</v>
      </c>
      <c r="G193" s="1">
        <f t="shared" si="56"/>
        <v>323.80571846883765</v>
      </c>
      <c r="H193" s="3">
        <f t="shared" si="63"/>
        <v>1462.9899070204715</v>
      </c>
      <c r="I193" s="3">
        <f t="shared" si="64"/>
        <v>1318.3545469572653</v>
      </c>
      <c r="J193" s="1">
        <f>VLOOKUP((A193+Forudsætninger!$D$60),'Model tilvækst, slagteform, fe'!G:K,3,FALSE)*(1+Forudsætninger!$D$79)</f>
        <v>54.046215328003015</v>
      </c>
      <c r="K193" s="17">
        <f t="shared" si="57"/>
        <v>175.00473584805522</v>
      </c>
      <c r="L193" s="17">
        <f t="shared" si="65"/>
        <v>873.08602253315826</v>
      </c>
      <c r="M193" s="3">
        <f>((K193-(('Model tilvækst, slagteform, fe'!$I$9/100)*'Model tilvækst, slagteform, fe'!$C$9))*1000/(A193+Forudsætninger!$D$60))</f>
        <v>681.27187951860401</v>
      </c>
      <c r="N193" s="17">
        <f t="shared" si="66"/>
        <v>946.81444835049103</v>
      </c>
      <c r="O193" s="19">
        <f>IF( A193&lt;Forudsætninger!$C$14,(G193/100)*Forudsætninger!$C$13,(Forudsætninger!$C$15/1000)*Forudsætninger!$C$13)</f>
        <v>2.1047371700474446</v>
      </c>
      <c r="P193" s="17" cm="1">
        <f t="array" ref="P193">INDEX('Model tilvækst, slagteform, fe'!$O$9:$O$375,MATCH(MIN(ABS('Model tilvækst, slagteform, fe'!$M$9:$M$375-G193)),ABS('Model tilvækst, slagteform, fe'!$M$9:$M$375-G193),0))*(1+Forudsætninger!$D$80)</f>
        <v>7.0192740285478283</v>
      </c>
      <c r="Q193" s="17">
        <f t="shared" si="67"/>
        <v>8.0396133340701237</v>
      </c>
      <c r="R193" s="17">
        <f t="shared" si="68"/>
        <v>6.7607837091956746</v>
      </c>
      <c r="S193" s="2">
        <f t="shared" si="58"/>
        <v>3.7600990720457546</v>
      </c>
      <c r="T193" s="19">
        <f>(P193)*IF(N193&lt;Forudsætninger!$B$228,IF(N193&lt;Forudsætninger!$B$227,Forudsætninger!$B$225,Forudsætninger!$C$9),Forudsætninger!$C$11)+O193</f>
        <v>18.529838396849364</v>
      </c>
      <c r="U193" s="2">
        <f>Forudsætninger!$D$68+((K193-(Forudsætninger!$D$84)))*0.01</f>
        <v>6.8896580398402048</v>
      </c>
      <c r="V193" s="2">
        <f>U193+Forudsætninger!$D$69</f>
        <v>6.8896580398402048</v>
      </c>
      <c r="W193">
        <f t="shared" si="59"/>
        <v>1</v>
      </c>
      <c r="X193">
        <f>IF(A193+Forudsætninger!$D$60&gt;248,IF(A193+Forudsætninger!$D$60&lt;365,IF(K193&gt;180,IF(K193&lt;260,1,0),0),0),0)</f>
        <v>0</v>
      </c>
      <c r="Y193" s="22">
        <f>IF(X193=0,0,IF('Vækstfunktion, kry tyr'!A193&lt;Forudsætninger!$D$66,Forudsætninger!$D$67+(('Vækstfunktion, kry tyr'!A193-Forudsætninger!$D$66)/7)*Forudsætninger!$D$64,Forudsætninger!$D$67))</f>
        <v>0</v>
      </c>
      <c r="Z193" s="19">
        <f t="shared" si="72"/>
        <v>2957.3046754152097</v>
      </c>
      <c r="AA193" s="19">
        <f>Forudsætninger!$D$62+Forudsætninger!$C$16</f>
        <v>2055</v>
      </c>
      <c r="AB193" s="19">
        <f>IF(K193&gt;Forudsætninger!$C$37,IF(K193&gt;Forudsætninger!$C$38,IF(K193&gt;Forudsætninger!$C$39,Forudsætninger!$E$39,Forudsætninger!$E$38+Forudsætninger!$F$39*(K193-Forudsætninger!$C$38)),Forudsætninger!$E$37+Forudsætninger!$F$38*(K193-Forudsætninger!$C$37)),Forudsætninger!$E$37)+IF(K193&gt;Forudsætninger!$C$39,Forudsætninger!$G$39,IF(K193&gt;Forudsætninger!$C$38,Forudsætninger!$G$38+Forudsætninger!$H$39*(K193-Forudsætninger!$C$38),IF(K193&gt;Forudsætninger!$C$37,Forudsætninger!$G$37+Forudsætninger!$H$38*(K193-Forudsætninger!$C$37),Forudsætninger!$G$37)))*(U193-Forudsætninger!$H$37)</f>
        <v>35.28896580398402</v>
      </c>
      <c r="AC193" s="19">
        <f>IF(K193&gt;Forudsætninger!$C$42,IF(K193&gt;Forudsætninger!$C$43,IF(K193&gt;Forudsætninger!$C$44,Forudsætninger!$E$44,Forudsætninger!$E$43+Forudsætninger!$F$44*(K193-Forudsætninger!$C$43)),Forudsætninger!$E$42+Forudsætninger!$F$43*(K193-Forudsætninger!$C$42)),Forudsætninger!$E$42)+IF(K193&gt;Forudsætninger!$C$44,Forudsætninger!$G$44,IF(K193&gt;Forudsætninger!$C$43,Forudsætninger!$G$43+Forudsætninger!$H$44*(K193-Forudsætninger!$C$43),IF(K193&gt;Forudsætninger!$C$42,Forudsætninger!$G$42+Forudsætninger!$H$43*(K193-Forudsætninger!$C$42),Forudsætninger!$G$42)))*(V193-Forudsætninger!$H$42)</f>
        <v>30.372414509960048</v>
      </c>
      <c r="AD193" s="19">
        <f t="shared" si="60"/>
        <v>5315.3163783831978</v>
      </c>
      <c r="AE193" s="19">
        <f t="shared" si="61"/>
        <v>30.372414509960048</v>
      </c>
      <c r="AF193">
        <f>IF(G193&lt;=Forudsætninger!$C$97,Forudsætninger!$C$98,(IF(G193&lt;=Forudsætninger!$D$97,Forudsætninger!$D$98,IF(G193&lt;=Forudsætninger!$E$97,Forudsætninger!$E$98,IF(G193&lt;=Forudsætninger!$F$97,Forudsætninger!$F$98,IF(G193&lt;=Forudsætninger!$G$97,Forudsætninger!$G$98,IF(G193&lt;=Forudsætninger!$H$97,Forudsætninger!$H$98,IF(G193&lt;=Forudsætninger!$I$97,Forudsætninger!$I$98,Forudsætninger!$I$98))))))))</f>
        <v>3.8</v>
      </c>
      <c r="AG193" s="1">
        <f t="shared" si="69"/>
        <v>4.4000000000000004</v>
      </c>
      <c r="AH193" s="1">
        <f t="shared" si="73"/>
        <v>524.59999999999843</v>
      </c>
      <c r="AI193" s="1">
        <f t="shared" si="62"/>
        <v>2.746596858638735</v>
      </c>
      <c r="AJ193" s="20">
        <f>+(W193*Forudsætninger!$C$12)</f>
        <v>900</v>
      </c>
      <c r="AK193" s="20">
        <f>Forudsætninger!$C$17</f>
        <v>250</v>
      </c>
      <c r="AL193" s="20">
        <f>IF(A193&lt;92,Forudsætninger!$C$20,Forudsætninger!$C$21)</f>
        <v>1.0566762728146013</v>
      </c>
      <c r="AM193" s="20">
        <f t="shared" si="70"/>
        <v>470.33065096088029</v>
      </c>
      <c r="AN193" s="19">
        <f>IFERROR(AD193+AJ193-AA193-Z193-AK193-AM193-Forudsætninger!$D$75,-99999)</f>
        <v>264.78907830614764</v>
      </c>
      <c r="AO193" s="57">
        <f>IFERROR(AN193/(A193+Forudsætninger!$D$74),-99999)</f>
        <v>1.3863302529117678</v>
      </c>
      <c r="AP193" s="19">
        <f>IFERROR(((365/(A193+Forudsætninger!$D$74))*AN193)/(AI193+Forudsætninger!$D$73),-99999)</f>
        <v>177.13754070076462</v>
      </c>
      <c r="AQ193" s="18">
        <f t="shared" si="74"/>
        <v>191</v>
      </c>
      <c r="AR193" s="18">
        <f t="shared" si="75"/>
        <v>5732.6353263760893</v>
      </c>
      <c r="AS193" s="50">
        <f t="shared" si="76"/>
        <v>7.4</v>
      </c>
      <c r="AT193" s="50">
        <f t="shared" si="77"/>
        <v>7.3112956834231682</v>
      </c>
      <c r="AU193" s="50">
        <f t="shared" si="78"/>
        <v>3.1184028581638934E-2</v>
      </c>
      <c r="AV193" s="2">
        <f t="shared" si="79"/>
        <v>3.4554289704103098</v>
      </c>
      <c r="AW193" s="16">
        <f t="shared" si="71"/>
        <v>3.848794394068209</v>
      </c>
      <c r="AZ193" s="16"/>
      <c r="BA193" s="2"/>
    </row>
    <row r="194" spans="1:53" x14ac:dyDescent="0.25">
      <c r="A194">
        <v>192</v>
      </c>
      <c r="B194" s="1">
        <f>ROUND((A194+Forudsætninger!$D$60)/30.4,1)</f>
        <v>7.4</v>
      </c>
      <c r="C194" s="1">
        <f>VLOOKUP((A194+Forudsætninger!$D$60),'Model tilvækst, slagteform, fe'!A:C,3,FALSE)</f>
        <v>387.22117018612255</v>
      </c>
      <c r="D194" s="3">
        <f t="shared" si="80"/>
        <v>1738.1720089348391</v>
      </c>
      <c r="E194" s="3">
        <f>(1+Forudsætninger!$D$78)*C194</f>
        <v>325.26578295634295</v>
      </c>
      <c r="F194" s="2">
        <f t="shared" si="82"/>
        <v>0</v>
      </c>
      <c r="G194" s="1">
        <f t="shared" si="56"/>
        <v>325.26578295634295</v>
      </c>
      <c r="H194" s="3">
        <f t="shared" si="63"/>
        <v>1460.0644875052922</v>
      </c>
      <c r="I194" s="3">
        <f t="shared" si="64"/>
        <v>1319.0926195642862</v>
      </c>
      <c r="J194" s="1">
        <f>VLOOKUP((A194+Forudsætninger!$D$60),'Model tilvækst, slagteform, fe'!G:K,3,FALSE)*(1+Forudsætninger!$D$79)</f>
        <v>54.071492901554244</v>
      </c>
      <c r="K194" s="17">
        <f t="shared" si="57"/>
        <v>175.87606474242381</v>
      </c>
      <c r="L194" s="17">
        <f t="shared" si="65"/>
        <v>871.32889436858818</v>
      </c>
      <c r="M194" s="3">
        <f>((K194-(('Model tilvækst, slagteform, fe'!$I$9/100)*'Model tilvækst, slagteform, fe'!$C$9))*1000/(A194+Forudsætninger!$D$60))</f>
        <v>682.11283976130289</v>
      </c>
      <c r="N194" s="17">
        <f t="shared" si="66"/>
        <v>953.84003882023762</v>
      </c>
      <c r="O194" s="19">
        <f>IF( A194&lt;Forudsætninger!$C$14,(G194/100)*Forudsætninger!$C$13,(Forudsætninger!$C$15/1000)*Forudsætninger!$C$13)</f>
        <v>2.1142275892162292</v>
      </c>
      <c r="P194" s="17" cm="1">
        <f t="array" ref="P194">INDEX('Model tilvækst, slagteform, fe'!$O$9:$O$375,MATCH(MIN(ABS('Model tilvækst, slagteform, fe'!$M$9:$M$375-G194)),ABS('Model tilvækst, slagteform, fe'!$M$9:$M$375-G194),0))*(1+Forudsætninger!$D$80)</f>
        <v>7.0255904697466205</v>
      </c>
      <c r="Q194" s="17">
        <f t="shared" si="67"/>
        <v>8.0630752809336617</v>
      </c>
      <c r="R194" s="17">
        <f t="shared" si="68"/>
        <v>6.7688361733502047</v>
      </c>
      <c r="S194" s="2">
        <f t="shared" si="58"/>
        <v>3.7661622809294264</v>
      </c>
      <c r="T194" s="19">
        <f>(P194)*IF(N194&lt;Forudsætninger!$B$228,IF(N194&lt;Forudsætninger!$B$227,Forudsætninger!$B$225,Forudsætninger!$C$9),Forudsætninger!$C$11)+O194</f>
        <v>18.554109288423319</v>
      </c>
      <c r="U194" s="2">
        <f>Forudsætninger!$D$68+((K194-(Forudsætninger!$D$84)))*0.01</f>
        <v>6.8983713287838899</v>
      </c>
      <c r="V194" s="2">
        <f>U194+Forudsætninger!$D$69</f>
        <v>6.8983713287838899</v>
      </c>
      <c r="W194">
        <f t="shared" si="59"/>
        <v>1</v>
      </c>
      <c r="X194">
        <f>IF(A194+Forudsætninger!$D$60&gt;248,IF(A194+Forudsætninger!$D$60&lt;365,IF(K194&gt;180,IF(K194&lt;260,1,0),0),0),0)</f>
        <v>0</v>
      </c>
      <c r="Y194" s="22">
        <f>IF(X194=0,0,IF('Vækstfunktion, kry tyr'!A194&lt;Forudsætninger!$D$66,Forudsætninger!$D$67+(('Vækstfunktion, kry tyr'!A194-Forudsætninger!$D$66)/7)*Forudsætninger!$D$64,Forudsætninger!$D$67))</f>
        <v>0</v>
      </c>
      <c r="Z194" s="19">
        <f t="shared" si="72"/>
        <v>2975.8587847036329</v>
      </c>
      <c r="AA194" s="19">
        <f>Forudsætninger!$D$62+Forudsætninger!$C$16</f>
        <v>2055</v>
      </c>
      <c r="AB194" s="19">
        <f>IF(K194&gt;Forudsætninger!$C$37,IF(K194&gt;Forudsætninger!$C$38,IF(K194&gt;Forudsætninger!$C$39,Forudsætninger!$E$39,Forudsætninger!$E$38+Forudsætninger!$F$39*(K194-Forudsætninger!$C$38)),Forudsætninger!$E$37+Forudsætninger!$F$38*(K194-Forudsætninger!$C$37)),Forudsætninger!$E$37)+IF(K194&gt;Forudsætninger!$C$39,Forudsætninger!$G$39,IF(K194&gt;Forudsætninger!$C$38,Forudsætninger!$G$38+Forudsætninger!$H$39*(K194-Forudsætninger!$C$38),IF(K194&gt;Forudsætninger!$C$37,Forudsætninger!$G$37+Forudsætninger!$H$38*(K194-Forudsætninger!$C$37),Forudsætninger!$G$37)))*(U194-Forudsætninger!$H$37)</f>
        <v>35.28983713287839</v>
      </c>
      <c r="AC194" s="19">
        <f>IF(K194&gt;Forudsætninger!$C$42,IF(K194&gt;Forudsætninger!$C$43,IF(K194&gt;Forudsætninger!$C$44,Forudsætninger!$E$44,Forudsætninger!$E$43+Forudsætninger!$F$44*(K194-Forudsætninger!$C$43)),Forudsætninger!$E$42+Forudsætninger!$F$43*(K194-Forudsætninger!$C$42)),Forudsætninger!$E$42)+IF(K194&gt;Forudsætninger!$C$44,Forudsætninger!$G$44,IF(K194&gt;Forudsætninger!$C$43,Forudsætninger!$G$43+Forudsætninger!$H$44*(K194-Forudsætninger!$C$43),IF(K194&gt;Forudsætninger!$C$42,Forudsætninger!$G$42+Forudsætninger!$H$43*(K194-Forudsætninger!$C$42),Forudsætninger!$G$42)))*(V194-Forudsætninger!$H$42)</f>
        <v>30.374592832195972</v>
      </c>
      <c r="AD194" s="19">
        <f t="shared" si="60"/>
        <v>5342.1638554800611</v>
      </c>
      <c r="AE194" s="19">
        <f t="shared" si="61"/>
        <v>30.374592832195972</v>
      </c>
      <c r="AF194">
        <f>IF(G194&lt;=Forudsætninger!$C$97,Forudsætninger!$C$98,(IF(G194&lt;=Forudsætninger!$D$97,Forudsætninger!$D$98,IF(G194&lt;=Forudsætninger!$E$97,Forudsætninger!$E$98,IF(G194&lt;=Forudsætninger!$F$97,Forudsætninger!$F$98,IF(G194&lt;=Forudsætninger!$G$97,Forudsætninger!$G$98,IF(G194&lt;=Forudsætninger!$H$97,Forudsætninger!$H$98,IF(G194&lt;=Forudsætninger!$I$97,Forudsætninger!$I$98,Forudsætninger!$I$98))))))))</f>
        <v>3.8</v>
      </c>
      <c r="AG194" s="1">
        <f t="shared" si="69"/>
        <v>4.4000000000000004</v>
      </c>
      <c r="AH194" s="1">
        <f t="shared" si="73"/>
        <v>528.99999999999841</v>
      </c>
      <c r="AI194" s="1">
        <f t="shared" si="62"/>
        <v>2.755208333333325</v>
      </c>
      <c r="AJ194" s="20">
        <f>+(W194*Forudsætninger!$C$12)</f>
        <v>900</v>
      </c>
      <c r="AK194" s="20">
        <f>Forudsætninger!$C$17</f>
        <v>250</v>
      </c>
      <c r="AL194" s="20">
        <f>IF(A194&lt;92,Forudsætninger!$C$20,Forudsætninger!$C$21)</f>
        <v>1.0566762728146013</v>
      </c>
      <c r="AM194" s="20">
        <f t="shared" si="70"/>
        <v>471.38732723369492</v>
      </c>
      <c r="AN194" s="19">
        <f>IFERROR(AD194+AJ194-AA194-Z194-AK194-AM194-Forudsætninger!$D$75,-99999)</f>
        <v>272.02576984177313</v>
      </c>
      <c r="AO194" s="57">
        <f>IFERROR(AN194/(A194+Forudsætninger!$D$74),-99999)</f>
        <v>1.4168008845925684</v>
      </c>
      <c r="AP194" s="19">
        <f>IFERROR(((365/(A194+Forudsætninger!$D$74))*AN194)/(AI194+Forudsætninger!$D$73),-99999)</f>
        <v>180.48681377199065</v>
      </c>
      <c r="AQ194" s="18">
        <f t="shared" si="74"/>
        <v>192</v>
      </c>
      <c r="AR194" s="18">
        <f t="shared" si="75"/>
        <v>5752.2461119373274</v>
      </c>
      <c r="AS194" s="50">
        <f t="shared" si="76"/>
        <v>7.4</v>
      </c>
      <c r="AT194" s="50">
        <f t="shared" si="77"/>
        <v>7.2366915356254822</v>
      </c>
      <c r="AU194" s="50">
        <f t="shared" si="78"/>
        <v>3.0470631680800553E-2</v>
      </c>
      <c r="AV194" s="2">
        <f t="shared" si="79"/>
        <v>3.3492730712260368</v>
      </c>
      <c r="AW194" s="16">
        <f t="shared" si="71"/>
        <v>3.8719432139347294</v>
      </c>
      <c r="AZ194" s="16"/>
      <c r="BA194" s="2"/>
    </row>
    <row r="195" spans="1:53" x14ac:dyDescent="0.25">
      <c r="A195">
        <v>193</v>
      </c>
      <c r="B195" s="1">
        <f>ROUND((A195+Forudsætninger!$D$60)/30.4,1)</f>
        <v>7.5</v>
      </c>
      <c r="C195" s="1">
        <f>VLOOKUP((A195+Forudsætninger!$D$60),'Model tilvækst, slagteform, fe'!A:C,3,FALSE)</f>
        <v>388.95582085414532</v>
      </c>
      <c r="D195" s="3">
        <f t="shared" si="80"/>
        <v>1734.6506680227662</v>
      </c>
      <c r="E195" s="3">
        <f>(1+Forudsætninger!$D$78)*C195</f>
        <v>326.72288951748203</v>
      </c>
      <c r="F195" s="2">
        <f t="shared" si="82"/>
        <v>0</v>
      </c>
      <c r="G195" s="1">
        <f t="shared" ref="G195:G258" si="83">E195+F195</f>
        <v>326.72288951748203</v>
      </c>
      <c r="H195" s="3">
        <f t="shared" si="63"/>
        <v>1457.106561139085</v>
      </c>
      <c r="I195" s="3">
        <f t="shared" si="64"/>
        <v>1319.8077177071607</v>
      </c>
      <c r="J195" s="1">
        <f>VLOOKUP((A195+Forudsætninger!$D$60),'Model tilvækst, slagteform, fe'!G:K,3,FALSE)*(1+Forudsætninger!$D$79)</f>
        <v>54.096477907599947</v>
      </c>
      <c r="K195" s="17">
        <f t="shared" ref="K195:K258" si="84">G195*(J195/100)</f>
        <v>176.74557574689686</v>
      </c>
      <c r="L195" s="17">
        <f t="shared" si="65"/>
        <v>869.51100447305407</v>
      </c>
      <c r="M195" s="3">
        <f>((K195-(('Model tilvækst, slagteform, fe'!$I$9/100)*'Model tilvækst, slagteform, fe'!$C$9))*1000/(A195+Forudsætninger!$D$60))</f>
        <v>682.93838233712563</v>
      </c>
      <c r="N195" s="17">
        <f t="shared" si="66"/>
        <v>960.8782965575291</v>
      </c>
      <c r="O195" s="19">
        <f>IF( A195&lt;Forudsætninger!$C$14,(G195/100)*Forudsætninger!$C$13,(Forudsætninger!$C$15/1000)*Forudsætninger!$C$13)</f>
        <v>2.1236987818636335</v>
      </c>
      <c r="P195" s="17" cm="1">
        <f t="array" ref="P195">INDEX('Model tilvækst, slagteform, fe'!$O$9:$O$375,MATCH(MIN(ABS('Model tilvækst, slagteform, fe'!$M$9:$M$375-G195)),ABS('Model tilvækst, slagteform, fe'!$M$9:$M$375-G195),0))*(1+Forudsætninger!$D$80)</f>
        <v>7.0382577372915049</v>
      </c>
      <c r="Q195" s="17">
        <f t="shared" si="67"/>
        <v>8.0945010483873858</v>
      </c>
      <c r="R195" s="17">
        <f t="shared" si="68"/>
        <v>6.7769658963474333</v>
      </c>
      <c r="S195" s="2">
        <f t="shared" ref="S195:S258" si="85">N195/(G195-$G$2)</f>
        <v>3.7722495154546465</v>
      </c>
      <c r="T195" s="19">
        <f>(P195)*IF(N195&lt;Forudsætninger!$B$228,IF(N195&lt;Forudsætninger!$B$227,Forudsætninger!$B$225,Forudsætninger!$C$9),Forudsætninger!$C$11)+O195</f>
        <v>18.593221887125754</v>
      </c>
      <c r="U195" s="2">
        <f>Forudsætninger!$D$68+((K195-(Forudsætninger!$D$84)))*0.01</f>
        <v>6.9070664388286209</v>
      </c>
      <c r="V195" s="2">
        <f>U195+Forudsætninger!$D$69</f>
        <v>6.9070664388286209</v>
      </c>
      <c r="W195">
        <f t="shared" ref="W195:W258" si="86">IF(K195&gt;130,1,0)</f>
        <v>1</v>
      </c>
      <c r="X195">
        <f>IF(A195+Forudsætninger!$D$60&gt;248,IF(A195+Forudsætninger!$D$60&lt;365,IF(K195&gt;180,IF(K195&lt;260,1,0),0),0),0)</f>
        <v>0</v>
      </c>
      <c r="Y195" s="22">
        <f>IF(X195=0,0,IF('Vækstfunktion, kry tyr'!A195&lt;Forudsætninger!$D$66,Forudsætninger!$D$67+(('Vækstfunktion, kry tyr'!A195-Forudsætninger!$D$66)/7)*Forudsætninger!$D$64,Forudsætninger!$D$67))</f>
        <v>0</v>
      </c>
      <c r="Z195" s="19">
        <f t="shared" si="72"/>
        <v>2994.4520065907586</v>
      </c>
      <c r="AA195" s="19">
        <f>Forudsætninger!$D$62+Forudsætninger!$C$16</f>
        <v>2055</v>
      </c>
      <c r="AB195" s="19">
        <f>IF(K195&gt;Forudsætninger!$C$37,IF(K195&gt;Forudsætninger!$C$38,IF(K195&gt;Forudsætninger!$C$39,Forudsætninger!$E$39,Forudsætninger!$E$38+Forudsætninger!$F$39*(K195-Forudsætninger!$C$38)),Forudsætninger!$E$37+Forudsætninger!$F$38*(K195-Forudsætninger!$C$37)),Forudsætninger!$E$37)+IF(K195&gt;Forudsætninger!$C$39,Forudsætninger!$G$39,IF(K195&gt;Forudsætninger!$C$38,Forudsætninger!$G$38+Forudsætninger!$H$39*(K195-Forudsætninger!$C$38),IF(K195&gt;Forudsætninger!$C$37,Forudsætninger!$G$37+Forudsætninger!$H$38*(K195-Forudsætninger!$C$37),Forudsætninger!$G$37)))*(U195-Forudsætninger!$H$37)</f>
        <v>35.290706643882864</v>
      </c>
      <c r="AC195" s="19">
        <f>IF(K195&gt;Forudsætninger!$C$42,IF(K195&gt;Forudsætninger!$C$43,IF(K195&gt;Forudsætninger!$C$44,Forudsætninger!$E$44,Forudsætninger!$E$43+Forudsætninger!$F$44*(K195-Forudsætninger!$C$43)),Forudsætninger!$E$42+Forudsætninger!$F$43*(K195-Forudsætninger!$C$42)),Forudsætninger!$E$42)+IF(K195&gt;Forudsætninger!$C$44,Forudsætninger!$G$44,IF(K195&gt;Forudsætninger!$C$43,Forudsætninger!$G$43+Forudsætninger!$H$44*(K195-Forudsætninger!$C$43),IF(K195&gt;Forudsætninger!$C$42,Forudsætninger!$G$42+Forudsætninger!$H$43*(K195-Forudsætninger!$C$42),Forudsætninger!$G$42)))*(V195-Forudsætninger!$H$42)</f>
        <v>30.376766609707154</v>
      </c>
      <c r="AD195" s="19">
        <f t="shared" ref="AD195:AD258" si="87">(K195*(Y195*AB195+((1-Y195)*AC195)))</f>
        <v>5368.9591037618029</v>
      </c>
      <c r="AE195" s="19">
        <f t="shared" ref="AE195:AE258" si="88">AD195/K195</f>
        <v>30.376766609707154</v>
      </c>
      <c r="AF195">
        <f>IF(G195&lt;=Forudsætninger!$C$97,Forudsætninger!$C$98,(IF(G195&lt;=Forudsætninger!$D$97,Forudsætninger!$D$98,IF(G195&lt;=Forudsætninger!$E$97,Forudsætninger!$E$98,IF(G195&lt;=Forudsætninger!$F$97,Forudsætninger!$F$98,IF(G195&lt;=Forudsætninger!$G$97,Forudsætninger!$G$98,IF(G195&lt;=Forudsætninger!$H$97,Forudsætninger!$H$98,IF(G195&lt;=Forudsætninger!$I$97,Forudsætninger!$I$98,Forudsætninger!$I$98))))))))</f>
        <v>3.8</v>
      </c>
      <c r="AG195" s="1">
        <f t="shared" si="69"/>
        <v>4.4000000000000004</v>
      </c>
      <c r="AH195" s="1">
        <f t="shared" si="73"/>
        <v>533.39999999999839</v>
      </c>
      <c r="AI195" s="1">
        <f t="shared" ref="AI195:AI258" si="89">AH195/A195</f>
        <v>2.7637305699481782</v>
      </c>
      <c r="AJ195" s="20">
        <f>+(W195*Forudsætninger!$C$12)</f>
        <v>900</v>
      </c>
      <c r="AK195" s="20">
        <f>Forudsætninger!$C$17</f>
        <v>250</v>
      </c>
      <c r="AL195" s="20">
        <f>IF(A195&lt;92,Forudsætninger!$C$20,Forudsætninger!$C$21)</f>
        <v>1.0566762728146013</v>
      </c>
      <c r="AM195" s="20">
        <f t="shared" si="70"/>
        <v>472.44400350650955</v>
      </c>
      <c r="AN195" s="19">
        <f>IFERROR(AD195+AJ195-AA195-Z195-AK195-AM195-Forudsætninger!$D$75,-99999)</f>
        <v>279.17111996357448</v>
      </c>
      <c r="AO195" s="57">
        <f>IFERROR(AN195/(A195+Forudsætninger!$D$74),-99999)</f>
        <v>1.4464824868578989</v>
      </c>
      <c r="AP195" s="19">
        <f>IFERROR(((365/(A195+Forudsætninger!$D$74))*AN195)/(AI195+Forudsætninger!$D$73),-99999)</f>
        <v>183.72150584480644</v>
      </c>
      <c r="AQ195" s="18">
        <f t="shared" si="74"/>
        <v>193</v>
      </c>
      <c r="AR195" s="18">
        <f t="shared" si="75"/>
        <v>5771.8960100972681</v>
      </c>
      <c r="AS195" s="50">
        <f t="shared" si="76"/>
        <v>7.5</v>
      </c>
      <c r="AT195" s="50">
        <f t="shared" si="77"/>
        <v>7.1453501218013571</v>
      </c>
      <c r="AU195" s="50">
        <f t="shared" si="78"/>
        <v>2.9681602265330564E-2</v>
      </c>
      <c r="AV195" s="2">
        <f t="shared" si="79"/>
        <v>3.2346920728157897</v>
      </c>
      <c r="AW195" s="16">
        <f t="shared" si="71"/>
        <v>3.8943788780833368</v>
      </c>
      <c r="AZ195" s="16"/>
      <c r="BA195" s="2"/>
    </row>
    <row r="196" spans="1:53" x14ac:dyDescent="0.25">
      <c r="A196">
        <v>194</v>
      </c>
      <c r="B196" s="1">
        <f>ROUND((A196+Forudsætninger!$D$60)/30.4,1)</f>
        <v>7.5</v>
      </c>
      <c r="C196" s="1">
        <f>VLOOKUP((A196+Forudsætninger!$D$60),'Model tilvækst, slagteform, fe'!A:C,3,FALSE)</f>
        <v>390.68691210356059</v>
      </c>
      <c r="D196" s="3">
        <f t="shared" si="80"/>
        <v>1731.0912494152717</v>
      </c>
      <c r="E196" s="3">
        <f>(1+Forudsætninger!$D$78)*C196</f>
        <v>328.17700616699091</v>
      </c>
      <c r="F196" s="2">
        <f t="shared" ref="F196:F259" si="90">MAX(F195-((D196/1000)/15),0)</f>
        <v>0</v>
      </c>
      <c r="G196" s="1">
        <f t="shared" si="83"/>
        <v>328.17700616699091</v>
      </c>
      <c r="H196" s="3">
        <f t="shared" ref="H196:H259" si="91">(G196-G195)*1000</f>
        <v>1454.116649508876</v>
      </c>
      <c r="I196" s="3">
        <f t="shared" ref="I196:I259" si="92">(G196-$G$2)*1000/A196</f>
        <v>1320.5000317886129</v>
      </c>
      <c r="J196" s="1">
        <f>VLOOKUP((A196+Forudsætninger!$D$60),'Model tilvækst, slagteform, fe'!G:K,3,FALSE)*(1+Forudsætninger!$D$79)</f>
        <v>54.121161615302121</v>
      </c>
      <c r="K196" s="17">
        <f t="shared" si="84"/>
        <v>177.61320789189713</v>
      </c>
      <c r="L196" s="17">
        <f t="shared" ref="L196:L259" si="93">(K196-K195)*1000</f>
        <v>867.63214500027175</v>
      </c>
      <c r="M196" s="3">
        <f>((K196-(('Model tilvækst, slagteform, fe'!$I$9/100)*'Model tilvækst, slagteform, fe'!$C$9))*1000/(A196+Forudsætninger!$D$60))</f>
        <v>683.74844269968344</v>
      </c>
      <c r="N196" s="17">
        <f t="shared" ref="N196:N259" si="94">N195+P196</f>
        <v>967.9229099554849</v>
      </c>
      <c r="O196" s="19">
        <f>IF( A196&lt;Forudsætninger!$C$14,(G196/100)*Forudsætninger!$C$13,(Forudsætninger!$C$15/1000)*Forudsætninger!$C$13)</f>
        <v>2.1331505400854409</v>
      </c>
      <c r="P196" s="17" cm="1">
        <f t="array" ref="P196">INDEX('Model tilvækst, slagteform, fe'!$O$9:$O$375,MATCH(MIN(ABS('Model tilvækst, slagteform, fe'!$M$9:$M$375-G196)),ABS('Model tilvækst, slagteform, fe'!$M$9:$M$375-G196),0))*(1+Forudsætninger!$D$80)</f>
        <v>7.0446133979557475</v>
      </c>
      <c r="Q196" s="17">
        <f t="shared" ref="Q196:Q259" si="95">P196/(L196/1000)</f>
        <v>8.1193550037885487</v>
      </c>
      <c r="R196" s="17">
        <f t="shared" ref="R196:R259" si="96">N196/(K196-$K$2)</f>
        <v>6.7851304319013401</v>
      </c>
      <c r="S196" s="2">
        <f t="shared" si="85"/>
        <v>3.7783364105853319</v>
      </c>
      <c r="T196" s="19">
        <f>(P196)*IF(N196&lt;Forudsætninger!$B$228,IF(N196&lt;Forudsætninger!$B$227,Forudsætninger!$B$225,Forudsætninger!$C$9),Forudsætninger!$C$11)+O196</f>
        <v>18.617545891301891</v>
      </c>
      <c r="U196" s="2">
        <f>Forudsætninger!$D$68+((K196-(Forudsætninger!$D$84)))*0.01</f>
        <v>6.9157427602786239</v>
      </c>
      <c r="V196" s="2">
        <f>U196+Forudsætninger!$D$69</f>
        <v>6.9157427602786239</v>
      </c>
      <c r="W196">
        <f t="shared" si="86"/>
        <v>1</v>
      </c>
      <c r="X196">
        <f>IF(A196+Forudsætninger!$D$60&gt;248,IF(A196+Forudsætninger!$D$60&lt;365,IF(K196&gt;180,IF(K196&lt;260,1,0),0),0),0)</f>
        <v>0</v>
      </c>
      <c r="Y196" s="22">
        <f>IF(X196=0,0,IF('Vækstfunktion, kry tyr'!A196&lt;Forudsætninger!$D$66,Forudsætninger!$D$67+(('Vækstfunktion, kry tyr'!A196-Forudsætninger!$D$66)/7)*Forudsætninger!$D$64,Forudsætninger!$D$67))</f>
        <v>0</v>
      </c>
      <c r="Z196" s="19">
        <f t="shared" si="72"/>
        <v>3013.0695524820603</v>
      </c>
      <c r="AA196" s="19">
        <f>Forudsætninger!$D$62+Forudsætninger!$C$16</f>
        <v>2055</v>
      </c>
      <c r="AB196" s="19">
        <f>IF(K196&gt;Forudsætninger!$C$37,IF(K196&gt;Forudsætninger!$C$38,IF(K196&gt;Forudsætninger!$C$39,Forudsætninger!$E$39,Forudsætninger!$E$38+Forudsætninger!$F$39*(K196-Forudsætninger!$C$38)),Forudsætninger!$E$37+Forudsætninger!$F$38*(K196-Forudsætninger!$C$37)),Forudsætninger!$E$37)+IF(K196&gt;Forudsætninger!$C$39,Forudsætninger!$G$39,IF(K196&gt;Forudsætninger!$C$38,Forudsætninger!$G$38+Forudsætninger!$H$39*(K196-Forudsætninger!$C$38),IF(K196&gt;Forudsætninger!$C$37,Forudsætninger!$G$37+Forudsætninger!$H$38*(K196-Forudsætninger!$C$37),Forudsætninger!$G$37)))*(U196-Forudsætninger!$H$37)</f>
        <v>35.291574276027859</v>
      </c>
      <c r="AC196" s="19">
        <f>IF(K196&gt;Forudsætninger!$C$42,IF(K196&gt;Forudsætninger!$C$43,IF(K196&gt;Forudsætninger!$C$44,Forudsætninger!$E$44,Forudsætninger!$E$43+Forudsætninger!$F$44*(K196-Forudsætninger!$C$43)),Forudsætninger!$E$42+Forudsætninger!$F$43*(K196-Forudsætninger!$C$42)),Forudsætninger!$E$42)+IF(K196&gt;Forudsætninger!$C$44,Forudsætninger!$G$44,IF(K196&gt;Forudsætninger!$C$43,Forudsætninger!$G$43+Forudsætninger!$H$44*(K196-Forudsætninger!$C$43),IF(K196&gt;Forudsætninger!$C$42,Forudsætninger!$G$42+Forudsætninger!$H$43*(K196-Forudsætninger!$C$42),Forudsætninger!$G$42)))*(V196-Forudsætninger!$H$42)</f>
        <v>30.378935690069653</v>
      </c>
      <c r="AD196" s="19">
        <f t="shared" si="87"/>
        <v>5395.7002202549147</v>
      </c>
      <c r="AE196" s="19">
        <f t="shared" si="88"/>
        <v>30.378935690069653</v>
      </c>
      <c r="AF196">
        <f>IF(G196&lt;=Forudsætninger!$C$97,Forudsætninger!$C$98,(IF(G196&lt;=Forudsætninger!$D$97,Forudsætninger!$D$98,IF(G196&lt;=Forudsætninger!$E$97,Forudsætninger!$E$98,IF(G196&lt;=Forudsætninger!$F$97,Forudsætninger!$F$98,IF(G196&lt;=Forudsætninger!$G$97,Forudsætninger!$G$98,IF(G196&lt;=Forudsætninger!$H$97,Forudsætninger!$H$98,IF(G196&lt;=Forudsætninger!$I$97,Forudsætninger!$I$98,Forudsætninger!$I$98))))))))</f>
        <v>3.8</v>
      </c>
      <c r="AG196" s="1">
        <f t="shared" ref="AG196:AG259" si="97">IF(AF196&lt;=3.2,IF(AF196&lt;=2.2,2.2,3.2),4.4)</f>
        <v>4.4000000000000004</v>
      </c>
      <c r="AH196" s="1">
        <f t="shared" si="73"/>
        <v>537.79999999999836</v>
      </c>
      <c r="AI196" s="1">
        <f t="shared" si="89"/>
        <v>2.7721649484535997</v>
      </c>
      <c r="AJ196" s="20">
        <f>+(W196*Forudsætninger!$C$12)</f>
        <v>900</v>
      </c>
      <c r="AK196" s="20">
        <f>Forudsætninger!$C$17</f>
        <v>250</v>
      </c>
      <c r="AL196" s="20">
        <f>IF(A196&lt;92,Forudsætninger!$C$20,Forudsætninger!$C$21)</f>
        <v>1.0566762728146013</v>
      </c>
      <c r="AM196" s="20">
        <f t="shared" ref="AM196:AM259" si="98">AL196+AM195</f>
        <v>473.50067977932417</v>
      </c>
      <c r="AN196" s="19">
        <f>IFERROR(AD196+AJ196-AA196-Z196-AK196-AM196-Forudsætninger!$D$75,-99999)</f>
        <v>286.23801429257003</v>
      </c>
      <c r="AO196" s="57">
        <f>IFERROR(AN196/(A196+Forudsætninger!$D$74),-99999)</f>
        <v>1.475453681920464</v>
      </c>
      <c r="AP196" s="19">
        <f>IFERROR(((365/(A196+Forudsætninger!$D$74))*AN196)/(AI196+Forudsætninger!$D$73),-99999)</f>
        <v>186.85280111740954</v>
      </c>
      <c r="AQ196" s="18">
        <f t="shared" si="74"/>
        <v>194</v>
      </c>
      <c r="AR196" s="18">
        <f t="shared" si="75"/>
        <v>5791.5702322613843</v>
      </c>
      <c r="AS196" s="50">
        <f t="shared" si="76"/>
        <v>7.5</v>
      </c>
      <c r="AT196" s="50">
        <f t="shared" si="77"/>
        <v>7.066894328995545</v>
      </c>
      <c r="AU196" s="50">
        <f t="shared" si="78"/>
        <v>2.8971195062565069E-2</v>
      </c>
      <c r="AV196" s="2">
        <f t="shared" si="79"/>
        <v>3.1312952726030971</v>
      </c>
      <c r="AW196" s="16">
        <f t="shared" ref="AW196:AW259" si="99">((AN196+AM196)/A196)</f>
        <v>3.916178835422135</v>
      </c>
      <c r="AZ196" s="16"/>
      <c r="BA196" s="2"/>
    </row>
    <row r="197" spans="1:53" x14ac:dyDescent="0.25">
      <c r="A197">
        <v>195</v>
      </c>
      <c r="B197" s="1">
        <f>ROUND((A197+Forudsætninger!$D$60)/30.4,1)</f>
        <v>7.5</v>
      </c>
      <c r="C197" s="1">
        <f>VLOOKUP((A197+Forudsætninger!$D$60),'Model tilvækst, slagteform, fe'!A:C,3,FALSE)</f>
        <v>392.41440647760982</v>
      </c>
      <c r="D197" s="3">
        <f t="shared" si="80"/>
        <v>1727.494374049229</v>
      </c>
      <c r="E197" s="3">
        <f>(1+Forudsætninger!$D$78)*C197</f>
        <v>329.62810144119226</v>
      </c>
      <c r="F197" s="2">
        <f t="shared" si="90"/>
        <v>0</v>
      </c>
      <c r="G197" s="1">
        <f t="shared" si="83"/>
        <v>329.62810144119226</v>
      </c>
      <c r="H197" s="3">
        <f t="shared" si="91"/>
        <v>1451.0952742013501</v>
      </c>
      <c r="I197" s="3">
        <f t="shared" si="92"/>
        <v>1321.1697509804731</v>
      </c>
      <c r="J197" s="1">
        <f>VLOOKUP((A197+Forudsætninger!$D$60),'Model tilvækst, slagteform, fe'!G:K,3,FALSE)*(1+Forudsætninger!$D$79)</f>
        <v>54.145535293822782</v>
      </c>
      <c r="K197" s="17">
        <f t="shared" si="84"/>
        <v>178.47890000419869</v>
      </c>
      <c r="L197" s="17">
        <f t="shared" si="93"/>
        <v>865.69211230155929</v>
      </c>
      <c r="M197" s="3">
        <f>((K197-(('Model tilvækst, slagteform, fe'!$I$9/100)*'Model tilvækst, slagteform, fe'!$C$9))*1000/(A197+Forudsætninger!$D$60))</f>
        <v>684.54295654073951</v>
      </c>
      <c r="N197" s="17">
        <f t="shared" si="94"/>
        <v>974.97389692157822</v>
      </c>
      <c r="O197" s="19">
        <f>IF( A197&lt;Forudsætninger!$C$14,(G197/100)*Forudsætninger!$C$13,(Forudsætninger!$C$15/1000)*Forudsætninger!$C$13)</f>
        <v>2.1425826593677497</v>
      </c>
      <c r="P197" s="17" cm="1">
        <f t="array" ref="P197">INDEX('Model tilvækst, slagteform, fe'!$O$9:$O$375,MATCH(MIN(ABS('Model tilvækst, slagteform, fe'!$M$9:$M$375-G197)),ABS('Model tilvækst, slagteform, fe'!$M$9:$M$375-G197),0))*(1+Forudsætninger!$D$80)</f>
        <v>7.0509869660932898</v>
      </c>
      <c r="Q197" s="17">
        <f t="shared" si="95"/>
        <v>8.1449130307394046</v>
      </c>
      <c r="R197" s="17">
        <f t="shared" si="96"/>
        <v>6.7933324896412675</v>
      </c>
      <c r="S197" s="2">
        <f t="shared" si="85"/>
        <v>3.7844237156874425</v>
      </c>
      <c r="T197" s="19">
        <f>(P197)*IF(N197&lt;Forudsætninger!$B$228,IF(N197&lt;Forudsætninger!$B$227,Forudsætninger!$B$225,Forudsætninger!$C$9),Forudsætninger!$C$11)+O197</f>
        <v>18.641892160026046</v>
      </c>
      <c r="U197" s="2">
        <f>Forudsætninger!$D$68+((K197-(Forudsætninger!$D$84)))*0.01</f>
        <v>6.9243996814016393</v>
      </c>
      <c r="V197" s="2">
        <f>U197+Forudsætninger!$D$69</f>
        <v>6.9243996814016393</v>
      </c>
      <c r="W197">
        <f t="shared" si="86"/>
        <v>1</v>
      </c>
      <c r="X197">
        <f>IF(A197+Forudsætninger!$D$60&gt;248,IF(A197+Forudsætninger!$D$60&lt;365,IF(K197&gt;180,IF(K197&lt;260,1,0),0),0),0)</f>
        <v>0</v>
      </c>
      <c r="Y197" s="22">
        <f>IF(X197=0,0,IF('Vækstfunktion, kry tyr'!A197&lt;Forudsætninger!$D$66,Forudsætninger!$D$67+(('Vækstfunktion, kry tyr'!A197-Forudsætninger!$D$66)/7)*Forudsætninger!$D$64,Forudsætninger!$D$67))</f>
        <v>0</v>
      </c>
      <c r="Z197" s="19">
        <f t="shared" ref="Z197:Z260" si="100">Z196+T197</f>
        <v>3031.7114446420865</v>
      </c>
      <c r="AA197" s="19">
        <f>Forudsætninger!$D$62+Forudsætninger!$C$16</f>
        <v>2055</v>
      </c>
      <c r="AB197" s="19">
        <f>IF(K197&gt;Forudsætninger!$C$37,IF(K197&gt;Forudsætninger!$C$38,IF(K197&gt;Forudsætninger!$C$39,Forudsætninger!$E$39,Forudsætninger!$E$38+Forudsætninger!$F$39*(K197-Forudsætninger!$C$38)),Forudsætninger!$E$37+Forudsætninger!$F$38*(K197-Forudsætninger!$C$37)),Forudsætninger!$E$37)+IF(K197&gt;Forudsætninger!$C$39,Forudsætninger!$G$39,IF(K197&gt;Forudsætninger!$C$38,Forudsætninger!$G$38+Forudsætninger!$H$39*(K197-Forudsætninger!$C$38),IF(K197&gt;Forudsætninger!$C$37,Forudsætninger!$G$37+Forudsætninger!$H$38*(K197-Forudsætninger!$C$37),Forudsætninger!$G$37)))*(U197-Forudsætninger!$H$37)</f>
        <v>35.292439968140165</v>
      </c>
      <c r="AC197" s="19">
        <f>IF(K197&gt;Forudsætninger!$C$42,IF(K197&gt;Forudsætninger!$C$43,IF(K197&gt;Forudsætninger!$C$44,Forudsætninger!$E$44,Forudsætninger!$E$43+Forudsætninger!$F$44*(K197-Forudsætninger!$C$43)),Forudsætninger!$E$42+Forudsætninger!$F$43*(K197-Forudsætninger!$C$42)),Forudsætninger!$E$42)+IF(K197&gt;Forudsætninger!$C$44,Forudsætninger!$G$44,IF(K197&gt;Forudsætninger!$C$43,Forudsætninger!$G$43+Forudsætninger!$H$44*(K197-Forudsætninger!$C$43),IF(K197&gt;Forudsætninger!$C$42,Forudsætninger!$G$42+Forudsætninger!$H$43*(K197-Forudsætninger!$C$42),Forudsætninger!$G$42)))*(V197-Forudsætninger!$H$42)</f>
        <v>30.381099920350408</v>
      </c>
      <c r="AD197" s="19">
        <f t="shared" si="87"/>
        <v>5422.3852947017895</v>
      </c>
      <c r="AE197" s="19">
        <f t="shared" si="88"/>
        <v>30.381099920350408</v>
      </c>
      <c r="AF197">
        <f>IF(G197&lt;=Forudsætninger!$C$97,Forudsætninger!$C$98,(IF(G197&lt;=Forudsætninger!$D$97,Forudsætninger!$D$98,IF(G197&lt;=Forudsætninger!$E$97,Forudsætninger!$E$98,IF(G197&lt;=Forudsætninger!$F$97,Forudsætninger!$F$98,IF(G197&lt;=Forudsætninger!$G$97,Forudsætninger!$G$98,IF(G197&lt;=Forudsætninger!$H$97,Forudsætninger!$H$98,IF(G197&lt;=Forudsætninger!$I$97,Forudsætninger!$I$98,Forudsætninger!$I$98))))))))</f>
        <v>3.8</v>
      </c>
      <c r="AG197" s="1">
        <f t="shared" si="97"/>
        <v>4.4000000000000004</v>
      </c>
      <c r="AH197" s="1">
        <f t="shared" ref="AH197:AH260" si="101">AH196+AG197</f>
        <v>542.19999999999834</v>
      </c>
      <c r="AI197" s="1">
        <f t="shared" si="89"/>
        <v>2.7805128205128118</v>
      </c>
      <c r="AJ197" s="20">
        <f>+(W197*Forudsætninger!$C$12)</f>
        <v>900</v>
      </c>
      <c r="AK197" s="20">
        <f>Forudsætninger!$C$17</f>
        <v>250</v>
      </c>
      <c r="AL197" s="20">
        <f>IF(A197&lt;92,Forudsætninger!$C$20,Forudsætninger!$C$21)</f>
        <v>1.0566762728146013</v>
      </c>
      <c r="AM197" s="20">
        <f t="shared" si="98"/>
        <v>474.5573560521388</v>
      </c>
      <c r="AN197" s="19">
        <f>IFERROR(AD197+AJ197-AA197-Z197-AK197-AM197-Forudsætninger!$D$75,-99999)</f>
        <v>293.22452030660395</v>
      </c>
      <c r="AO197" s="57">
        <f>IFERROR(AN197/(A197+Forudsætninger!$D$74),-99999)</f>
        <v>1.5037154887518152</v>
      </c>
      <c r="AP197" s="19">
        <f>IFERROR(((365/(A197+Forudsætninger!$D$74))*AN197)/(AI197+Forudsætninger!$D$73),-99999)</f>
        <v>189.88193011959686</v>
      </c>
      <c r="AQ197" s="18">
        <f t="shared" ref="AQ197:AQ260" si="102">A197</f>
        <v>195</v>
      </c>
      <c r="AR197" s="18">
        <f t="shared" ref="AR197:AR260" si="103">AA197+Z197+AK197+AM197</f>
        <v>5811.2688006942253</v>
      </c>
      <c r="AS197" s="50">
        <f t="shared" ref="AS197:AS260" si="104">B197</f>
        <v>7.5</v>
      </c>
      <c r="AT197" s="50">
        <f t="shared" ref="AT197:AT260" si="105">AN197-AN196</f>
        <v>6.986506014033921</v>
      </c>
      <c r="AU197" s="50">
        <f t="shared" ref="AU197:AU260" si="106">AO197-AO196</f>
        <v>2.8261806831351155E-2</v>
      </c>
      <c r="AV197" s="2">
        <f t="shared" ref="AV197:AV260" si="107">AP197-AP196</f>
        <v>3.0291290021873181</v>
      </c>
      <c r="AW197" s="16">
        <f t="shared" si="99"/>
        <v>3.9373429556858599</v>
      </c>
      <c r="AZ197" s="16"/>
      <c r="BA197" s="2"/>
    </row>
    <row r="198" spans="1:53" x14ac:dyDescent="0.25">
      <c r="A198">
        <v>196</v>
      </c>
      <c r="B198" s="1">
        <f>ROUND((A198+Forudsætninger!$D$60)/30.4,1)</f>
        <v>7.6</v>
      </c>
      <c r="C198" s="1">
        <f>VLOOKUP((A198+Forudsætninger!$D$60),'Model tilvækst, slagteform, fe'!A:C,3,FALSE)</f>
        <v>394.1382671404707</v>
      </c>
      <c r="D198" s="3">
        <f t="shared" ref="D198:D261" si="108">(C198-C197)*1000</f>
        <v>1723.8606628608864</v>
      </c>
      <c r="E198" s="3">
        <f>(1+Forudsætninger!$D$78)*C198</f>
        <v>331.07614439799539</v>
      </c>
      <c r="F198" s="2">
        <f t="shared" si="90"/>
        <v>0</v>
      </c>
      <c r="G198" s="1">
        <f t="shared" si="83"/>
        <v>331.07614439799539</v>
      </c>
      <c r="H198" s="3">
        <f t="shared" si="91"/>
        <v>1448.0429568031354</v>
      </c>
      <c r="I198" s="3">
        <f t="shared" si="92"/>
        <v>1321.8170632550787</v>
      </c>
      <c r="J198" s="1">
        <f>VLOOKUP((A198+Forudsætninger!$D$60),'Model tilvækst, slagteform, fe'!G:K,3,FALSE)*(1+Forudsætninger!$D$79)</f>
        <v>54.169590212323861</v>
      </c>
      <c r="K198" s="17">
        <f t="shared" si="84"/>
        <v>179.34259071115571</v>
      </c>
      <c r="L198" s="17">
        <f t="shared" si="93"/>
        <v>863.69070695701566</v>
      </c>
      <c r="M198" s="3">
        <f>((K198-(('Model tilvækst, slagteform, fe'!$I$9/100)*'Model tilvækst, slagteform, fe'!$C$9))*1000/(A198+Forudsætninger!$D$60))</f>
        <v>685.32185980341899</v>
      </c>
      <c r="N198" s="17">
        <f t="shared" si="94"/>
        <v>982.03127778044143</v>
      </c>
      <c r="O198" s="19">
        <f>IF( A198&lt;Forudsætninger!$C$14,(G198/100)*Forudsætninger!$C$13,(Forudsætninger!$C$15/1000)*Forudsætninger!$C$13)</f>
        <v>2.1519949385869701</v>
      </c>
      <c r="P198" s="17" cm="1">
        <f t="array" ref="P198">INDEX('Model tilvækst, slagteform, fe'!$O$9:$O$375,MATCH(MIN(ABS('Model tilvækst, slagteform, fe'!$M$9:$M$375-G198)),ABS('Model tilvækst, slagteform, fe'!$M$9:$M$375-G198),0))*(1+Forudsætninger!$D$80)</f>
        <v>7.0573808588632057</v>
      </c>
      <c r="Q198" s="17">
        <f t="shared" si="95"/>
        <v>8.1711899896758275</v>
      </c>
      <c r="R198" s="17">
        <f t="shared" si="96"/>
        <v>6.8015747571696252</v>
      </c>
      <c r="S198" s="2">
        <f t="shared" si="85"/>
        <v>3.7905121680050753</v>
      </c>
      <c r="T198" s="19">
        <f>(P198)*IF(N198&lt;Forudsætninger!$B$228,IF(N198&lt;Forudsætninger!$B$227,Forudsætninger!$B$225,Forudsætninger!$C$9),Forudsætninger!$C$11)+O198</f>
        <v>18.666266148326869</v>
      </c>
      <c r="U198" s="2">
        <f>Forudsætninger!$D$68+((K198-(Forudsætninger!$D$84)))*0.01</f>
        <v>6.9330365884712091</v>
      </c>
      <c r="V198" s="2">
        <f>U198+Forudsætninger!$D$69</f>
        <v>6.9330365884712091</v>
      </c>
      <c r="W198">
        <f t="shared" si="86"/>
        <v>1</v>
      </c>
      <c r="X198">
        <f>IF(A198+Forudsætninger!$D$60&gt;248,IF(A198+Forudsætninger!$D$60&lt;365,IF(K198&gt;180,IF(K198&lt;260,1,0),0),0),0)</f>
        <v>0</v>
      </c>
      <c r="Y198" s="22">
        <f>IF(X198=0,0,IF('Vækstfunktion, kry tyr'!A198&lt;Forudsætninger!$D$66,Forudsætninger!$D$67+(('Vækstfunktion, kry tyr'!A198-Forudsætninger!$D$66)/7)*Forudsætninger!$D$64,Forudsætninger!$D$67))</f>
        <v>0</v>
      </c>
      <c r="Z198" s="19">
        <f t="shared" si="100"/>
        <v>3050.3777107904134</v>
      </c>
      <c r="AA198" s="19">
        <f>Forudsætninger!$D$62+Forudsætninger!$C$16</f>
        <v>2055</v>
      </c>
      <c r="AB198" s="19">
        <f>IF(K198&gt;Forudsætninger!$C$37,IF(K198&gt;Forudsætninger!$C$38,IF(K198&gt;Forudsætninger!$C$39,Forudsætninger!$E$39,Forudsætninger!$E$38+Forudsætninger!$F$39*(K198-Forudsætninger!$C$38)),Forudsætninger!$E$37+Forudsætninger!$F$38*(K198-Forudsætninger!$C$37)),Forudsætninger!$E$37)+IF(K198&gt;Forudsætninger!$C$39,Forudsætninger!$G$39,IF(K198&gt;Forudsætninger!$C$38,Forudsætninger!$G$38+Forudsætninger!$H$39*(K198-Forudsætninger!$C$38),IF(K198&gt;Forudsætninger!$C$37,Forudsætninger!$G$37+Forudsætninger!$H$38*(K198-Forudsætninger!$C$37),Forudsætninger!$G$37)))*(U198-Forudsætninger!$H$37)</f>
        <v>35.293303658847123</v>
      </c>
      <c r="AC198" s="19">
        <f>IF(K198&gt;Forudsætninger!$C$42,IF(K198&gt;Forudsætninger!$C$43,IF(K198&gt;Forudsætninger!$C$44,Forudsætninger!$E$44,Forudsætninger!$E$43+Forudsætninger!$F$44*(K198-Forudsætninger!$C$43)),Forudsætninger!$E$42+Forudsætninger!$F$43*(K198-Forudsætninger!$C$42)),Forudsætninger!$E$42)+IF(K198&gt;Forudsætninger!$C$44,Forudsætninger!$G$44,IF(K198&gt;Forudsætninger!$C$43,Forudsætninger!$G$43+Forudsætninger!$H$44*(K198-Forudsætninger!$C$43),IF(K198&gt;Forudsætninger!$C$42,Forudsætninger!$G$42+Forudsætninger!$H$43*(K198-Forudsætninger!$C$42),Forudsætninger!$G$42)))*(V198-Forudsætninger!$H$42)</f>
        <v>30.383259147117801</v>
      </c>
      <c r="AD198" s="19">
        <f t="shared" si="87"/>
        <v>5449.0124096925256</v>
      </c>
      <c r="AE198" s="19">
        <f t="shared" si="88"/>
        <v>30.383259147117801</v>
      </c>
      <c r="AF198">
        <f>IF(G198&lt;=Forudsætninger!$C$97,Forudsætninger!$C$98,(IF(G198&lt;=Forudsætninger!$D$97,Forudsætninger!$D$98,IF(G198&lt;=Forudsætninger!$E$97,Forudsætninger!$E$98,IF(G198&lt;=Forudsætninger!$F$97,Forudsætninger!$F$98,IF(G198&lt;=Forudsætninger!$G$97,Forudsætninger!$G$98,IF(G198&lt;=Forudsætninger!$H$97,Forudsætninger!$H$98,IF(G198&lt;=Forudsætninger!$I$97,Forudsætninger!$I$98,Forudsætninger!$I$98))))))))</f>
        <v>3.8</v>
      </c>
      <c r="AG198" s="1">
        <f t="shared" si="97"/>
        <v>4.4000000000000004</v>
      </c>
      <c r="AH198" s="1">
        <f t="shared" si="101"/>
        <v>546.59999999999832</v>
      </c>
      <c r="AI198" s="1">
        <f t="shared" si="89"/>
        <v>2.788775510204073</v>
      </c>
      <c r="AJ198" s="20">
        <f>+(W198*Forudsætninger!$C$12)</f>
        <v>900</v>
      </c>
      <c r="AK198" s="20">
        <f>Forudsætninger!$C$17</f>
        <v>250</v>
      </c>
      <c r="AL198" s="20">
        <f>IF(A198&lt;92,Forudsætninger!$C$20,Forudsætninger!$C$21)</f>
        <v>1.0566762728146013</v>
      </c>
      <c r="AM198" s="20">
        <f t="shared" si="98"/>
        <v>475.61403232495343</v>
      </c>
      <c r="AN198" s="19">
        <f>IFERROR(AD198+AJ198-AA198-Z198-AK198-AM198-Forudsætninger!$D$75,-99999)</f>
        <v>300.12869287619856</v>
      </c>
      <c r="AO198" s="57">
        <f>IFERROR(AN198/(A198+Forudsætninger!$D$74),-99999)</f>
        <v>1.5312688412050948</v>
      </c>
      <c r="AP198" s="19">
        <f>IFERROR(((365/(A198+Forudsætninger!$D$74))*AN198)/(AI198+Forudsætninger!$D$73),-99999)</f>
        <v>192.81007621059703</v>
      </c>
      <c r="AQ198" s="18">
        <f t="shared" si="102"/>
        <v>196</v>
      </c>
      <c r="AR198" s="18">
        <f t="shared" si="103"/>
        <v>5830.9917431153672</v>
      </c>
      <c r="AS198" s="50">
        <f t="shared" si="104"/>
        <v>7.6</v>
      </c>
      <c r="AT198" s="50">
        <f t="shared" si="105"/>
        <v>6.904172569594607</v>
      </c>
      <c r="AU198" s="50">
        <f t="shared" si="106"/>
        <v>2.7553352453279611E-2</v>
      </c>
      <c r="AV198" s="2">
        <f t="shared" si="107"/>
        <v>2.9281460910001726</v>
      </c>
      <c r="AW198" s="16">
        <f t="shared" si="99"/>
        <v>3.957871046944653</v>
      </c>
      <c r="AZ198" s="16"/>
      <c r="BA198" s="2"/>
    </row>
    <row r="199" spans="1:53" x14ac:dyDescent="0.25">
      <c r="A199">
        <v>197</v>
      </c>
      <c r="B199" s="1">
        <f>ROUND((A199+Forudsætninger!$D$60)/30.4,1)</f>
        <v>7.6</v>
      </c>
      <c r="C199" s="1">
        <f>VLOOKUP((A199+Forudsætninger!$D$60),'Model tilvækst, slagteform, fe'!A:C,3,FALSE)</f>
        <v>395.85845787725788</v>
      </c>
      <c r="D199" s="3">
        <f t="shared" si="108"/>
        <v>1720.190736787174</v>
      </c>
      <c r="E199" s="3">
        <f>(1+Forudsætninger!$D$78)*C199</f>
        <v>332.52110461689659</v>
      </c>
      <c r="F199" s="2">
        <f t="shared" si="90"/>
        <v>0</v>
      </c>
      <c r="G199" s="1">
        <f t="shared" si="83"/>
        <v>332.52110461689659</v>
      </c>
      <c r="H199" s="3">
        <f t="shared" si="91"/>
        <v>1444.9602189012012</v>
      </c>
      <c r="I199" s="3">
        <f t="shared" si="92"/>
        <v>1322.4421554157188</v>
      </c>
      <c r="J199" s="1">
        <f>VLOOKUP((A199+Forudsætninger!$D$60),'Model tilvækst, slagteform, fe'!G:K,3,FALSE)*(1+Forudsætninger!$D$79)</f>
        <v>54.193317639967404</v>
      </c>
      <c r="K199" s="17">
        <f t="shared" si="84"/>
        <v>180.20421844496309</v>
      </c>
      <c r="L199" s="17">
        <f t="shared" si="93"/>
        <v>861.62773380738145</v>
      </c>
      <c r="M199" s="3">
        <f>((K199-(('Model tilvækst, slagteform, fe'!$I$9/100)*'Model tilvækst, slagteform, fe'!$C$9))*1000/(A199+Forudsætninger!$D$60))</f>
        <v>686.08508869521097</v>
      </c>
      <c r="N199" s="17">
        <f t="shared" si="94"/>
        <v>989.10151706737793</v>
      </c>
      <c r="O199" s="19">
        <f>IF( A199&lt;Forudsætninger!$C$14,(G199/100)*Forudsætninger!$C$13,(Forudsætninger!$C$15/1000)*Forudsætninger!$C$13)</f>
        <v>2.1613871800098279</v>
      </c>
      <c r="P199" s="17" cm="1">
        <f t="array" ref="P199">INDEX('Model tilvækst, slagteform, fe'!$O$9:$O$375,MATCH(MIN(ABS('Model tilvækst, slagteform, fe'!$M$9:$M$375-G199)),ABS('Model tilvækst, slagteform, fe'!$M$9:$M$375-G199),0))*(1+Forudsætninger!$D$80)</f>
        <v>7.0702392869364621</v>
      </c>
      <c r="Q199" s="17">
        <f t="shared" si="95"/>
        <v>8.2056774747654853</v>
      </c>
      <c r="R199" s="17">
        <f t="shared" si="96"/>
        <v>6.8099042524632969</v>
      </c>
      <c r="S199" s="2">
        <f t="shared" si="85"/>
        <v>3.7966272195946611</v>
      </c>
      <c r="T199" s="19">
        <f>(P199)*IF(N199&lt;Forudsætninger!$B$228,IF(N199&lt;Forudsætninger!$B$227,Forudsætninger!$B$225,Forudsætninger!$C$9),Forudsætninger!$C$11)+O199</f>
        <v>18.705747111441148</v>
      </c>
      <c r="U199" s="2">
        <f>Forudsætninger!$D$68+((K199-(Forudsætninger!$D$84)))*0.01</f>
        <v>6.9416528658092833</v>
      </c>
      <c r="V199" s="2">
        <f>U199+Forudsætninger!$D$69</f>
        <v>6.9416528658092833</v>
      </c>
      <c r="W199">
        <f t="shared" si="86"/>
        <v>1</v>
      </c>
      <c r="X199">
        <f>IF(A199+Forudsætninger!$D$60&gt;248,IF(A199+Forudsætninger!$D$60&lt;365,IF(K199&gt;180,IF(K199&lt;260,1,0),0),0),0)</f>
        <v>0</v>
      </c>
      <c r="Y199" s="22">
        <f>IF(X199=0,0,IF('Vækstfunktion, kry tyr'!A199&lt;Forudsætninger!$D$66,Forudsætninger!$D$67+(('Vækstfunktion, kry tyr'!A199-Forudsætninger!$D$66)/7)*Forudsætninger!$D$64,Forudsætninger!$D$67))</f>
        <v>0</v>
      </c>
      <c r="Z199" s="19">
        <f t="shared" si="100"/>
        <v>3069.0834579018547</v>
      </c>
      <c r="AA199" s="19">
        <f>Forudsætninger!$D$62+Forudsætninger!$C$16</f>
        <v>2055</v>
      </c>
      <c r="AB199" s="19">
        <f>IF(K199&gt;Forudsætninger!$C$37,IF(K199&gt;Forudsætninger!$C$38,IF(K199&gt;Forudsætninger!$C$39,Forudsætninger!$E$39,Forudsætninger!$E$38+Forudsætninger!$F$39*(K199-Forudsætninger!$C$38)),Forudsætninger!$E$37+Forudsætninger!$F$38*(K199-Forudsætninger!$C$37)),Forudsætninger!$E$37)+IF(K199&gt;Forudsætninger!$C$39,Forudsætninger!$G$39,IF(K199&gt;Forudsætninger!$C$38,Forudsætninger!$G$38+Forudsætninger!$H$39*(K199-Forudsætninger!$C$38),IF(K199&gt;Forudsætninger!$C$37,Forudsætninger!$G$37+Forudsætninger!$H$38*(K199-Forudsætninger!$C$37),Forudsætninger!$G$37)))*(U199-Forudsætninger!$H$37)</f>
        <v>35.301653296229574</v>
      </c>
      <c r="AC199" s="19">
        <f>IF(K199&gt;Forudsætninger!$C$42,IF(K199&gt;Forudsætninger!$C$43,IF(K199&gt;Forudsætninger!$C$44,Forudsætninger!$E$44,Forudsætninger!$E$43+Forudsætninger!$F$44*(K199-Forudsætninger!$C$43)),Forudsætninger!$E$42+Forudsætninger!$F$43*(K199-Forudsætninger!$C$42)),Forudsætninger!$E$42)+IF(K199&gt;Forudsætninger!$C$44,Forudsætninger!$G$44,IF(K199&gt;Forudsætninger!$C$43,Forudsætninger!$G$43+Forudsætninger!$H$44*(K199-Forudsætninger!$C$43),IF(K199&gt;Forudsætninger!$C$42,Forudsætninger!$G$42+Forudsætninger!$H$43*(K199-Forudsætninger!$C$42),Forudsætninger!$G$42)))*(V199-Forudsætninger!$H$42)</f>
        <v>30.385413216452321</v>
      </c>
      <c r="AD199" s="19">
        <f t="shared" si="87"/>
        <v>5475.5796407980424</v>
      </c>
      <c r="AE199" s="19">
        <f t="shared" si="88"/>
        <v>30.385413216452321</v>
      </c>
      <c r="AF199">
        <f>IF(G199&lt;=Forudsætninger!$C$97,Forudsætninger!$C$98,(IF(G199&lt;=Forudsætninger!$D$97,Forudsætninger!$D$98,IF(G199&lt;=Forudsætninger!$E$97,Forudsætninger!$E$98,IF(G199&lt;=Forudsætninger!$F$97,Forudsætninger!$F$98,IF(G199&lt;=Forudsætninger!$G$97,Forudsætninger!$G$98,IF(G199&lt;=Forudsætninger!$H$97,Forudsætninger!$H$98,IF(G199&lt;=Forudsætninger!$I$97,Forudsætninger!$I$98,Forudsætninger!$I$98))))))))</f>
        <v>3.8</v>
      </c>
      <c r="AG199" s="1">
        <f t="shared" si="97"/>
        <v>4.4000000000000004</v>
      </c>
      <c r="AH199" s="1">
        <f t="shared" si="101"/>
        <v>550.99999999999829</v>
      </c>
      <c r="AI199" s="1">
        <f t="shared" si="89"/>
        <v>2.7969543147208036</v>
      </c>
      <c r="AJ199" s="20">
        <f>+(W199*Forudsætninger!$C$12)</f>
        <v>900</v>
      </c>
      <c r="AK199" s="20">
        <f>Forudsætninger!$C$17</f>
        <v>250</v>
      </c>
      <c r="AL199" s="20">
        <f>IF(A199&lt;92,Forudsætninger!$C$20,Forudsætninger!$C$21)</f>
        <v>1.0566762728146013</v>
      </c>
      <c r="AM199" s="20">
        <f t="shared" si="98"/>
        <v>476.67070859776805</v>
      </c>
      <c r="AN199" s="19">
        <f>IFERROR(AD199+AJ199-AA199-Z199-AK199-AM199-Forudsætninger!$D$75,-99999)</f>
        <v>306.93350059745956</v>
      </c>
      <c r="AO199" s="57">
        <f>IFERROR(AN199/(A199+Forudsætninger!$D$74),-99999)</f>
        <v>1.5580380740987794</v>
      </c>
      <c r="AP199" s="19">
        <f>IFERROR(((365/(A199+Forudsætninger!$D$74))*AN199)/(AI199+Forudsætninger!$D$73),-99999)</f>
        <v>195.62877000379461</v>
      </c>
      <c r="AQ199" s="18">
        <f t="shared" si="102"/>
        <v>197</v>
      </c>
      <c r="AR199" s="18">
        <f t="shared" si="103"/>
        <v>5850.7541664996224</v>
      </c>
      <c r="AS199" s="50">
        <f t="shared" si="104"/>
        <v>7.6</v>
      </c>
      <c r="AT199" s="50">
        <f t="shared" si="105"/>
        <v>6.8048077212609996</v>
      </c>
      <c r="AU199" s="50">
        <f t="shared" si="106"/>
        <v>2.6769232893684602E-2</v>
      </c>
      <c r="AV199" s="2">
        <f t="shared" si="107"/>
        <v>2.818693793197582</v>
      </c>
      <c r="AW199" s="16">
        <f t="shared" si="99"/>
        <v>3.9776863410925261</v>
      </c>
      <c r="AZ199" s="16"/>
      <c r="BA199" s="2"/>
    </row>
    <row r="200" spans="1:53" x14ac:dyDescent="0.25">
      <c r="A200">
        <v>198</v>
      </c>
      <c r="B200" s="1">
        <f>ROUND((A200+Forudsætninger!$D$60)/30.4,1)</f>
        <v>7.6</v>
      </c>
      <c r="C200" s="1">
        <f>VLOOKUP((A200+Forudsætninger!$D$60),'Model tilvækst, slagteform, fe'!A:C,3,FALSE)</f>
        <v>397.5749430940225</v>
      </c>
      <c r="D200" s="3">
        <f t="shared" si="108"/>
        <v>1716.4852167646245</v>
      </c>
      <c r="E200" s="3">
        <f>(1+Forudsætninger!$D$78)*C200</f>
        <v>333.96295219897888</v>
      </c>
      <c r="F200" s="2">
        <f t="shared" si="90"/>
        <v>0</v>
      </c>
      <c r="G200" s="1">
        <f t="shared" si="83"/>
        <v>333.96295219897888</v>
      </c>
      <c r="H200" s="3">
        <f t="shared" si="91"/>
        <v>1441.8475820822891</v>
      </c>
      <c r="I200" s="3">
        <f t="shared" si="92"/>
        <v>1323.0452131261561</v>
      </c>
      <c r="J200" s="1">
        <f>VLOOKUP((A200+Forudsætninger!$D$60),'Model tilvækst, slagteform, fe'!G:K,3,FALSE)*(1+Forudsætninger!$D$79)</f>
        <v>54.216708845915363</v>
      </c>
      <c r="K200" s="17">
        <f t="shared" si="84"/>
        <v>181.06372144694387</v>
      </c>
      <c r="L200" s="17">
        <f t="shared" si="93"/>
        <v>859.50300198078367</v>
      </c>
      <c r="M200" s="3">
        <f>((K200-(('Model tilvækst, slagteform, fe'!$I$9/100)*'Model tilvækst, slagteform, fe'!$C$9))*1000/(A200+Forudsætninger!$D$60))</f>
        <v>686.83257970075238</v>
      </c>
      <c r="N200" s="17">
        <f t="shared" si="94"/>
        <v>996.17822572393584</v>
      </c>
      <c r="O200" s="19">
        <f>IF( A200&lt;Forudsætninger!$C$14,(G200/100)*Forudsætninger!$C$13,(Forudsætninger!$C$15/1000)*Forudsætninger!$C$13)</f>
        <v>2.1707591892933626</v>
      </c>
      <c r="P200" s="17" cm="1">
        <f t="array" ref="P200">INDEX('Model tilvækst, slagteform, fe'!$O$9:$O$375,MATCH(MIN(ABS('Model tilvækst, slagteform, fe'!$M$9:$M$375-G200)),ABS('Model tilvækst, slagteform, fe'!$M$9:$M$375-G200),0))*(1+Forudsætninger!$D$80)</f>
        <v>7.0767086565579529</v>
      </c>
      <c r="Q200" s="17">
        <f t="shared" si="95"/>
        <v>8.2334891678670026</v>
      </c>
      <c r="R200" s="17">
        <f t="shared" si="96"/>
        <v>6.8182789377374569</v>
      </c>
      <c r="S200" s="2">
        <f t="shared" si="85"/>
        <v>3.8027446910403953</v>
      </c>
      <c r="T200" s="19">
        <f>(P200)*IF(N200&lt;Forudsætninger!$B$228,IF(N200&lt;Forudsætninger!$B$227,Forudsætninger!$B$225,Forudsætninger!$C$9),Forudsætninger!$C$11)+O200</f>
        <v>18.730257445638973</v>
      </c>
      <c r="U200" s="2">
        <f>Forudsætninger!$D$68+((K200-(Forudsætninger!$D$84)))*0.01</f>
        <v>6.950247895829091</v>
      </c>
      <c r="V200" s="2">
        <f>U200+Forudsætninger!$D$69</f>
        <v>6.950247895829091</v>
      </c>
      <c r="W200">
        <f t="shared" si="86"/>
        <v>1</v>
      </c>
      <c r="X200">
        <f>IF(A200+Forudsætninger!$D$60&gt;248,IF(A200+Forudsætninger!$D$60&lt;365,IF(K200&gt;180,IF(K200&lt;260,1,0),0),0),0)</f>
        <v>0</v>
      </c>
      <c r="Y200" s="22">
        <f>IF(X200=0,0,IF('Vækstfunktion, kry tyr'!A200&lt;Forudsætninger!$D$66,Forudsætninger!$D$67+(('Vækstfunktion, kry tyr'!A200-Forudsætninger!$D$66)/7)*Forudsætninger!$D$64,Forudsætninger!$D$67))</f>
        <v>0</v>
      </c>
      <c r="Z200" s="19">
        <f t="shared" si="100"/>
        <v>3087.8137153474936</v>
      </c>
      <c r="AA200" s="19">
        <f>Forudsætninger!$D$62+Forudsætninger!$C$16</f>
        <v>2055</v>
      </c>
      <c r="AB200" s="19">
        <f>IF(K200&gt;Forudsætninger!$C$37,IF(K200&gt;Forudsætninger!$C$38,IF(K200&gt;Forudsætninger!$C$39,Forudsætninger!$E$39,Forudsætninger!$E$38+Forudsætninger!$F$39*(K200-Forudsætninger!$C$38)),Forudsætninger!$E$37+Forudsætninger!$F$38*(K200-Forudsætninger!$C$37)),Forudsætninger!$E$37)+IF(K200&gt;Forudsætninger!$C$39,Forudsætninger!$G$39,IF(K200&gt;Forudsætninger!$C$38,Forudsætninger!$G$38+Forudsætninger!$H$39*(K200-Forudsætninger!$C$38),IF(K200&gt;Forudsætninger!$C$37,Forudsætninger!$G$37+Forudsætninger!$H$38*(K200-Forudsætninger!$C$37),Forudsætninger!$G$37)))*(U200-Forudsætninger!$H$37)</f>
        <v>35.334027909304183</v>
      </c>
      <c r="AC200" s="19">
        <f>IF(K200&gt;Forudsætninger!$C$42,IF(K200&gt;Forudsætninger!$C$43,IF(K200&gt;Forudsætninger!$C$44,Forudsætninger!$E$44,Forudsætninger!$E$43+Forudsætninger!$F$44*(K200-Forudsætninger!$C$43)),Forudsætninger!$E$42+Forudsætninger!$F$43*(K200-Forudsætninger!$C$42)),Forudsætninger!$E$42)+IF(K200&gt;Forudsætninger!$C$44,Forudsætninger!$G$44,IF(K200&gt;Forudsætninger!$C$43,Forudsætninger!$G$43+Forudsætninger!$H$44*(K200-Forudsætninger!$C$43),IF(K200&gt;Forudsætninger!$C$42,Forudsætninger!$G$42+Forudsætninger!$H$43*(K200-Forudsætninger!$C$42),Forudsætninger!$G$42)))*(V200-Forudsætninger!$H$42)</f>
        <v>30.387561973957272</v>
      </c>
      <c r="AD200" s="19">
        <f t="shared" si="87"/>
        <v>5502.0850567043435</v>
      </c>
      <c r="AE200" s="19">
        <f t="shared" si="88"/>
        <v>30.387561973957272</v>
      </c>
      <c r="AF200">
        <f>IF(G200&lt;=Forudsætninger!$C$97,Forudsætninger!$C$98,(IF(G200&lt;=Forudsætninger!$D$97,Forudsætninger!$D$98,IF(G200&lt;=Forudsætninger!$E$97,Forudsætninger!$E$98,IF(G200&lt;=Forudsætninger!$F$97,Forudsætninger!$F$98,IF(G200&lt;=Forudsætninger!$G$97,Forudsætninger!$G$98,IF(G200&lt;=Forudsætninger!$H$97,Forudsætninger!$H$98,IF(G200&lt;=Forudsætninger!$I$97,Forudsætninger!$I$98,Forudsætninger!$I$98))))))))</f>
        <v>3.8</v>
      </c>
      <c r="AG200" s="1">
        <f t="shared" si="97"/>
        <v>4.4000000000000004</v>
      </c>
      <c r="AH200" s="1">
        <f t="shared" si="101"/>
        <v>555.39999999999827</v>
      </c>
      <c r="AI200" s="1">
        <f t="shared" si="89"/>
        <v>2.8050505050504961</v>
      </c>
      <c r="AJ200" s="20">
        <f>+(W200*Forudsætninger!$C$12)</f>
        <v>900</v>
      </c>
      <c r="AK200" s="20">
        <f>Forudsætninger!$C$17</f>
        <v>250</v>
      </c>
      <c r="AL200" s="20">
        <f>IF(A200&lt;92,Forudsætninger!$C$20,Forudsætninger!$C$21)</f>
        <v>1.0566762728146013</v>
      </c>
      <c r="AM200" s="20">
        <f t="shared" si="98"/>
        <v>477.72738487058268</v>
      </c>
      <c r="AN200" s="19">
        <f>IFERROR(AD200+AJ200-AA200-Z200-AK200-AM200-Forudsætninger!$D$75,-99999)</f>
        <v>313.65198278530704</v>
      </c>
      <c r="AO200" s="57">
        <f>IFERROR(AN200/(A200+Forudsætninger!$D$74),-99999)</f>
        <v>1.5841009231581165</v>
      </c>
      <c r="AP200" s="19">
        <f>IFERROR(((365/(A200+Forudsætninger!$D$74))*AN200)/(AI200+Forudsætninger!$D$73),-99999)</f>
        <v>198.34882309961785</v>
      </c>
      <c r="AQ200" s="18">
        <f t="shared" si="102"/>
        <v>198</v>
      </c>
      <c r="AR200" s="18">
        <f t="shared" si="103"/>
        <v>5870.5411002180763</v>
      </c>
      <c r="AS200" s="50">
        <f t="shared" si="104"/>
        <v>7.6</v>
      </c>
      <c r="AT200" s="50">
        <f t="shared" si="105"/>
        <v>6.718482187847485</v>
      </c>
      <c r="AU200" s="50">
        <f t="shared" si="106"/>
        <v>2.606284905933709E-2</v>
      </c>
      <c r="AV200" s="2">
        <f t="shared" si="107"/>
        <v>2.7200530958232321</v>
      </c>
      <c r="AW200" s="16">
        <f t="shared" si="99"/>
        <v>3.9968654932115641</v>
      </c>
      <c r="AZ200" s="16"/>
      <c r="BA200" s="2"/>
    </row>
    <row r="201" spans="1:53" x14ac:dyDescent="0.25">
      <c r="A201">
        <v>199</v>
      </c>
      <c r="B201" s="1">
        <f>ROUND((A201+Forudsætninger!$D$60)/30.4,1)</f>
        <v>7.7</v>
      </c>
      <c r="C201" s="1">
        <f>VLOOKUP((A201+Forudsætninger!$D$60),'Model tilvækst, slagteform, fe'!A:C,3,FALSE)</f>
        <v>399.28768781775193</v>
      </c>
      <c r="D201" s="3">
        <f t="shared" si="108"/>
        <v>1712.7447237294291</v>
      </c>
      <c r="E201" s="3">
        <f>(1+Forudsætninger!$D$78)*C201</f>
        <v>335.40165776691163</v>
      </c>
      <c r="F201" s="2">
        <f t="shared" si="90"/>
        <v>0</v>
      </c>
      <c r="G201" s="1">
        <f t="shared" si="83"/>
        <v>335.40165776691163</v>
      </c>
      <c r="H201" s="3">
        <f t="shared" si="91"/>
        <v>1438.7055679327432</v>
      </c>
      <c r="I201" s="3">
        <f t="shared" si="92"/>
        <v>1323.6264209392543</v>
      </c>
      <c r="J201" s="1">
        <f>VLOOKUP((A201+Forudsætninger!$D$60),'Model tilvækst, slagteform, fe'!G:K,3,FALSE)*(1+Forudsætninger!$D$79)</f>
        <v>54.239755099329756</v>
      </c>
      <c r="K201" s="17">
        <f t="shared" si="84"/>
        <v>181.92103777186497</v>
      </c>
      <c r="L201" s="17">
        <f t="shared" si="93"/>
        <v>857.31632492110066</v>
      </c>
      <c r="M201" s="3">
        <f>((K201-(('Model tilvækst, slagteform, fe'!$I$9/100)*'Model tilvækst, slagteform, fe'!$C$9))*1000/(A201+Forudsætninger!$D$60))</f>
        <v>687.56426959440182</v>
      </c>
      <c r="N201" s="17">
        <f t="shared" si="94"/>
        <v>1003.2614337433839</v>
      </c>
      <c r="O201" s="19">
        <f>IF( A201&lt;Forudsætninger!$C$14,(G201/100)*Forudsætninger!$C$13,(Forudsætninger!$C$15/1000)*Forudsætninger!$C$13)</f>
        <v>2.1801107754849256</v>
      </c>
      <c r="P201" s="17" cm="1">
        <f t="array" ref="P201">INDEX('Model tilvækst, slagteform, fe'!$O$9:$O$375,MATCH(MIN(ABS('Model tilvækst, slagteform, fe'!$M$9:$M$375-G201)),ABS('Model tilvækst, slagteform, fe'!$M$9:$M$375-G201),0))*(1+Forudsætninger!$D$80)</f>
        <v>7.0832080194481168</v>
      </c>
      <c r="Q201" s="17">
        <f t="shared" si="95"/>
        <v>8.2620706191498083</v>
      </c>
      <c r="R201" s="17">
        <f t="shared" si="96"/>
        <v>6.826701464939446</v>
      </c>
      <c r="S201" s="2">
        <f t="shared" si="85"/>
        <v>3.8088652981492856</v>
      </c>
      <c r="T201" s="19">
        <f>(P201)*IF(N201&lt;Forudsætninger!$B$228,IF(N201&lt;Forudsætninger!$B$227,Forudsætninger!$B$225,Forudsætninger!$C$9),Forudsætninger!$C$11)+O201</f>
        <v>18.754817540993518</v>
      </c>
      <c r="U201" s="2">
        <f>Forudsætninger!$D$68+((K201-(Forudsætninger!$D$84)))*0.01</f>
        <v>6.9588210590783017</v>
      </c>
      <c r="V201" s="2">
        <f>U201+Forudsætninger!$D$69</f>
        <v>6.9588210590783017</v>
      </c>
      <c r="W201">
        <f t="shared" si="86"/>
        <v>1</v>
      </c>
      <c r="X201">
        <f>IF(A201+Forudsætninger!$D$60&gt;248,IF(A201+Forudsætninger!$D$60&lt;365,IF(K201&gt;180,IF(K201&lt;260,1,0),0),0),0)</f>
        <v>0</v>
      </c>
      <c r="Y201" s="22">
        <f>IF(X201=0,0,IF('Vækstfunktion, kry tyr'!A201&lt;Forudsætninger!$D$66,Forudsætninger!$D$67+(('Vækstfunktion, kry tyr'!A201-Forudsætninger!$D$66)/7)*Forudsætninger!$D$64,Forudsætninger!$D$67))</f>
        <v>0</v>
      </c>
      <c r="Z201" s="19">
        <f t="shared" si="100"/>
        <v>3106.568532888487</v>
      </c>
      <c r="AA201" s="19">
        <f>Forudsætninger!$D$62+Forudsætninger!$C$16</f>
        <v>2055</v>
      </c>
      <c r="AB201" s="19">
        <f>IF(K201&gt;Forudsætninger!$C$37,IF(K201&gt;Forudsætninger!$C$38,IF(K201&gt;Forudsætninger!$C$39,Forudsætninger!$E$39,Forudsætninger!$E$38+Forudsætninger!$F$39*(K201-Forudsætninger!$C$38)),Forudsætninger!$E$37+Forudsætninger!$F$38*(K201-Forudsætninger!$C$37)),Forudsætninger!$E$37)+IF(K201&gt;Forudsætninger!$C$39,Forudsætninger!$G$39,IF(K201&gt;Forudsætninger!$C$38,Forudsætninger!$G$38+Forudsætninger!$H$39*(K201-Forudsætninger!$C$38),IF(K201&gt;Forudsætninger!$C$37,Forudsætninger!$G$37+Forudsætninger!$H$38*(K201-Forudsætninger!$C$37),Forudsætninger!$G$37)))*(U201-Forudsætninger!$H$37)</f>
        <v>35.36632015754288</v>
      </c>
      <c r="AC201" s="19">
        <f>IF(K201&gt;Forudsætninger!$C$42,IF(K201&gt;Forudsætninger!$C$43,IF(K201&gt;Forudsætninger!$C$44,Forudsætninger!$E$44,Forudsætninger!$E$43+Forudsætninger!$F$44*(K201-Forudsætninger!$C$43)),Forudsætninger!$E$42+Forudsætninger!$F$43*(K201-Forudsætninger!$C$42)),Forudsætninger!$E$42)+IF(K201&gt;Forudsætninger!$C$44,Forudsætninger!$G$44,IF(K201&gt;Forudsætninger!$C$43,Forudsætninger!$G$43+Forudsætninger!$H$44*(K201-Forudsætninger!$C$43),IF(K201&gt;Forudsætninger!$C$42,Forudsætninger!$G$42+Forudsætninger!$H$43*(K201-Forudsætninger!$C$42),Forudsætninger!$G$42)))*(V201-Forudsætninger!$H$42)</f>
        <v>30.389705264769574</v>
      </c>
      <c r="AD201" s="19">
        <f t="shared" si="87"/>
        <v>5528.5267193479895</v>
      </c>
      <c r="AE201" s="19">
        <f t="shared" si="88"/>
        <v>30.389705264769574</v>
      </c>
      <c r="AF201">
        <f>IF(G201&lt;=Forudsætninger!$C$97,Forudsætninger!$C$98,(IF(G201&lt;=Forudsætninger!$D$97,Forudsætninger!$D$98,IF(G201&lt;=Forudsætninger!$E$97,Forudsætninger!$E$98,IF(G201&lt;=Forudsætninger!$F$97,Forudsætninger!$F$98,IF(G201&lt;=Forudsætninger!$G$97,Forudsætninger!$G$98,IF(G201&lt;=Forudsætninger!$H$97,Forudsætninger!$H$98,IF(G201&lt;=Forudsætninger!$I$97,Forudsætninger!$I$98,Forudsætninger!$I$98))))))))</f>
        <v>3.8</v>
      </c>
      <c r="AG201" s="1">
        <f t="shared" si="97"/>
        <v>4.4000000000000004</v>
      </c>
      <c r="AH201" s="1">
        <f t="shared" si="101"/>
        <v>559.79999999999825</v>
      </c>
      <c r="AI201" s="1">
        <f t="shared" si="89"/>
        <v>2.8130653266331569</v>
      </c>
      <c r="AJ201" s="20">
        <f>+(W201*Forudsætninger!$C$12)</f>
        <v>900</v>
      </c>
      <c r="AK201" s="20">
        <f>Forudsætninger!$C$17</f>
        <v>250</v>
      </c>
      <c r="AL201" s="20">
        <f>IF(A201&lt;92,Forudsætninger!$C$20,Forudsætninger!$C$21)</f>
        <v>1.0566762728146013</v>
      </c>
      <c r="AM201" s="20">
        <f t="shared" si="98"/>
        <v>478.78406114339731</v>
      </c>
      <c r="AN201" s="19">
        <f>IFERROR(AD201+AJ201-AA201-Z201-AK201-AM201-Forudsætninger!$D$75,-99999)</f>
        <v>320.28215161514493</v>
      </c>
      <c r="AO201" s="57">
        <f>IFERROR(AN201/(A201+Forudsætninger!$D$74),-99999)</f>
        <v>1.6094580483173111</v>
      </c>
      <c r="AP201" s="19">
        <f>IFERROR(((365/(A201+Forudsætninger!$D$74))*AN201)/(AI201+Forudsætninger!$D$73),-99999)</f>
        <v>200.97128253799838</v>
      </c>
      <c r="AQ201" s="18">
        <f t="shared" si="102"/>
        <v>199</v>
      </c>
      <c r="AR201" s="18">
        <f t="shared" si="103"/>
        <v>5890.3525940318841</v>
      </c>
      <c r="AS201" s="50">
        <f t="shared" si="104"/>
        <v>7.7</v>
      </c>
      <c r="AT201" s="50">
        <f t="shared" si="105"/>
        <v>6.6301688298378849</v>
      </c>
      <c r="AU201" s="50">
        <f t="shared" si="106"/>
        <v>2.5357125159194638E-2</v>
      </c>
      <c r="AV201" s="2">
        <f t="shared" si="107"/>
        <v>2.6224594383805311</v>
      </c>
      <c r="AW201" s="16">
        <f t="shared" si="99"/>
        <v>4.0154081043142824</v>
      </c>
      <c r="AZ201" s="16"/>
      <c r="BA201" s="2"/>
    </row>
    <row r="202" spans="1:53" x14ac:dyDescent="0.25">
      <c r="A202">
        <v>200</v>
      </c>
      <c r="B202" s="1">
        <f>ROUND((A202+Forudsætninger!$D$60)/30.4,1)</f>
        <v>7.7</v>
      </c>
      <c r="C202" s="1">
        <f>VLOOKUP((A202+Forudsætninger!$D$60),'Model tilvækst, slagteform, fe'!A:C,3,FALSE)</f>
        <v>400.99665769637079</v>
      </c>
      <c r="D202" s="3">
        <f t="shared" si="108"/>
        <v>1708.9698786188592</v>
      </c>
      <c r="E202" s="3">
        <f>(1+Forudsætninger!$D$78)*C202</f>
        <v>336.83719246495144</v>
      </c>
      <c r="F202" s="2">
        <f t="shared" si="90"/>
        <v>0</v>
      </c>
      <c r="G202" s="1">
        <f t="shared" si="83"/>
        <v>336.83719246495144</v>
      </c>
      <c r="H202" s="3">
        <f t="shared" si="91"/>
        <v>1435.5346980398167</v>
      </c>
      <c r="I202" s="3">
        <f t="shared" si="92"/>
        <v>1324.1859623247572</v>
      </c>
      <c r="J202" s="1">
        <f>VLOOKUP((A202+Forudsætninger!$D$60),'Model tilvækst, slagteform, fe'!G:K,3,FALSE)*(1+Forudsætninger!$D$79)</f>
        <v>54.262447669372527</v>
      </c>
      <c r="K202" s="17">
        <f t="shared" si="84"/>
        <v>182.77610529227789</v>
      </c>
      <c r="L202" s="17">
        <f t="shared" si="93"/>
        <v>855.06752041291634</v>
      </c>
      <c r="M202" s="3">
        <f>((K202-(('Model tilvækst, slagteform, fe'!$I$9/100)*'Model tilvækst, slagteform, fe'!$C$9))*1000/(A202+Forudsætninger!$D$60))</f>
        <v>688.28009545260068</v>
      </c>
      <c r="N202" s="17">
        <f t="shared" si="94"/>
        <v>1010.35117353615</v>
      </c>
      <c r="O202" s="19">
        <f>IF( A202&lt;Forudsætninger!$C$14,(G202/100)*Forudsætninger!$C$13,(Forudsætninger!$C$15/1000)*Forudsætninger!$C$13)</f>
        <v>2.1894417510221844</v>
      </c>
      <c r="P202" s="17" cm="1">
        <f t="array" ref="P202">INDEX('Model tilvækst, slagteform, fe'!$O$9:$O$375,MATCH(MIN(ABS('Model tilvækst, slagteform, fe'!$M$9:$M$375-G202)),ABS('Model tilvækst, slagteform, fe'!$M$9:$M$375-G202),0))*(1+Forudsætninger!$D$80)</f>
        <v>7.0897397927660313</v>
      </c>
      <c r="Q202" s="17">
        <f t="shared" si="95"/>
        <v>8.2914385396633481</v>
      </c>
      <c r="R202" s="17">
        <f t="shared" si="96"/>
        <v>6.8351744675195807</v>
      </c>
      <c r="S202" s="2">
        <f t="shared" si="85"/>
        <v>3.8149897457089978</v>
      </c>
      <c r="T202" s="19">
        <f>(P202)*IF(N202&lt;Forudsætninger!$B$228,IF(N202&lt;Forudsætninger!$B$227,Forudsætninger!$B$225,Forudsætninger!$C$9),Forudsætninger!$C$11)+O202</f>
        <v>18.779432866094695</v>
      </c>
      <c r="U202" s="2">
        <f>Forudsætninger!$D$68+((K202-(Forudsætninger!$D$84)))*0.01</f>
        <v>6.9673717342824313</v>
      </c>
      <c r="V202" s="2">
        <f>U202+Forudsætninger!$D$69</f>
        <v>6.9673717342824313</v>
      </c>
      <c r="W202">
        <f t="shared" si="86"/>
        <v>1</v>
      </c>
      <c r="X202">
        <f>IF(A202+Forudsætninger!$D$60&gt;248,IF(A202+Forudsætninger!$D$60&lt;365,IF(K202&gt;180,IF(K202&lt;260,1,0),0),0),0)</f>
        <v>0</v>
      </c>
      <c r="Y202" s="22">
        <f>IF(X202=0,0,IF('Vækstfunktion, kry tyr'!A202&lt;Forudsætninger!$D$66,Forudsætninger!$D$67+(('Vækstfunktion, kry tyr'!A202-Forudsætninger!$D$66)/7)*Forudsætninger!$D$64,Forudsætninger!$D$67))</f>
        <v>0</v>
      </c>
      <c r="Z202" s="19">
        <f t="shared" si="100"/>
        <v>3125.3479657545818</v>
      </c>
      <c r="AA202" s="19">
        <f>Forudsætninger!$D$62+Forudsætninger!$C$16</f>
        <v>2055</v>
      </c>
      <c r="AB202" s="19">
        <f>IF(K202&gt;Forudsætninger!$C$37,IF(K202&gt;Forudsætninger!$C$38,IF(K202&gt;Forudsætninger!$C$39,Forudsætninger!$E$39,Forudsætninger!$E$38+Forudsætninger!$F$39*(K202-Forudsætninger!$C$38)),Forudsætninger!$E$37+Forudsætninger!$F$38*(K202-Forudsætninger!$C$37)),Forudsætninger!$E$37)+IF(K202&gt;Forudsætninger!$C$39,Forudsætninger!$G$39,IF(K202&gt;Forudsætninger!$C$38,Forudsætninger!$G$38+Forudsætninger!$H$39*(K202-Forudsætninger!$C$38),IF(K202&gt;Forudsætninger!$C$37,Forudsætninger!$G$37+Forudsætninger!$H$38*(K202-Forudsætninger!$C$37),Forudsætninger!$G$37)))*(U202-Forudsætninger!$H$37)</f>
        <v>35.398527700811762</v>
      </c>
      <c r="AC202" s="19">
        <f>IF(K202&gt;Forudsætninger!$C$42,IF(K202&gt;Forudsætninger!$C$43,IF(K202&gt;Forudsætninger!$C$44,Forudsætninger!$E$44,Forudsætninger!$E$43+Forudsætninger!$F$44*(K202-Forudsætninger!$C$43)),Forudsætninger!$E$42+Forudsætninger!$F$43*(K202-Forudsætninger!$C$42)),Forudsætninger!$E$42)+IF(K202&gt;Forudsætninger!$C$44,Forudsætninger!$G$44,IF(K202&gt;Forudsætninger!$C$43,Forudsætninger!$G$43+Forudsætninger!$H$44*(K202-Forudsætninger!$C$43),IF(K202&gt;Forudsætninger!$C$42,Forudsætninger!$G$42+Forudsætninger!$H$43*(K202-Forudsætninger!$C$42),Forudsætninger!$G$42)))*(V202-Forudsætninger!$H$42)</f>
        <v>30.391842933570608</v>
      </c>
      <c r="AD202" s="19">
        <f t="shared" si="87"/>
        <v>5554.9026840526731</v>
      </c>
      <c r="AE202" s="19">
        <f t="shared" si="88"/>
        <v>30.391842933570608</v>
      </c>
      <c r="AF202">
        <f>IF(G202&lt;=Forudsætninger!$C$97,Forudsætninger!$C$98,(IF(G202&lt;=Forudsætninger!$D$97,Forudsætninger!$D$98,IF(G202&lt;=Forudsætninger!$E$97,Forudsætninger!$E$98,IF(G202&lt;=Forudsætninger!$F$97,Forudsætninger!$F$98,IF(G202&lt;=Forudsætninger!$G$97,Forudsætninger!$G$98,IF(G202&lt;=Forudsætninger!$H$97,Forudsætninger!$H$98,IF(G202&lt;=Forudsætninger!$I$97,Forudsætninger!$I$98,Forudsætninger!$I$98))))))))</f>
        <v>3.8</v>
      </c>
      <c r="AG202" s="1">
        <f t="shared" si="97"/>
        <v>4.4000000000000004</v>
      </c>
      <c r="AH202" s="1">
        <f t="shared" si="101"/>
        <v>564.19999999999823</v>
      </c>
      <c r="AI202" s="1">
        <f t="shared" si="89"/>
        <v>2.8209999999999913</v>
      </c>
      <c r="AJ202" s="20">
        <f>+(W202*Forudsætninger!$C$12)</f>
        <v>900</v>
      </c>
      <c r="AK202" s="20">
        <f>Forudsætninger!$C$17</f>
        <v>250</v>
      </c>
      <c r="AL202" s="20">
        <f>IF(A202&lt;92,Forudsætninger!$C$20,Forudsætninger!$C$21)</f>
        <v>1.0566762728146013</v>
      </c>
      <c r="AM202" s="20">
        <f t="shared" si="98"/>
        <v>479.84073741621194</v>
      </c>
      <c r="AN202" s="19">
        <f>IFERROR(AD202+AJ202-AA202-Z202-AK202-AM202-Forudsætninger!$D$75,-99999)</f>
        <v>326.82200718091917</v>
      </c>
      <c r="AO202" s="57">
        <f>IFERROR(AN202/(A202+Forudsætninger!$D$74),-99999)</f>
        <v>1.6341100359045959</v>
      </c>
      <c r="AP202" s="19">
        <f>IFERROR(((365/(A202+Forudsætninger!$D$74))*AN202)/(AI202+Forudsætninger!$D$73),-99999)</f>
        <v>203.49715561418603</v>
      </c>
      <c r="AQ202" s="18">
        <f t="shared" si="102"/>
        <v>200</v>
      </c>
      <c r="AR202" s="18">
        <f t="shared" si="103"/>
        <v>5910.1887031707929</v>
      </c>
      <c r="AS202" s="50">
        <f t="shared" si="104"/>
        <v>7.7</v>
      </c>
      <c r="AT202" s="50">
        <f t="shared" si="105"/>
        <v>6.5398555657742463</v>
      </c>
      <c r="AU202" s="50">
        <f t="shared" si="106"/>
        <v>2.4651987587284818E-2</v>
      </c>
      <c r="AV202" s="2">
        <f t="shared" si="107"/>
        <v>2.5258730761876507</v>
      </c>
      <c r="AW202" s="16">
        <f t="shared" si="99"/>
        <v>4.0333137229856559</v>
      </c>
      <c r="AZ202" s="16"/>
      <c r="BA202" s="2"/>
    </row>
    <row r="203" spans="1:53" x14ac:dyDescent="0.25">
      <c r="A203">
        <v>201</v>
      </c>
      <c r="B203" s="1">
        <f>ROUND((A203+Forudsætninger!$D$60)/30.4,1)</f>
        <v>7.7</v>
      </c>
      <c r="C203" s="1">
        <f>VLOOKUP((A203+Forudsætninger!$D$60),'Model tilvækst, slagteform, fe'!A:C,3,FALSE)</f>
        <v>402.70181899874024</v>
      </c>
      <c r="D203" s="3">
        <f t="shared" si="108"/>
        <v>1705.1613023694472</v>
      </c>
      <c r="E203" s="3">
        <f>(1+Forudsætninger!$D$78)*C203</f>
        <v>338.26952795894181</v>
      </c>
      <c r="F203" s="2">
        <f t="shared" si="90"/>
        <v>0</v>
      </c>
      <c r="G203" s="1">
        <f t="shared" si="83"/>
        <v>338.26952795894181</v>
      </c>
      <c r="H203" s="3">
        <f>(G203-G202)*1000</f>
        <v>1432.3354939903652</v>
      </c>
      <c r="I203" s="3">
        <f t="shared" si="92"/>
        <v>1324.724019696228</v>
      </c>
      <c r="J203" s="1">
        <f>VLOOKUP((A203+Forudsætninger!$D$60),'Model tilvækst, slagteform, fe'!G:K,3,FALSE)*(1+Forudsætninger!$D$79)</f>
        <v>54.284777825205694</v>
      </c>
      <c r="K203" s="17">
        <f t="shared" si="84"/>
        <v>183.62886170288363</v>
      </c>
      <c r="L203" s="17">
        <f t="shared" si="93"/>
        <v>852.75641060573548</v>
      </c>
      <c r="M203" s="3">
        <f>((K203-(('Model tilvækst, slagteform, fe'!$I$9/100)*'Model tilvækst, slagteform, fe'!$C$9))*1000/(A203+Forudsætninger!$D$60))</f>
        <v>688.97999466601823</v>
      </c>
      <c r="N203" s="17">
        <f t="shared" si="94"/>
        <v>1017.4540837754714</v>
      </c>
      <c r="O203" s="19">
        <f>IF( A203&lt;Forudsætninger!$C$14,(G203/100)*Forudsætninger!$C$13,(Forudsætninger!$C$15/1000)*Forudsætninger!$C$13)</f>
        <v>2.1987519317331219</v>
      </c>
      <c r="P203" s="17" cm="1">
        <f t="array" ref="P203">INDEX('Model tilvækst, slagteform, fe'!$O$9:$O$375,MATCH(MIN(ABS('Model tilvækst, slagteform, fe'!$M$9:$M$375-G203)),ABS('Model tilvækst, slagteform, fe'!$M$9:$M$375-G203),0))*(1+Forudsætninger!$D$80)</f>
        <v>7.102910239321405</v>
      </c>
      <c r="Q203" s="17">
        <f t="shared" si="95"/>
        <v>8.3293542575376467</v>
      </c>
      <c r="R203" s="17">
        <f t="shared" si="96"/>
        <v>6.8437449811432645</v>
      </c>
      <c r="S203" s="2">
        <f t="shared" si="85"/>
        <v>3.8211435291700395</v>
      </c>
      <c r="T203" s="19">
        <f>(P203)*IF(N203&lt;Forudsætninger!$B$228,IF(N203&lt;Forudsætninger!$B$227,Forudsætninger!$B$225,Forudsætninger!$C$9),Forudsætninger!$C$11)+O203</f>
        <v>18.819561891745206</v>
      </c>
      <c r="U203" s="2">
        <f>Forudsætninger!$D$68+((K203-(Forudsætninger!$D$84)))*0.01</f>
        <v>6.9758992983884882</v>
      </c>
      <c r="V203" s="2">
        <f>U203+Forudsætninger!$D$69</f>
        <v>6.9758992983884882</v>
      </c>
      <c r="W203">
        <f t="shared" si="86"/>
        <v>1</v>
      </c>
      <c r="X203">
        <f>IF(A203+Forudsætninger!$D$60&gt;248,IF(A203+Forudsætninger!$D$60&lt;365,IF(K203&gt;180,IF(K203&lt;260,1,0),0),0),0)</f>
        <v>0</v>
      </c>
      <c r="Y203" s="22">
        <f>IF(X203=0,0,IF('Vækstfunktion, kry tyr'!A203&lt;Forudsætninger!$D$66,Forudsætninger!$D$67+(('Vækstfunktion, kry tyr'!A203-Forudsætninger!$D$66)/7)*Forudsætninger!$D$64,Forudsætninger!$D$67))</f>
        <v>0</v>
      </c>
      <c r="Z203" s="19">
        <f t="shared" si="100"/>
        <v>3144.167527646327</v>
      </c>
      <c r="AA203" s="19">
        <f>Forudsætninger!$D$62+Forudsætninger!$C$16</f>
        <v>2055</v>
      </c>
      <c r="AB203" s="19">
        <f>IF(K203&gt;Forudsætninger!$C$37,IF(K203&gt;Forudsætninger!$C$38,IF(K203&gt;Forudsætninger!$C$39,Forudsætninger!$E$39,Forudsætninger!$E$38+Forudsætninger!$F$39*(K203-Forudsætninger!$C$38)),Forudsætninger!$E$37+Forudsætninger!$F$38*(K203-Forudsætninger!$C$37)),Forudsætninger!$E$37)+IF(K203&gt;Forudsætninger!$C$39,Forudsætninger!$G$39,IF(K203&gt;Forudsætninger!$C$38,Forudsætninger!$G$38+Forudsætninger!$H$39*(K203-Forudsætninger!$C$38),IF(K203&gt;Forudsætninger!$C$37,Forudsætninger!$G$37+Forudsætninger!$H$38*(K203-Forudsætninger!$C$37),Forudsætninger!$G$37)))*(U203-Forudsætninger!$H$37)</f>
        <v>35.430648192277914</v>
      </c>
      <c r="AC203" s="19">
        <f>IF(K203&gt;Forudsætninger!$C$42,IF(K203&gt;Forudsætninger!$C$43,IF(K203&gt;Forudsætninger!$C$44,Forudsætninger!$E$44,Forudsætninger!$E$43+Forudsætninger!$F$44*(K203-Forudsætninger!$C$43)),Forudsætninger!$E$42+Forudsætninger!$F$43*(K203-Forudsætninger!$C$42)),Forudsætninger!$E$42)+IF(K203&gt;Forudsætninger!$C$44,Forudsætninger!$G$44,IF(K203&gt;Forudsætninger!$C$43,Forudsætninger!$G$43+Forudsætninger!$H$44*(K203-Forudsætninger!$C$43),IF(K203&gt;Forudsætninger!$C$42,Forudsætninger!$G$42+Forudsætninger!$H$43*(K203-Forudsætninger!$C$42),Forudsætninger!$G$42)))*(V203-Forudsætninger!$H$42)</f>
        <v>30.39397482459712</v>
      </c>
      <c r="AD203" s="19">
        <f t="shared" si="87"/>
        <v>5581.2109996668714</v>
      </c>
      <c r="AE203" s="19">
        <f t="shared" si="88"/>
        <v>30.393974824597123</v>
      </c>
      <c r="AF203">
        <f>IF(G203&lt;=Forudsætninger!$C$97,Forudsætninger!$C$98,(IF(G203&lt;=Forudsætninger!$D$97,Forudsætninger!$D$98,IF(G203&lt;=Forudsætninger!$E$97,Forudsætninger!$E$98,IF(G203&lt;=Forudsætninger!$F$97,Forudsætninger!$F$98,IF(G203&lt;=Forudsætninger!$G$97,Forudsætninger!$G$98,IF(G203&lt;=Forudsætninger!$H$97,Forudsætninger!$H$98,IF(G203&lt;=Forudsætninger!$I$97,Forudsætninger!$I$98,Forudsætninger!$I$98))))))))</f>
        <v>3.8</v>
      </c>
      <c r="AG203" s="1">
        <f t="shared" si="97"/>
        <v>4.4000000000000004</v>
      </c>
      <c r="AH203" s="1">
        <f t="shared" si="101"/>
        <v>568.5999999999982</v>
      </c>
      <c r="AI203" s="1">
        <f t="shared" si="89"/>
        <v>2.8288557213930261</v>
      </c>
      <c r="AJ203" s="20">
        <f>+(W203*Forudsætninger!$C$12)</f>
        <v>900</v>
      </c>
      <c r="AK203" s="20">
        <f>Forudsætninger!$C$17</f>
        <v>250</v>
      </c>
      <c r="AL203" s="20">
        <f>IF(A203&lt;92,Forudsætninger!$C$20,Forudsætninger!$C$21)</f>
        <v>1.0566762728146013</v>
      </c>
      <c r="AM203" s="20">
        <f t="shared" si="98"/>
        <v>480.89741368902656</v>
      </c>
      <c r="AN203" s="19">
        <f>IFERROR(AD203+AJ203-AA203-Z203-AK203-AM203-Forudsætninger!$D$75,-99999)</f>
        <v>333.25408463055771</v>
      </c>
      <c r="AO203" s="57">
        <f>IFERROR(AN203/(A203+Forudsætninger!$D$74),-99999)</f>
        <v>1.6579805205500384</v>
      </c>
      <c r="AP203" s="19">
        <f>IFERROR(((365/(A203+Forudsætninger!$D$74))*AN203)/(AI203+Forudsætninger!$D$73),-99999)</f>
        <v>205.91786306335416</v>
      </c>
      <c r="AQ203" s="18">
        <f t="shared" si="102"/>
        <v>201</v>
      </c>
      <c r="AR203" s="18">
        <f t="shared" si="103"/>
        <v>5930.0649413353531</v>
      </c>
      <c r="AS203" s="50">
        <f t="shared" si="104"/>
        <v>7.7</v>
      </c>
      <c r="AT203" s="50">
        <f t="shared" si="105"/>
        <v>6.4320774496385411</v>
      </c>
      <c r="AU203" s="50">
        <f t="shared" si="106"/>
        <v>2.3870484645442502E-2</v>
      </c>
      <c r="AV203" s="2">
        <f t="shared" si="107"/>
        <v>2.420707449168134</v>
      </c>
      <c r="AW203" s="16">
        <f t="shared" si="99"/>
        <v>4.0505049667641009</v>
      </c>
      <c r="AZ203" s="16"/>
      <c r="BA203" s="2"/>
    </row>
    <row r="204" spans="1:53" x14ac:dyDescent="0.25">
      <c r="A204">
        <v>202</v>
      </c>
      <c r="B204" s="1">
        <f>ROUND((A204+Forudsætninger!$D$60)/30.4,1)</f>
        <v>7.8</v>
      </c>
      <c r="C204" s="1">
        <f>VLOOKUP((A204+Forudsætninger!$D$60),'Model tilvækst, slagteform, fe'!A:C,3,FALSE)</f>
        <v>404.40313861465734</v>
      </c>
      <c r="D204" s="3">
        <f t="shared" si="108"/>
        <v>1701.3196159171002</v>
      </c>
      <c r="E204" s="3">
        <f>(1+Forudsætninger!$D$78)*C204</f>
        <v>339.69863643631214</v>
      </c>
      <c r="F204" s="2">
        <f t="shared" si="90"/>
        <v>0</v>
      </c>
      <c r="G204" s="1">
        <f t="shared" si="83"/>
        <v>339.69863643631214</v>
      </c>
      <c r="H204" s="3">
        <f t="shared" si="91"/>
        <v>1429.1084773703346</v>
      </c>
      <c r="I204" s="3">
        <f t="shared" si="92"/>
        <v>1325.240774437189</v>
      </c>
      <c r="J204" s="1">
        <f>VLOOKUP((A204+Forudsætninger!$D$60),'Model tilvækst, slagteform, fe'!G:K,3,FALSE)*(1+Forudsætninger!$D$79)</f>
        <v>54.306736835991266</v>
      </c>
      <c r="K204" s="17">
        <f t="shared" si="84"/>
        <v>184.47924452491878</v>
      </c>
      <c r="L204" s="17">
        <f t="shared" si="93"/>
        <v>850.38282203515791</v>
      </c>
      <c r="M204" s="3">
        <f>((K204-(('Model tilvækst, slagteform, fe'!$I$9/100)*'Model tilvækst, slagteform, fe'!$C$9))*1000/(A204+Forudsætninger!$D$60))</f>
        <v>689.66390495148073</v>
      </c>
      <c r="N204" s="17">
        <f t="shared" si="94"/>
        <v>1024.5636375223485</v>
      </c>
      <c r="O204" s="19">
        <f>IF( A204&lt;Forudsætninger!$C$14,(G204/100)*Forudsætninger!$C$13,(Forudsætninger!$C$15/1000)*Forudsætninger!$C$13)</f>
        <v>2.2080411368360289</v>
      </c>
      <c r="P204" s="17" cm="1">
        <f t="array" ref="P204">INDEX('Model tilvækst, slagteform, fe'!$O$9:$O$375,MATCH(MIN(ABS('Model tilvækst, slagteform, fe'!$M$9:$M$375-G204)),ABS('Model tilvækst, slagteform, fe'!$M$9:$M$375-G204),0))*(1+Forudsætninger!$D$80)</f>
        <v>7.1095537468770171</v>
      </c>
      <c r="Q204" s="17">
        <f t="shared" si="95"/>
        <v>8.3604155242250204</v>
      </c>
      <c r="R204" s="17">
        <f t="shared" si="96"/>
        <v>6.8523709454599677</v>
      </c>
      <c r="S204" s="2">
        <f t="shared" si="85"/>
        <v>3.8273024142433432</v>
      </c>
      <c r="T204" s="19">
        <f>(P204)*IF(N204&lt;Forudsætninger!$B$228,IF(N204&lt;Forudsætninger!$B$227,Forudsætninger!$B$225,Forudsætninger!$C$9),Forudsætninger!$C$11)+O204</f>
        <v>18.844396904528249</v>
      </c>
      <c r="U204" s="2">
        <f>Forudsætninger!$D$68+((K204-(Forudsætninger!$D$84)))*0.01</f>
        <v>6.9844031266088402</v>
      </c>
      <c r="V204" s="2">
        <f>U204+Forudsætninger!$D$69</f>
        <v>6.9844031266088402</v>
      </c>
      <c r="W204">
        <f t="shared" si="86"/>
        <v>1</v>
      </c>
      <c r="X204">
        <f>IF(A204+Forudsætninger!$D$60&gt;248,IF(A204+Forudsætninger!$D$60&lt;365,IF(K204&gt;180,IF(K204&lt;260,1,0),0),0),0)</f>
        <v>0</v>
      </c>
      <c r="Y204" s="22">
        <f>IF(X204=0,0,IF('Vækstfunktion, kry tyr'!A204&lt;Forudsætninger!$D$66,Forudsætninger!$D$67+(('Vækstfunktion, kry tyr'!A204-Forudsætninger!$D$66)/7)*Forudsætninger!$D$64,Forudsætninger!$D$67))</f>
        <v>0</v>
      </c>
      <c r="Z204" s="19">
        <f t="shared" si="100"/>
        <v>3163.0119245508554</v>
      </c>
      <c r="AA204" s="19">
        <f>Forudsætninger!$D$62+Forudsætninger!$C$16</f>
        <v>2055</v>
      </c>
      <c r="AB204" s="19">
        <f>IF(K204&gt;Forudsætninger!$C$37,IF(K204&gt;Forudsætninger!$C$38,IF(K204&gt;Forudsætninger!$C$39,Forudsætninger!$E$39,Forudsætninger!$E$38+Forudsætninger!$F$39*(K204-Forudsætninger!$C$38)),Forudsætninger!$E$37+Forudsætninger!$F$38*(K204-Forudsætninger!$C$37)),Forudsætninger!$E$37)+IF(K204&gt;Forudsætninger!$C$39,Forudsætninger!$G$39,IF(K204&gt;Forudsætninger!$C$38,Forudsætninger!$G$38+Forudsætninger!$H$39*(K204-Forudsætninger!$C$38),IF(K204&gt;Forudsætninger!$C$37,Forudsætninger!$G$37+Forudsætninger!$H$38*(K204-Forudsætninger!$C$37),Forudsætninger!$G$37)))*(U204-Forudsætninger!$H$37)</f>
        <v>35.462679278574576</v>
      </c>
      <c r="AC204" s="19">
        <f>IF(K204&gt;Forudsætninger!$C$42,IF(K204&gt;Forudsætninger!$C$43,IF(K204&gt;Forudsætninger!$C$44,Forudsætninger!$E$44,Forudsætninger!$E$43+Forudsætninger!$F$44*(K204-Forudsætninger!$C$43)),Forudsætninger!$E$42+Forudsætninger!$F$43*(K204-Forudsætninger!$C$42)),Forudsætninger!$E$42)+IF(K204&gt;Forudsætninger!$C$44,Forudsætninger!$G$44,IF(K204&gt;Forudsætninger!$C$43,Forudsætninger!$G$43+Forudsætninger!$H$44*(K204-Forudsætninger!$C$43),IF(K204&gt;Forudsætninger!$C$42,Forudsætninger!$G$42+Forudsætninger!$H$43*(K204-Forudsætninger!$C$42),Forudsætninger!$G$42)))*(V204-Forudsætninger!$H$42)</f>
        <v>30.396100781652208</v>
      </c>
      <c r="AD204" s="19">
        <f t="shared" si="87"/>
        <v>5607.4497087024929</v>
      </c>
      <c r="AE204" s="19">
        <f t="shared" si="88"/>
        <v>30.396100781652208</v>
      </c>
      <c r="AF204">
        <f>IF(G204&lt;=Forudsætninger!$C$97,Forudsætninger!$C$98,(IF(G204&lt;=Forudsætninger!$D$97,Forudsætninger!$D$98,IF(G204&lt;=Forudsætninger!$E$97,Forudsætninger!$E$98,IF(G204&lt;=Forudsætninger!$F$97,Forudsætninger!$F$98,IF(G204&lt;=Forudsætninger!$G$97,Forudsætninger!$G$98,IF(G204&lt;=Forudsætninger!$H$97,Forudsætninger!$H$98,IF(G204&lt;=Forudsætninger!$I$97,Forudsætninger!$I$98,Forudsætninger!$I$98))))))))</f>
        <v>3.8</v>
      </c>
      <c r="AG204" s="1">
        <f t="shared" si="97"/>
        <v>4.4000000000000004</v>
      </c>
      <c r="AH204" s="1">
        <f t="shared" si="101"/>
        <v>572.99999999999818</v>
      </c>
      <c r="AI204" s="1">
        <f t="shared" si="89"/>
        <v>2.8366336633663276</v>
      </c>
      <c r="AJ204" s="20">
        <f>+(W204*Forudsætninger!$C$12)</f>
        <v>900</v>
      </c>
      <c r="AK204" s="20">
        <f>Forudsætninger!$C$17</f>
        <v>250</v>
      </c>
      <c r="AL204" s="20">
        <f>IF(A204&lt;92,Forudsætninger!$C$20,Forudsætninger!$C$21)</f>
        <v>1.0566762728146013</v>
      </c>
      <c r="AM204" s="20">
        <f t="shared" si="98"/>
        <v>481.95408996184119</v>
      </c>
      <c r="AN204" s="19">
        <f>IFERROR(AD204+AJ204-AA204-Z204-AK204-AM204-Forudsætninger!$D$75,-99999)</f>
        <v>339.59172048883613</v>
      </c>
      <c r="AO204" s="57">
        <f>IFERROR(AN204/(A204+Forudsætninger!$D$74),-99999)</f>
        <v>1.6811471311328521</v>
      </c>
      <c r="AP204" s="19">
        <f>IFERROR(((365/(A204+Forudsætninger!$D$74))*AN204)/(AI204+Forudsætninger!$D$73),-99999)</f>
        <v>208.24397362055305</v>
      </c>
      <c r="AQ204" s="18">
        <f t="shared" si="102"/>
        <v>202</v>
      </c>
      <c r="AR204" s="18">
        <f t="shared" si="103"/>
        <v>5949.9660145126973</v>
      </c>
      <c r="AS204" s="50">
        <f t="shared" si="104"/>
        <v>7.8</v>
      </c>
      <c r="AT204" s="50">
        <f t="shared" si="105"/>
        <v>6.3376358582784178</v>
      </c>
      <c r="AU204" s="50">
        <f t="shared" si="106"/>
        <v>2.3166610582813663E-2</v>
      </c>
      <c r="AV204" s="2">
        <f t="shared" si="107"/>
        <v>2.3261105571988878</v>
      </c>
      <c r="AW204" s="16">
        <f t="shared" si="99"/>
        <v>4.0670584675776107</v>
      </c>
      <c r="AZ204" s="16"/>
      <c r="BA204" s="2"/>
    </row>
    <row r="205" spans="1:53" x14ac:dyDescent="0.25">
      <c r="A205">
        <v>203</v>
      </c>
      <c r="B205" s="1">
        <f>ROUND((A205+Forudsætninger!$D$60)/30.4,1)</f>
        <v>7.8</v>
      </c>
      <c r="C205" s="1">
        <f>VLOOKUP((A205+Forudsætninger!$D$60),'Model tilvækst, slagteform, fe'!A:C,3,FALSE)</f>
        <v>406.10058405485637</v>
      </c>
      <c r="D205" s="3">
        <f t="shared" si="108"/>
        <v>1697.4454401990329</v>
      </c>
      <c r="E205" s="3">
        <f>(1+Forudsætninger!$D$78)*C205</f>
        <v>341.12449060607935</v>
      </c>
      <c r="F205" s="2">
        <f t="shared" si="90"/>
        <v>0</v>
      </c>
      <c r="G205" s="1">
        <f t="shared" si="83"/>
        <v>341.12449060607935</v>
      </c>
      <c r="H205" s="3">
        <f t="shared" si="91"/>
        <v>1425.8541697672058</v>
      </c>
      <c r="I205" s="3">
        <f t="shared" si="92"/>
        <v>1325.7364069264993</v>
      </c>
      <c r="J205" s="1">
        <f>VLOOKUP((A205+Forudsætninger!$D$60),'Model tilvækst, slagteform, fe'!G:K,3,FALSE)*(1+Forudsætninger!$D$79)</f>
        <v>54.32831597089119</v>
      </c>
      <c r="K205" s="17">
        <f t="shared" si="84"/>
        <v>185.32719111056383</v>
      </c>
      <c r="L205" s="17">
        <f t="shared" si="93"/>
        <v>847.94658564504743</v>
      </c>
      <c r="M205" s="3">
        <f>((K205-(('Model tilvækst, slagteform, fe'!$I$9/100)*'Model tilvækst, slagteform, fe'!$C$9))*1000/(A205+Forudsætninger!$D$60))</f>
        <v>690.33176436368979</v>
      </c>
      <c r="N205" s="17">
        <f t="shared" si="94"/>
        <v>1031.6798768558451</v>
      </c>
      <c r="O205" s="19">
        <f>IF( A205&lt;Forudsætninger!$C$14,(G205/100)*Forudsætninger!$C$13,(Forudsætninger!$C$15/1000)*Forudsætninger!$C$13)</f>
        <v>2.2173091889395158</v>
      </c>
      <c r="P205" s="17" cm="1">
        <f t="array" ref="P205">INDEX('Model tilvækst, slagteform, fe'!$O$9:$O$375,MATCH(MIN(ABS('Model tilvækst, slagteform, fe'!$M$9:$M$375-G205)),ABS('Model tilvækst, slagteform, fe'!$M$9:$M$375-G205),0))*(1+Forudsætninger!$D$80)</f>
        <v>7.1162393334966758</v>
      </c>
      <c r="Q205" s="17">
        <f t="shared" si="95"/>
        <v>8.3923202875841891</v>
      </c>
      <c r="R205" s="17">
        <f t="shared" si="96"/>
        <v>6.8610549665480063</v>
      </c>
      <c r="S205" s="2">
        <f t="shared" si="85"/>
        <v>3.8334670863006926</v>
      </c>
      <c r="T205" s="19">
        <f>(P205)*IF(N205&lt;Forudsætninger!$B$228,IF(N205&lt;Forudsætninger!$B$227,Forudsætninger!$B$225,Forudsætninger!$C$9),Forudsætninger!$C$11)+O205</f>
        <v>18.869309229321736</v>
      </c>
      <c r="U205" s="2">
        <f>Forudsætninger!$D$68+((K205-(Forudsætninger!$D$84)))*0.01</f>
        <v>6.9928825924652909</v>
      </c>
      <c r="V205" s="2">
        <f>U205+Forudsætninger!$D$69</f>
        <v>6.9928825924652909</v>
      </c>
      <c r="W205">
        <f t="shared" si="86"/>
        <v>1</v>
      </c>
      <c r="X205">
        <f>IF(A205+Forudsætninger!$D$60&gt;248,IF(A205+Forudsætninger!$D$60&lt;365,IF(K205&gt;180,IF(K205&lt;260,1,0),0),0),0)</f>
        <v>0</v>
      </c>
      <c r="Y205" s="22">
        <f>IF(X205=0,0,IF('Vækstfunktion, kry tyr'!A205&lt;Forudsætninger!$D$66,Forudsætninger!$D$67+(('Vækstfunktion, kry tyr'!A205-Forudsætninger!$D$66)/7)*Forudsætninger!$D$64,Forudsætninger!$D$67))</f>
        <v>0</v>
      </c>
      <c r="Z205" s="19">
        <f t="shared" si="100"/>
        <v>3181.8812337801769</v>
      </c>
      <c r="AA205" s="19">
        <f>Forudsætninger!$D$62+Forudsætninger!$C$16</f>
        <v>2055</v>
      </c>
      <c r="AB205" s="19">
        <f>IF(K205&gt;Forudsætninger!$C$37,IF(K205&gt;Forudsætninger!$C$38,IF(K205&gt;Forudsætninger!$C$39,Forudsætninger!$E$39,Forudsætninger!$E$38+Forudsætninger!$F$39*(K205-Forudsætninger!$C$38)),Forudsætninger!$E$37+Forudsætninger!$F$38*(K205-Forudsætninger!$C$37)),Forudsætninger!$E$37)+IF(K205&gt;Forudsætninger!$C$39,Forudsætninger!$G$39,IF(K205&gt;Forudsætninger!$C$38,Forudsætninger!$G$38+Forudsætninger!$H$39*(K205-Forudsætninger!$C$38),IF(K205&gt;Forudsætninger!$C$37,Forudsætninger!$G$37+Forudsætninger!$H$38*(K205-Forudsætninger!$C$37),Forudsætninger!$G$37)))*(U205-Forudsætninger!$H$37)</f>
        <v>35.494618599967204</v>
      </c>
      <c r="AC205" s="19">
        <f>IF(K205&gt;Forudsætninger!$C$42,IF(K205&gt;Forudsætninger!$C$43,IF(K205&gt;Forudsætninger!$C$44,Forudsætninger!$E$44,Forudsætninger!$E$43+Forudsætninger!$F$44*(K205-Forudsætninger!$C$43)),Forudsætninger!$E$42+Forudsætninger!$F$43*(K205-Forudsætninger!$C$42)),Forudsætninger!$E$42)+IF(K205&gt;Forudsætninger!$C$44,Forudsætninger!$G$44,IF(K205&gt;Forudsætninger!$C$43,Forudsætninger!$G$43+Forudsætninger!$H$44*(K205-Forudsætninger!$C$43),IF(K205&gt;Forudsætninger!$C$42,Forudsætninger!$G$42+Forudsætninger!$H$43*(K205-Forudsætninger!$C$42),Forudsætninger!$G$42)))*(V205-Forudsætninger!$H$42)</f>
        <v>30.398220648116322</v>
      </c>
      <c r="AD205" s="19">
        <f t="shared" si="87"/>
        <v>5633.6168474745409</v>
      </c>
      <c r="AE205" s="19">
        <f t="shared" si="88"/>
        <v>30.398220648116322</v>
      </c>
      <c r="AF205">
        <f>IF(G205&lt;=Forudsætninger!$C$97,Forudsætninger!$C$98,(IF(G205&lt;=Forudsætninger!$D$97,Forudsætninger!$D$98,IF(G205&lt;=Forudsætninger!$E$97,Forudsætninger!$E$98,IF(G205&lt;=Forudsætninger!$F$97,Forudsætninger!$F$98,IF(G205&lt;=Forudsætninger!$G$97,Forudsætninger!$G$98,IF(G205&lt;=Forudsætninger!$H$97,Forudsætninger!$H$98,IF(G205&lt;=Forudsætninger!$I$97,Forudsætninger!$I$98,Forudsætninger!$I$98))))))))</f>
        <v>3.8</v>
      </c>
      <c r="AG205" s="1">
        <f t="shared" si="97"/>
        <v>4.4000000000000004</v>
      </c>
      <c r="AH205" s="1">
        <f t="shared" si="101"/>
        <v>577.39999999999816</v>
      </c>
      <c r="AI205" s="1">
        <f t="shared" si="89"/>
        <v>2.8443349753694491</v>
      </c>
      <c r="AJ205" s="20">
        <f>+(W205*Forudsætninger!$C$12)</f>
        <v>900</v>
      </c>
      <c r="AK205" s="20">
        <f>Forudsætninger!$C$17</f>
        <v>250</v>
      </c>
      <c r="AL205" s="20">
        <f>IF(A205&lt;92,Forudsætninger!$C$20,Forudsætninger!$C$21)</f>
        <v>1.0566762728146013</v>
      </c>
      <c r="AM205" s="20">
        <f t="shared" si="98"/>
        <v>483.01076623465582</v>
      </c>
      <c r="AN205" s="19">
        <f>IFERROR(AD205+AJ205-AA205-Z205-AK205-AM205-Forudsætninger!$D$75,-99999)</f>
        <v>345.83287375874795</v>
      </c>
      <c r="AO205" s="57">
        <f>IFERROR(AN205/(A205+Forudsætninger!$D$74),-99999)</f>
        <v>1.7036102155603348</v>
      </c>
      <c r="AP205" s="19">
        <f>IFERROR(((365/(A205+Forudsætninger!$D$74))*AN205)/(AI205+Forudsætninger!$D$73),-99999)</f>
        <v>210.47637924056389</v>
      </c>
      <c r="AQ205" s="18">
        <f t="shared" si="102"/>
        <v>203</v>
      </c>
      <c r="AR205" s="18">
        <f t="shared" si="103"/>
        <v>5969.8920000148328</v>
      </c>
      <c r="AS205" s="50">
        <f t="shared" si="104"/>
        <v>7.8</v>
      </c>
      <c r="AT205" s="50">
        <f t="shared" si="105"/>
        <v>6.2411532699118197</v>
      </c>
      <c r="AU205" s="50">
        <f t="shared" si="106"/>
        <v>2.2463084427482682E-2</v>
      </c>
      <c r="AV205" s="2">
        <f t="shared" si="107"/>
        <v>2.2324056200108373</v>
      </c>
      <c r="AW205" s="16">
        <f t="shared" si="99"/>
        <v>4.0829735960266191</v>
      </c>
      <c r="AZ205" s="16"/>
      <c r="BA205" s="2"/>
    </row>
    <row r="206" spans="1:53" x14ac:dyDescent="0.25">
      <c r="A206">
        <v>204</v>
      </c>
      <c r="B206" s="1">
        <f>ROUND((A206+Forudsætninger!$D$60)/30.4,1)</f>
        <v>7.8</v>
      </c>
      <c r="C206" s="1">
        <f>VLOOKUP((A206+Forudsætninger!$D$60),'Model tilvækst, slagteform, fe'!A:C,3,FALSE)</f>
        <v>407.79412345100832</v>
      </c>
      <c r="D206" s="3">
        <f t="shared" si="108"/>
        <v>1693.539396151948</v>
      </c>
      <c r="E206" s="3">
        <f>(1+Forudsætninger!$D$78)*C206</f>
        <v>342.54706369884696</v>
      </c>
      <c r="F206" s="2">
        <f t="shared" si="90"/>
        <v>0</v>
      </c>
      <c r="G206" s="1">
        <f t="shared" si="83"/>
        <v>342.54706369884696</v>
      </c>
      <c r="H206" s="3">
        <f t="shared" si="91"/>
        <v>1422.5730927676068</v>
      </c>
      <c r="I206" s="3">
        <f t="shared" si="92"/>
        <v>1326.2110965629754</v>
      </c>
      <c r="J206" s="1">
        <f>VLOOKUP((A206+Forudsætninger!$D$60),'Model tilvækst, slagteform, fe'!G:K,3,FALSE)*(1+Forudsætninger!$D$79)</f>
        <v>54.349506499067466</v>
      </c>
      <c r="K206" s="17">
        <f t="shared" si="84"/>
        <v>186.17263864736961</v>
      </c>
      <c r="L206" s="17">
        <f t="shared" si="93"/>
        <v>845.44753680577855</v>
      </c>
      <c r="M206" s="3">
        <f>((K206-(('Model tilvækst, slagteform, fe'!$I$9/100)*'Model tilvækst, slagteform, fe'!$C$9))*1000/(A206+Forudsætninger!$D$60))</f>
        <v>690.98351130672393</v>
      </c>
      <c r="N206" s="17">
        <f t="shared" si="94"/>
        <v>1038.8028462721845</v>
      </c>
      <c r="O206" s="19">
        <f>IF( A206&lt;Forudsætninger!$C$14,(G206/100)*Forudsætninger!$C$13,(Forudsætninger!$C$15/1000)*Forudsætninger!$C$13)</f>
        <v>2.2265559140425055</v>
      </c>
      <c r="P206" s="17" cm="1">
        <f t="array" ref="P206">INDEX('Model tilvækst, slagteform, fe'!$O$9:$O$375,MATCH(MIN(ABS('Model tilvækst, slagteform, fe'!$M$9:$M$375-G206)),ABS('Model tilvækst, slagteform, fe'!$M$9:$M$375-G206),0))*(1+Forudsætninger!$D$80)</f>
        <v>7.122969416339461</v>
      </c>
      <c r="Q206" s="17">
        <f t="shared" si="95"/>
        <v>8.4250874315052791</v>
      </c>
      <c r="R206" s="17">
        <f t="shared" si="96"/>
        <v>6.8697996353679764</v>
      </c>
      <c r="S206" s="2">
        <f t="shared" si="85"/>
        <v>3.839638220684972</v>
      </c>
      <c r="T206" s="19">
        <f>(P206)*IF(N206&lt;Forudsætninger!$B$228,IF(N206&lt;Forudsætninger!$B$227,Forudsætninger!$B$225,Forudsætninger!$C$9),Forudsætninger!$C$11)+O206</f>
        <v>18.894304348276844</v>
      </c>
      <c r="U206" s="2">
        <f>Forudsætninger!$D$68+((K206-(Forudsætninger!$D$84)))*0.01</f>
        <v>7.0013370678333482</v>
      </c>
      <c r="V206" s="2">
        <f>U206+Forudsætninger!$D$69</f>
        <v>7.0013370678333482</v>
      </c>
      <c r="W206">
        <f t="shared" si="86"/>
        <v>1</v>
      </c>
      <c r="X206">
        <f>IF(A206+Forudsætninger!$D$60&gt;248,IF(A206+Forudsætninger!$D$60&lt;365,IF(K206&gt;180,IF(K206&lt;260,1,0),0),0),0)</f>
        <v>0</v>
      </c>
      <c r="Y206" s="22">
        <f>IF(X206=0,0,IF('Vækstfunktion, kry tyr'!A206&lt;Forudsætninger!$D$66,Forudsætninger!$D$67+(('Vækstfunktion, kry tyr'!A206-Forudsætninger!$D$66)/7)*Forudsætninger!$D$64,Forudsætninger!$D$67))</f>
        <v>0</v>
      </c>
      <c r="Z206" s="19">
        <f t="shared" si="100"/>
        <v>3200.7755381284537</v>
      </c>
      <c r="AA206" s="19">
        <f>Forudsætninger!$D$62+Forudsætninger!$C$16</f>
        <v>2055</v>
      </c>
      <c r="AB206" s="19">
        <f>IF(K206&gt;Forudsætninger!$C$37,IF(K206&gt;Forudsætninger!$C$38,IF(K206&gt;Forudsætninger!$C$39,Forudsætninger!$E$39,Forudsætninger!$E$38+Forudsætninger!$F$39*(K206-Forudsætninger!$C$38)),Forudsætninger!$E$37+Forudsætninger!$F$38*(K206-Forudsætninger!$C$37)),Forudsætninger!$E$37)+IF(K206&gt;Forudsætninger!$C$39,Forudsætninger!$G$39,IF(K206&gt;Forudsætninger!$C$38,Forudsætninger!$G$38+Forudsætninger!$H$39*(K206-Forudsætninger!$C$38),IF(K206&gt;Forudsætninger!$C$37,Forudsætninger!$G$37+Forudsætninger!$H$38*(K206-Forudsætninger!$C$37),Forudsætninger!$G$37)))*(U206-Forudsætninger!$H$37)</f>
        <v>35.526463790520218</v>
      </c>
      <c r="AC206" s="19">
        <f>IF(K206&gt;Forudsætninger!$C$42,IF(K206&gt;Forudsætninger!$C$43,IF(K206&gt;Forudsætninger!$C$44,Forudsætninger!$E$44,Forudsætninger!$E$43+Forudsætninger!$F$44*(K206-Forudsætninger!$C$43)),Forudsætninger!$E$42+Forudsætninger!$F$43*(K206-Forudsætninger!$C$42)),Forudsætninger!$E$42)+IF(K206&gt;Forudsætninger!$C$44,Forudsætninger!$G$44,IF(K206&gt;Forudsætninger!$C$43,Forudsætninger!$G$43+Forudsætninger!$H$44*(K206-Forudsætninger!$C$43),IF(K206&gt;Forudsætninger!$C$42,Forudsætninger!$G$42+Forudsætninger!$H$43*(K206-Forudsætninger!$C$42),Forudsætninger!$G$42)))*(V206-Forudsætninger!$H$42)</f>
        <v>30.400334266958335</v>
      </c>
      <c r="AD206" s="19">
        <f t="shared" si="87"/>
        <v>5659.7104462416819</v>
      </c>
      <c r="AE206" s="19">
        <f t="shared" si="88"/>
        <v>30.400334266958335</v>
      </c>
      <c r="AF206">
        <f>IF(G206&lt;=Forudsætninger!$C$97,Forudsætninger!$C$98,(IF(G206&lt;=Forudsætninger!$D$97,Forudsætninger!$D$98,IF(G206&lt;=Forudsætninger!$E$97,Forudsætninger!$E$98,IF(G206&lt;=Forudsætninger!$F$97,Forudsætninger!$F$98,IF(G206&lt;=Forudsætninger!$G$97,Forudsætninger!$G$98,IF(G206&lt;=Forudsætninger!$H$97,Forudsætninger!$H$98,IF(G206&lt;=Forudsætninger!$I$97,Forudsætninger!$I$98,Forudsætninger!$I$98))))))))</f>
        <v>3.8</v>
      </c>
      <c r="AG206" s="1">
        <f t="shared" si="97"/>
        <v>4.4000000000000004</v>
      </c>
      <c r="AH206" s="1">
        <f t="shared" si="101"/>
        <v>581.79999999999814</v>
      </c>
      <c r="AI206" s="1">
        <f t="shared" si="89"/>
        <v>2.8519607843137162</v>
      </c>
      <c r="AJ206" s="20">
        <f>+(W206*Forudsætninger!$C$12)</f>
        <v>900</v>
      </c>
      <c r="AK206" s="20">
        <f>Forudsætninger!$C$17</f>
        <v>250</v>
      </c>
      <c r="AL206" s="20">
        <f>IF(A206&lt;92,Forudsætninger!$C$20,Forudsætninger!$C$21)</f>
        <v>1.0566762728146013</v>
      </c>
      <c r="AM206" s="20">
        <f t="shared" si="98"/>
        <v>484.06744250747045</v>
      </c>
      <c r="AN206" s="19">
        <f>IFERROR(AD206+AJ206-AA206-Z206-AK206-AM206-Forudsætninger!$D$75,-99999)</f>
        <v>351.97549190479754</v>
      </c>
      <c r="AO206" s="57">
        <f>IFERROR(AN206/(A206+Forudsætninger!$D$74),-99999)</f>
        <v>1.7253700583568508</v>
      </c>
      <c r="AP206" s="19">
        <f>IFERROR(((365/(A206+Forudsætninger!$D$74))*AN206)/(AI206+Forudsætninger!$D$73),-99999)</f>
        <v>212.61593827825286</v>
      </c>
      <c r="AQ206" s="18">
        <f t="shared" si="102"/>
        <v>204</v>
      </c>
      <c r="AR206" s="18">
        <f t="shared" si="103"/>
        <v>5989.8429806359236</v>
      </c>
      <c r="AS206" s="50">
        <f t="shared" si="104"/>
        <v>7.8</v>
      </c>
      <c r="AT206" s="50">
        <f t="shared" si="105"/>
        <v>6.1426181460495854</v>
      </c>
      <c r="AU206" s="50">
        <f t="shared" si="106"/>
        <v>2.1759842796515994E-2</v>
      </c>
      <c r="AV206" s="2">
        <f t="shared" si="107"/>
        <v>2.1395590376889686</v>
      </c>
      <c r="AW206" s="16">
        <f t="shared" si="99"/>
        <v>4.0982496784915101</v>
      </c>
      <c r="AZ206" s="16"/>
      <c r="BA206" s="2"/>
    </row>
    <row r="207" spans="1:53" x14ac:dyDescent="0.25">
      <c r="A207">
        <v>205</v>
      </c>
      <c r="B207" s="1">
        <f>ROUND((A207+Forudsætninger!$D$60)/30.4,1)</f>
        <v>7.9</v>
      </c>
      <c r="C207" s="1">
        <f>VLOOKUP((A207+Forudsætninger!$D$60),'Model tilvækst, slagteform, fe'!A:C,3,FALSE)</f>
        <v>409.48372555572064</v>
      </c>
      <c r="D207" s="3">
        <f t="shared" si="108"/>
        <v>1689.6021047123213</v>
      </c>
      <c r="E207" s="3">
        <f>(1+Forudsætninger!$D$78)*C207</f>
        <v>343.96632946680535</v>
      </c>
      <c r="F207" s="2">
        <f t="shared" si="90"/>
        <v>0</v>
      </c>
      <c r="G207" s="1">
        <f t="shared" si="83"/>
        <v>343.96632946680535</v>
      </c>
      <c r="H207" s="3">
        <f t="shared" si="91"/>
        <v>1419.2657679583931</v>
      </c>
      <c r="I207" s="3">
        <f t="shared" si="92"/>
        <v>1326.6650217892943</v>
      </c>
      <c r="J207" s="1">
        <f>VLOOKUP((A207+Forudsætninger!$D$60),'Model tilvækst, slagteform, fe'!G:K,3,FALSE)*(1+Forudsætninger!$D$79)</f>
        <v>54.370299689682099</v>
      </c>
      <c r="K207" s="17">
        <f t="shared" si="84"/>
        <v>187.01552416270138</v>
      </c>
      <c r="L207" s="17">
        <f t="shared" si="93"/>
        <v>842.88551533177269</v>
      </c>
      <c r="M207" s="3">
        <f>((K207-(('Model tilvækst, slagteform, fe'!$I$9/100)*'Model tilvækst, slagteform, fe'!$C$9))*1000/(A207+Forudsætninger!$D$60))</f>
        <v>691.61908454532249</v>
      </c>
      <c r="N207" s="17">
        <f t="shared" si="94"/>
        <v>1045.9394190115152</v>
      </c>
      <c r="O207" s="19">
        <f>IF( A207&lt;Forudsætninger!$C$14,(G207/100)*Forudsætninger!$C$13,(Forudsætninger!$C$15/1000)*Forudsætninger!$C$13)</f>
        <v>2.2357811415342348</v>
      </c>
      <c r="P207" s="17" cm="1">
        <f t="array" ref="P207">INDEX('Model tilvækst, slagteform, fe'!$O$9:$O$375,MATCH(MIN(ABS('Model tilvækst, slagteform, fe'!$M$9:$M$375-G207)),ABS('Model tilvækst, slagteform, fe'!$M$9:$M$375-G207),0))*(1+Forudsætninger!$D$80)</f>
        <v>7.1365727393306999</v>
      </c>
      <c r="Q207" s="17">
        <f t="shared" si="95"/>
        <v>8.4668351864151266</v>
      </c>
      <c r="R207" s="17">
        <f t="shared" si="96"/>
        <v>6.8786524222416299</v>
      </c>
      <c r="S207" s="2">
        <f t="shared" si="85"/>
        <v>3.8458415828977701</v>
      </c>
      <c r="T207" s="19">
        <f>(P207)*IF(N207&lt;Forudsætninger!$B$228,IF(N207&lt;Forudsætninger!$B$227,Forudsætninger!$B$225,Forudsætninger!$C$9),Forudsætninger!$C$11)+O207</f>
        <v>18.935361351568073</v>
      </c>
      <c r="U207" s="2">
        <f>Forudsætninger!$D$68+((K207-(Forudsætninger!$D$84)))*0.01</f>
        <v>7.0097659229866665</v>
      </c>
      <c r="V207" s="2">
        <f>U207+Forudsætninger!$D$69</f>
        <v>7.0097659229866665</v>
      </c>
      <c r="W207">
        <f t="shared" si="86"/>
        <v>1</v>
      </c>
      <c r="X207">
        <f>IF(A207+Forudsætninger!$D$60&gt;248,IF(A207+Forudsætninger!$D$60&lt;365,IF(K207&gt;180,IF(K207&lt;260,1,0),0),0),0)</f>
        <v>0</v>
      </c>
      <c r="Y207" s="22">
        <f>IF(X207=0,0,IF('Vækstfunktion, kry tyr'!A207&lt;Forudsætninger!$D$66,Forudsætninger!$D$67+(('Vækstfunktion, kry tyr'!A207-Forudsætninger!$D$66)/7)*Forudsætninger!$D$64,Forudsætninger!$D$67))</f>
        <v>0</v>
      </c>
      <c r="Z207" s="19">
        <f t="shared" si="100"/>
        <v>3219.7108994800219</v>
      </c>
      <c r="AA207" s="19">
        <f>Forudsætninger!$D$62+Forudsætninger!$C$16</f>
        <v>2055</v>
      </c>
      <c r="AB207" s="19">
        <f>IF(K207&gt;Forudsætninger!$C$37,IF(K207&gt;Forudsætninger!$C$38,IF(K207&gt;Forudsætninger!$C$39,Forudsætninger!$E$39,Forudsætninger!$E$38+Forudsætninger!$F$39*(K207-Forudsætninger!$C$38)),Forudsætninger!$E$37+Forudsætninger!$F$38*(K207-Forudsætninger!$C$37)),Forudsætninger!$E$37)+IF(K207&gt;Forudsætninger!$C$39,Forudsætninger!$G$39,IF(K207&gt;Forudsætninger!$C$38,Forudsætninger!$G$38+Forudsætninger!$H$39*(K207-Forudsætninger!$C$38),IF(K207&gt;Forudsætninger!$C$37,Forudsætninger!$G$37+Forudsætninger!$H$38*(K207-Forudsætninger!$C$37),Forudsætninger!$G$37)))*(U207-Forudsætninger!$H$37)</f>
        <v>35.558212478264387</v>
      </c>
      <c r="AC207" s="19">
        <f>IF(K207&gt;Forudsætninger!$C$42,IF(K207&gt;Forudsætninger!$C$43,IF(K207&gt;Forudsætninger!$C$44,Forudsætninger!$E$44,Forudsætninger!$E$43+Forudsætninger!$F$44*(K207-Forudsætninger!$C$43)),Forudsætninger!$E$42+Forudsætninger!$F$43*(K207-Forudsætninger!$C$42)),Forudsætninger!$E$42)+IF(K207&gt;Forudsætninger!$C$44,Forudsætninger!$G$44,IF(K207&gt;Forudsætninger!$C$43,Forudsætninger!$G$43+Forudsætninger!$H$44*(K207-Forudsætninger!$C$43),IF(K207&gt;Forudsætninger!$C$42,Forudsætninger!$G$42+Forudsætninger!$H$43*(K207-Forudsætninger!$C$42),Forudsætninger!$G$42)))*(V207-Forudsætninger!$H$42)</f>
        <v>30.402441480746667</v>
      </c>
      <c r="AD207" s="19">
        <f t="shared" si="87"/>
        <v>5685.7285293476934</v>
      </c>
      <c r="AE207" s="19">
        <f t="shared" si="88"/>
        <v>30.402441480746671</v>
      </c>
      <c r="AF207">
        <f>IF(G207&lt;=Forudsætninger!$C$97,Forudsætninger!$C$98,(IF(G207&lt;=Forudsætninger!$D$97,Forudsætninger!$D$98,IF(G207&lt;=Forudsætninger!$E$97,Forudsætninger!$E$98,IF(G207&lt;=Forudsætninger!$F$97,Forudsætninger!$F$98,IF(G207&lt;=Forudsætninger!$G$97,Forudsætninger!$G$98,IF(G207&lt;=Forudsætninger!$H$97,Forudsætninger!$H$98,IF(G207&lt;=Forudsætninger!$I$97,Forudsætninger!$I$98,Forudsætninger!$I$98))))))))</f>
        <v>3.8</v>
      </c>
      <c r="AG207" s="1">
        <f t="shared" si="97"/>
        <v>4.4000000000000004</v>
      </c>
      <c r="AH207" s="1">
        <f t="shared" si="101"/>
        <v>586.19999999999811</v>
      </c>
      <c r="AI207" s="1">
        <f t="shared" si="89"/>
        <v>2.8595121951219422</v>
      </c>
      <c r="AJ207" s="20">
        <f>+(W207*Forudsætninger!$C$12)</f>
        <v>900</v>
      </c>
      <c r="AK207" s="20">
        <f>Forudsætninger!$C$17</f>
        <v>250</v>
      </c>
      <c r="AL207" s="20">
        <f>IF(A207&lt;92,Forudsætninger!$C$20,Forudsætninger!$C$21)</f>
        <v>1.0566762728146013</v>
      </c>
      <c r="AM207" s="20">
        <f t="shared" si="98"/>
        <v>485.12411878028507</v>
      </c>
      <c r="AN207" s="19">
        <f>IFERROR(AD207+AJ207-AA207-Z207-AK207-AM207-Forudsætninger!$D$75,-99999)</f>
        <v>358.00153738642632</v>
      </c>
      <c r="AO207" s="57">
        <f>IFERROR(AN207/(A207+Forudsætninger!$D$74),-99999)</f>
        <v>1.7463489628606161</v>
      </c>
      <c r="AP207" s="19">
        <f>IFERROR(((365/(A207+Forudsætninger!$D$74))*AN207)/(AI207+Forudsætninger!$D$73),-99999)</f>
        <v>214.65389921321727</v>
      </c>
      <c r="AQ207" s="18">
        <f t="shared" si="102"/>
        <v>205</v>
      </c>
      <c r="AR207" s="18">
        <f t="shared" si="103"/>
        <v>6009.8350182603072</v>
      </c>
      <c r="AS207" s="50">
        <f t="shared" si="104"/>
        <v>7.9</v>
      </c>
      <c r="AT207" s="50">
        <f t="shared" si="105"/>
        <v>6.0260454816287847</v>
      </c>
      <c r="AU207" s="50">
        <f t="shared" si="106"/>
        <v>2.0978904503765383E-2</v>
      </c>
      <c r="AV207" s="2">
        <f t="shared" si="107"/>
        <v>2.037960934964417</v>
      </c>
      <c r="AW207" s="16">
        <f t="shared" si="99"/>
        <v>4.1128080788620069</v>
      </c>
      <c r="AZ207" s="16"/>
      <c r="BA207" s="2"/>
    </row>
    <row r="208" spans="1:53" x14ac:dyDescent="0.25">
      <c r="A208">
        <v>206</v>
      </c>
      <c r="B208" s="1">
        <f>ROUND((A208+Forudsætninger!$D$60)/30.4,1)</f>
        <v>7.9</v>
      </c>
      <c r="C208" s="1">
        <f>VLOOKUP((A208+Forudsætninger!$D$60),'Model tilvækst, slagteform, fe'!A:C,3,FALSE)</f>
        <v>411.16935974253704</v>
      </c>
      <c r="D208" s="3">
        <f t="shared" si="108"/>
        <v>1685.6341868164009</v>
      </c>
      <c r="E208" s="3">
        <f>(1+Forudsætninger!$D$78)*C208</f>
        <v>345.38226218373109</v>
      </c>
      <c r="F208" s="2">
        <f t="shared" si="90"/>
        <v>0</v>
      </c>
      <c r="G208" s="1">
        <f t="shared" si="83"/>
        <v>345.38226218373109</v>
      </c>
      <c r="H208" s="3">
        <f t="shared" si="91"/>
        <v>1415.9327169257381</v>
      </c>
      <c r="I208" s="3">
        <f t="shared" si="92"/>
        <v>1327.0983601151993</v>
      </c>
      <c r="J208" s="1">
        <f>VLOOKUP((A208+Forudsætninger!$D$60),'Model tilvækst, slagteform, fe'!G:K,3,FALSE)*(1+Forudsætninger!$D$79)</f>
        <v>54.390686811897055</v>
      </c>
      <c r="K208" s="17">
        <f t="shared" si="84"/>
        <v>187.85578452819834</v>
      </c>
      <c r="L208" s="17">
        <f t="shared" si="93"/>
        <v>840.26036549695959</v>
      </c>
      <c r="M208" s="3">
        <f>((K208-(('Model tilvækst, slagteform, fe'!$I$9/100)*'Model tilvækst, slagteform, fe'!$C$9))*1000/(A208+Forudsætninger!$D$60))</f>
        <v>692.23842321595419</v>
      </c>
      <c r="N208" s="17">
        <f t="shared" si="94"/>
        <v>1053.0828698253124</v>
      </c>
      <c r="O208" s="19">
        <f>IF( A208&lt;Forudsætninger!$C$14,(G208/100)*Forudsætninger!$C$13,(Forudsætninger!$C$15/1000)*Forudsætninger!$C$13)</f>
        <v>2.2449847041942519</v>
      </c>
      <c r="P208" s="17" cm="1">
        <f t="array" ref="P208">INDEX('Model tilvækst, slagteform, fe'!$O$9:$O$375,MATCH(MIN(ABS('Model tilvækst, slagteform, fe'!$M$9:$M$375-G208)),ABS('Model tilvækst, slagteform, fe'!$M$9:$M$375-G208),0))*(1+Forudsætninger!$D$80)</f>
        <v>7.1434508137973038</v>
      </c>
      <c r="Q208" s="17">
        <f t="shared" si="95"/>
        <v>8.501473004230558</v>
      </c>
      <c r="R208" s="17">
        <f t="shared" si="96"/>
        <v>6.8875708421468067</v>
      </c>
      <c r="S208" s="2">
        <f t="shared" si="85"/>
        <v>3.8520526584770542</v>
      </c>
      <c r="T208" s="19">
        <f>(P208)*IF(N208&lt;Forudsætninger!$B$228,IF(N208&lt;Forudsætninger!$B$227,Forudsætninger!$B$225,Forudsætninger!$C$9),Forudsætninger!$C$11)+O208</f>
        <v>18.960659608479943</v>
      </c>
      <c r="U208" s="2">
        <f>Forudsætninger!$D$68+((K208-(Forudsætninger!$D$84)))*0.01</f>
        <v>7.0181685266416354</v>
      </c>
      <c r="V208" s="2">
        <f>U208+Forudsætninger!$D$69</f>
        <v>7.0181685266416354</v>
      </c>
      <c r="W208">
        <f t="shared" si="86"/>
        <v>1</v>
      </c>
      <c r="X208">
        <f>IF(A208+Forudsætninger!$D$60&gt;248,IF(A208+Forudsætninger!$D$60&lt;365,IF(K208&gt;180,IF(K208&lt;260,1,0),0),0),0)</f>
        <v>0</v>
      </c>
      <c r="Y208" s="22">
        <f>IF(X208=0,0,IF('Vækstfunktion, kry tyr'!A208&lt;Forudsætninger!$D$66,Forudsætninger!$D$67+(('Vækstfunktion, kry tyr'!A208-Forudsætninger!$D$66)/7)*Forudsætninger!$D$64,Forudsætninger!$D$67))</f>
        <v>0</v>
      </c>
      <c r="Z208" s="19">
        <f t="shared" si="100"/>
        <v>3238.6715590885019</v>
      </c>
      <c r="AA208" s="19">
        <f>Forudsætninger!$D$62+Forudsætninger!$C$16</f>
        <v>2055</v>
      </c>
      <c r="AB208" s="19">
        <f>IF(K208&gt;Forudsætninger!$C$37,IF(K208&gt;Forudsætninger!$C$38,IF(K208&gt;Forudsætninger!$C$39,Forudsætninger!$E$39,Forudsætninger!$E$38+Forudsætninger!$F$39*(K208-Forudsætninger!$C$38)),Forudsætninger!$E$37+Forudsætninger!$F$38*(K208-Forudsætninger!$C$37)),Forudsætninger!$E$37)+IF(K208&gt;Forudsætninger!$C$39,Forudsætninger!$G$39,IF(K208&gt;Forudsætninger!$C$38,Forudsætninger!$G$38+Forudsætninger!$H$39*(K208-Forudsætninger!$C$38),IF(K208&gt;Forudsætninger!$C$37,Forudsætninger!$G$37+Forudsætninger!$H$38*(K208-Forudsætninger!$C$37),Forudsætninger!$G$37)))*(U208-Forudsætninger!$H$37)</f>
        <v>35.589862285364767</v>
      </c>
      <c r="AC208" s="19">
        <f>IF(K208&gt;Forudsætninger!$C$42,IF(K208&gt;Forudsætninger!$C$43,IF(K208&gt;Forudsætninger!$C$44,Forudsætninger!$E$44,Forudsætninger!$E$43+Forudsætninger!$F$44*(K208-Forudsætninger!$C$43)),Forudsætninger!$E$42+Forudsætninger!$F$43*(K208-Forudsætninger!$C$42)),Forudsætninger!$E$42)+IF(K208&gt;Forudsætninger!$C$44,Forudsætninger!$G$44,IF(K208&gt;Forudsætninger!$C$43,Forudsætninger!$G$43+Forudsætninger!$H$44*(K208-Forudsætninger!$C$43),IF(K208&gt;Forudsætninger!$C$42,Forudsætninger!$G$42+Forudsætninger!$H$43*(K208-Forudsætninger!$C$42),Forudsætninger!$G$42)))*(V208-Forudsætninger!$H$42)</f>
        <v>30.404542131660406</v>
      </c>
      <c r="AD208" s="19">
        <f t="shared" si="87"/>
        <v>5711.6691153637257</v>
      </c>
      <c r="AE208" s="19">
        <f t="shared" si="88"/>
        <v>30.404542131660406</v>
      </c>
      <c r="AF208">
        <f>IF(G208&lt;=Forudsætninger!$C$97,Forudsætninger!$C$98,(IF(G208&lt;=Forudsætninger!$D$97,Forudsætninger!$D$98,IF(G208&lt;=Forudsætninger!$E$97,Forudsætninger!$E$98,IF(G208&lt;=Forudsætninger!$F$97,Forudsætninger!$F$98,IF(G208&lt;=Forudsætninger!$G$97,Forudsætninger!$G$98,IF(G208&lt;=Forudsætninger!$H$97,Forudsætninger!$H$98,IF(G208&lt;=Forudsætninger!$I$97,Forudsætninger!$I$98,Forudsætninger!$I$98))))))))</f>
        <v>3.8</v>
      </c>
      <c r="AG208" s="1">
        <f t="shared" si="97"/>
        <v>4.4000000000000004</v>
      </c>
      <c r="AH208" s="1">
        <f t="shared" si="101"/>
        <v>590.59999999999809</v>
      </c>
      <c r="AI208" s="1">
        <f t="shared" si="89"/>
        <v>2.8669902912621268</v>
      </c>
      <c r="AJ208" s="20">
        <f>+(W208*Forudsætninger!$C$12)</f>
        <v>900</v>
      </c>
      <c r="AK208" s="20">
        <f>Forudsætninger!$C$17</f>
        <v>250</v>
      </c>
      <c r="AL208" s="20">
        <f>IF(A208&lt;92,Forudsætninger!$C$20,Forudsætninger!$C$21)</f>
        <v>1.0566762728146013</v>
      </c>
      <c r="AM208" s="20">
        <f t="shared" si="98"/>
        <v>486.1807950530997</v>
      </c>
      <c r="AN208" s="19">
        <f>IFERROR(AD208+AJ208-AA208-Z208-AK208-AM208-Forudsætninger!$D$75,-99999)</f>
        <v>363.92478752116392</v>
      </c>
      <c r="AO208" s="57">
        <f>IFERROR(AN208/(A208+Forudsætninger!$D$74),-99999)</f>
        <v>1.7666251821415724</v>
      </c>
      <c r="AP208" s="19">
        <f>IFERROR(((365/(A208+Forudsætninger!$D$74))*AN208)/(AI208+Forudsætninger!$D$73),-99999)</f>
        <v>216.60070352741943</v>
      </c>
      <c r="AQ208" s="18">
        <f t="shared" si="102"/>
        <v>206</v>
      </c>
      <c r="AR208" s="18">
        <f t="shared" si="103"/>
        <v>6029.8523541416016</v>
      </c>
      <c r="AS208" s="50">
        <f t="shared" si="104"/>
        <v>7.9</v>
      </c>
      <c r="AT208" s="50">
        <f t="shared" si="105"/>
        <v>5.9232501347376001</v>
      </c>
      <c r="AU208" s="50">
        <f t="shared" si="106"/>
        <v>2.0276219280956242E-2</v>
      </c>
      <c r="AV208" s="2">
        <f t="shared" si="107"/>
        <v>1.9468043142021543</v>
      </c>
      <c r="AW208" s="16">
        <f t="shared" si="99"/>
        <v>4.1267261290012796</v>
      </c>
      <c r="AZ208" s="16"/>
      <c r="BA208" s="2"/>
    </row>
    <row r="209" spans="1:58" x14ac:dyDescent="0.25">
      <c r="A209">
        <v>207</v>
      </c>
      <c r="B209" s="1">
        <f>ROUND((A209+Forudsætninger!$D$60)/30.4,1)</f>
        <v>7.9</v>
      </c>
      <c r="C209" s="1">
        <f>VLOOKUP((A209+Forudsætninger!$D$60),'Model tilvækst, slagteform, fe'!A:C,3,FALSE)</f>
        <v>412.85099600593833</v>
      </c>
      <c r="D209" s="3">
        <f t="shared" si="108"/>
        <v>1681.6362634012876</v>
      </c>
      <c r="E209" s="3">
        <f>(1+Forudsætninger!$D$78)*C209</f>
        <v>346.79483664498821</v>
      </c>
      <c r="F209" s="2">
        <f t="shared" si="90"/>
        <v>0</v>
      </c>
      <c r="G209" s="1">
        <f t="shared" si="83"/>
        <v>346.79483664498821</v>
      </c>
      <c r="H209" s="3">
        <f t="shared" si="91"/>
        <v>1412.5744612571225</v>
      </c>
      <c r="I209" s="3">
        <f t="shared" si="92"/>
        <v>1327.5112881400396</v>
      </c>
      <c r="J209" s="1">
        <f>VLOOKUP((A209+Forudsætninger!$D$60),'Model tilvækst, slagteform, fe'!G:K,3,FALSE)*(1+Forudsætninger!$D$79)</f>
        <v>54.410659134874344</v>
      </c>
      <c r="K209" s="17">
        <f t="shared" si="84"/>
        <v>188.69335646424881</v>
      </c>
      <c r="L209" s="17">
        <f t="shared" si="93"/>
        <v>837.57193605046609</v>
      </c>
      <c r="M209" s="3">
        <f>((K209-(('Model tilvækst, slagteform, fe'!$I$9/100)*'Model tilvækst, slagteform, fe'!$C$9))*1000/(A209+Forudsætninger!$D$60))</f>
        <v>692.84146683767426</v>
      </c>
      <c r="N209" s="17">
        <f t="shared" si="94"/>
        <v>1060.2332528784357</v>
      </c>
      <c r="O209" s="19">
        <f>IF( A209&lt;Forudsætninger!$C$14,(G209/100)*Forudsætninger!$C$13,(Forudsætninger!$C$15/1000)*Forudsætninger!$C$13)</f>
        <v>2.2541664381924233</v>
      </c>
      <c r="P209" s="17" cm="1">
        <f t="array" ref="P209">INDEX('Model tilvækst, slagteform, fe'!$O$9:$O$375,MATCH(MIN(ABS('Model tilvækst, slagteform, fe'!$M$9:$M$375-G209)),ABS('Model tilvækst, slagteform, fe'!$M$9:$M$375-G209),0))*(1+Forudsætninger!$D$80)</f>
        <v>7.150383053123333</v>
      </c>
      <c r="Q209" s="17">
        <f t="shared" si="95"/>
        <v>8.5370375311769067</v>
      </c>
      <c r="R209" s="17">
        <f t="shared" si="96"/>
        <v>6.8965574668439693</v>
      </c>
      <c r="S209" s="2">
        <f t="shared" si="85"/>
        <v>3.8582721051930382</v>
      </c>
      <c r="T209" s="19">
        <f>(P209)*IF(N209&lt;Forudsætninger!$B$228,IF(N209&lt;Forudsætninger!$B$227,Forudsætninger!$B$225,Forudsætninger!$C$9),Forudsætninger!$C$11)+O209</f>
        <v>18.986062782501023</v>
      </c>
      <c r="U209" s="2">
        <f>Forudsætninger!$D$68+((K209-(Forudsætninger!$D$84)))*0.01</f>
        <v>7.0265442460021408</v>
      </c>
      <c r="V209" s="2">
        <f>U209+Forudsætninger!$D$69</f>
        <v>7.0265442460021408</v>
      </c>
      <c r="W209">
        <f t="shared" si="86"/>
        <v>1</v>
      </c>
      <c r="X209">
        <f>IF(A209+Forudsætninger!$D$60&gt;248,IF(A209+Forudsætninger!$D$60&lt;365,IF(K209&gt;180,IF(K209&lt;260,1,0),0),0),0)</f>
        <v>0</v>
      </c>
      <c r="Y209" s="22">
        <f>IF(X209=0,0,IF('Vækstfunktion, kry tyr'!A209&lt;Forudsætninger!$D$66,Forudsætninger!$D$67+(('Vækstfunktion, kry tyr'!A209-Forudsætninger!$D$66)/7)*Forudsætninger!$D$64,Forudsætninger!$D$67))</f>
        <v>0</v>
      </c>
      <c r="Z209" s="19">
        <f t="shared" si="100"/>
        <v>3257.6576218710029</v>
      </c>
      <c r="AA209" s="19">
        <f>Forudsætninger!$D$62+Forudsætninger!$C$16</f>
        <v>2055</v>
      </c>
      <c r="AB209" s="19">
        <f>IF(K209&gt;Forudsætninger!$C$37,IF(K209&gt;Forudsætninger!$C$38,IF(K209&gt;Forudsætninger!$C$39,Forudsætninger!$E$39,Forudsætninger!$E$38+Forudsætninger!$F$39*(K209-Forudsætninger!$C$38)),Forudsætninger!$E$37+Forudsætninger!$F$38*(K209-Forudsætninger!$C$37)),Forudsætninger!$E$37)+IF(K209&gt;Forudsætninger!$C$39,Forudsætninger!$G$39,IF(K209&gt;Forudsætninger!$C$38,Forudsætninger!$G$38+Forudsætninger!$H$39*(K209-Forudsætninger!$C$38),IF(K209&gt;Forudsætninger!$C$37,Forudsætninger!$G$37+Forudsætninger!$H$38*(K209-Forudsætninger!$C$37),Forudsætninger!$G$37)))*(U209-Forudsætninger!$H$37)</f>
        <v>35.621410828289335</v>
      </c>
      <c r="AC209" s="19">
        <f>IF(K209&gt;Forudsætninger!$C$42,IF(K209&gt;Forudsætninger!$C$43,IF(K209&gt;Forudsætninger!$C$44,Forudsætninger!$E$44,Forudsætninger!$E$43+Forudsætninger!$F$44*(K209-Forudsætninger!$C$43)),Forudsætninger!$E$42+Forudsætninger!$F$43*(K209-Forudsætninger!$C$42)),Forudsætninger!$E$42)+IF(K209&gt;Forudsætninger!$C$44,Forudsætninger!$G$44,IF(K209&gt;Forudsætninger!$C$43,Forudsætninger!$G$43+Forudsætninger!$H$44*(K209-Forudsætninger!$C$43),IF(K209&gt;Forudsætninger!$C$42,Forudsætninger!$G$42+Forudsætninger!$H$43*(K209-Forudsætninger!$C$42),Forudsætninger!$G$42)))*(V209-Forudsætninger!$H$42)</f>
        <v>30.406636061500535</v>
      </c>
      <c r="AD209" s="19">
        <f t="shared" si="87"/>
        <v>5737.5302172314032</v>
      </c>
      <c r="AE209" s="19">
        <f t="shared" si="88"/>
        <v>30.406636061500535</v>
      </c>
      <c r="AF209">
        <f>IF(G209&lt;=Forudsætninger!$C$97,Forudsætninger!$C$98,(IF(G209&lt;=Forudsætninger!$D$97,Forudsætninger!$D$98,IF(G209&lt;=Forudsætninger!$E$97,Forudsætninger!$E$98,IF(G209&lt;=Forudsætninger!$F$97,Forudsætninger!$F$98,IF(G209&lt;=Forudsætninger!$G$97,Forudsætninger!$G$98,IF(G209&lt;=Forudsætninger!$H$97,Forudsætninger!$H$98,IF(G209&lt;=Forudsætninger!$I$97,Forudsætninger!$I$98,Forudsætninger!$I$98))))))))</f>
        <v>3.8</v>
      </c>
      <c r="AG209" s="1">
        <f t="shared" si="97"/>
        <v>4.4000000000000004</v>
      </c>
      <c r="AH209" s="1">
        <f t="shared" si="101"/>
        <v>594.99999999999807</v>
      </c>
      <c r="AI209" s="1">
        <f t="shared" si="89"/>
        <v>2.874396135265691</v>
      </c>
      <c r="AJ209" s="20">
        <f>+(W209*Forudsætninger!$C$12)</f>
        <v>900</v>
      </c>
      <c r="AK209" s="20">
        <f>Forudsætninger!$C$17</f>
        <v>250</v>
      </c>
      <c r="AL209" s="20">
        <f>IF(A209&lt;92,Forudsætninger!$C$20,Forudsætninger!$C$21)</f>
        <v>1.0566762728146013</v>
      </c>
      <c r="AM209" s="20">
        <f t="shared" si="98"/>
        <v>487.23747132591433</v>
      </c>
      <c r="AN209" s="19">
        <f>IFERROR(AD209+AJ209-AA209-Z209-AK209-AM209-Forudsætninger!$D$75,-99999)</f>
        <v>369.7431503335257</v>
      </c>
      <c r="AO209" s="57">
        <f>IFERROR(AN209/(A209+Forudsætninger!$D$74),-99999)</f>
        <v>1.7861987938817667</v>
      </c>
      <c r="AP209" s="19">
        <f>IFERROR(((365/(A209+Forudsætninger!$D$74))*AN209)/(AI209+Forudsætninger!$D$73),-99999)</f>
        <v>218.4571116624914</v>
      </c>
      <c r="AQ209" s="18">
        <f t="shared" si="102"/>
        <v>207</v>
      </c>
      <c r="AR209" s="18">
        <f t="shared" si="103"/>
        <v>6049.8950931969175</v>
      </c>
      <c r="AS209" s="50">
        <f t="shared" si="104"/>
        <v>7.9</v>
      </c>
      <c r="AT209" s="50">
        <f t="shared" si="105"/>
        <v>5.8183628123617837</v>
      </c>
      <c r="AU209" s="50">
        <f t="shared" si="106"/>
        <v>1.9573611740194341E-2</v>
      </c>
      <c r="AV209" s="2">
        <f t="shared" si="107"/>
        <v>1.8564081350719732</v>
      </c>
      <c r="AW209" s="16">
        <f t="shared" si="99"/>
        <v>4.1400030031857007</v>
      </c>
      <c r="AZ209" s="16"/>
      <c r="BA209" s="2"/>
    </row>
    <row r="210" spans="1:58" x14ac:dyDescent="0.25">
      <c r="A210">
        <v>208</v>
      </c>
      <c r="B210" s="1">
        <f>ROUND((A210+Forudsætninger!$D$60)/30.4,1)</f>
        <v>8</v>
      </c>
      <c r="C210" s="1">
        <f>VLOOKUP((A210+Forudsætninger!$D$60),'Model tilvækst, slagteform, fe'!A:C,3,FALSE)</f>
        <v>414.52860496134184</v>
      </c>
      <c r="D210" s="3">
        <f t="shared" si="108"/>
        <v>1677.6089554035138</v>
      </c>
      <c r="E210" s="3">
        <f>(1+Forudsætninger!$D$78)*C210</f>
        <v>348.20402816752716</v>
      </c>
      <c r="F210" s="2">
        <f t="shared" si="90"/>
        <v>0</v>
      </c>
      <c r="G210" s="1">
        <f t="shared" si="83"/>
        <v>348.20402816752716</v>
      </c>
      <c r="H210" s="3">
        <f t="shared" si="91"/>
        <v>1409.1915225389471</v>
      </c>
      <c r="I210" s="3">
        <f t="shared" si="92"/>
        <v>1327.9039815746498</v>
      </c>
      <c r="J210" s="1">
        <f>VLOOKUP((A210+Forudsætninger!$D$60),'Model tilvækst, slagteform, fe'!G:K,3,FALSE)*(1+Forudsætninger!$D$79)</f>
        <v>54.430207927775939</v>
      </c>
      <c r="K210" s="17">
        <f t="shared" si="84"/>
        <v>189.52817654447654</v>
      </c>
      <c r="L210" s="17">
        <f t="shared" si="93"/>
        <v>834.82008022772902</v>
      </c>
      <c r="M210" s="3">
        <f>((K210-(('Model tilvækst, slagteform, fe'!$I$9/100)*'Model tilvækst, slagteform, fe'!$C$9))*1000/(A210+Forudsætninger!$D$60))</f>
        <v>693.42815532275699</v>
      </c>
      <c r="N210" s="17">
        <f t="shared" si="94"/>
        <v>1067.3906247529035</v>
      </c>
      <c r="O210" s="19">
        <f>IF( A210&lt;Forudsætninger!$C$14,(G210/100)*Forudsætninger!$C$13,(Forudsætninger!$C$15/1000)*Forudsætninger!$C$13)</f>
        <v>2.2633261830889264</v>
      </c>
      <c r="P210" s="17" cm="1">
        <f t="array" ref="P210">INDEX('Model tilvækst, slagteform, fe'!$O$9:$O$375,MATCH(MIN(ABS('Model tilvækst, slagteform, fe'!$M$9:$M$375-G210)),ABS('Model tilvækst, slagteform, fe'!$M$9:$M$375-G210),0))*(1+Forudsætninger!$D$80)</f>
        <v>7.1573718744678594</v>
      </c>
      <c r="Q210" s="17">
        <f t="shared" si="95"/>
        <v>8.5735502103823542</v>
      </c>
      <c r="R210" s="17">
        <f t="shared" si="96"/>
        <v>6.905614856236383</v>
      </c>
      <c r="S210" s="2">
        <f t="shared" si="85"/>
        <v>3.8645005716770164</v>
      </c>
      <c r="T210" s="19">
        <f>(P210)*IF(N210&lt;Forudsætninger!$B$228,IF(N210&lt;Forudsætninger!$B$227,Forudsætninger!$B$225,Forudsætninger!$C$9),Forudsætninger!$C$11)+O210</f>
        <v>19.011576369343715</v>
      </c>
      <c r="U210" s="2">
        <f>Forudsætninger!$D$68+((K210-(Forudsætninger!$D$84)))*0.01</f>
        <v>7.0348924468044176</v>
      </c>
      <c r="V210" s="2">
        <f>U210+Forudsætninger!$D$69</f>
        <v>7.0348924468044176</v>
      </c>
      <c r="W210">
        <f t="shared" si="86"/>
        <v>1</v>
      </c>
      <c r="X210">
        <f>IF(A210+Forudsætninger!$D$60&gt;248,IF(A210+Forudsætninger!$D$60&lt;365,IF(K210&gt;180,IF(K210&lt;260,1,0),0),0),0)</f>
        <v>0</v>
      </c>
      <c r="Y210" s="22">
        <f>IF(X210=0,0,IF('Vækstfunktion, kry tyr'!A210&lt;Forudsætninger!$D$66,Forudsætninger!$D$67+(('Vækstfunktion, kry tyr'!A210-Forudsætninger!$D$66)/7)*Forudsætninger!$D$64,Forudsætninger!$D$67))</f>
        <v>0</v>
      </c>
      <c r="Z210" s="19">
        <f t="shared" si="100"/>
        <v>3276.6691982403468</v>
      </c>
      <c r="AA210" s="19">
        <f>Forudsætninger!$D$62+Forudsætninger!$C$16</f>
        <v>2055</v>
      </c>
      <c r="AB210" s="19">
        <f>IF(K210&gt;Forudsætninger!$C$37,IF(K210&gt;Forudsætninger!$C$38,IF(K210&gt;Forudsætninger!$C$39,Forudsætninger!$E$39,Forudsætninger!$E$38+Forudsætninger!$F$39*(K210-Forudsætninger!$C$38)),Forudsætninger!$E$37+Forudsætninger!$F$38*(K210-Forudsætninger!$C$37)),Forudsætninger!$E$37)+IF(K210&gt;Forudsætninger!$C$39,Forudsætninger!$G$39,IF(K210&gt;Forudsætninger!$C$38,Forudsætninger!$G$38+Forudsætninger!$H$39*(K210-Forudsætninger!$C$38),IF(K210&gt;Forudsætninger!$C$37,Forudsætninger!$G$37+Forudsætninger!$H$38*(K210-Forudsætninger!$C$37),Forudsætninger!$G$37)))*(U210-Forudsætninger!$H$37)</f>
        <v>35.652855717977914</v>
      </c>
      <c r="AC210" s="19">
        <f>IF(K210&gt;Forudsætninger!$C$42,IF(K210&gt;Forudsætninger!$C$43,IF(K210&gt;Forudsætninger!$C$44,Forudsætninger!$E$44,Forudsætninger!$E$43+Forudsætninger!$F$44*(K210-Forudsætninger!$C$43)),Forudsætninger!$E$42+Forudsætninger!$F$43*(K210-Forudsætninger!$C$42)),Forudsætninger!$E$42)+IF(K210&gt;Forudsætninger!$C$44,Forudsætninger!$G$44,IF(K210&gt;Forudsætninger!$C$43,Forudsætninger!$G$43+Forudsætninger!$H$44*(K210-Forudsætninger!$C$43),IF(K210&gt;Forudsætninger!$C$42,Forudsætninger!$G$42+Forudsætninger!$H$43*(K210-Forudsætninger!$C$42),Forudsætninger!$G$42)))*(V210-Forudsætninger!$H$42)</f>
        <v>30.408723111701104</v>
      </c>
      <c r="AD210" s="19">
        <f t="shared" si="87"/>
        <v>5763.3098424065911</v>
      </c>
      <c r="AE210" s="19">
        <f t="shared" si="88"/>
        <v>30.408723111701107</v>
      </c>
      <c r="AF210">
        <f>IF(G210&lt;=Forudsætninger!$C$97,Forudsætninger!$C$98,(IF(G210&lt;=Forudsætninger!$D$97,Forudsætninger!$D$98,IF(G210&lt;=Forudsætninger!$E$97,Forudsætninger!$E$98,IF(G210&lt;=Forudsætninger!$F$97,Forudsætninger!$F$98,IF(G210&lt;=Forudsætninger!$G$97,Forudsætninger!$G$98,IF(G210&lt;=Forudsætninger!$H$97,Forudsætninger!$H$98,IF(G210&lt;=Forudsætninger!$I$97,Forudsætninger!$I$98,Forudsætninger!$I$98))))))))</f>
        <v>3.8</v>
      </c>
      <c r="AG210" s="1">
        <f t="shared" si="97"/>
        <v>4.4000000000000004</v>
      </c>
      <c r="AH210" s="1">
        <f t="shared" si="101"/>
        <v>599.39999999999804</v>
      </c>
      <c r="AI210" s="1">
        <f t="shared" si="89"/>
        <v>2.8817307692307597</v>
      </c>
      <c r="AJ210" s="20">
        <f>+(W210*Forudsætninger!$C$12)</f>
        <v>900</v>
      </c>
      <c r="AK210" s="20">
        <f>Forudsætninger!$C$17</f>
        <v>250</v>
      </c>
      <c r="AL210" s="20">
        <f>IF(A210&lt;92,Forudsætninger!$C$20,Forudsætninger!$C$21)</f>
        <v>1.0566762728146013</v>
      </c>
      <c r="AM210" s="20">
        <f t="shared" si="98"/>
        <v>488.29414759872896</v>
      </c>
      <c r="AN210" s="19">
        <f>IFERROR(AD210+AJ210-AA210-Z210-AK210-AM210-Forudsætninger!$D$75,-99999)</f>
        <v>375.45452286655518</v>
      </c>
      <c r="AO210" s="57">
        <f>IFERROR(AN210/(A210+Forudsætninger!$D$74),-99999)</f>
        <v>1.805069821473823</v>
      </c>
      <c r="AP210" s="19">
        <f>IFERROR(((365/(A210+Forudsætninger!$D$74))*AN210)/(AI210+Forudsætninger!$D$73),-99999)</f>
        <v>220.2238555735249</v>
      </c>
      <c r="AQ210" s="18">
        <f t="shared" si="102"/>
        <v>208</v>
      </c>
      <c r="AR210" s="18">
        <f t="shared" si="103"/>
        <v>6069.9633458390754</v>
      </c>
      <c r="AS210" s="50">
        <f t="shared" si="104"/>
        <v>8</v>
      </c>
      <c r="AT210" s="50">
        <f t="shared" si="105"/>
        <v>5.7113725330294756</v>
      </c>
      <c r="AU210" s="50">
        <f t="shared" si="106"/>
        <v>1.8871027592056278E-2</v>
      </c>
      <c r="AV210" s="2">
        <f t="shared" si="107"/>
        <v>1.766743911033501</v>
      </c>
      <c r="AW210" s="16">
        <f t="shared" si="99"/>
        <v>4.1526378387754042</v>
      </c>
      <c r="AZ210" s="16"/>
      <c r="BA210" s="2"/>
    </row>
    <row r="211" spans="1:58" x14ac:dyDescent="0.25">
      <c r="A211">
        <v>209</v>
      </c>
      <c r="B211" s="1">
        <f>ROUND((A211+Forudsætninger!$D$60)/30.4,1)</f>
        <v>8</v>
      </c>
      <c r="C211" s="1">
        <f>VLOOKUP((A211+Forudsætninger!$D$60),'Model tilvækst, slagteform, fe'!A:C,3,FALSE)</f>
        <v>416.20215784510106</v>
      </c>
      <c r="D211" s="3">
        <f t="shared" si="108"/>
        <v>1673.5528837592142</v>
      </c>
      <c r="E211" s="3">
        <f>(1+Forudsætninger!$D$78)*C211</f>
        <v>349.60981258988488</v>
      </c>
      <c r="F211" s="2">
        <f t="shared" si="90"/>
        <v>0</v>
      </c>
      <c r="G211" s="1">
        <f t="shared" si="83"/>
        <v>349.60981258988488</v>
      </c>
      <c r="H211" s="3">
        <f t="shared" si="91"/>
        <v>1405.7844223577263</v>
      </c>
      <c r="I211" s="3">
        <f t="shared" si="92"/>
        <v>1328.2766152626073</v>
      </c>
      <c r="J211" s="1">
        <f>VLOOKUP((A211+Forudsætninger!$D$60),'Model tilvækst, slagteform, fe'!G:K,3,FALSE)*(1+Forudsætninger!$D$79)</f>
        <v>54.44932445976383</v>
      </c>
      <c r="K211" s="17">
        <f t="shared" si="84"/>
        <v>190.36018120023866</v>
      </c>
      <c r="L211" s="17">
        <f t="shared" si="93"/>
        <v>832.00465576211968</v>
      </c>
      <c r="M211" s="3">
        <f>((K211-(('Model tilvækst, slagteform, fe'!$I$9/100)*'Model tilvækst, slagteform, fe'!$C$9))*1000/(A211+Forudsætninger!$D$60))</f>
        <v>693.99842898711665</v>
      </c>
      <c r="N211" s="17">
        <f t="shared" si="94"/>
        <v>1074.5550444478934</v>
      </c>
      <c r="O211" s="19">
        <f>IF( A211&lt;Forudsætninger!$C$14,(G211/100)*Forudsætninger!$C$13,(Forudsætninger!$C$15/1000)*Forudsætninger!$C$13)</f>
        <v>2.2724637818342517</v>
      </c>
      <c r="P211" s="17" cm="1">
        <f t="array" ref="P211">INDEX('Model tilvækst, slagteform, fe'!$O$9:$O$375,MATCH(MIN(ABS('Model tilvækst, slagteform, fe'!$M$9:$M$375-G211)),ABS('Model tilvækst, slagteform, fe'!$M$9:$M$375-G211),0))*(1+Forudsætninger!$D$80)</f>
        <v>7.1644196949899595</v>
      </c>
      <c r="Q211" s="17">
        <f t="shared" si="95"/>
        <v>8.611033177966199</v>
      </c>
      <c r="R211" s="17">
        <f t="shared" si="96"/>
        <v>6.9147455592636122</v>
      </c>
      <c r="S211" s="2">
        <f t="shared" si="85"/>
        <v>3.8707386976819218</v>
      </c>
      <c r="T211" s="19">
        <f>(P211)*IF(N211&lt;Forudsætninger!$B$228,IF(N211&lt;Forudsætninger!$B$227,Forudsætninger!$B$225,Forudsætninger!$C$9),Forudsætninger!$C$11)+O211</f>
        <v>19.037205868110753</v>
      </c>
      <c r="U211" s="2">
        <f>Forudsætninger!$D$68+((K211-(Forudsætninger!$D$84)))*0.01</f>
        <v>7.0432124933620388</v>
      </c>
      <c r="V211" s="2">
        <f>U211+Forudsætninger!$D$69</f>
        <v>7.0432124933620388</v>
      </c>
      <c r="W211">
        <f t="shared" si="86"/>
        <v>1</v>
      </c>
      <c r="X211">
        <f>IF(A211+Forudsætninger!$D$60&gt;248,IF(A211+Forudsætninger!$D$60&lt;365,IF(K211&gt;180,IF(K211&lt;260,1,0),0),0),0)</f>
        <v>0</v>
      </c>
      <c r="Y211" s="22">
        <f>IF(X211=0,0,IF('Vækstfunktion, kry tyr'!A211&lt;Forudsætninger!$D$66,Forudsætninger!$D$67+(('Vækstfunktion, kry tyr'!A211-Forudsætninger!$D$66)/7)*Forudsætninger!$D$64,Forudsætninger!$D$67))</f>
        <v>0</v>
      </c>
      <c r="Z211" s="19">
        <f t="shared" si="100"/>
        <v>3295.7064041084577</v>
      </c>
      <c r="AA211" s="19">
        <f>Forudsætninger!$D$62+Forudsætninger!$C$16</f>
        <v>2055</v>
      </c>
      <c r="AB211" s="19">
        <f>IF(K211&gt;Forudsætninger!$C$37,IF(K211&gt;Forudsætninger!$C$38,IF(K211&gt;Forudsætninger!$C$39,Forudsætninger!$E$39,Forudsætninger!$E$38+Forudsætninger!$F$39*(K211-Forudsætninger!$C$38)),Forudsætninger!$E$37+Forudsætninger!$F$38*(K211-Forudsætninger!$C$37)),Forudsætninger!$E$37)+IF(K211&gt;Forudsætninger!$C$39,Forudsætninger!$G$39,IF(K211&gt;Forudsætninger!$C$38,Forudsætninger!$G$38+Forudsætninger!$H$39*(K211-Forudsætninger!$C$38),IF(K211&gt;Forudsætninger!$C$37,Forudsætninger!$G$37+Forudsætninger!$H$38*(K211-Forudsætninger!$C$37),Forudsætninger!$G$37)))*(U211-Forudsætninger!$H$37)</f>
        <v>35.684194560011626</v>
      </c>
      <c r="AC211" s="19">
        <f>IF(K211&gt;Forudsætninger!$C$42,IF(K211&gt;Forudsætninger!$C$43,IF(K211&gt;Forudsætninger!$C$44,Forudsætninger!$E$44,Forudsætninger!$E$43+Forudsætninger!$F$44*(K211-Forudsætninger!$C$43)),Forudsætninger!$E$42+Forudsætninger!$F$43*(K211-Forudsætninger!$C$42)),Forudsætninger!$E$42)+IF(K211&gt;Forudsætninger!$C$44,Forudsætninger!$G$44,IF(K211&gt;Forudsætninger!$C$43,Forudsætninger!$G$43+Forudsætninger!$H$44*(K211-Forudsætninger!$C$43),IF(K211&gt;Forudsætninger!$C$42,Forudsætninger!$G$42+Forudsætninger!$H$43*(K211-Forudsætninger!$C$42),Forudsætninger!$G$42)))*(V211-Forudsætninger!$H$42)</f>
        <v>30.410803123340507</v>
      </c>
      <c r="AD211" s="19">
        <f t="shared" si="87"/>
        <v>5789.0059930038824</v>
      </c>
      <c r="AE211" s="19">
        <f t="shared" si="88"/>
        <v>30.410803123340507</v>
      </c>
      <c r="AF211">
        <f>IF(G211&lt;=Forudsætninger!$C$97,Forudsætninger!$C$98,(IF(G211&lt;=Forudsætninger!$D$97,Forudsætninger!$D$98,IF(G211&lt;=Forudsætninger!$E$97,Forudsætninger!$E$98,IF(G211&lt;=Forudsætninger!$F$97,Forudsætninger!$F$98,IF(G211&lt;=Forudsætninger!$G$97,Forudsætninger!$G$98,IF(G211&lt;=Forudsætninger!$H$97,Forudsætninger!$H$98,IF(G211&lt;=Forudsætninger!$I$97,Forudsætninger!$I$98,Forudsætninger!$I$98))))))))</f>
        <v>3.8</v>
      </c>
      <c r="AG211" s="1">
        <f t="shared" si="97"/>
        <v>4.4000000000000004</v>
      </c>
      <c r="AH211" s="1">
        <f t="shared" si="101"/>
        <v>603.79999999999802</v>
      </c>
      <c r="AI211" s="1">
        <f t="shared" si="89"/>
        <v>2.8889952153109952</v>
      </c>
      <c r="AJ211" s="20">
        <f>+(W211*Forudsætninger!$C$12)</f>
        <v>900</v>
      </c>
      <c r="AK211" s="20">
        <f>Forudsætninger!$C$17</f>
        <v>250</v>
      </c>
      <c r="AL211" s="20">
        <f>IF(A211&lt;92,Forudsætninger!$C$20,Forudsætninger!$C$21)</f>
        <v>1.0566762728146013</v>
      </c>
      <c r="AM211" s="20">
        <f t="shared" si="98"/>
        <v>489.35082387154358</v>
      </c>
      <c r="AN211" s="19">
        <f>IFERROR(AD211+AJ211-AA211-Z211-AK211-AM211-Forudsætninger!$D$75,-99999)</f>
        <v>381.05679132292096</v>
      </c>
      <c r="AO211" s="57">
        <f>IFERROR(AN211/(A211+Forudsætninger!$D$74),-99999)</f>
        <v>1.8232382359948371</v>
      </c>
      <c r="AP211" s="19">
        <f>IFERROR(((365/(A211+Forudsætninger!$D$74))*AN211)/(AI211+Forudsætninger!$D$73),-99999)</f>
        <v>221.90163983609597</v>
      </c>
      <c r="AQ211" s="18">
        <f t="shared" si="102"/>
        <v>209</v>
      </c>
      <c r="AR211" s="18">
        <f t="shared" si="103"/>
        <v>6090.0572279800017</v>
      </c>
      <c r="AS211" s="50">
        <f t="shared" si="104"/>
        <v>8</v>
      </c>
      <c r="AT211" s="50">
        <f t="shared" si="105"/>
        <v>5.6022684563657776</v>
      </c>
      <c r="AU211" s="50">
        <f t="shared" si="106"/>
        <v>1.8168414521014142E-2</v>
      </c>
      <c r="AV211" s="2">
        <f t="shared" si="107"/>
        <v>1.6777842625710662</v>
      </c>
      <c r="AW211" s="16">
        <f t="shared" si="99"/>
        <v>4.1646297377725583</v>
      </c>
      <c r="AZ211" s="16"/>
      <c r="BA211" s="2"/>
    </row>
    <row r="212" spans="1:58" x14ac:dyDescent="0.25">
      <c r="A212">
        <v>210</v>
      </c>
      <c r="B212" s="1">
        <f>ROUND((A212+Forudsætninger!$D$60)/30.4,1)</f>
        <v>8</v>
      </c>
      <c r="C212" s="1">
        <f>VLOOKUP((A212+Forudsætninger!$D$60),'Model tilvækst, slagteform, fe'!A:C,3,FALSE)</f>
        <v>417.87162651450694</v>
      </c>
      <c r="D212" s="3">
        <f t="shared" si="108"/>
        <v>1669.4686694058873</v>
      </c>
      <c r="E212" s="3">
        <f>(1+Forudsætninger!$D$78)*C212</f>
        <v>351.01216627218582</v>
      </c>
      <c r="F212" s="2">
        <f t="shared" si="90"/>
        <v>0</v>
      </c>
      <c r="G212" s="1">
        <f t="shared" si="83"/>
        <v>351.01216627218582</v>
      </c>
      <c r="H212" s="3">
        <f t="shared" si="91"/>
        <v>1402.3536823009408</v>
      </c>
      <c r="I212" s="3">
        <f t="shared" si="92"/>
        <v>1328.6293632008847</v>
      </c>
      <c r="J212" s="1">
        <f>VLOOKUP((A212+Forudsætninger!$D$60),'Model tilvækst, slagteform, fe'!G:K,3,FALSE)*(1+Forudsætninger!$D$79)</f>
        <v>54.468000000000011</v>
      </c>
      <c r="K212" s="17">
        <f t="shared" si="84"/>
        <v>191.1893067251342</v>
      </c>
      <c r="L212" s="17">
        <f t="shared" si="93"/>
        <v>829.12552489554514</v>
      </c>
      <c r="M212" s="3">
        <f>((K212-(('Model tilvækst, slagteform, fe'!$I$9/100)*'Model tilvækst, slagteform, fe'!$C$9))*1000/(A212+Forudsætninger!$D$60))</f>
        <v>694.55222856051171</v>
      </c>
      <c r="N212" s="17">
        <f t="shared" si="94"/>
        <v>1081.7337464500965</v>
      </c>
      <c r="O212" s="19">
        <f>IF( A212&lt;Forudsætninger!$C$14,(G212/100)*Forudsætninger!$C$13,(Forudsætninger!$C$15/1000)*Forudsætninger!$C$13)</f>
        <v>2.281579080769208</v>
      </c>
      <c r="P212" s="17" cm="1">
        <f t="array" ref="P212">INDEX('Model tilvækst, slagteform, fe'!$O$9:$O$375,MATCH(MIN(ABS('Model tilvækst, slagteform, fe'!$M$9:$M$375-G212)),ABS('Model tilvækst, slagteform, fe'!$M$9:$M$375-G212),0))*(1+Forudsætninger!$D$80)</f>
        <v>7.1787020022031793</v>
      </c>
      <c r="Q212" s="17">
        <f t="shared" si="95"/>
        <v>8.6581606604230004</v>
      </c>
      <c r="R212" s="17">
        <f t="shared" si="96"/>
        <v>6.9239980284150029</v>
      </c>
      <c r="S212" s="2">
        <f t="shared" si="85"/>
        <v>3.8770128231427319</v>
      </c>
      <c r="T212" s="19">
        <f>(P212)*IF(N212&lt;Forudsætninger!$B$228,IF(N212&lt;Forudsætninger!$B$227,Forudsætninger!$B$225,Forudsætninger!$C$9),Forudsætninger!$C$11)+O212</f>
        <v>19.079741765924648</v>
      </c>
      <c r="U212" s="2">
        <f>Forudsætninger!$D$68+((K212-(Forudsætninger!$D$84)))*0.01</f>
        <v>7.0515037486109939</v>
      </c>
      <c r="V212" s="2">
        <f>U212+Forudsætninger!$D$69</f>
        <v>7.0515037486109939</v>
      </c>
      <c r="W212">
        <f t="shared" si="86"/>
        <v>1</v>
      </c>
      <c r="X212">
        <f>IF(A212+Forudsætninger!$D$60&gt;248,IF(A212+Forudsætninger!$D$60&lt;365,IF(K212&gt;180,IF(K212&lt;260,1,0),0),0),0)</f>
        <v>0</v>
      </c>
      <c r="Y212" s="22">
        <f>IF(X212=0,0,IF('Vækstfunktion, kry tyr'!A212&lt;Forudsætninger!$D$66,Forudsætninger!$D$67+(('Vækstfunktion, kry tyr'!A212-Forudsætninger!$D$66)/7)*Forudsætninger!$D$64,Forudsætninger!$D$67))</f>
        <v>0</v>
      </c>
      <c r="Z212" s="19">
        <f t="shared" si="100"/>
        <v>3314.7861458743823</v>
      </c>
      <c r="AA212" s="19">
        <f>Forudsætninger!$D$62+Forudsætninger!$C$16</f>
        <v>2055</v>
      </c>
      <c r="AB212" s="19">
        <f>IF(K212&gt;Forudsætninger!$C$37,IF(K212&gt;Forudsætninger!$C$38,IF(K212&gt;Forudsætninger!$C$39,Forudsætninger!$E$39,Forudsætninger!$E$38+Forudsætninger!$F$39*(K212-Forudsætninger!$C$38)),Forudsætninger!$E$37+Forudsætninger!$F$38*(K212-Forudsætninger!$C$37)),Forudsætninger!$E$37)+IF(K212&gt;Forudsætninger!$C$39,Forudsætninger!$G$39,IF(K212&gt;Forudsætninger!$C$38,Forudsætninger!$G$38+Forudsætninger!$H$39*(K212-Forudsætninger!$C$38),IF(K212&gt;Forudsætninger!$C$37,Forudsætninger!$G$37+Forudsætninger!$H$38*(K212-Forudsætninger!$C$37),Forudsætninger!$G$37)))*(U212-Forudsætninger!$H$37)</f>
        <v>35.715424954782691</v>
      </c>
      <c r="AC212" s="19">
        <f>IF(K212&gt;Forudsætninger!$C$42,IF(K212&gt;Forudsætninger!$C$43,IF(K212&gt;Forudsætninger!$C$44,Forudsætninger!$E$44,Forudsætninger!$E$43+Forudsætninger!$F$44*(K212-Forudsætninger!$C$43)),Forudsætninger!$E$42+Forudsætninger!$F$43*(K212-Forudsætninger!$C$42)),Forudsætninger!$E$42)+IF(K212&gt;Forudsætninger!$C$44,Forudsætninger!$G$44,IF(K212&gt;Forudsætninger!$C$43,Forudsætninger!$G$43+Forudsætninger!$H$44*(K212-Forudsætninger!$C$43),IF(K212&gt;Forudsætninger!$C$42,Forudsætninger!$G$42+Forudsætninger!$H$43*(K212-Forudsætninger!$C$42),Forudsætninger!$G$42)))*(V212-Forudsætninger!$H$42)</f>
        <v>30.412875937152748</v>
      </c>
      <c r="AD212" s="19">
        <f t="shared" si="87"/>
        <v>5814.6166659417504</v>
      </c>
      <c r="AE212" s="19">
        <f t="shared" si="88"/>
        <v>30.412875937152752</v>
      </c>
      <c r="AF212">
        <f>IF(G212&lt;=Forudsætninger!$C$97,Forudsætninger!$C$98,(IF(G212&lt;=Forudsætninger!$D$97,Forudsætninger!$D$98,IF(G212&lt;=Forudsætninger!$E$97,Forudsætninger!$E$98,IF(G212&lt;=Forudsætninger!$F$97,Forudsætninger!$F$98,IF(G212&lt;=Forudsætninger!$G$97,Forudsætninger!$G$98,IF(G212&lt;=Forudsætninger!$H$97,Forudsætninger!$H$98,IF(G212&lt;=Forudsætninger!$I$97,Forudsætninger!$I$98,Forudsætninger!$I$98))))))))</f>
        <v>3.8</v>
      </c>
      <c r="AG212" s="1">
        <f t="shared" si="97"/>
        <v>4.4000000000000004</v>
      </c>
      <c r="AH212" s="1">
        <f t="shared" si="101"/>
        <v>608.199999999998</v>
      </c>
      <c r="AI212" s="1">
        <f t="shared" si="89"/>
        <v>2.8961904761904669</v>
      </c>
      <c r="AJ212" s="20">
        <f>+(W212*Forudsætninger!$C$12)</f>
        <v>900</v>
      </c>
      <c r="AK212" s="20">
        <f>Forudsætninger!$C$17</f>
        <v>250</v>
      </c>
      <c r="AL212" s="20">
        <f>IF(A212&lt;92,Forudsætninger!$C$20,Forudsætninger!$C$21)</f>
        <v>1.0566762728146013</v>
      </c>
      <c r="AM212" s="20">
        <f t="shared" si="98"/>
        <v>490.40750014435821</v>
      </c>
      <c r="AN212" s="19">
        <f>IFERROR(AD212+AJ212-AA212-Z212-AK212-AM212-Forudsætninger!$D$75,-99999)</f>
        <v>386.53104622204967</v>
      </c>
      <c r="AO212" s="57">
        <f>IFERROR(AN212/(A212+Forudsætninger!$D$74),-99999)</f>
        <v>1.8406240296288079</v>
      </c>
      <c r="AP212" s="19">
        <f>IFERROR(((365/(A212+Forudsætninger!$D$74))*AN212)/(AI212+Forudsætninger!$D$73),-99999)</f>
        <v>223.48143809765338</v>
      </c>
      <c r="AQ212" s="18">
        <f t="shared" si="102"/>
        <v>210</v>
      </c>
      <c r="AR212" s="18">
        <f t="shared" si="103"/>
        <v>6110.1936460187408</v>
      </c>
      <c r="AS212" s="50">
        <f t="shared" si="104"/>
        <v>8</v>
      </c>
      <c r="AT212" s="50">
        <f t="shared" si="105"/>
        <v>5.4742548991287094</v>
      </c>
      <c r="AU212" s="50">
        <f t="shared" si="106"/>
        <v>1.7385793633970748E-2</v>
      </c>
      <c r="AV212" s="2">
        <f t="shared" si="107"/>
        <v>1.5797982615574142</v>
      </c>
      <c r="AW212" s="16">
        <f t="shared" si="99"/>
        <v>4.1758978398400375</v>
      </c>
      <c r="AZ212" s="16"/>
      <c r="BA212" s="2"/>
    </row>
    <row r="213" spans="1:58" x14ac:dyDescent="0.25">
      <c r="A213">
        <v>211</v>
      </c>
      <c r="B213" s="1">
        <f>ROUND((A213+Forudsætninger!$D$60)/30.4,1)</f>
        <v>8.1</v>
      </c>
      <c r="C213" s="1">
        <f>VLOOKUP((A213+Forudsætninger!$D$60),'Model tilvækst, slagteform, fe'!A:C,3,FALSE)</f>
        <v>419.53698344778616</v>
      </c>
      <c r="D213" s="3">
        <f t="shared" si="108"/>
        <v>1665.3569332792131</v>
      </c>
      <c r="E213" s="3">
        <f>(1+Forudsætninger!$D$78)*C213</f>
        <v>352.41106609614036</v>
      </c>
      <c r="F213" s="2">
        <f t="shared" si="90"/>
        <v>0</v>
      </c>
      <c r="G213" s="1">
        <f t="shared" si="83"/>
        <v>352.41106609614036</v>
      </c>
      <c r="H213" s="3">
        <f t="shared" si="91"/>
        <v>1398.8998239545367</v>
      </c>
      <c r="I213" s="3">
        <f t="shared" si="92"/>
        <v>1328.9623985599069</v>
      </c>
      <c r="J213" s="1">
        <f>VLOOKUP((A213+Forudsætninger!$D$60),'Model tilvækst, slagteform, fe'!G:K,3,FALSE)*(1+Forudsætninger!$D$79)</f>
        <v>54.486228696379719</v>
      </c>
      <c r="K213" s="17">
        <f t="shared" si="84"/>
        <v>192.01549942449296</v>
      </c>
      <c r="L213" s="17">
        <f t="shared" si="93"/>
        <v>826.1926993587565</v>
      </c>
      <c r="M213" s="3">
        <f>((K213-(('Model tilvækst, slagteform, fe'!$I$9/100)*'Model tilvækst, slagteform, fe'!$C$9))*1000/(A213+Forudsætninger!$D$60))</f>
        <v>695.08953660458621</v>
      </c>
      <c r="N213" s="17">
        <f t="shared" si="94"/>
        <v>1088.9196877733091</v>
      </c>
      <c r="O213" s="19">
        <f>IF( A213&lt;Forudsætninger!$C$14,(G213/100)*Forudsætninger!$C$13,(Forudsætninger!$C$15/1000)*Forudsætninger!$C$13)</f>
        <v>2.2906719296249123</v>
      </c>
      <c r="P213" s="17" cm="1">
        <f t="array" ref="P213">INDEX('Model tilvækst, slagteform, fe'!$O$9:$O$375,MATCH(MIN(ABS('Model tilvækst, slagteform, fe'!$M$9:$M$375-G213)),ABS('Model tilvækst, slagteform, fe'!$M$9:$M$375-G213),0))*(1+Forudsætninger!$D$80)</f>
        <v>7.1859413232124476</v>
      </c>
      <c r="Q213" s="17">
        <f t="shared" si="95"/>
        <v>8.6976577362518022</v>
      </c>
      <c r="R213" s="17">
        <f t="shared" si="96"/>
        <v>6.9333283706254356</v>
      </c>
      <c r="S213" s="2">
        <f t="shared" si="85"/>
        <v>3.8832978417476842</v>
      </c>
      <c r="T213" s="19">
        <f>(P213)*IF(N213&lt;Forudsætninger!$B$228,IF(N213&lt;Forudsætninger!$B$227,Forudsætninger!$B$225,Forudsætninger!$C$9),Forudsætninger!$C$11)+O213</f>
        <v>19.10577462594204</v>
      </c>
      <c r="U213" s="2">
        <f>Forudsætninger!$D$68+((K213-(Forudsætninger!$D$84)))*0.01</f>
        <v>7.0597656756045817</v>
      </c>
      <c r="V213" s="2">
        <f>U213+Forudsætninger!$D$69</f>
        <v>7.0597656756045817</v>
      </c>
      <c r="W213">
        <f t="shared" si="86"/>
        <v>1</v>
      </c>
      <c r="X213">
        <f>IF(A213+Forudsætninger!$D$60&gt;248,IF(A213+Forudsætninger!$D$60&lt;365,IF(K213&gt;180,IF(K213&lt;260,1,0),0),0),0)</f>
        <v>0</v>
      </c>
      <c r="Y213" s="22">
        <f>IF(X213=0,0,IF('Vækstfunktion, kry tyr'!A213&lt;Forudsætninger!$D$66,Forudsætninger!$D$67+(('Vækstfunktion, kry tyr'!A213-Forudsætninger!$D$66)/7)*Forudsætninger!$D$64,Forudsætninger!$D$67))</f>
        <v>0</v>
      </c>
      <c r="Z213" s="19">
        <f t="shared" si="100"/>
        <v>3333.8919205003244</v>
      </c>
      <c r="AA213" s="19">
        <f>Forudsætninger!$D$62+Forudsætninger!$C$16</f>
        <v>2055</v>
      </c>
      <c r="AB213" s="19">
        <f>IF(K213&gt;Forudsætninger!$C$37,IF(K213&gt;Forudsætninger!$C$38,IF(K213&gt;Forudsætninger!$C$39,Forudsætninger!$E$39,Forudsætninger!$E$38+Forudsætninger!$F$39*(K213-Forudsætninger!$C$38)),Forudsætninger!$E$37+Forudsætninger!$F$38*(K213-Forudsætninger!$C$37)),Forudsætninger!$E$37)+IF(K213&gt;Forudsætninger!$C$39,Forudsætninger!$G$39,IF(K213&gt;Forudsætninger!$C$38,Forudsætninger!$G$38+Forudsætninger!$H$39*(K213-Forudsætninger!$C$38),IF(K213&gt;Forudsætninger!$C$37,Forudsætninger!$G$37+Forudsætninger!$H$38*(K213-Forudsætninger!$C$37),Forudsætninger!$G$37)))*(U213-Forudsætninger!$H$37)</f>
        <v>35.746544879791863</v>
      </c>
      <c r="AC213" s="19">
        <f>IF(K213&gt;Forudsætninger!$C$42,IF(K213&gt;Forudsætninger!$C$43,IF(K213&gt;Forudsætninger!$C$44,Forudsætninger!$E$44,Forudsætninger!$E$43+Forudsætninger!$F$44*(K213-Forudsætninger!$C$43)),Forudsætninger!$E$42+Forudsætninger!$F$43*(K213-Forudsætninger!$C$42)),Forudsætninger!$E$42)+IF(K213&gt;Forudsætninger!$C$44,Forudsætninger!$G$44,IF(K213&gt;Forudsætninger!$C$43,Forudsætninger!$G$43+Forudsætninger!$H$44*(K213-Forudsætninger!$C$43),IF(K213&gt;Forudsætninger!$C$42,Forudsætninger!$G$42+Forudsætninger!$H$43*(K213-Forudsætninger!$C$42),Forudsætninger!$G$42)))*(V213-Forudsætninger!$H$42)</f>
        <v>30.414941418901144</v>
      </c>
      <c r="AD213" s="19">
        <f t="shared" si="87"/>
        <v>5840.1401665169997</v>
      </c>
      <c r="AE213" s="19">
        <f t="shared" si="88"/>
        <v>30.414941418901144</v>
      </c>
      <c r="AF213">
        <f>IF(G213&lt;=Forudsætninger!$C$97,Forudsætninger!$C$98,(IF(G213&lt;=Forudsætninger!$D$97,Forudsætninger!$D$98,IF(G213&lt;=Forudsætninger!$E$97,Forudsætninger!$E$98,IF(G213&lt;=Forudsætninger!$F$97,Forudsætninger!$F$98,IF(G213&lt;=Forudsætninger!$G$97,Forudsætninger!$G$98,IF(G213&lt;=Forudsætninger!$H$97,Forudsætninger!$H$98,IF(G213&lt;=Forudsætninger!$I$97,Forudsætninger!$I$98,Forudsætninger!$I$98))))))))</f>
        <v>3.8</v>
      </c>
      <c r="AG213" s="1">
        <f t="shared" si="97"/>
        <v>4.4000000000000004</v>
      </c>
      <c r="AH213" s="1">
        <f t="shared" si="101"/>
        <v>612.59999999999798</v>
      </c>
      <c r="AI213" s="1">
        <f t="shared" si="89"/>
        <v>2.903317535545014</v>
      </c>
      <c r="AJ213" s="20">
        <f>+(W213*Forudsætninger!$C$12)</f>
        <v>900</v>
      </c>
      <c r="AK213" s="20">
        <f>Forudsætninger!$C$17</f>
        <v>250</v>
      </c>
      <c r="AL213" s="20">
        <f>IF(A213&lt;92,Forudsætninger!$C$20,Forudsætninger!$C$21)</f>
        <v>1.0566762728146013</v>
      </c>
      <c r="AM213" s="20">
        <f t="shared" si="98"/>
        <v>491.46417641717284</v>
      </c>
      <c r="AN213" s="19">
        <f>IFERROR(AD213+AJ213-AA213-Z213-AK213-AM213-Forudsætninger!$D$75,-99999)</f>
        <v>391.89209589854215</v>
      </c>
      <c r="AO213" s="57">
        <f>IFERROR(AN213/(A213+Forudsætninger!$D$74),-99999)</f>
        <v>1.8573085113674983</v>
      </c>
      <c r="AP213" s="19">
        <f>IFERROR(((365/(A213+Forudsætninger!$D$74))*AN213)/(AI213+Forudsætninger!$D$73),-99999)</f>
        <v>224.97383652815833</v>
      </c>
      <c r="AQ213" s="18">
        <f t="shared" si="102"/>
        <v>211</v>
      </c>
      <c r="AR213" s="18">
        <f t="shared" si="103"/>
        <v>6130.3560969174969</v>
      </c>
      <c r="AS213" s="50">
        <f t="shared" si="104"/>
        <v>8.1</v>
      </c>
      <c r="AT213" s="50">
        <f t="shared" si="105"/>
        <v>5.3610496764924847</v>
      </c>
      <c r="AU213" s="50">
        <f t="shared" si="106"/>
        <v>1.6684481738690415E-2</v>
      </c>
      <c r="AV213" s="2">
        <f t="shared" si="107"/>
        <v>1.4923984305049487</v>
      </c>
      <c r="AW213" s="16">
        <f t="shared" si="99"/>
        <v>4.1865226176100236</v>
      </c>
      <c r="AZ213" s="16"/>
      <c r="BA213" s="2"/>
    </row>
    <row r="214" spans="1:58" x14ac:dyDescent="0.25">
      <c r="A214">
        <v>212</v>
      </c>
      <c r="B214" s="1">
        <f>ROUND((A214+Forudsætninger!$D$60)/30.4,1)</f>
        <v>8.1</v>
      </c>
      <c r="C214" s="1">
        <f>VLOOKUP((A214+Forudsætninger!$D$60),'Model tilvækst, slagteform, fe'!A:C,3,FALSE)</f>
        <v>421.19820174410256</v>
      </c>
      <c r="D214" s="3">
        <f t="shared" si="108"/>
        <v>1661.2182963164059</v>
      </c>
      <c r="E214" s="3">
        <f>(1+Forudsætninger!$D$78)*C214</f>
        <v>353.80648946504613</v>
      </c>
      <c r="F214" s="2">
        <f t="shared" si="90"/>
        <v>0</v>
      </c>
      <c r="G214" s="1">
        <f t="shared" si="83"/>
        <v>353.80648946504613</v>
      </c>
      <c r="H214" s="3">
        <f t="shared" si="91"/>
        <v>1395.4233689057673</v>
      </c>
      <c r="I214" s="3">
        <f t="shared" si="92"/>
        <v>1329.2758937030478</v>
      </c>
      <c r="J214" s="1">
        <f>VLOOKUP((A214+Forudsætninger!$D$60),'Model tilvækst, slagteform, fe'!G:K,3,FALSE)*(1+Forudsætninger!$D$79)</f>
        <v>54.504016211731333</v>
      </c>
      <c r="K214" s="17">
        <f t="shared" si="84"/>
        <v>192.83874637618624</v>
      </c>
      <c r="L214" s="17">
        <f t="shared" si="93"/>
        <v>823.24695169327811</v>
      </c>
      <c r="M214" s="3">
        <f>((K214-(('Model tilvækst, slagteform, fe'!$I$9/100)*'Model tilvækst, slagteform, fe'!$C$9))*1000/(A214+Forudsætninger!$D$60))</f>
        <v>695.61050170657279</v>
      </c>
      <c r="N214" s="17">
        <f t="shared" si="94"/>
        <v>1096.1129370853446</v>
      </c>
      <c r="O214" s="19">
        <f>IF( A214&lt;Forudsætninger!$C$14,(G214/100)*Forudsætninger!$C$13,(Forudsætninger!$C$15/1000)*Forudsætninger!$C$13)</f>
        <v>2.2997421815227996</v>
      </c>
      <c r="P214" s="17" cm="1">
        <f t="array" ref="P214">INDEX('Model tilvækst, slagteform, fe'!$O$9:$O$375,MATCH(MIN(ABS('Model tilvækst, slagteform, fe'!$M$9:$M$375-G214)),ABS('Model tilvækst, slagteform, fe'!$M$9:$M$375-G214),0))*(1+Forudsætninger!$D$80)</f>
        <v>7.1932493120355909</v>
      </c>
      <c r="Q214" s="17">
        <f t="shared" si="95"/>
        <v>8.7376567835936818</v>
      </c>
      <c r="R214" s="17">
        <f t="shared" si="96"/>
        <v>6.9427368865116126</v>
      </c>
      <c r="S214" s="2">
        <f t="shared" si="85"/>
        <v>3.8895943779225886</v>
      </c>
      <c r="T214" s="19">
        <f>(P214)*IF(N214&lt;Forudsætninger!$B$228,IF(N214&lt;Forudsætninger!$B$227,Forudsætninger!$B$225,Forudsætninger!$C$9),Forudsætninger!$C$11)+O214</f>
        <v>19.131945571686082</v>
      </c>
      <c r="U214" s="2">
        <f>Forudsætninger!$D$68+((K214-(Forudsætninger!$D$84)))*0.01</f>
        <v>7.067998145121515</v>
      </c>
      <c r="V214" s="2">
        <f>U214+Forudsætninger!$D$69</f>
        <v>7.067998145121515</v>
      </c>
      <c r="W214">
        <f t="shared" si="86"/>
        <v>1</v>
      </c>
      <c r="X214">
        <f>IF(A214+Forudsætninger!$D$60&gt;248,IF(A214+Forudsætninger!$D$60&lt;365,IF(K214&gt;180,IF(K214&lt;260,1,0),0),0),0)</f>
        <v>0</v>
      </c>
      <c r="Y214" s="22">
        <f>IF(X214=0,0,IF('Vækstfunktion, kry tyr'!A214&lt;Forudsætninger!$D$66,Forudsætninger!$D$67+(('Vækstfunktion, kry tyr'!A214-Forudsætninger!$D$66)/7)*Forudsætninger!$D$64,Forudsætninger!$D$67))</f>
        <v>0</v>
      </c>
      <c r="Z214" s="19">
        <f t="shared" si="100"/>
        <v>3353.0238660720106</v>
      </c>
      <c r="AA214" s="19">
        <f>Forudsætninger!$D$62+Forudsætninger!$C$16</f>
        <v>2055</v>
      </c>
      <c r="AB214" s="19">
        <f>IF(K214&gt;Forudsætninger!$C$37,IF(K214&gt;Forudsætninger!$C$38,IF(K214&gt;Forudsætninger!$C$39,Forudsætninger!$E$39,Forudsætninger!$E$38+Forudsætninger!$F$39*(K214-Forudsætninger!$C$38)),Forudsætninger!$E$37+Forudsætninger!$F$38*(K214-Forudsætninger!$C$37)),Forudsætninger!$E$37)+IF(K214&gt;Forudsætninger!$C$39,Forudsætninger!$G$39,IF(K214&gt;Forudsætninger!$C$38,Forudsætninger!$G$38+Forudsætninger!$H$39*(K214-Forudsætninger!$C$38),IF(K214&gt;Forudsætninger!$C$37,Forudsætninger!$G$37+Forudsætninger!$H$38*(K214-Forudsætninger!$C$37),Forudsætninger!$G$37)))*(U214-Forudsætninger!$H$37)</f>
        <v>35.777553848305651</v>
      </c>
      <c r="AC214" s="19">
        <f>IF(K214&gt;Forudsætninger!$C$42,IF(K214&gt;Forudsætninger!$C$43,IF(K214&gt;Forudsætninger!$C$44,Forudsætninger!$E$44,Forudsætninger!$E$43+Forudsætninger!$F$44*(K214-Forudsætninger!$C$43)),Forudsætninger!$E$42+Forudsætninger!$F$43*(K214-Forudsætninger!$C$42)),Forudsætninger!$E$42)+IF(K214&gt;Forudsætninger!$C$44,Forudsætninger!$G$44,IF(K214&gt;Forudsætninger!$C$43,Forudsætninger!$G$43+Forudsætninger!$H$44*(K214-Forudsætninger!$C$43),IF(K214&gt;Forudsætninger!$C$42,Forudsætninger!$G$42+Forudsætninger!$H$43*(K214-Forudsætninger!$C$42),Forudsætninger!$G$42)))*(V214-Forudsætninger!$H$42)</f>
        <v>30.416999536280379</v>
      </c>
      <c r="AD214" s="19">
        <f t="shared" si="87"/>
        <v>5865.5760591013468</v>
      </c>
      <c r="AE214" s="19">
        <f t="shared" si="88"/>
        <v>30.416999536280382</v>
      </c>
      <c r="AF214">
        <f>IF(G214&lt;=Forudsætninger!$C$97,Forudsætninger!$C$98,(IF(G214&lt;=Forudsætninger!$D$97,Forudsætninger!$D$98,IF(G214&lt;=Forudsætninger!$E$97,Forudsætninger!$E$98,IF(G214&lt;=Forudsætninger!$F$97,Forudsætninger!$F$98,IF(G214&lt;=Forudsætninger!$G$97,Forudsætninger!$G$98,IF(G214&lt;=Forudsætninger!$H$97,Forudsætninger!$H$98,IF(G214&lt;=Forudsætninger!$I$97,Forudsætninger!$I$98,Forudsætninger!$I$98))))))))</f>
        <v>3.8</v>
      </c>
      <c r="AG214" s="1">
        <f t="shared" si="97"/>
        <v>4.4000000000000004</v>
      </c>
      <c r="AH214" s="1">
        <f t="shared" si="101"/>
        <v>616.99999999999795</v>
      </c>
      <c r="AI214" s="1">
        <f t="shared" si="89"/>
        <v>2.9103773584905563</v>
      </c>
      <c r="AJ214" s="20">
        <f>+(W214*Forudsætninger!$C$12)</f>
        <v>900</v>
      </c>
      <c r="AK214" s="20">
        <f>Forudsætninger!$C$17</f>
        <v>250</v>
      </c>
      <c r="AL214" s="20">
        <f>IF(A214&lt;92,Forudsætninger!$C$20,Forudsætninger!$C$21)</f>
        <v>1.0566762728146013</v>
      </c>
      <c r="AM214" s="20">
        <f t="shared" si="98"/>
        <v>492.52085268998746</v>
      </c>
      <c r="AN214" s="19">
        <f>IFERROR(AD214+AJ214-AA214-Z214-AK214-AM214-Forudsætninger!$D$75,-99999)</f>
        <v>397.13936663838854</v>
      </c>
      <c r="AO214" s="57">
        <f>IFERROR(AN214/(A214+Forudsætninger!$D$74),-99999)</f>
        <v>1.8732988992376818</v>
      </c>
      <c r="AP214" s="19">
        <f>IFERROR(((365/(A214+Forudsætninger!$D$74))*AN214)/(AI214+Forudsætninger!$D$73),-99999)</f>
        <v>226.38035485852743</v>
      </c>
      <c r="AQ214" s="18">
        <f t="shared" si="102"/>
        <v>212</v>
      </c>
      <c r="AR214" s="18">
        <f t="shared" si="103"/>
        <v>6150.5447187619984</v>
      </c>
      <c r="AS214" s="50">
        <f t="shared" si="104"/>
        <v>8.1</v>
      </c>
      <c r="AT214" s="50">
        <f t="shared" si="105"/>
        <v>5.2472707398463854</v>
      </c>
      <c r="AU214" s="50">
        <f t="shared" si="106"/>
        <v>1.5990387870183476E-2</v>
      </c>
      <c r="AV214" s="2">
        <f t="shared" si="107"/>
        <v>1.4065183303690958</v>
      </c>
      <c r="AW214" s="16">
        <f t="shared" si="99"/>
        <v>4.1965104685300751</v>
      </c>
      <c r="AZ214" s="16"/>
      <c r="BA214" s="2"/>
    </row>
    <row r="215" spans="1:58" x14ac:dyDescent="0.25">
      <c r="A215">
        <v>213</v>
      </c>
      <c r="B215" s="1">
        <f>ROUND((A215+Forudsætninger!$D$60)/30.4,1)</f>
        <v>8.1</v>
      </c>
      <c r="C215" s="1">
        <f>VLOOKUP((A215+Forudsætninger!$D$60),'Model tilvækst, slagteform, fe'!A:C,3,FALSE)</f>
        <v>422.8552551235565</v>
      </c>
      <c r="D215" s="3">
        <f t="shared" si="108"/>
        <v>1657.0533794539415</v>
      </c>
      <c r="E215" s="3">
        <f>(1+Forudsætninger!$D$78)*C215</f>
        <v>355.19841430378744</v>
      </c>
      <c r="F215" s="2">
        <f t="shared" si="90"/>
        <v>0</v>
      </c>
      <c r="G215" s="1">
        <f t="shared" si="83"/>
        <v>355.19841430378744</v>
      </c>
      <c r="H215" s="3">
        <f t="shared" si="91"/>
        <v>1391.9248387413177</v>
      </c>
      <c r="I215" s="3">
        <f t="shared" si="92"/>
        <v>1329.570020205575</v>
      </c>
      <c r="J215" s="1">
        <f>VLOOKUP((A215+Forudsætninger!$D$60),'Model tilvækst, slagteform, fe'!G:K,3,FALSE)*(1+Forudsætninger!$D$79)</f>
        <v>54.521371087616444</v>
      </c>
      <c r="K215" s="17">
        <f t="shared" si="84"/>
        <v>193.65904555989724</v>
      </c>
      <c r="L215" s="17">
        <f t="shared" si="93"/>
        <v>820.29918371100052</v>
      </c>
      <c r="M215" s="3">
        <f>((K215-(('Model tilvækst, slagteform, fe'!$I$9/100)*'Model tilvækst, slagteform, fe'!$C$9))*1000/(A215+Forudsætninger!$D$60))</f>
        <v>696.11531418432355</v>
      </c>
      <c r="N215" s="17">
        <f t="shared" si="94"/>
        <v>1103.3135654711762</v>
      </c>
      <c r="O215" s="19">
        <f>IF( A215&lt;Forudsætninger!$C$14,(G215/100)*Forudsætninger!$C$13,(Forudsætninger!$C$15/1000)*Forudsætninger!$C$13)</f>
        <v>2.3087896929746186</v>
      </c>
      <c r="P215" s="17" cm="1">
        <f t="array" ref="P215">INDEX('Model tilvækst, slagteform, fe'!$O$9:$O$375,MATCH(MIN(ABS('Model tilvækst, slagteform, fe'!$M$9:$M$375-G215)),ABS('Model tilvækst, slagteform, fe'!$M$9:$M$375-G215),0))*(1+Forudsætninger!$D$80)</f>
        <v>7.2006283858316804</v>
      </c>
      <c r="Q215" s="17">
        <f t="shared" si="95"/>
        <v>8.7780513851742814</v>
      </c>
      <c r="R215" s="17">
        <f t="shared" si="96"/>
        <v>6.9522234198491484</v>
      </c>
      <c r="S215" s="2">
        <f t="shared" si="85"/>
        <v>3.8959030479868781</v>
      </c>
      <c r="T215" s="19">
        <f>(P215)*IF(N215&lt;Forudsætninger!$B$228,IF(N215&lt;Forudsætninger!$B$227,Forudsætninger!$B$225,Forudsætninger!$C$9),Forudsætninger!$C$11)+O215</f>
        <v>19.158260115820749</v>
      </c>
      <c r="U215" s="2">
        <f>Forudsætninger!$D$68+((K215-(Forudsætninger!$D$84)))*0.01</f>
        <v>7.0762011369586251</v>
      </c>
      <c r="V215" s="2">
        <f>U215+Forudsætninger!$D$69</f>
        <v>7.0762011369586251</v>
      </c>
      <c r="W215">
        <f t="shared" si="86"/>
        <v>1</v>
      </c>
      <c r="X215">
        <f>IF(A215+Forudsætninger!$D$60&gt;248,IF(A215+Forudsætninger!$D$60&lt;365,IF(K215&gt;180,IF(K215&lt;260,1,0),0),0),0)</f>
        <v>0</v>
      </c>
      <c r="Y215" s="22">
        <f>IF(X215=0,0,IF('Vækstfunktion, kry tyr'!A215&lt;Forudsætninger!$D$66,Forudsætninger!$D$67+(('Vækstfunktion, kry tyr'!A215-Forudsætninger!$D$66)/7)*Forudsætninger!$D$64,Forudsætninger!$D$67))</f>
        <v>0</v>
      </c>
      <c r="Z215" s="19">
        <f t="shared" si="100"/>
        <v>3372.1821261878313</v>
      </c>
      <c r="AA215" s="19">
        <f>Forudsætninger!$D$62+Forudsætninger!$C$16</f>
        <v>2055</v>
      </c>
      <c r="AB215" s="19">
        <f>IF(K215&gt;Forudsætninger!$C$37,IF(K215&gt;Forudsætninger!$C$38,IF(K215&gt;Forudsætninger!$C$39,Forudsætninger!$E$39,Forudsætninger!$E$38+Forudsætninger!$F$39*(K215-Forudsætninger!$C$38)),Forudsætninger!$E$37+Forudsætninger!$F$38*(K215-Forudsætninger!$C$37)),Forudsætninger!$E$37)+IF(K215&gt;Forudsætninger!$C$39,Forudsætninger!$G$39,IF(K215&gt;Forudsætninger!$C$38,Forudsætninger!$G$38+Forudsætninger!$H$39*(K215-Forudsætninger!$C$38),IF(K215&gt;Forudsætninger!$C$37,Forudsætninger!$G$37+Forudsætninger!$H$38*(K215-Forudsætninger!$C$37),Forudsætninger!$G$37)))*(U215-Forudsætninger!$H$37)</f>
        <v>35.808451784225426</v>
      </c>
      <c r="AC215" s="19">
        <f>IF(K215&gt;Forudsætninger!$C$42,IF(K215&gt;Forudsætninger!$C$43,IF(K215&gt;Forudsætninger!$C$44,Forudsætninger!$E$44,Forudsætninger!$E$43+Forudsætninger!$F$44*(K215-Forudsætninger!$C$43)),Forudsætninger!$E$42+Forudsætninger!$F$43*(K215-Forudsætninger!$C$42)),Forudsætninger!$E$42)+IF(K215&gt;Forudsætninger!$C$44,Forudsætninger!$G$44,IF(K215&gt;Forudsætninger!$C$43,Forudsætninger!$G$43+Forudsætninger!$H$44*(K215-Forudsætninger!$C$43),IF(K215&gt;Forudsætninger!$C$42,Forudsætninger!$G$42+Forudsætninger!$H$43*(K215-Forudsætninger!$C$42),Forudsætninger!$G$42)))*(V215-Forudsætninger!$H$42)</f>
        <v>30.419050284239656</v>
      </c>
      <c r="AD215" s="19">
        <f t="shared" si="87"/>
        <v>5890.9242448843725</v>
      </c>
      <c r="AE215" s="19">
        <f t="shared" si="88"/>
        <v>30.419050284239656</v>
      </c>
      <c r="AF215">
        <f>IF(G215&lt;=Forudsætninger!$C$97,Forudsætninger!$C$98,(IF(G215&lt;=Forudsætninger!$D$97,Forudsætninger!$D$98,IF(G215&lt;=Forudsætninger!$E$97,Forudsætninger!$E$98,IF(G215&lt;=Forudsætninger!$F$97,Forudsætninger!$F$98,IF(G215&lt;=Forudsætninger!$G$97,Forudsætninger!$G$98,IF(G215&lt;=Forudsætninger!$H$97,Forudsætninger!$H$98,IF(G215&lt;=Forudsætninger!$I$97,Forudsætninger!$I$98,Forudsætninger!$I$98))))))))</f>
        <v>3.8</v>
      </c>
      <c r="AG215" s="1">
        <f t="shared" si="97"/>
        <v>4.4000000000000004</v>
      </c>
      <c r="AH215" s="1">
        <f t="shared" si="101"/>
        <v>621.39999999999793</v>
      </c>
      <c r="AI215" s="1">
        <f t="shared" si="89"/>
        <v>2.9173708920187695</v>
      </c>
      <c r="AJ215" s="20">
        <f>+(W215*Forudsætninger!$C$12)</f>
        <v>900</v>
      </c>
      <c r="AK215" s="20">
        <f>Forudsætninger!$C$17</f>
        <v>250</v>
      </c>
      <c r="AL215" s="20">
        <f>IF(A215&lt;92,Forudsætninger!$C$20,Forudsætninger!$C$21)</f>
        <v>1.0566762728146013</v>
      </c>
      <c r="AM215" s="20">
        <f t="shared" si="98"/>
        <v>493.57752896280209</v>
      </c>
      <c r="AN215" s="19">
        <f>IFERROR(AD215+AJ215-AA215-Z215-AK215-AM215-Forudsætninger!$D$75,-99999)</f>
        <v>402.27261603277896</v>
      </c>
      <c r="AO215" s="57">
        <f>IFERROR(AN215/(A215+Forudsætninger!$D$74),-99999)</f>
        <v>1.8886038311398072</v>
      </c>
      <c r="AP215" s="19">
        <f>IFERROR(((365/(A215+Forudsætninger!$D$74))*AN215)/(AI215+Forudsætninger!$D$73),-99999)</f>
        <v>227.7026578353439</v>
      </c>
      <c r="AQ215" s="18">
        <f t="shared" si="102"/>
        <v>213</v>
      </c>
      <c r="AR215" s="18">
        <f t="shared" si="103"/>
        <v>6170.7596551506331</v>
      </c>
      <c r="AS215" s="50">
        <f t="shared" si="104"/>
        <v>8.1</v>
      </c>
      <c r="AT215" s="50">
        <f t="shared" si="105"/>
        <v>5.1332493943904183</v>
      </c>
      <c r="AU215" s="50">
        <f t="shared" si="106"/>
        <v>1.5304931902125452E-2</v>
      </c>
      <c r="AV215" s="2">
        <f t="shared" si="107"/>
        <v>1.3223029768164736</v>
      </c>
      <c r="AW215" s="16">
        <f t="shared" si="99"/>
        <v>4.2058692253313668</v>
      </c>
      <c r="AZ215" s="16"/>
      <c r="BA215" s="2"/>
    </row>
    <row r="216" spans="1:58" x14ac:dyDescent="0.25">
      <c r="A216">
        <v>214</v>
      </c>
      <c r="B216" s="1">
        <f>ROUND((A216+Forudsætninger!$D$60)/30.4,1)</f>
        <v>8.1999999999999993</v>
      </c>
      <c r="C216" s="1">
        <f>VLOOKUP((A216+Forudsætninger!$D$60),'Model tilvækst, slagteform, fe'!A:C,3,FALSE)</f>
        <v>424.50811792718468</v>
      </c>
      <c r="D216" s="3">
        <f t="shared" si="108"/>
        <v>1652.8628036281816</v>
      </c>
      <c r="E216" s="3">
        <f>(1+Forudsætninger!$D$78)*C216</f>
        <v>356.58681905883515</v>
      </c>
      <c r="F216" s="2">
        <f t="shared" si="90"/>
        <v>0</v>
      </c>
      <c r="G216" s="1">
        <f t="shared" si="83"/>
        <v>356.58681905883515</v>
      </c>
      <c r="H216" s="3">
        <f t="shared" si="91"/>
        <v>1388.4047550477021</v>
      </c>
      <c r="I216" s="3">
        <f t="shared" si="92"/>
        <v>1329.8449488730614</v>
      </c>
      <c r="J216" s="1">
        <f>VLOOKUP((A216+Forudsætninger!$D$60),'Model tilvækst, slagteform, fe'!G:K,3,FALSE)*(1+Forudsætninger!$D$79)</f>
        <v>54.538301865596637</v>
      </c>
      <c r="K216" s="17">
        <f t="shared" si="84"/>
        <v>194.4763957912364</v>
      </c>
      <c r="L216" s="17">
        <f t="shared" si="93"/>
        <v>817.35023133916229</v>
      </c>
      <c r="M216" s="3">
        <f>((K216-(('Model tilvækst, slagteform, fe'!$I$9/100)*'Model tilvækst, slagteform, fe'!$C$9))*1000/(A216+Forudsætninger!$D$60))</f>
        <v>696.60416465672211</v>
      </c>
      <c r="N216" s="17">
        <f t="shared" si="94"/>
        <v>1110.5291749281553</v>
      </c>
      <c r="O216" s="19">
        <f>IF( A216&lt;Forudsætninger!$C$14,(G216/100)*Forudsætninger!$C$13,(Forudsætninger!$C$15/1000)*Forudsætninger!$C$13)</f>
        <v>2.3178143238824283</v>
      </c>
      <c r="P216" s="17" cm="1">
        <f t="array" ref="P216">INDEX('Model tilvækst, slagteform, fe'!$O$9:$O$375,MATCH(MIN(ABS('Model tilvækst, slagteform, fe'!$M$9:$M$375-G216)),ABS('Model tilvækst, slagteform, fe'!$M$9:$M$375-G216),0))*(1+Forudsætninger!$D$80)</f>
        <v>7.2156094569790055</v>
      </c>
      <c r="Q216" s="17">
        <f t="shared" si="95"/>
        <v>8.8280509141800962</v>
      </c>
      <c r="R216" s="17">
        <f t="shared" si="96"/>
        <v>6.961835001078196</v>
      </c>
      <c r="S216" s="2">
        <f t="shared" si="85"/>
        <v>3.9022509145041107</v>
      </c>
      <c r="T216" s="19">
        <f>(P216)*IF(N216&lt;Forudsætninger!$B$228,IF(N216&lt;Forudsætninger!$B$227,Forudsætninger!$B$225,Forudsætninger!$C$9),Forudsætninger!$C$11)+O216</f>
        <v>19.202340453213299</v>
      </c>
      <c r="U216" s="2">
        <f>Forudsætninger!$D$68+((K216-(Forudsætninger!$D$84)))*0.01</f>
        <v>7.0843746392720162</v>
      </c>
      <c r="V216" s="2">
        <f>U216+Forudsætninger!$D$69</f>
        <v>7.0843746392720162</v>
      </c>
      <c r="W216">
        <f t="shared" si="86"/>
        <v>1</v>
      </c>
      <c r="X216">
        <f>IF(A216+Forudsætninger!$D$60&gt;248,IF(A216+Forudsætninger!$D$60&lt;365,IF(K216&gt;180,IF(K216&lt;260,1,0),0),0),0)</f>
        <v>0</v>
      </c>
      <c r="Y216" s="22">
        <f>IF(X216=0,0,IF('Vækstfunktion, kry tyr'!A216&lt;Forudsætninger!$D$66,Forudsætninger!$D$67+(('Vækstfunktion, kry tyr'!A216-Forudsætninger!$D$66)/7)*Forudsætninger!$D$64,Forudsætninger!$D$67))</f>
        <v>0</v>
      </c>
      <c r="Z216" s="19">
        <f t="shared" si="100"/>
        <v>3391.3844666410446</v>
      </c>
      <c r="AA216" s="19">
        <f>Forudsætninger!$D$62+Forudsætninger!$C$16</f>
        <v>2055</v>
      </c>
      <c r="AB216" s="19">
        <f>IF(K216&gt;Forudsætninger!$C$37,IF(K216&gt;Forudsætninger!$C$38,IF(K216&gt;Forudsætninger!$C$39,Forudsætninger!$E$39,Forudsætninger!$E$38+Forudsætninger!$F$39*(K216-Forudsætninger!$C$38)),Forudsætninger!$E$37+Forudsætninger!$F$38*(K216-Forudsætninger!$C$37)),Forudsætninger!$E$37)+IF(K216&gt;Forudsætninger!$C$39,Forudsætninger!$G$39,IF(K216&gt;Forudsætninger!$C$38,Forudsætninger!$G$38+Forudsætninger!$H$39*(K216-Forudsætninger!$C$38),IF(K216&gt;Forudsætninger!$C$37,Forudsætninger!$G$37+Forudsætninger!$H$38*(K216-Forudsætninger!$C$37),Forudsætninger!$G$37)))*(U216-Forudsætninger!$H$37)</f>
        <v>35.8392386429392</v>
      </c>
      <c r="AC216" s="19">
        <f>IF(K216&gt;Forudsætninger!$C$42,IF(K216&gt;Forudsætninger!$C$43,IF(K216&gt;Forudsætninger!$C$44,Forudsætninger!$E$44,Forudsætninger!$E$43+Forudsætninger!$F$44*(K216-Forudsætninger!$C$43)),Forudsætninger!$E$42+Forudsætninger!$F$43*(K216-Forudsætninger!$C$42)),Forudsætninger!$E$42)+IF(K216&gt;Forudsætninger!$C$44,Forudsætninger!$G$44,IF(K216&gt;Forudsætninger!$C$43,Forudsætninger!$G$43+Forudsætninger!$H$44*(K216-Forudsætninger!$C$43),IF(K216&gt;Forudsætninger!$C$42,Forudsætninger!$G$42+Forudsætninger!$H$43*(K216-Forudsætninger!$C$42),Forudsætninger!$G$42)))*(V216-Forudsætninger!$H$42)</f>
        <v>30.421093659818002</v>
      </c>
      <c r="AD216" s="19">
        <f t="shared" si="87"/>
        <v>5916.1846509890383</v>
      </c>
      <c r="AE216" s="19">
        <f t="shared" si="88"/>
        <v>30.421093659818006</v>
      </c>
      <c r="AF216">
        <f>IF(G216&lt;=Forudsætninger!$C$97,Forudsætninger!$C$98,(IF(G216&lt;=Forudsætninger!$D$97,Forudsætninger!$D$98,IF(G216&lt;=Forudsætninger!$E$97,Forudsætninger!$E$98,IF(G216&lt;=Forudsætninger!$F$97,Forudsætninger!$F$98,IF(G216&lt;=Forudsætninger!$G$97,Forudsætninger!$G$98,IF(G216&lt;=Forudsætninger!$H$97,Forudsætninger!$H$98,IF(G216&lt;=Forudsætninger!$I$97,Forudsætninger!$I$98,Forudsætninger!$I$98))))))))</f>
        <v>3.8</v>
      </c>
      <c r="AG216" s="1">
        <f t="shared" si="97"/>
        <v>4.4000000000000004</v>
      </c>
      <c r="AH216" s="1">
        <f t="shared" si="101"/>
        <v>625.79999999999791</v>
      </c>
      <c r="AI216" s="1">
        <f t="shared" si="89"/>
        <v>2.9242990654205512</v>
      </c>
      <c r="AJ216" s="20">
        <f>+(W216*Forudsætninger!$C$12)</f>
        <v>900</v>
      </c>
      <c r="AK216" s="20">
        <f>Forudsætninger!$C$17</f>
        <v>250</v>
      </c>
      <c r="AL216" s="20">
        <f>IF(A216&lt;92,Forudsætninger!$C$20,Forudsætninger!$C$21)</f>
        <v>1.0566762728146013</v>
      </c>
      <c r="AM216" s="20">
        <f t="shared" si="98"/>
        <v>494.63420523561672</v>
      </c>
      <c r="AN216" s="19">
        <f>IFERROR(AD216+AJ216-AA216-Z216-AK216-AM216-Forudsætninger!$D$75,-99999)</f>
        <v>407.27400541141685</v>
      </c>
      <c r="AO216" s="57">
        <f>IFERROR(AN216/(A216+Forudsætninger!$D$74),-99999)</f>
        <v>1.903149557997275</v>
      </c>
      <c r="AP216" s="19">
        <f>IFERROR(((365/(A216+Forudsætninger!$D$74))*AN216)/(AI216+Forudsætninger!$D$73),-99999)</f>
        <v>228.93247293431429</v>
      </c>
      <c r="AQ216" s="18">
        <f t="shared" si="102"/>
        <v>214</v>
      </c>
      <c r="AR216" s="18">
        <f t="shared" si="103"/>
        <v>6191.0186718766608</v>
      </c>
      <c r="AS216" s="50">
        <f t="shared" si="104"/>
        <v>8.1999999999999993</v>
      </c>
      <c r="AT216" s="50">
        <f t="shared" si="105"/>
        <v>5.0013893786378958</v>
      </c>
      <c r="AU216" s="50">
        <f t="shared" si="106"/>
        <v>1.45457268574678E-2</v>
      </c>
      <c r="AV216" s="2">
        <f t="shared" si="107"/>
        <v>1.2298150989703913</v>
      </c>
      <c r="AW216" s="16">
        <f t="shared" si="99"/>
        <v>4.214524348817914</v>
      </c>
      <c r="AZ216" s="16"/>
      <c r="BA216" s="2"/>
    </row>
    <row r="217" spans="1:58" x14ac:dyDescent="0.25">
      <c r="A217">
        <v>215</v>
      </c>
      <c r="B217" s="1">
        <f>ROUND((A217+Forudsætninger!$D$60)/30.4,1)</f>
        <v>8.1999999999999993</v>
      </c>
      <c r="C217" s="1">
        <f>VLOOKUP((A217+Forudsætninger!$D$60),'Model tilvækst, slagteform, fe'!A:C,3,FALSE)</f>
        <v>426.15676511696097</v>
      </c>
      <c r="D217" s="3">
        <f t="shared" si="108"/>
        <v>1648.647189776284</v>
      </c>
      <c r="E217" s="3">
        <f>(1+Forudsætninger!$D$78)*C217</f>
        <v>357.97168269824721</v>
      </c>
      <c r="F217" s="2">
        <f t="shared" si="90"/>
        <v>0</v>
      </c>
      <c r="G217" s="1">
        <f t="shared" si="83"/>
        <v>357.97168269824721</v>
      </c>
      <c r="H217" s="3">
        <f t="shared" si="91"/>
        <v>1384.8636394120604</v>
      </c>
      <c r="I217" s="3">
        <f t="shared" si="92"/>
        <v>1330.1008497592893</v>
      </c>
      <c r="J217" s="1">
        <f>VLOOKUP((A217+Forudsætninger!$D$60),'Model tilvækst, slagteform, fe'!G:K,3,FALSE)*(1+Forudsætninger!$D$79)</f>
        <v>54.554817087233545</v>
      </c>
      <c r="K217" s="17">
        <f t="shared" si="84"/>
        <v>195.2907967201208</v>
      </c>
      <c r="L217" s="17">
        <f t="shared" si="93"/>
        <v>814.40092888439608</v>
      </c>
      <c r="M217" s="3">
        <f>((K217-(('Model tilvækst, slagteform, fe'!$I$9/100)*'Model tilvækst, slagteform, fe'!$C$9))*1000/(A217+Forudsætninger!$D$60))</f>
        <v>697.07724403113036</v>
      </c>
      <c r="N217" s="17">
        <f t="shared" si="94"/>
        <v>1117.7523912168037</v>
      </c>
      <c r="O217" s="19">
        <f>IF( A217&lt;Forudsætninger!$C$14,(G217/100)*Forudsætninger!$C$13,(Forudsætninger!$C$15/1000)*Forudsætninger!$C$13)</f>
        <v>2.326815937538607</v>
      </c>
      <c r="P217" s="17" cm="1">
        <f t="array" ref="P217">INDEX('Model tilvækst, slagteform, fe'!$O$9:$O$375,MATCH(MIN(ABS('Model tilvækst, slagteform, fe'!$M$9:$M$375-G217)),ABS('Model tilvækst, slagteform, fe'!$M$9:$M$375-G217),0))*(1+Forudsætninger!$D$80)</f>
        <v>7.2232162886483877</v>
      </c>
      <c r="Q217" s="17">
        <f t="shared" si="95"/>
        <v>8.8693615545638949</v>
      </c>
      <c r="R217" s="17">
        <f t="shared" si="96"/>
        <v>6.971524269526201</v>
      </c>
      <c r="S217" s="2">
        <f t="shared" si="85"/>
        <v>3.9086121418400661</v>
      </c>
      <c r="T217" s="19">
        <f>(P217)*IF(N217&lt;Forudsætninger!$B$228,IF(N217&lt;Forudsætninger!$B$227,Forudsætninger!$B$225,Forudsætninger!$C$9),Forudsætninger!$C$11)+O217</f>
        <v>19.229142052975835</v>
      </c>
      <c r="U217" s="2">
        <f>Forudsætninger!$D$68+((K217-(Forudsætninger!$D$84)))*0.01</f>
        <v>7.0925186485608602</v>
      </c>
      <c r="V217" s="2">
        <f>U217+Forudsætninger!$D$69</f>
        <v>7.0925186485608602</v>
      </c>
      <c r="W217">
        <f t="shared" si="86"/>
        <v>1</v>
      </c>
      <c r="X217">
        <f>IF(A217+Forudsætninger!$D$60&gt;248,IF(A217+Forudsætninger!$D$60&lt;365,IF(K217&gt;180,IF(K217&lt;260,1,0),0),0),0)</f>
        <v>1</v>
      </c>
      <c r="Y217" s="22">
        <f>IF(X217=0,0,IF('Vækstfunktion, kry tyr'!A217&lt;Forudsætninger!$D$66,Forudsætninger!$D$67+(('Vækstfunktion, kry tyr'!A217-Forudsætninger!$D$66)/7)*Forudsætninger!$D$64,Forudsætninger!$D$67))</f>
        <v>0.80942857142857139</v>
      </c>
      <c r="Z217" s="19">
        <f t="shared" si="100"/>
        <v>3410.6136086940205</v>
      </c>
      <c r="AA217" s="19">
        <f>Forudsætninger!$D$62+Forudsætninger!$C$16</f>
        <v>2055</v>
      </c>
      <c r="AB217" s="19">
        <f>IF(K217&gt;Forudsætninger!$C$37,IF(K217&gt;Forudsætninger!$C$38,IF(K217&gt;Forudsætninger!$C$39,Forudsætninger!$E$39,Forudsætninger!$E$38+Forudsætninger!$F$39*(K217-Forudsætninger!$C$38)),Forudsætninger!$E$37+Forudsætninger!$F$38*(K217-Forudsætninger!$C$37)),Forudsætninger!$E$37)+IF(K217&gt;Forudsætninger!$C$39,Forudsætninger!$G$39,IF(K217&gt;Forudsætninger!$C$38,Forudsætninger!$G$38+Forudsætninger!$H$39*(K217-Forudsætninger!$C$38),IF(K217&gt;Forudsætninger!$C$37,Forudsætninger!$G$37+Forudsætninger!$H$38*(K217-Forudsætninger!$C$37),Forudsætninger!$G$37)))*(U217-Forudsætninger!$H$37)</f>
        <v>35.869914411260517</v>
      </c>
      <c r="AC217" s="19">
        <f>IF(K217&gt;Forudsætninger!$C$42,IF(K217&gt;Forudsætninger!$C$43,IF(K217&gt;Forudsætninger!$C$44,Forudsætninger!$E$44,Forudsætninger!$E$43+Forudsætninger!$F$44*(K217-Forudsætninger!$C$43)),Forudsætninger!$E$42+Forudsætninger!$F$43*(K217-Forudsætninger!$C$42)),Forudsætninger!$E$42)+IF(K217&gt;Forudsætninger!$C$44,Forudsætninger!$G$44,IF(K217&gt;Forudsætninger!$C$43,Forudsætninger!$G$43+Forudsætninger!$H$44*(K217-Forudsætninger!$C$43),IF(K217&gt;Forudsætninger!$C$42,Forudsætninger!$G$42+Forudsætninger!$H$43*(K217-Forudsætninger!$C$42),Forudsætninger!$G$42)))*(V217-Forudsætninger!$H$42)</f>
        <v>30.423129662140212</v>
      </c>
      <c r="AD217" s="19">
        <f t="shared" si="87"/>
        <v>6802.3520138127869</v>
      </c>
      <c r="AE217" s="19">
        <f t="shared" si="88"/>
        <v>34.831912860499592</v>
      </c>
      <c r="AF217">
        <f>IF(G217&lt;=Forudsætninger!$C$97,Forudsætninger!$C$98,(IF(G217&lt;=Forudsætninger!$D$97,Forudsætninger!$D$98,IF(G217&lt;=Forudsætninger!$E$97,Forudsætninger!$E$98,IF(G217&lt;=Forudsætninger!$F$97,Forudsætninger!$F$98,IF(G217&lt;=Forudsætninger!$G$97,Forudsætninger!$G$98,IF(G217&lt;=Forudsætninger!$H$97,Forudsætninger!$H$98,IF(G217&lt;=Forudsætninger!$I$97,Forudsætninger!$I$98,Forudsætninger!$I$98))))))))</f>
        <v>3.8</v>
      </c>
      <c r="AG217" s="1">
        <f t="shared" si="97"/>
        <v>4.4000000000000004</v>
      </c>
      <c r="AH217" s="1">
        <f t="shared" si="101"/>
        <v>630.19999999999789</v>
      </c>
      <c r="AI217" s="1">
        <f t="shared" si="89"/>
        <v>2.9311627906976647</v>
      </c>
      <c r="AJ217" s="20">
        <f>+(W217*Forudsætninger!$C$12)</f>
        <v>900</v>
      </c>
      <c r="AK217" s="20">
        <f>Forudsætninger!$C$17</f>
        <v>250</v>
      </c>
      <c r="AL217" s="20">
        <f>IF(A217&lt;92,Forudsætninger!$C$20,Forudsætninger!$C$21)</f>
        <v>1.0566762728146013</v>
      </c>
      <c r="AM217" s="20">
        <f t="shared" si="98"/>
        <v>495.69088150843135</v>
      </c>
      <c r="AN217" s="19">
        <f>IFERROR(AD217+AJ217-AA217-Z217-AK217-AM217-Forudsætninger!$D$75,-99999)</f>
        <v>1273.1555499093747</v>
      </c>
      <c r="AO217" s="57">
        <f>IFERROR(AN217/(A217+Forudsætninger!$D$74),-99999)</f>
        <v>5.9216537205087194</v>
      </c>
      <c r="AP217" s="19">
        <f>IFERROR(((365/(A217+Forudsætninger!$D$74))*AN217)/(AI217+Forudsætninger!$D$73),-99999)</f>
        <v>710.7161821777521</v>
      </c>
      <c r="AQ217" s="18">
        <f t="shared" si="102"/>
        <v>215</v>
      </c>
      <c r="AR217" s="18">
        <f t="shared" si="103"/>
        <v>6211.3044902024521</v>
      </c>
      <c r="AS217" s="50">
        <f t="shared" si="104"/>
        <v>8.1999999999999993</v>
      </c>
      <c r="AT217" s="50">
        <f t="shared" si="105"/>
        <v>865.88154449795786</v>
      </c>
      <c r="AU217" s="50">
        <f t="shared" si="106"/>
        <v>4.0185041625114444</v>
      </c>
      <c r="AV217" s="2">
        <f t="shared" si="107"/>
        <v>481.78370924343778</v>
      </c>
      <c r="AW217" s="16">
        <f t="shared" si="99"/>
        <v>8.227192704268866</v>
      </c>
      <c r="AZ217" s="16"/>
      <c r="BA217" s="2"/>
    </row>
    <row r="218" spans="1:58" x14ac:dyDescent="0.25">
      <c r="A218">
        <v>216</v>
      </c>
      <c r="B218" s="1">
        <f>ROUND((A218+Forudsætninger!$D$60)/30.4,1)</f>
        <v>8.1999999999999993</v>
      </c>
      <c r="C218" s="1">
        <f>VLOOKUP((A218+Forudsætninger!$D$60),'Model tilvækst, slagteform, fe'!A:C,3,FALSE)</f>
        <v>427.80117227579535</v>
      </c>
      <c r="D218" s="3">
        <f t="shared" si="108"/>
        <v>1644.4071588343832</v>
      </c>
      <c r="E218" s="3">
        <f>(1+Forudsætninger!$D$78)*C218</f>
        <v>359.35298471166806</v>
      </c>
      <c r="F218" s="2">
        <f t="shared" si="90"/>
        <v>0</v>
      </c>
      <c r="G218" s="1">
        <f t="shared" si="83"/>
        <v>359.35298471166806</v>
      </c>
      <c r="H218" s="3">
        <f t="shared" si="91"/>
        <v>1381.30201342085</v>
      </c>
      <c r="I218" s="3">
        <f t="shared" si="92"/>
        <v>1330.3378921836484</v>
      </c>
      <c r="J218" s="1">
        <f>VLOOKUP((A218+Forudsætninger!$D$60),'Model tilvækst, slagteform, fe'!G:K,3,FALSE)*(1+Forudsætninger!$D$79)</f>
        <v>54.570925294088774</v>
      </c>
      <c r="K218" s="17">
        <f t="shared" si="84"/>
        <v>196.10224882908264</v>
      </c>
      <c r="L218" s="17">
        <f t="shared" si="93"/>
        <v>811.45210896184494</v>
      </c>
      <c r="M218" s="3">
        <f>((K218-(('Model tilvækst, slagteform, fe'!$I$9/100)*'Model tilvækst, slagteform, fe'!$C$9))*1000/(A218+Forudsætninger!$D$60))</f>
        <v>697.53474349085332</v>
      </c>
      <c r="N218" s="17">
        <f t="shared" si="94"/>
        <v>1124.9832950907307</v>
      </c>
      <c r="O218" s="19">
        <f>IF( A218&lt;Forudsætninger!$C$14,(G218/100)*Forudsætninger!$C$13,(Forudsætninger!$C$15/1000)*Forudsætninger!$C$13)</f>
        <v>2.3357944006258426</v>
      </c>
      <c r="P218" s="17" cm="1">
        <f t="array" ref="P218">INDEX('Model tilvækst, slagteform, fe'!$O$9:$O$375,MATCH(MIN(ABS('Model tilvækst, slagteform, fe'!$M$9:$M$375-G218)),ABS('Model tilvækst, slagteform, fe'!$M$9:$M$375-G218),0))*(1+Forudsætninger!$D$80)</f>
        <v>7.2309038739270193</v>
      </c>
      <c r="Q218" s="17">
        <f t="shared" si="95"/>
        <v>8.9110667087649666</v>
      </c>
      <c r="R218" s="17">
        <f t="shared" si="96"/>
        <v>6.9812910595574369</v>
      </c>
      <c r="S218" s="2">
        <f t="shared" si="85"/>
        <v>3.9149873324599245</v>
      </c>
      <c r="T218" s="19">
        <f>(P218)*IF(N218&lt;Forudsætninger!$B$228,IF(N218&lt;Forudsætninger!$B$227,Forudsætninger!$B$225,Forudsætninger!$C$9),Forudsætninger!$C$11)+O218</f>
        <v>19.256109465615069</v>
      </c>
      <c r="U218" s="2">
        <f>Forudsætninger!$D$68+((K218-(Forudsætninger!$D$84)))*0.01</f>
        <v>7.1006331696504787</v>
      </c>
      <c r="V218" s="2">
        <f>U218+Forudsætninger!$D$69</f>
        <v>7.1006331696504787</v>
      </c>
      <c r="W218">
        <f t="shared" si="86"/>
        <v>1</v>
      </c>
      <c r="X218">
        <f>IF(A218+Forudsætninger!$D$60&gt;248,IF(A218+Forudsætninger!$D$60&lt;365,IF(K218&gt;180,IF(K218&lt;260,1,0),0),0),0)</f>
        <v>1</v>
      </c>
      <c r="Y218" s="22">
        <f>IF(X218=0,0,IF('Vækstfunktion, kry tyr'!A218&lt;Forudsætninger!$D$66,Forudsætninger!$D$67+(('Vækstfunktion, kry tyr'!A218-Forudsætninger!$D$66)/7)*Forudsætninger!$D$64,Forudsætninger!$D$67))</f>
        <v>0.81371428571428561</v>
      </c>
      <c r="Z218" s="19">
        <f t="shared" si="100"/>
        <v>3429.8697181596358</v>
      </c>
      <c r="AA218" s="19">
        <f>Forudsætninger!$D$62+Forudsætninger!$C$16</f>
        <v>2055</v>
      </c>
      <c r="AB218" s="19">
        <f>IF(K218&gt;Forudsætninger!$C$37,IF(K218&gt;Forudsætninger!$C$38,IF(K218&gt;Forudsætninger!$C$39,Forudsætninger!$E$39,Forudsætninger!$E$38+Forudsætninger!$F$39*(K218-Forudsætninger!$C$38)),Forudsætninger!$E$37+Forudsætninger!$F$38*(K218-Forudsætninger!$C$37)),Forudsætninger!$E$37)+IF(K218&gt;Forudsætninger!$C$39,Forudsætninger!$G$39,IF(K218&gt;Forudsætninger!$C$38,Forudsætninger!$G$38+Forudsætninger!$H$39*(K218-Forudsætninger!$C$38),IF(K218&gt;Forudsætninger!$C$37,Forudsætninger!$G$37+Forudsætninger!$H$38*(K218-Forudsætninger!$C$37),Forudsætninger!$G$37)))*(U218-Forudsætninger!$H$37)</f>
        <v>35.900479107364745</v>
      </c>
      <c r="AC218" s="19">
        <f>IF(K218&gt;Forudsætninger!$C$42,IF(K218&gt;Forudsætninger!$C$43,IF(K218&gt;Forudsætninger!$C$44,Forudsætninger!$E$44,Forudsætninger!$E$43+Forudsætninger!$F$44*(K218-Forudsætninger!$C$43)),Forudsætninger!$E$42+Forudsætninger!$F$43*(K218-Forudsætninger!$C$42)),Forudsætninger!$E$42)+IF(K218&gt;Forudsætninger!$C$44,Forudsætninger!$G$44,IF(K218&gt;Forudsætninger!$C$43,Forudsætninger!$G$43+Forudsætninger!$H$44*(K218-Forudsætninger!$C$43),IF(K218&gt;Forudsætninger!$C$42,Forudsætninger!$G$42+Forudsætninger!$H$43*(K218-Forudsætninger!$C$42),Forudsætninger!$G$42)))*(V218-Forudsætninger!$H$42)</f>
        <v>30.425158292412618</v>
      </c>
      <c r="AD218" s="19">
        <f t="shared" si="87"/>
        <v>6840.1454822479909</v>
      </c>
      <c r="AE218" s="19">
        <f t="shared" si="88"/>
        <v>34.880505058407948</v>
      </c>
      <c r="AF218">
        <f>IF(G218&lt;=Forudsætninger!$C$97,Forudsætninger!$C$98,(IF(G218&lt;=Forudsætninger!$D$97,Forudsætninger!$D$98,IF(G218&lt;=Forudsætninger!$E$97,Forudsætninger!$E$98,IF(G218&lt;=Forudsætninger!$F$97,Forudsætninger!$F$98,IF(G218&lt;=Forudsætninger!$G$97,Forudsætninger!$G$98,IF(G218&lt;=Forudsætninger!$H$97,Forudsætninger!$H$98,IF(G218&lt;=Forudsætninger!$I$97,Forudsætninger!$I$98,Forudsætninger!$I$98))))))))</f>
        <v>3.8</v>
      </c>
      <c r="AG218" s="1">
        <f t="shared" si="97"/>
        <v>4.4000000000000004</v>
      </c>
      <c r="AH218" s="1">
        <f t="shared" si="101"/>
        <v>634.59999999999786</v>
      </c>
      <c r="AI218" s="1">
        <f t="shared" si="89"/>
        <v>2.9379629629629531</v>
      </c>
      <c r="AJ218" s="20">
        <f>+(W218*Forudsætninger!$C$12)</f>
        <v>900</v>
      </c>
      <c r="AK218" s="20">
        <f>Forudsætninger!$C$17</f>
        <v>250</v>
      </c>
      <c r="AL218" s="20">
        <f>IF(A218&lt;92,Forudsætninger!$C$20,Forudsætninger!$C$21)</f>
        <v>1.0566762728146013</v>
      </c>
      <c r="AM218" s="20">
        <f t="shared" si="98"/>
        <v>496.74755778124597</v>
      </c>
      <c r="AN218" s="19">
        <f>IFERROR(AD218+AJ218-AA218-Z218-AK218-AM218-Forudsætninger!$D$75,-99999)</f>
        <v>1290.6362326061487</v>
      </c>
      <c r="AO218" s="57">
        <f>IFERROR(AN218/(A218+Forudsætninger!$D$74),-99999)</f>
        <v>5.9751677435469848</v>
      </c>
      <c r="AP218" s="19">
        <f>IFERROR(((365/(A218+Forudsætninger!$D$74))*AN218)/(AI218+Forudsætninger!$D$73),-99999)</f>
        <v>715.53895270254247</v>
      </c>
      <c r="AQ218" s="18">
        <f t="shared" si="102"/>
        <v>216</v>
      </c>
      <c r="AR218" s="18">
        <f t="shared" si="103"/>
        <v>6231.6172759408819</v>
      </c>
      <c r="AS218" s="50">
        <f t="shared" si="104"/>
        <v>8.1999999999999993</v>
      </c>
      <c r="AT218" s="50">
        <f t="shared" si="105"/>
        <v>17.480682696774011</v>
      </c>
      <c r="AU218" s="50">
        <f t="shared" si="106"/>
        <v>5.3514023038265357E-2</v>
      </c>
      <c r="AV218" s="2">
        <f t="shared" si="107"/>
        <v>4.8227705247903714</v>
      </c>
      <c r="AW218" s="16">
        <f t="shared" si="99"/>
        <v>8.2749249554971964</v>
      </c>
      <c r="AZ218" s="16"/>
      <c r="BA218" s="2"/>
    </row>
    <row r="219" spans="1:58" s="7" customFormat="1" x14ac:dyDescent="0.25">
      <c r="A219" s="7">
        <v>217</v>
      </c>
      <c r="B219" s="21">
        <f>ROUND((A219+Forudsætninger!$D$60)/30.4,1)</f>
        <v>8.3000000000000007</v>
      </c>
      <c r="C219" s="21">
        <f>VLOOKUP((A219+Forudsætninger!$D$60),'Model tilvækst, slagteform, fe'!A:C,3,FALSE)</f>
        <v>429.44131560753448</v>
      </c>
      <c r="D219" s="28">
        <f t="shared" si="108"/>
        <v>1640.1433317391252</v>
      </c>
      <c r="E219" s="28">
        <f>(1+Forudsætninger!$D$78)*C219</f>
        <v>360.73070511032893</v>
      </c>
      <c r="F219" s="30">
        <f t="shared" si="90"/>
        <v>0</v>
      </c>
      <c r="G219" s="21">
        <f t="shared" si="83"/>
        <v>360.73070511032893</v>
      </c>
      <c r="H219" s="28">
        <f t="shared" si="91"/>
        <v>1377.7203986608697</v>
      </c>
      <c r="I219" s="28">
        <f t="shared" si="92"/>
        <v>1330.5562447480595</v>
      </c>
      <c r="J219" s="21">
        <f>VLOOKUP((A219+Forudsætninger!$D$60),'Model tilvækst, slagteform, fe'!G:K,3,FALSE)*(1+Forudsætninger!$D$79)</f>
        <v>54.586635027723922</v>
      </c>
      <c r="K219" s="29">
        <f t="shared" si="84"/>
        <v>196.91075343151027</v>
      </c>
      <c r="L219" s="29">
        <f t="shared" si="93"/>
        <v>808.50460242763234</v>
      </c>
      <c r="M219" s="28">
        <f>((K219-(('Model tilvækst, slagteform, fe'!$I$9/100)*'Model tilvækst, slagteform, fe'!$C$9))*1000/(A219+Forudsætninger!$D$60))</f>
        <v>697.97685448263314</v>
      </c>
      <c r="N219" s="29">
        <f t="shared" si="94"/>
        <v>1132.2219697207047</v>
      </c>
      <c r="O219" s="30">
        <f>IF( A219&lt;Forudsætninger!$C$14,(G219/100)*Forudsætninger!$C$13,(Forudsætninger!$C$15/1000)*Forudsætninger!$C$13)</f>
        <v>2.3447495832171379</v>
      </c>
      <c r="P219" s="29" cm="1">
        <f t="array" ref="P219">INDEX('Model tilvækst, slagteform, fe'!$O$9:$O$375,MATCH(MIN(ABS('Model tilvækst, slagteform, fe'!$M$9:$M$375-G219)),ABS('Model tilvækst, slagteform, fe'!$M$9:$M$375-G219),0))*(1+Forudsætninger!$D$80)</f>
        <v>7.238674629973973</v>
      </c>
      <c r="Q219" s="29">
        <f t="shared" si="95"/>
        <v>8.9531644077708172</v>
      </c>
      <c r="R219" s="29">
        <f t="shared" si="96"/>
        <v>6.9911351962737402</v>
      </c>
      <c r="S219" s="30">
        <f t="shared" si="85"/>
        <v>3.9213770814159283</v>
      </c>
      <c r="T219" s="30">
        <f>(P219)*IF(N219&lt;Forudsætninger!$B$228,IF(N219&lt;Forudsætninger!$B$227,Forudsætninger!$B$225,Forudsætninger!$C$9),Forudsætninger!$C$11)+O219</f>
        <v>19.283248217356231</v>
      </c>
      <c r="U219" s="30">
        <f>Forudsætninger!$D$68+((K219-(Forudsætninger!$D$84)))*0.01</f>
        <v>7.108718215674755</v>
      </c>
      <c r="V219" s="30">
        <f>U219+Forudsætninger!$D$69</f>
        <v>7.108718215674755</v>
      </c>
      <c r="W219" s="7">
        <f t="shared" si="86"/>
        <v>1</v>
      </c>
      <c r="X219" s="7">
        <f>IF(A219+Forudsætninger!$D$60&gt;248,IF(A219+Forudsætninger!$D$60&lt;365,IF(K219&gt;180,IF(K219&lt;260,1,0),0),0),0)</f>
        <v>1</v>
      </c>
      <c r="Y219" s="31">
        <f>IF(X219=0,0,IF('Vækstfunktion, kry tyr'!A219&lt;Forudsætninger!$D$66,Forudsætninger!$D$67+(('Vækstfunktion, kry tyr'!A219-Forudsætninger!$D$66)/7)*Forudsætninger!$D$64,Forudsætninger!$D$67))</f>
        <v>0.81799999999999995</v>
      </c>
      <c r="Z219" s="30">
        <f t="shared" si="100"/>
        <v>3449.152966376992</v>
      </c>
      <c r="AA219" s="30">
        <f>Forudsætninger!$D$62+Forudsætninger!$C$16</f>
        <v>2055</v>
      </c>
      <c r="AB219" s="30">
        <f>IF(K219&gt;Forudsætninger!$C$37,IF(K219&gt;Forudsætninger!$C$38,IF(K219&gt;Forudsætninger!$C$39,Forudsætninger!$E$39,Forudsætninger!$E$38+Forudsætninger!$F$39*(K219-Forudsætninger!$C$38)),Forudsætninger!$E$37+Forudsætninger!$F$38*(K219-Forudsætninger!$C$37)),Forudsætninger!$E$37)+IF(K219&gt;Forudsætninger!$C$39,Forudsætninger!$G$39,IF(K219&gt;Forudsætninger!$C$38,Forudsætninger!$G$38+Forudsætninger!$H$39*(K219-Forudsætninger!$C$38),IF(K219&gt;Forudsætninger!$C$37,Forudsætninger!$G$37+Forudsætninger!$H$38*(K219-Forudsætninger!$C$37),Forudsætninger!$G$37)))*(U219-Forudsætninger!$H$37)</f>
        <v>35.930932780722848</v>
      </c>
      <c r="AC219" s="30">
        <f>IF(K219&gt;Forudsætninger!$C$42,IF(K219&gt;Forudsætninger!$C$43,IF(K219&gt;Forudsætninger!$C$44,Forudsætninger!$E$44,Forudsætninger!$E$43+Forudsætninger!$F$44*(K219-Forudsætninger!$C$43)),Forudsætninger!$E$42+Forudsætninger!$F$43*(K219-Forudsætninger!$C$42)),Forudsætninger!$E$42)+IF(K219&gt;Forudsætninger!$C$44,Forudsætninger!$G$44,IF(K219&gt;Forudsætninger!$C$43,Forudsætninger!$G$43+Forudsætninger!$H$44*(K219-Forudsætninger!$C$43),IF(K219&gt;Forudsætninger!$C$42,Forudsætninger!$G$42+Forudsætninger!$H$43*(K219-Forudsætninger!$C$42),Forudsætninger!$G$42)))*(V219-Forudsætninger!$H$42)</f>
        <v>30.427179553918688</v>
      </c>
      <c r="AD219" s="30">
        <f t="shared" si="87"/>
        <v>6877.9448739335039</v>
      </c>
      <c r="AE219" s="30">
        <f t="shared" si="88"/>
        <v>34.92924969344449</v>
      </c>
      <c r="AF219" s="7">
        <f>IF(G219&lt;=Forudsætninger!$C$97,Forudsætninger!$C$98,(IF(G219&lt;=Forudsætninger!$D$97,Forudsætninger!$D$98,IF(G219&lt;=Forudsætninger!$E$97,Forudsætninger!$E$98,IF(G219&lt;=Forudsætninger!$F$97,Forudsætninger!$F$98,IF(G219&lt;=Forudsætninger!$G$97,Forudsætninger!$G$98,IF(G219&lt;=Forudsætninger!$H$97,Forudsætninger!$H$98,IF(G219&lt;=Forudsætninger!$I$97,Forudsætninger!$I$98,Forudsætninger!$I$98))))))))</f>
        <v>3.8</v>
      </c>
      <c r="AG219" s="21">
        <f t="shared" si="97"/>
        <v>4.4000000000000004</v>
      </c>
      <c r="AH219" s="21">
        <f t="shared" si="101"/>
        <v>638.99999999999784</v>
      </c>
      <c r="AI219" s="21">
        <f t="shared" si="89"/>
        <v>2.9447004608294831</v>
      </c>
      <c r="AJ219" s="28">
        <f>+(W219*Forudsætninger!$C$12)</f>
        <v>900</v>
      </c>
      <c r="AK219" s="28">
        <f>Forudsætninger!$C$17</f>
        <v>250</v>
      </c>
      <c r="AL219" s="28">
        <f>IF(A219&lt;92,Forudsætninger!$C$20,Forudsætninger!$C$21)</f>
        <v>1.0566762728146013</v>
      </c>
      <c r="AM219" s="28">
        <f t="shared" si="98"/>
        <v>497.8042340540606</v>
      </c>
      <c r="AN219" s="30">
        <f>IFERROR(AD219+AJ219-AA219-Z219-AK219-AM219-Forudsætninger!$D$75,-99999)</f>
        <v>1308.095699801491</v>
      </c>
      <c r="AO219" s="55">
        <f>IFERROR(AN219/(A219+Forudsætninger!$D$74),-99999)</f>
        <v>6.02809078249535</v>
      </c>
      <c r="AP219" s="30">
        <f>IFERROR(((365/(A219+Forudsætninger!$D$74))*AN219)/(AI219+Forudsætninger!$D$73),-99999)</f>
        <v>720.28441538694733</v>
      </c>
      <c r="AQ219" s="28">
        <f t="shared" si="102"/>
        <v>217</v>
      </c>
      <c r="AR219" s="28">
        <f t="shared" si="103"/>
        <v>6251.957200431053</v>
      </c>
      <c r="AS219" s="30">
        <f t="shared" si="104"/>
        <v>8.3000000000000007</v>
      </c>
      <c r="AT219" s="30">
        <f t="shared" si="105"/>
        <v>17.459467195342313</v>
      </c>
      <c r="AU219" s="30">
        <f t="shared" si="106"/>
        <v>5.2923038948365253E-2</v>
      </c>
      <c r="AV219" s="30">
        <f t="shared" si="107"/>
        <v>4.7454626844048562</v>
      </c>
      <c r="AW219" s="16">
        <f t="shared" si="99"/>
        <v>8.3221195108550763</v>
      </c>
      <c r="AX219" s="28"/>
      <c r="AZ219" s="32"/>
      <c r="BA219" s="30"/>
      <c r="BB219" s="28"/>
      <c r="BC219" s="33"/>
      <c r="BD219" s="30"/>
      <c r="BE219" s="30"/>
      <c r="BF219" s="30"/>
    </row>
    <row r="220" spans="1:58" x14ac:dyDescent="0.25">
      <c r="A220">
        <v>218</v>
      </c>
      <c r="B220" s="1">
        <f>ROUND((A220+Forudsætninger!$D$60)/30.4,1)</f>
        <v>8.3000000000000007</v>
      </c>
      <c r="C220" s="1">
        <f>VLOOKUP((A220+Forudsætninger!$D$60),'Model tilvækst, slagteform, fe'!A:C,3,FALSE)</f>
        <v>431.0771719369618</v>
      </c>
      <c r="D220" s="3">
        <f t="shared" si="108"/>
        <v>1635.8563294273267</v>
      </c>
      <c r="E220" s="3">
        <f>(1+Forudsætninger!$D$78)*C220</f>
        <v>362.1048244270479</v>
      </c>
      <c r="F220" s="2">
        <f t="shared" si="90"/>
        <v>0</v>
      </c>
      <c r="G220" s="1">
        <f t="shared" si="83"/>
        <v>362.1048244270479</v>
      </c>
      <c r="H220" s="3">
        <f t="shared" si="91"/>
        <v>1374.1193167189749</v>
      </c>
      <c r="I220" s="3">
        <f t="shared" si="92"/>
        <v>1330.7560753534308</v>
      </c>
      <c r="J220" s="1">
        <f>VLOOKUP((A220+Forudsætninger!$D$60),'Model tilvækst, slagteform, fe'!G:K,3,FALSE)*(1+Forudsætninger!$D$79)</f>
        <v>54.601954829700624</v>
      </c>
      <c r="K220" s="17">
        <f t="shared" si="84"/>
        <v>197.71631266982345</v>
      </c>
      <c r="L220" s="17">
        <f t="shared" si="93"/>
        <v>805.55923831317955</v>
      </c>
      <c r="M220" s="3">
        <f>((K220-(('Model tilvækst, slagteform, fe'!$I$9/100)*'Model tilvækst, slagteform, fe'!$C$9))*1000/(A220+Forudsætninger!$D$60))</f>
        <v>698.40376870418311</v>
      </c>
      <c r="N220" s="17">
        <f t="shared" si="94"/>
        <v>1139.4685006946529</v>
      </c>
      <c r="O220" s="19">
        <f>IF( A220&lt;Forudsætninger!$C$14,(G220/100)*Forudsætninger!$C$13,(Forudsætninger!$C$15/1000)*Forudsætninger!$C$13)</f>
        <v>2.3536813587758116</v>
      </c>
      <c r="P220" s="17" cm="1">
        <f t="array" ref="P220">INDEX('Model tilvækst, slagteform, fe'!$O$9:$O$375,MATCH(MIN(ABS('Model tilvækst, slagteform, fe'!$M$9:$M$375-G220)),ABS('Model tilvækst, slagteform, fe'!$M$9:$M$375-G220),0))*(1+Forudsætninger!$D$80)</f>
        <v>7.2465309739483237</v>
      </c>
      <c r="Q220" s="17">
        <f t="shared" si="95"/>
        <v>8.9956524974158008</v>
      </c>
      <c r="R220" s="17">
        <f t="shared" si="96"/>
        <v>7.0010564955366679</v>
      </c>
      <c r="S220" s="2">
        <f t="shared" si="85"/>
        <v>3.9277819765496278</v>
      </c>
      <c r="T220" s="19">
        <f>(P220)*IF(N220&lt;Forudsætninger!$B$228,IF(N220&lt;Forudsætninger!$B$227,Forudsætninger!$B$225,Forudsætninger!$C$9),Forudsætninger!$C$11)+O220</f>
        <v>19.31056383781489</v>
      </c>
      <c r="U220" s="2">
        <f>Forudsætninger!$D$68+((K220-(Forudsætninger!$D$84)))*0.01</f>
        <v>7.1167738080578866</v>
      </c>
      <c r="V220" s="2">
        <f>U220+Forudsætninger!$D$69</f>
        <v>7.1167738080578866</v>
      </c>
      <c r="W220">
        <f t="shared" si="86"/>
        <v>1</v>
      </c>
      <c r="X220">
        <f>IF(A220+Forudsætninger!$D$60&gt;248,IF(A220+Forudsætninger!$D$60&lt;365,IF(K220&gt;180,IF(K220&lt;260,1,0),0),0),0)</f>
        <v>1</v>
      </c>
      <c r="Y220" s="22">
        <f>IF(X220=0,0,IF('Vækstfunktion, kry tyr'!A220&lt;Forudsætninger!$D$66,Forudsætninger!$D$67+(('Vækstfunktion, kry tyr'!A220-Forudsætninger!$D$66)/7)*Forudsætninger!$D$64,Forudsætninger!$D$67))</f>
        <v>0.82228571428571429</v>
      </c>
      <c r="Z220" s="19">
        <f t="shared" si="100"/>
        <v>3468.4635302148067</v>
      </c>
      <c r="AA220" s="19">
        <f>Forudsætninger!$D$62+Forudsætninger!$C$16</f>
        <v>2055</v>
      </c>
      <c r="AB220" s="19">
        <f>IF(K220&gt;Forudsætninger!$C$37,IF(K220&gt;Forudsætninger!$C$38,IF(K220&gt;Forudsætninger!$C$39,Forudsætninger!$E$39,Forudsætninger!$E$38+Forudsætninger!$F$39*(K220-Forudsætninger!$C$38)),Forudsætninger!$E$37+Forudsætninger!$F$38*(K220-Forudsætninger!$C$37)),Forudsætninger!$E$37)+IF(K220&gt;Forudsætninger!$C$39,Forudsætninger!$G$39,IF(K220&gt;Forudsætninger!$C$38,Forudsætninger!$G$38+Forudsætninger!$H$39*(K220-Forudsætninger!$C$38),IF(K220&gt;Forudsætninger!$C$37,Forudsætninger!$G$37+Forudsætninger!$H$38*(K220-Forudsætninger!$C$37),Forudsætninger!$G$37)))*(U220-Forudsætninger!$H$37)</f>
        <v>35.96127551203265</v>
      </c>
      <c r="AC220" s="19">
        <f>IF(K220&gt;Forudsætninger!$C$42,IF(K220&gt;Forudsætninger!$C$43,IF(K220&gt;Forudsætninger!$C$44,Forudsætninger!$E$44,Forudsætninger!$E$43+Forudsætninger!$F$44*(K220-Forudsætninger!$C$43)),Forudsætninger!$E$42+Forudsætninger!$F$43*(K220-Forudsætninger!$C$42)),Forudsætninger!$E$42)+IF(K220&gt;Forudsætninger!$C$44,Forudsætninger!$G$44,IF(K220&gt;Forudsætninger!$C$43,Forudsætninger!$G$43+Forudsætninger!$H$44*(K220-Forudsætninger!$C$43),IF(K220&gt;Forudsætninger!$C$42,Forudsætninger!$G$42+Forudsætninger!$H$43*(K220-Forudsætninger!$C$42),Forudsætninger!$G$42)))*(V220-Forudsætninger!$H$42)</f>
        <v>30.42919345201447</v>
      </c>
      <c r="AD220" s="19">
        <f t="shared" si="87"/>
        <v>6915.7499523328079</v>
      </c>
      <c r="AE220" s="19">
        <f t="shared" si="88"/>
        <v>34.978145500223704</v>
      </c>
      <c r="AF220">
        <f>IF(G220&lt;=Forudsætninger!$C$97,Forudsætninger!$C$98,(IF(G220&lt;=Forudsætninger!$D$97,Forudsætninger!$D$98,IF(G220&lt;=Forudsætninger!$E$97,Forudsætninger!$E$98,IF(G220&lt;=Forudsætninger!$F$97,Forudsætninger!$F$98,IF(G220&lt;=Forudsætninger!$G$97,Forudsætninger!$G$98,IF(G220&lt;=Forudsætninger!$H$97,Forudsætninger!$H$98,IF(G220&lt;=Forudsætninger!$I$97,Forudsætninger!$I$98,Forudsætninger!$I$98))))))))</f>
        <v>3.8</v>
      </c>
      <c r="AG220" s="1">
        <f t="shared" si="97"/>
        <v>4.4000000000000004</v>
      </c>
      <c r="AH220" s="1">
        <f t="shared" si="101"/>
        <v>643.39999999999782</v>
      </c>
      <c r="AI220" s="1">
        <f t="shared" si="89"/>
        <v>2.9513761467889807</v>
      </c>
      <c r="AJ220" s="20">
        <f>+(W220*Forudsætninger!$C$12)</f>
        <v>900</v>
      </c>
      <c r="AK220" s="20">
        <f>Forudsætninger!$C$17</f>
        <v>250</v>
      </c>
      <c r="AL220" s="20">
        <f>IF(A220&lt;92,Forudsætninger!$C$20,Forudsætninger!$C$21)</f>
        <v>1.0566762728146013</v>
      </c>
      <c r="AM220" s="20">
        <f t="shared" si="98"/>
        <v>498.86091032687523</v>
      </c>
      <c r="AN220" s="19">
        <f>IFERROR(AD220+AJ220-AA220-Z220-AK220-AM220-Forudsætninger!$D$75,-99999)</f>
        <v>1325.5335380901656</v>
      </c>
      <c r="AO220" s="57">
        <f>IFERROR(AN220/(A220+Forudsætninger!$D$74),-99999)</f>
        <v>6.0804290738080988</v>
      </c>
      <c r="AP220" s="19">
        <f>IFERROR(((365/(A220+Forudsætninger!$D$74))*AN220)/(AI220+Forudsætninger!$D$73),-99999)</f>
        <v>724.95391141914956</v>
      </c>
      <c r="AQ220" s="18">
        <f t="shared" si="102"/>
        <v>218</v>
      </c>
      <c r="AR220" s="18">
        <f t="shared" si="103"/>
        <v>6272.3244405416826</v>
      </c>
      <c r="AS220" s="50">
        <f t="shared" si="104"/>
        <v>8.3000000000000007</v>
      </c>
      <c r="AT220" s="50">
        <f t="shared" si="105"/>
        <v>17.437838288674584</v>
      </c>
      <c r="AU220" s="50">
        <f t="shared" si="106"/>
        <v>5.2338291312748808E-2</v>
      </c>
      <c r="AV220" s="2">
        <f t="shared" si="107"/>
        <v>4.6694960322022325</v>
      </c>
      <c r="AW220" s="16">
        <f t="shared" si="99"/>
        <v>8.3687818734726651</v>
      </c>
      <c r="AZ220" s="16"/>
      <c r="BA220" s="2"/>
    </row>
    <row r="221" spans="1:58" x14ac:dyDescent="0.25">
      <c r="A221">
        <v>219</v>
      </c>
      <c r="B221" s="1">
        <f>ROUND((A221+Forudsætninger!$D$60)/30.4,1)</f>
        <v>8.3000000000000007</v>
      </c>
      <c r="C221" s="1">
        <f>VLOOKUP((A221+Forudsætninger!$D$60),'Model tilvækst, slagteform, fe'!A:C,3,FALSE)</f>
        <v>432.70871870979732</v>
      </c>
      <c r="D221" s="3">
        <f t="shared" si="108"/>
        <v>1631.5467728355202</v>
      </c>
      <c r="E221" s="3">
        <f>(1+Forudsætninger!$D$78)*C221</f>
        <v>363.47532371622975</v>
      </c>
      <c r="F221" s="2">
        <f t="shared" si="90"/>
        <v>0</v>
      </c>
      <c r="G221" s="1">
        <f t="shared" si="83"/>
        <v>363.47532371622975</v>
      </c>
      <c r="H221" s="3">
        <f t="shared" si="91"/>
        <v>1370.4992891818506</v>
      </c>
      <c r="I221" s="3">
        <f t="shared" si="92"/>
        <v>1330.937551215661</v>
      </c>
      <c r="J221" s="1">
        <f>VLOOKUP((A221+Forudsætninger!$D$60),'Model tilvækst, slagteform, fe'!G:K,3,FALSE)*(1+Forudsætninger!$D$79)</f>
        <v>54.616893241580442</v>
      </c>
      <c r="K221" s="17">
        <f t="shared" si="84"/>
        <v>198.51892951358212</v>
      </c>
      <c r="L221" s="17">
        <f t="shared" si="93"/>
        <v>802.61684375867048</v>
      </c>
      <c r="M221" s="3">
        <f>((K221-(('Model tilvækst, slagteform, fe'!$I$9/100)*'Model tilvækst, slagteform, fe'!$C$9))*1000/(A221+Forudsætninger!$D$60))</f>
        <v>698.8156780917501</v>
      </c>
      <c r="N221" s="17">
        <f t="shared" si="94"/>
        <v>1146.7310107889684</v>
      </c>
      <c r="O221" s="19">
        <f>IF( A221&lt;Forudsætninger!$C$14,(G221/100)*Forudsætninger!$C$13,(Forudsætninger!$C$15/1000)*Forudsætninger!$C$13)</f>
        <v>2.3625896041554935</v>
      </c>
      <c r="P221" s="17" cm="1">
        <f t="array" ref="P221">INDEX('Model tilvækst, slagteform, fe'!$O$9:$O$375,MATCH(MIN(ABS('Model tilvækst, slagteform, fe'!$M$9:$M$375-G221)),ABS('Model tilvækst, slagteform, fe'!$M$9:$M$375-G221),0))*(1+Forudsætninger!$D$80)</f>
        <v>7.2625100943155161</v>
      </c>
      <c r="Q221" s="17">
        <f t="shared" si="95"/>
        <v>9.048539350738066</v>
      </c>
      <c r="R221" s="17">
        <f t="shared" si="96"/>
        <v>7.011103888509318</v>
      </c>
      <c r="S221" s="2">
        <f t="shared" si="85"/>
        <v>3.9342301645589246</v>
      </c>
      <c r="T221" s="19">
        <f>(P221)*IF(N221&lt;Forudsætninger!$B$228,IF(N221&lt;Forudsætninger!$B$227,Forudsætninger!$B$225,Forudsætninger!$C$9),Forudsætninger!$C$11)+O221</f>
        <v>19.356863224853797</v>
      </c>
      <c r="U221" s="2">
        <f>Forudsætninger!$D$68+((K221-(Forudsætninger!$D$84)))*0.01</f>
        <v>7.1247999764954733</v>
      </c>
      <c r="V221" s="2">
        <f>U221+Forudsætninger!$D$69</f>
        <v>7.1247999764954733</v>
      </c>
      <c r="W221">
        <f t="shared" si="86"/>
        <v>1</v>
      </c>
      <c r="X221">
        <f>IF(A221+Forudsætninger!$D$60&gt;248,IF(A221+Forudsætninger!$D$60&lt;365,IF(K221&gt;180,IF(K221&lt;260,1,0),0),0),0)</f>
        <v>1</v>
      </c>
      <c r="Y221" s="22">
        <f>IF(X221=0,0,IF('Vækstfunktion, kry tyr'!A221&lt;Forudsætninger!$D$66,Forudsætninger!$D$67+(('Vækstfunktion, kry tyr'!A221-Forudsætninger!$D$66)/7)*Forudsætninger!$D$64,Forudsætninger!$D$67))</f>
        <v>0.82657142857142851</v>
      </c>
      <c r="Z221" s="19">
        <f t="shared" si="100"/>
        <v>3487.8203934396606</v>
      </c>
      <c r="AA221" s="19">
        <f>Forudsætninger!$D$62+Forudsætninger!$C$16</f>
        <v>2055</v>
      </c>
      <c r="AB221" s="19">
        <f>IF(K221&gt;Forudsætninger!$C$37,IF(K221&gt;Forudsætninger!$C$38,IF(K221&gt;Forudsætninger!$C$39,Forudsætninger!$E$39,Forudsætninger!$E$38+Forudsætninger!$F$39*(K221-Forudsætninger!$C$38)),Forudsætninger!$E$37+Forudsætninger!$F$38*(K221-Forudsætninger!$C$37)),Forudsætninger!$E$37)+IF(K221&gt;Forudsætninger!$C$39,Forudsætninger!$G$39,IF(K221&gt;Forudsætninger!$C$38,Forudsætninger!$G$38+Forudsætninger!$H$39*(K221-Forudsætninger!$C$38),IF(K221&gt;Forudsætninger!$C$37,Forudsætninger!$G$37+Forudsætninger!$H$38*(K221-Forudsætninger!$C$37),Forudsætninger!$G$37)))*(U221-Forudsætninger!$H$37)</f>
        <v>35.991507413147559</v>
      </c>
      <c r="AC221" s="19">
        <f>IF(K221&gt;Forudsætninger!$C$42,IF(K221&gt;Forudsætninger!$C$43,IF(K221&gt;Forudsætninger!$C$44,Forudsætninger!$E$44,Forudsætninger!$E$43+Forudsætninger!$F$44*(K221-Forudsætninger!$C$43)),Forudsætninger!$E$42+Forudsætninger!$F$43*(K221-Forudsætninger!$C$42)),Forudsætninger!$E$42)+IF(K221&gt;Forudsætninger!$C$44,Forudsætninger!$G$44,IF(K221&gt;Forudsætninger!$C$43,Forudsætninger!$G$43+Forudsætninger!$H$44*(K221-Forudsætninger!$C$43),IF(K221&gt;Forudsætninger!$C$42,Forudsætninger!$G$42+Forudsætninger!$H$43*(K221-Forudsætninger!$C$42),Forudsætninger!$G$42)))*(V221-Forudsætninger!$H$42)</f>
        <v>30.431199994123865</v>
      </c>
      <c r="AD221" s="19">
        <f t="shared" si="87"/>
        <v>6953.56050898371</v>
      </c>
      <c r="AE221" s="19">
        <f t="shared" si="88"/>
        <v>35.02719124076259</v>
      </c>
      <c r="AF221">
        <f>IF(G221&lt;=Forudsætninger!$C$97,Forudsætninger!$C$98,(IF(G221&lt;=Forudsætninger!$D$97,Forudsætninger!$D$98,IF(G221&lt;=Forudsætninger!$E$97,Forudsætninger!$E$98,IF(G221&lt;=Forudsætninger!$F$97,Forudsætninger!$F$98,IF(G221&lt;=Forudsætninger!$G$97,Forudsætninger!$G$98,IF(G221&lt;=Forudsætninger!$H$97,Forudsætninger!$H$98,IF(G221&lt;=Forudsætninger!$I$97,Forudsætninger!$I$98,Forudsætninger!$I$98))))))))</f>
        <v>3.8</v>
      </c>
      <c r="AG221" s="1">
        <f t="shared" si="97"/>
        <v>4.4000000000000004</v>
      </c>
      <c r="AH221" s="1">
        <f t="shared" si="101"/>
        <v>647.79999999999779</v>
      </c>
      <c r="AI221" s="1">
        <f t="shared" si="89"/>
        <v>2.9579908675798987</v>
      </c>
      <c r="AJ221" s="20">
        <f>+(W221*Forudsætninger!$C$12)</f>
        <v>900</v>
      </c>
      <c r="AK221" s="20">
        <f>Forudsætninger!$C$17</f>
        <v>250</v>
      </c>
      <c r="AL221" s="20">
        <f>IF(A221&lt;92,Forudsætninger!$C$20,Forudsætninger!$C$21)</f>
        <v>1.0566762728146013</v>
      </c>
      <c r="AM221" s="20">
        <f t="shared" si="98"/>
        <v>499.91758659968986</v>
      </c>
      <c r="AN221" s="19">
        <f>IFERROR(AD221+AJ221-AA221-Z221-AK221-AM221-Forudsætninger!$D$75,-99999)</f>
        <v>1342.9305552433991</v>
      </c>
      <c r="AO221" s="57">
        <f>IFERROR(AN221/(A221+Forudsætninger!$D$74),-99999)</f>
        <v>6.1321029919789911</v>
      </c>
      <c r="AP221" s="19">
        <f>IFERROR(((365/(A221+Forudsætninger!$D$74))*AN221)/(AI221+Forudsætninger!$D$73),-99999)</f>
        <v>729.53854449960909</v>
      </c>
      <c r="AQ221" s="18">
        <f t="shared" si="102"/>
        <v>219</v>
      </c>
      <c r="AR221" s="18">
        <f t="shared" si="103"/>
        <v>6292.7379800393501</v>
      </c>
      <c r="AS221" s="50">
        <f t="shared" si="104"/>
        <v>8.3000000000000007</v>
      </c>
      <c r="AT221" s="50">
        <f t="shared" si="105"/>
        <v>17.397017153233492</v>
      </c>
      <c r="AU221" s="50">
        <f t="shared" si="106"/>
        <v>5.1673918170892286E-2</v>
      </c>
      <c r="AV221" s="2">
        <f t="shared" si="107"/>
        <v>4.5846330804595254</v>
      </c>
      <c r="AW221" s="16">
        <f t="shared" si="99"/>
        <v>8.4148316979136482</v>
      </c>
      <c r="AZ221" s="16"/>
      <c r="BA221" s="2"/>
    </row>
    <row r="222" spans="1:58" x14ac:dyDescent="0.25">
      <c r="A222">
        <v>220</v>
      </c>
      <c r="B222" s="1">
        <f>ROUND((A222+Forudsætninger!$D$60)/30.4,1)</f>
        <v>8.4</v>
      </c>
      <c r="C222" s="1">
        <f>VLOOKUP((A222+Forudsætninger!$D$60),'Model tilvækst, slagteform, fe'!A:C,3,FALSE)</f>
        <v>434.33593399269773</v>
      </c>
      <c r="D222" s="3">
        <f t="shared" si="108"/>
        <v>1627.2152829004085</v>
      </c>
      <c r="E222" s="3">
        <f>(1+Forudsætninger!$D$78)*C222</f>
        <v>364.8421845538661</v>
      </c>
      <c r="F222" s="2">
        <f t="shared" si="90"/>
        <v>0</v>
      </c>
      <c r="G222" s="1">
        <f t="shared" si="83"/>
        <v>364.8421845538661</v>
      </c>
      <c r="H222" s="3">
        <f t="shared" si="91"/>
        <v>1366.8608376363522</v>
      </c>
      <c r="I222" s="3">
        <f t="shared" si="92"/>
        <v>1331.1008388812095</v>
      </c>
      <c r="J222" s="1">
        <f>VLOOKUP((A222+Forudsætninger!$D$60),'Model tilvækst, slagteform, fe'!G:K,3,FALSE)*(1+Forudsætninger!$D$79)</f>
        <v>54.631458804925032</v>
      </c>
      <c r="K222" s="17">
        <f t="shared" si="84"/>
        <v>199.31860775753393</v>
      </c>
      <c r="L222" s="17">
        <f t="shared" si="93"/>
        <v>799.67824395180287</v>
      </c>
      <c r="M222" s="3">
        <f>((K222-(('Model tilvækst, slagteform, fe'!$I$9/100)*'Model tilvækst, slagteform, fe'!$C$9))*1000/(A222+Forudsætninger!$D$60))</f>
        <v>699.2127748077346</v>
      </c>
      <c r="N222" s="17">
        <f t="shared" si="94"/>
        <v>1154.0016484939949</v>
      </c>
      <c r="O222" s="19">
        <f>IF( A222&lt;Forudsætninger!$C$14,(G222/100)*Forudsætninger!$C$13,(Forudsætninger!$C$15/1000)*Forudsætninger!$C$13)</f>
        <v>2.3714741996001298</v>
      </c>
      <c r="P222" s="17" cm="1">
        <f t="array" ref="P222">INDEX('Model tilvækst, slagteform, fe'!$O$9:$O$375,MATCH(MIN(ABS('Model tilvækst, slagteform, fe'!$M$9:$M$375-G222)),ABS('Model tilvækst, slagteform, fe'!$M$9:$M$375-G222),0))*(1+Forudsætninger!$D$80)</f>
        <v>7.270637705026509</v>
      </c>
      <c r="Q222" s="17">
        <f t="shared" si="95"/>
        <v>9.0919538702177256</v>
      </c>
      <c r="R222" s="17">
        <f t="shared" si="96"/>
        <v>7.0212281349251633</v>
      </c>
      <c r="S222" s="2">
        <f t="shared" si="85"/>
        <v>3.9406947132704682</v>
      </c>
      <c r="T222" s="19">
        <f>(P222)*IF(N222&lt;Forudsætninger!$B$228,IF(N222&lt;Forudsætninger!$B$227,Forudsætninger!$B$225,Forudsætninger!$C$9),Forudsætninger!$C$11)+O222</f>
        <v>19.384766429362159</v>
      </c>
      <c r="U222" s="2">
        <f>Forudsætninger!$D$68+((K222-(Forudsætninger!$D$84)))*0.01</f>
        <v>7.1327967589349912</v>
      </c>
      <c r="V222" s="2">
        <f>U222+Forudsætninger!$D$69</f>
        <v>7.1327967589349912</v>
      </c>
      <c r="W222">
        <f t="shared" si="86"/>
        <v>1</v>
      </c>
      <c r="X222">
        <f>IF(A222+Forudsætninger!$D$60&gt;248,IF(A222+Forudsætninger!$D$60&lt;365,IF(K222&gt;180,IF(K222&lt;260,1,0),0),0),0)</f>
        <v>1</v>
      </c>
      <c r="Y222" s="22">
        <f>IF(X222=0,0,IF('Vækstfunktion, kry tyr'!A222&lt;Forudsætninger!$D$66,Forudsætninger!$D$67+(('Vækstfunktion, kry tyr'!A222-Forudsætninger!$D$66)/7)*Forudsætninger!$D$64,Forudsætninger!$D$67))</f>
        <v>0.83085714285714274</v>
      </c>
      <c r="Z222" s="19">
        <f t="shared" si="100"/>
        <v>3507.2051598690227</v>
      </c>
      <c r="AA222" s="19">
        <f>Forudsætninger!$D$62+Forudsætninger!$C$16</f>
        <v>2055</v>
      </c>
      <c r="AB222" s="19">
        <f>IF(K222&gt;Forudsætninger!$C$37,IF(K222&gt;Forudsætninger!$C$38,IF(K222&gt;Forudsætninger!$C$39,Forudsætninger!$E$39,Forudsætninger!$E$38+Forudsætninger!$F$39*(K222-Forudsætninger!$C$38)),Forudsætninger!$E$37+Forudsætninger!$F$38*(K222-Forudsætninger!$C$37)),Forudsætninger!$E$37)+IF(K222&gt;Forudsætninger!$C$39,Forudsætninger!$G$39,IF(K222&gt;Forudsætninger!$C$38,Forudsætninger!$G$38+Forudsætninger!$H$39*(K222-Forudsætninger!$C$38),IF(K222&gt;Forudsætninger!$C$37,Forudsætninger!$G$37+Forudsætninger!$H$38*(K222-Forudsætninger!$C$37),Forudsætninger!$G$37)))*(U222-Forudsætninger!$H$37)</f>
        <v>36.021628627003075</v>
      </c>
      <c r="AC222" s="19">
        <f>IF(K222&gt;Forudsætninger!$C$42,IF(K222&gt;Forudsætninger!$C$43,IF(K222&gt;Forudsætninger!$C$44,Forudsætninger!$E$44,Forudsætninger!$E$43+Forudsætninger!$F$44*(K222-Forudsætninger!$C$43)),Forudsætninger!$E$42+Forudsætninger!$F$43*(K222-Forudsætninger!$C$42)),Forudsætninger!$E$42)+IF(K222&gt;Forudsætninger!$C$44,Forudsætninger!$G$44,IF(K222&gt;Forudsætninger!$C$43,Forudsætninger!$G$43+Forudsætninger!$H$44*(K222-Forudsætninger!$C$43),IF(K222&gt;Forudsætninger!$C$42,Forudsætninger!$G$42+Forudsætninger!$H$43*(K222-Forudsætninger!$C$42),Forudsætninger!$G$42)))*(V222-Forudsætninger!$H$42)</f>
        <v>30.433199189733745</v>
      </c>
      <c r="AD222" s="19">
        <f t="shared" si="87"/>
        <v>6991.3763638952551</v>
      </c>
      <c r="AE222" s="19">
        <f t="shared" si="88"/>
        <v>35.076385705042092</v>
      </c>
      <c r="AF222">
        <f>IF(G222&lt;=Forudsætninger!$C$97,Forudsætninger!$C$98,(IF(G222&lt;=Forudsætninger!$D$97,Forudsætninger!$D$98,IF(G222&lt;=Forudsætninger!$E$97,Forudsætninger!$E$98,IF(G222&lt;=Forudsætninger!$F$97,Forudsætninger!$F$98,IF(G222&lt;=Forudsætninger!$G$97,Forudsætninger!$G$98,IF(G222&lt;=Forudsætninger!$H$97,Forudsætninger!$H$98,IF(G222&lt;=Forudsætninger!$I$97,Forudsætninger!$I$98,Forudsætninger!$I$98))))))))</f>
        <v>3.8</v>
      </c>
      <c r="AG222" s="1">
        <f t="shared" si="97"/>
        <v>4.4000000000000004</v>
      </c>
      <c r="AH222" s="1">
        <f t="shared" si="101"/>
        <v>652.19999999999777</v>
      </c>
      <c r="AI222" s="1">
        <f t="shared" si="89"/>
        <v>2.9645454545454446</v>
      </c>
      <c r="AJ222" s="20">
        <f>+(W222*Forudsætninger!$C$12)</f>
        <v>900</v>
      </c>
      <c r="AK222" s="20">
        <f>Forudsætninger!$C$17</f>
        <v>250</v>
      </c>
      <c r="AL222" s="20">
        <f>IF(A222&lt;92,Forudsætninger!$C$20,Forudsætninger!$C$21)</f>
        <v>1.0566762728146013</v>
      </c>
      <c r="AM222" s="20">
        <f t="shared" si="98"/>
        <v>500.97426287250448</v>
      </c>
      <c r="AN222" s="19">
        <f>IFERROR(AD222+AJ222-AA222-Z222-AK222-AM222-Forudsætninger!$D$75,-99999)</f>
        <v>1360.3049674527676</v>
      </c>
      <c r="AO222" s="57">
        <f>IFERROR(AN222/(A222+Forudsætninger!$D$74),-99999)</f>
        <v>6.1832043975125801</v>
      </c>
      <c r="AP222" s="19">
        <f>IFERROR(((365/(A222+Forudsætninger!$D$74))*AN222)/(AI222+Forudsætninger!$D$73),-99999)</f>
        <v>734.04984198737702</v>
      </c>
      <c r="AQ222" s="18">
        <f t="shared" si="102"/>
        <v>220</v>
      </c>
      <c r="AR222" s="18">
        <f t="shared" si="103"/>
        <v>6313.1794227415276</v>
      </c>
      <c r="AS222" s="50">
        <f t="shared" si="104"/>
        <v>8.4</v>
      </c>
      <c r="AT222" s="50">
        <f t="shared" si="105"/>
        <v>17.374412209368529</v>
      </c>
      <c r="AU222" s="50">
        <f t="shared" si="106"/>
        <v>5.1101405533588995E-2</v>
      </c>
      <c r="AV222" s="2">
        <f t="shared" si="107"/>
        <v>4.5112974877679335</v>
      </c>
      <c r="AW222" s="16">
        <f t="shared" si="99"/>
        <v>8.4603601378421462</v>
      </c>
      <c r="AZ222" s="16"/>
      <c r="BA222" s="2"/>
    </row>
    <row r="223" spans="1:58" x14ac:dyDescent="0.25">
      <c r="A223">
        <v>221</v>
      </c>
      <c r="B223" s="1">
        <f>ROUND((A223+Forudsætninger!$D$60)/30.4,1)</f>
        <v>8.4</v>
      </c>
      <c r="C223" s="1">
        <f>VLOOKUP((A223+Forudsætninger!$D$60),'Model tilvækst, slagteform, fe'!A:C,3,FALSE)</f>
        <v>435.95879647325603</v>
      </c>
      <c r="D223" s="3">
        <f t="shared" si="108"/>
        <v>1622.8624805582967</v>
      </c>
      <c r="E223" s="3">
        <f>(1+Forudsætninger!$D$78)*C223</f>
        <v>366.20538903753504</v>
      </c>
      <c r="F223" s="2">
        <f t="shared" si="90"/>
        <v>0</v>
      </c>
      <c r="G223" s="1">
        <f t="shared" si="83"/>
        <v>366.20538903753504</v>
      </c>
      <c r="H223" s="3">
        <f t="shared" si="91"/>
        <v>1363.2044836689374</v>
      </c>
      <c r="I223" s="3">
        <f t="shared" si="92"/>
        <v>1331.2461042422401</v>
      </c>
      <c r="J223" s="1">
        <f>VLOOKUP((A223+Forudsætninger!$D$60),'Model tilvækst, slagteform, fe'!G:K,3,FALSE)*(1+Forudsætninger!$D$79)</f>
        <v>54.645660061295978</v>
      </c>
      <c r="K223" s="17">
        <f t="shared" si="84"/>
        <v>200.11535201959785</v>
      </c>
      <c r="L223" s="17">
        <f t="shared" si="93"/>
        <v>796.74426206392468</v>
      </c>
      <c r="M223" s="3">
        <f>((K223-(('Model tilvækst, slagteform, fe'!$I$9/100)*'Model tilvækst, slagteform, fe'!$C$9))*1000/(A223+Forudsætninger!$D$60))</f>
        <v>699.59525122834714</v>
      </c>
      <c r="N223" s="17">
        <f t="shared" si="94"/>
        <v>1161.2805090662962</v>
      </c>
      <c r="O223" s="19">
        <f>IF( A223&lt;Forudsætninger!$C$14,(G223/100)*Forudsætninger!$C$13,(Forudsætninger!$C$15/1000)*Forudsætninger!$C$13)</f>
        <v>2.380335028743978</v>
      </c>
      <c r="P223" s="17" cm="1">
        <f t="array" ref="P223">INDEX('Model tilvækst, slagteform, fe'!$O$9:$O$375,MATCH(MIN(ABS('Model tilvækst, slagteform, fe'!$M$9:$M$375-G223)),ABS('Model tilvækst, slagteform, fe'!$M$9:$M$375-G223),0))*(1+Forudsætninger!$D$80)</f>
        <v>7.2788605723011983</v>
      </c>
      <c r="Q223" s="17">
        <f t="shared" si="95"/>
        <v>9.1357552465400733</v>
      </c>
      <c r="R223" s="17">
        <f t="shared" si="96"/>
        <v>7.0314290390006926</v>
      </c>
      <c r="S223" s="2">
        <f t="shared" si="85"/>
        <v>3.9471761984554905</v>
      </c>
      <c r="T223" s="19">
        <f>(P223)*IF(N223&lt;Forudsætninger!$B$228,IF(N223&lt;Forudsætninger!$B$227,Forudsætninger!$B$225,Forudsætninger!$C$9),Forudsætninger!$C$11)+O223</f>
        <v>19.412868767928781</v>
      </c>
      <c r="U223" s="2">
        <f>Forudsætninger!$D$68+((K223-(Forudsætninger!$D$84)))*0.01</f>
        <v>7.1407642015556307</v>
      </c>
      <c r="V223" s="2">
        <f>U223+Forudsætninger!$D$69</f>
        <v>7.1407642015556307</v>
      </c>
      <c r="W223">
        <f t="shared" si="86"/>
        <v>1</v>
      </c>
      <c r="X223">
        <f>IF(A223+Forudsætninger!$D$60&gt;248,IF(A223+Forudsætninger!$D$60&lt;365,IF(K223&gt;180,IF(K223&lt;260,1,0),0),0),0)</f>
        <v>1</v>
      </c>
      <c r="Y223" s="22">
        <f>IF(X223=0,0,IF('Vækstfunktion, kry tyr'!A223&lt;Forudsætninger!$D$66,Forudsætninger!$D$67+(('Vækstfunktion, kry tyr'!A223-Forudsætninger!$D$66)/7)*Forudsætninger!$D$64,Forudsætninger!$D$67))</f>
        <v>0.83514285714285708</v>
      </c>
      <c r="Z223" s="19">
        <f t="shared" si="100"/>
        <v>3526.6180286369513</v>
      </c>
      <c r="AA223" s="19">
        <f>Forudsætninger!$D$62+Forudsætninger!$C$16</f>
        <v>2055</v>
      </c>
      <c r="AB223" s="19">
        <f>IF(K223&gt;Forudsætninger!$C$37,IF(K223&gt;Forudsætninger!$C$38,IF(K223&gt;Forudsætninger!$C$39,Forudsætninger!$E$39,Forudsætninger!$E$38+Forudsætninger!$F$39*(K223-Forudsætninger!$C$38)),Forudsætninger!$E$37+Forudsætninger!$F$38*(K223-Forudsætninger!$C$37)),Forudsætninger!$E$37)+IF(K223&gt;Forudsætninger!$C$39,Forudsætninger!$G$39,IF(K223&gt;Forudsætninger!$C$38,Forudsætninger!$G$38+Forudsætninger!$H$39*(K223-Forudsætninger!$C$38),IF(K223&gt;Forudsætninger!$C$37,Forudsætninger!$G$37+Forudsætninger!$H$38*(K223-Forudsætninger!$C$37),Forudsætninger!$G$37)))*(U223-Forudsætninger!$H$37)</f>
        <v>36.051639327540819</v>
      </c>
      <c r="AC223" s="19">
        <f>IF(K223&gt;Forudsætninger!$C$42,IF(K223&gt;Forudsætninger!$C$43,IF(K223&gt;Forudsætninger!$C$44,Forudsætninger!$E$44,Forudsætninger!$E$43+Forudsætninger!$F$44*(K223-Forudsætninger!$C$43)),Forudsætninger!$E$42+Forudsætninger!$F$43*(K223-Forudsætninger!$C$42)),Forudsætninger!$E$42)+IF(K223&gt;Forudsætninger!$C$44,Forudsætninger!$G$44,IF(K223&gt;Forudsætninger!$C$43,Forudsætninger!$G$43+Forudsætninger!$H$44*(K223-Forudsætninger!$C$43),IF(K223&gt;Forudsætninger!$C$42,Forudsætninger!$G$42+Forudsætninger!$H$43*(K223-Forudsætninger!$C$42),Forudsætninger!$G$42)))*(V223-Forudsætninger!$H$42)</f>
        <v>30.437992959547902</v>
      </c>
      <c r="AD223" s="19">
        <f t="shared" si="87"/>
        <v>7029.2898021747969</v>
      </c>
      <c r="AE223" s="19">
        <f t="shared" si="88"/>
        <v>35.12618962630313</v>
      </c>
      <c r="AF223">
        <f>IF(G223&lt;=Forudsætninger!$C$97,Forudsætninger!$C$98,(IF(G223&lt;=Forudsætninger!$D$97,Forudsætninger!$D$98,IF(G223&lt;=Forudsætninger!$E$97,Forudsætninger!$E$98,IF(G223&lt;=Forudsætninger!$F$97,Forudsætninger!$F$98,IF(G223&lt;=Forudsætninger!$G$97,Forudsætninger!$G$98,IF(G223&lt;=Forudsætninger!$H$97,Forudsætninger!$H$98,IF(G223&lt;=Forudsætninger!$I$97,Forudsætninger!$I$98,Forudsætninger!$I$98))))))))</f>
        <v>3.8</v>
      </c>
      <c r="AG223" s="1">
        <f t="shared" si="97"/>
        <v>4.4000000000000004</v>
      </c>
      <c r="AH223" s="1">
        <f t="shared" si="101"/>
        <v>656.59999999999775</v>
      </c>
      <c r="AI223" s="1">
        <f t="shared" si="89"/>
        <v>2.9710407239818903</v>
      </c>
      <c r="AJ223" s="20">
        <f>+(W223*Forudsætninger!$C$12)</f>
        <v>900</v>
      </c>
      <c r="AK223" s="20">
        <f>Forudsætninger!$C$17</f>
        <v>250</v>
      </c>
      <c r="AL223" s="20">
        <f>IF(A223&lt;92,Forudsætninger!$C$20,Forudsætninger!$C$21)</f>
        <v>1.0566762728146013</v>
      </c>
      <c r="AM223" s="20">
        <f t="shared" si="98"/>
        <v>502.03093914531911</v>
      </c>
      <c r="AN223" s="19">
        <f>IFERROR(AD223+AJ223-AA223-Z223-AK223-AM223-Forudsætninger!$D$75,-99999)</f>
        <v>1377.7488606915663</v>
      </c>
      <c r="AO223" s="57">
        <f>IFERROR(AN223/(A223+Forudsætninger!$D$74),-99999)</f>
        <v>6.23415774068582</v>
      </c>
      <c r="AP223" s="19">
        <f>IFERROR(((365/(A223+Forudsætninger!$D$74))*AN223)/(AI223+Forudsætninger!$D$73),-99999)</f>
        <v>738.53862353677187</v>
      </c>
      <c r="AQ223" s="18">
        <f t="shared" si="102"/>
        <v>221</v>
      </c>
      <c r="AR223" s="18">
        <f t="shared" si="103"/>
        <v>6333.6489677822701</v>
      </c>
      <c r="AS223" s="50">
        <f t="shared" si="104"/>
        <v>8.4</v>
      </c>
      <c r="AT223" s="50">
        <f t="shared" si="105"/>
        <v>17.443893238798637</v>
      </c>
      <c r="AU223" s="50">
        <f t="shared" si="106"/>
        <v>5.0953343173239851E-2</v>
      </c>
      <c r="AV223" s="2">
        <f t="shared" si="107"/>
        <v>4.4887815493948438</v>
      </c>
      <c r="AW223" s="16">
        <f t="shared" si="99"/>
        <v>8.5057909494881692</v>
      </c>
      <c r="AZ223" s="16"/>
      <c r="BA223" s="2"/>
    </row>
    <row r="224" spans="1:58" x14ac:dyDescent="0.25">
      <c r="A224">
        <v>222</v>
      </c>
      <c r="B224" s="1">
        <f>ROUND((A224+Forudsætninger!$D$60)/30.4,1)</f>
        <v>8.4</v>
      </c>
      <c r="C224" s="1">
        <f>VLOOKUP((A224+Forudsætninger!$D$60),'Model tilvækst, slagteform, fe'!A:C,3,FALSE)</f>
        <v>437.57728546000226</v>
      </c>
      <c r="D224" s="3">
        <f t="shared" si="108"/>
        <v>1618.4889867462289</v>
      </c>
      <c r="E224" s="3">
        <f>(1+Forudsætninger!$D$78)*C224</f>
        <v>367.5649197864019</v>
      </c>
      <c r="F224" s="2">
        <f t="shared" si="90"/>
        <v>0</v>
      </c>
      <c r="G224" s="1">
        <f t="shared" si="83"/>
        <v>367.5649197864019</v>
      </c>
      <c r="H224" s="3">
        <f t="shared" si="91"/>
        <v>1359.5307488668595</v>
      </c>
      <c r="I224" s="3">
        <f t="shared" si="92"/>
        <v>1331.3735125513599</v>
      </c>
      <c r="J224" s="1">
        <f>VLOOKUP((A224+Forudsætninger!$D$60),'Model tilvækst, slagteform, fe'!G:K,3,FALSE)*(1+Forudsætninger!$D$79)</f>
        <v>54.659505552254885</v>
      </c>
      <c r="K224" s="17">
        <f t="shared" si="84"/>
        <v>200.90916773878956</v>
      </c>
      <c r="L224" s="17">
        <f t="shared" si="93"/>
        <v>793.81571919171279</v>
      </c>
      <c r="M224" s="3">
        <f>((K224-(('Model tilvækst, slagteform, fe'!$I$9/100)*'Model tilvækst, slagteform, fe'!$C$9))*1000/(A224+Forudsætninger!$D$60))</f>
        <v>699.96329993132895</v>
      </c>
      <c r="N224" s="17">
        <f t="shared" si="94"/>
        <v>1168.5676901795948</v>
      </c>
      <c r="O224" s="19">
        <f>IF( A224&lt;Forudsætninger!$C$14,(G224/100)*Forudsætninger!$C$13,(Forudsætninger!$C$15/1000)*Forudsætninger!$C$13)</f>
        <v>2.3891719786116123</v>
      </c>
      <c r="P224" s="17" cm="1">
        <f t="array" ref="P224">INDEX('Model tilvækst, slagteform, fe'!$O$9:$O$375,MATCH(MIN(ABS('Model tilvækst, slagteform, fe'!$M$9:$M$375-G224)),ABS('Model tilvækst, slagteform, fe'!$M$9:$M$375-G224),0))*(1+Forudsætninger!$D$80)</f>
        <v>7.2871811132986597</v>
      </c>
      <c r="Q224" s="17">
        <f t="shared" si="95"/>
        <v>9.1799405543627781</v>
      </c>
      <c r="R224" s="17">
        <f t="shared" si="96"/>
        <v>7.0417063954440779</v>
      </c>
      <c r="S224" s="2">
        <f t="shared" si="85"/>
        <v>3.9536751892751423</v>
      </c>
      <c r="T224" s="19">
        <f>(P224)*IF(N224&lt;Forudsætninger!$B$228,IF(N224&lt;Forudsætninger!$B$227,Forudsætninger!$B$225,Forudsætninger!$C$9),Forudsætninger!$C$11)+O224</f>
        <v>19.441175783730472</v>
      </c>
      <c r="U224" s="2">
        <f>Forudsætninger!$D$68+((K224-(Forudsætninger!$D$84)))*0.01</f>
        <v>7.1487023587475482</v>
      </c>
      <c r="V224" s="2">
        <f>U224+Forudsætninger!$D$69</f>
        <v>7.1487023587475482</v>
      </c>
      <c r="W224">
        <f t="shared" si="86"/>
        <v>1</v>
      </c>
      <c r="X224">
        <f>IF(A224+Forudsætninger!$D$60&gt;248,IF(A224+Forudsætninger!$D$60&lt;365,IF(K224&gt;180,IF(K224&lt;260,1,0),0),0),0)</f>
        <v>1</v>
      </c>
      <c r="Y224" s="22">
        <f>IF(X224=0,0,IF('Vækstfunktion, kry tyr'!A224&lt;Forudsætninger!$D$66,Forudsætninger!$D$67+(('Vækstfunktion, kry tyr'!A224-Forudsætninger!$D$66)/7)*Forudsætninger!$D$64,Forudsætninger!$D$67))</f>
        <v>0.83942857142857141</v>
      </c>
      <c r="Z224" s="19">
        <f t="shared" si="100"/>
        <v>3546.0592044206819</v>
      </c>
      <c r="AA224" s="19">
        <f>Forudsætninger!$D$62+Forudsætninger!$C$16</f>
        <v>2055</v>
      </c>
      <c r="AB224" s="19">
        <f>IF(K224&gt;Forudsætninger!$C$37,IF(K224&gt;Forudsætninger!$C$38,IF(K224&gt;Forudsætninger!$C$39,Forudsætninger!$E$39,Forudsætninger!$E$38+Forudsætninger!$F$39*(K224-Forudsætninger!$C$38)),Forudsætninger!$E$37+Forudsætninger!$F$38*(K224-Forudsætninger!$C$37)),Forudsætninger!$E$37)+IF(K224&gt;Forudsætninger!$C$39,Forudsætninger!$G$39,IF(K224&gt;Forudsætninger!$C$38,Forudsætninger!$G$38+Forudsætninger!$H$39*(K224-Forudsætninger!$C$38),IF(K224&gt;Forudsætninger!$C$37,Forudsætninger!$G$37+Forudsætninger!$H$38*(K224-Forudsætninger!$C$37),Forudsætninger!$G$37)))*(U224-Forudsætninger!$H$37)</f>
        <v>36.081539719630378</v>
      </c>
      <c r="AC224" s="19">
        <f>IF(K224&gt;Forudsætninger!$C$42,IF(K224&gt;Forudsætninger!$C$43,IF(K224&gt;Forudsætninger!$C$44,Forudsætninger!$E$44,Forudsætninger!$E$43+Forudsætninger!$F$44*(K224-Forudsætninger!$C$43)),Forudsætninger!$E$42+Forudsætninger!$F$43*(K224-Forudsætninger!$C$42)),Forudsætninger!$E$42)+IF(K224&gt;Forudsætninger!$C$44,Forudsætninger!$G$44,IF(K224&gt;Forudsætninger!$C$43,Forudsætninger!$G$43+Forudsætninger!$H$44*(K224-Forudsætninger!$C$43),IF(K224&gt;Forudsætninger!$C$42,Forudsætninger!$G$42+Forudsætninger!$H$43*(K224-Forudsætninger!$C$42),Forudsætninger!$G$42)))*(V224-Forudsætninger!$H$42)</f>
        <v>30.459244306208682</v>
      </c>
      <c r="AD224" s="19">
        <f t="shared" si="87"/>
        <v>7067.7353360712468</v>
      </c>
      <c r="AE224" s="19">
        <f t="shared" si="88"/>
        <v>35.178759713246663</v>
      </c>
      <c r="AF224">
        <f>IF(G224&lt;=Forudsætninger!$C$97,Forudsætninger!$C$98,(IF(G224&lt;=Forudsætninger!$D$97,Forudsætninger!$D$98,IF(G224&lt;=Forudsætninger!$E$97,Forudsætninger!$E$98,IF(G224&lt;=Forudsætninger!$F$97,Forudsætninger!$F$98,IF(G224&lt;=Forudsætninger!$G$97,Forudsætninger!$G$98,IF(G224&lt;=Forudsætninger!$H$97,Forudsætninger!$H$98,IF(G224&lt;=Forudsætninger!$I$97,Forudsætninger!$I$98,Forudsætninger!$I$98))))))))</f>
        <v>3.8</v>
      </c>
      <c r="AG224" s="1">
        <f t="shared" si="97"/>
        <v>4.4000000000000004</v>
      </c>
      <c r="AH224" s="1">
        <f t="shared" si="101"/>
        <v>660.99999999999773</v>
      </c>
      <c r="AI224" s="1">
        <f t="shared" si="89"/>
        <v>2.9774774774774673</v>
      </c>
      <c r="AJ224" s="20">
        <f>+(W224*Forudsætninger!$C$12)</f>
        <v>900</v>
      </c>
      <c r="AK224" s="20">
        <f>Forudsætninger!$C$17</f>
        <v>250</v>
      </c>
      <c r="AL224" s="20">
        <f>IF(A224&lt;92,Forudsætninger!$C$20,Forudsætninger!$C$21)</f>
        <v>1.0566762728146013</v>
      </c>
      <c r="AM224" s="20">
        <f t="shared" si="98"/>
        <v>503.08761541813374</v>
      </c>
      <c r="AN224" s="19">
        <f>IFERROR(AD224+AJ224-AA224-Z224-AK224-AM224-Forudsætninger!$D$75,-99999)</f>
        <v>1395.6965425314709</v>
      </c>
      <c r="AO224" s="57">
        <f>IFERROR(AN224/(A224+Forudsætninger!$D$74),-99999)</f>
        <v>6.2869213627543736</v>
      </c>
      <c r="AP224" s="19">
        <f>IFERROR(((365/(A224+Forudsætninger!$D$74))*AN224)/(AI224+Forudsætninger!$D$73),-99999)</f>
        <v>743.23661116394123</v>
      </c>
      <c r="AQ224" s="18">
        <f t="shared" si="102"/>
        <v>222</v>
      </c>
      <c r="AR224" s="18">
        <f t="shared" si="103"/>
        <v>6354.1468198388156</v>
      </c>
      <c r="AS224" s="50">
        <f t="shared" si="104"/>
        <v>8.4</v>
      </c>
      <c r="AT224" s="50">
        <f t="shared" si="105"/>
        <v>17.94768183990459</v>
      </c>
      <c r="AU224" s="50">
        <f t="shared" si="106"/>
        <v>5.2763622068553673E-2</v>
      </c>
      <c r="AV224" s="2">
        <f t="shared" si="107"/>
        <v>4.6979876271693684</v>
      </c>
      <c r="AW224" s="16">
        <f t="shared" si="99"/>
        <v>8.553081792565786</v>
      </c>
      <c r="AZ224" s="16"/>
      <c r="BA224" s="2"/>
    </row>
    <row r="225" spans="1:58" x14ac:dyDescent="0.25">
      <c r="A225">
        <v>223</v>
      </c>
      <c r="B225" s="1">
        <f>ROUND((A225+Forudsætninger!$D$60)/30.4,1)</f>
        <v>8.5</v>
      </c>
      <c r="C225" s="1">
        <f>VLOOKUP((A225+Forudsætninger!$D$60),'Model tilvækst, slagteform, fe'!A:C,3,FALSE)</f>
        <v>439.19138088240271</v>
      </c>
      <c r="D225" s="3">
        <f t="shared" si="108"/>
        <v>1614.0954224004531</v>
      </c>
      <c r="E225" s="3">
        <f>(1+Forudsætninger!$D$78)*C225</f>
        <v>368.92075994121825</v>
      </c>
      <c r="F225" s="2">
        <f t="shared" si="90"/>
        <v>0</v>
      </c>
      <c r="G225" s="1">
        <f t="shared" si="83"/>
        <v>368.92075994121825</v>
      </c>
      <c r="H225" s="3">
        <f t="shared" si="91"/>
        <v>1355.8401548163488</v>
      </c>
      <c r="I225" s="3">
        <f t="shared" si="92"/>
        <v>1331.4832284359563</v>
      </c>
      <c r="J225" s="1">
        <f>VLOOKUP((A225+Forudsætninger!$D$60),'Model tilvækst, slagteform, fe'!G:K,3,FALSE)*(1+Forudsætninger!$D$79)</f>
        <v>54.673003819363373</v>
      </c>
      <c r="K225" s="17">
        <f t="shared" si="84"/>
        <v>201.70006117308665</v>
      </c>
      <c r="L225" s="17">
        <f t="shared" si="93"/>
        <v>790.89343429708947</v>
      </c>
      <c r="M225" s="3">
        <f>((K225-(('Model tilvækst, slagteform, fe'!$I$9/100)*'Model tilvækst, slagteform, fe'!$C$9))*1000/(A225+Forudsætninger!$D$60))</f>
        <v>700.31711368372498</v>
      </c>
      <c r="N225" s="17">
        <f t="shared" si="94"/>
        <v>1175.8632919247727</v>
      </c>
      <c r="O225" s="19">
        <f>IF( A225&lt;Forudsætninger!$C$14,(G225/100)*Forudsætninger!$C$13,(Forudsætninger!$C$15/1000)*Forudsætninger!$C$13)</f>
        <v>2.3979849396179187</v>
      </c>
      <c r="P225" s="17" cm="1">
        <f t="array" ref="P225">INDEX('Model tilvækst, slagteform, fe'!$O$9:$O$375,MATCH(MIN(ABS('Model tilvækst, slagteform, fe'!$M$9:$M$375-G225)),ABS('Model tilvækst, slagteform, fe'!$M$9:$M$375-G225),0))*(1+Forudsætninger!$D$80)</f>
        <v>7.2956017451779669</v>
      </c>
      <c r="Q225" s="17">
        <f t="shared" si="95"/>
        <v>9.2245066513442104</v>
      </c>
      <c r="R225" s="17">
        <f t="shared" si="96"/>
        <v>7.0520599894603961</v>
      </c>
      <c r="S225" s="2">
        <f t="shared" si="85"/>
        <v>3.9601922484556478</v>
      </c>
      <c r="T225" s="19">
        <f>(P225)*IF(N225&lt;Forudsætninger!$B$228,IF(N225&lt;Forudsætninger!$B$227,Forudsætninger!$B$225,Forudsætninger!$C$9),Forudsætninger!$C$11)+O225</f>
        <v>19.469693023334358</v>
      </c>
      <c r="U225" s="2">
        <f>Forudsætninger!$D$68+((K225-(Forudsætninger!$D$84)))*0.01</f>
        <v>7.1566112930905188</v>
      </c>
      <c r="V225" s="2">
        <f>U225+Forudsætninger!$D$69</f>
        <v>7.1566112930905188</v>
      </c>
      <c r="W225">
        <f t="shared" si="86"/>
        <v>1</v>
      </c>
      <c r="X225">
        <f>IF(A225+Forudsætninger!$D$60&gt;248,IF(A225+Forudsætninger!$D$60&lt;365,IF(K225&gt;180,IF(K225&lt;260,1,0),0),0),0)</f>
        <v>1</v>
      </c>
      <c r="Y225" s="22">
        <f>IF(X225=0,0,IF('Vækstfunktion, kry tyr'!A225&lt;Forudsætninger!$D$66,Forudsætninger!$D$67+(('Vækstfunktion, kry tyr'!A225-Forudsætninger!$D$66)/7)*Forudsætninger!$D$64,Forudsætninger!$D$67))</f>
        <v>0.84371428571428564</v>
      </c>
      <c r="Z225" s="19">
        <f t="shared" si="100"/>
        <v>3565.5288974440164</v>
      </c>
      <c r="AA225" s="19">
        <f>Forudsætninger!$D$62+Forudsætninger!$C$16</f>
        <v>2055</v>
      </c>
      <c r="AB225" s="19">
        <f>IF(K225&gt;Forudsætninger!$C$37,IF(K225&gt;Forudsætninger!$C$38,IF(K225&gt;Forudsætninger!$C$39,Forudsætninger!$E$39,Forudsætninger!$E$38+Forudsætninger!$F$39*(K225-Forudsætninger!$C$38)),Forudsætninger!$E$37+Forudsætninger!$F$38*(K225-Forudsætninger!$C$37)),Forudsætninger!$E$37)+IF(K225&gt;Forudsætninger!$C$39,Forudsætninger!$G$39,IF(K225&gt;Forudsætninger!$C$38,Forudsætninger!$G$38+Forudsætninger!$H$39*(K225-Forudsætninger!$C$38),IF(K225&gt;Forudsætninger!$C$37,Forudsætninger!$G$37+Forudsætninger!$H$38*(K225-Forudsætninger!$C$37),Forudsætninger!$G$37)))*(U225-Forudsætninger!$H$37)</f>
        <v>36.111330038988896</v>
      </c>
      <c r="AC225" s="19">
        <f>IF(K225&gt;Forudsætninger!$C$42,IF(K225&gt;Forudsætninger!$C$43,IF(K225&gt;Forudsætninger!$C$44,Forudsætninger!$E$44,Forudsætninger!$E$43+Forudsætninger!$F$44*(K225-Forudsætninger!$C$43)),Forudsætninger!$E$42+Forudsætninger!$F$43*(K225-Forudsætninger!$C$42)),Forudsætninger!$E$42)+IF(K225&gt;Forudsætninger!$C$44,Forudsætninger!$G$44,IF(K225&gt;Forudsætninger!$C$43,Forudsætninger!$G$43+Forudsætninger!$H$44*(K225-Forudsætninger!$C$43),IF(K225&gt;Forudsætninger!$C$42,Forudsætninger!$G$42+Forudsætninger!$H$43*(K225-Forudsætninger!$C$42),Forudsætninger!$G$42)))*(V225-Forudsætninger!$H$42)</f>
        <v>30.480391308822153</v>
      </c>
      <c r="AD225" s="19">
        <f t="shared" si="87"/>
        <v>7106.1543077838442</v>
      </c>
      <c r="AE225" s="19">
        <f t="shared" si="88"/>
        <v>35.231294757445696</v>
      </c>
      <c r="AF225">
        <f>IF(G225&lt;=Forudsætninger!$C$97,Forudsætninger!$C$98,(IF(G225&lt;=Forudsætninger!$D$97,Forudsætninger!$D$98,IF(G225&lt;=Forudsætninger!$E$97,Forudsætninger!$E$98,IF(G225&lt;=Forudsætninger!$F$97,Forudsætninger!$F$98,IF(G225&lt;=Forudsætninger!$G$97,Forudsætninger!$G$98,IF(G225&lt;=Forudsætninger!$H$97,Forudsætninger!$H$98,IF(G225&lt;=Forudsætninger!$I$97,Forudsætninger!$I$98,Forudsætninger!$I$98))))))))</f>
        <v>3.8</v>
      </c>
      <c r="AG225" s="1">
        <f t="shared" si="97"/>
        <v>4.4000000000000004</v>
      </c>
      <c r="AH225" s="1">
        <f t="shared" si="101"/>
        <v>665.3999999999977</v>
      </c>
      <c r="AI225" s="1">
        <f t="shared" si="89"/>
        <v>2.9838565022421424</v>
      </c>
      <c r="AJ225" s="20">
        <f>+(W225*Forudsætninger!$C$12)</f>
        <v>900</v>
      </c>
      <c r="AK225" s="20">
        <f>Forudsætninger!$C$17</f>
        <v>250</v>
      </c>
      <c r="AL225" s="20">
        <f>IF(A225&lt;92,Forudsætninger!$C$20,Forudsætninger!$C$21)</f>
        <v>1.0566762728146013</v>
      </c>
      <c r="AM225" s="20">
        <f t="shared" si="98"/>
        <v>504.14429169094836</v>
      </c>
      <c r="AN225" s="19">
        <f>IFERROR(AD225+AJ225-AA225-Z225-AK225-AM225-Forudsætninger!$D$75,-99999)</f>
        <v>1413.5891449479191</v>
      </c>
      <c r="AO225" s="57">
        <f>IFERROR(AN225/(A225+Forudsætninger!$D$74),-99999)</f>
        <v>6.3389647755512062</v>
      </c>
      <c r="AP225" s="19">
        <f>IFERROR(((365/(A225+Forudsætninger!$D$74))*AN225)/(AI225+Forudsætninger!$D$73),-99999)</f>
        <v>747.84403911410175</v>
      </c>
      <c r="AQ225" s="18">
        <f t="shared" si="102"/>
        <v>223</v>
      </c>
      <c r="AR225" s="18">
        <f t="shared" si="103"/>
        <v>6374.6731891349646</v>
      </c>
      <c r="AS225" s="50">
        <f t="shared" si="104"/>
        <v>8.5</v>
      </c>
      <c r="AT225" s="50">
        <f t="shared" si="105"/>
        <v>17.892602416448199</v>
      </c>
      <c r="AU225" s="50">
        <f t="shared" si="106"/>
        <v>5.2043412796832556E-2</v>
      </c>
      <c r="AV225" s="2">
        <f t="shared" si="107"/>
        <v>4.6074279501605133</v>
      </c>
      <c r="AW225" s="16">
        <f t="shared" si="99"/>
        <v>8.5997015095913341</v>
      </c>
      <c r="AZ225" s="16"/>
      <c r="BA225" s="2"/>
    </row>
    <row r="226" spans="1:58" x14ac:dyDescent="0.25">
      <c r="A226">
        <v>224</v>
      </c>
      <c r="B226" s="1">
        <f>ROUND((A226+Forudsætninger!$D$60)/30.4,1)</f>
        <v>8.5</v>
      </c>
      <c r="C226" s="1">
        <f>VLOOKUP((A226+Forudsætninger!$D$60),'Model tilvækst, slagteform, fe'!A:C,3,FALSE)</f>
        <v>440.8010632908605</v>
      </c>
      <c r="D226" s="3">
        <f t="shared" si="108"/>
        <v>1609.6824084577861</v>
      </c>
      <c r="E226" s="3">
        <f>(1+Forudsætninger!$D$78)*C226</f>
        <v>370.2728931643228</v>
      </c>
      <c r="F226" s="2">
        <f t="shared" si="90"/>
        <v>0</v>
      </c>
      <c r="G226" s="1">
        <f t="shared" si="83"/>
        <v>370.2728931643228</v>
      </c>
      <c r="H226" s="3">
        <f t="shared" si="91"/>
        <v>1352.1332231045449</v>
      </c>
      <c r="I226" s="3">
        <f t="shared" si="92"/>
        <v>1331.5754159121552</v>
      </c>
      <c r="J226" s="1">
        <f>VLOOKUP((A226+Forudsætninger!$D$60),'Model tilvækst, slagteform, fe'!G:K,3,FALSE)*(1+Forudsætninger!$D$79)</f>
        <v>54.686163404183048</v>
      </c>
      <c r="K226" s="17">
        <f t="shared" si="84"/>
        <v>202.48803939723771</v>
      </c>
      <c r="L226" s="17">
        <f t="shared" si="93"/>
        <v>787.97822415106111</v>
      </c>
      <c r="M226" s="3">
        <f>((K226-(('Model tilvækst, slagteform, fe'!$I$9/100)*'Model tilvækst, slagteform, fe'!$C$9))*1000/(A226+Forudsætninger!$D$60))</f>
        <v>700.65688542972248</v>
      </c>
      <c r="N226" s="17">
        <f t="shared" si="94"/>
        <v>1183.1674168098709</v>
      </c>
      <c r="O226" s="19">
        <f>IF( A226&lt;Forudsætninger!$C$14,(G226/100)*Forudsætninger!$C$13,(Forudsætninger!$C$15/1000)*Forudsætninger!$C$13)</f>
        <v>2.4067738055680983</v>
      </c>
      <c r="P226" s="17" cm="1">
        <f t="array" ref="P226">INDEX('Model tilvækst, slagteform, fe'!$O$9:$O$375,MATCH(MIN(ABS('Model tilvækst, slagteform, fe'!$M$9:$M$375-G226)),ABS('Model tilvækst, slagteform, fe'!$M$9:$M$375-G226),0))*(1+Forudsætninger!$D$80)</f>
        <v>7.3041248850981972</v>
      </c>
      <c r="Q226" s="17">
        <f t="shared" si="95"/>
        <v>9.2694501716305595</v>
      </c>
      <c r="R226" s="17">
        <f t="shared" si="96"/>
        <v>7.0624895967519343</v>
      </c>
      <c r="S226" s="2">
        <f t="shared" si="85"/>
        <v>3.9667279324576339</v>
      </c>
      <c r="T226" s="19">
        <f>(P226)*IF(N226&lt;Forudsætninger!$B$228,IF(N226&lt;Forudsætninger!$B$227,Forudsætninger!$B$225,Forudsætninger!$C$9),Forudsætninger!$C$11)+O226</f>
        <v>19.498426036697879</v>
      </c>
      <c r="U226" s="2">
        <f>Forudsætninger!$D$68+((K226-(Forudsætninger!$D$84)))*0.01</f>
        <v>7.1644910753320294</v>
      </c>
      <c r="V226" s="2">
        <f>U226+Forudsætninger!$D$69</f>
        <v>7.1644910753320294</v>
      </c>
      <c r="W226">
        <f t="shared" si="86"/>
        <v>1</v>
      </c>
      <c r="X226">
        <f>IF(A226+Forudsætninger!$D$60&gt;248,IF(A226+Forudsætninger!$D$60&lt;365,IF(K226&gt;180,IF(K226&lt;260,1,0),0),0),0)</f>
        <v>1</v>
      </c>
      <c r="Y226" s="22">
        <f>IF(X226=0,0,IF('Vækstfunktion, kry tyr'!A226&lt;Forudsætninger!$D$66,Forudsætninger!$D$67+(('Vækstfunktion, kry tyr'!A226-Forudsætninger!$D$66)/7)*Forudsætninger!$D$64,Forudsætninger!$D$67))</f>
        <v>0.84799999999999998</v>
      </c>
      <c r="Z226" s="19">
        <f t="shared" si="100"/>
        <v>3585.0273234807141</v>
      </c>
      <c r="AA226" s="19">
        <f>Forudsætninger!$D$62+Forudsætninger!$C$16</f>
        <v>2055</v>
      </c>
      <c r="AB226" s="19">
        <f>IF(K226&gt;Forudsætninger!$C$37,IF(K226&gt;Forudsætninger!$C$38,IF(K226&gt;Forudsætninger!$C$39,Forudsætninger!$E$39,Forudsætninger!$E$38+Forudsætninger!$F$39*(K226-Forudsætninger!$C$38)),Forudsætninger!$E$37+Forudsætninger!$F$38*(K226-Forudsætninger!$C$37)),Forudsætninger!$E$37)+IF(K226&gt;Forudsætninger!$C$39,Forudsætninger!$G$39,IF(K226&gt;Forudsætninger!$C$38,Forudsætninger!$G$38+Forudsætninger!$H$39*(K226-Forudsætninger!$C$38),IF(K226&gt;Forudsætninger!$C$37,Forudsætninger!$G$37+Forudsætninger!$H$38*(K226-Forudsætninger!$C$37),Forudsætninger!$G$37)))*(U226-Forudsætninger!$H$37)</f>
        <v>36.141010552098585</v>
      </c>
      <c r="AC226" s="19">
        <f>IF(K226&gt;Forudsætninger!$C$42,IF(K226&gt;Forudsætninger!$C$43,IF(K226&gt;Forudsætninger!$C$44,Forudsætninger!$E$44,Forudsætninger!$E$43+Forudsætninger!$F$44*(K226-Forudsætninger!$C$43)),Forudsætninger!$E$42+Forudsætninger!$F$43*(K226-Forudsætninger!$C$42)),Forudsætninger!$E$42)+IF(K226&gt;Forudsætninger!$C$44,Forudsætninger!$G$44,IF(K226&gt;Forudsætninger!$C$43,Forudsætninger!$G$43+Forudsætninger!$H$44*(K226-Forudsætninger!$C$43),IF(K226&gt;Forudsætninger!$C$42,Forudsætninger!$G$42+Forudsætninger!$H$43*(K226-Forudsætninger!$C$42),Forudsætninger!$G$42)))*(V226-Forudsætninger!$H$42)</f>
        <v>30.501434445106934</v>
      </c>
      <c r="AD226" s="19">
        <f t="shared" si="87"/>
        <v>7144.5464687710128</v>
      </c>
      <c r="AE226" s="19">
        <f t="shared" si="88"/>
        <v>35.283794983835854</v>
      </c>
      <c r="AF226">
        <f>IF(G226&lt;=Forudsætninger!$C$97,Forudsætninger!$C$98,(IF(G226&lt;=Forudsætninger!$D$97,Forudsætninger!$D$98,IF(G226&lt;=Forudsætninger!$E$97,Forudsætninger!$E$98,IF(G226&lt;=Forudsætninger!$F$97,Forudsætninger!$F$98,IF(G226&lt;=Forudsætninger!$G$97,Forudsætninger!$G$98,IF(G226&lt;=Forudsætninger!$H$97,Forudsætninger!$H$98,IF(G226&lt;=Forudsætninger!$I$97,Forudsætninger!$I$98,Forudsætninger!$I$98))))))))</f>
        <v>3.8</v>
      </c>
      <c r="AG226" s="1">
        <f t="shared" si="97"/>
        <v>4.4000000000000004</v>
      </c>
      <c r="AH226" s="1">
        <f t="shared" si="101"/>
        <v>669.79999999999768</v>
      </c>
      <c r="AI226" s="1">
        <f t="shared" si="89"/>
        <v>2.9901785714285611</v>
      </c>
      <c r="AJ226" s="20">
        <f>+(W226*Forudsætninger!$C$12)</f>
        <v>900</v>
      </c>
      <c r="AK226" s="20">
        <f>Forudsætninger!$C$17</f>
        <v>250</v>
      </c>
      <c r="AL226" s="20">
        <f>IF(A226&lt;92,Forudsætninger!$C$20,Forudsætninger!$C$21)</f>
        <v>1.0566762728146013</v>
      </c>
      <c r="AM226" s="20">
        <f t="shared" si="98"/>
        <v>505.20096796376299</v>
      </c>
      <c r="AN226" s="19">
        <f>IFERROR(AD226+AJ226-AA226-Z226-AK226-AM226-Forudsætninger!$D$75,-99999)</f>
        <v>1431.4262036255752</v>
      </c>
      <c r="AO226" s="57">
        <f>IFERROR(AN226/(A226+Forudsætninger!$D$74),-99999)</f>
        <v>6.3902955518998894</v>
      </c>
      <c r="AP226" s="19">
        <f>IFERROR(((365/(A226+Forudsætninger!$D$74))*AN226)/(AI226+Forudsætninger!$D$73),-99999)</f>
        <v>752.36242774514244</v>
      </c>
      <c r="AQ226" s="18">
        <f t="shared" si="102"/>
        <v>224</v>
      </c>
      <c r="AR226" s="18">
        <f t="shared" si="103"/>
        <v>6395.2282914444768</v>
      </c>
      <c r="AS226" s="50">
        <f t="shared" si="104"/>
        <v>8.5</v>
      </c>
      <c r="AT226" s="50">
        <f t="shared" si="105"/>
        <v>17.837058677656159</v>
      </c>
      <c r="AU226" s="50">
        <f t="shared" si="106"/>
        <v>5.1330776348683216E-2</v>
      </c>
      <c r="AV226" s="2">
        <f t="shared" si="107"/>
        <v>4.5183886310406933</v>
      </c>
      <c r="AW226" s="16">
        <f t="shared" si="99"/>
        <v>8.6456570160238311</v>
      </c>
      <c r="AZ226" s="16"/>
      <c r="BA226" s="2"/>
    </row>
    <row r="227" spans="1:58" x14ac:dyDescent="0.25">
      <c r="A227">
        <v>225</v>
      </c>
      <c r="B227" s="1">
        <f>ROUND((A227+Forudsætninger!$D$60)/30.4,1)</f>
        <v>8.5</v>
      </c>
      <c r="C227" s="1">
        <f>VLOOKUP((A227+Forudsætninger!$D$60),'Model tilvækst, slagteform, fe'!A:C,3,FALSE)</f>
        <v>442.40631385671509</v>
      </c>
      <c r="D227" s="3">
        <f t="shared" si="108"/>
        <v>1605.2505658545897</v>
      </c>
      <c r="E227" s="3">
        <f>(1+Forudsætninger!$D$78)*C227</f>
        <v>371.62130363964064</v>
      </c>
      <c r="F227" s="2">
        <f t="shared" si="90"/>
        <v>0</v>
      </c>
      <c r="G227" s="1">
        <f t="shared" si="83"/>
        <v>371.62130363964064</v>
      </c>
      <c r="H227" s="3">
        <f t="shared" si="91"/>
        <v>1348.4104753178485</v>
      </c>
      <c r="I227" s="3">
        <f t="shared" si="92"/>
        <v>1331.6502383984027</v>
      </c>
      <c r="J227" s="1">
        <f>VLOOKUP((A227+Forudsætninger!$D$60),'Model tilvækst, slagteform, fe'!G:K,3,FALSE)*(1+Forudsætninger!$D$79)</f>
        <v>54.698992848275509</v>
      </c>
      <c r="K227" s="17">
        <f t="shared" si="84"/>
        <v>203.27311030051524</v>
      </c>
      <c r="L227" s="17">
        <f t="shared" si="93"/>
        <v>785.07090327752849</v>
      </c>
      <c r="M227" s="3">
        <f>((K227-(('Model tilvækst, slagteform, fe'!$I$9/100)*'Model tilvækst, slagteform, fe'!$C$9))*1000/(A227+Forudsætninger!$D$60))</f>
        <v>700.98280827855569</v>
      </c>
      <c r="N227" s="17">
        <f t="shared" si="94"/>
        <v>1190.4889051675686</v>
      </c>
      <c r="O227" s="19">
        <f>IF( A227&lt;Forudsætninger!$C$14,(G227/100)*Forudsætninger!$C$13,(Forudsætninger!$C$15/1000)*Forudsætninger!$C$13)</f>
        <v>2.4155384736576644</v>
      </c>
      <c r="P227" s="17" cm="1">
        <f t="array" ref="P227">INDEX('Model tilvækst, slagteform, fe'!$O$9:$O$375,MATCH(MIN(ABS('Model tilvækst, slagteform, fe'!$M$9:$M$375-G227)),ABS('Model tilvækst, slagteform, fe'!$M$9:$M$375-G227),0))*(1+Forudsætninger!$D$80)</f>
        <v>7.3214883576977225</v>
      </c>
      <c r="Q227" s="17">
        <f t="shared" si="95"/>
        <v>9.3258944219328956</v>
      </c>
      <c r="R227" s="17">
        <f t="shared" si="96"/>
        <v>7.0730468831546451</v>
      </c>
      <c r="S227" s="2">
        <f t="shared" si="85"/>
        <v>3.973311946467561</v>
      </c>
      <c r="T227" s="19">
        <f>(P227)*IF(N227&lt;Forudsætninger!$B$228,IF(N227&lt;Forudsætninger!$B$227,Forudsætninger!$B$225,Forudsætninger!$C$9),Forudsætninger!$C$11)+O227</f>
        <v>19.547821230670337</v>
      </c>
      <c r="U227" s="2">
        <f>Forudsætninger!$D$68+((K227-(Forudsætninger!$D$84)))*0.01</f>
        <v>7.1723417843648045</v>
      </c>
      <c r="V227" s="2">
        <f>U227+Forudsætninger!$D$69</f>
        <v>7.1723417843648045</v>
      </c>
      <c r="W227">
        <f t="shared" si="86"/>
        <v>1</v>
      </c>
      <c r="X227">
        <f>IF(A227+Forudsætninger!$D$60&gt;248,IF(A227+Forudsætninger!$D$60&lt;365,IF(K227&gt;180,IF(K227&lt;260,1,0),0),0),0)</f>
        <v>1</v>
      </c>
      <c r="Y227" s="22">
        <f>IF(X227=0,0,IF('Vækstfunktion, kry tyr'!A227&lt;Forudsætninger!$D$66,Forudsætninger!$D$67+(('Vækstfunktion, kry tyr'!A227-Forudsætninger!$D$66)/7)*Forudsætninger!$D$64,Forudsætninger!$D$67))</f>
        <v>0.8522857142857142</v>
      </c>
      <c r="Z227" s="19">
        <f t="shared" si="100"/>
        <v>3604.5751447113844</v>
      </c>
      <c r="AA227" s="19">
        <f>Forudsætninger!$D$62+Forudsætninger!$C$16</f>
        <v>2055</v>
      </c>
      <c r="AB227" s="19">
        <f>IF(K227&gt;Forudsætninger!$C$37,IF(K227&gt;Forudsætninger!$C$38,IF(K227&gt;Forudsætninger!$C$39,Forudsætninger!$E$39,Forudsætninger!$E$38+Forudsætninger!$F$39*(K227-Forudsætninger!$C$38)),Forudsætninger!$E$37+Forudsætninger!$F$38*(K227-Forudsætninger!$C$37)),Forudsætninger!$E$37)+IF(K227&gt;Forudsætninger!$C$39,Forudsætninger!$G$39,IF(K227&gt;Forudsætninger!$C$38,Forudsætninger!$G$38+Forudsætninger!$H$39*(K227-Forudsætninger!$C$38),IF(K227&gt;Forudsætninger!$C$37,Forudsætninger!$G$37+Forudsætninger!$H$38*(K227-Forudsætninger!$C$37),Forudsætninger!$G$37)))*(U227-Forudsætninger!$H$37)</f>
        <v>36.170581556122038</v>
      </c>
      <c r="AC227" s="19">
        <f>IF(K227&gt;Forudsætninger!$C$42,IF(K227&gt;Forudsætninger!$C$43,IF(K227&gt;Forudsætninger!$C$44,Forudsætninger!$E$44,Forudsætninger!$E$43+Forudsætninger!$F$44*(K227-Forudsætninger!$C$43)),Forudsætninger!$E$42+Forudsætninger!$F$43*(K227-Forudsætninger!$C$42)),Forudsætninger!$E$42)+IF(K227&gt;Forudsætninger!$C$44,Forudsætninger!$G$44,IF(K227&gt;Forudsætninger!$C$43,Forudsætninger!$G$43+Forudsætninger!$H$44*(K227-Forudsætninger!$C$43),IF(K227&gt;Forudsætninger!$C$42,Forudsætninger!$G$42+Forudsætninger!$H$43*(K227-Forudsætninger!$C$42),Forudsætninger!$G$42)))*(V227-Forudsætninger!$H$42)</f>
        <v>30.522374212500505</v>
      </c>
      <c r="AD227" s="19">
        <f t="shared" si="87"/>
        <v>7182.9116072501765</v>
      </c>
      <c r="AE227" s="19">
        <f t="shared" si="88"/>
        <v>35.336260642792801</v>
      </c>
      <c r="AF227">
        <f>IF(G227&lt;=Forudsætninger!$C$97,Forudsætninger!$C$98,(IF(G227&lt;=Forudsætninger!$D$97,Forudsætninger!$D$98,IF(G227&lt;=Forudsætninger!$E$97,Forudsætninger!$E$98,IF(G227&lt;=Forudsætninger!$F$97,Forudsætninger!$F$98,IF(G227&lt;=Forudsætninger!$G$97,Forudsætninger!$G$98,IF(G227&lt;=Forudsætninger!$H$97,Forudsætninger!$H$98,IF(G227&lt;=Forudsætninger!$I$97,Forudsætninger!$I$98,Forudsætninger!$I$98))))))))</f>
        <v>3.8</v>
      </c>
      <c r="AG227" s="1">
        <f t="shared" si="97"/>
        <v>4.4000000000000004</v>
      </c>
      <c r="AH227" s="1">
        <f t="shared" si="101"/>
        <v>674.19999999999766</v>
      </c>
      <c r="AI227" s="1">
        <f t="shared" si="89"/>
        <v>2.996444444444434</v>
      </c>
      <c r="AJ227" s="20">
        <f>+(W227*Forudsætninger!$C$12)</f>
        <v>900</v>
      </c>
      <c r="AK227" s="20">
        <f>Forudsætninger!$C$17</f>
        <v>250</v>
      </c>
      <c r="AL227" s="20">
        <f>IF(A227&lt;92,Forudsætninger!$C$20,Forudsætninger!$C$21)</f>
        <v>1.0566762728146013</v>
      </c>
      <c r="AM227" s="20">
        <f t="shared" si="98"/>
        <v>506.25764423657762</v>
      </c>
      <c r="AN227" s="19">
        <f>IFERROR(AD227+AJ227-AA227-Z227-AK227-AM227-Forudsætninger!$D$75,-99999)</f>
        <v>1449.1868446012543</v>
      </c>
      <c r="AO227" s="57">
        <f>IFERROR(AN227/(A227+Forudsætninger!$D$74),-99999)</f>
        <v>6.4408304204500189</v>
      </c>
      <c r="AP227" s="19">
        <f>IFERROR(((365/(A227+Forudsætninger!$D$74))*AN227)/(AI227+Forudsætninger!$D$73),-99999)</f>
        <v>756.78260001353408</v>
      </c>
      <c r="AQ227" s="18">
        <f t="shared" si="102"/>
        <v>225</v>
      </c>
      <c r="AR227" s="18">
        <f t="shared" si="103"/>
        <v>6415.8327889479624</v>
      </c>
      <c r="AS227" s="50">
        <f t="shared" si="104"/>
        <v>8.5</v>
      </c>
      <c r="AT227" s="50">
        <f t="shared" si="105"/>
        <v>17.760640975679053</v>
      </c>
      <c r="AU227" s="50">
        <f t="shared" si="106"/>
        <v>5.0534868550129453E-2</v>
      </c>
      <c r="AV227" s="2">
        <f t="shared" si="107"/>
        <v>4.4201722683916387</v>
      </c>
      <c r="AW227" s="16">
        <f t="shared" si="99"/>
        <v>8.6908643948348079</v>
      </c>
      <c r="AZ227" s="16"/>
      <c r="BA227" s="2"/>
    </row>
    <row r="228" spans="1:58" x14ac:dyDescent="0.25">
      <c r="A228">
        <v>226</v>
      </c>
      <c r="B228" s="1">
        <f>ROUND((A228+Forudsætninger!$D$60)/30.4,1)</f>
        <v>8.6</v>
      </c>
      <c r="C228" s="1">
        <f>VLOOKUP((A228+Forudsætninger!$D$60),'Model tilvækst, slagteform, fe'!A:C,3,FALSE)</f>
        <v>444.00711437224317</v>
      </c>
      <c r="D228" s="3">
        <f t="shared" si="108"/>
        <v>1600.8005155280784</v>
      </c>
      <c r="E228" s="3">
        <f>(1+Forudsætninger!$D$78)*C228</f>
        <v>372.96597607268427</v>
      </c>
      <c r="F228" s="2">
        <f t="shared" si="90"/>
        <v>0</v>
      </c>
      <c r="G228" s="1">
        <f t="shared" si="83"/>
        <v>372.96597607268427</v>
      </c>
      <c r="H228" s="3">
        <f t="shared" si="91"/>
        <v>1344.6724330436268</v>
      </c>
      <c r="I228" s="3">
        <f t="shared" si="92"/>
        <v>1331.7078587286915</v>
      </c>
      <c r="J228" s="1">
        <f>VLOOKUP((A228+Forudsætninger!$D$60),'Model tilvækst, slagteform, fe'!G:K,3,FALSE)*(1+Forudsætninger!$D$79)</f>
        <v>54.711500693202389</v>
      </c>
      <c r="K228" s="17">
        <f t="shared" si="84"/>
        <v>204.05528258441569</v>
      </c>
      <c r="L228" s="17">
        <f t="shared" si="93"/>
        <v>782.17228390045079</v>
      </c>
      <c r="M228" s="3">
        <f>((K228-(('Model tilvækst, slagteform, fe'!$I$9/100)*'Model tilvækst, slagteform, fe'!$C$9))*1000/(A228+Forudsætninger!$D$60))</f>
        <v>701.29507549248592</v>
      </c>
      <c r="N228" s="17">
        <f t="shared" si="94"/>
        <v>1197.8192386922638</v>
      </c>
      <c r="O228" s="19">
        <f>IF( A228&lt;Forudsætninger!$C$14,(G228/100)*Forudsætninger!$C$13,(Forudsætninger!$C$15/1000)*Forudsætninger!$C$13)</f>
        <v>2.4242788444724477</v>
      </c>
      <c r="P228" s="17" cm="1">
        <f t="array" ref="P228">INDEX('Model tilvækst, slagteform, fe'!$O$9:$O$375,MATCH(MIN(ABS('Model tilvækst, slagteform, fe'!$M$9:$M$375-G228)),ABS('Model tilvækst, slagteform, fe'!$M$9:$M$375-G228),0))*(1+Forudsætninger!$D$80)</f>
        <v>7.330333524695166</v>
      </c>
      <c r="Q228" s="17">
        <f t="shared" si="95"/>
        <v>9.3717633257740403</v>
      </c>
      <c r="R228" s="17">
        <f t="shared" si="96"/>
        <v>7.0836798746677259</v>
      </c>
      <c r="S228" s="2">
        <f t="shared" si="85"/>
        <v>3.9799157842446165</v>
      </c>
      <c r="T228" s="19">
        <f>(P228)*IF(N228&lt;Forudsætninger!$B$228,IF(N228&lt;Forudsætninger!$B$227,Forudsætninger!$B$225,Forudsætninger!$C$9),Forudsætninger!$C$11)+O228</f>
        <v>19.577259292259136</v>
      </c>
      <c r="U228" s="2">
        <f>Forudsætninger!$D$68+((K228-(Forudsætninger!$D$84)))*0.01</f>
        <v>7.180163507203809</v>
      </c>
      <c r="V228" s="2">
        <f>U228+Forudsætninger!$D$69</f>
        <v>7.180163507203809</v>
      </c>
      <c r="W228">
        <f t="shared" si="86"/>
        <v>1</v>
      </c>
      <c r="X228">
        <f>IF(A228+Forudsætninger!$D$60&gt;248,IF(A228+Forudsætninger!$D$60&lt;365,IF(K228&gt;180,IF(K228&lt;260,1,0),0),0),0)</f>
        <v>1</v>
      </c>
      <c r="Y228" s="22">
        <f>IF(X228=0,0,IF('Vækstfunktion, kry tyr'!A228&lt;Forudsætninger!$D$66,Forudsætninger!$D$67+(('Vækstfunktion, kry tyr'!A228-Forudsætninger!$D$66)/7)*Forudsætninger!$D$64,Forudsætninger!$D$67))</f>
        <v>0.85657142857142854</v>
      </c>
      <c r="Z228" s="19">
        <f t="shared" si="100"/>
        <v>3624.1524040036434</v>
      </c>
      <c r="AA228" s="19">
        <f>Forudsætninger!$D$62+Forudsætninger!$C$16</f>
        <v>2055</v>
      </c>
      <c r="AB228" s="19">
        <f>IF(K228&gt;Forudsætninger!$C$37,IF(K228&gt;Forudsætninger!$C$38,IF(K228&gt;Forudsætninger!$C$39,Forudsætninger!$E$39,Forudsætninger!$E$38+Forudsætninger!$F$39*(K228-Forudsætninger!$C$38)),Forudsætninger!$E$37+Forudsætninger!$F$38*(K228-Forudsætninger!$C$37)),Forudsætninger!$E$37)+IF(K228&gt;Forudsætninger!$C$39,Forudsætninger!$G$39,IF(K228&gt;Forudsætninger!$C$38,Forudsætninger!$G$38+Forudsætninger!$H$39*(K228-Forudsætninger!$C$38),IF(K228&gt;Forudsætninger!$C$37,Forudsætninger!$G$37+Forudsætninger!$H$38*(K228-Forudsætninger!$C$37),Forudsætninger!$G$37)))*(U228-Forudsætninger!$H$37)</f>
        <v>36.200043378815622</v>
      </c>
      <c r="AC228" s="19">
        <f>IF(K228&gt;Forudsætninger!$C$42,IF(K228&gt;Forudsætninger!$C$43,IF(K228&gt;Forudsætninger!$C$44,Forudsætninger!$E$44,Forudsætninger!$E$43+Forudsætninger!$F$44*(K228-Forudsætninger!$C$43)),Forudsætninger!$E$42+Forudsætninger!$F$43*(K228-Forudsætninger!$C$42)),Forudsætninger!$E$42)+IF(K228&gt;Forudsætninger!$C$44,Forudsætninger!$G$44,IF(K228&gt;Forudsætninger!$C$43,Forudsætninger!$G$43+Forudsætninger!$H$44*(K228-Forudsætninger!$C$43),IF(K228&gt;Forudsætninger!$C$42,Forudsætninger!$G$42+Forudsætninger!$H$43*(K228-Forudsætninger!$C$42),Forudsætninger!$G$42)))*(V228-Forudsætninger!$H$42)</f>
        <v>30.543211127973859</v>
      </c>
      <c r="AD228" s="19">
        <f t="shared" si="87"/>
        <v>7221.2495484477477</v>
      </c>
      <c r="AE228" s="19">
        <f t="shared" si="88"/>
        <v>35.388692010266318</v>
      </c>
      <c r="AF228">
        <f>IF(G228&lt;=Forudsætninger!$C$97,Forudsætninger!$C$98,(IF(G228&lt;=Forudsætninger!$D$97,Forudsætninger!$D$98,IF(G228&lt;=Forudsætninger!$E$97,Forudsætninger!$E$98,IF(G228&lt;=Forudsætninger!$F$97,Forudsætninger!$F$98,IF(G228&lt;=Forudsætninger!$G$97,Forudsætninger!$G$98,IF(G228&lt;=Forudsætninger!$H$97,Forudsætninger!$H$98,IF(G228&lt;=Forudsætninger!$I$97,Forudsætninger!$I$98,Forudsætninger!$I$98))))))))</f>
        <v>3.8</v>
      </c>
      <c r="AG228" s="1">
        <f t="shared" si="97"/>
        <v>4.4000000000000004</v>
      </c>
      <c r="AH228" s="1">
        <f t="shared" si="101"/>
        <v>678.59999999999764</v>
      </c>
      <c r="AI228" s="1">
        <f t="shared" si="89"/>
        <v>3.0026548672566267</v>
      </c>
      <c r="AJ228" s="20">
        <f>+(W228*Forudsætninger!$C$12)</f>
        <v>900</v>
      </c>
      <c r="AK228" s="20">
        <f>Forudsætninger!$C$17</f>
        <v>250</v>
      </c>
      <c r="AL228" s="20">
        <f>IF(A228&lt;92,Forudsætninger!$C$20,Forudsætninger!$C$21)</f>
        <v>1.0566762728146013</v>
      </c>
      <c r="AM228" s="20">
        <f t="shared" si="98"/>
        <v>507.31432050939225</v>
      </c>
      <c r="AN228" s="19">
        <f>IFERROR(AD228+AJ228-AA228-Z228-AK228-AM228-Forudsætninger!$D$75,-99999)</f>
        <v>1466.8908502337517</v>
      </c>
      <c r="AO228" s="57">
        <f>IFERROR(AN228/(A228+Forudsætninger!$D$74),-99999)</f>
        <v>6.4906674789104057</v>
      </c>
      <c r="AP228" s="19">
        <f>IFERROR(((365/(A228+Forudsætninger!$D$74))*AN228)/(AI228+Forudsætninger!$D$73),-99999)</f>
        <v>761.11670931584047</v>
      </c>
      <c r="AQ228" s="18">
        <f t="shared" si="102"/>
        <v>226</v>
      </c>
      <c r="AR228" s="18">
        <f t="shared" si="103"/>
        <v>6436.4667245130358</v>
      </c>
      <c r="AS228" s="50">
        <f t="shared" si="104"/>
        <v>8.6</v>
      </c>
      <c r="AT228" s="50">
        <f t="shared" si="105"/>
        <v>17.704005632497456</v>
      </c>
      <c r="AU228" s="50">
        <f t="shared" si="106"/>
        <v>4.9837058460386885E-2</v>
      </c>
      <c r="AV228" s="2">
        <f t="shared" si="107"/>
        <v>4.3341093023063877</v>
      </c>
      <c r="AW228" s="16">
        <f t="shared" si="99"/>
        <v>8.7354211094829388</v>
      </c>
      <c r="AZ228" s="16"/>
      <c r="BA228" s="2"/>
    </row>
    <row r="229" spans="1:58" x14ac:dyDescent="0.25">
      <c r="A229">
        <v>227</v>
      </c>
      <c r="B229" s="1">
        <f>ROUND((A229+Forudsætninger!$D$60)/30.4,1)</f>
        <v>8.6</v>
      </c>
      <c r="C229" s="1">
        <f>VLOOKUP((A229+Forudsætninger!$D$60),'Model tilvækst, slagteform, fe'!A:C,3,FALSE)</f>
        <v>445.60344725065744</v>
      </c>
      <c r="D229" s="3">
        <f t="shared" si="108"/>
        <v>1596.3328784142732</v>
      </c>
      <c r="E229" s="3">
        <f>(1+Forudsætninger!$D$78)*C229</f>
        <v>374.30689569055221</v>
      </c>
      <c r="F229" s="2">
        <f t="shared" si="90"/>
        <v>0</v>
      </c>
      <c r="G229" s="1">
        <f t="shared" si="83"/>
        <v>374.30689569055221</v>
      </c>
      <c r="H229" s="3">
        <f t="shared" si="91"/>
        <v>1340.9196178679395</v>
      </c>
      <c r="I229" s="3">
        <f t="shared" si="92"/>
        <v>1331.7484391654282</v>
      </c>
      <c r="J229" s="1">
        <f>VLOOKUP((A229+Forudsætninger!$D$60),'Model tilvækst, slagteform, fe'!G:K,3,FALSE)*(1+Forudsætninger!$D$79)</f>
        <v>54.723695480525272</v>
      </c>
      <c r="K229" s="17">
        <f t="shared" si="84"/>
        <v>204.83456576030517</v>
      </c>
      <c r="L229" s="17">
        <f t="shared" si="93"/>
        <v>779.28317588947493</v>
      </c>
      <c r="M229" s="3">
        <f>((K229-(('Model tilvækst, slagteform, fe'!$I$9/100)*'Model tilvækst, slagteform, fe'!$C$9))*1000/(A229+Forudsætninger!$D$60))</f>
        <v>701.59388047484981</v>
      </c>
      <c r="N229" s="17">
        <f t="shared" si="94"/>
        <v>1205.1585295606335</v>
      </c>
      <c r="O229" s="19">
        <f>IF( A229&lt;Forudsætninger!$C$14,(G229/100)*Forudsætninger!$C$13,(Forudsætninger!$C$15/1000)*Forudsætninger!$C$13)</f>
        <v>2.4329948219885895</v>
      </c>
      <c r="P229" s="17" cm="1">
        <f t="array" ref="P229">INDEX('Model tilvækst, slagteform, fe'!$O$9:$O$375,MATCH(MIN(ABS('Model tilvækst, slagteform, fe'!$M$9:$M$375-G229)),ABS('Model tilvækst, slagteform, fe'!$M$9:$M$375-G229),0))*(1+Forudsætninger!$D$80)</f>
        <v>7.339290868369833</v>
      </c>
      <c r="Q229" s="17">
        <f t="shared" si="95"/>
        <v>9.4180024610344706</v>
      </c>
      <c r="R229" s="17">
        <f t="shared" si="96"/>
        <v>7.094388332992402</v>
      </c>
      <c r="S229" s="2">
        <f t="shared" si="85"/>
        <v>3.9865399921087459</v>
      </c>
      <c r="T229" s="19">
        <f>(P229)*IF(N229&lt;Forudsætninger!$B$228,IF(N229&lt;Forudsætninger!$B$227,Forudsætninger!$B$225,Forudsætninger!$C$9),Forudsætninger!$C$11)+O229</f>
        <v>19.606935453974</v>
      </c>
      <c r="U229" s="2">
        <f>Forudsætninger!$D$68+((K229-(Forudsætninger!$D$84)))*0.01</f>
        <v>7.1879563389627039</v>
      </c>
      <c r="V229" s="2">
        <f>U229+Forudsætninger!$D$69</f>
        <v>7.1879563389627039</v>
      </c>
      <c r="W229">
        <f t="shared" si="86"/>
        <v>1</v>
      </c>
      <c r="X229">
        <f>IF(A229+Forudsætninger!$D$60&gt;248,IF(A229+Forudsætninger!$D$60&lt;365,IF(K229&gt;180,IF(K229&lt;260,1,0),0),0),0)</f>
        <v>1</v>
      </c>
      <c r="Y229" s="22">
        <f>IF(X229=0,0,IF('Vækstfunktion, kry tyr'!A229&lt;Forudsætninger!$D$66,Forudsætninger!$D$67+(('Vækstfunktion, kry tyr'!A229-Forudsætninger!$D$66)/7)*Forudsætninger!$D$64,Forudsætninger!$D$67))</f>
        <v>0.86085714285714277</v>
      </c>
      <c r="Z229" s="19">
        <f t="shared" si="100"/>
        <v>3643.7593394576174</v>
      </c>
      <c r="AA229" s="19">
        <f>Forudsætninger!$D$62+Forudsætninger!$C$16</f>
        <v>2055</v>
      </c>
      <c r="AB229" s="19">
        <f>IF(K229&gt;Forudsætninger!$C$37,IF(K229&gt;Forudsætninger!$C$38,IF(K229&gt;Forudsætninger!$C$39,Forudsætninger!$E$39,Forudsætninger!$E$38+Forudsætninger!$F$39*(K229-Forudsætninger!$C$38)),Forudsætninger!$E$37+Forudsætninger!$F$38*(K229-Forudsætninger!$C$37)),Forudsætninger!$E$37)+IF(K229&gt;Forudsætninger!$C$39,Forudsætninger!$G$39,IF(K229&gt;Forudsætninger!$C$38,Forudsætninger!$G$38+Forudsætninger!$H$39*(K229-Forudsætninger!$C$38),IF(K229&gt;Forudsætninger!$C$37,Forudsætninger!$G$37+Forudsætninger!$H$38*(K229-Forudsætninger!$C$37),Forudsætninger!$G$37)))*(U229-Forudsætninger!$H$37)</f>
        <v>36.229396378440796</v>
      </c>
      <c r="AC229" s="19">
        <f>IF(K229&gt;Forudsætninger!$C$42,IF(K229&gt;Forudsætninger!$C$43,IF(K229&gt;Forudsætninger!$C$44,Forudsætninger!$E$44,Forudsætninger!$E$43+Forudsætninger!$F$44*(K229-Forudsætninger!$C$43)),Forudsætninger!$E$42+Forudsætninger!$F$43*(K229-Forudsætninger!$C$42)),Forudsætninger!$E$42)+IF(K229&gt;Forudsætninger!$C$44,Forudsætninger!$G$44,IF(K229&gt;Forudsætninger!$C$43,Forudsætninger!$G$43+Forudsætninger!$H$44*(K229-Forudsætninger!$C$43),IF(K229&gt;Forudsætninger!$C$42,Forudsætninger!$G$42+Forudsætninger!$H$43*(K229-Forudsætninger!$C$42),Forudsætninger!$G$42)))*(V229-Forudsætninger!$H$42)</f>
        <v>30.563945727846548</v>
      </c>
      <c r="AD229" s="19">
        <f t="shared" si="87"/>
        <v>7259.5601548457807</v>
      </c>
      <c r="AE229" s="19">
        <f t="shared" si="88"/>
        <v>35.441089387915255</v>
      </c>
      <c r="AF229">
        <f>IF(G229&lt;=Forudsætninger!$C$97,Forudsætninger!$C$98,(IF(G229&lt;=Forudsætninger!$D$97,Forudsætninger!$D$98,IF(G229&lt;=Forudsætninger!$E$97,Forudsætninger!$E$98,IF(G229&lt;=Forudsætninger!$F$97,Forudsætninger!$F$98,IF(G229&lt;=Forudsætninger!$G$97,Forudsætninger!$G$98,IF(G229&lt;=Forudsætninger!$H$97,Forudsætninger!$H$98,IF(G229&lt;=Forudsætninger!$I$97,Forudsætninger!$I$98,Forudsætninger!$I$98))))))))</f>
        <v>3.8</v>
      </c>
      <c r="AG229" s="1">
        <f t="shared" si="97"/>
        <v>4.4000000000000004</v>
      </c>
      <c r="AH229" s="1">
        <f t="shared" si="101"/>
        <v>682.99999999999761</v>
      </c>
      <c r="AI229" s="1">
        <f t="shared" si="89"/>
        <v>3.0088105726872141</v>
      </c>
      <c r="AJ229" s="20">
        <f>+(W229*Forudsætninger!$C$12)</f>
        <v>900</v>
      </c>
      <c r="AK229" s="20">
        <f>Forudsætninger!$C$17</f>
        <v>250</v>
      </c>
      <c r="AL229" s="20">
        <f>IF(A229&lt;92,Forudsætninger!$C$20,Forudsætninger!$C$21)</f>
        <v>1.0566762728146013</v>
      </c>
      <c r="AM229" s="20">
        <f t="shared" si="98"/>
        <v>508.37099678220687</v>
      </c>
      <c r="AN229" s="19">
        <f>IFERROR(AD229+AJ229-AA229-Z229-AK229-AM229-Forudsætninger!$D$75,-99999)</f>
        <v>1484.5378449049961</v>
      </c>
      <c r="AO229" s="57">
        <f>IFERROR(AN229/(A229+Forudsætninger!$D$74),-99999)</f>
        <v>6.5398142947356659</v>
      </c>
      <c r="AP229" s="19">
        <f>IFERROR(((365/(A229+Forudsætninger!$D$74))*AN229)/(AI229+Forudsætninger!$D$73),-99999)</f>
        <v>765.36620674650828</v>
      </c>
      <c r="AQ229" s="18">
        <f t="shared" si="102"/>
        <v>227</v>
      </c>
      <c r="AR229" s="18">
        <f t="shared" si="103"/>
        <v>6457.1303362398248</v>
      </c>
      <c r="AS229" s="50">
        <f t="shared" si="104"/>
        <v>8.6</v>
      </c>
      <c r="AT229" s="50">
        <f t="shared" si="105"/>
        <v>17.646994671244329</v>
      </c>
      <c r="AU229" s="50">
        <f t="shared" si="106"/>
        <v>4.9146815825260148E-2</v>
      </c>
      <c r="AV229" s="2">
        <f t="shared" si="107"/>
        <v>4.2494974306678159</v>
      </c>
      <c r="AW229" s="16">
        <f t="shared" si="99"/>
        <v>8.7793341043489121</v>
      </c>
      <c r="AZ229" s="16"/>
      <c r="BA229" s="2"/>
    </row>
    <row r="230" spans="1:58" x14ac:dyDescent="0.25">
      <c r="A230">
        <v>228</v>
      </c>
      <c r="B230" s="1">
        <f>ROUND((A230+Forudsætninger!$D$60)/30.4,1)</f>
        <v>8.6</v>
      </c>
      <c r="C230" s="1">
        <f>VLOOKUP((A230+Forudsætninger!$D$60),'Model tilvækst, slagteform, fe'!A:C,3,FALSE)</f>
        <v>447.19529552610726</v>
      </c>
      <c r="D230" s="3">
        <f t="shared" si="108"/>
        <v>1591.84827544982</v>
      </c>
      <c r="E230" s="3">
        <f>(1+Forudsætninger!$D$78)*C230</f>
        <v>375.64404824193008</v>
      </c>
      <c r="F230" s="2">
        <f t="shared" si="90"/>
        <v>0</v>
      </c>
      <c r="G230" s="1">
        <f t="shared" si="83"/>
        <v>375.64404824193008</v>
      </c>
      <c r="H230" s="3">
        <f t="shared" si="91"/>
        <v>1337.1525513778693</v>
      </c>
      <c r="I230" s="3">
        <f t="shared" si="92"/>
        <v>1331.772141411974</v>
      </c>
      <c r="J230" s="1">
        <f>VLOOKUP((A230+Forudsætninger!$D$60),'Model tilvækst, slagteform, fe'!G:K,3,FALSE)*(1+Forudsætninger!$D$79)</f>
        <v>54.735585751805772</v>
      </c>
      <c r="K230" s="17">
        <f t="shared" si="84"/>
        <v>205.61097014701627</v>
      </c>
      <c r="L230" s="17">
        <f t="shared" si="93"/>
        <v>776.40438671110701</v>
      </c>
      <c r="M230" s="3">
        <f>((K230-(('Model tilvækst, slagteform, fe'!$I$9/100)*'Model tilvækst, slagteform, fe'!$C$9))*1000/(A230+Forudsætninger!$D$60))</f>
        <v>701.87941675819457</v>
      </c>
      <c r="N230" s="17">
        <f t="shared" si="94"/>
        <v>1212.5068923665142</v>
      </c>
      <c r="O230" s="19">
        <f>IF( A230&lt;Forudsætninger!$C$14,(G230/100)*Forudsætninger!$C$13,(Forudsætninger!$C$15/1000)*Forudsætninger!$C$13)</f>
        <v>2.4416863135725455</v>
      </c>
      <c r="P230" s="17" cm="1">
        <f t="array" ref="P230">INDEX('Model tilvækst, slagteform, fe'!$O$9:$O$375,MATCH(MIN(ABS('Model tilvækst, slagteform, fe'!$M$9:$M$375-G230)),ABS('Model tilvækst, slagteform, fe'!$M$9:$M$375-G230),0))*(1+Forudsætninger!$D$80)</f>
        <v>7.3483628058807957</v>
      </c>
      <c r="Q230" s="17">
        <f t="shared" si="95"/>
        <v>9.4646075314036757</v>
      </c>
      <c r="R230" s="17">
        <f t="shared" si="96"/>
        <v>7.105172010022641</v>
      </c>
      <c r="S230" s="2">
        <f t="shared" si="85"/>
        <v>3.9931851106149217</v>
      </c>
      <c r="T230" s="19">
        <f>(P230)*IF(N230&lt;Forudsætninger!$B$228,IF(N230&lt;Forudsætninger!$B$227,Forudsætninger!$B$225,Forudsætninger!$C$9),Forudsætninger!$C$11)+O230</f>
        <v>19.636855279333606</v>
      </c>
      <c r="U230" s="2">
        <f>Forudsætninger!$D$68+((K230-(Forudsætninger!$D$84)))*0.01</f>
        <v>7.1957203828298155</v>
      </c>
      <c r="V230" s="2">
        <f>U230+Forudsætninger!$D$69</f>
        <v>7.1957203828298155</v>
      </c>
      <c r="W230">
        <f t="shared" si="86"/>
        <v>1</v>
      </c>
      <c r="X230">
        <f>IF(A230+Forudsætninger!$D$60&gt;248,IF(A230+Forudsætninger!$D$60&lt;365,IF(K230&gt;180,IF(K230&lt;260,1,0),0),0),0)</f>
        <v>1</v>
      </c>
      <c r="Y230" s="22">
        <f>IF(X230=0,0,IF('Vækstfunktion, kry tyr'!A230&lt;Forudsætninger!$D$66,Forudsætninger!$D$67+(('Vækstfunktion, kry tyr'!A230-Forudsætninger!$D$66)/7)*Forudsætninger!$D$64,Forudsætninger!$D$67))</f>
        <v>0.8651428571428571</v>
      </c>
      <c r="Z230" s="19">
        <f t="shared" si="100"/>
        <v>3663.3961947369512</v>
      </c>
      <c r="AA230" s="19">
        <f>Forudsætninger!$D$62+Forudsætninger!$C$16</f>
        <v>2055</v>
      </c>
      <c r="AB230" s="19">
        <f>IF(K230&gt;Forudsætninger!$C$37,IF(K230&gt;Forudsætninger!$C$38,IF(K230&gt;Forudsætninger!$C$39,Forudsætninger!$E$39,Forudsætninger!$E$38+Forudsætninger!$F$39*(K230-Forudsætninger!$C$38)),Forudsætninger!$E$37+Forudsætninger!$F$38*(K230-Forudsætninger!$C$37)),Forudsætninger!$E$37)+IF(K230&gt;Forudsætninger!$C$39,Forudsætninger!$G$39,IF(K230&gt;Forudsætninger!$C$38,Forudsætninger!$G$38+Forudsætninger!$H$39*(K230-Forudsætninger!$C$38),IF(K230&gt;Forudsætninger!$C$37,Forudsætninger!$G$37+Forudsætninger!$H$38*(K230-Forudsætninger!$C$37),Forudsætninger!$G$37)))*(U230-Forudsætninger!$H$37)</f>
        <v>36.258640943673576</v>
      </c>
      <c r="AC230" s="19">
        <f>IF(K230&gt;Forudsætninger!$C$42,IF(K230&gt;Forudsætninger!$C$43,IF(K230&gt;Forudsætninger!$C$44,Forudsætninger!$E$44,Forudsætninger!$E$43+Forudsætninger!$F$44*(K230-Forudsætninger!$C$43)),Forudsætninger!$E$42+Forudsætninger!$F$43*(K230-Forudsætninger!$C$42)),Forudsætninger!$E$42)+IF(K230&gt;Forudsætninger!$C$44,Forudsætninger!$G$44,IF(K230&gt;Forudsætninger!$C$43,Forudsætninger!$G$43+Forudsætninger!$H$44*(K230-Forudsætninger!$C$43),IF(K230&gt;Forudsætninger!$C$42,Forudsætninger!$G$42+Forudsætninger!$H$43*(K230-Forudsætninger!$C$42),Forudsætninger!$G$42)))*(V230-Forudsætninger!$H$42)</f>
        <v>30.584578567602392</v>
      </c>
      <c r="AD230" s="19">
        <f t="shared" si="87"/>
        <v>7297.8433264255018</v>
      </c>
      <c r="AE230" s="19">
        <f t="shared" si="88"/>
        <v>35.493453103243404</v>
      </c>
      <c r="AF230">
        <f>IF(G230&lt;=Forudsætninger!$C$97,Forudsætninger!$C$98,(IF(G230&lt;=Forudsætninger!$D$97,Forudsætninger!$D$98,IF(G230&lt;=Forudsætninger!$E$97,Forudsætninger!$E$98,IF(G230&lt;=Forudsætninger!$F$97,Forudsætninger!$F$98,IF(G230&lt;=Forudsætninger!$G$97,Forudsætninger!$G$98,IF(G230&lt;=Forudsætninger!$H$97,Forudsætninger!$H$98,IF(G230&lt;=Forudsætninger!$I$97,Forudsætninger!$I$98,Forudsætninger!$I$98))))))))</f>
        <v>3.8</v>
      </c>
      <c r="AG230" s="1">
        <f t="shared" si="97"/>
        <v>4.4000000000000004</v>
      </c>
      <c r="AH230" s="1">
        <f t="shared" si="101"/>
        <v>687.39999999999759</v>
      </c>
      <c r="AI230" s="1">
        <f t="shared" si="89"/>
        <v>3.0149122807017439</v>
      </c>
      <c r="AJ230" s="20">
        <f>+(W230*Forudsætninger!$C$12)</f>
        <v>900</v>
      </c>
      <c r="AK230" s="20">
        <f>Forudsætninger!$C$17</f>
        <v>250</v>
      </c>
      <c r="AL230" s="20">
        <f>IF(A230&lt;92,Forudsætninger!$C$20,Forudsætninger!$C$21)</f>
        <v>1.0566762728146013</v>
      </c>
      <c r="AM230" s="20">
        <f t="shared" si="98"/>
        <v>509.4276730550215</v>
      </c>
      <c r="AN230" s="19">
        <f>IFERROR(AD230+AJ230-AA230-Z230-AK230-AM230-Forudsætninger!$D$75,-99999)</f>
        <v>1502.1274849325689</v>
      </c>
      <c r="AO230" s="57">
        <f>IFERROR(AN230/(A230+Forudsætninger!$D$74),-99999)</f>
        <v>6.5882784426867058</v>
      </c>
      <c r="AP230" s="19">
        <f>IFERROR(((365/(A230+Forudsætninger!$D$74))*AN230)/(AI230+Forudsætninger!$D$73),-99999)</f>
        <v>769.5325230187367</v>
      </c>
      <c r="AQ230" s="18">
        <f t="shared" si="102"/>
        <v>228</v>
      </c>
      <c r="AR230" s="18">
        <f t="shared" si="103"/>
        <v>6477.8238677919735</v>
      </c>
      <c r="AS230" s="50">
        <f t="shared" si="104"/>
        <v>8.6</v>
      </c>
      <c r="AT230" s="50">
        <f t="shared" si="105"/>
        <v>17.589640027572841</v>
      </c>
      <c r="AU230" s="50">
        <f t="shared" si="106"/>
        <v>4.8464147951039926E-2</v>
      </c>
      <c r="AV230" s="2">
        <f t="shared" si="107"/>
        <v>4.1663162722284142</v>
      </c>
      <c r="AW230" s="16">
        <f t="shared" si="99"/>
        <v>8.8226103420508348</v>
      </c>
      <c r="AZ230" s="16"/>
      <c r="BA230" s="2"/>
    </row>
    <row r="231" spans="1:58" x14ac:dyDescent="0.25">
      <c r="A231">
        <v>229</v>
      </c>
      <c r="B231" s="1">
        <f>ROUND((A231+Forudsætninger!$D$60)/30.4,1)</f>
        <v>8.6999999999999993</v>
      </c>
      <c r="C231" s="1">
        <f>VLOOKUP((A231+Forudsætninger!$D$60),'Model tilvækst, slagteform, fe'!A:C,3,FALSE)</f>
        <v>448.78264285367885</v>
      </c>
      <c r="D231" s="3">
        <f t="shared" si="108"/>
        <v>1587.3473275715924</v>
      </c>
      <c r="E231" s="3">
        <f>(1+Forudsætninger!$D$78)*C231</f>
        <v>376.97741999709024</v>
      </c>
      <c r="F231" s="2">
        <f t="shared" si="90"/>
        <v>0</v>
      </c>
      <c r="G231" s="1">
        <f t="shared" si="83"/>
        <v>376.97741999709024</v>
      </c>
      <c r="H231" s="3">
        <f t="shared" si="91"/>
        <v>1333.371755160158</v>
      </c>
      <c r="I231" s="3">
        <f t="shared" si="92"/>
        <v>1331.7791266248482</v>
      </c>
      <c r="J231" s="1">
        <f>VLOOKUP((A231+Forudsætninger!$D$60),'Model tilvækst, slagteform, fe'!G:K,3,FALSE)*(1+Forudsætninger!$D$79)</f>
        <v>54.747180048605507</v>
      </c>
      <c r="K231" s="17">
        <f t="shared" si="84"/>
        <v>206.38450686839477</v>
      </c>
      <c r="L231" s="17">
        <f t="shared" si="93"/>
        <v>773.53672137849117</v>
      </c>
      <c r="M231" s="3">
        <f>((K231-(('Model tilvækst, slagteform, fe'!$I$9/100)*'Model tilvækst, slagteform, fe'!$C$9))*1000/(A231+Forudsætninger!$D$60))</f>
        <v>702.15187799249225</v>
      </c>
      <c r="N231" s="17">
        <f t="shared" si="94"/>
        <v>1219.8644441209012</v>
      </c>
      <c r="O231" s="19">
        <f>IF( A231&lt;Forudsætninger!$C$14,(G231/100)*Forudsætninger!$C$13,(Forudsætninger!$C$15/1000)*Forudsætninger!$C$13)</f>
        <v>2.4503532299810868</v>
      </c>
      <c r="P231" s="17" cm="1">
        <f t="array" ref="P231">INDEX('Model tilvækst, slagteform, fe'!$O$9:$O$375,MATCH(MIN(ABS('Model tilvækst, slagteform, fe'!$M$9:$M$375-G231)),ABS('Model tilvækst, slagteform, fe'!$M$9:$M$375-G231),0))*(1+Forudsætninger!$D$80)</f>
        <v>7.3575517543871296</v>
      </c>
      <c r="Q231" s="17">
        <f t="shared" si="95"/>
        <v>9.5115739835537596</v>
      </c>
      <c r="R231" s="17">
        <f t="shared" si="96"/>
        <v>7.1160306478306303</v>
      </c>
      <c r="S231" s="2">
        <f t="shared" si="85"/>
        <v>3.999851674699523</v>
      </c>
      <c r="T231" s="19">
        <f>(P231)*IF(N231&lt;Forudsætninger!$B$228,IF(N231&lt;Forudsætninger!$B$227,Forudsætninger!$B$225,Forudsætninger!$C$9),Forudsætninger!$C$11)+O231</f>
        <v>19.667024335246968</v>
      </c>
      <c r="U231" s="2">
        <f>Forudsætninger!$D$68+((K231-(Forudsætninger!$D$84)))*0.01</f>
        <v>7.2034557500435996</v>
      </c>
      <c r="V231" s="2">
        <f>U231+Forudsætninger!$D$69</f>
        <v>7.2034557500435996</v>
      </c>
      <c r="W231">
        <f t="shared" si="86"/>
        <v>1</v>
      </c>
      <c r="X231">
        <f>IF(A231+Forudsætninger!$D$60&gt;248,IF(A231+Forudsætninger!$D$60&lt;365,IF(K231&gt;180,IF(K231&lt;260,1,0),0),0),0)</f>
        <v>1</v>
      </c>
      <c r="Y231" s="22">
        <f>IF(X231=0,0,IF('Vækstfunktion, kry tyr'!A231&lt;Forudsætninger!$D$66,Forudsætninger!$D$67+(('Vækstfunktion, kry tyr'!A231-Forudsætninger!$D$66)/7)*Forudsætninger!$D$64,Forudsætninger!$D$67))</f>
        <v>0.86942857142857133</v>
      </c>
      <c r="Z231" s="19">
        <f t="shared" si="100"/>
        <v>3683.0632190721981</v>
      </c>
      <c r="AA231" s="19">
        <f>Forudsætninger!$D$62+Forudsætninger!$C$16</f>
        <v>2055</v>
      </c>
      <c r="AB231" s="19">
        <f>IF(K231&gt;Forudsætninger!$C$37,IF(K231&gt;Forudsætninger!$C$38,IF(K231&gt;Forudsætninger!$C$39,Forudsætninger!$E$39,Forudsætninger!$E$38+Forudsætninger!$F$39*(K231-Forudsætninger!$C$38)),Forudsætninger!$E$37+Forudsætninger!$F$38*(K231-Forudsætninger!$C$37)),Forudsætninger!$E$37)+IF(K231&gt;Forudsætninger!$C$39,Forudsætninger!$G$39,IF(K231&gt;Forudsætninger!$C$38,Forudsætninger!$G$38+Forudsætninger!$H$39*(K231-Forudsætninger!$C$38),IF(K231&gt;Forudsætninger!$C$37,Forudsætninger!$G$37+Forudsætninger!$H$38*(K231-Forudsætninger!$C$37),Forudsætninger!$G$37)))*(U231-Forudsætninger!$H$37)</f>
        <v>36.287777493512166</v>
      </c>
      <c r="AC231" s="19">
        <f>IF(K231&gt;Forudsætninger!$C$42,IF(K231&gt;Forudsætninger!$C$43,IF(K231&gt;Forudsætninger!$C$44,Forudsætninger!$E$44,Forudsætninger!$E$43+Forudsætninger!$F$44*(K231-Forudsætninger!$C$43)),Forudsætninger!$E$42+Forudsætninger!$F$43*(K231-Forudsætninger!$C$42)),Forudsætninger!$E$42)+IF(K231&gt;Forudsætninger!$C$44,Forudsætninger!$G$44,IF(K231&gt;Forudsætninger!$C$43,Forudsætninger!$G$43+Forudsætninger!$H$44*(K231-Forudsætninger!$C$43),IF(K231&gt;Forudsætninger!$C$42,Forudsætninger!$G$42+Forudsætninger!$H$43*(K231-Forudsætninger!$C$42),Forudsætninger!$G$42)))*(V231-Forudsætninger!$H$42)</f>
        <v>30.605110221705669</v>
      </c>
      <c r="AD231" s="19">
        <f t="shared" si="87"/>
        <v>7336.0990009076422</v>
      </c>
      <c r="AE231" s="19">
        <f t="shared" si="88"/>
        <v>35.545783509736289</v>
      </c>
      <c r="AF231">
        <f>IF(G231&lt;=Forudsætninger!$C$97,Forudsætninger!$C$98,(IF(G231&lt;=Forudsætninger!$D$97,Forudsætninger!$D$98,IF(G231&lt;=Forudsætninger!$E$97,Forudsætninger!$E$98,IF(G231&lt;=Forudsætninger!$F$97,Forudsætninger!$F$98,IF(G231&lt;=Forudsætninger!$G$97,Forudsætninger!$G$98,IF(G231&lt;=Forudsætninger!$H$97,Forudsætninger!$H$98,IF(G231&lt;=Forudsætninger!$I$97,Forudsætninger!$I$98,Forudsætninger!$I$98))))))))</f>
        <v>3.8</v>
      </c>
      <c r="AG231" s="1">
        <f t="shared" si="97"/>
        <v>4.4000000000000004</v>
      </c>
      <c r="AH231" s="1">
        <f t="shared" si="101"/>
        <v>691.79999999999757</v>
      </c>
      <c r="AI231" s="1">
        <f t="shared" si="89"/>
        <v>3.0209606986899455</v>
      </c>
      <c r="AJ231" s="20">
        <f>+(W231*Forudsætninger!$C$12)</f>
        <v>900</v>
      </c>
      <c r="AK231" s="20">
        <f>Forudsætninger!$C$17</f>
        <v>250</v>
      </c>
      <c r="AL231" s="20">
        <f>IF(A231&lt;92,Forudsætninger!$C$20,Forudsætninger!$C$21)</f>
        <v>1.0566762728146013</v>
      </c>
      <c r="AM231" s="20">
        <f t="shared" si="98"/>
        <v>510.48434932783613</v>
      </c>
      <c r="AN231" s="19">
        <f>IFERROR(AD231+AJ231-AA231-Z231-AK231-AM231-Forudsætninger!$D$75,-99999)</f>
        <v>1519.6594588066469</v>
      </c>
      <c r="AO231" s="57">
        <f>IFERROR(AN231/(A231+Forudsætninger!$D$74),-99999)</f>
        <v>6.6360675057058813</v>
      </c>
      <c r="AP231" s="19">
        <f>IFERROR(((365/(A231+Forudsætninger!$D$74))*AN231)/(AI231+Forudsætninger!$D$73),-99999)</f>
        <v>773.61706922610927</v>
      </c>
      <c r="AQ231" s="18">
        <f t="shared" si="102"/>
        <v>229</v>
      </c>
      <c r="AR231" s="18">
        <f t="shared" si="103"/>
        <v>6498.5475684000339</v>
      </c>
      <c r="AS231" s="50">
        <f t="shared" si="104"/>
        <v>8.6999999999999993</v>
      </c>
      <c r="AT231" s="50">
        <f t="shared" si="105"/>
        <v>17.531973874077948</v>
      </c>
      <c r="AU231" s="50">
        <f t="shared" si="106"/>
        <v>4.7789063019175515E-2</v>
      </c>
      <c r="AV231" s="2">
        <f t="shared" si="107"/>
        <v>4.0845462073725685</v>
      </c>
      <c r="AW231" s="16">
        <f t="shared" si="99"/>
        <v>8.8652568040807118</v>
      </c>
      <c r="AZ231" s="16"/>
      <c r="BA231" s="2"/>
    </row>
    <row r="232" spans="1:58" s="7" customFormat="1" x14ac:dyDescent="0.25">
      <c r="A232" s="7">
        <v>230</v>
      </c>
      <c r="B232" s="21">
        <f>ROUND((A232+Forudsætninger!$D$60)/30.4,1)</f>
        <v>8.6999999999999993</v>
      </c>
      <c r="C232" s="21">
        <f>VLOOKUP((A232+Forudsætninger!$D$60),'Model tilvækst, slagteform, fe'!A:C,3,FALSE)</f>
        <v>450.36547350939497</v>
      </c>
      <c r="D232" s="28">
        <f t="shared" si="108"/>
        <v>1582.8306557161227</v>
      </c>
      <c r="E232" s="28">
        <f>(1+Forudsætninger!$D$78)*C232</f>
        <v>378.30699774789178</v>
      </c>
      <c r="F232" s="30">
        <f t="shared" si="90"/>
        <v>0</v>
      </c>
      <c r="G232" s="21">
        <f t="shared" si="83"/>
        <v>378.30699774789178</v>
      </c>
      <c r="H232" s="28">
        <f t="shared" si="91"/>
        <v>1329.5777508015476</v>
      </c>
      <c r="I232" s="28">
        <f t="shared" si="92"/>
        <v>1331.7695554256163</v>
      </c>
      <c r="J232" s="21">
        <f>VLOOKUP((A232+Forudsætninger!$D$60),'Model tilvækst, slagteform, fe'!G:K,3,FALSE)*(1+Forudsætninger!$D$79)</f>
        <v>54.75848691248607</v>
      </c>
      <c r="K232" s="29">
        <f t="shared" si="84"/>
        <v>207.15518785079828</v>
      </c>
      <c r="L232" s="29">
        <f t="shared" si="93"/>
        <v>770.68098240351901</v>
      </c>
      <c r="M232" s="28">
        <f>((K232-(('Model tilvækst, slagteform, fe'!$I$9/100)*'Model tilvækst, slagteform, fe'!$C$9))*1000/(A232+Forudsætninger!$D$60))</f>
        <v>702.4114579334431</v>
      </c>
      <c r="N232" s="29">
        <f t="shared" si="94"/>
        <v>1227.231304251949</v>
      </c>
      <c r="O232" s="30">
        <f>IF( A232&lt;Forudsætninger!$C$14,(G232/100)*Forudsætninger!$C$13,(Forudsætninger!$C$15/1000)*Forudsætninger!$C$13)</f>
        <v>2.4589954853612968</v>
      </c>
      <c r="P232" s="29" cm="1">
        <f t="array" ref="P232">INDEX('Model tilvækst, slagteform, fe'!$O$9:$O$375,MATCH(MIN(ABS('Model tilvækst, slagteform, fe'!$M$9:$M$375-G232)),ABS('Model tilvækst, slagteform, fe'!$M$9:$M$375-G232),0))*(1+Forudsætninger!$D$80)</f>
        <v>7.3668601310479085</v>
      </c>
      <c r="Q232" s="29">
        <f t="shared" si="95"/>
        <v>9.5588970005110525</v>
      </c>
      <c r="R232" s="29">
        <f t="shared" si="96"/>
        <v>7.1269639786481145</v>
      </c>
      <c r="S232" s="30">
        <f t="shared" si="85"/>
        <v>4.0065402138217907</v>
      </c>
      <c r="T232" s="30">
        <f>(P232)*IF(N232&lt;Forudsætninger!$B$228,IF(N232&lt;Forudsætninger!$B$227,Forudsætninger!$B$225,Forudsætninger!$C$9),Forudsætninger!$C$11)+O232</f>
        <v>19.6974481920134</v>
      </c>
      <c r="U232" s="30">
        <f>Forudsætninger!$D$68+((K232-(Forudsætninger!$D$84)))*0.01</f>
        <v>7.2111625598676348</v>
      </c>
      <c r="V232" s="30">
        <f>U232+Forudsætninger!$D$69</f>
        <v>7.2111625598676348</v>
      </c>
      <c r="W232" s="7">
        <f t="shared" si="86"/>
        <v>1</v>
      </c>
      <c r="X232" s="7">
        <f>IF(A232+Forudsætninger!$D$60&gt;248,IF(A232+Forudsætninger!$D$60&lt;365,IF(K232&gt;180,IF(K232&lt;260,1,0),0),0),0)</f>
        <v>1</v>
      </c>
      <c r="Y232" s="31">
        <f>IF(X232=0,0,IF('Vækstfunktion, kry tyr'!A232&lt;Forudsætninger!$D$66,Forudsætninger!$D$67+(('Vækstfunktion, kry tyr'!A232-Forudsætninger!$D$66)/7)*Forudsætninger!$D$64,Forudsætninger!$D$67))</f>
        <v>0.87371428571428567</v>
      </c>
      <c r="Z232" s="30">
        <f t="shared" si="100"/>
        <v>3702.7606672642114</v>
      </c>
      <c r="AA232" s="30">
        <f>Forudsætninger!$D$62+Forudsætninger!$C$16</f>
        <v>2055</v>
      </c>
      <c r="AB232" s="30">
        <f>IF(K232&gt;Forudsætninger!$C$37,IF(K232&gt;Forudsætninger!$C$38,IF(K232&gt;Forudsætninger!$C$39,Forudsætninger!$E$39,Forudsætninger!$E$38+Forudsætninger!$F$39*(K232-Forudsætninger!$C$38)),Forudsætninger!$E$37+Forudsætninger!$F$38*(K232-Forudsætninger!$C$37)),Forudsætninger!$E$37)+IF(K232&gt;Forudsætninger!$C$39,Forudsætninger!$G$39,IF(K232&gt;Forudsætninger!$C$38,Forudsætninger!$G$38+Forudsætninger!$H$39*(K232-Forudsætninger!$C$38),IF(K232&gt;Forudsætninger!$C$37,Forudsætninger!$G$37+Forudsætninger!$H$38*(K232-Forudsætninger!$C$37),Forudsætninger!$G$37)))*(U232-Forudsætninger!$H$37)</f>
        <v>36.316806477182702</v>
      </c>
      <c r="AC232" s="30">
        <f>IF(K232&gt;Forudsætninger!$C$42,IF(K232&gt;Forudsætninger!$C$43,IF(K232&gt;Forudsætninger!$C$44,Forudsætninger!$E$44,Forudsætninger!$E$43+Forudsætninger!$F$44*(K232-Forudsætninger!$C$43)),Forudsætninger!$E$42+Forudsætninger!$F$43*(K232-Forudsætninger!$C$42)),Forudsætninger!$E$42)+IF(K232&gt;Forudsætninger!$C$44,Forudsætninger!$G$44,IF(K232&gt;Forudsætninger!$C$43,Forudsætninger!$G$43+Forudsætninger!$H$44*(K232-Forudsætninger!$C$43),IF(K232&gt;Forudsætninger!$C$42,Forudsætninger!$G$42+Forudsætninger!$H$43*(K232-Forudsætninger!$C$42),Forudsætninger!$G$42)))*(V232-Forudsætninger!$H$42)</f>
        <v>30.625541283417974</v>
      </c>
      <c r="AD232" s="30">
        <f t="shared" si="87"/>
        <v>7374.3271539896459</v>
      </c>
      <c r="AE232" s="30">
        <f t="shared" si="88"/>
        <v>35.598080986998696</v>
      </c>
      <c r="AF232" s="7">
        <f>IF(G232&lt;=Forudsætninger!$C$97,Forudsætninger!$C$98,(IF(G232&lt;=Forudsætninger!$D$97,Forudsætninger!$D$98,IF(G232&lt;=Forudsætninger!$E$97,Forudsætninger!$E$98,IF(G232&lt;=Forudsætninger!$F$97,Forudsætninger!$F$98,IF(G232&lt;=Forudsætninger!$G$97,Forudsætninger!$G$98,IF(G232&lt;=Forudsætninger!$H$97,Forudsætninger!$H$98,IF(G232&lt;=Forudsætninger!$I$97,Forudsætninger!$I$98,Forudsætninger!$I$98))))))))</f>
        <v>3.8</v>
      </c>
      <c r="AG232" s="21">
        <f t="shared" si="97"/>
        <v>4.4000000000000004</v>
      </c>
      <c r="AH232" s="21">
        <f t="shared" si="101"/>
        <v>696.19999999999754</v>
      </c>
      <c r="AI232" s="21">
        <f t="shared" si="89"/>
        <v>3.0269565217391197</v>
      </c>
      <c r="AJ232" s="28">
        <f>+(W232*Forudsætninger!$C$12)</f>
        <v>900</v>
      </c>
      <c r="AK232" s="28">
        <f>Forudsætninger!$C$17</f>
        <v>250</v>
      </c>
      <c r="AL232" s="28">
        <f>IF(A232&lt;92,Forudsætninger!$C$20,Forudsætninger!$C$21)</f>
        <v>1.0566762728146013</v>
      </c>
      <c r="AM232" s="28">
        <f t="shared" si="98"/>
        <v>511.54102560065076</v>
      </c>
      <c r="AN232" s="30">
        <f>IFERROR(AD232+AJ232-AA232-Z232-AK232-AM232-Forudsætninger!$D$75,-99999)</f>
        <v>1537.1334874238225</v>
      </c>
      <c r="AO232" s="55">
        <f>IFERROR(AN232/(A232+Forudsætninger!$D$74),-99999)</f>
        <v>6.6831890757557506</v>
      </c>
      <c r="AP232" s="30">
        <f>IFERROR(((365/(A232+Forudsætninger!$D$74))*AN232)/(AI232+Forudsætninger!$D$73),-99999)</f>
        <v>777.62123757407778</v>
      </c>
      <c r="AQ232" s="28">
        <f t="shared" si="102"/>
        <v>230</v>
      </c>
      <c r="AR232" s="28">
        <f t="shared" si="103"/>
        <v>6519.3016928648622</v>
      </c>
      <c r="AS232" s="30">
        <f t="shared" si="104"/>
        <v>8.6999999999999993</v>
      </c>
      <c r="AT232" s="30">
        <f t="shared" si="105"/>
        <v>17.474028617175691</v>
      </c>
      <c r="AU232" s="30">
        <f t="shared" si="106"/>
        <v>4.7121570049869277E-2</v>
      </c>
      <c r="AV232" s="30">
        <f t="shared" si="107"/>
        <v>4.0041683479685162</v>
      </c>
      <c r="AW232" s="16">
        <f t="shared" si="99"/>
        <v>8.907280491410754</v>
      </c>
      <c r="AX232" s="28"/>
      <c r="AZ232" s="32"/>
      <c r="BA232" s="30"/>
      <c r="BB232" s="28"/>
      <c r="BC232" s="33"/>
      <c r="BD232" s="30"/>
      <c r="BE232" s="30"/>
      <c r="BF232" s="30"/>
    </row>
    <row r="233" spans="1:58" x14ac:dyDescent="0.25">
      <c r="A233">
        <v>231</v>
      </c>
      <c r="B233" s="1">
        <f>ROUND((A233+Forudsætninger!$D$60)/30.4,1)</f>
        <v>8.6999999999999993</v>
      </c>
      <c r="C233" s="1">
        <f>VLOOKUP((A233+Forudsætninger!$D$60),'Model tilvækst, slagteform, fe'!A:C,3,FALSE)</f>
        <v>451.94377239021492</v>
      </c>
      <c r="D233" s="3">
        <f t="shared" si="108"/>
        <v>1578.2988808199434</v>
      </c>
      <c r="E233" s="3">
        <f>(1+Forudsætninger!$D$78)*C233</f>
        <v>379.63276880778051</v>
      </c>
      <c r="F233" s="2">
        <f t="shared" si="90"/>
        <v>0</v>
      </c>
      <c r="G233" s="1">
        <f t="shared" si="83"/>
        <v>379.63276880778051</v>
      </c>
      <c r="H233" s="3">
        <f t="shared" si="91"/>
        <v>1325.7710598887229</v>
      </c>
      <c r="I233" s="3">
        <f t="shared" si="92"/>
        <v>1331.7435879124698</v>
      </c>
      <c r="J233" s="1">
        <f>VLOOKUP((A233+Forudsætninger!$D$60),'Model tilvækst, slagteform, fe'!G:K,3,FALSE)*(1+Forudsætninger!$D$79)</f>
        <v>54.76951488500908</v>
      </c>
      <c r="K233" s="17">
        <f t="shared" si="84"/>
        <v>207.92302582054947</v>
      </c>
      <c r="L233" s="17">
        <f t="shared" si="93"/>
        <v>767.83796975118435</v>
      </c>
      <c r="M233" s="3">
        <f>((K233-(('Model tilvækst, slagteform, fe'!$I$9/100)*'Model tilvækst, slagteform, fe'!$C$9))*1000/(A233+Forudsætninger!$D$60))</f>
        <v>702.65835043086838</v>
      </c>
      <c r="N233" s="17">
        <f t="shared" si="94"/>
        <v>1234.617149089418</v>
      </c>
      <c r="O233" s="19">
        <f>IF( A233&lt;Forudsætninger!$C$14,(G233/100)*Forudsætninger!$C$13,(Forudsætninger!$C$15/1000)*Forudsætninger!$C$13)</f>
        <v>2.4676129972505736</v>
      </c>
      <c r="P233" s="17" cm="1">
        <f t="array" ref="P233">INDEX('Model tilvækst, slagteform, fe'!$O$9:$O$375,MATCH(MIN(ABS('Model tilvækst, slagteform, fe'!$M$9:$M$375-G233)),ABS('Model tilvækst, slagteform, fe'!$M$9:$M$375-G233),0))*(1+Forudsætninger!$D$80)</f>
        <v>7.385844837469107</v>
      </c>
      <c r="Q233" s="17">
        <f t="shared" si="95"/>
        <v>9.6190148552597208</v>
      </c>
      <c r="R233" s="17">
        <f t="shared" si="96"/>
        <v>7.1380269647759613</v>
      </c>
      <c r="S233" s="2">
        <f t="shared" si="85"/>
        <v>4.0132823101847421</v>
      </c>
      <c r="T233" s="19">
        <f>(P233)*IF(N233&lt;Forudsætninger!$B$228,IF(N233&lt;Forudsætninger!$B$227,Forudsætninger!$B$225,Forudsætninger!$C$9),Forudsætninger!$C$11)+O233</f>
        <v>19.750489916928281</v>
      </c>
      <c r="U233" s="2">
        <f>Forudsætninger!$D$68+((K233-(Forudsætninger!$D$84)))*0.01</f>
        <v>7.2188409395651467</v>
      </c>
      <c r="V233" s="2">
        <f>U233+Forudsætninger!$D$69</f>
        <v>7.2188409395651467</v>
      </c>
      <c r="W233">
        <f t="shared" si="86"/>
        <v>1</v>
      </c>
      <c r="X233">
        <f>IF(A233+Forudsætninger!$D$60&gt;248,IF(A233+Forudsætninger!$D$60&lt;365,IF(K233&gt;180,IF(K233&lt;260,1,0),0),0),0)</f>
        <v>1</v>
      </c>
      <c r="Y233" s="22">
        <f>IF(X233=0,0,IF('Vækstfunktion, kry tyr'!A233&lt;Forudsætninger!$D$66,Forudsætninger!$D$67+(('Vækstfunktion, kry tyr'!A233-Forudsætninger!$D$66)/7)*Forudsætninger!$D$64,Forudsætninger!$D$67))</f>
        <v>0.87799999999999989</v>
      </c>
      <c r="Z233" s="19">
        <f t="shared" si="100"/>
        <v>3722.5111571811399</v>
      </c>
      <c r="AA233" s="19">
        <f>Forudsætninger!$D$62+Forudsætninger!$C$16</f>
        <v>2055</v>
      </c>
      <c r="AB233" s="19">
        <f>IF(K233&gt;Forudsætninger!$C$37,IF(K233&gt;Forudsætninger!$C$38,IF(K233&gt;Forudsætninger!$C$39,Forudsætninger!$E$39,Forudsætninger!$E$38+Forudsætninger!$F$39*(K233-Forudsætninger!$C$38)),Forudsætninger!$E$37+Forudsætninger!$F$38*(K233-Forudsætninger!$C$37)),Forudsætninger!$E$37)+IF(K233&gt;Forudsætninger!$C$39,Forudsætninger!$G$39,IF(K233&gt;Forudsætninger!$C$38,Forudsætninger!$G$38+Forudsætninger!$H$39*(K233-Forudsætninger!$C$38),IF(K233&gt;Forudsætninger!$C$37,Forudsætninger!$G$37+Forudsætninger!$H$38*(K233-Forudsætninger!$C$37),Forudsætninger!$G$37)))*(U233-Forudsætninger!$H$37)</f>
        <v>36.345728374043325</v>
      </c>
      <c r="AC233" s="19">
        <f>IF(K233&gt;Forudsætninger!$C$42,IF(K233&gt;Forudsætninger!$C$43,IF(K233&gt;Forudsætninger!$C$44,Forudsætninger!$E$44,Forudsætninger!$E$43+Forudsætninger!$F$44*(K233-Forudsætninger!$C$43)),Forudsætninger!$E$42+Forudsætninger!$F$43*(K233-Forudsætninger!$C$42)),Forudsætninger!$E$42)+IF(K233&gt;Forudsætninger!$C$44,Forudsætninger!$G$44,IF(K233&gt;Forudsætninger!$C$43,Forudsætninger!$G$43+Forudsætninger!$H$44*(K233-Forudsætninger!$C$43),IF(K233&gt;Forudsætninger!$C$42,Forudsætninger!$G$42+Forudsætninger!$H$43*(K233-Forudsætninger!$C$42),Forudsætninger!$G$42)))*(V233-Forudsætninger!$H$42)</f>
        <v>30.645872364615691</v>
      </c>
      <c r="AD233" s="19">
        <f t="shared" si="87"/>
        <v>7412.5277995798479</v>
      </c>
      <c r="AE233" s="19">
        <f t="shared" si="88"/>
        <v>35.650345940893153</v>
      </c>
      <c r="AF233">
        <f>IF(G233&lt;=Forudsætninger!$C$97,Forudsætninger!$C$98,(IF(G233&lt;=Forudsætninger!$D$97,Forudsætninger!$D$98,IF(G233&lt;=Forudsætninger!$E$97,Forudsætninger!$E$98,IF(G233&lt;=Forudsætninger!$F$97,Forudsætninger!$F$98,IF(G233&lt;=Forudsætninger!$G$97,Forudsætninger!$G$98,IF(G233&lt;=Forudsætninger!$H$97,Forudsætninger!$H$98,IF(G233&lt;=Forudsætninger!$I$97,Forudsætninger!$I$98,Forudsætninger!$I$98))))))))</f>
        <v>3.8</v>
      </c>
      <c r="AG233" s="1">
        <f t="shared" si="97"/>
        <v>4.4000000000000004</v>
      </c>
      <c r="AH233" s="1">
        <f t="shared" si="101"/>
        <v>700.59999999999752</v>
      </c>
      <c r="AI233" s="1">
        <f t="shared" si="89"/>
        <v>3.0329004329004223</v>
      </c>
      <c r="AJ233" s="20">
        <f>+(W233*Forudsætninger!$C$12)</f>
        <v>900</v>
      </c>
      <c r="AK233" s="20">
        <f>Forudsætninger!$C$17</f>
        <v>250</v>
      </c>
      <c r="AL233" s="20">
        <f>IF(A233&lt;92,Forudsætninger!$C$20,Forudsætninger!$C$21)</f>
        <v>1.0566762728146013</v>
      </c>
      <c r="AM233" s="20">
        <f t="shared" si="98"/>
        <v>512.59770187346533</v>
      </c>
      <c r="AN233" s="19">
        <f>IFERROR(AD233+AJ233-AA233-Z233-AK233-AM233-Forudsætninger!$D$75,-99999)</f>
        <v>1554.5269668242825</v>
      </c>
      <c r="AO233" s="57">
        <f>IFERROR(AN233/(A233+Forudsætninger!$D$74),-99999)</f>
        <v>6.7295539689362878</v>
      </c>
      <c r="AP233" s="19">
        <f>IFERROR(((365/(A233+Forudsætninger!$D$74))*AN233)/(AI233+Forudsætninger!$D$73),-99999)</f>
        <v>781.53516189978779</v>
      </c>
      <c r="AQ233" s="18">
        <f t="shared" si="102"/>
        <v>231</v>
      </c>
      <c r="AR233" s="18">
        <f t="shared" si="103"/>
        <v>6540.1088590546051</v>
      </c>
      <c r="AS233" s="50">
        <f t="shared" si="104"/>
        <v>8.6999999999999993</v>
      </c>
      <c r="AT233" s="50">
        <f t="shared" si="105"/>
        <v>17.39347940045991</v>
      </c>
      <c r="AU233" s="50">
        <f t="shared" si="106"/>
        <v>4.6364893180537159E-2</v>
      </c>
      <c r="AV233" s="2">
        <f t="shared" si="107"/>
        <v>3.9139243257100134</v>
      </c>
      <c r="AW233" s="16">
        <f t="shared" si="99"/>
        <v>8.9485916393841904</v>
      </c>
      <c r="AZ233" s="16"/>
      <c r="BA233" s="2"/>
    </row>
    <row r="234" spans="1:58" x14ac:dyDescent="0.25">
      <c r="A234">
        <v>232</v>
      </c>
      <c r="B234" s="1">
        <f>ROUND((A234+Forudsætninger!$D$60)/30.4,1)</f>
        <v>8.8000000000000007</v>
      </c>
      <c r="C234" s="1">
        <f>VLOOKUP((A234+Forudsætninger!$D$60),'Model tilvækst, slagteform, fe'!A:C,3,FALSE)</f>
        <v>453.51752501403485</v>
      </c>
      <c r="D234" s="3">
        <f t="shared" si="108"/>
        <v>1573.752623819928</v>
      </c>
      <c r="E234" s="3">
        <f>(1+Forudsætninger!$D$78)*C234</f>
        <v>380.95472101178927</v>
      </c>
      <c r="F234" s="2">
        <f t="shared" si="90"/>
        <v>0</v>
      </c>
      <c r="G234" s="1">
        <f t="shared" si="83"/>
        <v>380.95472101178927</v>
      </c>
      <c r="H234" s="3">
        <f t="shared" si="91"/>
        <v>1321.9522040087668</v>
      </c>
      <c r="I234" s="3">
        <f t="shared" si="92"/>
        <v>1331.7013836715055</v>
      </c>
      <c r="J234" s="1">
        <f>VLOOKUP((A234+Forudsætninger!$D$60),'Model tilvækst, slagteform, fe'!G:K,3,FALSE)*(1+Forudsætninger!$D$79)</f>
        <v>54.78027250773615</v>
      </c>
      <c r="K234" s="17">
        <f t="shared" si="84"/>
        <v>208.68803430134415</v>
      </c>
      <c r="L234" s="17">
        <f t="shared" si="93"/>
        <v>765.00848079467687</v>
      </c>
      <c r="M234" s="3">
        <f>((K234-(('Model tilvækst, slagteform, fe'!$I$9/100)*'Model tilvækst, slagteform, fe'!$C$9))*1000/(A234+Forudsætninger!$D$60))</f>
        <v>702.8927494171985</v>
      </c>
      <c r="N234" s="17">
        <f t="shared" si="94"/>
        <v>1242.0126750909658</v>
      </c>
      <c r="O234" s="19">
        <f>IF( A234&lt;Forudsætninger!$C$14,(G234/100)*Forudsætninger!$C$13,(Forudsætninger!$C$15/1000)*Forudsætninger!$C$13)</f>
        <v>2.4762056865766304</v>
      </c>
      <c r="P234" s="17" cm="1">
        <f t="array" ref="P234">INDEX('Model tilvækst, slagteform, fe'!$O$9:$O$375,MATCH(MIN(ABS('Model tilvækst, slagteform, fe'!$M$9:$M$375-G234)),ABS('Model tilvækst, slagteform, fe'!$M$9:$M$375-G234),0))*(1+Forudsætninger!$D$80)</f>
        <v>7.3955260015476751</v>
      </c>
      <c r="Q234" s="17">
        <f t="shared" si="95"/>
        <v>9.6672470792288969</v>
      </c>
      <c r="R234" s="17">
        <f t="shared" si="96"/>
        <v>7.1491643214479925</v>
      </c>
      <c r="S234" s="2">
        <f t="shared" si="85"/>
        <v>4.020047568859038</v>
      </c>
      <c r="T234" s="19">
        <f>(P234)*IF(N234&lt;Forudsætninger!$B$228,IF(N234&lt;Forudsætninger!$B$227,Forudsætninger!$B$225,Forudsætninger!$C$9),Forudsætninger!$C$11)+O234</f>
        <v>19.781736530198188</v>
      </c>
      <c r="U234" s="2">
        <f>Forudsætninger!$D$68+((K234-(Forudsætninger!$D$84)))*0.01</f>
        <v>7.226491024373094</v>
      </c>
      <c r="V234" s="2">
        <f>U234+Forudsætninger!$D$69</f>
        <v>7.226491024373094</v>
      </c>
      <c r="W234">
        <f t="shared" si="86"/>
        <v>1</v>
      </c>
      <c r="X234">
        <f>IF(A234+Forudsætninger!$D$60&gt;248,IF(A234+Forudsætninger!$D$60&lt;365,IF(K234&gt;180,IF(K234&lt;260,1,0),0),0),0)</f>
        <v>1</v>
      </c>
      <c r="Y234" s="22">
        <f>IF(X234=0,0,IF('Vækstfunktion, kry tyr'!A234&lt;Forudsætninger!$D$66,Forudsætninger!$D$67+(('Vækstfunktion, kry tyr'!A234-Forudsætninger!$D$66)/7)*Forudsætninger!$D$64,Forudsætninger!$D$67))</f>
        <v>0.88228571428571423</v>
      </c>
      <c r="Z234" s="19">
        <f t="shared" si="100"/>
        <v>3742.2928937113379</v>
      </c>
      <c r="AA234" s="19">
        <f>Forudsætninger!$D$62+Forudsætninger!$C$16</f>
        <v>2055</v>
      </c>
      <c r="AB234" s="19">
        <f>IF(K234&gt;Forudsætninger!$C$37,IF(K234&gt;Forudsætninger!$C$38,IF(K234&gt;Forudsætninger!$C$39,Forudsætninger!$E$39,Forudsætninger!$E$38+Forudsætninger!$F$39*(K234-Forudsætninger!$C$38)),Forudsætninger!$E$37+Forudsætninger!$F$38*(K234-Forudsætninger!$C$37)),Forudsætninger!$E$37)+IF(K234&gt;Forudsætninger!$C$39,Forudsætninger!$G$39,IF(K234&gt;Forudsætninger!$C$38,Forudsætninger!$G$38+Forudsætninger!$H$39*(K234-Forudsætninger!$C$38),IF(K234&gt;Forudsætninger!$C$37,Forudsætninger!$G$37+Forudsætninger!$H$38*(K234-Forudsætninger!$C$37),Forudsætninger!$G$37)))*(U234-Forudsætninger!$H$37)</f>
        <v>36.374543693486594</v>
      </c>
      <c r="AC234" s="19">
        <f>IF(K234&gt;Forudsætninger!$C$42,IF(K234&gt;Forudsætninger!$C$43,IF(K234&gt;Forudsætninger!$C$44,Forudsætninger!$E$44,Forudsætninger!$E$43+Forudsætninger!$F$44*(K234-Forudsætninger!$C$43)),Forudsætninger!$E$42+Forudsætninger!$F$43*(K234-Forudsætninger!$C$42)),Forudsætninger!$E$42)+IF(K234&gt;Forudsætninger!$C$44,Forudsætninger!$G$44,IF(K234&gt;Forudsætninger!$C$43,Forudsætninger!$G$43+Forudsætninger!$H$44*(K234-Forudsætninger!$C$43),IF(K234&gt;Forudsætninger!$C$42,Forudsætninger!$G$42+Forudsætninger!$H$43*(K234-Forudsætninger!$C$42),Forudsætninger!$G$42)))*(V234-Forudsætninger!$H$42)</f>
        <v>30.666104095608194</v>
      </c>
      <c r="AD234" s="19">
        <f t="shared" si="87"/>
        <v>7450.7009900286466</v>
      </c>
      <c r="AE234" s="19">
        <f t="shared" si="88"/>
        <v>35.702578803679195</v>
      </c>
      <c r="AF234">
        <f>IF(G234&lt;=Forudsætninger!$C$97,Forudsætninger!$C$98,(IF(G234&lt;=Forudsætninger!$D$97,Forudsætninger!$D$98,IF(G234&lt;=Forudsætninger!$E$97,Forudsætninger!$E$98,IF(G234&lt;=Forudsætninger!$F$97,Forudsætninger!$F$98,IF(G234&lt;=Forudsætninger!$G$97,Forudsætninger!$G$98,IF(G234&lt;=Forudsætninger!$H$97,Forudsætninger!$H$98,IF(G234&lt;=Forudsætninger!$I$97,Forudsætninger!$I$98,Forudsætninger!$I$98))))))))</f>
        <v>3.8</v>
      </c>
      <c r="AG234" s="1">
        <f t="shared" si="97"/>
        <v>4.4000000000000004</v>
      </c>
      <c r="AH234" s="1">
        <f t="shared" si="101"/>
        <v>704.9999999999975</v>
      </c>
      <c r="AI234" s="1">
        <f t="shared" si="89"/>
        <v>3.0387931034482651</v>
      </c>
      <c r="AJ234" s="20">
        <f>+(W234*Forudsætninger!$C$12)</f>
        <v>900</v>
      </c>
      <c r="AK234" s="20">
        <f>Forudsætninger!$C$17</f>
        <v>250</v>
      </c>
      <c r="AL234" s="20">
        <f>IF(A234&lt;92,Forudsætninger!$C$20,Forudsætninger!$C$21)</f>
        <v>1.0566762728146013</v>
      </c>
      <c r="AM234" s="20">
        <f t="shared" si="98"/>
        <v>513.6543781462799</v>
      </c>
      <c r="AN234" s="19">
        <f>IFERROR(AD234+AJ234-AA234-Z234-AK234-AM234-Forudsætninger!$D$75,-99999)</f>
        <v>1571.8617444700685</v>
      </c>
      <c r="AO234" s="57">
        <f>IFERROR(AN234/(A234+Forudsætninger!$D$74),-99999)</f>
        <v>6.7752661399571918</v>
      </c>
      <c r="AP234" s="19">
        <f>IFERROR(((365/(A234+Forudsætninger!$D$74))*AN234)/(AI234+Forudsætninger!$D$73),-99999)</f>
        <v>785.3714295728754</v>
      </c>
      <c r="AQ234" s="18">
        <f t="shared" si="102"/>
        <v>232</v>
      </c>
      <c r="AR234" s="18">
        <f t="shared" si="103"/>
        <v>6560.9472718576171</v>
      </c>
      <c r="AS234" s="50">
        <f t="shared" si="104"/>
        <v>8.8000000000000007</v>
      </c>
      <c r="AT234" s="50">
        <f t="shared" si="105"/>
        <v>17.334777645786062</v>
      </c>
      <c r="AU234" s="50">
        <f t="shared" si="106"/>
        <v>4.571217102090408E-2</v>
      </c>
      <c r="AV234" s="2">
        <f t="shared" si="107"/>
        <v>3.8362676730876046</v>
      </c>
      <c r="AW234" s="16">
        <f t="shared" si="99"/>
        <v>8.9892936319670174</v>
      </c>
      <c r="AZ234" s="16"/>
      <c r="BA234" s="2"/>
    </row>
    <row r="235" spans="1:58" x14ac:dyDescent="0.25">
      <c r="A235">
        <v>233</v>
      </c>
      <c r="B235" s="1">
        <f>ROUND((A235+Forudsætninger!$D$60)/30.4,1)</f>
        <v>8.8000000000000007</v>
      </c>
      <c r="C235" s="1">
        <f>VLOOKUP((A235+Forudsætninger!$D$60),'Model tilvækst, slagteform, fe'!A:C,3,FALSE)</f>
        <v>455.086717519687</v>
      </c>
      <c r="D235" s="3">
        <f t="shared" si="108"/>
        <v>1569.1925056521541</v>
      </c>
      <c r="E235" s="3">
        <f>(1+Forudsætninger!$D$78)*C235</f>
        <v>382.27284271653707</v>
      </c>
      <c r="F235" s="2">
        <f t="shared" si="90"/>
        <v>0</v>
      </c>
      <c r="G235" s="1">
        <f t="shared" si="83"/>
        <v>382.27284271653707</v>
      </c>
      <c r="H235" s="3">
        <f t="shared" si="91"/>
        <v>1318.1217047477958</v>
      </c>
      <c r="I235" s="3">
        <f t="shared" si="92"/>
        <v>1331.6431017877128</v>
      </c>
      <c r="J235" s="1">
        <f>VLOOKUP((A235+Forudsætninger!$D$60),'Model tilvækst, slagteform, fe'!G:K,3,FALSE)*(1+Forudsætninger!$D$79)</f>
        <v>54.790768322228871</v>
      </c>
      <c r="K235" s="17">
        <f t="shared" si="84"/>
        <v>209.45022761161619</v>
      </c>
      <c r="L235" s="17">
        <f t="shared" si="93"/>
        <v>762.19331027203907</v>
      </c>
      <c r="M235" s="3">
        <f>((K235-(('Model tilvækst, slagteform, fe'!$I$9/100)*'Model tilvækst, slagteform, fe'!$C$9))*1000/(A235+Forudsætninger!$D$60))</f>
        <v>703.11484889605561</v>
      </c>
      <c r="N235" s="17">
        <f t="shared" si="94"/>
        <v>1249.4180113533828</v>
      </c>
      <c r="O235" s="19">
        <f>IF( A235&lt;Forudsætninger!$C$14,(G235/100)*Forudsætninger!$C$13,(Forudsætninger!$C$15/1000)*Forudsætninger!$C$13)</f>
        <v>2.484773477657491</v>
      </c>
      <c r="P235" s="17" cm="1">
        <f t="array" ref="P235">INDEX('Model tilvækst, slagteform, fe'!$O$9:$O$375,MATCH(MIN(ABS('Model tilvækst, slagteform, fe'!$M$9:$M$375-G235)),ABS('Model tilvækst, slagteform, fe'!$M$9:$M$375-G235),0))*(1+Forudsætninger!$D$80)</f>
        <v>7.4053362624169878</v>
      </c>
      <c r="Q235" s="17">
        <f t="shared" si="95"/>
        <v>9.7158242700580821</v>
      </c>
      <c r="R235" s="17">
        <f t="shared" si="96"/>
        <v>7.1603757645698325</v>
      </c>
      <c r="S235" s="2">
        <f t="shared" si="85"/>
        <v>4.0268365107765547</v>
      </c>
      <c r="T235" s="19">
        <f>(P235)*IF(N235&lt;Forudsætninger!$B$228,IF(N235&lt;Forudsætninger!$B$227,Forudsætninger!$B$225,Forudsætninger!$C$9),Forudsætninger!$C$11)+O235</f>
        <v>19.813260331713241</v>
      </c>
      <c r="U235" s="2">
        <f>Forudsætninger!$D$68+((K235-(Forudsætninger!$D$84)))*0.01</f>
        <v>7.2341129574758138</v>
      </c>
      <c r="V235" s="2">
        <f>U235+Forudsætninger!$D$69</f>
        <v>7.2341129574758138</v>
      </c>
      <c r="W235">
        <f t="shared" si="86"/>
        <v>1</v>
      </c>
      <c r="X235">
        <f>IF(A235+Forudsætninger!$D$60&gt;248,IF(A235+Forudsætninger!$D$60&lt;365,IF(K235&gt;180,IF(K235&lt;260,1,0),0),0),0)</f>
        <v>1</v>
      </c>
      <c r="Y235" s="22">
        <f>IF(X235=0,0,IF('Vækstfunktion, kry tyr'!A235&lt;Forudsætninger!$D$66,Forudsætninger!$D$67+(('Vækstfunktion, kry tyr'!A235-Forudsætninger!$D$66)/7)*Forudsætninger!$D$64,Forudsætninger!$D$67))</f>
        <v>0.88657142857142845</v>
      </c>
      <c r="Z235" s="19">
        <f t="shared" si="100"/>
        <v>3762.106154043051</v>
      </c>
      <c r="AA235" s="19">
        <f>Forudsætninger!$D$62+Forudsætninger!$C$16</f>
        <v>2055</v>
      </c>
      <c r="AB235" s="19">
        <f>IF(K235&gt;Forudsætninger!$C$37,IF(K235&gt;Forudsætninger!$C$38,IF(K235&gt;Forudsætninger!$C$39,Forudsætninger!$E$39,Forudsætninger!$E$38+Forudsætninger!$F$39*(K235-Forudsætninger!$C$38)),Forudsætninger!$E$37+Forudsætninger!$F$38*(K235-Forudsætninger!$C$37)),Forudsætninger!$E$37)+IF(K235&gt;Forudsætninger!$C$39,Forudsætninger!$G$39,IF(K235&gt;Forudsætninger!$C$38,Forudsætninger!$G$38+Forudsætninger!$H$39*(K235-Forudsætninger!$C$38),IF(K235&gt;Forudsætninger!$C$37,Forudsætninger!$G$37+Forudsætninger!$H$38*(K235-Forudsætninger!$C$37),Forudsætninger!$G$37)))*(U235-Forudsætninger!$H$37)</f>
        <v>36.403252974840179</v>
      </c>
      <c r="AC235" s="19">
        <f>IF(K235&gt;Forudsætninger!$C$42,IF(K235&gt;Forudsætninger!$C$43,IF(K235&gt;Forudsætninger!$C$44,Forudsætninger!$E$44,Forudsætninger!$E$43+Forudsætninger!$F$44*(K235-Forudsætninger!$C$43)),Forudsætninger!$E$42+Forudsætninger!$F$43*(K235-Forudsætninger!$C$42)),Forudsætninger!$E$42)+IF(K235&gt;Forudsætninger!$C$44,Forudsætninger!$G$44,IF(K235&gt;Forudsætninger!$C$43,Forudsætninger!$G$43+Forudsætninger!$H$44*(K235-Forudsætninger!$C$43),IF(K235&gt;Forudsætninger!$C$42,Forudsætninger!$G$42+Forudsætninger!$H$43*(K235-Forudsætninger!$C$42),Forudsætninger!$G$42)))*(V235-Forudsætninger!$H$42)</f>
        <v>30.686237124956651</v>
      </c>
      <c r="AD235" s="19">
        <f t="shared" si="87"/>
        <v>7488.8468163566977</v>
      </c>
      <c r="AE235" s="19">
        <f t="shared" si="88"/>
        <v>35.754780034153391</v>
      </c>
      <c r="AF235">
        <f>IF(G235&lt;=Forudsætninger!$C$97,Forudsætninger!$C$98,(IF(G235&lt;=Forudsætninger!$D$97,Forudsætninger!$D$98,IF(G235&lt;=Forudsætninger!$E$97,Forudsætninger!$E$98,IF(G235&lt;=Forudsætninger!$F$97,Forudsætninger!$F$98,IF(G235&lt;=Forudsætninger!$G$97,Forudsætninger!$G$98,IF(G235&lt;=Forudsætninger!$H$97,Forudsætninger!$H$98,IF(G235&lt;=Forudsætninger!$I$97,Forudsætninger!$I$98,Forudsætninger!$I$98))))))))</f>
        <v>3.8</v>
      </c>
      <c r="AG235" s="1">
        <f t="shared" si="97"/>
        <v>4.4000000000000004</v>
      </c>
      <c r="AH235" s="1">
        <f t="shared" si="101"/>
        <v>709.39999999999748</v>
      </c>
      <c r="AI235" s="1">
        <f t="shared" si="89"/>
        <v>3.0446351931330362</v>
      </c>
      <c r="AJ235" s="20">
        <f>+(W235*Forudsætninger!$C$12)</f>
        <v>900</v>
      </c>
      <c r="AK235" s="20">
        <f>Forudsætninger!$C$17</f>
        <v>250</v>
      </c>
      <c r="AL235" s="20">
        <f>IF(A235&lt;92,Forudsætninger!$C$20,Forudsætninger!$C$21)</f>
        <v>1.0566762728146013</v>
      </c>
      <c r="AM235" s="20">
        <f t="shared" si="98"/>
        <v>514.71105441909447</v>
      </c>
      <c r="AN235" s="19">
        <f>IFERROR(AD235+AJ235-AA235-Z235-AK235-AM235-Forudsætninger!$D$75,-99999)</f>
        <v>1589.1376341935918</v>
      </c>
      <c r="AO235" s="57">
        <f>IFERROR(AN235/(A235+Forudsætninger!$D$74),-99999)</f>
        <v>6.8203331939639131</v>
      </c>
      <c r="AP235" s="19">
        <f>IFERROR(((365/(A235+Forudsætninger!$D$74))*AN235)/(AI235+Forudsætninger!$D$73),-99999)</f>
        <v>789.13137760453719</v>
      </c>
      <c r="AQ235" s="18">
        <f t="shared" si="102"/>
        <v>233</v>
      </c>
      <c r="AR235" s="18">
        <f t="shared" si="103"/>
        <v>6581.8172084621456</v>
      </c>
      <c r="AS235" s="50">
        <f t="shared" si="104"/>
        <v>8.8000000000000007</v>
      </c>
      <c r="AT235" s="50">
        <f t="shared" si="105"/>
        <v>17.275889723523278</v>
      </c>
      <c r="AU235" s="50">
        <f t="shared" si="106"/>
        <v>4.5067054006721285E-2</v>
      </c>
      <c r="AV235" s="2">
        <f t="shared" si="107"/>
        <v>3.7599480316617928</v>
      </c>
      <c r="AW235" s="16">
        <f t="shared" si="99"/>
        <v>9.0293935133591674</v>
      </c>
      <c r="AZ235" s="16"/>
      <c r="BA235" s="2"/>
    </row>
    <row r="236" spans="1:58" x14ac:dyDescent="0.25">
      <c r="A236">
        <v>234</v>
      </c>
      <c r="B236" s="1">
        <f>ROUND((A236+Forudsætninger!$D$60)/30.4,1)</f>
        <v>8.8000000000000007</v>
      </c>
      <c r="C236" s="1">
        <f>VLOOKUP((A236+Forudsætninger!$D$60),'Model tilvækst, slagteform, fe'!A:C,3,FALSE)</f>
        <v>456.65133666694078</v>
      </c>
      <c r="D236" s="3">
        <f t="shared" si="108"/>
        <v>1564.6191472537794</v>
      </c>
      <c r="E236" s="3">
        <f>(1+Forudsætninger!$D$78)*C236</f>
        <v>383.58712280023025</v>
      </c>
      <c r="F236" s="2">
        <f t="shared" si="90"/>
        <v>0</v>
      </c>
      <c r="G236" s="1">
        <f t="shared" si="83"/>
        <v>383.58712280023025</v>
      </c>
      <c r="H236" s="3">
        <f t="shared" si="91"/>
        <v>1314.2800836931769</v>
      </c>
      <c r="I236" s="3">
        <f t="shared" si="92"/>
        <v>1331.5689008556847</v>
      </c>
      <c r="J236" s="1">
        <f>VLOOKUP((A236+Forudsætninger!$D$60),'Model tilvækst, slagteform, fe'!G:K,3,FALSE)*(1+Forudsætninger!$D$79)</f>
        <v>54.801010870048884</v>
      </c>
      <c r="K236" s="17">
        <f t="shared" si="84"/>
        <v>210.20962086186194</v>
      </c>
      <c r="L236" s="17">
        <f t="shared" si="93"/>
        <v>759.39325024575055</v>
      </c>
      <c r="M236" s="3">
        <f>((K236-(('Model tilvækst, slagteform, fe'!$I$9/100)*'Model tilvækst, slagteform, fe'!$C$9))*1000/(A236+Forudsætninger!$D$60))</f>
        <v>703.32484293094251</v>
      </c>
      <c r="N236" s="17">
        <f t="shared" si="94"/>
        <v>1256.8332893906188</v>
      </c>
      <c r="O236" s="19">
        <f>IF( A236&lt;Forudsætninger!$C$14,(G236/100)*Forudsætninger!$C$13,(Forudsætninger!$C$15/1000)*Forudsætninger!$C$13)</f>
        <v>2.4933162982014965</v>
      </c>
      <c r="P236" s="17" cm="1">
        <f t="array" ref="P236">INDEX('Model tilvækst, slagteform, fe'!$O$9:$O$375,MATCH(MIN(ABS('Model tilvækst, slagteform, fe'!$M$9:$M$375-G236)),ABS('Model tilvækst, slagteform, fe'!$M$9:$M$375-G236),0))*(1+Forudsætninger!$D$80)</f>
        <v>7.4152780372361216</v>
      </c>
      <c r="Q236" s="17">
        <f t="shared" si="95"/>
        <v>9.7647405146627673</v>
      </c>
      <c r="R236" s="17">
        <f t="shared" si="96"/>
        <v>7.1716609998667806</v>
      </c>
      <c r="S236" s="2">
        <f t="shared" si="85"/>
        <v>4.0336496518067593</v>
      </c>
      <c r="T236" s="19">
        <f>(P236)*IF(N236&lt;Forudsætninger!$B$228,IF(N236&lt;Forudsætninger!$B$227,Forudsætninger!$B$225,Forudsætninger!$C$9),Forudsætninger!$C$11)+O236</f>
        <v>19.845066905334019</v>
      </c>
      <c r="U236" s="2">
        <f>Forudsætninger!$D$68+((K236-(Forudsætninger!$D$84)))*0.01</f>
        <v>7.2417068899782713</v>
      </c>
      <c r="V236" s="2">
        <f>U236+Forudsætninger!$D$69</f>
        <v>7.2417068899782713</v>
      </c>
      <c r="W236">
        <f t="shared" si="86"/>
        <v>1</v>
      </c>
      <c r="X236">
        <f>IF(A236+Forudsætninger!$D$60&gt;248,IF(A236+Forudsætninger!$D$60&lt;365,IF(K236&gt;180,IF(K236&lt;260,1,0),0),0),0)</f>
        <v>1</v>
      </c>
      <c r="Y236" s="22">
        <f>IF(X236=0,0,IF('Vækstfunktion, kry tyr'!A236&lt;Forudsætninger!$D$66,Forudsætninger!$D$67+(('Vækstfunktion, kry tyr'!A236-Forudsætninger!$D$66)/7)*Forudsætninger!$D$64,Forudsætninger!$D$67))</f>
        <v>0.89085714285714279</v>
      </c>
      <c r="Z236" s="19">
        <f t="shared" si="100"/>
        <v>3781.9512209483851</v>
      </c>
      <c r="AA236" s="19">
        <f>Forudsætninger!$D$62+Forudsætninger!$C$16</f>
        <v>2055</v>
      </c>
      <c r="AB236" s="19">
        <f>IF(K236&gt;Forudsætninger!$C$37,IF(K236&gt;Forudsætninger!$C$38,IF(K236&gt;Forudsætninger!$C$39,Forudsætninger!$E$39,Forudsætninger!$E$38+Forudsætninger!$F$39*(K236-Forudsætninger!$C$38)),Forudsætninger!$E$37+Forudsætninger!$F$38*(K236-Forudsætninger!$C$37)),Forudsætninger!$E$37)+IF(K236&gt;Forudsætninger!$C$39,Forudsætninger!$G$39,IF(K236&gt;Forudsætninger!$C$38,Forudsætninger!$G$38+Forudsætninger!$H$39*(K236-Forudsætninger!$C$38),IF(K236&gt;Forudsætninger!$C$37,Forudsætninger!$G$37+Forudsætninger!$H$38*(K236-Forudsætninger!$C$37),Forudsætninger!$G$37)))*(U236-Forudsætninger!$H$37)</f>
        <v>36.428101080157738</v>
      </c>
      <c r="AC236" s="19">
        <f>IF(K236&gt;Forudsætninger!$C$42,IF(K236&gt;Forudsætninger!$C$43,IF(K236&gt;Forudsætninger!$C$44,Forudsætninger!$E$44,Forudsætninger!$E$43+Forudsætninger!$F$44*(K236-Forudsætninger!$C$43)),Forudsætninger!$E$42+Forudsætninger!$F$43*(K236-Forudsætninger!$C$42)),Forudsætninger!$E$42)+IF(K236&gt;Forudsætninger!$C$44,Forudsætninger!$G$44,IF(K236&gt;Forudsætninger!$C$43,Forudsætninger!$G$43+Forudsætninger!$H$44*(K236-Forudsætninger!$C$43),IF(K236&gt;Forudsætninger!$C$42,Forudsætninger!$G$42+Forudsætninger!$H$43*(K236-Forudsætninger!$C$42),Forudsætninger!$G$42)))*(V236-Forudsætninger!$H$42)</f>
        <v>30.706272119293718</v>
      </c>
      <c r="AD236" s="19">
        <f t="shared" si="87"/>
        <v>7526.2620894452939</v>
      </c>
      <c r="AE236" s="19">
        <f t="shared" si="88"/>
        <v>35.803604319286293</v>
      </c>
      <c r="AF236">
        <f>IF(G236&lt;=Forudsætninger!$C$97,Forudsætninger!$C$98,(IF(G236&lt;=Forudsætninger!$D$97,Forudsætninger!$D$98,IF(G236&lt;=Forudsætninger!$E$97,Forudsætninger!$E$98,IF(G236&lt;=Forudsætninger!$F$97,Forudsætninger!$F$98,IF(G236&lt;=Forudsætninger!$G$97,Forudsætninger!$G$98,IF(G236&lt;=Forudsætninger!$H$97,Forudsætninger!$H$98,IF(G236&lt;=Forudsætninger!$I$97,Forudsætninger!$I$98,Forudsætninger!$I$98))))))))</f>
        <v>3.8</v>
      </c>
      <c r="AG236" s="1">
        <f t="shared" si="97"/>
        <v>4.4000000000000004</v>
      </c>
      <c r="AH236" s="1">
        <f t="shared" si="101"/>
        <v>713.79999999999745</v>
      </c>
      <c r="AI236" s="1">
        <f t="shared" si="89"/>
        <v>3.0504273504273396</v>
      </c>
      <c r="AJ236" s="20">
        <f>+(W236*Forudsætninger!$C$12)</f>
        <v>900</v>
      </c>
      <c r="AK236" s="20">
        <f>Forudsætninger!$C$17</f>
        <v>250</v>
      </c>
      <c r="AL236" s="20">
        <f>IF(A236&lt;92,Forudsætninger!$C$20,Forudsætninger!$C$21)</f>
        <v>1.0566762728146013</v>
      </c>
      <c r="AM236" s="20">
        <f t="shared" si="98"/>
        <v>515.76773069190904</v>
      </c>
      <c r="AN236" s="19">
        <f>IFERROR(AD236+AJ236-AA236-Z236-AK236-AM236-Forudsætninger!$D$75,-99999)</f>
        <v>1605.6511641040395</v>
      </c>
      <c r="AO236" s="57">
        <f>IFERROR(AN236/(A236+Forudsætninger!$D$74),-99999)</f>
        <v>6.8617571115557245</v>
      </c>
      <c r="AP236" s="19">
        <f>IFERROR(((365/(A236+Forudsætninger!$D$74))*AN236)/(AI236+Forudsætninger!$D$73),-99999)</f>
        <v>792.46920369145198</v>
      </c>
      <c r="AQ236" s="18">
        <f t="shared" si="102"/>
        <v>234</v>
      </c>
      <c r="AR236" s="18">
        <f t="shared" si="103"/>
        <v>6602.7189516402941</v>
      </c>
      <c r="AS236" s="50">
        <f t="shared" si="104"/>
        <v>8.8000000000000007</v>
      </c>
      <c r="AT236" s="50">
        <f t="shared" si="105"/>
        <v>16.513529910447687</v>
      </c>
      <c r="AU236" s="50">
        <f t="shared" si="106"/>
        <v>4.142391759181141E-2</v>
      </c>
      <c r="AV236" s="2">
        <f t="shared" si="107"/>
        <v>3.337826086914788</v>
      </c>
      <c r="AW236" s="16">
        <f t="shared" si="99"/>
        <v>9.0658927128031976</v>
      </c>
      <c r="AZ236" s="16"/>
      <c r="BA236" s="2"/>
    </row>
    <row r="237" spans="1:58" x14ac:dyDescent="0.25">
      <c r="A237">
        <v>235</v>
      </c>
      <c r="B237" s="1">
        <f>ROUND((A237+Forudsætninger!$D$60)/30.4,1)</f>
        <v>8.8000000000000007</v>
      </c>
      <c r="C237" s="1">
        <f>VLOOKUP((A237+Forudsætninger!$D$60),'Model tilvækst, slagteform, fe'!A:C,3,FALSE)</f>
        <v>458.21136983650206</v>
      </c>
      <c r="D237" s="3">
        <f t="shared" si="108"/>
        <v>1560.0331695612795</v>
      </c>
      <c r="E237" s="3">
        <f>(1+Forudsætninger!$D$78)*C237</f>
        <v>384.89755066266173</v>
      </c>
      <c r="F237" s="2">
        <f t="shared" si="90"/>
        <v>0</v>
      </c>
      <c r="G237" s="1">
        <f t="shared" si="83"/>
        <v>384.89755066266173</v>
      </c>
      <c r="H237" s="3">
        <f t="shared" si="91"/>
        <v>1310.4278624314816</v>
      </c>
      <c r="I237" s="3">
        <f t="shared" si="92"/>
        <v>1331.47893899005</v>
      </c>
      <c r="J237" s="1">
        <f>VLOOKUP((A237+Forudsætninger!$D$60),'Model tilvækst, slagteform, fe'!G:K,3,FALSE)*(1+Forudsætninger!$D$79)</f>
        <v>54.811008692757746</v>
      </c>
      <c r="K237" s="17">
        <f t="shared" si="84"/>
        <v>210.96622995192317</v>
      </c>
      <c r="L237" s="17">
        <f t="shared" si="93"/>
        <v>756.60909006123234</v>
      </c>
      <c r="M237" s="3">
        <f>((K237-(('Model tilvækst, slagteform, fe'!$I$9/100)*'Model tilvækst, slagteform, fe'!$C$9))*1000/(A237+Forudsætninger!$D$60))</f>
        <v>703.52292563402921</v>
      </c>
      <c r="N237" s="17">
        <f t="shared" si="94"/>
        <v>1264.2586431337829</v>
      </c>
      <c r="O237" s="19">
        <f>IF( A237&lt;Forudsætninger!$C$14,(G237/100)*Forudsætninger!$C$13,(Forudsætninger!$C$15/1000)*Forudsætninger!$C$13)</f>
        <v>2.5018340793073013</v>
      </c>
      <c r="P237" s="17" cm="1">
        <f t="array" ref="P237">INDEX('Model tilvækst, slagteform, fe'!$O$9:$O$375,MATCH(MIN(ABS('Model tilvækst, slagteform, fe'!$M$9:$M$375-G237)),ABS('Model tilvækst, slagteform, fe'!$M$9:$M$375-G237),0))*(1+Forudsætninger!$D$80)</f>
        <v>7.425353743164151</v>
      </c>
      <c r="Q237" s="17">
        <f t="shared" si="95"/>
        <v>9.8139896026932707</v>
      </c>
      <c r="R237" s="17">
        <f t="shared" si="96"/>
        <v>7.1830197228524533</v>
      </c>
      <c r="S237" s="2">
        <f t="shared" si="85"/>
        <v>4.040487502878519</v>
      </c>
      <c r="T237" s="19">
        <f>(P237)*IF(N237&lt;Forudsætninger!$B$228,IF(N237&lt;Forudsætninger!$B$227,Forudsætninger!$B$225,Forudsætninger!$C$9),Forudsætninger!$C$11)+O237</f>
        <v>19.877161838311412</v>
      </c>
      <c r="U237" s="2">
        <f>Forudsætninger!$D$68+((K237-(Forudsætninger!$D$84)))*0.01</f>
        <v>7.2492729808788843</v>
      </c>
      <c r="V237" s="2">
        <f>U237+Forudsætninger!$D$69</f>
        <v>7.2492729808788843</v>
      </c>
      <c r="W237">
        <f t="shared" si="86"/>
        <v>1</v>
      </c>
      <c r="X237">
        <f>IF(A237+Forudsætninger!$D$60&gt;248,IF(A237+Forudsætninger!$D$60&lt;365,IF(K237&gt;180,IF(K237&lt;260,1,0),0),0),0)</f>
        <v>1</v>
      </c>
      <c r="Y237" s="22">
        <f>IF(X237=0,0,IF('Vækstfunktion, kry tyr'!A237&lt;Forudsætninger!$D$66,Forudsætninger!$D$67+(('Vækstfunktion, kry tyr'!A237-Forudsætninger!$D$66)/7)*Forudsætninger!$D$64,Forudsætninger!$D$67))</f>
        <v>0.89514285714285713</v>
      </c>
      <c r="Z237" s="19">
        <f t="shared" si="100"/>
        <v>3801.8283827866967</v>
      </c>
      <c r="AA237" s="19">
        <f>Forudsætninger!$D$62+Forudsætninger!$C$16</f>
        <v>2055</v>
      </c>
      <c r="AB237" s="19">
        <f>IF(K237&gt;Forudsætninger!$C$37,IF(K237&gt;Forudsætninger!$C$38,IF(K237&gt;Forudsætninger!$C$39,Forudsætninger!$E$39,Forudsætninger!$E$38+Forudsætninger!$F$39*(K237-Forudsætninger!$C$38)),Forudsætninger!$E$37+Forudsætninger!$F$38*(K237-Forudsætninger!$C$37)),Forudsætninger!$E$37)+IF(K237&gt;Forudsætninger!$C$39,Forudsætninger!$G$39,IF(K237&gt;Forudsætninger!$C$38,Forudsætninger!$G$38+Forudsætninger!$H$39*(K237-Forudsætninger!$C$38),IF(K237&gt;Forudsætninger!$C$37,Forudsætninger!$G$37+Forudsætninger!$H$38*(K237-Forudsætninger!$C$37),Forudsætninger!$G$37)))*(U237-Forudsætninger!$H$37)</f>
        <v>36.443044109686447</v>
      </c>
      <c r="AC237" s="19">
        <f>IF(K237&gt;Forudsætninger!$C$42,IF(K237&gt;Forudsætninger!$C$43,IF(K237&gt;Forudsætninger!$C$44,Forudsætninger!$E$44,Forudsætninger!$E$43+Forudsætninger!$F$44*(K237-Forudsætninger!$C$43)),Forudsætninger!$E$42+Forudsætninger!$F$43*(K237-Forudsætninger!$C$42)),Forudsætninger!$E$42)+IF(K237&gt;Forudsætninger!$C$44,Forudsætninger!$G$44,IF(K237&gt;Forudsætninger!$C$43,Forudsætninger!$G$43+Forudsætninger!$H$44*(K237-Forudsætninger!$C$43),IF(K237&gt;Forudsætninger!$C$42,Forudsætninger!$G$42+Forudsætninger!$H$43*(K237-Forudsætninger!$C$42),Forudsætninger!$G$42)))*(V237-Forudsætninger!$H$42)</f>
        <v>30.726209763143835</v>
      </c>
      <c r="AD237" s="19">
        <f t="shared" si="87"/>
        <v>7561.7877240518019</v>
      </c>
      <c r="AE237" s="19">
        <f t="shared" si="88"/>
        <v>35.843593193920412</v>
      </c>
      <c r="AF237">
        <f>IF(G237&lt;=Forudsætninger!$C$97,Forudsætninger!$C$98,(IF(G237&lt;=Forudsætninger!$D$97,Forudsætninger!$D$98,IF(G237&lt;=Forudsætninger!$E$97,Forudsætninger!$E$98,IF(G237&lt;=Forudsætninger!$F$97,Forudsætninger!$F$98,IF(G237&lt;=Forudsætninger!$G$97,Forudsætninger!$G$98,IF(G237&lt;=Forudsætninger!$H$97,Forudsætninger!$H$98,IF(G237&lt;=Forudsætninger!$I$97,Forudsætninger!$I$98,Forudsætninger!$I$98))))))))</f>
        <v>3.8</v>
      </c>
      <c r="AG237" s="1">
        <f t="shared" si="97"/>
        <v>4.4000000000000004</v>
      </c>
      <c r="AH237" s="1">
        <f t="shared" si="101"/>
        <v>718.19999999999743</v>
      </c>
      <c r="AI237" s="1">
        <f t="shared" si="89"/>
        <v>3.0561702127659465</v>
      </c>
      <c r="AJ237" s="20">
        <f>+(W237*Forudsætninger!$C$12)</f>
        <v>900</v>
      </c>
      <c r="AK237" s="20">
        <f>Forudsætninger!$C$17</f>
        <v>250</v>
      </c>
      <c r="AL237" s="20">
        <f>IF(A237&lt;92,Forudsætninger!$C$20,Forudsætninger!$C$21)</f>
        <v>1.0566762728146013</v>
      </c>
      <c r="AM237" s="20">
        <f t="shared" si="98"/>
        <v>516.82440696472361</v>
      </c>
      <c r="AN237" s="19">
        <f>IFERROR(AD237+AJ237-AA237-Z237-AK237-AM237-Forudsætninger!$D$75,-99999)</f>
        <v>1620.2429605994223</v>
      </c>
      <c r="AO237" s="57">
        <f>IFERROR(AN237/(A237+Forudsætninger!$D$74),-99999)</f>
        <v>6.8946508961677546</v>
      </c>
      <c r="AP237" s="19">
        <f>IFERROR(((365/(A237+Forudsætninger!$D$74))*AN237)/(AI237+Forudsætninger!$D$73),-99999)</f>
        <v>794.82384331535673</v>
      </c>
      <c r="AQ237" s="18">
        <f t="shared" si="102"/>
        <v>235</v>
      </c>
      <c r="AR237" s="18">
        <f t="shared" si="103"/>
        <v>6623.6527897514197</v>
      </c>
      <c r="AS237" s="50">
        <f t="shared" si="104"/>
        <v>8.8000000000000007</v>
      </c>
      <c r="AT237" s="50">
        <f t="shared" si="105"/>
        <v>14.591796495382823</v>
      </c>
      <c r="AU237" s="50">
        <f t="shared" si="106"/>
        <v>3.2893784612030075E-2</v>
      </c>
      <c r="AV237" s="2">
        <f t="shared" si="107"/>
        <v>2.3546396239047453</v>
      </c>
      <c r="AW237" s="16">
        <f t="shared" si="99"/>
        <v>9.093903691762323</v>
      </c>
      <c r="AZ237" s="16"/>
      <c r="BA237" s="2"/>
    </row>
    <row r="238" spans="1:58" x14ac:dyDescent="0.25">
      <c r="A238">
        <v>236</v>
      </c>
      <c r="B238" s="1">
        <f>ROUND((A238+Forudsætninger!$D$60)/30.4,1)</f>
        <v>8.9</v>
      </c>
      <c r="C238" s="1">
        <f>VLOOKUP((A238+Forudsætninger!$D$60),'Model tilvækst, slagteform, fe'!A:C,3,FALSE)</f>
        <v>459.76680503001302</v>
      </c>
      <c r="D238" s="3">
        <f t="shared" si="108"/>
        <v>1555.4351935109594</v>
      </c>
      <c r="E238" s="3">
        <f>(1+Forudsætninger!$D$78)*C238</f>
        <v>386.2041162252109</v>
      </c>
      <c r="F238" s="2">
        <f t="shared" si="90"/>
        <v>0</v>
      </c>
      <c r="G238" s="1">
        <f t="shared" si="83"/>
        <v>386.2041162252109</v>
      </c>
      <c r="H238" s="3">
        <f t="shared" si="91"/>
        <v>1306.5655625491672</v>
      </c>
      <c r="I238" s="3">
        <f t="shared" si="92"/>
        <v>1331.3733738356393</v>
      </c>
      <c r="J238" s="1">
        <f>VLOOKUP((A238+Forudsætninger!$D$60),'Model tilvækst, slagteform, fe'!G:K,3,FALSE)*(1+Forudsætninger!$D$79)</f>
        <v>54.820770331917117</v>
      </c>
      <c r="K238" s="17">
        <f t="shared" si="84"/>
        <v>211.7200715682331</v>
      </c>
      <c r="L238" s="17">
        <f t="shared" si="93"/>
        <v>753.84161630992708</v>
      </c>
      <c r="M238" s="3">
        <f>((K238-(('Model tilvækst, slagteform, fe'!$I$9/100)*'Model tilvækst, slagteform, fe'!$C$9))*1000/(A238+Forudsætninger!$D$60))</f>
        <v>703.70929115505101</v>
      </c>
      <c r="N238" s="17">
        <f t="shared" si="94"/>
        <v>1271.6942089311431</v>
      </c>
      <c r="O238" s="19">
        <f>IF( A238&lt;Forudsætninger!$C$14,(G238/100)*Forudsætninger!$C$13,(Forudsætninger!$C$15/1000)*Forudsætninger!$C$13)</f>
        <v>2.5103267554638711</v>
      </c>
      <c r="P238" s="17" cm="1">
        <f t="array" ref="P238">INDEX('Model tilvækst, slagteform, fe'!$O$9:$O$375,MATCH(MIN(ABS('Model tilvækst, slagteform, fe'!$M$9:$M$375-G238)),ABS('Model tilvækst, slagteform, fe'!$M$9:$M$375-G238),0))*(1+Forudsætninger!$D$80)</f>
        <v>7.4355657973601517</v>
      </c>
      <c r="Q238" s="17">
        <f t="shared" si="95"/>
        <v>9.8635650201396761</v>
      </c>
      <c r="R238" s="17">
        <f t="shared" si="96"/>
        <v>7.1944516187939254</v>
      </c>
      <c r="S238" s="2">
        <f t="shared" si="85"/>
        <v>4.0473505700976737</v>
      </c>
      <c r="T238" s="19">
        <f>(P238)*IF(N238&lt;Forudsætninger!$B$228,IF(N238&lt;Forudsætninger!$B$227,Forudsætninger!$B$225,Forudsætninger!$C$9),Forudsætninger!$C$11)+O238</f>
        <v>19.909550721286625</v>
      </c>
      <c r="U238" s="2">
        <f>Forudsætninger!$D$68+((K238-(Forudsætninger!$D$84)))*0.01</f>
        <v>7.2568113970419832</v>
      </c>
      <c r="V238" s="2">
        <f>U238+Forudsætninger!$D$69</f>
        <v>7.2568113970419832</v>
      </c>
      <c r="W238">
        <f t="shared" si="86"/>
        <v>1</v>
      </c>
      <c r="X238">
        <f>IF(A238+Forudsætninger!$D$60&gt;248,IF(A238+Forudsætninger!$D$60&lt;365,IF(K238&gt;180,IF(K238&lt;260,1,0),0),0),0)</f>
        <v>1</v>
      </c>
      <c r="Y238" s="22">
        <f>IF(X238=0,0,IF('Vækstfunktion, kry tyr'!A238&lt;Forudsætninger!$D$66,Forudsætninger!$D$67+(('Vækstfunktion, kry tyr'!A238-Forudsætninger!$D$66)/7)*Forudsætninger!$D$64,Forudsætninger!$D$67))</f>
        <v>0.89942857142857136</v>
      </c>
      <c r="Z238" s="19">
        <f t="shared" si="100"/>
        <v>3821.7379335079831</v>
      </c>
      <c r="AA238" s="19">
        <f>Forudsætninger!$D$62+Forudsætninger!$C$16</f>
        <v>2055</v>
      </c>
      <c r="AB238" s="19">
        <f>IF(K238&gt;Forudsætninger!$C$37,IF(K238&gt;Forudsætninger!$C$38,IF(K238&gt;Forudsætninger!$C$39,Forudsætninger!$E$39,Forudsætninger!$E$38+Forudsætninger!$F$39*(K238-Forudsætninger!$C$38)),Forudsætninger!$E$37+Forudsætninger!$F$38*(K238-Forudsætninger!$C$37)),Forudsætninger!$E$37)+IF(K238&gt;Forudsætninger!$C$39,Forudsætninger!$G$39,IF(K238&gt;Forudsætninger!$C$38,Forudsætninger!$G$38+Forudsætninger!$H$39*(K238-Forudsætninger!$C$38),IF(K238&gt;Forudsætninger!$C$37,Forudsætninger!$G$37+Forudsætninger!$H$38*(K238-Forudsætninger!$C$37),Forudsætninger!$G$37)))*(U238-Forudsætninger!$H$37)</f>
        <v>36.457932481608566</v>
      </c>
      <c r="AC238" s="19">
        <f>IF(K238&gt;Forudsætninger!$C$42,IF(K238&gt;Forudsætninger!$C$43,IF(K238&gt;Forudsætninger!$C$44,Forudsætninger!$E$44,Forudsætninger!$E$43+Forudsætninger!$F$44*(K238-Forudsætninger!$C$43)),Forudsætninger!$E$42+Forudsætninger!$F$43*(K238-Forudsætninger!$C$42)),Forudsætninger!$E$42)+IF(K238&gt;Forudsætninger!$C$44,Forudsætninger!$G$44,IF(K238&gt;Forudsætninger!$C$43,Forudsætninger!$G$43+Forudsætninger!$H$44*(K238-Forudsætninger!$C$43),IF(K238&gt;Forudsætninger!$C$42,Forudsætninger!$G$42+Forudsætninger!$H$43*(K238-Forudsætninger!$C$42),Forudsætninger!$G$42)))*(V238-Forudsætninger!$H$42)</f>
        <v>30.746050758744413</v>
      </c>
      <c r="AD238" s="19">
        <f t="shared" si="87"/>
        <v>7597.2530335164811</v>
      </c>
      <c r="AE238" s="19">
        <f t="shared" si="88"/>
        <v>35.883480376909091</v>
      </c>
      <c r="AF238">
        <f>IF(G238&lt;=Forudsætninger!$C$97,Forudsætninger!$C$98,(IF(G238&lt;=Forudsætninger!$D$97,Forudsætninger!$D$98,IF(G238&lt;=Forudsætninger!$E$97,Forudsætninger!$E$98,IF(G238&lt;=Forudsætninger!$F$97,Forudsætninger!$F$98,IF(G238&lt;=Forudsætninger!$G$97,Forudsætninger!$G$98,IF(G238&lt;=Forudsætninger!$H$97,Forudsætninger!$H$98,IF(G238&lt;=Forudsætninger!$I$97,Forudsætninger!$I$98,Forudsætninger!$I$98))))))))</f>
        <v>3.8</v>
      </c>
      <c r="AG238" s="1">
        <f t="shared" si="97"/>
        <v>4.4000000000000004</v>
      </c>
      <c r="AH238" s="1">
        <f t="shared" si="101"/>
        <v>722.59999999999741</v>
      </c>
      <c r="AI238" s="1">
        <f t="shared" si="89"/>
        <v>3.0618644067796499</v>
      </c>
      <c r="AJ238" s="20">
        <f>+(W238*Forudsætninger!$C$12)</f>
        <v>900</v>
      </c>
      <c r="AK238" s="20">
        <f>Forudsætninger!$C$17</f>
        <v>250</v>
      </c>
      <c r="AL238" s="20">
        <f>IF(A238&lt;92,Forudsætninger!$C$20,Forudsætninger!$C$21)</f>
        <v>1.0566762728146013</v>
      </c>
      <c r="AM238" s="20">
        <f t="shared" si="98"/>
        <v>517.88108323753818</v>
      </c>
      <c r="AN238" s="19">
        <f>IFERROR(AD238+AJ238-AA238-Z238-AK238-AM238-Forudsætninger!$D$75,-99999)</f>
        <v>1634.7420430699995</v>
      </c>
      <c r="AO238" s="57">
        <f>IFERROR(AN238/(A238+Forudsætninger!$D$74),-99999)</f>
        <v>6.9268730638559299</v>
      </c>
      <c r="AP238" s="19">
        <f>IFERROR(((365/(A238+Forudsætninger!$D$74))*AN238)/(AI238+Forudsætninger!$D$73),-99999)</f>
        <v>797.1049023732927</v>
      </c>
      <c r="AQ238" s="18">
        <f t="shared" si="102"/>
        <v>236</v>
      </c>
      <c r="AR238" s="18">
        <f t="shared" si="103"/>
        <v>6644.6190167455215</v>
      </c>
      <c r="AS238" s="50">
        <f t="shared" si="104"/>
        <v>8.9</v>
      </c>
      <c r="AT238" s="50">
        <f t="shared" si="105"/>
        <v>14.49908247057715</v>
      </c>
      <c r="AU238" s="50">
        <f t="shared" si="106"/>
        <v>3.2222167688175318E-2</v>
      </c>
      <c r="AV238" s="2">
        <f t="shared" si="107"/>
        <v>2.2810590579359769</v>
      </c>
      <c r="AW238" s="16">
        <f t="shared" si="99"/>
        <v>9.1212844335065171</v>
      </c>
      <c r="AZ238" s="16"/>
      <c r="BA238" s="2"/>
    </row>
    <row r="239" spans="1:58" x14ac:dyDescent="0.25">
      <c r="A239">
        <v>237</v>
      </c>
      <c r="B239" s="1">
        <f>ROUND((A239+Forudsætninger!$D$60)/30.4,1)</f>
        <v>8.9</v>
      </c>
      <c r="C239" s="1">
        <f>VLOOKUP((A239+Forudsætninger!$D$60),'Model tilvækst, slagteform, fe'!A:C,3,FALSE)</f>
        <v>461.31763087005288</v>
      </c>
      <c r="D239" s="3">
        <f t="shared" si="108"/>
        <v>1550.8258400398631</v>
      </c>
      <c r="E239" s="3">
        <f>(1+Forudsætninger!$D$78)*C239</f>
        <v>387.50680993084438</v>
      </c>
      <c r="F239" s="2">
        <f t="shared" si="90"/>
        <v>0</v>
      </c>
      <c r="G239" s="1">
        <f t="shared" si="83"/>
        <v>387.50680993084438</v>
      </c>
      <c r="H239" s="3">
        <f t="shared" si="91"/>
        <v>1302.6937056334873</v>
      </c>
      <c r="I239" s="3">
        <f t="shared" si="92"/>
        <v>1331.2523625774027</v>
      </c>
      <c r="J239" s="1">
        <f>VLOOKUP((A239+Forudsætninger!$D$60),'Model tilvækst, slagteform, fe'!G:K,3,FALSE)*(1+Forudsætninger!$D$79)</f>
        <v>54.830304329088577</v>
      </c>
      <c r="K239" s="17">
        <f t="shared" si="84"/>
        <v>212.47116318102479</v>
      </c>
      <c r="L239" s="17">
        <f t="shared" si="93"/>
        <v>751.09161279169712</v>
      </c>
      <c r="M239" s="3">
        <f>((K239-(('Model tilvækst, slagteform, fe'!$I$9/100)*'Model tilvækst, slagteform, fe'!$C$9))*1000/(A239+Forudsætninger!$D$60))</f>
        <v>703.88413367031524</v>
      </c>
      <c r="N239" s="17">
        <f t="shared" si="94"/>
        <v>1279.1401255481262</v>
      </c>
      <c r="O239" s="19">
        <f>IF( A239&lt;Forudsætninger!$C$14,(G239/100)*Forudsætninger!$C$13,(Forudsætninger!$C$15/1000)*Forudsætninger!$C$13)</f>
        <v>2.5187942645504884</v>
      </c>
      <c r="P239" s="17" cm="1">
        <f t="array" ref="P239">INDEX('Model tilvækst, slagteform, fe'!$O$9:$O$375,MATCH(MIN(ABS('Model tilvækst, slagteform, fe'!$M$9:$M$375-G239)),ABS('Model tilvækst, slagteform, fe'!$M$9:$M$375-G239),0))*(1+Forudsætninger!$D$80)</f>
        <v>7.4459166169831983</v>
      </c>
      <c r="Q239" s="17">
        <f t="shared" si="95"/>
        <v>9.9134599430658277</v>
      </c>
      <c r="R239" s="17">
        <f t="shared" si="96"/>
        <v>7.2059563626736178</v>
      </c>
      <c r="S239" s="2">
        <f t="shared" si="85"/>
        <v>4.0542393548605169</v>
      </c>
      <c r="T239" s="19">
        <f>(P239)*IF(N239&lt;Forudsætninger!$B$228,IF(N239&lt;Forudsætninger!$B$227,Forudsætninger!$B$225,Forudsætninger!$C$9),Forudsætninger!$C$11)+O239</f>
        <v>19.942239148291172</v>
      </c>
      <c r="U239" s="2">
        <f>Forudsætninger!$D$68+((K239-(Forudsætninger!$D$84)))*0.01</f>
        <v>7.2643223131699006</v>
      </c>
      <c r="V239" s="2">
        <f>U239+Forudsætninger!$D$69</f>
        <v>7.2643223131699006</v>
      </c>
      <c r="W239">
        <f t="shared" si="86"/>
        <v>1</v>
      </c>
      <c r="X239">
        <f>IF(A239+Forudsætninger!$D$60&gt;248,IF(A239+Forudsætninger!$D$60&lt;365,IF(K239&gt;180,IF(K239&lt;260,1,0),0),0),0)</f>
        <v>1</v>
      </c>
      <c r="Y239" s="22">
        <f>IF(X239=0,0,IF('Vækstfunktion, kry tyr'!A239&lt;Forudsætninger!$D$66,Forudsætninger!$D$67+(('Vækstfunktion, kry tyr'!A239-Forudsætninger!$D$66)/7)*Forudsætninger!$D$64,Forudsætninger!$D$67))</f>
        <v>0.90371428571428569</v>
      </c>
      <c r="Z239" s="19">
        <f t="shared" si="100"/>
        <v>3841.6801726562744</v>
      </c>
      <c r="AA239" s="19">
        <f>Forudsætninger!$D$62+Forudsætninger!$C$16</f>
        <v>2055</v>
      </c>
      <c r="AB239" s="19">
        <f>IF(K239&gt;Forudsætninger!$C$37,IF(K239&gt;Forudsætninger!$C$38,IF(K239&gt;Forudsætninger!$C$39,Forudsætninger!$E$39,Forudsætninger!$E$38+Forudsætninger!$F$39*(K239-Forudsætninger!$C$38)),Forudsætninger!$E$37+Forudsætninger!$F$38*(K239-Forudsætninger!$C$37)),Forudsætninger!$E$37)+IF(K239&gt;Forudsætninger!$C$39,Forudsætninger!$G$39,IF(K239&gt;Forudsætninger!$C$38,Forudsætninger!$G$38+Forudsætninger!$H$39*(K239-Forudsætninger!$C$38),IF(K239&gt;Forudsætninger!$C$37,Forudsætninger!$G$37+Forudsætninger!$H$38*(K239-Forudsætninger!$C$37),Forudsætninger!$G$37)))*(U239-Forudsætninger!$H$37)</f>
        <v>36.47276654096121</v>
      </c>
      <c r="AC239" s="19">
        <f>IF(K239&gt;Forudsætninger!$C$42,IF(K239&gt;Forudsætninger!$C$43,IF(K239&gt;Forudsætninger!$C$44,Forudsætninger!$E$44,Forudsætninger!$E$43+Forudsætninger!$F$44*(K239-Forudsætninger!$C$43)),Forudsætninger!$E$42+Forudsætninger!$F$43*(K239-Forudsætninger!$C$42)),Forudsætninger!$E$42)+IF(K239&gt;Forudsætninger!$C$44,Forudsætninger!$G$44,IF(K239&gt;Forudsætninger!$C$43,Forudsætninger!$G$43+Forudsætninger!$H$44*(K239-Forudsætninger!$C$43),IF(K239&gt;Forudsætninger!$C$42,Forudsætninger!$G$42+Forudsætninger!$H$43*(K239-Forudsætninger!$C$42),Forudsætninger!$G$42)))*(V239-Forudsætninger!$H$42)</f>
        <v>30.765795825867816</v>
      </c>
      <c r="AD239" s="19">
        <f t="shared" si="87"/>
        <v>7632.6582799743928</v>
      </c>
      <c r="AE239" s="19">
        <f t="shared" si="88"/>
        <v>35.923266789250789</v>
      </c>
      <c r="AF239">
        <f>IF(G239&lt;=Forudsætninger!$C$97,Forudsætninger!$C$98,(IF(G239&lt;=Forudsætninger!$D$97,Forudsætninger!$D$98,IF(G239&lt;=Forudsætninger!$E$97,Forudsætninger!$E$98,IF(G239&lt;=Forudsætninger!$F$97,Forudsætninger!$F$98,IF(G239&lt;=Forudsætninger!$G$97,Forudsætninger!$G$98,IF(G239&lt;=Forudsætninger!$H$97,Forudsætninger!$H$98,IF(G239&lt;=Forudsætninger!$I$97,Forudsætninger!$I$98,Forudsætninger!$I$98))))))))</f>
        <v>3.8</v>
      </c>
      <c r="AG239" s="1">
        <f t="shared" si="97"/>
        <v>4.4000000000000004</v>
      </c>
      <c r="AH239" s="1">
        <f t="shared" si="101"/>
        <v>726.99999999999739</v>
      </c>
      <c r="AI239" s="1">
        <f t="shared" si="89"/>
        <v>3.0675105485231957</v>
      </c>
      <c r="AJ239" s="20">
        <f>+(W239*Forudsætninger!$C$12)</f>
        <v>900</v>
      </c>
      <c r="AK239" s="20">
        <f>Forudsætninger!$C$17</f>
        <v>250</v>
      </c>
      <c r="AL239" s="20">
        <f>IF(A239&lt;92,Forudsætninger!$C$20,Forudsætninger!$C$21)</f>
        <v>1.0566762728146013</v>
      </c>
      <c r="AM239" s="20">
        <f t="shared" si="98"/>
        <v>518.93775951035275</v>
      </c>
      <c r="AN239" s="19">
        <f>IFERROR(AD239+AJ239-AA239-Z239-AK239-AM239-Forudsætninger!$D$75,-99999)</f>
        <v>1649.1483741068043</v>
      </c>
      <c r="AO239" s="57">
        <f>IFERROR(AN239/(A239+Forudsætninger!$D$74),-99999)</f>
        <v>6.9584319582565586</v>
      </c>
      <c r="AP239" s="19">
        <f>IFERROR(((365/(A239+Forudsætninger!$D$74))*AN239)/(AI239+Forudsætninger!$D$73),-99999)</f>
        <v>799.31368471587734</v>
      </c>
      <c r="AQ239" s="18">
        <f t="shared" si="102"/>
        <v>237</v>
      </c>
      <c r="AR239" s="18">
        <f t="shared" si="103"/>
        <v>6665.6179321666268</v>
      </c>
      <c r="AS239" s="50">
        <f t="shared" si="104"/>
        <v>8.9</v>
      </c>
      <c r="AT239" s="50">
        <f t="shared" si="105"/>
        <v>14.406331036804886</v>
      </c>
      <c r="AU239" s="50">
        <f t="shared" si="106"/>
        <v>3.1558894400628645E-2</v>
      </c>
      <c r="AV239" s="2">
        <f t="shared" si="107"/>
        <v>2.2087823425846409</v>
      </c>
      <c r="AW239" s="16">
        <f t="shared" si="99"/>
        <v>9.148042757878299</v>
      </c>
      <c r="AZ239" s="16"/>
      <c r="BA239" s="2"/>
    </row>
    <row r="240" spans="1:58" x14ac:dyDescent="0.25">
      <c r="A240">
        <v>238</v>
      </c>
      <c r="B240" s="1">
        <f>ROUND((A240+Forudsætninger!$D$60)/30.4,1)</f>
        <v>8.9</v>
      </c>
      <c r="C240" s="1">
        <f>VLOOKUP((A240+Forudsætninger!$D$60),'Model tilvækst, slagteform, fe'!A:C,3,FALSE)</f>
        <v>462.86383660013701</v>
      </c>
      <c r="D240" s="3">
        <f t="shared" si="108"/>
        <v>1546.2057300841252</v>
      </c>
      <c r="E240" s="3">
        <f>(1+Forudsætninger!$D$78)*C240</f>
        <v>388.80562274411506</v>
      </c>
      <c r="F240" s="2">
        <f t="shared" si="90"/>
        <v>0</v>
      </c>
      <c r="G240" s="1">
        <f t="shared" si="83"/>
        <v>388.80562274411506</v>
      </c>
      <c r="H240" s="3">
        <f t="shared" si="91"/>
        <v>1298.812813270672</v>
      </c>
      <c r="I240" s="3">
        <f t="shared" si="92"/>
        <v>1331.1160619500633</v>
      </c>
      <c r="J240" s="1">
        <f>VLOOKUP((A240+Forudsætninger!$D$60),'Model tilvækst, slagteform, fe'!G:K,3,FALSE)*(1+Forudsætninger!$D$79)</f>
        <v>54.839619225833736</v>
      </c>
      <c r="K240" s="17">
        <f t="shared" si="84"/>
        <v>213.21952304150432</v>
      </c>
      <c r="L240" s="17">
        <f t="shared" si="93"/>
        <v>748.35986047952474</v>
      </c>
      <c r="M240" s="3">
        <f>((K240-(('Model tilvækst, slagteform, fe'!$I$9/100)*'Model tilvækst, slagteform, fe'!$C$9))*1000/(A240+Forudsætninger!$D$60))</f>
        <v>704.04764737181983</v>
      </c>
      <c r="N240" s="17">
        <f t="shared" si="94"/>
        <v>1286.5965341673186</v>
      </c>
      <c r="O240" s="19">
        <f>IF( A240&lt;Forudsætninger!$C$14,(G240/100)*Forudsætninger!$C$13,(Forudsætninger!$C$15/1000)*Forudsætninger!$C$13)</f>
        <v>2.5272365478367478</v>
      </c>
      <c r="P240" s="17" cm="1">
        <f t="array" ref="P240">INDEX('Model tilvækst, slagteform, fe'!$O$9:$O$375,MATCH(MIN(ABS('Model tilvækst, slagteform, fe'!$M$9:$M$375-G240)),ABS('Model tilvækst, slagteform, fe'!$M$9:$M$375-G240),0))*(1+Forudsætninger!$D$80)</f>
        <v>7.4564086191923638</v>
      </c>
      <c r="Q240" s="17">
        <f t="shared" si="95"/>
        <v>9.9636672314500387</v>
      </c>
      <c r="R240" s="17">
        <f t="shared" si="96"/>
        <v>7.2175336191480559</v>
      </c>
      <c r="S240" s="2">
        <f t="shared" si="85"/>
        <v>4.0611543539633033</v>
      </c>
      <c r="T240" s="19">
        <f>(P240)*IF(N240&lt;Forudsætninger!$B$228,IF(N240&lt;Forudsætninger!$B$227,Forudsætninger!$B$225,Forudsætninger!$C$9),Forudsætninger!$C$11)+O240</f>
        <v>19.975232716746877</v>
      </c>
      <c r="U240" s="2">
        <f>Forudsætninger!$D$68+((K240-(Forudsætninger!$D$84)))*0.01</f>
        <v>7.2718059117746954</v>
      </c>
      <c r="V240" s="2">
        <f>U240+Forudsætninger!$D$69</f>
        <v>7.2718059117746954</v>
      </c>
      <c r="W240">
        <f t="shared" si="86"/>
        <v>1</v>
      </c>
      <c r="X240">
        <f>IF(A240+Forudsætninger!$D$60&gt;248,IF(A240+Forudsætninger!$D$60&lt;365,IF(K240&gt;180,IF(K240&lt;260,1,0),0),0),0)</f>
        <v>1</v>
      </c>
      <c r="Y240" s="22">
        <f>IF(X240=0,0,IF('Vækstfunktion, kry tyr'!A240&lt;Forudsætninger!$D$66,Forudsætninger!$D$67+(('Vækstfunktion, kry tyr'!A240-Forudsætninger!$D$66)/7)*Forudsætninger!$D$64,Forudsætninger!$D$67))</f>
        <v>0.90799999999999992</v>
      </c>
      <c r="Z240" s="19">
        <f t="shared" si="100"/>
        <v>3861.6554053730215</v>
      </c>
      <c r="AA240" s="19">
        <f>Forudsætninger!$D$62+Forudsætninger!$C$16</f>
        <v>2055</v>
      </c>
      <c r="AB240" s="19">
        <f>IF(K240&gt;Forudsætninger!$C$37,IF(K240&gt;Forudsætninger!$C$38,IF(K240&gt;Forudsætninger!$C$39,Forudsætninger!$E$39,Forudsætninger!$E$38+Forudsætninger!$F$39*(K240-Forudsætninger!$C$38)),Forudsætninger!$E$37+Forudsætninger!$F$38*(K240-Forudsætninger!$C$37)),Forudsætninger!$E$37)+IF(K240&gt;Forudsætninger!$C$39,Forudsætninger!$G$39,IF(K240&gt;Forudsætninger!$C$38,Forudsætninger!$G$38+Forudsætninger!$H$39*(K240-Forudsætninger!$C$38),IF(K240&gt;Forudsætninger!$C$37,Forudsætninger!$G$37+Forudsætninger!$H$38*(K240-Forudsætninger!$C$37),Forudsætninger!$G$37)))*(U240-Forudsætninger!$H$37)</f>
        <v>36.487546648205672</v>
      </c>
      <c r="AC240" s="19">
        <f>IF(K240&gt;Forudsætninger!$C$42,IF(K240&gt;Forudsætninger!$C$43,IF(K240&gt;Forudsætninger!$C$44,Forudsætninger!$E$44,Forudsætninger!$E$43+Forudsætninger!$F$44*(K240-Forudsætninger!$C$43)),Forudsætninger!$E$42+Forudsætninger!$F$43*(K240-Forudsætninger!$C$42)),Forudsætninger!$E$42)+IF(K240&gt;Forudsætninger!$C$44,Forudsætninger!$G$44,IF(K240&gt;Forudsætninger!$C$43,Forudsætninger!$G$43+Forudsætninger!$H$44*(K240-Forudsætninger!$C$43),IF(K240&gt;Forudsætninger!$C$42,Forudsætninger!$G$42+Forudsætninger!$H$43*(K240-Forudsætninger!$C$42),Forudsætninger!$G$42)))*(V240-Forudsætninger!$H$42)</f>
        <v>30.78544570164415</v>
      </c>
      <c r="AD240" s="19">
        <f t="shared" si="87"/>
        <v>7668.0037628222999</v>
      </c>
      <c r="AE240" s="19">
        <f t="shared" si="88"/>
        <v>35.962953361122011</v>
      </c>
      <c r="AF240">
        <f>IF(G240&lt;=Forudsætninger!$C$97,Forudsætninger!$C$98,(IF(G240&lt;=Forudsætninger!$D$97,Forudsætninger!$D$98,IF(G240&lt;=Forudsætninger!$E$97,Forudsætninger!$E$98,IF(G240&lt;=Forudsætninger!$F$97,Forudsætninger!$F$98,IF(G240&lt;=Forudsætninger!$G$97,Forudsætninger!$G$98,IF(G240&lt;=Forudsætninger!$H$97,Forudsætninger!$H$98,IF(G240&lt;=Forudsætninger!$I$97,Forudsætninger!$I$98,Forudsætninger!$I$98))))))))</f>
        <v>3.8</v>
      </c>
      <c r="AG240" s="1">
        <f t="shared" si="97"/>
        <v>4.4000000000000004</v>
      </c>
      <c r="AH240" s="1">
        <f t="shared" si="101"/>
        <v>731.39999999999736</v>
      </c>
      <c r="AI240" s="1">
        <f t="shared" si="89"/>
        <v>3.0731092436974681</v>
      </c>
      <c r="AJ240" s="20">
        <f>+(W240*Forudsætninger!$C$12)</f>
        <v>900</v>
      </c>
      <c r="AK240" s="20">
        <f>Forudsætninger!$C$17</f>
        <v>250</v>
      </c>
      <c r="AL240" s="20">
        <f>IF(A240&lt;92,Forudsætninger!$C$20,Forudsætninger!$C$21)</f>
        <v>1.0566762728146013</v>
      </c>
      <c r="AM240" s="20">
        <f t="shared" si="98"/>
        <v>519.99443578316732</v>
      </c>
      <c r="AN240" s="19">
        <f>IFERROR(AD240+AJ240-AA240-Z240-AK240-AM240-Forudsætninger!$D$75,-99999)</f>
        <v>1663.4619479651508</v>
      </c>
      <c r="AO240" s="57">
        <f>IFERROR(AN240/(A240+Forudsætninger!$D$74),-99999)</f>
        <v>6.9893359158199617</v>
      </c>
      <c r="AP240" s="19">
        <f>IFERROR(((365/(A240+Forudsætninger!$D$74))*AN240)/(AI240+Forudsætninger!$D$73),-99999)</f>
        <v>801.45147840133347</v>
      </c>
      <c r="AQ240" s="18">
        <f t="shared" si="102"/>
        <v>238</v>
      </c>
      <c r="AR240" s="18">
        <f t="shared" si="103"/>
        <v>6686.6498411561888</v>
      </c>
      <c r="AS240" s="50">
        <f t="shared" si="104"/>
        <v>8.9</v>
      </c>
      <c r="AT240" s="50">
        <f t="shared" si="105"/>
        <v>14.313573858346444</v>
      </c>
      <c r="AU240" s="50">
        <f t="shared" si="106"/>
        <v>3.0903957563403139E-2</v>
      </c>
      <c r="AV240" s="2">
        <f t="shared" si="107"/>
        <v>2.1377936854561312</v>
      </c>
      <c r="AW240" s="16">
        <f t="shared" si="99"/>
        <v>9.1741864863374722</v>
      </c>
      <c r="AZ240" s="16"/>
      <c r="BA240" s="2"/>
    </row>
    <row r="241" spans="1:53" x14ac:dyDescent="0.25">
      <c r="A241">
        <v>239</v>
      </c>
      <c r="B241" s="1">
        <f>ROUND((A241+Forudsætninger!$D$60)/30.4,1)</f>
        <v>9</v>
      </c>
      <c r="C241" s="1">
        <f>VLOOKUP((A241+Forudsætninger!$D$60),'Model tilvækst, slagteform, fe'!A:C,3,FALSE)</f>
        <v>464.40541208471802</v>
      </c>
      <c r="D241" s="3">
        <f t="shared" si="108"/>
        <v>1541.575484581017</v>
      </c>
      <c r="E241" s="3">
        <f>(1+Forudsætninger!$D$78)*C241</f>
        <v>390.10054615116314</v>
      </c>
      <c r="F241" s="2">
        <f t="shared" si="90"/>
        <v>0</v>
      </c>
      <c r="G241" s="1">
        <f t="shared" si="83"/>
        <v>390.10054615116314</v>
      </c>
      <c r="H241" s="3">
        <f t="shared" si="91"/>
        <v>1294.9234070480884</v>
      </c>
      <c r="I241" s="3">
        <f t="shared" si="92"/>
        <v>1330.9646282475446</v>
      </c>
      <c r="J241" s="1">
        <f>VLOOKUP((A241+Forudsætninger!$D$60),'Model tilvækst, slagteform, fe'!G:K,3,FALSE)*(1+Forudsætninger!$D$79)</f>
        <v>54.848723563714216</v>
      </c>
      <c r="K241" s="17">
        <f t="shared" si="84"/>
        <v>213.96517017899089</v>
      </c>
      <c r="L241" s="17">
        <f t="shared" si="93"/>
        <v>745.64713748657141</v>
      </c>
      <c r="M241" s="3">
        <f>((K241-(('Model tilvækst, slagteform, fe'!$I$9/100)*'Model tilvækst, slagteform, fe'!$C$9))*1000/(A241+Forudsætninger!$D$60))</f>
        <v>704.20002645648924</v>
      </c>
      <c r="N241" s="17">
        <f t="shared" si="94"/>
        <v>1294.074360007324</v>
      </c>
      <c r="O241" s="19">
        <f>IF( A241&lt;Forudsætninger!$C$14,(G241/100)*Forudsætninger!$C$13,(Forudsætninger!$C$15/1000)*Forudsætninger!$C$13)</f>
        <v>2.5356535499825608</v>
      </c>
      <c r="P241" s="17" cm="1">
        <f t="array" ref="P241">INDEX('Model tilvækst, slagteform, fe'!$O$9:$O$375,MATCH(MIN(ABS('Model tilvækst, slagteform, fe'!$M$9:$M$375-G241)),ABS('Model tilvækst, slagteform, fe'!$M$9:$M$375-G241),0))*(1+Forudsætninger!$D$80)</f>
        <v>7.477825840005357</v>
      </c>
      <c r="Q241" s="17">
        <f t="shared" si="95"/>
        <v>10.028638834733041</v>
      </c>
      <c r="R241" s="17">
        <f t="shared" si="96"/>
        <v>7.2292432731580343</v>
      </c>
      <c r="S241" s="2">
        <f t="shared" si="85"/>
        <v>4.0681299534530595</v>
      </c>
      <c r="T241" s="19">
        <f>(P241)*IF(N241&lt;Forudsætninger!$B$228,IF(N241&lt;Forudsætninger!$B$227,Forudsætninger!$B$225,Forudsætninger!$C$9),Forudsætninger!$C$11)+O241</f>
        <v>20.033766015595099</v>
      </c>
      <c r="U241" s="2">
        <f>Forudsætninger!$D$68+((K241-(Forudsætninger!$D$84)))*0.01</f>
        <v>7.2792623831495611</v>
      </c>
      <c r="V241" s="2">
        <f>U241+Forudsætninger!$D$69</f>
        <v>7.2792623831495611</v>
      </c>
      <c r="W241">
        <f t="shared" si="86"/>
        <v>1</v>
      </c>
      <c r="X241">
        <f>IF(A241+Forudsætninger!$D$60&gt;248,IF(A241+Forudsætninger!$D$60&lt;365,IF(K241&gt;180,IF(K241&lt;260,1,0),0),0),0)</f>
        <v>1</v>
      </c>
      <c r="Y241" s="22">
        <f>IF(X241=0,0,IF('Vækstfunktion, kry tyr'!A241&lt;Forudsætninger!$D$66,Forudsætninger!$D$67+(('Vækstfunktion, kry tyr'!A241-Forudsætninger!$D$66)/7)*Forudsætninger!$D$64,Forudsætninger!$D$67))</f>
        <v>0.91228571428571426</v>
      </c>
      <c r="Z241" s="19">
        <f t="shared" si="100"/>
        <v>3881.6891713886166</v>
      </c>
      <c r="AA241" s="19">
        <f>Forudsætninger!$D$62+Forudsætninger!$C$16</f>
        <v>2055</v>
      </c>
      <c r="AB241" s="19">
        <f>IF(K241&gt;Forudsætninger!$C$37,IF(K241&gt;Forudsætninger!$C$38,IF(K241&gt;Forudsætninger!$C$39,Forudsætninger!$E$39,Forudsætninger!$E$38+Forudsætninger!$F$39*(K241-Forudsætninger!$C$38)),Forudsætninger!$E$37+Forudsætninger!$F$38*(K241-Forudsætninger!$C$37)),Forudsætninger!$E$37)+IF(K241&gt;Forudsætninger!$C$39,Forudsætninger!$G$39,IF(K241&gt;Forudsætninger!$C$38,Forudsætninger!$G$38+Forudsætninger!$H$39*(K241-Forudsætninger!$C$38),IF(K241&gt;Forudsætninger!$C$37,Forudsætninger!$G$37+Forudsætninger!$H$38*(K241-Forudsætninger!$C$37),Forudsætninger!$G$37)))*(U241-Forudsætninger!$H$37)</f>
        <v>36.502273179171041</v>
      </c>
      <c r="AC241" s="19">
        <f>IF(K241&gt;Forudsætninger!$C$42,IF(K241&gt;Forudsætninger!$C$43,IF(K241&gt;Forudsætninger!$C$44,Forudsætninger!$E$44,Forudsætninger!$E$43+Forudsætninger!$F$44*(K241-Forudsætninger!$C$43)),Forudsætninger!$E$42+Forudsætninger!$F$43*(K241-Forudsætninger!$C$42)),Forudsætninger!$E$42)+IF(K241&gt;Forudsætninger!$C$44,Forudsætninger!$G$44,IF(K241&gt;Forudsætninger!$C$43,Forudsætninger!$G$43+Forudsætninger!$H$44*(K241-Forudsætninger!$C$43),IF(K241&gt;Forudsætninger!$C$42,Forudsætninger!$G$42+Forudsætninger!$H$43*(K241-Forudsætninger!$C$42),Forudsætninger!$G$42)))*(V241-Forudsætninger!$H$42)</f>
        <v>30.805001140384928</v>
      </c>
      <c r="AD241" s="19">
        <f t="shared" si="87"/>
        <v>7703.2898187385435</v>
      </c>
      <c r="AE241" s="19">
        <f t="shared" si="88"/>
        <v>36.002541031768942</v>
      </c>
      <c r="AF241">
        <f>IF(G241&lt;=Forudsætninger!$C$97,Forudsætninger!$C$98,(IF(G241&lt;=Forudsætninger!$D$97,Forudsætninger!$D$98,IF(G241&lt;=Forudsætninger!$E$97,Forudsætninger!$E$98,IF(G241&lt;=Forudsætninger!$F$97,Forudsætninger!$F$98,IF(G241&lt;=Forudsætninger!$G$97,Forudsætninger!$G$98,IF(G241&lt;=Forudsætninger!$H$97,Forudsætninger!$H$98,IF(G241&lt;=Forudsætninger!$I$97,Forudsætninger!$I$98,Forudsætninger!$I$98))))))))</f>
        <v>3.8</v>
      </c>
      <c r="AG241" s="1">
        <f t="shared" si="97"/>
        <v>4.4000000000000004</v>
      </c>
      <c r="AH241" s="1">
        <f t="shared" si="101"/>
        <v>735.79999999999734</v>
      </c>
      <c r="AI241" s="1">
        <f t="shared" si="89"/>
        <v>3.0786610878660978</v>
      </c>
      <c r="AJ241" s="20">
        <f>+(W241*Forudsætninger!$C$12)</f>
        <v>900</v>
      </c>
      <c r="AK241" s="20">
        <f>Forudsætninger!$C$17</f>
        <v>250</v>
      </c>
      <c r="AL241" s="20">
        <f>IF(A241&lt;92,Forudsætninger!$C$20,Forudsætninger!$C$21)</f>
        <v>1.0566762728146013</v>
      </c>
      <c r="AM241" s="20">
        <f t="shared" si="98"/>
        <v>521.05111205598189</v>
      </c>
      <c r="AN241" s="19">
        <f>IFERROR(AD241+AJ241-AA241-Z241-AK241-AM241-Forudsætninger!$D$75,-99999)</f>
        <v>1677.6575615929848</v>
      </c>
      <c r="AO241" s="57">
        <f>IFERROR(AN241/(A241+Forudsætninger!$D$74),-99999)</f>
        <v>7.0194877054099782</v>
      </c>
      <c r="AP241" s="19">
        <f>IFERROR(((365/(A241+Forudsætninger!$D$74))*AN241)/(AI241+Forudsætninger!$D$73),-99999)</f>
        <v>803.50747284630631</v>
      </c>
      <c r="AQ241" s="18">
        <f t="shared" si="102"/>
        <v>239</v>
      </c>
      <c r="AR241" s="18">
        <f t="shared" si="103"/>
        <v>6707.7402834445984</v>
      </c>
      <c r="AS241" s="50">
        <f t="shared" si="104"/>
        <v>9</v>
      </c>
      <c r="AT241" s="50">
        <f t="shared" si="105"/>
        <v>14.195613627834064</v>
      </c>
      <c r="AU241" s="50">
        <f t="shared" si="106"/>
        <v>3.015178959001652E-2</v>
      </c>
      <c r="AV241" s="2">
        <f t="shared" si="107"/>
        <v>2.0559944449728391</v>
      </c>
      <c r="AW241" s="16">
        <f t="shared" si="99"/>
        <v>9.1996178813764296</v>
      </c>
      <c r="AZ241" s="16"/>
      <c r="BA241" s="2"/>
    </row>
    <row r="242" spans="1:53" x14ac:dyDescent="0.25">
      <c r="A242">
        <v>240</v>
      </c>
      <c r="B242" s="1">
        <f>ROUND((A242+Forudsætninger!$D$60)/30.4,1)</f>
        <v>9</v>
      </c>
      <c r="C242" s="1">
        <f>VLOOKUP((A242+Forudsætninger!$D$60),'Model tilvækst, slagteform, fe'!A:C,3,FALSE)</f>
        <v>465.94234780918475</v>
      </c>
      <c r="D242" s="3">
        <f t="shared" si="108"/>
        <v>1536.9357244667299</v>
      </c>
      <c r="E242" s="3">
        <f>(1+Forudsætninger!$D$78)*C242</f>
        <v>391.39157215971517</v>
      </c>
      <c r="F242" s="2">
        <f t="shared" si="90"/>
        <v>0</v>
      </c>
      <c r="G242" s="1">
        <f t="shared" si="83"/>
        <v>391.39157215971517</v>
      </c>
      <c r="H242" s="3">
        <f t="shared" si="91"/>
        <v>1291.0260085520235</v>
      </c>
      <c r="I242" s="3">
        <f t="shared" si="92"/>
        <v>1330.7982173321466</v>
      </c>
      <c r="J242" s="1">
        <f>VLOOKUP((A242+Forudsætninger!$D$60),'Model tilvækst, slagteform, fe'!G:K,3,FALSE)*(1+Forudsætninger!$D$79)</f>
        <v>54.857625884291615</v>
      </c>
      <c r="K242" s="17">
        <f t="shared" si="84"/>
        <v>214.70812439802381</v>
      </c>
      <c r="L242" s="17">
        <f t="shared" si="93"/>
        <v>742.95421903292436</v>
      </c>
      <c r="M242" s="3">
        <f>((K242-(('Model tilvækst, slagteform, fe'!$I$9/100)*'Model tilvækst, slagteform, fe'!$C$9))*1000/(A242+Forudsætninger!$D$60))</f>
        <v>704.34146511552728</v>
      </c>
      <c r="N242" s="17">
        <f t="shared" si="94"/>
        <v>1301.5631159002514</v>
      </c>
      <c r="O242" s="19">
        <f>IF( A242&lt;Forudsætninger!$C$14,(G242/100)*Forudsætninger!$C$13,(Forudsætninger!$C$15/1000)*Forudsætninger!$C$13)</f>
        <v>2.5440452190381486</v>
      </c>
      <c r="P242" s="17" cm="1">
        <f t="array" ref="P242">INDEX('Model tilvækst, slagteform, fe'!$O$9:$O$375,MATCH(MIN(ABS('Model tilvækst, slagteform, fe'!$M$9:$M$375-G242)),ABS('Model tilvækst, slagteform, fe'!$M$9:$M$375-G242),0))*(1+Forudsætninger!$D$80)</f>
        <v>7.4887558929273341</v>
      </c>
      <c r="Q242" s="17">
        <f t="shared" si="95"/>
        <v>10.07970033829967</v>
      </c>
      <c r="R242" s="17">
        <f t="shared" si="96"/>
        <v>7.2410250658031927</v>
      </c>
      <c r="S242" s="2">
        <f t="shared" si="85"/>
        <v>4.0751329382272834</v>
      </c>
      <c r="T242" s="19">
        <f>(P242)*IF(N242&lt;Forudsætninger!$B$228,IF(N242&lt;Forudsætninger!$B$227,Forudsætninger!$B$225,Forudsætninger!$C$9),Forudsætninger!$C$11)+O242</f>
        <v>20.06773400848811</v>
      </c>
      <c r="U242" s="2">
        <f>Forudsætninger!$D$68+((K242-(Forudsætninger!$D$84)))*0.01</f>
        <v>7.2866919253398903</v>
      </c>
      <c r="V242" s="2">
        <f>U242+Forudsætninger!$D$69</f>
        <v>7.2866919253398903</v>
      </c>
      <c r="W242">
        <f t="shared" si="86"/>
        <v>1</v>
      </c>
      <c r="X242">
        <f>IF(A242+Forudsætninger!$D$60&gt;248,IF(A242+Forudsætninger!$D$60&lt;365,IF(K242&gt;180,IF(K242&lt;260,1,0),0),0),0)</f>
        <v>1</v>
      </c>
      <c r="Y242" s="22">
        <f>IF(X242=0,0,IF('Vækstfunktion, kry tyr'!A242&lt;Forudsætninger!$D$66,Forudsætninger!$D$67+(('Vækstfunktion, kry tyr'!A242-Forudsætninger!$D$66)/7)*Forudsætninger!$D$64,Forudsætninger!$D$67))</f>
        <v>0.91657142857142848</v>
      </c>
      <c r="Z242" s="19">
        <f t="shared" si="100"/>
        <v>3901.7569053971047</v>
      </c>
      <c r="AA242" s="19">
        <f>Forudsætninger!$D$62+Forudsætninger!$C$16</f>
        <v>2055</v>
      </c>
      <c r="AB242" s="19">
        <f>IF(K242&gt;Forudsætninger!$C$37,IF(K242&gt;Forudsætninger!$C$38,IF(K242&gt;Forudsætninger!$C$39,Forudsætninger!$E$39,Forudsætninger!$E$38+Forudsætninger!$F$39*(K242-Forudsætninger!$C$38)),Forudsætninger!$E$37+Forudsætninger!$F$38*(K242-Forudsætninger!$C$37)),Forudsætninger!$E$37)+IF(K242&gt;Forudsætninger!$C$39,Forudsætninger!$G$39,IF(K242&gt;Forudsætninger!$C$38,Forudsætninger!$G$38+Forudsætninger!$H$39*(K242-Forudsætninger!$C$38),IF(K242&gt;Forudsætninger!$C$37,Forudsætninger!$G$37+Forudsætninger!$H$38*(K242-Forudsætninger!$C$37),Forudsætninger!$G$37)))*(U242-Forudsætninger!$H$37)</f>
        <v>36.516946524996932</v>
      </c>
      <c r="AC242" s="19">
        <f>IF(K242&gt;Forudsætninger!$C$42,IF(K242&gt;Forudsætninger!$C$43,IF(K242&gt;Forudsætninger!$C$44,Forudsætninger!$E$44,Forudsætninger!$E$43+Forudsætninger!$F$44*(K242-Forudsætninger!$C$43)),Forudsætninger!$E$42+Forudsætninger!$F$43*(K242-Forudsætninger!$C$42)),Forudsætninger!$E$42)+IF(K242&gt;Forudsætninger!$C$44,Forudsætninger!$G$44,IF(K242&gt;Forudsætninger!$C$43,Forudsætninger!$G$43+Forudsætninger!$H$44*(K242-Forudsætninger!$C$43),IF(K242&gt;Forudsætninger!$C$42,Forudsætninger!$G$42+Forudsætninger!$H$43*(K242-Forudsætninger!$C$42),Forudsætninger!$G$42)))*(V242-Forudsætninger!$H$42)</f>
        <v>30.824462913407626</v>
      </c>
      <c r="AD242" s="19">
        <f t="shared" si="87"/>
        <v>7738.5168216998927</v>
      </c>
      <c r="AE242" s="19">
        <f t="shared" si="88"/>
        <v>36.042030749401484</v>
      </c>
      <c r="AF242">
        <f>IF(G242&lt;=Forudsætninger!$C$97,Forudsætninger!$C$98,(IF(G242&lt;=Forudsætninger!$D$97,Forudsætninger!$D$98,IF(G242&lt;=Forudsætninger!$E$97,Forudsætninger!$E$98,IF(G242&lt;=Forudsætninger!$F$97,Forudsætninger!$F$98,IF(G242&lt;=Forudsætninger!$G$97,Forudsætninger!$G$98,IF(G242&lt;=Forudsætninger!$H$97,Forudsætninger!$H$98,IF(G242&lt;=Forudsætninger!$I$97,Forudsætninger!$I$98,Forudsætninger!$I$98))))))))</f>
        <v>3.8</v>
      </c>
      <c r="AG242" s="1">
        <f t="shared" si="97"/>
        <v>4.4000000000000004</v>
      </c>
      <c r="AH242" s="1">
        <f t="shared" si="101"/>
        <v>740.19999999999732</v>
      </c>
      <c r="AI242" s="1">
        <f t="shared" si="89"/>
        <v>3.0841666666666554</v>
      </c>
      <c r="AJ242" s="20">
        <f>+(W242*Forudsætninger!$C$12)</f>
        <v>900</v>
      </c>
      <c r="AK242" s="20">
        <f>Forudsætninger!$C$17</f>
        <v>250</v>
      </c>
      <c r="AL242" s="20">
        <f>IF(A242&lt;92,Forudsætninger!$C$20,Forudsætninger!$C$21)</f>
        <v>1.0566762728146013</v>
      </c>
      <c r="AM242" s="20">
        <f t="shared" si="98"/>
        <v>522.10778832879646</v>
      </c>
      <c r="AN242" s="19">
        <f>IFERROR(AD242+AJ242-AA242-Z242-AK242-AM242-Forudsætninger!$D$75,-99999)</f>
        <v>1691.7601542730322</v>
      </c>
      <c r="AO242" s="57">
        <f>IFERROR(AN242/(A242+Forudsætninger!$D$74),-99999)</f>
        <v>7.0490006428043008</v>
      </c>
      <c r="AP242" s="19">
        <f>IFERROR(((365/(A242+Forudsætninger!$D$74))*AN242)/(AI242+Forudsætninger!$D$73),-99999)</f>
        <v>805.49498605486417</v>
      </c>
      <c r="AQ242" s="18">
        <f t="shared" si="102"/>
        <v>240</v>
      </c>
      <c r="AR242" s="18">
        <f t="shared" si="103"/>
        <v>6728.8646937259009</v>
      </c>
      <c r="AS242" s="50">
        <f t="shared" si="104"/>
        <v>9</v>
      </c>
      <c r="AT242" s="50">
        <f t="shared" si="105"/>
        <v>14.102592680047337</v>
      </c>
      <c r="AU242" s="50">
        <f t="shared" si="106"/>
        <v>2.9512937394322591E-2</v>
      </c>
      <c r="AV242" s="2">
        <f t="shared" si="107"/>
        <v>1.9875132085578571</v>
      </c>
      <c r="AW242" s="16">
        <f t="shared" si="99"/>
        <v>9.2244497608409528</v>
      </c>
      <c r="AZ242" s="16"/>
      <c r="BA242" s="2"/>
    </row>
    <row r="243" spans="1:53" x14ac:dyDescent="0.25">
      <c r="A243">
        <v>241</v>
      </c>
      <c r="B243" s="1">
        <f>ROUND((A243+Forudsætninger!$D$60)/30.4,1)</f>
        <v>9</v>
      </c>
      <c r="C243" s="1">
        <f>VLOOKUP((A243+Forudsætninger!$D$60),'Model tilvækst, slagteform, fe'!A:C,3,FALSE)</f>
        <v>467.47463487986238</v>
      </c>
      <c r="D243" s="3">
        <f t="shared" si="108"/>
        <v>1532.2870706776257</v>
      </c>
      <c r="E243" s="3">
        <f>(1+Forudsætninger!$D$78)*C243</f>
        <v>392.67869329908439</v>
      </c>
      <c r="F243" s="2">
        <f t="shared" si="90"/>
        <v>0</v>
      </c>
      <c r="G243" s="1">
        <f t="shared" si="83"/>
        <v>392.67869329908439</v>
      </c>
      <c r="H243" s="3">
        <f t="shared" si="91"/>
        <v>1287.1211393692192</v>
      </c>
      <c r="I243" s="3">
        <f t="shared" si="92"/>
        <v>1330.6169846435037</v>
      </c>
      <c r="J243" s="1">
        <f>VLOOKUP((A243+Forudsætninger!$D$60),'Model tilvækst, slagteform, fe'!G:K,3,FALSE)*(1+Forudsætninger!$D$79)</f>
        <v>54.866334729127544</v>
      </c>
      <c r="K243" s="17">
        <f t="shared" si="84"/>
        <v>215.44840627543977</v>
      </c>
      <c r="L243" s="17">
        <f t="shared" si="93"/>
        <v>740.28187741595275</v>
      </c>
      <c r="M243" s="3">
        <f>((K243-(('Model tilvækst, slagteform, fe'!$I$9/100)*'Model tilvækst, slagteform, fe'!$C$9))*1000/(A243+Forudsætninger!$D$60))</f>
        <v>704.47215752389252</v>
      </c>
      <c r="N243" s="17">
        <f t="shared" si="94"/>
        <v>1309.0629526973232</v>
      </c>
      <c r="O243" s="19">
        <f>IF( A243&lt;Forudsætninger!$C$14,(G243/100)*Forudsætninger!$C$13,(Forudsætninger!$C$15/1000)*Forudsætninger!$C$13)</f>
        <v>2.5524115064440487</v>
      </c>
      <c r="P243" s="17" cm="1">
        <f t="array" ref="P243">INDEX('Model tilvækst, slagteform, fe'!$O$9:$O$375,MATCH(MIN(ABS('Model tilvækst, slagteform, fe'!$M$9:$M$375-G243)),ABS('Model tilvækst, slagteform, fe'!$M$9:$M$375-G243),0))*(1+Forudsætninger!$D$80)</f>
        <v>7.4998367970717315</v>
      </c>
      <c r="Q243" s="17">
        <f t="shared" si="95"/>
        <v>10.131055515300277</v>
      </c>
      <c r="R243" s="17">
        <f t="shared" si="96"/>
        <v>7.2528786425186276</v>
      </c>
      <c r="S243" s="2">
        <f t="shared" si="85"/>
        <v>4.0821637983799937</v>
      </c>
      <c r="T243" s="19">
        <f>(P243)*IF(N243&lt;Forudsætninger!$B$228,IF(N243&lt;Forudsætninger!$B$227,Forudsætninger!$B$225,Forudsætninger!$C$9),Forudsætninger!$C$11)+O243</f>
        <v>20.102029611591899</v>
      </c>
      <c r="U243" s="2">
        <f>Forudsætninger!$D$68+((K243-(Forudsætninger!$D$84)))*0.01</f>
        <v>7.2940947441140498</v>
      </c>
      <c r="V243" s="2">
        <f>U243+Forudsætninger!$D$69</f>
        <v>7.2940947441140498</v>
      </c>
      <c r="W243">
        <f t="shared" si="86"/>
        <v>1</v>
      </c>
      <c r="X243">
        <f>IF(A243+Forudsætninger!$D$60&gt;248,IF(A243+Forudsætninger!$D$60&lt;365,IF(K243&gt;180,IF(K243&lt;260,1,0),0),0),0)</f>
        <v>1</v>
      </c>
      <c r="Y243" s="22">
        <f>IF(X243=0,0,IF('Vækstfunktion, kry tyr'!A243&lt;Forudsætninger!$D$66,Forudsætninger!$D$67+(('Vækstfunktion, kry tyr'!A243-Forudsætninger!$D$66)/7)*Forudsætninger!$D$64,Forudsætninger!$D$67))</f>
        <v>0.92085714285714282</v>
      </c>
      <c r="Z243" s="19">
        <f t="shared" si="100"/>
        <v>3921.8589350086968</v>
      </c>
      <c r="AA243" s="19">
        <f>Forudsætninger!$D$62+Forudsætninger!$C$16</f>
        <v>2055</v>
      </c>
      <c r="AB243" s="19">
        <f>IF(K243&gt;Forudsætninger!$C$37,IF(K243&gt;Forudsætninger!$C$38,IF(K243&gt;Forudsætninger!$C$39,Forudsætninger!$E$39,Forudsætninger!$E$38+Forudsætninger!$F$39*(K243-Forudsætninger!$C$38)),Forudsætninger!$E$37+Forudsætninger!$F$38*(K243-Forudsætninger!$C$37)),Forudsætninger!$E$37)+IF(K243&gt;Forudsætninger!$C$39,Forudsætninger!$G$39,IF(K243&gt;Forudsætninger!$C$38,Forudsætninger!$G$38+Forudsætninger!$H$39*(K243-Forudsætninger!$C$38),IF(K243&gt;Forudsætninger!$C$37,Forudsætninger!$G$37+Forudsætninger!$H$38*(K243-Forudsætninger!$C$37),Forudsætninger!$G$37)))*(U243-Forudsætninger!$H$37)</f>
        <v>36.531567092075903</v>
      </c>
      <c r="AC243" s="19">
        <f>IF(K243&gt;Forudsætninger!$C$42,IF(K243&gt;Forudsætninger!$C$43,IF(K243&gt;Forudsætninger!$C$44,Forudsætninger!$E$44,Forudsætninger!$E$43+Forudsætninger!$F$44*(K243-Forudsætninger!$C$43)),Forudsætninger!$E$42+Forudsætninger!$F$43*(K243-Forudsætninger!$C$42)),Forudsætninger!$E$42)+IF(K243&gt;Forudsætninger!$C$44,Forudsætninger!$G$44,IF(K243&gt;Forudsætninger!$C$43,Forudsætninger!$G$43+Forudsætninger!$H$44*(K243-Forudsætninger!$C$43),IF(K243&gt;Forudsætninger!$C$42,Forudsætninger!$G$42+Forudsætninger!$H$43*(K243-Forudsætninger!$C$42),Forudsætninger!$G$42)))*(V243-Forudsætninger!$H$42)</f>
        <v>30.843831808861104</v>
      </c>
      <c r="AD243" s="19">
        <f t="shared" si="87"/>
        <v>7773.6851829955967</v>
      </c>
      <c r="AE243" s="19">
        <f t="shared" si="88"/>
        <v>36.081423471090048</v>
      </c>
      <c r="AF243">
        <f>IF(G243&lt;=Forudsætninger!$C$97,Forudsætninger!$C$98,(IF(G243&lt;=Forudsætninger!$D$97,Forudsætninger!$D$98,IF(G243&lt;=Forudsætninger!$E$97,Forudsætninger!$E$98,IF(G243&lt;=Forudsætninger!$F$97,Forudsætninger!$F$98,IF(G243&lt;=Forudsætninger!$G$97,Forudsætninger!$G$98,IF(G243&lt;=Forudsætninger!$H$97,Forudsætninger!$H$98,IF(G243&lt;=Forudsætninger!$I$97,Forudsætninger!$I$98,Forudsætninger!$I$98))))))))</f>
        <v>3.8</v>
      </c>
      <c r="AG243" s="1">
        <f t="shared" si="97"/>
        <v>4.4000000000000004</v>
      </c>
      <c r="AH243" s="1">
        <f t="shared" si="101"/>
        <v>744.59999999999729</v>
      </c>
      <c r="AI243" s="1">
        <f t="shared" si="89"/>
        <v>3.0896265560165861</v>
      </c>
      <c r="AJ243" s="20">
        <f>+(W243*Forudsætninger!$C$12)</f>
        <v>900</v>
      </c>
      <c r="AK243" s="20">
        <f>Forudsætninger!$C$17</f>
        <v>250</v>
      </c>
      <c r="AL243" s="20">
        <f>IF(A243&lt;92,Forudsætninger!$C$20,Forudsætninger!$C$21)</f>
        <v>1.0566762728146013</v>
      </c>
      <c r="AM243" s="20">
        <f t="shared" si="98"/>
        <v>523.16446460161103</v>
      </c>
      <c r="AN243" s="19">
        <f>IFERROR(AD243+AJ243-AA243-Z243-AK243-AM243-Forudsætninger!$D$75,-99999)</f>
        <v>1705.7698096843276</v>
      </c>
      <c r="AO243" s="57">
        <f>IFERROR(AN243/(A243+Forudsætninger!$D$74),-99999)</f>
        <v>7.0778830277357994</v>
      </c>
      <c r="AP243" s="19">
        <f>IFERROR(((365/(A243+Forudsætninger!$D$74))*AN243)/(AI243+Forudsætninger!$D$73),-99999)</f>
        <v>807.41525921694927</v>
      </c>
      <c r="AQ243" s="18">
        <f t="shared" si="102"/>
        <v>241</v>
      </c>
      <c r="AR243" s="18">
        <f t="shared" si="103"/>
        <v>6750.0233996103079</v>
      </c>
      <c r="AS243" s="50">
        <f t="shared" si="104"/>
        <v>9</v>
      </c>
      <c r="AT243" s="50">
        <f t="shared" si="105"/>
        <v>14.009655411295398</v>
      </c>
      <c r="AU243" s="50">
        <f t="shared" si="106"/>
        <v>2.8882384931498528E-2</v>
      </c>
      <c r="AV243" s="2">
        <f t="shared" si="107"/>
        <v>1.9202731620850955</v>
      </c>
      <c r="AW243" s="16">
        <f t="shared" si="99"/>
        <v>9.2486899347964258</v>
      </c>
      <c r="AZ243" s="16"/>
      <c r="BA243" s="2"/>
    </row>
    <row r="244" spans="1:53" x14ac:dyDescent="0.25">
      <c r="A244">
        <v>242</v>
      </c>
      <c r="B244" s="1">
        <f>ROUND((A244+Forudsætninger!$D$60)/30.4,1)</f>
        <v>9.1</v>
      </c>
      <c r="C244" s="1">
        <f>VLOOKUP((A244+Forudsætninger!$D$60),'Model tilvækst, slagteform, fe'!A:C,3,FALSE)</f>
        <v>469.00226502401301</v>
      </c>
      <c r="D244" s="3">
        <f t="shared" si="108"/>
        <v>1527.6301441506348</v>
      </c>
      <c r="E244" s="3">
        <f>(1+Forudsætninger!$D$78)*C244</f>
        <v>393.96190262017092</v>
      </c>
      <c r="F244" s="2">
        <f t="shared" si="90"/>
        <v>0</v>
      </c>
      <c r="G244" s="1">
        <f t="shared" si="83"/>
        <v>393.96190262017092</v>
      </c>
      <c r="H244" s="3">
        <f t="shared" si="91"/>
        <v>1283.209321086531</v>
      </c>
      <c r="I244" s="3">
        <f t="shared" si="92"/>
        <v>1330.4210852073179</v>
      </c>
      <c r="J244" s="1">
        <f>VLOOKUP((A244+Forudsætninger!$D$60),'Model tilvækst, slagteform, fe'!G:K,3,FALSE)*(1+Forudsætninger!$D$79)</f>
        <v>54.874858639783604</v>
      </c>
      <c r="K244" s="17">
        <f t="shared" si="84"/>
        <v>216.18603715742074</v>
      </c>
      <c r="L244" s="17">
        <f t="shared" si="93"/>
        <v>737.63088198097648</v>
      </c>
      <c r="M244" s="3">
        <f>((K244-(('Model tilvækst, slagteform, fe'!$I$9/100)*'Model tilvækst, slagteform, fe'!$C$9))*1000/(A244+Forudsætninger!$D$60))</f>
        <v>704.59229782989644</v>
      </c>
      <c r="N244" s="17">
        <f t="shared" si="94"/>
        <v>1316.5740236669208</v>
      </c>
      <c r="O244" s="19">
        <f>IF( A244&lt;Forudsætninger!$C$14,(G244/100)*Forudsætninger!$C$13,(Forudsætninger!$C$15/1000)*Forudsætninger!$C$13)</f>
        <v>2.5607523670311112</v>
      </c>
      <c r="P244" s="17" cm="1">
        <f t="array" ref="P244">INDEX('Model tilvækst, slagteform, fe'!$O$9:$O$375,MATCH(MIN(ABS('Model tilvækst, slagteform, fe'!$M$9:$M$375-G244)),ABS('Model tilvækst, slagteform, fe'!$M$9:$M$375-G244),0))*(1+Forudsætninger!$D$80)</f>
        <v>7.5110709695976228</v>
      </c>
      <c r="Q244" s="17">
        <f t="shared" si="95"/>
        <v>10.182695916182281</v>
      </c>
      <c r="R244" s="17">
        <f t="shared" si="96"/>
        <v>7.2648036380243575</v>
      </c>
      <c r="S244" s="2">
        <f t="shared" si="85"/>
        <v>4.0892230197189718</v>
      </c>
      <c r="T244" s="19">
        <f>(P244)*IF(N244&lt;Forudsætninger!$B$228,IF(N244&lt;Forudsætninger!$B$227,Forudsætninger!$B$225,Forudsætninger!$C$9),Forudsætninger!$C$11)+O244</f>
        <v>20.136658435889547</v>
      </c>
      <c r="U244" s="2">
        <f>Forudsætninger!$D$68+((K244-(Forudsætninger!$D$84)))*0.01</f>
        <v>7.3014710529338593</v>
      </c>
      <c r="V244" s="2">
        <f>U244+Forudsætninger!$D$69</f>
        <v>7.3014710529338593</v>
      </c>
      <c r="W244">
        <f t="shared" si="86"/>
        <v>1</v>
      </c>
      <c r="X244">
        <f>IF(A244+Forudsætninger!$D$60&gt;248,IF(A244+Forudsætninger!$D$60&lt;365,IF(K244&gt;180,IF(K244&lt;260,1,0),0),0),0)</f>
        <v>1</v>
      </c>
      <c r="Y244" s="22">
        <f>IF(X244=0,0,IF('Vækstfunktion, kry tyr'!A244&lt;Forudsætninger!$D$66,Forudsætninger!$D$67+(('Vækstfunktion, kry tyr'!A244-Forudsætninger!$D$66)/7)*Forudsætninger!$D$64,Forudsætninger!$D$67))</f>
        <v>0.92514285714285704</v>
      </c>
      <c r="Z244" s="19">
        <f t="shared" si="100"/>
        <v>3941.9955934445861</v>
      </c>
      <c r="AA244" s="19">
        <f>Forudsætninger!$D$62+Forudsætninger!$C$16</f>
        <v>2055</v>
      </c>
      <c r="AB244" s="19">
        <f>IF(K244&gt;Forudsætninger!$C$37,IF(K244&gt;Forudsætninger!$C$38,IF(K244&gt;Forudsætninger!$C$39,Forudsætninger!$E$39,Forudsætninger!$E$38+Forudsætninger!$F$39*(K244-Forudsætninger!$C$38)),Forudsætninger!$E$37+Forudsætninger!$F$38*(K244-Forudsætninger!$C$37)),Forudsætninger!$E$37)+IF(K244&gt;Forudsætninger!$C$39,Forudsætninger!$G$39,IF(K244&gt;Forudsætninger!$C$38,Forudsætninger!$G$38+Forudsætninger!$H$39*(K244-Forudsætninger!$C$38),IF(K244&gt;Forudsætninger!$C$37,Forudsætninger!$G$37+Forudsætninger!$H$38*(K244-Forudsætninger!$C$37),Forudsætninger!$G$37)))*(U244-Forudsætninger!$H$37)</f>
        <v>36.546135301995022</v>
      </c>
      <c r="AC244" s="19">
        <f>IF(K244&gt;Forudsætninger!$C$42,IF(K244&gt;Forudsætninger!$C$43,IF(K244&gt;Forudsætninger!$C$44,Forudsætninger!$E$44,Forudsætninger!$E$43+Forudsætninger!$F$44*(K244-Forudsætninger!$C$43)),Forudsætninger!$E$42+Forudsætninger!$F$43*(K244-Forudsætninger!$C$42)),Forudsætninger!$E$42)+IF(K244&gt;Forudsætninger!$C$44,Forudsætninger!$G$44,IF(K244&gt;Forudsætninger!$C$43,Forudsætninger!$G$43+Forudsætninger!$H$44*(K244-Forudsætninger!$C$43),IF(K244&gt;Forudsætninger!$C$42,Forudsætninger!$G$42+Forudsætninger!$H$43*(K244-Forudsætninger!$C$42),Forudsætninger!$G$42)))*(V244-Forudsætninger!$H$42)</f>
        <v>30.863108631551984</v>
      </c>
      <c r="AD244" s="19">
        <f t="shared" si="87"/>
        <v>7808.7953512386293</v>
      </c>
      <c r="AE244" s="19">
        <f t="shared" si="88"/>
        <v>36.120720162664711</v>
      </c>
      <c r="AF244">
        <f>IF(G244&lt;=Forudsætninger!$C$97,Forudsætninger!$C$98,(IF(G244&lt;=Forudsætninger!$D$97,Forudsætninger!$D$98,IF(G244&lt;=Forudsætninger!$E$97,Forudsætninger!$E$98,IF(G244&lt;=Forudsætninger!$F$97,Forudsætninger!$F$98,IF(G244&lt;=Forudsætninger!$G$97,Forudsætninger!$G$98,IF(G244&lt;=Forudsætninger!$H$97,Forudsætninger!$H$98,IF(G244&lt;=Forudsætninger!$I$97,Forudsætninger!$I$98,Forudsætninger!$I$98))))))))</f>
        <v>3.8</v>
      </c>
      <c r="AG244" s="1">
        <f t="shared" si="97"/>
        <v>4.4000000000000004</v>
      </c>
      <c r="AH244" s="1">
        <f t="shared" si="101"/>
        <v>748.99999999999727</v>
      </c>
      <c r="AI244" s="1">
        <f t="shared" si="89"/>
        <v>3.0950413223140383</v>
      </c>
      <c r="AJ244" s="20">
        <f>+(W244*Forudsætninger!$C$12)</f>
        <v>900</v>
      </c>
      <c r="AK244" s="20">
        <f>Forudsætninger!$C$17</f>
        <v>250</v>
      </c>
      <c r="AL244" s="20">
        <f>IF(A244&lt;92,Forudsætninger!$C$20,Forudsætninger!$C$21)</f>
        <v>1.0566762728146013</v>
      </c>
      <c r="AM244" s="20">
        <f t="shared" si="98"/>
        <v>524.2211408744256</v>
      </c>
      <c r="AN244" s="19">
        <f>IFERROR(AD244+AJ244-AA244-Z244-AK244-AM244-Forudsætninger!$D$75,-99999)</f>
        <v>1719.6866432186582</v>
      </c>
      <c r="AO244" s="57">
        <f>IFERROR(AN244/(A244+Forudsætninger!$D$74),-99999)</f>
        <v>7.1061431537961086</v>
      </c>
      <c r="AP244" s="19">
        <f>IFERROR(((365/(A244+Forudsætninger!$D$74))*AN244)/(AI244+Forudsætninger!$D$73),-99999)</f>
        <v>809.26951957764425</v>
      </c>
      <c r="AQ244" s="18">
        <f t="shared" si="102"/>
        <v>242</v>
      </c>
      <c r="AR244" s="18">
        <f t="shared" si="103"/>
        <v>6771.2167343190122</v>
      </c>
      <c r="AS244" s="50">
        <f t="shared" si="104"/>
        <v>9.1</v>
      </c>
      <c r="AT244" s="50">
        <f t="shared" si="105"/>
        <v>13.916833534330635</v>
      </c>
      <c r="AU244" s="50">
        <f t="shared" si="106"/>
        <v>2.8260126060309254E-2</v>
      </c>
      <c r="AV244" s="2">
        <f t="shared" si="107"/>
        <v>1.8542603606949797</v>
      </c>
      <c r="AW244" s="16">
        <f t="shared" si="99"/>
        <v>9.2723462152606775</v>
      </c>
      <c r="AZ244" s="16"/>
      <c r="BA244" s="2"/>
    </row>
    <row r="245" spans="1:53" ht="14.25" customHeight="1" x14ac:dyDescent="0.25">
      <c r="A245">
        <v>243</v>
      </c>
      <c r="B245" s="1">
        <f>ROUND((A245+Forudsætninger!$D$60)/30.4,1)</f>
        <v>9.1</v>
      </c>
      <c r="C245" s="1">
        <f>VLOOKUP((A245+Forudsætninger!$D$60),'Model tilvækst, slagteform, fe'!A:C,3,FALSE)</f>
        <v>470.52523058983581</v>
      </c>
      <c r="D245" s="3">
        <f t="shared" si="108"/>
        <v>1522.9655658228012</v>
      </c>
      <c r="E245" s="3">
        <f>(1+Forudsætninger!$D$78)*C245</f>
        <v>395.24119369546207</v>
      </c>
      <c r="F245" s="2">
        <f t="shared" si="90"/>
        <v>0</v>
      </c>
      <c r="G245" s="1">
        <f t="shared" si="83"/>
        <v>395.24119369546207</v>
      </c>
      <c r="H245" s="3">
        <f t="shared" si="91"/>
        <v>1279.2910752911553</v>
      </c>
      <c r="I245" s="3">
        <f t="shared" si="92"/>
        <v>1330.2106736438768</v>
      </c>
      <c r="J245" s="1">
        <f>VLOOKUP((A245+Forudsætninger!$D$60),'Model tilvækst, slagteform, fe'!G:K,3,FALSE)*(1+Forudsætninger!$D$79)</f>
        <v>54.883206157821427</v>
      </c>
      <c r="K245" s="17">
        <f t="shared" si="84"/>
        <v>216.92103915651475</v>
      </c>
      <c r="L245" s="17">
        <f t="shared" si="93"/>
        <v>735.00199909400976</v>
      </c>
      <c r="M245" s="3">
        <f>((K245-(('Model tilvækst, slagteform, fe'!$I$9/100)*'Model tilvækst, slagteform, fe'!$C$9))*1000/(A245+Forudsætninger!$D$60))</f>
        <v>704.70208014492937</v>
      </c>
      <c r="N245" s="17">
        <f t="shared" si="94"/>
        <v>1324.0964844906018</v>
      </c>
      <c r="O245" s="19">
        <f>IF( A245&lt;Forudsætninger!$C$14,(G245/100)*Forudsætninger!$C$13,(Forudsætninger!$C$15/1000)*Forudsætninger!$C$13)</f>
        <v>2.5690677590205033</v>
      </c>
      <c r="P245" s="17" cm="1">
        <f t="array" ref="P245">INDEX('Model tilvækst, slagteform, fe'!$O$9:$O$375,MATCH(MIN(ABS('Model tilvækst, slagteform, fe'!$M$9:$M$375-G245)),ABS('Model tilvækst, slagteform, fe'!$M$9:$M$375-G245),0))*(1+Forudsætninger!$D$80)</f>
        <v>7.5224608236809809</v>
      </c>
      <c r="Q245" s="17">
        <f t="shared" si="95"/>
        <v>10.234612739765932</v>
      </c>
      <c r="R245" s="17">
        <f t="shared" si="96"/>
        <v>7.2767996762525344</v>
      </c>
      <c r="S245" s="2">
        <f t="shared" si="85"/>
        <v>4.0963110838468317</v>
      </c>
      <c r="T245" s="19">
        <f>(P245)*IF(N245&lt;Forudsætninger!$B$228,IF(N245&lt;Forudsætninger!$B$227,Forudsætninger!$B$225,Forudsætninger!$C$9),Forudsætninger!$C$11)+O245</f>
        <v>20.171626086433996</v>
      </c>
      <c r="U245" s="2">
        <f>Forudsætninger!$D$68+((K245-(Forudsætninger!$D$84)))*0.01</f>
        <v>7.3088210729247995</v>
      </c>
      <c r="V245" s="2">
        <f>U245+Forudsætninger!$D$69</f>
        <v>7.3088210729247995</v>
      </c>
      <c r="W245">
        <f t="shared" si="86"/>
        <v>1</v>
      </c>
      <c r="X245">
        <f>IF(A245+Forudsætninger!$D$60&gt;248,IF(A245+Forudsætninger!$D$60&lt;365,IF(K245&gt;180,IF(K245&lt;260,1,0),0),0),0)</f>
        <v>1</v>
      </c>
      <c r="Y245" s="22">
        <f>IF(X245=0,0,IF('Vækstfunktion, kry tyr'!A245&lt;Forudsætninger!$D$66,Forudsætninger!$D$67+(('Vækstfunktion, kry tyr'!A245-Forudsætninger!$D$66)/7)*Forudsætninger!$D$64,Forudsætninger!$D$67))</f>
        <v>0.92942857142857138</v>
      </c>
      <c r="Z245" s="19">
        <f t="shared" si="100"/>
        <v>3962.1672195310202</v>
      </c>
      <c r="AA245" s="19">
        <f>Forudsætninger!$D$62+Forudsætninger!$C$16</f>
        <v>2055</v>
      </c>
      <c r="AB245" s="19">
        <f>IF(K245&gt;Forudsætninger!$C$37,IF(K245&gt;Forudsætninger!$C$38,IF(K245&gt;Forudsætninger!$C$39,Forudsætninger!$E$39,Forudsætninger!$E$38+Forudsætninger!$F$39*(K245-Forudsætninger!$C$38)),Forudsætninger!$E$37+Forudsætninger!$F$38*(K245-Forudsætninger!$C$37)),Forudsætninger!$E$37)+IF(K245&gt;Forudsætninger!$C$39,Forudsætninger!$G$39,IF(K245&gt;Forudsætninger!$C$38,Forudsætninger!$G$38+Forudsætninger!$H$39*(K245-Forudsætninger!$C$38),IF(K245&gt;Forudsætninger!$C$37,Forudsætninger!$G$37+Forudsætninger!$H$38*(K245-Forudsætninger!$C$37),Forudsætninger!$G$37)))*(U245-Forudsætninger!$H$37)</f>
        <v>36.560651591477132</v>
      </c>
      <c r="AC245" s="19">
        <f>IF(K245&gt;Forudsætninger!$C$42,IF(K245&gt;Forudsætninger!$C$43,IF(K245&gt;Forudsætninger!$C$44,Forudsætninger!$E$44,Forudsætninger!$E$43+Forudsætninger!$F$44*(K245-Forudsætninger!$C$43)),Forudsætninger!$E$42+Forudsætninger!$F$43*(K245-Forudsætninger!$C$42)),Forudsætninger!$E$42)+IF(K245&gt;Forudsætninger!$C$44,Forudsætninger!$G$44,IF(K245&gt;Forudsætninger!$C$43,Forudsætninger!$G$43+Forudsætninger!$H$44*(K245-Forudsætninger!$C$43),IF(K245&gt;Forudsætninger!$C$42,Forudsætninger!$G$42+Forudsætninger!$H$43*(K245-Forudsætninger!$C$42),Forudsætninger!$G$42)))*(V245-Forudsætninger!$H$42)</f>
        <v>30.882294202771941</v>
      </c>
      <c r="AD245" s="19">
        <f t="shared" si="87"/>
        <v>7843.8478123743262</v>
      </c>
      <c r="AE245" s="19">
        <f t="shared" si="88"/>
        <v>36.159921798617077</v>
      </c>
      <c r="AF245">
        <f>IF(G245&lt;=Forudsætninger!$C$97,Forudsætninger!$C$98,(IF(G245&lt;=Forudsætninger!$D$97,Forudsætninger!$D$98,IF(G245&lt;=Forudsætninger!$E$97,Forudsætninger!$E$98,IF(G245&lt;=Forudsætninger!$F$97,Forudsætninger!$F$98,IF(G245&lt;=Forudsætninger!$G$97,Forudsætninger!$G$98,IF(G245&lt;=Forudsætninger!$H$97,Forudsætninger!$H$98,IF(G245&lt;=Forudsætninger!$I$97,Forudsætninger!$I$98,Forudsætninger!$I$98))))))))</f>
        <v>3.8</v>
      </c>
      <c r="AG245" s="1">
        <f t="shared" si="97"/>
        <v>4.4000000000000004</v>
      </c>
      <c r="AH245" s="1">
        <f t="shared" si="101"/>
        <v>753.39999999999725</v>
      </c>
      <c r="AI245" s="1">
        <f t="shared" si="89"/>
        <v>3.1004115226337334</v>
      </c>
      <c r="AJ245" s="20">
        <f>+(W245*Forudsætninger!$C$12)</f>
        <v>900</v>
      </c>
      <c r="AK245" s="20">
        <f>Forudsætninger!$C$17</f>
        <v>250</v>
      </c>
      <c r="AL245" s="20">
        <f>IF(A245&lt;92,Forudsætninger!$C$20,Forudsætninger!$C$21)</f>
        <v>1.0566762728146013</v>
      </c>
      <c r="AM245" s="20">
        <f t="shared" si="98"/>
        <v>525.27781714724017</v>
      </c>
      <c r="AN245" s="19">
        <f>IFERROR(AD245+AJ245-AA245-Z245-AK245-AM245-Forudsætninger!$D$75,-99999)</f>
        <v>1733.5108019951056</v>
      </c>
      <c r="AO245" s="57">
        <f>IFERROR(AN245/(A245+Forudsætninger!$D$74),-99999)</f>
        <v>7.133789308621834</v>
      </c>
      <c r="AP245" s="19">
        <f>IFERROR(((365/(A245+Forudsætninger!$D$74))*AN245)/(AI245+Forudsætninger!$D$73),-99999)</f>
        <v>811.05898084705859</v>
      </c>
      <c r="AQ245" s="18">
        <f t="shared" si="102"/>
        <v>243</v>
      </c>
      <c r="AR245" s="18">
        <f t="shared" si="103"/>
        <v>6792.4450366782603</v>
      </c>
      <c r="AS245" s="50">
        <f t="shared" si="104"/>
        <v>9.1</v>
      </c>
      <c r="AT245" s="50">
        <f t="shared" si="105"/>
        <v>13.824158776447348</v>
      </c>
      <c r="AU245" s="50">
        <f t="shared" si="106"/>
        <v>2.7646154825725411E-2</v>
      </c>
      <c r="AV245" s="2">
        <f t="shared" si="107"/>
        <v>1.7894612694143461</v>
      </c>
      <c r="AW245" s="16">
        <f t="shared" si="99"/>
        <v>9.2954264162236448</v>
      </c>
      <c r="AZ245" s="16"/>
      <c r="BA245" s="2"/>
    </row>
    <row r="246" spans="1:53" x14ac:dyDescent="0.25">
      <c r="A246">
        <v>244</v>
      </c>
      <c r="B246" s="1">
        <f>ROUND((A246+Forudsætninger!$D$60)/30.4,1)</f>
        <v>9.1</v>
      </c>
      <c r="C246" s="1">
        <f>VLOOKUP((A246+Forudsætninger!$D$60),'Model tilvækst, slagteform, fe'!A:C,3,FALSE)</f>
        <v>472.04352454646568</v>
      </c>
      <c r="D246" s="3">
        <f t="shared" si="108"/>
        <v>1518.2939566298614</v>
      </c>
      <c r="E246" s="3">
        <f>(1+Forudsætninger!$D$78)*C246</f>
        <v>396.51656061903117</v>
      </c>
      <c r="F246" s="2">
        <f t="shared" si="90"/>
        <v>0</v>
      </c>
      <c r="G246" s="1">
        <f t="shared" si="83"/>
        <v>396.51656061903117</v>
      </c>
      <c r="H246" s="3">
        <f t="shared" si="91"/>
        <v>1275.366923569095</v>
      </c>
      <c r="I246" s="3">
        <f t="shared" si="92"/>
        <v>1329.9859041763573</v>
      </c>
      <c r="J246" s="1">
        <f>VLOOKUP((A246+Forudsætninger!$D$60),'Model tilvækst, slagteform, fe'!G:K,3,FALSE)*(1+Forudsætninger!$D$79)</f>
        <v>54.891385824802597</v>
      </c>
      <c r="K246" s="17">
        <f t="shared" si="84"/>
        <v>217.65343514862968</v>
      </c>
      <c r="L246" s="17">
        <f t="shared" si="93"/>
        <v>732.395992114931</v>
      </c>
      <c r="M246" s="3">
        <f>((K246-(('Model tilvækst, slagteform, fe'!$I$9/100)*'Model tilvækst, slagteform, fe'!$C$9))*1000/(A246+Forudsætninger!$D$60))</f>
        <v>704.80169853331063</v>
      </c>
      <c r="N246" s="17">
        <f t="shared" si="94"/>
        <v>1331.6304920033156</v>
      </c>
      <c r="O246" s="19">
        <f>IF( A246&lt;Forudsætninger!$C$14,(G246/100)*Forudsætninger!$C$13,(Forudsætninger!$C$15/1000)*Forudsætninger!$C$13)</f>
        <v>2.5773576440237025</v>
      </c>
      <c r="P246" s="17" cm="1">
        <f t="array" ref="P246">INDEX('Model tilvækst, slagteform, fe'!$O$9:$O$375,MATCH(MIN(ABS('Model tilvækst, slagteform, fe'!$M$9:$M$375-G246)),ABS('Model tilvækst, slagteform, fe'!$M$9:$M$375-G246),0))*(1+Forudsætninger!$D$80)</f>
        <v>7.5340075127136732</v>
      </c>
      <c r="Q246" s="17">
        <f t="shared" si="95"/>
        <v>10.286795113334538</v>
      </c>
      <c r="R246" s="17">
        <f t="shared" si="96"/>
        <v>7.2888663633989044</v>
      </c>
      <c r="S246" s="2">
        <f t="shared" si="85"/>
        <v>4.1034284643691699</v>
      </c>
      <c r="T246" s="19">
        <f>(P246)*IF(N246&lt;Forudsætninger!$B$228,IF(N246&lt;Forudsætninger!$B$227,Forudsætninger!$B$225,Forudsætninger!$C$9),Forudsætninger!$C$11)+O246</f>
        <v>20.206935223773698</v>
      </c>
      <c r="U246" s="2">
        <f>Forudsætninger!$D$68+((K246-(Forudsætninger!$D$84)))*0.01</f>
        <v>7.3161450328459487</v>
      </c>
      <c r="V246" s="2">
        <f>U246+Forudsætninger!$D$69</f>
        <v>7.3161450328459487</v>
      </c>
      <c r="W246">
        <f t="shared" si="86"/>
        <v>1</v>
      </c>
      <c r="X246">
        <f>IF(A246+Forudsætninger!$D$60&gt;248,IF(A246+Forudsætninger!$D$60&lt;365,IF(K246&gt;180,IF(K246&lt;260,1,0),0),0),0)</f>
        <v>1</v>
      </c>
      <c r="Y246" s="22">
        <f>IF(X246=0,0,IF('Vækstfunktion, kry tyr'!A246&lt;Forudsætninger!$D$66,Forudsætninger!$D$67+(('Vækstfunktion, kry tyr'!A246-Forudsætninger!$D$66)/7)*Forudsætninger!$D$64,Forudsætninger!$D$67))</f>
        <v>0.93371428571428561</v>
      </c>
      <c r="Z246" s="19">
        <f t="shared" si="100"/>
        <v>3982.3741547547938</v>
      </c>
      <c r="AA246" s="19">
        <f>Forudsætninger!$D$62+Forudsætninger!$C$16</f>
        <v>2055</v>
      </c>
      <c r="AB246" s="19">
        <f>IF(K246&gt;Forudsætninger!$C$37,IF(K246&gt;Forudsætninger!$C$38,IF(K246&gt;Forudsætninger!$C$39,Forudsætninger!$E$39,Forudsætninger!$E$38+Forudsætninger!$F$39*(K246-Forudsætninger!$C$38)),Forudsætninger!$E$37+Forudsætninger!$F$38*(K246-Forudsætninger!$C$37)),Forudsætninger!$E$37)+IF(K246&gt;Forudsætninger!$C$39,Forudsætninger!$G$39,IF(K246&gt;Forudsætninger!$C$38,Forudsætninger!$G$38+Forudsætninger!$H$39*(K246-Forudsætninger!$C$38),IF(K246&gt;Forudsætninger!$C$37,Forudsætninger!$G$37+Forudsætninger!$H$38*(K246-Forudsætninger!$C$37),Forudsætninger!$G$37)))*(U246-Forudsætninger!$H$37)</f>
        <v>36.5751164123214</v>
      </c>
      <c r="AC246" s="19">
        <f>IF(K246&gt;Forudsætninger!$C$42,IF(K246&gt;Forudsætninger!$C$43,IF(K246&gt;Forudsætninger!$C$44,Forudsætninger!$E$44,Forudsætninger!$E$43+Forudsætninger!$F$44*(K246-Forudsætninger!$C$43)),Forudsætninger!$E$42+Forudsætninger!$F$43*(K246-Forudsætninger!$C$42)),Forudsætninger!$E$42)+IF(K246&gt;Forudsætninger!$C$44,Forudsætninger!$G$44,IF(K246&gt;Forudsætninger!$C$43,Forudsætninger!$G$43+Forudsætninger!$H$44*(K246-Forudsætninger!$C$43),IF(K246&gt;Forudsætninger!$C$42,Forudsætninger!$G$42+Forudsætninger!$H$43*(K246-Forudsætninger!$C$42),Forudsætninger!$G$42)))*(V246-Forudsætninger!$H$42)</f>
        <v>30.901389360125908</v>
      </c>
      <c r="AD246" s="19">
        <f t="shared" si="87"/>
        <v>7878.8430896863747</v>
      </c>
      <c r="AE246" s="19">
        <f t="shared" si="88"/>
        <v>36.199029362004438</v>
      </c>
      <c r="AF246">
        <f>IF(G246&lt;=Forudsætninger!$C$97,Forudsætninger!$C$98,(IF(G246&lt;=Forudsætninger!$D$97,Forudsætninger!$D$98,IF(G246&lt;=Forudsætninger!$E$97,Forudsætninger!$E$98,IF(G246&lt;=Forudsætninger!$F$97,Forudsætninger!$F$98,IF(G246&lt;=Forudsætninger!$G$97,Forudsætninger!$G$98,IF(G246&lt;=Forudsætninger!$H$97,Forudsætninger!$H$98,IF(G246&lt;=Forudsætninger!$I$97,Forudsætninger!$I$98,Forudsætninger!$I$98))))))))</f>
        <v>3.8</v>
      </c>
      <c r="AG246" s="1">
        <f t="shared" si="97"/>
        <v>4.4000000000000004</v>
      </c>
      <c r="AH246" s="1">
        <f t="shared" si="101"/>
        <v>757.79999999999723</v>
      </c>
      <c r="AI246" s="1">
        <f t="shared" si="89"/>
        <v>3.1057377049180213</v>
      </c>
      <c r="AJ246" s="20">
        <f>+(W246*Forudsætninger!$C$12)</f>
        <v>900</v>
      </c>
      <c r="AK246" s="20">
        <f>Forudsætninger!$C$17</f>
        <v>250</v>
      </c>
      <c r="AL246" s="20">
        <f>IF(A246&lt;92,Forudsætninger!$C$20,Forudsætninger!$C$21)</f>
        <v>1.0566762728146013</v>
      </c>
      <c r="AM246" s="20">
        <f t="shared" si="98"/>
        <v>526.33449342005474</v>
      </c>
      <c r="AN246" s="19">
        <f>IFERROR(AD246+AJ246-AA246-Z246-AK246-AM246-Forudsætninger!$D$75,-99999)</f>
        <v>1747.2424678105667</v>
      </c>
      <c r="AO246" s="57">
        <f>IFERROR(AN246/(A246+Forudsætninger!$D$74),-99999)</f>
        <v>7.1608297861088799</v>
      </c>
      <c r="AP246" s="19">
        <f>IFERROR(((365/(A246+Forudsætninger!$D$74))*AN246)/(AI246+Forudsætninger!$D$73),-99999)</f>
        <v>812.78484496184137</v>
      </c>
      <c r="AQ246" s="18">
        <f t="shared" si="102"/>
        <v>244</v>
      </c>
      <c r="AR246" s="18">
        <f t="shared" si="103"/>
        <v>6813.7086481748493</v>
      </c>
      <c r="AS246" s="50">
        <f t="shared" si="104"/>
        <v>9.1</v>
      </c>
      <c r="AT246" s="50">
        <f t="shared" si="105"/>
        <v>13.731665815461156</v>
      </c>
      <c r="AU246" s="50">
        <f t="shared" si="106"/>
        <v>2.7040477487045855E-2</v>
      </c>
      <c r="AV246" s="2">
        <f t="shared" si="107"/>
        <v>1.7258641147827802</v>
      </c>
      <c r="AW246" s="16">
        <f t="shared" si="99"/>
        <v>9.317938365699268</v>
      </c>
      <c r="AZ246" s="16"/>
      <c r="BA246" s="2"/>
    </row>
    <row r="247" spans="1:53" x14ac:dyDescent="0.25">
      <c r="A247">
        <v>245</v>
      </c>
      <c r="B247" s="1">
        <f>ROUND((A247+Forudsætninger!$D$60)/30.4,1)</f>
        <v>9.1999999999999993</v>
      </c>
      <c r="C247" s="1">
        <f>VLOOKUP((A247+Forudsætninger!$D$60),'Model tilvækst, slagteform, fe'!A:C,3,FALSE)</f>
        <v>473.55714048397476</v>
      </c>
      <c r="D247" s="3">
        <f t="shared" si="108"/>
        <v>1513.615937509087</v>
      </c>
      <c r="E247" s="3">
        <f>(1+Forudsætninger!$D$78)*C247</f>
        <v>397.78799800653877</v>
      </c>
      <c r="F247" s="2">
        <f t="shared" si="90"/>
        <v>0</v>
      </c>
      <c r="G247" s="1">
        <f t="shared" si="83"/>
        <v>397.78799800653877</v>
      </c>
      <c r="H247" s="3">
        <f t="shared" si="91"/>
        <v>1271.4373875076035</v>
      </c>
      <c r="I247" s="3">
        <f t="shared" si="92"/>
        <v>1329.7469306389337</v>
      </c>
      <c r="J247" s="1">
        <f>VLOOKUP((A247+Forudsætninger!$D$60),'Model tilvækst, slagteform, fe'!G:K,3,FALSE)*(1+Forudsætninger!$D$79)</f>
        <v>54.899406182288729</v>
      </c>
      <c r="K247" s="17">
        <f t="shared" si="84"/>
        <v>218.38324877000429</v>
      </c>
      <c r="L247" s="17">
        <f t="shared" si="93"/>
        <v>729.81362137460337</v>
      </c>
      <c r="M247" s="3">
        <f>((K247-(('Model tilvækst, slagteform, fe'!$I$9/100)*'Model tilvækst, slagteform, fe'!$C$9))*1000/(A247+Forudsætninger!$D$60))</f>
        <v>704.89134700227578</v>
      </c>
      <c r="N247" s="17">
        <f t="shared" si="94"/>
        <v>1339.1762011445824</v>
      </c>
      <c r="O247" s="19">
        <f>IF( A247&lt;Forudsætninger!$C$14,(G247/100)*Forudsætninger!$C$13,(Forudsætninger!$C$15/1000)*Forudsætninger!$C$13)</f>
        <v>2.5856219870425021</v>
      </c>
      <c r="P247" s="17" cm="1">
        <f t="array" ref="P247">INDEX('Model tilvækst, slagteform, fe'!$O$9:$O$375,MATCH(MIN(ABS('Model tilvækst, slagteform, fe'!$M$9:$M$375-G247)),ABS('Model tilvækst, slagteform, fe'!$M$9:$M$375-G247),0))*(1+Forudsætninger!$D$80)</f>
        <v>7.54570914126682</v>
      </c>
      <c r="Q247" s="17">
        <f t="shared" si="95"/>
        <v>10.339227605884476</v>
      </c>
      <c r="R247" s="17">
        <f t="shared" si="96"/>
        <v>7.3010032713828181</v>
      </c>
      <c r="S247" s="2">
        <f t="shared" si="85"/>
        <v>4.110575617698796</v>
      </c>
      <c r="T247" s="19">
        <f>(P247)*IF(N247&lt;Forudsætninger!$B$228,IF(N247&lt;Forudsætninger!$B$227,Forudsætninger!$B$225,Forudsætninger!$C$9),Forudsætninger!$C$11)+O247</f>
        <v>20.242581377606857</v>
      </c>
      <c r="U247" s="2">
        <f>Forudsætninger!$D$68+((K247-(Forudsætninger!$D$84)))*0.01</f>
        <v>7.3234431690596953</v>
      </c>
      <c r="V247" s="2">
        <f>U247+Forudsætninger!$D$69</f>
        <v>7.3234431690596953</v>
      </c>
      <c r="W247">
        <f t="shared" si="86"/>
        <v>1</v>
      </c>
      <c r="X247">
        <f>IF(A247+Forudsætninger!$D$60&gt;248,IF(A247+Forudsætninger!$D$60&lt;365,IF(K247&gt;180,IF(K247&lt;260,1,0),0),0),0)</f>
        <v>1</v>
      </c>
      <c r="Y247" s="22">
        <f>IF(X247=0,0,IF('Vækstfunktion, kry tyr'!A247&lt;Forudsætninger!$D$66,Forudsætninger!$D$67+(('Vækstfunktion, kry tyr'!A247-Forudsætninger!$D$66)/7)*Forudsætninger!$D$64,Forudsætninger!$D$67))</f>
        <v>0.93799999999999994</v>
      </c>
      <c r="Z247" s="19">
        <f t="shared" si="100"/>
        <v>4002.6167361324005</v>
      </c>
      <c r="AA247" s="19">
        <f>Forudsætninger!$D$62+Forudsætninger!$C$16</f>
        <v>2055</v>
      </c>
      <c r="AB247" s="19">
        <f>IF(K247&gt;Forudsætninger!$C$37,IF(K247&gt;Forudsætninger!$C$38,IF(K247&gt;Forudsætninger!$C$39,Forudsætninger!$E$39,Forudsætninger!$E$38+Forudsætninger!$F$39*(K247-Forudsætninger!$C$38)),Forudsætninger!$E$37+Forudsætninger!$F$38*(K247-Forudsætninger!$C$37)),Forudsætninger!$E$37)+IF(K247&gt;Forudsætninger!$C$39,Forudsætninger!$G$39,IF(K247&gt;Forudsætninger!$C$38,Forudsætninger!$G$38+Forudsætninger!$H$39*(K247-Forudsætninger!$C$38),IF(K247&gt;Forudsætninger!$C$37,Forudsætninger!$G$37+Forudsætninger!$H$38*(K247-Forudsætninger!$C$37),Forudsætninger!$G$37)))*(U247-Forudsætninger!$H$37)</f>
        <v>36.589530231343552</v>
      </c>
      <c r="AC247" s="19">
        <f>IF(K247&gt;Forudsætninger!$C$42,IF(K247&gt;Forudsætninger!$C$43,IF(K247&gt;Forudsætninger!$C$44,Forudsætninger!$E$44,Forudsætninger!$E$43+Forudsætninger!$F$44*(K247-Forudsætninger!$C$43)),Forudsætninger!$E$42+Forudsætninger!$F$43*(K247-Forudsætninger!$C$42)),Forudsætninger!$E$42)+IF(K247&gt;Forudsætninger!$C$44,Forudsætninger!$G$44,IF(K247&gt;Forudsætninger!$C$43,Forudsætninger!$G$43+Forudsætninger!$H$44*(K247-Forudsætninger!$C$43),IF(K247&gt;Forudsætninger!$C$42,Forudsætninger!$G$42+Forudsætninger!$H$43*(K247-Forudsætninger!$C$42),Forudsætninger!$G$42)))*(V247-Forudsætninger!$H$42)</f>
        <v>30.920394957361314</v>
      </c>
      <c r="AD247" s="19">
        <f t="shared" si="87"/>
        <v>7913.7817438004613</v>
      </c>
      <c r="AE247" s="19">
        <f t="shared" si="88"/>
        <v>36.238043844356653</v>
      </c>
      <c r="AF247">
        <f>IF(G247&lt;=Forudsætninger!$C$97,Forudsætninger!$C$98,(IF(G247&lt;=Forudsætninger!$D$97,Forudsætninger!$D$98,IF(G247&lt;=Forudsætninger!$E$97,Forudsætninger!$E$98,IF(G247&lt;=Forudsætninger!$F$97,Forudsætninger!$F$98,IF(G247&lt;=Forudsætninger!$G$97,Forudsætninger!$G$98,IF(G247&lt;=Forudsætninger!$H$97,Forudsætninger!$H$98,IF(G247&lt;=Forudsætninger!$I$97,Forudsætninger!$I$98,Forudsætninger!$I$98))))))))</f>
        <v>3.8</v>
      </c>
      <c r="AG247" s="1">
        <f t="shared" si="97"/>
        <v>4.4000000000000004</v>
      </c>
      <c r="AH247" s="1">
        <f t="shared" si="101"/>
        <v>762.1999999999972</v>
      </c>
      <c r="AI247" s="1">
        <f t="shared" si="89"/>
        <v>3.1110204081632538</v>
      </c>
      <c r="AJ247" s="20">
        <f>+(W247*Forudsætninger!$C$12)</f>
        <v>900</v>
      </c>
      <c r="AK247" s="20">
        <f>Forudsætninger!$C$17</f>
        <v>250</v>
      </c>
      <c r="AL247" s="20">
        <f>IF(A247&lt;92,Forudsætninger!$C$20,Forudsætninger!$C$21)</f>
        <v>1.0566762728146013</v>
      </c>
      <c r="AM247" s="20">
        <f t="shared" si="98"/>
        <v>527.39116969286931</v>
      </c>
      <c r="AN247" s="19">
        <f>IFERROR(AD247+AJ247-AA247-Z247-AK247-AM247-Forudsætninger!$D$75,-99999)</f>
        <v>1760.8818642742301</v>
      </c>
      <c r="AO247" s="57">
        <f>IFERROR(AN247/(A247+Forudsætninger!$D$74),-99999)</f>
        <v>7.1872729154050212</v>
      </c>
      <c r="AP247" s="19">
        <f>IFERROR(((365/(A247+Forudsætninger!$D$74))*AN247)/(AI247+Forudsætninger!$D$73),-99999)</f>
        <v>814.44830572146782</v>
      </c>
      <c r="AQ247" s="18">
        <f t="shared" si="102"/>
        <v>245</v>
      </c>
      <c r="AR247" s="18">
        <f t="shared" si="103"/>
        <v>6835.0079058252695</v>
      </c>
      <c r="AS247" s="50">
        <f t="shared" si="104"/>
        <v>9.1999999999999993</v>
      </c>
      <c r="AT247" s="50">
        <f t="shared" si="105"/>
        <v>13.639396463663388</v>
      </c>
      <c r="AU247" s="50">
        <f t="shared" si="106"/>
        <v>2.6443129296141343E-2</v>
      </c>
      <c r="AV247" s="2">
        <f t="shared" si="107"/>
        <v>1.6634607596264459</v>
      </c>
      <c r="AW247" s="16">
        <f t="shared" si="99"/>
        <v>9.3398899345595883</v>
      </c>
      <c r="AZ247" s="16"/>
      <c r="BA247" s="2"/>
    </row>
    <row r="248" spans="1:53" x14ac:dyDescent="0.25">
      <c r="A248">
        <v>246</v>
      </c>
      <c r="B248" s="1">
        <f>ROUND((A248+Forudsætninger!$D$60)/30.4,1)</f>
        <v>9.1999999999999993</v>
      </c>
      <c r="C248" s="1">
        <f>VLOOKUP((A248+Forudsætninger!$D$60),'Model tilvækst, slagteform, fe'!A:C,3,FALSE)</f>
        <v>475.06607261337138</v>
      </c>
      <c r="D248" s="3">
        <f t="shared" si="108"/>
        <v>1508.9321293966123</v>
      </c>
      <c r="E248" s="3">
        <f>(1+Forudsætninger!$D$78)*C248</f>
        <v>399.05550099523197</v>
      </c>
      <c r="F248" s="2">
        <f t="shared" si="90"/>
        <v>0</v>
      </c>
      <c r="G248" s="1">
        <f t="shared" si="83"/>
        <v>399.05550099523197</v>
      </c>
      <c r="H248" s="3">
        <f t="shared" si="91"/>
        <v>1267.5029886931952</v>
      </c>
      <c r="I248" s="3">
        <f t="shared" si="92"/>
        <v>1329.4939064846828</v>
      </c>
      <c r="J248" s="1">
        <f>VLOOKUP((A248+Forudsætninger!$D$60),'Model tilvækst, slagteform, fe'!G:K,3,FALSE)*(1+Forudsætninger!$D$79)</f>
        <v>54.907275771841434</v>
      </c>
      <c r="K248" s="17">
        <f t="shared" si="84"/>
        <v>219.11050441415546</v>
      </c>
      <c r="L248" s="17">
        <f t="shared" si="93"/>
        <v>727.25564415117105</v>
      </c>
      <c r="M248" s="3">
        <f>((K248-(('Model tilvækst, slagteform, fe'!$I$9/100)*'Model tilvækst, slagteform, fe'!$C$9))*1000/(A248+Forudsætninger!$D$60))</f>
        <v>704.97121949209338</v>
      </c>
      <c r="N248" s="17">
        <f t="shared" si="94"/>
        <v>1346.7337645063542</v>
      </c>
      <c r="O248" s="19">
        <f>IF( A248&lt;Forudsætninger!$C$14,(G248/100)*Forudsætninger!$C$13,(Forudsætninger!$C$15/1000)*Forudsætninger!$C$13)</f>
        <v>2.5938607564690077</v>
      </c>
      <c r="P248" s="17" cm="1">
        <f t="array" ref="P248">INDEX('Model tilvækst, slagteform, fe'!$O$9:$O$375,MATCH(MIN(ABS('Model tilvækst, slagteform, fe'!$M$9:$M$375-G248)),ABS('Model tilvækst, slagteform, fe'!$M$9:$M$375-G248),0))*(1+Forudsætninger!$D$80)</f>
        <v>7.557563361771928</v>
      </c>
      <c r="Q248" s="17">
        <f t="shared" si="95"/>
        <v>10.391893720663891</v>
      </c>
      <c r="R248" s="17">
        <f t="shared" si="96"/>
        <v>7.3132099357950358</v>
      </c>
      <c r="S248" s="2">
        <f t="shared" si="85"/>
        <v>4.1177529820114165</v>
      </c>
      <c r="T248" s="19">
        <f>(P248)*IF(N248&lt;Forudsætninger!$B$228,IF(N248&lt;Forudsætninger!$B$227,Forudsætninger!$B$225,Forudsætninger!$C$9),Forudsætninger!$C$11)+O248</f>
        <v>20.278559023015319</v>
      </c>
      <c r="U248" s="2">
        <f>Forudsætninger!$D$68+((K248-(Forudsætninger!$D$84)))*0.01</f>
        <v>7.3307157255012072</v>
      </c>
      <c r="V248" s="2">
        <f>U248+Forudsætninger!$D$69</f>
        <v>7.3307157255012072</v>
      </c>
      <c r="W248">
        <f t="shared" si="86"/>
        <v>1</v>
      </c>
      <c r="X248">
        <f>IF(A248+Forudsætninger!$D$60&gt;248,IF(A248+Forudsætninger!$D$60&lt;365,IF(K248&gt;180,IF(K248&lt;260,1,0),0),0),0)</f>
        <v>1</v>
      </c>
      <c r="Y248" s="22">
        <f>IF(X248=0,0,IF('Vækstfunktion, kry tyr'!A248&lt;Forudsætninger!$D$66,Forudsætninger!$D$67+(('Vækstfunktion, kry tyr'!A248-Forudsætninger!$D$66)/7)*Forudsætninger!$D$64,Forudsætninger!$D$67))</f>
        <v>0.94228571428571417</v>
      </c>
      <c r="Z248" s="19">
        <f t="shared" si="100"/>
        <v>4022.8952951554161</v>
      </c>
      <c r="AA248" s="19">
        <f>Forudsætninger!$D$62+Forudsætninger!$C$16</f>
        <v>2055</v>
      </c>
      <c r="AB248" s="19">
        <f>IF(K248&gt;Forudsætninger!$C$37,IF(K248&gt;Forudsætninger!$C$38,IF(K248&gt;Forudsætninger!$C$39,Forudsætninger!$E$39,Forudsætninger!$E$38+Forudsætninger!$F$39*(K248-Forudsætninger!$C$38)),Forudsætninger!$E$37+Forudsætninger!$F$38*(K248-Forudsætninger!$C$37)),Forudsætninger!$E$37)+IF(K248&gt;Forudsætninger!$C$39,Forudsætninger!$G$39,IF(K248&gt;Forudsætninger!$C$38,Forudsætninger!$G$38+Forudsætninger!$H$39*(K248-Forudsætninger!$C$38),IF(K248&gt;Forudsætninger!$C$37,Forudsætninger!$G$37+Forudsætninger!$H$38*(K248-Forudsætninger!$C$37),Forudsætninger!$G$37)))*(U248-Forudsætninger!$H$37)</f>
        <v>36.603893530315531</v>
      </c>
      <c r="AC248" s="19">
        <f>IF(K248&gt;Forudsætninger!$C$42,IF(K248&gt;Forudsætninger!$C$43,IF(K248&gt;Forudsætninger!$C$44,Forudsætninger!$E$44,Forudsætninger!$E$43+Forudsætninger!$F$44*(K248-Forudsætninger!$C$43)),Forudsætninger!$E$42+Forudsætninger!$F$43*(K248-Forudsætninger!$C$42)),Forudsætninger!$E$42)+IF(K248&gt;Forudsætninger!$C$44,Forudsætninger!$G$44,IF(K248&gt;Forudsætninger!$C$43,Forudsætninger!$G$43+Forudsætninger!$H$44*(K248-Forudsætninger!$C$43),IF(K248&gt;Forudsætninger!$C$42,Forudsætninger!$G$42+Forudsætninger!$H$43*(K248-Forudsætninger!$C$42),Forudsætninger!$G$42)))*(V248-Forudsætninger!$H$42)</f>
        <v>30.939311864198245</v>
      </c>
      <c r="AD248" s="19">
        <f t="shared" si="87"/>
        <v>7948.6643726854936</v>
      </c>
      <c r="AE248" s="19">
        <f t="shared" si="88"/>
        <v>36.276966245585335</v>
      </c>
      <c r="AF248">
        <f>IF(G248&lt;=Forudsætninger!$C$97,Forudsætninger!$C$98,(IF(G248&lt;=Forudsætninger!$D$97,Forudsætninger!$D$98,IF(G248&lt;=Forudsætninger!$E$97,Forudsætninger!$E$98,IF(G248&lt;=Forudsætninger!$F$97,Forudsætninger!$F$98,IF(G248&lt;=Forudsætninger!$G$97,Forudsætninger!$G$98,IF(G248&lt;=Forudsætninger!$H$97,Forudsætninger!$H$98,IF(G248&lt;=Forudsætninger!$I$97,Forudsætninger!$I$98,Forudsætninger!$I$98))))))))</f>
        <v>3.8</v>
      </c>
      <c r="AG248" s="1">
        <f t="shared" si="97"/>
        <v>4.4000000000000004</v>
      </c>
      <c r="AH248" s="1">
        <f t="shared" si="101"/>
        <v>766.59999999999718</v>
      </c>
      <c r="AI248" s="1">
        <f t="shared" si="89"/>
        <v>3.1162601626016144</v>
      </c>
      <c r="AJ248" s="20">
        <f>+(W248*Forudsætninger!$C$12)</f>
        <v>900</v>
      </c>
      <c r="AK248" s="20">
        <f>Forudsætninger!$C$17</f>
        <v>250</v>
      </c>
      <c r="AL248" s="20">
        <f>IF(A248&lt;92,Forudsætninger!$C$20,Forudsætninger!$C$21)</f>
        <v>1.0566762728146013</v>
      </c>
      <c r="AM248" s="20">
        <f t="shared" si="98"/>
        <v>528.44784596568388</v>
      </c>
      <c r="AN248" s="19">
        <f>IFERROR(AD248+AJ248-AA248-Z248-AK248-AM248-Forudsætninger!$D$75,-99999)</f>
        <v>1774.4292578634324</v>
      </c>
      <c r="AO248" s="57">
        <f>IFERROR(AN248/(A248+Forudsætninger!$D$74),-99999)</f>
        <v>7.2131270644854979</v>
      </c>
      <c r="AP248" s="19">
        <f>IFERROR(((365/(A248+Forudsætninger!$D$74))*AN248)/(AI248+Forudsætninger!$D$73),-99999)</f>
        <v>816.05054950502131</v>
      </c>
      <c r="AQ248" s="18">
        <f t="shared" si="102"/>
        <v>246</v>
      </c>
      <c r="AR248" s="18">
        <f t="shared" si="103"/>
        <v>6856.3431411211004</v>
      </c>
      <c r="AS248" s="50">
        <f t="shared" si="104"/>
        <v>9.1999999999999993</v>
      </c>
      <c r="AT248" s="50">
        <f t="shared" si="105"/>
        <v>13.547393589202329</v>
      </c>
      <c r="AU248" s="50">
        <f t="shared" si="106"/>
        <v>2.5854149080476674E-2</v>
      </c>
      <c r="AV248" s="2">
        <f t="shared" si="107"/>
        <v>1.6022437835534902</v>
      </c>
      <c r="AW248" s="16">
        <f t="shared" si="99"/>
        <v>9.3612890399557571</v>
      </c>
      <c r="AZ248" s="16"/>
      <c r="BA248" s="2"/>
    </row>
    <row r="249" spans="1:53" x14ac:dyDescent="0.25">
      <c r="A249">
        <v>247</v>
      </c>
      <c r="B249" s="1">
        <f>ROUND((A249+Forudsætninger!$D$60)/30.4,1)</f>
        <v>9.1999999999999993</v>
      </c>
      <c r="C249" s="1">
        <f>VLOOKUP((A249+Forudsætninger!$D$60),'Model tilvækst, slagteform, fe'!A:C,3,FALSE)</f>
        <v>476.5703157666008</v>
      </c>
      <c r="D249" s="3">
        <f t="shared" si="108"/>
        <v>1504.2431532294245</v>
      </c>
      <c r="E249" s="3">
        <f>(1+Forudsætninger!$D$78)*C249</f>
        <v>400.31906524394464</v>
      </c>
      <c r="F249" s="2">
        <f t="shared" si="90"/>
        <v>0</v>
      </c>
      <c r="G249" s="1">
        <f t="shared" si="83"/>
        <v>400.31906524394464</v>
      </c>
      <c r="H249" s="3">
        <f t="shared" si="91"/>
        <v>1263.5642487126688</v>
      </c>
      <c r="I249" s="3">
        <f t="shared" si="92"/>
        <v>1329.2269847932982</v>
      </c>
      <c r="J249" s="1">
        <f>VLOOKUP((A249+Forudsætninger!$D$60),'Model tilvækst, slagteform, fe'!G:K,3,FALSE)*(1+Forudsætninger!$D$79)</f>
        <v>54.915003135022324</v>
      </c>
      <c r="K249" s="17">
        <f t="shared" si="84"/>
        <v>219.83522722880426</v>
      </c>
      <c r="L249" s="17">
        <f t="shared" si="93"/>
        <v>724.72281464879984</v>
      </c>
      <c r="M249" s="3">
        <f>((K249-(('Model tilvækst, slagteform, fe'!$I$9/100)*'Model tilvækst, slagteform, fe'!$C$9))*1000/(A249+Forudsætninger!$D$60))</f>
        <v>705.04150986631657</v>
      </c>
      <c r="N249" s="17">
        <f t="shared" si="94"/>
        <v>1354.3033323330146</v>
      </c>
      <c r="O249" s="19">
        <f>IF( A249&lt;Forudsætninger!$C$14,(G249/100)*Forudsætninger!$C$13,(Forudsætninger!$C$15/1000)*Forudsætninger!$C$13)</f>
        <v>2.6020739240856403</v>
      </c>
      <c r="P249" s="17" cm="1">
        <f t="array" ref="P249">INDEX('Model tilvækst, slagteform, fe'!$O$9:$O$375,MATCH(MIN(ABS('Model tilvækst, slagteform, fe'!$M$9:$M$375-G249)),ABS('Model tilvækst, slagteform, fe'!$M$9:$M$375-G249),0))*(1+Forudsætninger!$D$80)</f>
        <v>7.56956782666051</v>
      </c>
      <c r="Q249" s="17">
        <f t="shared" si="95"/>
        <v>10.44477650441944</v>
      </c>
      <c r="R249" s="17">
        <f t="shared" si="96"/>
        <v>7.3254858563311265</v>
      </c>
      <c r="S249" s="2">
        <f t="shared" si="85"/>
        <v>4.1249609775988869</v>
      </c>
      <c r="T249" s="19">
        <f>(P249)*IF(N249&lt;Forudsætninger!$B$228,IF(N249&lt;Forudsætninger!$B$227,Forudsætninger!$B$225,Forudsætninger!$C$9),Forudsætninger!$C$11)+O249</f>
        <v>20.314862638471233</v>
      </c>
      <c r="U249" s="2">
        <f>Forudsætninger!$D$68+((K249-(Forudsætninger!$D$84)))*0.01</f>
        <v>7.3379629536476951</v>
      </c>
      <c r="V249" s="2">
        <f>U249+Forudsætninger!$D$69</f>
        <v>7.3379629536476951</v>
      </c>
      <c r="W249">
        <f t="shared" si="86"/>
        <v>1</v>
      </c>
      <c r="X249">
        <f>IF(A249+Forudsætninger!$D$60&gt;248,IF(A249+Forudsætninger!$D$60&lt;365,IF(K249&gt;180,IF(K249&lt;260,1,0),0),0),0)</f>
        <v>1</v>
      </c>
      <c r="Y249" s="22">
        <f>IF(X249=0,0,IF('Vækstfunktion, kry tyr'!A249&lt;Forudsætninger!$D$66,Forudsætninger!$D$67+(('Vækstfunktion, kry tyr'!A249-Forudsætninger!$D$66)/7)*Forudsætninger!$D$64,Forudsætninger!$D$67))</f>
        <v>0.94657142857142851</v>
      </c>
      <c r="Z249" s="19">
        <f t="shared" si="100"/>
        <v>4043.2101577938874</v>
      </c>
      <c r="AA249" s="19">
        <f>Forudsætninger!$D$62+Forudsætninger!$C$16</f>
        <v>2055</v>
      </c>
      <c r="AB249" s="19">
        <f>IF(K249&gt;Forudsætninger!$C$37,IF(K249&gt;Forudsætninger!$C$38,IF(K249&gt;Forudsætninger!$C$39,Forudsætninger!$E$39,Forudsætninger!$E$38+Forudsætninger!$F$39*(K249-Forudsætninger!$C$38)),Forudsætninger!$E$37+Forudsætninger!$F$38*(K249-Forudsætninger!$C$37)),Forudsætninger!$E$37)+IF(K249&gt;Forudsætninger!$C$39,Forudsætninger!$G$39,IF(K249&gt;Forudsætninger!$C$38,Forudsætninger!$G$38+Forudsætninger!$H$39*(K249-Forudsætninger!$C$38),IF(K249&gt;Forudsætninger!$C$37,Forudsætninger!$G$37+Forudsætninger!$H$38*(K249-Forudsætninger!$C$37),Forudsætninger!$G$37)))*(U249-Forudsætninger!$H$37)</f>
        <v>36.618206805904855</v>
      </c>
      <c r="AC249" s="19">
        <f>IF(K249&gt;Forudsætninger!$C$42,IF(K249&gt;Forudsætninger!$C$43,IF(K249&gt;Forudsætninger!$C$44,Forudsætninger!$E$44,Forudsætninger!$E$43+Forudsætninger!$F$44*(K249-Forudsætninger!$C$43)),Forudsætninger!$E$42+Forudsætninger!$F$43*(K249-Forudsætninger!$C$42)),Forudsætninger!$E$42)+IF(K249&gt;Forudsætninger!$C$44,Forudsætninger!$G$44,IF(K249&gt;Forudsætninger!$C$43,Forudsætninger!$G$43+Forudsætninger!$H$44*(K249-Forudsætninger!$C$43),IF(K249&gt;Forudsætninger!$C$42,Forudsætninger!$G$42+Forudsætninger!$H$43*(K249-Forudsætninger!$C$42),Forudsætninger!$G$42)))*(V249-Forudsætninger!$H$42)</f>
        <v>30.958140966160613</v>
      </c>
      <c r="AD249" s="19">
        <f t="shared" si="87"/>
        <v>7983.4916116526119</v>
      </c>
      <c r="AE249" s="19">
        <f t="shared" si="88"/>
        <v>36.315797573895665</v>
      </c>
      <c r="AF249">
        <f>IF(G249&lt;=Forudsætninger!$C$97,Forudsætninger!$C$98,(IF(G249&lt;=Forudsætninger!$D$97,Forudsætninger!$D$98,IF(G249&lt;=Forudsætninger!$E$97,Forudsætninger!$E$98,IF(G249&lt;=Forudsætninger!$F$97,Forudsætninger!$F$98,IF(G249&lt;=Forudsætninger!$G$97,Forudsætninger!$G$98,IF(G249&lt;=Forudsætninger!$H$97,Forudsætninger!$H$98,IF(G249&lt;=Forudsætninger!$I$97,Forudsætninger!$I$98,Forudsætninger!$I$98))))))))</f>
        <v>4.4000000000000004</v>
      </c>
      <c r="AG249" s="1">
        <f t="shared" si="97"/>
        <v>4.4000000000000004</v>
      </c>
      <c r="AH249" s="1">
        <f t="shared" si="101"/>
        <v>770.99999999999716</v>
      </c>
      <c r="AI249" s="1">
        <f t="shared" si="89"/>
        <v>3.121457489878531</v>
      </c>
      <c r="AJ249" s="20">
        <f>+(W249*Forudsætninger!$C$12)</f>
        <v>900</v>
      </c>
      <c r="AK249" s="20">
        <f>Forudsætninger!$C$17</f>
        <v>250</v>
      </c>
      <c r="AL249" s="20">
        <f>IF(A249&lt;92,Forudsætninger!$C$20,Forudsætninger!$C$21)</f>
        <v>1.0566762728146013</v>
      </c>
      <c r="AM249" s="20">
        <f t="shared" si="98"/>
        <v>529.50452223849845</v>
      </c>
      <c r="AN249" s="19">
        <f>IFERROR(AD249+AJ249-AA249-Z249-AK249-AM249-Forudsætninger!$D$75,-99999)</f>
        <v>1787.8849579192649</v>
      </c>
      <c r="AO249" s="57">
        <f>IFERROR(AN249/(A249+Forudsætninger!$D$74),-99999)</f>
        <v>7.2384006393492504</v>
      </c>
      <c r="AP249" s="19">
        <f>IFERROR(((365/(A249+Forudsætninger!$D$74))*AN249)/(AI249+Forudsætninger!$D$73),-99999)</f>
        <v>817.59275547882544</v>
      </c>
      <c r="AQ249" s="18">
        <f t="shared" si="102"/>
        <v>247</v>
      </c>
      <c r="AR249" s="18">
        <f t="shared" si="103"/>
        <v>6877.7146800323862</v>
      </c>
      <c r="AS249" s="50">
        <f t="shared" si="104"/>
        <v>9.1999999999999993</v>
      </c>
      <c r="AT249" s="50">
        <f t="shared" si="105"/>
        <v>13.455700055832494</v>
      </c>
      <c r="AU249" s="50">
        <f t="shared" si="106"/>
        <v>2.5273574863752479E-2</v>
      </c>
      <c r="AV249" s="2">
        <f t="shared" si="107"/>
        <v>1.5422059738041298</v>
      </c>
      <c r="AW249" s="16">
        <f t="shared" si="99"/>
        <v>9.3821436443634152</v>
      </c>
      <c r="AZ249" s="16"/>
      <c r="BA249" s="2"/>
    </row>
    <row r="250" spans="1:53" x14ac:dyDescent="0.25">
      <c r="A250">
        <v>248</v>
      </c>
      <c r="B250" s="1">
        <f>ROUND((A250+Forudsætninger!$D$60)/30.4,1)</f>
        <v>9.3000000000000007</v>
      </c>
      <c r="C250" s="1">
        <f>VLOOKUP((A250+Forudsætninger!$D$60),'Model tilvækst, slagteform, fe'!A:C,3,FALSE)</f>
        <v>478.06986539654503</v>
      </c>
      <c r="D250" s="3">
        <f t="shared" si="108"/>
        <v>1499.5496299442266</v>
      </c>
      <c r="E250" s="3">
        <f>(1+Forudsætninger!$D$78)*C250</f>
        <v>401.5786869330978</v>
      </c>
      <c r="F250" s="2">
        <f t="shared" si="90"/>
        <v>0</v>
      </c>
      <c r="G250" s="1">
        <f t="shared" si="83"/>
        <v>401.5786869330978</v>
      </c>
      <c r="H250" s="3">
        <f t="shared" si="91"/>
        <v>1259.621689153164</v>
      </c>
      <c r="I250" s="3">
        <f t="shared" si="92"/>
        <v>1328.9463182786201</v>
      </c>
      <c r="J250" s="1">
        <f>VLOOKUP((A250+Forudsætninger!$D$60),'Model tilvækst, slagteform, fe'!G:K,3,FALSE)*(1+Forudsætninger!$D$79)</f>
        <v>54.922596813393</v>
      </c>
      <c r="K250" s="17">
        <f t="shared" si="84"/>
        <v>220.55744311278301</v>
      </c>
      <c r="L250" s="17">
        <f t="shared" si="93"/>
        <v>722.21588397874825</v>
      </c>
      <c r="M250" s="3">
        <f>((K250-(('Model tilvækst, slagteform, fe'!$I$9/100)*'Model tilvækst, slagteform, fe'!$C$9))*1000/(A250+Forudsætninger!$D$60))</f>
        <v>705.10241190217607</v>
      </c>
      <c r="N250" s="17">
        <f t="shared" si="94"/>
        <v>1361.8973504323287</v>
      </c>
      <c r="O250" s="19">
        <f>IF( A250&lt;Forudsætninger!$C$14,(G250/100)*Forudsætninger!$C$13,(Forudsætninger!$C$15/1000)*Forudsætninger!$C$13)</f>
        <v>2.6102614650651361</v>
      </c>
      <c r="P250" s="17" cm="1">
        <f t="array" ref="P250">INDEX('Model tilvækst, slagteform, fe'!$O$9:$O$375,MATCH(MIN(ABS('Model tilvækst, slagteform, fe'!$M$9:$M$375-G250)),ABS('Model tilvækst, slagteform, fe'!$M$9:$M$375-G250),0))*(1+Forudsætninger!$D$80)</f>
        <v>7.594018099314118</v>
      </c>
      <c r="Q250" s="17">
        <f t="shared" si="95"/>
        <v>10.514886570311957</v>
      </c>
      <c r="R250" s="17">
        <f t="shared" si="96"/>
        <v>7.3378967582947681</v>
      </c>
      <c r="S250" s="2">
        <f t="shared" si="85"/>
        <v>4.1322373212463965</v>
      </c>
      <c r="T250" s="19">
        <f>(P250)*IF(N250&lt;Forudsætninger!$B$228,IF(N250&lt;Forudsætninger!$B$227,Forudsætninger!$B$225,Forudsætninger!$C$9),Forudsætninger!$C$11)+O250</f>
        <v>20.380263817460172</v>
      </c>
      <c r="U250" s="2">
        <f>Forudsætninger!$D$68+((K250-(Forudsætninger!$D$84)))*0.01</f>
        <v>7.3451851124874823</v>
      </c>
      <c r="V250" s="2">
        <f>U250+Forudsætninger!$D$69</f>
        <v>7.3451851124874823</v>
      </c>
      <c r="W250">
        <f t="shared" si="86"/>
        <v>1</v>
      </c>
      <c r="X250">
        <f>IF(A250+Forudsætninger!$D$60&gt;248,IF(A250+Forudsætninger!$D$60&lt;365,IF(K250&gt;180,IF(K250&lt;260,1,0),0),0),0)</f>
        <v>1</v>
      </c>
      <c r="Y250" s="22">
        <f>IF(X250=0,0,IF('Vækstfunktion, kry tyr'!A250&lt;Forudsætninger!$D$66,Forudsætninger!$D$67+(('Vækstfunktion, kry tyr'!A250-Forudsætninger!$D$66)/7)*Forudsætninger!$D$64,Forudsætninger!$D$67))</f>
        <v>0.95085714285714285</v>
      </c>
      <c r="Z250" s="19">
        <f t="shared" si="100"/>
        <v>4063.5904216113477</v>
      </c>
      <c r="AA250" s="19">
        <f>Forudsætninger!$D$62+Forudsætninger!$C$16</f>
        <v>2055</v>
      </c>
      <c r="AB250" s="19">
        <f>IF(K250&gt;Forudsætninger!$C$37,IF(K250&gt;Forudsætninger!$C$38,IF(K250&gt;Forudsætninger!$C$39,Forudsætninger!$E$39,Forudsætninger!$E$38+Forudsætninger!$F$39*(K250-Forudsætninger!$C$38)),Forudsætninger!$E$37+Forudsætninger!$F$38*(K250-Forudsætninger!$C$37)),Forudsætninger!$E$37)+IF(K250&gt;Forudsætninger!$C$39,Forudsætninger!$G$39,IF(K250&gt;Forudsætninger!$C$38,Forudsætninger!$G$38+Forudsætninger!$H$39*(K250-Forudsætninger!$C$38),IF(K250&gt;Forudsætninger!$C$37,Forudsætninger!$G$37+Forudsætninger!$H$38*(K250-Forudsætninger!$C$37),Forudsætninger!$G$37)))*(U250-Forudsætninger!$H$37)</f>
        <v>36.632470569613432</v>
      </c>
      <c r="AC250" s="19">
        <f>IF(K250&gt;Forudsætninger!$C$42,IF(K250&gt;Forudsætninger!$C$43,IF(K250&gt;Forudsætninger!$C$44,Forudsætninger!$E$44,Forudsætninger!$E$43+Forudsætninger!$F$44*(K250-Forudsætninger!$C$43)),Forudsætninger!$E$42+Forudsætninger!$F$43*(K250-Forudsætninger!$C$42)),Forudsætninger!$E$42)+IF(K250&gt;Forudsætninger!$C$44,Forudsætninger!$G$44,IF(K250&gt;Forudsætninger!$C$43,Forudsætninger!$G$43+Forudsætninger!$H$44*(K250-Forudsætninger!$C$43),IF(K250&gt;Forudsætninger!$C$42,Forudsætninger!$G$42+Forudsætninger!$H$43*(K250-Forudsætninger!$C$42),Forudsætninger!$G$42)))*(V250-Forudsætninger!$H$42)</f>
        <v>30.976883164408328</v>
      </c>
      <c r="AD250" s="19">
        <f t="shared" si="87"/>
        <v>8018.2641333520469</v>
      </c>
      <c r="AE250" s="19">
        <f t="shared" si="88"/>
        <v>36.354538845700496</v>
      </c>
      <c r="AF250">
        <f>IF(G250&lt;=Forudsætninger!$C$97,Forudsætninger!$C$98,(IF(G250&lt;=Forudsætninger!$D$97,Forudsætninger!$D$98,IF(G250&lt;=Forudsætninger!$E$97,Forudsætninger!$E$98,IF(G250&lt;=Forudsætninger!$F$97,Forudsætninger!$F$98,IF(G250&lt;=Forudsætninger!$G$97,Forudsætninger!$G$98,IF(G250&lt;=Forudsætninger!$H$97,Forudsætninger!$H$98,IF(G250&lt;=Forudsætninger!$I$97,Forudsætninger!$I$98,Forudsætninger!$I$98))))))))</f>
        <v>4.4000000000000004</v>
      </c>
      <c r="AG250" s="1">
        <f t="shared" si="97"/>
        <v>4.4000000000000004</v>
      </c>
      <c r="AH250" s="1">
        <f t="shared" si="101"/>
        <v>775.39999999999714</v>
      </c>
      <c r="AI250" s="1">
        <f t="shared" si="89"/>
        <v>3.1266129032257948</v>
      </c>
      <c r="AJ250" s="20">
        <f>+(W250*Forudsætninger!$C$12)</f>
        <v>900</v>
      </c>
      <c r="AK250" s="20">
        <f>Forudsætninger!$C$17</f>
        <v>250</v>
      </c>
      <c r="AL250" s="20">
        <f>IF(A250&lt;92,Forudsætninger!$C$20,Forudsætninger!$C$21)</f>
        <v>1.0566762728146013</v>
      </c>
      <c r="AM250" s="20">
        <f t="shared" si="98"/>
        <v>530.56119851131302</v>
      </c>
      <c r="AN250" s="19">
        <f>IFERROR(AD250+AJ250-AA250-Z250-AK250-AM250-Forudsætninger!$D$75,-99999)</f>
        <v>1801.2205395284268</v>
      </c>
      <c r="AO250" s="57">
        <f>IFERROR(AN250/(A250+Forudsætninger!$D$74),-99999)</f>
        <v>7.262986046485592</v>
      </c>
      <c r="AP250" s="19">
        <f>IFERROR(((365/(A250+Forudsætninger!$D$74))*AN250)/(AI250+Forudsætninger!$D$73),-99999)</f>
        <v>819.06301007609284</v>
      </c>
      <c r="AQ250" s="18">
        <f t="shared" si="102"/>
        <v>248</v>
      </c>
      <c r="AR250" s="18">
        <f t="shared" si="103"/>
        <v>6899.1516201226605</v>
      </c>
      <c r="AS250" s="50">
        <f t="shared" si="104"/>
        <v>9.3000000000000007</v>
      </c>
      <c r="AT250" s="50">
        <f t="shared" si="105"/>
        <v>13.335581609161864</v>
      </c>
      <c r="AU250" s="50">
        <f t="shared" si="106"/>
        <v>2.4585407136341608E-2</v>
      </c>
      <c r="AV250" s="2">
        <f t="shared" si="107"/>
        <v>1.4702545972673988</v>
      </c>
      <c r="AW250" s="16">
        <f t="shared" si="99"/>
        <v>9.4023457179021772</v>
      </c>
      <c r="AZ250" s="16"/>
      <c r="BA250" s="2"/>
    </row>
    <row r="251" spans="1:53" x14ac:dyDescent="0.25">
      <c r="A251">
        <v>249</v>
      </c>
      <c r="B251" s="1">
        <f>ROUND((A251+Forudsætninger!$D$60)/30.4,1)</f>
        <v>9.3000000000000007</v>
      </c>
      <c r="C251" s="1">
        <f>VLOOKUP((A251+Forudsætninger!$D$60),'Model tilvækst, slagteform, fe'!A:C,3,FALSE)</f>
        <v>479.56471757702218</v>
      </c>
      <c r="D251" s="3">
        <f t="shared" si="108"/>
        <v>1494.8521804771531</v>
      </c>
      <c r="E251" s="3">
        <f>(1+Forudsætninger!$D$78)*C251</f>
        <v>402.8343627646986</v>
      </c>
      <c r="F251" s="2">
        <f t="shared" si="90"/>
        <v>0</v>
      </c>
      <c r="G251" s="1">
        <f t="shared" si="83"/>
        <v>402.8343627646986</v>
      </c>
      <c r="H251" s="3">
        <f t="shared" si="91"/>
        <v>1255.6758316007972</v>
      </c>
      <c r="I251" s="3">
        <f t="shared" si="92"/>
        <v>1328.6520592959782</v>
      </c>
      <c r="J251" s="1">
        <f>VLOOKUP((A251+Forudsætninger!$D$60),'Model tilvækst, slagteform, fe'!G:K,3,FALSE)*(1+Forudsætninger!$D$79)</f>
        <v>54.930065348515072</v>
      </c>
      <c r="K251" s="17">
        <f t="shared" si="84"/>
        <v>221.27717871292319</v>
      </c>
      <c r="L251" s="17">
        <f t="shared" si="93"/>
        <v>719.7356001401829</v>
      </c>
      <c r="M251" s="3">
        <f>((K251-(('Model tilvækst, slagteform, fe'!$I$9/100)*'Model tilvækst, slagteform, fe'!$C$9))*1000/(A251+Forudsætninger!$D$60))</f>
        <v>705.15411928110916</v>
      </c>
      <c r="N251" s="17">
        <f t="shared" si="94"/>
        <v>1369.5038096442709</v>
      </c>
      <c r="O251" s="19">
        <f>IF( A251&lt;Forudsætninger!$C$14,(G251/100)*Forudsætninger!$C$13,(Forudsætninger!$C$15/1000)*Forudsætninger!$C$13)</f>
        <v>2.6184233579705412</v>
      </c>
      <c r="P251" s="17" cm="1">
        <f t="array" ref="P251">INDEX('Model tilvækst, slagteform, fe'!$O$9:$O$375,MATCH(MIN(ABS('Model tilvækst, slagteform, fe'!$M$9:$M$375-G251)),ABS('Model tilvækst, slagteform, fe'!$M$9:$M$375-G251),0))*(1+Forudsætninger!$D$80)</f>
        <v>7.6064592119421608</v>
      </c>
      <c r="Q251" s="17">
        <f t="shared" si="95"/>
        <v>10.568407635332546</v>
      </c>
      <c r="R251" s="17">
        <f t="shared" si="96"/>
        <v>7.3503760663918785</v>
      </c>
      <c r="S251" s="2">
        <f t="shared" si="85"/>
        <v>4.1395452340551202</v>
      </c>
      <c r="T251" s="19">
        <f>(P251)*IF(N251&lt;Forudsætninger!$B$228,IF(N251&lt;Forudsætninger!$B$227,Forudsætninger!$B$225,Forudsætninger!$C$9),Forudsætninger!$C$11)+O251</f>
        <v>20.417537913915197</v>
      </c>
      <c r="U251" s="2">
        <f>Forudsætninger!$D$68+((K251-(Forudsætninger!$D$84)))*0.01</f>
        <v>7.3523824684888845</v>
      </c>
      <c r="V251" s="2">
        <f>U251+Forudsætninger!$D$69</f>
        <v>7.3523824684888845</v>
      </c>
      <c r="W251">
        <f t="shared" si="86"/>
        <v>1</v>
      </c>
      <c r="X251">
        <f>IF(A251+Forudsætninger!$D$60&gt;248,IF(A251+Forudsætninger!$D$60&lt;365,IF(K251&gt;180,IF(K251&lt;260,1,0),0),0),0)</f>
        <v>1</v>
      </c>
      <c r="Y251" s="22">
        <f>IF(X251=0,0,IF('Vækstfunktion, kry tyr'!A251&lt;Forudsætninger!$D$66,Forudsætninger!$D$67+(('Vækstfunktion, kry tyr'!A251-Forudsætninger!$D$66)/7)*Forudsætninger!$D$64,Forudsætninger!$D$67))</f>
        <v>0.95514285714285707</v>
      </c>
      <c r="Z251" s="19">
        <f t="shared" si="100"/>
        <v>4084.0079595252628</v>
      </c>
      <c r="AA251" s="19">
        <f>Forudsætninger!$D$62+Forudsætninger!$C$16</f>
        <v>2055</v>
      </c>
      <c r="AB251" s="19">
        <f>IF(K251&gt;Forudsætninger!$C$37,IF(K251&gt;Forudsætninger!$C$38,IF(K251&gt;Forudsætninger!$C$39,Forudsætninger!$E$39,Forudsætninger!$E$38+Forudsætninger!$F$39*(K251-Forudsætninger!$C$38)),Forudsætninger!$E$37+Forudsætninger!$F$38*(K251-Forudsætninger!$C$37)),Forudsætninger!$E$37)+IF(K251&gt;Forudsætninger!$C$39,Forudsætninger!$G$39,IF(K251&gt;Forudsætninger!$C$38,Forudsætninger!$G$38+Forudsætninger!$H$39*(K251-Forudsætninger!$C$38),IF(K251&gt;Forudsætninger!$C$37,Forudsætninger!$G$37+Forudsætninger!$H$38*(K251-Forudsætninger!$C$37),Forudsætninger!$G$37)))*(U251-Forudsætninger!$H$37)</f>
        <v>36.6466853477162</v>
      </c>
      <c r="AC251" s="19">
        <f>IF(K251&gt;Forudsætninger!$C$42,IF(K251&gt;Forudsætninger!$C$43,IF(K251&gt;Forudsætninger!$C$44,Forudsætninger!$E$44,Forudsætninger!$E$43+Forudsætninger!$F$44*(K251-Forudsætninger!$C$43)),Forudsætninger!$E$42+Forudsætninger!$F$43*(K251-Forudsætninger!$C$42)),Forudsætninger!$E$42)+IF(K251&gt;Forudsætninger!$C$44,Forudsætninger!$G$44,IF(K251&gt;Forudsætninger!$C$43,Forudsætninger!$G$43+Forudsætninger!$H$44*(K251-Forudsætninger!$C$43),IF(K251&gt;Forudsætninger!$C$42,Forudsætninger!$G$42+Forudsætninger!$H$43*(K251-Forudsætninger!$C$42),Forudsætninger!$G$42)))*(V251-Forudsætninger!$H$42)</f>
        <v>30.995539375570459</v>
      </c>
      <c r="AD251" s="19">
        <f t="shared" si="87"/>
        <v>8052.9826477679535</v>
      </c>
      <c r="AE251" s="19">
        <f t="shared" si="88"/>
        <v>36.39319108553709</v>
      </c>
      <c r="AF251">
        <f>IF(G251&lt;=Forudsætninger!$C$97,Forudsætninger!$C$98,(IF(G251&lt;=Forudsætninger!$D$97,Forudsætninger!$D$98,IF(G251&lt;=Forudsætninger!$E$97,Forudsætninger!$E$98,IF(G251&lt;=Forudsætninger!$F$97,Forudsætninger!$F$98,IF(G251&lt;=Forudsætninger!$G$97,Forudsætninger!$G$98,IF(G251&lt;=Forudsætninger!$H$97,Forudsætninger!$H$98,IF(G251&lt;=Forudsætninger!$I$97,Forudsætninger!$I$98,Forudsætninger!$I$98))))))))</f>
        <v>4.4000000000000004</v>
      </c>
      <c r="AG251" s="1">
        <f t="shared" si="97"/>
        <v>4.4000000000000004</v>
      </c>
      <c r="AH251" s="1">
        <f t="shared" si="101"/>
        <v>779.79999999999711</v>
      </c>
      <c r="AI251" s="1">
        <f t="shared" si="89"/>
        <v>3.1317269076305103</v>
      </c>
      <c r="AJ251" s="20">
        <f>+(W251*Forudsætninger!$C$12)</f>
        <v>900</v>
      </c>
      <c r="AK251" s="20">
        <f>Forudsætninger!$C$17</f>
        <v>250</v>
      </c>
      <c r="AL251" s="20">
        <f>IF(A251&lt;92,Forudsætninger!$C$20,Forudsætninger!$C$21)</f>
        <v>1.0566762728146013</v>
      </c>
      <c r="AM251" s="20">
        <f t="shared" si="98"/>
        <v>531.61787478412759</v>
      </c>
      <c r="AN251" s="19">
        <f>IFERROR(AD251+AJ251-AA251-Z251-AK251-AM251-Forudsætninger!$D$75,-99999)</f>
        <v>1814.4648397576018</v>
      </c>
      <c r="AO251" s="57">
        <f>IFERROR(AN251/(A251+Forudsætninger!$D$74),-99999)</f>
        <v>7.2870073885847457</v>
      </c>
      <c r="AP251" s="19">
        <f>IFERROR(((365/(A251+Forudsætninger!$D$74))*AN251)/(AI251+Forudsætninger!$D$73),-99999)</f>
        <v>820.47555905242518</v>
      </c>
      <c r="AQ251" s="18">
        <f t="shared" si="102"/>
        <v>249</v>
      </c>
      <c r="AR251" s="18">
        <f t="shared" si="103"/>
        <v>6920.6258343093905</v>
      </c>
      <c r="AS251" s="50">
        <f t="shared" si="104"/>
        <v>9.3000000000000007</v>
      </c>
      <c r="AT251" s="50">
        <f t="shared" si="105"/>
        <v>13.244300229174996</v>
      </c>
      <c r="AU251" s="50">
        <f t="shared" si="106"/>
        <v>2.4021342099153742E-2</v>
      </c>
      <c r="AV251" s="2">
        <f t="shared" si="107"/>
        <v>1.4125489763323458</v>
      </c>
      <c r="AW251" s="16">
        <f t="shared" si="99"/>
        <v>9.4220189339025264</v>
      </c>
      <c r="AZ251" s="16"/>
      <c r="BA251" s="2"/>
    </row>
    <row r="252" spans="1:53" x14ac:dyDescent="0.25">
      <c r="A252">
        <v>250</v>
      </c>
      <c r="B252" s="1">
        <f>ROUND((A252+Forudsætninger!$D$60)/30.4,1)</f>
        <v>9.3000000000000007</v>
      </c>
      <c r="C252" s="1">
        <f>VLOOKUP((A252+Forudsætninger!$D$60),'Model tilvækst, slagteform, fe'!A:C,3,FALSE)</f>
        <v>481.0548690027872</v>
      </c>
      <c r="D252" s="3">
        <f t="shared" si="108"/>
        <v>1490.1514257650206</v>
      </c>
      <c r="E252" s="3">
        <f>(1+Forudsætninger!$D$78)*C252</f>
        <v>404.08608996234125</v>
      </c>
      <c r="F252" s="2">
        <f t="shared" si="90"/>
        <v>0</v>
      </c>
      <c r="G252" s="1">
        <f t="shared" si="83"/>
        <v>404.08608996234125</v>
      </c>
      <c r="H252" s="3">
        <f>(G252-G251)*1000</f>
        <v>1251.7271976426514</v>
      </c>
      <c r="I252" s="3">
        <f t="shared" si="92"/>
        <v>1328.344359849365</v>
      </c>
      <c r="J252" s="1">
        <f>VLOOKUP((A252+Forudsætninger!$D$60),'Model tilvækst, slagteform, fe'!G:K,3,FALSE)*(1+Forudsætninger!$D$79)</f>
        <v>54.937417281950161</v>
      </c>
      <c r="K252" s="17">
        <f t="shared" si="84"/>
        <v>221.99446142092793</v>
      </c>
      <c r="L252" s="17">
        <f t="shared" si="93"/>
        <v>717.28270800474547</v>
      </c>
      <c r="M252" s="3">
        <f>((K252-(('Model tilvækst, slagteform, fe'!$I$9/100)*'Model tilvækst, slagteform, fe'!$C$9))*1000/(A252+Forudsætninger!$D$60))</f>
        <v>705.19682557943179</v>
      </c>
      <c r="N252" s="17">
        <f t="shared" si="94"/>
        <v>1377.1228508229506</v>
      </c>
      <c r="O252" s="19">
        <f>IF( A252&lt;Forudsætninger!$C$14,(G252/100)*Forudsætninger!$C$13,(Forudsætninger!$C$15/1000)*Forudsætninger!$C$13)</f>
        <v>2.6265595847552183</v>
      </c>
      <c r="P252" s="17" cm="1">
        <f t="array" ref="P252">INDEX('Model tilvækst, slagteform, fe'!$O$9:$O$375,MATCH(MIN(ABS('Model tilvækst, slagteform, fe'!$M$9:$M$375-G252)),ABS('Model tilvækst, slagteform, fe'!$M$9:$M$375-G252),0))*(1+Forudsætninger!$D$80)</f>
        <v>7.6190411786797085</v>
      </c>
      <c r="Q252" s="17">
        <f t="shared" si="95"/>
        <v>10.622089580095247</v>
      </c>
      <c r="R252" s="17">
        <f t="shared" si="96"/>
        <v>7.3629231621534723</v>
      </c>
      <c r="S252" s="2">
        <f t="shared" si="85"/>
        <v>4.1468850772374024</v>
      </c>
      <c r="T252" s="19">
        <f>(P252)*IF(N252&lt;Forudsætninger!$B$228,IF(N252&lt;Forudsætninger!$B$227,Forudsætninger!$B$225,Forudsætninger!$C$9),Forudsætninger!$C$11)+O252</f>
        <v>20.455115942865735</v>
      </c>
      <c r="U252" s="2">
        <f>Forudsætninger!$D$68+((K252-(Forudsætninger!$D$84)))*0.01</f>
        <v>7.3595552955689314</v>
      </c>
      <c r="V252" s="2">
        <f>U252+Forudsætninger!$D$69</f>
        <v>7.3595552955689314</v>
      </c>
      <c r="W252">
        <f t="shared" si="86"/>
        <v>1</v>
      </c>
      <c r="X252">
        <f>IF(A252+Forudsætninger!$D$60&gt;248,IF(A252+Forudsætninger!$D$60&lt;365,IF(K252&gt;180,IF(K252&lt;260,1,0),0),0),0)</f>
        <v>1</v>
      </c>
      <c r="Y252" s="22">
        <f>IF(X252=0,0,IF('Vækstfunktion, kry tyr'!A252&lt;Forudsætninger!$D$66,Forudsætninger!$D$67+(('Vækstfunktion, kry tyr'!A252-Forudsætninger!$D$66)/7)*Forudsætninger!$D$64,Forudsætninger!$D$67))</f>
        <v>0.95942857142857141</v>
      </c>
      <c r="Z252" s="19">
        <f t="shared" si="100"/>
        <v>4104.4630754681284</v>
      </c>
      <c r="AA252" s="19">
        <f>Forudsætninger!$D$62+Forudsætninger!$C$16</f>
        <v>2055</v>
      </c>
      <c r="AB252" s="19">
        <f>IF(K252&gt;Forudsætninger!$C$37,IF(K252&gt;Forudsætninger!$C$38,IF(K252&gt;Forudsætninger!$C$39,Forudsætninger!$E$39,Forudsætninger!$E$38+Forudsætninger!$F$39*(K252-Forudsætninger!$C$38)),Forudsætninger!$E$37+Forudsætninger!$F$38*(K252-Forudsætninger!$C$37)),Forudsætninger!$E$37)+IF(K252&gt;Forudsætninger!$C$39,Forudsætninger!$G$39,IF(K252&gt;Forudsætninger!$C$38,Forudsætninger!$G$38+Forudsætninger!$H$39*(K252-Forudsætninger!$C$38),IF(K252&gt;Forudsætninger!$C$37,Forudsætninger!$G$37+Forudsætninger!$H$38*(K252-Forudsætninger!$C$37),Forudsætninger!$G$37)))*(U252-Forudsætninger!$H$37)</f>
        <v>36.66085168119929</v>
      </c>
      <c r="AC252" s="19">
        <f>IF(K252&gt;Forudsætninger!$C$42,IF(K252&gt;Forudsætninger!$C$43,IF(K252&gt;Forudsætninger!$C$44,Forudsætninger!$E$44,Forudsætninger!$E$43+Forudsætninger!$F$44*(K252-Forudsætninger!$C$43)),Forudsætninger!$E$42+Forudsætninger!$F$43*(K252-Forudsætninger!$C$42)),Forudsætninger!$E$42)+IF(K252&gt;Forudsætninger!$C$44,Forudsætninger!$G$44,IF(K252&gt;Forudsætninger!$C$43,Forudsætninger!$G$43+Forudsætninger!$H$44*(K252-Forudsætninger!$C$43),IF(K252&gt;Forudsætninger!$C$42,Forudsætninger!$G$42+Forudsætninger!$H$43*(K252-Forudsætninger!$C$42),Forudsætninger!$G$42)))*(V252-Forudsætninger!$H$42)</f>
        <v>31.014110531579458</v>
      </c>
      <c r="AD252" s="19">
        <f t="shared" si="87"/>
        <v>8087.6479022113172</v>
      </c>
      <c r="AE252" s="19">
        <f t="shared" si="88"/>
        <v>36.431755325986146</v>
      </c>
      <c r="AF252">
        <f>IF(G252&lt;=Forudsætninger!$C$97,Forudsætninger!$C$98,(IF(G252&lt;=Forudsætninger!$D$97,Forudsætninger!$D$98,IF(G252&lt;=Forudsætninger!$E$97,Forudsætninger!$E$98,IF(G252&lt;=Forudsætninger!$F$97,Forudsætninger!$F$98,IF(G252&lt;=Forudsætninger!$G$97,Forudsætninger!$G$98,IF(G252&lt;=Forudsætninger!$H$97,Forudsætninger!$H$98,IF(G252&lt;=Forudsætninger!$I$97,Forudsætninger!$I$98,Forudsætninger!$I$98))))))))</f>
        <v>4.4000000000000004</v>
      </c>
      <c r="AG252" s="1">
        <f t="shared" si="97"/>
        <v>4.4000000000000004</v>
      </c>
      <c r="AH252" s="1">
        <f t="shared" si="101"/>
        <v>784.19999999999709</v>
      </c>
      <c r="AI252" s="1">
        <f t="shared" si="89"/>
        <v>3.1367999999999885</v>
      </c>
      <c r="AJ252" s="20">
        <f>+(W252*Forudsætninger!$C$12)</f>
        <v>900</v>
      </c>
      <c r="AK252" s="20">
        <f>Forudsætninger!$C$17</f>
        <v>250</v>
      </c>
      <c r="AL252" s="20">
        <f>IF(A252&lt;92,Forudsætninger!$C$20,Forudsætninger!$C$21)</f>
        <v>1.0566762728146013</v>
      </c>
      <c r="AM252" s="20">
        <f t="shared" si="98"/>
        <v>532.67455105694216</v>
      </c>
      <c r="AN252" s="19">
        <f>IFERROR(AD252+AJ252-AA252-Z252-AK252-AM252-Forudsætninger!$D$75,-99999)</f>
        <v>1827.6183019852854</v>
      </c>
      <c r="AO252" s="57">
        <f>IFERROR(AN252/(A252+Forudsætninger!$D$74),-99999)</f>
        <v>7.3104732079411416</v>
      </c>
      <c r="AP252" s="19">
        <f>IFERROR(((365/(A252+Forudsætninger!$D$74))*AN252)/(AI252+Forudsætninger!$D$73),-99999)</f>
        <v>821.83156366222943</v>
      </c>
      <c r="AQ252" s="18">
        <f t="shared" si="102"/>
        <v>250</v>
      </c>
      <c r="AR252" s="18">
        <f t="shared" si="103"/>
        <v>6942.137626525071</v>
      </c>
      <c r="AS252" s="50">
        <f t="shared" si="104"/>
        <v>9.3000000000000007</v>
      </c>
      <c r="AT252" s="50">
        <f t="shared" si="105"/>
        <v>13.153462227683576</v>
      </c>
      <c r="AU252" s="50">
        <f t="shared" si="106"/>
        <v>2.3465819356395912E-2</v>
      </c>
      <c r="AV252" s="2">
        <f t="shared" si="107"/>
        <v>1.3560046098042449</v>
      </c>
      <c r="AW252" s="16">
        <f t="shared" si="99"/>
        <v>9.4411714121689112</v>
      </c>
      <c r="AZ252" s="16"/>
      <c r="BA252" s="2"/>
    </row>
    <row r="253" spans="1:53" x14ac:dyDescent="0.25">
      <c r="A253">
        <v>251</v>
      </c>
      <c r="B253" s="1">
        <f>ROUND((A253+Forudsætninger!$D$60)/30.4,1)</f>
        <v>9.4</v>
      </c>
      <c r="C253" s="1">
        <f>VLOOKUP((A253+Forudsætninger!$D$60),'Model tilvækst, slagteform, fe'!A:C,3,FALSE)</f>
        <v>482.54031698953213</v>
      </c>
      <c r="D253" s="3">
        <f t="shared" si="108"/>
        <v>1485.4479867449299</v>
      </c>
      <c r="E253" s="3">
        <f>(1+Forudsætninger!$D$78)*C253</f>
        <v>405.333866271207</v>
      </c>
      <c r="F253" s="2">
        <f t="shared" si="90"/>
        <v>0</v>
      </c>
      <c r="G253" s="1">
        <f t="shared" si="83"/>
        <v>405.333866271207</v>
      </c>
      <c r="H253" s="3">
        <f>(G253-G252)*1000</f>
        <v>1247.7763088657525</v>
      </c>
      <c r="I253" s="3">
        <f t="shared" si="92"/>
        <v>1328.0233715984343</v>
      </c>
      <c r="J253" s="1">
        <f>VLOOKUP((A253+Forudsætninger!$D$60),'Model tilvækst, slagteform, fe'!G:K,3,FALSE)*(1+Forudsætninger!$D$79)</f>
        <v>54.944661155259851</v>
      </c>
      <c r="K253" s="17">
        <f t="shared" si="84"/>
        <v>222.7093193702288</v>
      </c>
      <c r="L253" s="17">
        <f t="shared" si="93"/>
        <v>714.85794930086399</v>
      </c>
      <c r="M253" s="3">
        <f>((K253-(('Model tilvækst, slagteform, fe'!$I$9/100)*'Model tilvækst, slagteform, fe'!$C$9))*1000/(A253+Forudsætninger!$D$60))</f>
        <v>705.23072425915598</v>
      </c>
      <c r="N253" s="17">
        <f t="shared" si="94"/>
        <v>1384.7546124749088</v>
      </c>
      <c r="O253" s="19">
        <f>IF( A253&lt;Forudsætninger!$C$14,(G253/100)*Forudsætninger!$C$13,(Forudsætninger!$C$15/1000)*Forudsætninger!$C$13)</f>
        <v>2.6346701307628457</v>
      </c>
      <c r="P253" s="17" cm="1">
        <f t="array" ref="P253">INDEX('Model tilvækst, slagteform, fe'!$O$9:$O$375,MATCH(MIN(ABS('Model tilvækst, slagteform, fe'!$M$9:$M$375-G253)),ABS('Model tilvækst, slagteform, fe'!$M$9:$M$375-G253),0))*(1+Forudsætninger!$D$80)</f>
        <v>7.6317616519582705</v>
      </c>
      <c r="Q253" s="17">
        <f t="shared" si="95"/>
        <v>10.675913528585905</v>
      </c>
      <c r="R253" s="17">
        <f t="shared" si="96"/>
        <v>7.3755373929477566</v>
      </c>
      <c r="S253" s="2">
        <f t="shared" si="85"/>
        <v>4.1542571955417369</v>
      </c>
      <c r="T253" s="19">
        <f>(P253)*IF(N253&lt;Forudsætninger!$B$228,IF(N253&lt;Forudsætninger!$B$227,Forudsætninger!$B$225,Forudsætninger!$C$9),Forudsætninger!$C$11)+O253</f>
        <v>20.492992396345198</v>
      </c>
      <c r="U253" s="2">
        <f>Forudsætninger!$D$68+((K253-(Forudsætninger!$D$84)))*0.01</f>
        <v>7.3667038750619405</v>
      </c>
      <c r="V253" s="2">
        <f>U253+Forudsætninger!$D$69</f>
        <v>7.3667038750619405</v>
      </c>
      <c r="W253">
        <f t="shared" si="86"/>
        <v>1</v>
      </c>
      <c r="X253">
        <f>IF(A253+Forudsætninger!$D$60&gt;248,IF(A253+Forudsætninger!$D$60&lt;365,IF(K253&gt;180,IF(K253&lt;260,1,0),0),0),0)</f>
        <v>1</v>
      </c>
      <c r="Y253" s="22">
        <f>IF(X253=0,0,IF('Vækstfunktion, kry tyr'!A253&lt;Forudsætninger!$D$66,Forudsætninger!$D$67+(('Vækstfunktion, kry tyr'!A253-Forudsætninger!$D$66)/7)*Forudsætninger!$D$64,Forudsætninger!$D$67))</f>
        <v>0.96371428571428563</v>
      </c>
      <c r="Z253" s="19">
        <f t="shared" si="100"/>
        <v>4124.9560678644739</v>
      </c>
      <c r="AA253" s="19">
        <f>Forudsætninger!$D$62+Forudsætninger!$C$16</f>
        <v>2055</v>
      </c>
      <c r="AB253" s="19">
        <f>IF(K253&gt;Forudsætninger!$C$37,IF(K253&gt;Forudsætninger!$C$38,IF(K253&gt;Forudsætninger!$C$39,Forudsætninger!$E$39,Forudsætninger!$E$38+Forudsætninger!$F$39*(K253-Forudsætninger!$C$38)),Forudsætninger!$E$37+Forudsætninger!$F$38*(K253-Forudsætninger!$C$37)),Forudsætninger!$E$37)+IF(K253&gt;Forudsætninger!$C$39,Forudsætninger!$G$39,IF(K253&gt;Forudsætninger!$C$38,Forudsætninger!$G$38+Forudsætninger!$H$39*(K253-Forudsætninger!$C$38),IF(K253&gt;Forudsætninger!$C$37,Forudsætninger!$G$37+Forudsætninger!$H$38*(K253-Forudsætninger!$C$37),Forudsætninger!$G$37)))*(U253-Forudsætninger!$H$37)</f>
        <v>36.674970125697989</v>
      </c>
      <c r="AC253" s="19">
        <f>IF(K253&gt;Forudsætninger!$C$42,IF(K253&gt;Forudsætninger!$C$43,IF(K253&gt;Forudsætninger!$C$44,Forudsætninger!$E$44,Forudsætninger!$E$43+Forudsætninger!$F$44*(K253-Forudsætninger!$C$43)),Forudsætninger!$E$42+Forudsætninger!$F$43*(K253-Forudsætninger!$C$42)),Forudsætninger!$E$42)+IF(K253&gt;Forudsætninger!$C$44,Forudsætninger!$G$44,IF(K253&gt;Forudsætninger!$C$43,Forudsætninger!$G$43+Forudsætninger!$H$44*(K253-Forudsætninger!$C$43),IF(K253&gt;Forudsætninger!$C$42,Forudsætninger!$G$42+Forudsætninger!$H$43*(K253-Forudsætninger!$C$42),Forudsætninger!$G$42)))*(V253-Forudsætninger!$H$42)</f>
        <v>31.032597579506355</v>
      </c>
      <c r="AD253" s="19">
        <f t="shared" si="87"/>
        <v>8122.2606813110324</v>
      </c>
      <c r="AE253" s="19">
        <f t="shared" si="88"/>
        <v>36.470232607593317</v>
      </c>
      <c r="AF253">
        <f>IF(G253&lt;=Forudsætninger!$C$97,Forudsætninger!$C$98,(IF(G253&lt;=Forudsætninger!$D$97,Forudsætninger!$D$98,IF(G253&lt;=Forudsætninger!$E$97,Forudsætninger!$E$98,IF(G253&lt;=Forudsætninger!$F$97,Forudsætninger!$F$98,IF(G253&lt;=Forudsætninger!$G$97,Forudsætninger!$G$98,IF(G253&lt;=Forudsætninger!$H$97,Forudsætninger!$H$98,IF(G253&lt;=Forudsætninger!$I$97,Forudsætninger!$I$98,Forudsætninger!$I$98))))))))</f>
        <v>4.4000000000000004</v>
      </c>
      <c r="AG253" s="1">
        <f t="shared" si="97"/>
        <v>4.4000000000000004</v>
      </c>
      <c r="AH253" s="1">
        <f t="shared" si="101"/>
        <v>788.59999999999707</v>
      </c>
      <c r="AI253" s="1">
        <f t="shared" si="89"/>
        <v>3.1418326693226977</v>
      </c>
      <c r="AJ253" s="20">
        <f>+(W253*Forudsætninger!$C$12)</f>
        <v>900</v>
      </c>
      <c r="AK253" s="20">
        <f>Forudsætninger!$C$17</f>
        <v>250</v>
      </c>
      <c r="AL253" s="20">
        <f>IF(A253&lt;92,Forudsætninger!$C$20,Forudsætninger!$C$21)</f>
        <v>1.0566762728146013</v>
      </c>
      <c r="AM253" s="20">
        <f t="shared" si="98"/>
        <v>533.73122732975673</v>
      </c>
      <c r="AN253" s="19">
        <f>IFERROR(AD253+AJ253-AA253-Z253-AK253-AM253-Forudsætninger!$D$75,-99999)</f>
        <v>1840.6814124158416</v>
      </c>
      <c r="AO253" s="57">
        <f>IFERROR(AN253/(A253+Forudsætninger!$D$74),-99999)</f>
        <v>7.3333920813380145</v>
      </c>
      <c r="AP253" s="19">
        <f>IFERROR(((365/(A253+Forudsætninger!$D$74))*AN253)/(AI253+Forudsætninger!$D$73),-99999)</f>
        <v>823.13217864493777</v>
      </c>
      <c r="AQ253" s="18">
        <f t="shared" si="102"/>
        <v>251</v>
      </c>
      <c r="AR253" s="18">
        <f t="shared" si="103"/>
        <v>6963.6872951942305</v>
      </c>
      <c r="AS253" s="50">
        <f t="shared" si="104"/>
        <v>9.4</v>
      </c>
      <c r="AT253" s="50">
        <f t="shared" si="105"/>
        <v>13.063110430556208</v>
      </c>
      <c r="AU253" s="50">
        <f t="shared" si="106"/>
        <v>2.2918873396872819E-2</v>
      </c>
      <c r="AV253" s="2">
        <f t="shared" si="107"/>
        <v>1.3006149827083391</v>
      </c>
      <c r="AW253" s="16">
        <f t="shared" si="99"/>
        <v>9.4598113137274833</v>
      </c>
      <c r="AZ253" s="16"/>
      <c r="BA253" s="2"/>
    </row>
    <row r="254" spans="1:53" x14ac:dyDescent="0.25">
      <c r="A254">
        <v>252</v>
      </c>
      <c r="B254" s="1">
        <f>ROUND((A254+Forudsætninger!$D$60)/30.4,1)</f>
        <v>9.4</v>
      </c>
      <c r="C254" s="1">
        <f>VLOOKUP((A254+Forudsætninger!$D$60),'Model tilvækst, slagteform, fe'!A:C,3,FALSE)</f>
        <v>484.02105947388441</v>
      </c>
      <c r="D254" s="3">
        <f t="shared" si="108"/>
        <v>1480.7424843522767</v>
      </c>
      <c r="E254" s="3">
        <f>(1+Forudsætninger!$D$78)*C254</f>
        <v>406.57768995806288</v>
      </c>
      <c r="F254" s="2">
        <f t="shared" si="90"/>
        <v>0</v>
      </c>
      <c r="G254" s="1">
        <f t="shared" si="83"/>
        <v>406.57768995806288</v>
      </c>
      <c r="H254" s="3">
        <f t="shared" si="91"/>
        <v>1243.8236868558761</v>
      </c>
      <c r="I254" s="3">
        <f t="shared" si="92"/>
        <v>1327.689245865329</v>
      </c>
      <c r="J254" s="1">
        <f>VLOOKUP((A254+Forudsætninger!$D$60),'Model tilvækst, slagteform, fe'!G:K,3,FALSE)*(1+Forudsætninger!$D$79)</f>
        <v>54.951805510005769</v>
      </c>
      <c r="K254" s="17">
        <f t="shared" si="84"/>
        <v>223.42178143282896</v>
      </c>
      <c r="L254" s="17">
        <f t="shared" si="93"/>
        <v>712.4620626001672</v>
      </c>
      <c r="M254" s="3">
        <f>((K254-(('Model tilvækst, slagteform, fe'!$I$9/100)*'Model tilvækst, slagteform, fe'!$C$9))*1000/(A254+Forudsætninger!$D$60))</f>
        <v>705.25600865894978</v>
      </c>
      <c r="N254" s="17">
        <f t="shared" si="94"/>
        <v>1392.3992307591182</v>
      </c>
      <c r="O254" s="19">
        <f>IF( A254&lt;Forudsætninger!$C$14,(G254/100)*Forudsætninger!$C$13,(Forudsætninger!$C$15/1000)*Forudsætninger!$C$13)</f>
        <v>2.642754984727409</v>
      </c>
      <c r="P254" s="17" cm="1">
        <f t="array" ref="P254">INDEX('Model tilvækst, slagteform, fe'!$O$9:$O$375,MATCH(MIN(ABS('Model tilvækst, slagteform, fe'!$M$9:$M$375-G254)),ABS('Model tilvækst, slagteform, fe'!$M$9:$M$375-G254),0))*(1+Forudsætninger!$D$80)</f>
        <v>7.6446182842093506</v>
      </c>
      <c r="Q254" s="17">
        <f t="shared" si="95"/>
        <v>10.729860136425959</v>
      </c>
      <c r="R254" s="17">
        <f t="shared" si="96"/>
        <v>7.3882180723219735</v>
      </c>
      <c r="S254" s="2">
        <f t="shared" si="85"/>
        <v>4.1616619175464038</v>
      </c>
      <c r="T254" s="19">
        <f>(P254)*IF(N254&lt;Forudsætninger!$B$228,IF(N254&lt;Forudsætninger!$B$227,Forudsætninger!$B$225,Forudsætninger!$C$9),Forudsætninger!$C$11)+O254</f>
        <v>20.531161769777292</v>
      </c>
      <c r="U254" s="2">
        <f>Forudsætninger!$D$68+((K254-(Forudsætninger!$D$84)))*0.01</f>
        <v>7.3738284956879419</v>
      </c>
      <c r="V254" s="2">
        <f>U254+Forudsætninger!$D$69</f>
        <v>7.3738284956879419</v>
      </c>
      <c r="W254">
        <f t="shared" si="86"/>
        <v>1</v>
      </c>
      <c r="X254">
        <f>IF(A254+Forudsætninger!$D$60&gt;248,IF(A254+Forudsætninger!$D$60&lt;365,IF(K254&gt;180,IF(K254&lt;260,1,0),0),0),0)</f>
        <v>1</v>
      </c>
      <c r="Y254" s="22">
        <f>IF(X254=0,0,IF('Vækstfunktion, kry tyr'!A254&lt;Forudsætninger!$D$66,Forudsætninger!$D$67+(('Vækstfunktion, kry tyr'!A254-Forudsætninger!$D$66)/7)*Forudsætninger!$D$64,Forudsætninger!$D$67))</f>
        <v>0.96799999999999997</v>
      </c>
      <c r="Z254" s="19">
        <f t="shared" si="100"/>
        <v>4145.487229634251</v>
      </c>
      <c r="AA254" s="19">
        <f>Forudsætninger!$D$62+Forudsætninger!$C$16</f>
        <v>2055</v>
      </c>
      <c r="AB254" s="19">
        <f>IF(K254&gt;Forudsætninger!$C$37,IF(K254&gt;Forudsætninger!$C$38,IF(K254&gt;Forudsætninger!$C$39,Forudsætninger!$E$39,Forudsætninger!$E$38+Forudsætninger!$F$39*(K254-Forudsætninger!$C$38)),Forudsætninger!$E$37+Forudsætninger!$F$38*(K254-Forudsætninger!$C$37)),Forudsætninger!$E$37)+IF(K254&gt;Forudsætninger!$C$39,Forudsætninger!$G$39,IF(K254&gt;Forudsætninger!$C$38,Forudsætninger!$G$38+Forudsætninger!$H$39*(K254-Forudsætninger!$C$38),IF(K254&gt;Forudsætninger!$C$37,Forudsætninger!$G$37+Forudsætninger!$H$38*(K254-Forudsætninger!$C$37),Forudsætninger!$G$37)))*(U254-Forudsætninger!$H$37)</f>
        <v>36.689041251434332</v>
      </c>
      <c r="AC254" s="19">
        <f>IF(K254&gt;Forudsætninger!$C$42,IF(K254&gt;Forudsætninger!$C$43,IF(K254&gt;Forudsætninger!$C$44,Forudsætninger!$E$44,Forudsætninger!$E$43+Forudsætninger!$F$44*(K254-Forudsætninger!$C$43)),Forudsætninger!$E$42+Forudsætninger!$F$43*(K254-Forudsætninger!$C$42)),Forudsætninger!$E$42)+IF(K254&gt;Forudsætninger!$C$44,Forudsætninger!$G$44,IF(K254&gt;Forudsætninger!$C$43,Forudsætninger!$G$43+Forudsætninger!$H$44*(K254-Forudsætninger!$C$43),IF(K254&gt;Forudsætninger!$C$42,Forudsætninger!$G$42+Forudsætninger!$H$43*(K254-Forudsætninger!$C$42),Forudsætninger!$G$42)))*(V254-Forudsætninger!$H$42)</f>
        <v>31.051001481397016</v>
      </c>
      <c r="AD254" s="19">
        <f t="shared" si="87"/>
        <v>8156.8218070032581</v>
      </c>
      <c r="AE254" s="19">
        <f t="shared" si="88"/>
        <v>36.508623978793132</v>
      </c>
      <c r="AF254">
        <f>IF(G254&lt;=Forudsætninger!$C$97,Forudsætninger!$C$98,(IF(G254&lt;=Forudsætninger!$D$97,Forudsætninger!$D$98,IF(G254&lt;=Forudsætninger!$E$97,Forudsætninger!$E$98,IF(G254&lt;=Forudsætninger!$F$97,Forudsætninger!$F$98,IF(G254&lt;=Forudsætninger!$G$97,Forudsætninger!$G$98,IF(G254&lt;=Forudsætninger!$H$97,Forudsætninger!$H$98,IF(G254&lt;=Forudsætninger!$I$97,Forudsætninger!$I$98,Forudsætninger!$I$98))))))))</f>
        <v>4.4000000000000004</v>
      </c>
      <c r="AG254" s="1">
        <f t="shared" si="97"/>
        <v>4.4000000000000004</v>
      </c>
      <c r="AH254" s="1">
        <f t="shared" si="101"/>
        <v>792.99999999999704</v>
      </c>
      <c r="AI254" s="1">
        <f t="shared" si="89"/>
        <v>3.1468253968253852</v>
      </c>
      <c r="AJ254" s="20">
        <f>+(W254*Forudsætninger!$C$12)</f>
        <v>900</v>
      </c>
      <c r="AK254" s="20">
        <f>Forudsætninger!$C$17</f>
        <v>250</v>
      </c>
      <c r="AL254" s="20">
        <f>IF(A254&lt;92,Forudsætninger!$C$20,Forudsætninger!$C$21)</f>
        <v>1.0566762728146013</v>
      </c>
      <c r="AM254" s="20">
        <f t="shared" si="98"/>
        <v>534.7879036025713</v>
      </c>
      <c r="AN254" s="19">
        <f>IFERROR(AD254+AJ254-AA254-Z254-AK254-AM254-Forudsætninger!$D$75,-99999)</f>
        <v>1853.6547000654753</v>
      </c>
      <c r="AO254" s="57">
        <f>IFERROR(AN254/(A254+Forudsætninger!$D$74),-99999)</f>
        <v>7.3557726193074418</v>
      </c>
      <c r="AP254" s="19">
        <f>IFERROR(((365/(A254+Forudsætninger!$D$74))*AN254)/(AI254+Forudsætninger!$D$73),-99999)</f>
        <v>824.37855239777377</v>
      </c>
      <c r="AQ254" s="18">
        <f t="shared" si="102"/>
        <v>252</v>
      </c>
      <c r="AR254" s="18">
        <f t="shared" si="103"/>
        <v>6985.2751332368225</v>
      </c>
      <c r="AS254" s="50">
        <f t="shared" si="104"/>
        <v>9.4</v>
      </c>
      <c r="AT254" s="50">
        <f t="shared" si="105"/>
        <v>12.973287649633676</v>
      </c>
      <c r="AU254" s="50">
        <f t="shared" si="106"/>
        <v>2.2380537969427294E-2</v>
      </c>
      <c r="AV254" s="2">
        <f t="shared" si="107"/>
        <v>1.246373752836007</v>
      </c>
      <c r="AW254" s="16">
        <f t="shared" si="99"/>
        <v>9.4779468399525655</v>
      </c>
      <c r="AZ254" s="16"/>
      <c r="BA254" s="2"/>
    </row>
    <row r="255" spans="1:53" x14ac:dyDescent="0.25">
      <c r="A255">
        <v>253</v>
      </c>
      <c r="B255" s="1">
        <f>ROUND((A255+Forudsætninger!$D$60)/30.4,1)</f>
        <v>9.4</v>
      </c>
      <c r="C255" s="1">
        <f>VLOOKUP((A255+Forudsætninger!$D$60),'Model tilvækst, slagteform, fe'!A:C,3,FALSE)</f>
        <v>485.49709501340988</v>
      </c>
      <c r="D255" s="3">
        <f t="shared" si="108"/>
        <v>1476.0355395254692</v>
      </c>
      <c r="E255" s="3">
        <f>(1+Forudsætninger!$D$78)*C255</f>
        <v>407.81755981126429</v>
      </c>
      <c r="F255" s="2">
        <f t="shared" si="90"/>
        <v>0</v>
      </c>
      <c r="G255" s="1">
        <f t="shared" si="83"/>
        <v>407.81755981126429</v>
      </c>
      <c r="H255" s="3">
        <f t="shared" si="91"/>
        <v>1239.8698532014123</v>
      </c>
      <c r="I255" s="3">
        <f t="shared" si="92"/>
        <v>1327.3421336413608</v>
      </c>
      <c r="J255" s="1">
        <f>VLOOKUP((A255+Forudsætninger!$D$60),'Model tilvækst, slagteform, fe'!G:K,3,FALSE)*(1+Forudsætninger!$D$79)</f>
        <v>54.958858887749521</v>
      </c>
      <c r="K255" s="17">
        <f t="shared" si="84"/>
        <v>224.13187721613622</v>
      </c>
      <c r="L255" s="17">
        <f t="shared" si="93"/>
        <v>710.09578330725276</v>
      </c>
      <c r="M255" s="3">
        <f>((K255-(('Model tilvækst, slagteform, fe'!$I$9/100)*'Model tilvækst, slagteform, fe'!$C$9))*1000/(A255+Forudsætninger!$D$60))</f>
        <v>705.2728719852505</v>
      </c>
      <c r="N255" s="17">
        <f t="shared" si="94"/>
        <v>1400.0568394869827</v>
      </c>
      <c r="O255" s="19">
        <f>IF( A255&lt;Forudsætninger!$C$14,(G255/100)*Forudsætninger!$C$13,(Forudsætninger!$C$15/1000)*Forudsætninger!$C$13)</f>
        <v>2.6508141387732178</v>
      </c>
      <c r="P255" s="17" cm="1">
        <f t="array" ref="P255">INDEX('Model tilvækst, slagteform, fe'!$O$9:$O$375,MATCH(MIN(ABS('Model tilvækst, slagteform, fe'!$M$9:$M$375-G255)),ABS('Model tilvækst, slagteform, fe'!$M$9:$M$375-G255),0))*(1+Forudsætninger!$D$80)</f>
        <v>7.6576087278644627</v>
      </c>
      <c r="Q255" s="17">
        <f t="shared" si="95"/>
        <v>10.78390959061797</v>
      </c>
      <c r="R255" s="17">
        <f t="shared" si="96"/>
        <v>7.4009644803297299</v>
      </c>
      <c r="S255" s="2">
        <f t="shared" si="85"/>
        <v>4.1690995559429371</v>
      </c>
      <c r="T255" s="19">
        <f>(P255)*IF(N255&lt;Forudsætninger!$B$228,IF(N255&lt;Forudsætninger!$B$227,Forudsætninger!$B$225,Forudsætninger!$C$9),Forudsætninger!$C$11)+O255</f>
        <v>20.569618561976061</v>
      </c>
      <c r="U255" s="2">
        <f>Forudsætninger!$D$68+((K255-(Forudsætninger!$D$84)))*0.01</f>
        <v>7.3809294535210146</v>
      </c>
      <c r="V255" s="2">
        <f>U255+Forudsætninger!$D$69</f>
        <v>7.3809294535210146</v>
      </c>
      <c r="W255">
        <f t="shared" si="86"/>
        <v>1</v>
      </c>
      <c r="X255">
        <f>IF(A255+Forudsætninger!$D$60&gt;248,IF(A255+Forudsætninger!$D$60&lt;365,IF(K255&gt;180,IF(K255&lt;260,1,0),0),0),0)</f>
        <v>1</v>
      </c>
      <c r="Y255" s="22">
        <f>IF(X255=0,0,IF('Vækstfunktion, kry tyr'!A255&lt;Forudsætninger!$D$66,Forudsætninger!$D$67+(('Vækstfunktion, kry tyr'!A255-Forudsætninger!$D$66)/7)*Forudsætninger!$D$64,Forudsætninger!$D$67))</f>
        <v>0.9722857142857142</v>
      </c>
      <c r="Z255" s="19">
        <f t="shared" si="100"/>
        <v>4166.0568481962273</v>
      </c>
      <c r="AA255" s="19">
        <f>Forudsætninger!$D$62+Forudsætninger!$C$16</f>
        <v>2055</v>
      </c>
      <c r="AB255" s="19">
        <f>IF(K255&gt;Forudsætninger!$C$37,IF(K255&gt;Forudsætninger!$C$38,IF(K255&gt;Forudsætninger!$C$39,Forudsætninger!$E$39,Forudsætninger!$E$38+Forudsætninger!$F$39*(K255-Forudsætninger!$C$38)),Forudsætninger!$E$37+Forudsætninger!$F$38*(K255-Forudsætninger!$C$37)),Forudsætninger!$E$37)+IF(K255&gt;Forudsætninger!$C$39,Forudsætninger!$G$39,IF(K255&gt;Forudsætninger!$C$38,Forudsætninger!$G$38+Forudsætninger!$H$39*(K255-Forudsætninger!$C$38),IF(K255&gt;Forudsætninger!$C$37,Forudsætninger!$G$37+Forudsætninger!$H$38*(K255-Forudsætninger!$C$37),Forudsætninger!$G$37)))*(U255-Forudsætninger!$H$37)</f>
        <v>36.703065643154659</v>
      </c>
      <c r="AC255" s="19">
        <f>IF(K255&gt;Forudsætninger!$C$42,IF(K255&gt;Forudsætninger!$C$43,IF(K255&gt;Forudsætninger!$C$44,Forudsætninger!$E$44,Forudsætninger!$E$43+Forudsætninger!$F$44*(K255-Forudsætninger!$C$43)),Forudsætninger!$E$42+Forudsætninger!$F$43*(K255-Forudsætninger!$C$42)),Forudsætninger!$E$42)+IF(K255&gt;Forudsætninger!$C$44,Forudsætninger!$G$44,IF(K255&gt;Forudsætninger!$C$43,Forudsætninger!$G$43+Forudsætninger!$H$44*(K255-Forudsætninger!$C$43),IF(K255&gt;Forudsætninger!$C$42,Forudsætninger!$G$42+Forudsætninger!$H$43*(K255-Forudsætninger!$C$42),Forudsætninger!$G$42)))*(V255-Forudsætninger!$H$42)</f>
        <v>31.069323214109478</v>
      </c>
      <c r="AD255" s="19">
        <f t="shared" si="87"/>
        <v>8191.3321385192448</v>
      </c>
      <c r="AE255" s="19">
        <f t="shared" si="88"/>
        <v>36.546930495835404</v>
      </c>
      <c r="AF255">
        <f>IF(G255&lt;=Forudsætninger!$C$97,Forudsætninger!$C$98,(IF(G255&lt;=Forudsætninger!$D$97,Forudsætninger!$D$98,IF(G255&lt;=Forudsætninger!$E$97,Forudsætninger!$E$98,IF(G255&lt;=Forudsætninger!$F$97,Forudsætninger!$F$98,IF(G255&lt;=Forudsætninger!$G$97,Forudsætninger!$G$98,IF(G255&lt;=Forudsætninger!$H$97,Forudsætninger!$H$98,IF(G255&lt;=Forudsætninger!$I$97,Forudsætninger!$I$98,Forudsætninger!$I$98))))))))</f>
        <v>4.4000000000000004</v>
      </c>
      <c r="AG255" s="1">
        <f t="shared" si="97"/>
        <v>4.4000000000000004</v>
      </c>
      <c r="AH255" s="1">
        <f t="shared" si="101"/>
        <v>797.39999999999702</v>
      </c>
      <c r="AI255" s="1">
        <f t="shared" si="89"/>
        <v>3.1517786561264702</v>
      </c>
      <c r="AJ255" s="20">
        <f>+(W255*Forudsætninger!$C$12)</f>
        <v>900</v>
      </c>
      <c r="AK255" s="20">
        <f>Forudsætninger!$C$17</f>
        <v>250</v>
      </c>
      <c r="AL255" s="20">
        <f>IF(A255&lt;92,Forudsætninger!$C$20,Forudsætninger!$C$21)</f>
        <v>1.0566762728146013</v>
      </c>
      <c r="AM255" s="20">
        <f t="shared" si="98"/>
        <v>535.84457987538588</v>
      </c>
      <c r="AN255" s="19">
        <f>IFERROR(AD255+AJ255-AA255-Z255-AK255-AM255-Forudsætninger!$D$75,-99999)</f>
        <v>1866.5387367466712</v>
      </c>
      <c r="AO255" s="57">
        <f>IFERROR(AN255/(A255+Forudsætninger!$D$74),-99999)</f>
        <v>7.3776234654018626</v>
      </c>
      <c r="AP255" s="19">
        <f>IFERROR(((365/(A255+Forudsætninger!$D$74))*AN255)/(AI255+Forudsætninger!$D$73),-99999)</f>
        <v>825.57182714217561</v>
      </c>
      <c r="AQ255" s="18">
        <f t="shared" si="102"/>
        <v>253</v>
      </c>
      <c r="AR255" s="18">
        <f t="shared" si="103"/>
        <v>7006.9014280716128</v>
      </c>
      <c r="AS255" s="50">
        <f t="shared" si="104"/>
        <v>9.4</v>
      </c>
      <c r="AT255" s="50">
        <f t="shared" si="105"/>
        <v>12.884036681195994</v>
      </c>
      <c r="AU255" s="50">
        <f t="shared" si="106"/>
        <v>2.1850846094420895E-2</v>
      </c>
      <c r="AV255" s="2">
        <f t="shared" si="107"/>
        <v>1.1932747444018332</v>
      </c>
      <c r="AW255" s="16">
        <f t="shared" si="99"/>
        <v>9.4955862317077351</v>
      </c>
      <c r="AZ255" s="16"/>
      <c r="BA255" s="2"/>
    </row>
    <row r="256" spans="1:53" x14ac:dyDescent="0.25">
      <c r="A256">
        <v>254</v>
      </c>
      <c r="B256" s="1">
        <f>ROUND((A256+Forudsætninger!$D$60)/30.4,1)</f>
        <v>9.5</v>
      </c>
      <c r="C256" s="1">
        <f>VLOOKUP((A256+Forudsætninger!$D$60),'Model tilvækst, slagteform, fe'!A:C,3,FALSE)</f>
        <v>486.96842278660927</v>
      </c>
      <c r="D256" s="3">
        <f t="shared" si="108"/>
        <v>1471.3277731993912</v>
      </c>
      <c r="E256" s="3">
        <f>(1+Forudsætninger!$D$78)*C256</f>
        <v>409.05347514075174</v>
      </c>
      <c r="F256" s="2">
        <f t="shared" si="90"/>
        <v>0</v>
      </c>
      <c r="G256" s="1">
        <f t="shared" si="83"/>
        <v>409.05347514075174</v>
      </c>
      <c r="H256" s="3">
        <f t="shared" si="91"/>
        <v>1235.9153294874545</v>
      </c>
      <c r="I256" s="3">
        <f t="shared" si="92"/>
        <v>1326.9821855935108</v>
      </c>
      <c r="J256" s="1">
        <f>VLOOKUP((A256+Forudsætninger!$D$60),'Model tilvækst, slagteform, fe'!G:K,3,FALSE)*(1+Forudsætninger!$D$79)</f>
        <v>54.965829830052726</v>
      </c>
      <c r="K256" s="17">
        <f t="shared" si="84"/>
        <v>224.83963705978263</v>
      </c>
      <c r="L256" s="17">
        <f t="shared" si="93"/>
        <v>707.75984364641431</v>
      </c>
      <c r="M256" s="3">
        <f>((K256-(('Model tilvækst, slagteform, fe'!$I$9/100)*'Model tilvækst, slagteform, fe'!$C$9))*1000/(A256+Forudsætninger!$D$60))</f>
        <v>705.28150730351854</v>
      </c>
      <c r="N256" s="17">
        <f t="shared" si="94"/>
        <v>1407.7275701223377</v>
      </c>
      <c r="O256" s="19">
        <f>IF( A256&lt;Forudsætninger!$C$14,(G256/100)*Forudsætninger!$C$13,(Forudsætninger!$C$15/1000)*Forudsætninger!$C$13)</f>
        <v>2.6588475884148863</v>
      </c>
      <c r="P256" s="17" cm="1">
        <f t="array" ref="P256">INDEX('Model tilvækst, slagteform, fe'!$O$9:$O$375,MATCH(MIN(ABS('Model tilvækst, slagteform, fe'!$M$9:$M$375-G256)),ABS('Model tilvækst, slagteform, fe'!$M$9:$M$375-G256),0))*(1+Forudsætninger!$D$80)</f>
        <v>7.6707306353551106</v>
      </c>
      <c r="Q256" s="17">
        <f t="shared" si="95"/>
        <v>10.838041610039813</v>
      </c>
      <c r="R256" s="17">
        <f t="shared" si="96"/>
        <v>7.4137758638446689</v>
      </c>
      <c r="S256" s="2">
        <f t="shared" si="85"/>
        <v>4.1765704078098533</v>
      </c>
      <c r="T256" s="19">
        <f>(P256)*IF(N256&lt;Forudsætninger!$B$228,IF(N256&lt;Forudsætninger!$B$227,Forudsætninger!$B$225,Forudsætninger!$C$9),Forudsætninger!$C$11)+O256</f>
        <v>20.608357275145845</v>
      </c>
      <c r="U256" s="2">
        <f>Forudsætninger!$D$68+((K256-(Forudsætninger!$D$84)))*0.01</f>
        <v>7.3880070519574783</v>
      </c>
      <c r="V256" s="2">
        <f>U256+Forudsætninger!$D$69</f>
        <v>7.3880070519574783</v>
      </c>
      <c r="W256">
        <f t="shared" si="86"/>
        <v>1</v>
      </c>
      <c r="X256">
        <f>IF(A256+Forudsætninger!$D$60&gt;248,IF(A256+Forudsætninger!$D$60&lt;365,IF(K256&gt;180,IF(K256&lt;260,1,0),0),0),0)</f>
        <v>1</v>
      </c>
      <c r="Y256" s="22">
        <f>IF(X256=0,0,IF('Vækstfunktion, kry tyr'!A256&lt;Forudsætninger!$D$66,Forudsætninger!$D$67+(('Vækstfunktion, kry tyr'!A256-Forudsætninger!$D$66)/7)*Forudsætninger!$D$64,Forudsætninger!$D$67))</f>
        <v>0.97657142857142853</v>
      </c>
      <c r="Z256" s="19">
        <f t="shared" si="100"/>
        <v>4186.6652054713732</v>
      </c>
      <c r="AA256" s="19">
        <f>Forudsætninger!$D$62+Forudsætninger!$C$16</f>
        <v>2055</v>
      </c>
      <c r="AB256" s="19">
        <f>IF(K256&gt;Forudsætninger!$C$37,IF(K256&gt;Forudsætninger!$C$38,IF(K256&gt;Forudsætninger!$C$39,Forudsætninger!$E$39,Forudsætninger!$E$38+Forudsætninger!$F$39*(K256-Forudsætninger!$C$38)),Forudsætninger!$E$37+Forudsætninger!$F$38*(K256-Forudsætninger!$C$37)),Forudsætninger!$E$37)+IF(K256&gt;Forudsætninger!$C$39,Forudsætninger!$G$39,IF(K256&gt;Forudsætninger!$C$38,Forudsætninger!$G$38+Forudsætninger!$H$39*(K256-Forudsætninger!$C$38),IF(K256&gt;Forudsætninger!$C$37,Forudsætninger!$G$37+Forudsætninger!$H$38*(K256-Forudsætninger!$C$37),Forudsætninger!$G$37)))*(U256-Forudsætninger!$H$37)</f>
        <v>36.71704390006667</v>
      </c>
      <c r="AC256" s="19">
        <f>IF(K256&gt;Forudsætninger!$C$42,IF(K256&gt;Forudsætninger!$C$43,IF(K256&gt;Forudsætninger!$C$44,Forudsætninger!$E$44,Forudsætninger!$E$43+Forudsætninger!$F$44*(K256-Forudsætninger!$C$43)),Forudsætninger!$E$42+Forudsætninger!$F$43*(K256-Forudsætninger!$C$42)),Forudsætninger!$E$42)+IF(K256&gt;Forudsætninger!$C$44,Forudsætninger!$G$44,IF(K256&gt;Forudsætninger!$C$43,Forudsætninger!$G$43+Forudsætninger!$H$44*(K256-Forudsætninger!$C$43),IF(K256&gt;Forudsætninger!$C$42,Forudsætninger!$G$42+Forudsætninger!$H$43*(K256-Forudsætninger!$C$42),Forudsætninger!$G$42)))*(V256-Forudsætninger!$H$42)</f>
        <v>31.087563769152233</v>
      </c>
      <c r="AD256" s="19">
        <f t="shared" si="87"/>
        <v>8225.7925723715107</v>
      </c>
      <c r="AE256" s="19">
        <f t="shared" si="88"/>
        <v>36.585153222713814</v>
      </c>
      <c r="AF256">
        <f>IF(G256&lt;=Forudsætninger!$C$97,Forudsætninger!$C$98,(IF(G256&lt;=Forudsætninger!$D$97,Forudsætninger!$D$98,IF(G256&lt;=Forudsætninger!$E$97,Forudsætninger!$E$98,IF(G256&lt;=Forudsætninger!$F$97,Forudsætninger!$F$98,IF(G256&lt;=Forudsætninger!$G$97,Forudsætninger!$G$98,IF(G256&lt;=Forudsætninger!$H$97,Forudsætninger!$H$98,IF(G256&lt;=Forudsætninger!$I$97,Forudsætninger!$I$98,Forudsætninger!$I$98))))))))</f>
        <v>4.4000000000000004</v>
      </c>
      <c r="AG256" s="1">
        <f t="shared" si="97"/>
        <v>4.4000000000000004</v>
      </c>
      <c r="AH256" s="1">
        <f t="shared" si="101"/>
        <v>801.799999999997</v>
      </c>
      <c r="AI256" s="1">
        <f t="shared" si="89"/>
        <v>3.156692913385815</v>
      </c>
      <c r="AJ256" s="20">
        <f>+(W256*Forudsætninger!$C$12)</f>
        <v>900</v>
      </c>
      <c r="AK256" s="20">
        <f>Forudsætninger!$C$17</f>
        <v>250</v>
      </c>
      <c r="AL256" s="20">
        <f>IF(A256&lt;92,Forudsætninger!$C$20,Forudsætninger!$C$21)</f>
        <v>1.0566762728146013</v>
      </c>
      <c r="AM256" s="20">
        <f t="shared" si="98"/>
        <v>536.90125614820045</v>
      </c>
      <c r="AN256" s="19">
        <f>IFERROR(AD256+AJ256-AA256-Z256-AK256-AM256-Forudsætninger!$D$75,-99999)</f>
        <v>1879.3341370509768</v>
      </c>
      <c r="AO256" s="57">
        <f>IFERROR(AN256/(A256+Forudsætninger!$D$74),-99999)</f>
        <v>7.3989532954762867</v>
      </c>
      <c r="AP256" s="19">
        <f>IFERROR(((365/(A256+Forudsætninger!$D$74))*AN256)/(AI256+Forudsætninger!$D$73),-99999)</f>
        <v>826.71313908406114</v>
      </c>
      <c r="AQ256" s="18">
        <f t="shared" si="102"/>
        <v>254</v>
      </c>
      <c r="AR256" s="18">
        <f t="shared" si="103"/>
        <v>7028.5664616195736</v>
      </c>
      <c r="AS256" s="50">
        <f t="shared" si="104"/>
        <v>9.5</v>
      </c>
      <c r="AT256" s="50">
        <f t="shared" si="105"/>
        <v>12.795400304305531</v>
      </c>
      <c r="AU256" s="50">
        <f t="shared" si="106"/>
        <v>2.1329830074424017E-2</v>
      </c>
      <c r="AV256" s="2">
        <f t="shared" si="107"/>
        <v>1.1413119418855331</v>
      </c>
      <c r="AW256" s="16">
        <f t="shared" si="99"/>
        <v>9.5127377685006991</v>
      </c>
      <c r="AZ256" s="16"/>
      <c r="BA256" s="2"/>
    </row>
    <row r="257" spans="1:58" x14ac:dyDescent="0.25">
      <c r="A257">
        <v>255</v>
      </c>
      <c r="B257" s="1">
        <f>ROUND((A257+Forudsætninger!$D$60)/30.4,1)</f>
        <v>9.5</v>
      </c>
      <c r="C257" s="1">
        <f>VLOOKUP((A257+Forudsætninger!$D$60),'Model tilvækst, slagteform, fe'!A:C,3,FALSE)</f>
        <v>488.43504259292092</v>
      </c>
      <c r="D257" s="3">
        <f t="shared" si="108"/>
        <v>1466.6198063116553</v>
      </c>
      <c r="E257" s="3">
        <f>(1+Forudsætninger!$D$78)*C257</f>
        <v>410.28543577805357</v>
      </c>
      <c r="F257" s="2">
        <f t="shared" si="90"/>
        <v>0</v>
      </c>
      <c r="G257" s="1">
        <f t="shared" si="83"/>
        <v>410.28543577805357</v>
      </c>
      <c r="H257" s="3">
        <f t="shared" si="91"/>
        <v>1231.9606373018246</v>
      </c>
      <c r="I257" s="3">
        <f t="shared" si="92"/>
        <v>1326.6095520707984</v>
      </c>
      <c r="J257" s="1">
        <f>VLOOKUP((A257+Forudsætninger!$D$60),'Model tilvækst, slagteform, fe'!G:K,3,FALSE)*(1+Forudsætninger!$D$79)</f>
        <v>54.972726878476955</v>
      </c>
      <c r="K257" s="17">
        <f t="shared" si="84"/>
        <v>225.54509203243833</v>
      </c>
      <c r="L257" s="17">
        <f t="shared" si="93"/>
        <v>705.45497265570134</v>
      </c>
      <c r="M257" s="3">
        <f>((K257-(('Model tilvækst, slagteform, fe'!$I$9/100)*'Model tilvækst, slagteform, fe'!$C$9))*1000/(A257+Forudsætninger!$D$60))</f>
        <v>705.28210752965049</v>
      </c>
      <c r="N257" s="17">
        <f t="shared" si="94"/>
        <v>1415.4115517814505</v>
      </c>
      <c r="O257" s="19">
        <f>IF( A257&lt;Forudsætninger!$C$14,(G257/100)*Forudsætninger!$C$13,(Forudsætninger!$C$15/1000)*Forudsætninger!$C$13)</f>
        <v>2.6668553325573483</v>
      </c>
      <c r="P257" s="17" cm="1">
        <f t="array" ref="P257">INDEX('Model tilvækst, slagteform, fe'!$O$9:$O$375,MATCH(MIN(ABS('Model tilvækst, slagteform, fe'!$M$9:$M$375-G257)),ABS('Model tilvækst, slagteform, fe'!$M$9:$M$375-G257),0))*(1+Forudsætninger!$D$80)</f>
        <v>7.6839816591128036</v>
      </c>
      <c r="Q257" s="17">
        <f t="shared" si="95"/>
        <v>10.892235446560507</v>
      </c>
      <c r="R257" s="17">
        <f t="shared" si="96"/>
        <v>7.4266514368610181</v>
      </c>
      <c r="S257" s="2">
        <f t="shared" si="85"/>
        <v>4.1840747548767983</v>
      </c>
      <c r="T257" s="19">
        <f>(P257)*IF(N257&lt;Forudsætninger!$B$228,IF(N257&lt;Forudsætninger!$B$227,Forudsætninger!$B$225,Forudsætninger!$C$9),Forudsætninger!$C$11)+O257</f>
        <v>20.647372414881307</v>
      </c>
      <c r="U257" s="2">
        <f>Forudsætninger!$D$68+((K257-(Forudsætninger!$D$84)))*0.01</f>
        <v>7.395061601684036</v>
      </c>
      <c r="V257" s="2">
        <f>U257+Forudsætninger!$D$69</f>
        <v>7.395061601684036</v>
      </c>
      <c r="W257">
        <f t="shared" si="86"/>
        <v>1</v>
      </c>
      <c r="X257">
        <f>IF(A257+Forudsætninger!$D$60&gt;248,IF(A257+Forudsætninger!$D$60&lt;365,IF(K257&gt;180,IF(K257&lt;260,1,0),0),0),0)</f>
        <v>1</v>
      </c>
      <c r="Y257" s="22">
        <f>IF(X257=0,0,IF('Vækstfunktion, kry tyr'!A257&lt;Forudsætninger!$D$66,Forudsætninger!$D$67+(('Vækstfunktion, kry tyr'!A257-Forudsætninger!$D$66)/7)*Forudsætninger!$D$64,Forudsætninger!$D$67))</f>
        <v>0.98</v>
      </c>
      <c r="Z257" s="19">
        <f t="shared" si="100"/>
        <v>4207.3125778862541</v>
      </c>
      <c r="AA257" s="19">
        <f>Forudsætninger!$D$62+Forudsætninger!$C$16</f>
        <v>2055</v>
      </c>
      <c r="AB257" s="19">
        <f>IF(K257&gt;Forudsætninger!$C$37,IF(K257&gt;Forudsætninger!$C$38,IF(K257&gt;Forudsætninger!$C$39,Forudsætninger!$E$39,Forudsætninger!$E$38+Forudsætninger!$F$39*(K257-Forudsætninger!$C$38)),Forudsætninger!$E$37+Forudsætninger!$F$38*(K257-Forudsætninger!$C$37)),Forudsætninger!$E$37)+IF(K257&gt;Forudsætninger!$C$39,Forudsætninger!$G$39,IF(K257&gt;Forudsætninger!$C$38,Forudsætninger!$G$38+Forudsætninger!$H$39*(K257-Forudsætninger!$C$38),IF(K257&gt;Forudsætninger!$C$37,Forudsætninger!$G$37+Forudsætninger!$H$38*(K257-Forudsætninger!$C$37),Forudsætninger!$G$37)))*(U257-Forudsætninger!$H$37)</f>
        <v>36.730976635776628</v>
      </c>
      <c r="AC257" s="19">
        <f>IF(K257&gt;Forudsætninger!$C$42,IF(K257&gt;Forudsætninger!$C$43,IF(K257&gt;Forudsætninger!$C$44,Forudsætninger!$E$44,Forudsætninger!$E$43+Forudsætninger!$F$44*(K257-Forudsætninger!$C$43)),Forudsætninger!$E$42+Forudsætninger!$F$43*(K257-Forudsætninger!$C$42)),Forudsætninger!$E$42)+IF(K257&gt;Forudsætninger!$C$44,Forudsætninger!$G$44,IF(K257&gt;Forudsætninger!$C$43,Forudsætninger!$G$43+Forudsætninger!$H$44*(K257-Forudsætninger!$C$43),IF(K257&gt;Forudsætninger!$C$42,Forudsætninger!$G$42+Forudsætninger!$H$43*(K257-Forudsætninger!$C$42),Forudsætninger!$G$42)))*(V257-Forudsætninger!$H$42)</f>
        <v>31.105724152523656</v>
      </c>
      <c r="AD257" s="19">
        <f t="shared" si="87"/>
        <v>8259.116543976761</v>
      </c>
      <c r="AE257" s="19">
        <f t="shared" si="88"/>
        <v>36.618471586111568</v>
      </c>
      <c r="AF257">
        <f>IF(G257&lt;=Forudsætninger!$C$97,Forudsætninger!$C$98,(IF(G257&lt;=Forudsætninger!$D$97,Forudsætninger!$D$98,IF(G257&lt;=Forudsætninger!$E$97,Forudsætninger!$E$98,IF(G257&lt;=Forudsætninger!$F$97,Forudsætninger!$F$98,IF(G257&lt;=Forudsætninger!$G$97,Forudsætninger!$G$98,IF(G257&lt;=Forudsætninger!$H$97,Forudsætninger!$H$98,IF(G257&lt;=Forudsætninger!$I$97,Forudsætninger!$I$98,Forudsætninger!$I$98))))))))</f>
        <v>4.4000000000000004</v>
      </c>
      <c r="AG257" s="1">
        <f t="shared" si="97"/>
        <v>4.4000000000000004</v>
      </c>
      <c r="AH257" s="1">
        <f t="shared" si="101"/>
        <v>806.19999999999698</v>
      </c>
      <c r="AI257" s="1">
        <f t="shared" si="89"/>
        <v>3.1615686274509684</v>
      </c>
      <c r="AJ257" s="20">
        <f>+(W257*Forudsætninger!$C$12)</f>
        <v>900</v>
      </c>
      <c r="AK257" s="20">
        <f>Forudsætninger!$C$17</f>
        <v>250</v>
      </c>
      <c r="AL257" s="20">
        <f>IF(A257&lt;92,Forudsætninger!$C$20,Forudsætninger!$C$21)</f>
        <v>1.0566762728146013</v>
      </c>
      <c r="AM257" s="20">
        <f t="shared" si="98"/>
        <v>537.95793242101502</v>
      </c>
      <c r="AN257" s="19">
        <f>IFERROR(AD257+AJ257-AA257-Z257-AK257-AM257-Forudsætninger!$D$75,-99999)</f>
        <v>1890.9540599685317</v>
      </c>
      <c r="AO257" s="57">
        <f>IFERROR(AN257/(A257+Forudsætninger!$D$74),-99999)</f>
        <v>7.4155061175236536</v>
      </c>
      <c r="AP257" s="19">
        <f>IFERROR(((365/(A257+Forudsætninger!$D$74))*AN257)/(AI257+Forudsætninger!$D$73),-99999)</f>
        <v>827.32781766678659</v>
      </c>
      <c r="AQ257" s="18">
        <f t="shared" si="102"/>
        <v>255</v>
      </c>
      <c r="AR257" s="18">
        <f t="shared" si="103"/>
        <v>7050.2705103072694</v>
      </c>
      <c r="AS257" s="50">
        <f t="shared" si="104"/>
        <v>9.5</v>
      </c>
      <c r="AT257" s="50">
        <f t="shared" si="105"/>
        <v>11.619922917554959</v>
      </c>
      <c r="AU257" s="50">
        <f t="shared" si="106"/>
        <v>1.6552822047366966E-2</v>
      </c>
      <c r="AV257" s="2">
        <f t="shared" si="107"/>
        <v>0.61467858272544618</v>
      </c>
      <c r="AW257" s="16">
        <f t="shared" si="99"/>
        <v>9.525145068194302</v>
      </c>
      <c r="AZ257" s="16"/>
      <c r="BA257" s="2"/>
    </row>
    <row r="258" spans="1:58" x14ac:dyDescent="0.25">
      <c r="A258">
        <v>256</v>
      </c>
      <c r="B258" s="1">
        <f>ROUND((A258+Forudsætninger!$D$60)/30.4,1)</f>
        <v>9.5</v>
      </c>
      <c r="C258" s="1">
        <f>VLOOKUP((A258+Forudsætninger!$D$60),'Model tilvækst, slagteform, fe'!A:C,3,FALSE)</f>
        <v>489.89695485271949</v>
      </c>
      <c r="D258" s="3">
        <f t="shared" si="108"/>
        <v>1461.9122597985665</v>
      </c>
      <c r="E258" s="3">
        <f>(1+Forudsætninger!$D$78)*C258</f>
        <v>411.51344207628438</v>
      </c>
      <c r="F258" s="2">
        <f t="shared" si="90"/>
        <v>0</v>
      </c>
      <c r="G258" s="1">
        <f t="shared" si="83"/>
        <v>411.51344207628438</v>
      </c>
      <c r="H258" s="3">
        <f t="shared" si="91"/>
        <v>1228.0062982308095</v>
      </c>
      <c r="I258" s="3">
        <f t="shared" si="92"/>
        <v>1326.2243831104859</v>
      </c>
      <c r="J258" s="1">
        <f>VLOOKUP((A258+Forudsætninger!$D$60),'Model tilvækst, slagteform, fe'!G:K,3,FALSE)*(1+Forudsætninger!$D$79)</f>
        <v>54.979558574583862</v>
      </c>
      <c r="K258" s="17">
        <f t="shared" si="84"/>
        <v>226.24827392861701</v>
      </c>
      <c r="L258" s="17">
        <f t="shared" si="93"/>
        <v>703.18189617867688</v>
      </c>
      <c r="M258" s="3">
        <f>((K258-(('Model tilvækst, slagteform, fe'!$I$9/100)*'Model tilvækst, slagteform, fe'!$C$9))*1000/(A258+Forudsætninger!$D$60))</f>
        <v>705.27486542154384</v>
      </c>
      <c r="N258" s="17">
        <f t="shared" si="94"/>
        <v>1423.1089112330196</v>
      </c>
      <c r="O258" s="19">
        <f>IF( A258&lt;Forudsætninger!$C$14,(G258/100)*Forudsætninger!$C$13,(Forudsætninger!$C$15/1000)*Forudsætninger!$C$13)</f>
        <v>2.6748373734958486</v>
      </c>
      <c r="P258" s="17" cm="1">
        <f t="array" ref="P258">INDEX('Model tilvækst, slagteform, fe'!$O$9:$O$375,MATCH(MIN(ABS('Model tilvækst, slagteform, fe'!$M$9:$M$375-G258)),ABS('Model tilvækst, slagteform, fe'!$M$9:$M$375-G258),0))*(1+Forudsætninger!$D$80)</f>
        <v>7.697359451569052</v>
      </c>
      <c r="Q258" s="17">
        <f t="shared" si="95"/>
        <v>10.946469886951087</v>
      </c>
      <c r="R258" s="17">
        <f t="shared" si="96"/>
        <v>7.439590380781735</v>
      </c>
      <c r="S258" s="2">
        <f t="shared" si="85"/>
        <v>4.1916128637795289</v>
      </c>
      <c r="T258" s="19">
        <f>(P258)*IF(N258&lt;Forudsætninger!$B$228,IF(N258&lt;Forudsætninger!$B$227,Forudsætninger!$B$225,Forudsætninger!$C$9),Forudsætninger!$C$11)+O258</f>
        <v>20.686658490167428</v>
      </c>
      <c r="U258" s="2">
        <f>Forudsætninger!$D$68+((K258-(Forudsætninger!$D$84)))*0.01</f>
        <v>7.4020934206458229</v>
      </c>
      <c r="V258" s="2">
        <f>U258+Forudsætninger!$D$69</f>
        <v>7.4020934206458229</v>
      </c>
      <c r="W258">
        <f t="shared" si="86"/>
        <v>1</v>
      </c>
      <c r="X258">
        <f>IF(A258+Forudsætninger!$D$60&gt;248,IF(A258+Forudsætninger!$D$60&lt;365,IF(K258&gt;180,IF(K258&lt;260,1,0),0),0),0)</f>
        <v>1</v>
      </c>
      <c r="Y258" s="22">
        <f>IF(X258=0,0,IF('Vækstfunktion, kry tyr'!A258&lt;Forudsætninger!$D$66,Forudsætninger!$D$67+(('Vækstfunktion, kry tyr'!A258-Forudsætninger!$D$66)/7)*Forudsætninger!$D$64,Forudsætninger!$D$67))</f>
        <v>0.98</v>
      </c>
      <c r="Z258" s="19">
        <f t="shared" si="100"/>
        <v>4227.9992363764213</v>
      </c>
      <c r="AA258" s="19">
        <f>Forudsætninger!$D$62+Forudsætninger!$C$16</f>
        <v>2055</v>
      </c>
      <c r="AB258" s="19">
        <f>IF(K258&gt;Forudsætninger!$C$37,IF(K258&gt;Forudsætninger!$C$38,IF(K258&gt;Forudsætninger!$C$39,Forudsætninger!$E$39,Forudsætninger!$E$38+Forudsætninger!$F$39*(K258-Forudsætninger!$C$38)),Forudsætninger!$E$37+Forudsætninger!$F$38*(K258-Forudsætninger!$C$37)),Forudsætninger!$E$37)+IF(K258&gt;Forudsætninger!$C$39,Forudsætninger!$G$39,IF(K258&gt;Forudsætninger!$C$38,Forudsætninger!$G$38+Forudsætninger!$H$39*(K258-Forudsætninger!$C$38),IF(K258&gt;Forudsætninger!$C$37,Forudsætninger!$G$37+Forudsætninger!$H$38*(K258-Forudsætninger!$C$37),Forudsætninger!$G$37)))*(U258-Forudsætninger!$H$37)</f>
        <v>36.744864478226155</v>
      </c>
      <c r="AC258" s="19">
        <f>IF(K258&gt;Forudsætninger!$C$42,IF(K258&gt;Forudsætninger!$C$43,IF(K258&gt;Forudsætninger!$C$44,Forudsætninger!$E$44,Forudsætninger!$E$43+Forudsætninger!$F$44*(K258-Forudsætninger!$C$43)),Forudsætninger!$E$42+Forudsætninger!$F$43*(K258-Forudsætninger!$C$42)),Forudsætninger!$E$42)+IF(K258&gt;Forudsætninger!$C$44,Forudsætninger!$G$44,IF(K258&gt;Forudsætninger!$C$43,Forudsætninger!$G$43+Forudsætninger!$H$44*(K258-Forudsætninger!$C$43),IF(K258&gt;Forudsætninger!$C$42,Forudsætninger!$G$42+Forudsætninger!$H$43*(K258-Forudsætninger!$C$42),Forudsætninger!$G$42)))*(V258-Forudsætninger!$H$42)</f>
        <v>31.123805384552444</v>
      </c>
      <c r="AD258" s="19">
        <f t="shared" si="87"/>
        <v>8288.0270655877321</v>
      </c>
      <c r="AE258" s="19">
        <f t="shared" si="88"/>
        <v>36.632443296352683</v>
      </c>
      <c r="AF258">
        <f>IF(G258&lt;=Forudsætninger!$C$97,Forudsætninger!$C$98,(IF(G258&lt;=Forudsætninger!$D$97,Forudsætninger!$D$98,IF(G258&lt;=Forudsætninger!$E$97,Forudsætninger!$E$98,IF(G258&lt;=Forudsætninger!$F$97,Forudsætninger!$F$98,IF(G258&lt;=Forudsætninger!$G$97,Forudsætninger!$G$98,IF(G258&lt;=Forudsætninger!$H$97,Forudsætninger!$H$98,IF(G258&lt;=Forudsætninger!$I$97,Forudsætninger!$I$98,Forudsætninger!$I$98))))))))</f>
        <v>4.4000000000000004</v>
      </c>
      <c r="AG258" s="1">
        <f t="shared" si="97"/>
        <v>4.4000000000000004</v>
      </c>
      <c r="AH258" s="1">
        <f t="shared" si="101"/>
        <v>810.59999999999695</v>
      </c>
      <c r="AI258" s="1">
        <f t="shared" si="89"/>
        <v>3.1664062499999881</v>
      </c>
      <c r="AJ258" s="20">
        <f>+(W258*Forudsætninger!$C$12)</f>
        <v>900</v>
      </c>
      <c r="AK258" s="20">
        <f>Forudsætninger!$C$17</f>
        <v>250</v>
      </c>
      <c r="AL258" s="20">
        <f>IF(A258&lt;92,Forudsætninger!$C$20,Forudsætninger!$C$21)</f>
        <v>1.0566762728146013</v>
      </c>
      <c r="AM258" s="20">
        <f t="shared" si="98"/>
        <v>539.01460869382959</v>
      </c>
      <c r="AN258" s="19">
        <f>IFERROR(AD258+AJ258-AA258-Z258-AK258-AM258-Forudsætninger!$D$75,-99999)</f>
        <v>1898.1212468165211</v>
      </c>
      <c r="AO258" s="57">
        <f>IFERROR(AN258/(A258+Forudsætninger!$D$74),-99999)</f>
        <v>7.4145361203770355</v>
      </c>
      <c r="AP258" s="19">
        <f>IFERROR(((365/(A258+Forudsætninger!$D$74))*AN258)/(AI258+Forudsætninger!$D$73),-99999)</f>
        <v>825.99820578953791</v>
      </c>
      <c r="AQ258" s="18">
        <f t="shared" si="102"/>
        <v>256</v>
      </c>
      <c r="AR258" s="18">
        <f t="shared" si="103"/>
        <v>7072.0138450702507</v>
      </c>
      <c r="AS258" s="50">
        <f t="shared" si="104"/>
        <v>9.5</v>
      </c>
      <c r="AT258" s="50">
        <f t="shared" si="105"/>
        <v>7.1671868479893419</v>
      </c>
      <c r="AU258" s="50">
        <f t="shared" si="106"/>
        <v>-9.6999714661816228E-4</v>
      </c>
      <c r="AV258" s="2">
        <f t="shared" si="107"/>
        <v>-1.3296118772486807</v>
      </c>
      <c r="AW258" s="16">
        <f t="shared" si="99"/>
        <v>9.5200619355873073</v>
      </c>
      <c r="AZ258" s="16"/>
      <c r="BA258" s="2"/>
    </row>
    <row r="259" spans="1:58" x14ac:dyDescent="0.25">
      <c r="A259">
        <v>257</v>
      </c>
      <c r="B259" s="1">
        <f>ROUND((A259+Forudsætninger!$D$60)/30.4,1)</f>
        <v>9.6</v>
      </c>
      <c r="C259" s="1">
        <f>VLOOKUP((A259+Forudsætninger!$D$60),'Model tilvækst, slagteform, fe'!A:C,3,FALSE)</f>
        <v>491.35416060731598</v>
      </c>
      <c r="D259" s="3">
        <f t="shared" si="108"/>
        <v>1457.2057545964867</v>
      </c>
      <c r="E259" s="3">
        <f>(1+Forudsætninger!$D$78)*C259</f>
        <v>412.73749491014541</v>
      </c>
      <c r="F259" s="2">
        <f t="shared" si="90"/>
        <v>0</v>
      </c>
      <c r="G259" s="1">
        <f t="shared" ref="G259:G322" si="109">E259+F259</f>
        <v>412.73749491014541</v>
      </c>
      <c r="H259" s="3">
        <f t="shared" si="91"/>
        <v>1224.0528338610375</v>
      </c>
      <c r="I259" s="3">
        <f t="shared" si="92"/>
        <v>1325.8268284441456</v>
      </c>
      <c r="J259" s="1">
        <f>VLOOKUP((A259+Forudsætninger!$D$60),'Model tilvækst, slagteform, fe'!G:K,3,FALSE)*(1+Forudsætninger!$D$79)</f>
        <v>54.986333459935018</v>
      </c>
      <c r="K259" s="17">
        <f t="shared" ref="K259:K322" si="110">G259*(J259/100)</f>
        <v>226.94921526547489</v>
      </c>
      <c r="L259" s="17">
        <f t="shared" si="93"/>
        <v>700.94133685788051</v>
      </c>
      <c r="M259" s="3">
        <f>((K259-(('Model tilvækst, slagteform, fe'!$I$9/100)*'Model tilvækst, slagteform, fe'!$C$9))*1000/(A259+Forudsætninger!$D$60))</f>
        <v>705.25997357080951</v>
      </c>
      <c r="N259" s="17">
        <f t="shared" si="94"/>
        <v>1430.819772898175</v>
      </c>
      <c r="O259" s="19">
        <f>IF( A259&lt;Forudsætninger!$C$14,(G259/100)*Forudsætninger!$C$13,(Forudsætninger!$C$15/1000)*Forudsætninger!$C$13)</f>
        <v>2.682793716915945</v>
      </c>
      <c r="P259" s="17" cm="1">
        <f t="array" ref="P259">INDEX('Model tilvækst, slagteform, fe'!$O$9:$O$375,MATCH(MIN(ABS('Model tilvækst, slagteform, fe'!$M$9:$M$375-G259)),ABS('Model tilvækst, slagteform, fe'!$M$9:$M$375-G259),0))*(1+Forudsætninger!$D$80)</f>
        <v>7.7108616651553614</v>
      </c>
      <c r="Q259" s="17">
        <f t="shared" si="95"/>
        <v>11.000723255559372</v>
      </c>
      <c r="R259" s="17">
        <f t="shared" si="96"/>
        <v>7.4525918446949921</v>
      </c>
      <c r="S259" s="2">
        <f t="shared" ref="S259:S322" si="111">N259/(G259-$G$2)</f>
        <v>4.1991849863059274</v>
      </c>
      <c r="T259" s="19">
        <f>(P259)*IF(N259&lt;Forudsætninger!$B$228,IF(N259&lt;Forudsætninger!$B$227,Forudsætninger!$B$225,Forudsætninger!$C$9),Forudsætninger!$C$11)+O259</f>
        <v>20.72621001337949</v>
      </c>
      <c r="U259" s="2">
        <f>Forudsætninger!$D$68+((K259-(Forudsætninger!$D$84)))*0.01</f>
        <v>7.4091028340144014</v>
      </c>
      <c r="V259" s="2">
        <f>U259+Forudsætninger!$D$69</f>
        <v>7.4091028340144014</v>
      </c>
      <c r="W259">
        <f t="shared" ref="W259:W322" si="112">IF(K259&gt;130,1,0)</f>
        <v>1</v>
      </c>
      <c r="X259">
        <f>IF(A259+Forudsætninger!$D$60&gt;248,IF(A259+Forudsætninger!$D$60&lt;365,IF(K259&gt;180,IF(K259&lt;260,1,0),0),0),0)</f>
        <v>1</v>
      </c>
      <c r="Y259" s="22">
        <f>IF(X259=0,0,IF('Vækstfunktion, kry tyr'!A259&lt;Forudsætninger!$D$66,Forudsætninger!$D$67+(('Vækstfunktion, kry tyr'!A259-Forudsætninger!$D$66)/7)*Forudsætninger!$D$64,Forudsætninger!$D$67))</f>
        <v>0.98</v>
      </c>
      <c r="Z259" s="19">
        <f t="shared" si="100"/>
        <v>4248.7254463898007</v>
      </c>
      <c r="AA259" s="19">
        <f>Forudsætninger!$D$62+Forudsætninger!$C$16</f>
        <v>2055</v>
      </c>
      <c r="AB259" s="19">
        <f>IF(K259&gt;Forudsætninger!$C$37,IF(K259&gt;Forudsætninger!$C$38,IF(K259&gt;Forudsætninger!$C$39,Forudsætninger!$E$39,Forudsætninger!$E$38+Forudsætninger!$F$39*(K259-Forudsætninger!$C$38)),Forudsætninger!$E$37+Forudsætninger!$F$38*(K259-Forudsætninger!$C$37)),Forudsætninger!$E$37)+IF(K259&gt;Forudsætninger!$C$39,Forudsætninger!$G$39,IF(K259&gt;Forudsætninger!$C$38,Forudsætninger!$G$38+Forudsætninger!$H$39*(K259-Forudsætninger!$C$38),IF(K259&gt;Forudsætninger!$C$37,Forudsætninger!$G$37+Forudsætninger!$H$38*(K259-Forudsætninger!$C$37),Forudsætninger!$G$37)))*(U259-Forudsætninger!$H$37)</f>
        <v>36.758708069629101</v>
      </c>
      <c r="AC259" s="19">
        <f>IF(K259&gt;Forudsætninger!$C$42,IF(K259&gt;Forudsætninger!$C$43,IF(K259&gt;Forudsætninger!$C$44,Forudsætninger!$E$44,Forudsætninger!$E$43+Forudsætninger!$F$44*(K259-Forudsætninger!$C$43)),Forudsætninger!$E$42+Forudsætninger!$F$43*(K259-Forudsætninger!$C$42)),Forudsætninger!$E$42)+IF(K259&gt;Forudsætninger!$C$44,Forudsætninger!$G$44,IF(K259&gt;Forudsætninger!$C$43,Forudsætninger!$G$43+Forudsætninger!$H$44*(K259-Forudsætninger!$C$43),IF(K259&gt;Forudsætninger!$C$42,Forudsætninger!$G$42+Forudsætninger!$H$43*(K259-Forudsætninger!$C$42),Forudsætninger!$G$42)))*(V259-Forudsætninger!$H$42)</f>
        <v>31.141808499739085</v>
      </c>
      <c r="AD259" s="19">
        <f t="shared" ref="AD259:AD322" si="113">(K259*(Y259*AB259+((1-Y259)*AC259)))</f>
        <v>8316.8649315827734</v>
      </c>
      <c r="AE259" s="19">
        <f t="shared" ref="AE259:AE322" si="114">AD259/K259</f>
        <v>36.6463700782313</v>
      </c>
      <c r="AF259">
        <f>IF(G259&lt;=Forudsætninger!$C$97,Forudsætninger!$C$98,(IF(G259&lt;=Forudsætninger!$D$97,Forudsætninger!$D$98,IF(G259&lt;=Forudsætninger!$E$97,Forudsætninger!$E$98,IF(G259&lt;=Forudsætninger!$F$97,Forudsætninger!$F$98,IF(G259&lt;=Forudsætninger!$G$97,Forudsætninger!$G$98,IF(G259&lt;=Forudsætninger!$H$97,Forudsætninger!$H$98,IF(G259&lt;=Forudsætninger!$I$97,Forudsætninger!$I$98,Forudsætninger!$I$98))))))))</f>
        <v>4.4000000000000004</v>
      </c>
      <c r="AG259" s="1">
        <f t="shared" si="97"/>
        <v>4.4000000000000004</v>
      </c>
      <c r="AH259" s="1">
        <f t="shared" si="101"/>
        <v>814.99999999999693</v>
      </c>
      <c r="AI259" s="1">
        <f t="shared" ref="AI259:AI322" si="115">AH259/A259</f>
        <v>3.1712062256809217</v>
      </c>
      <c r="AJ259" s="20">
        <f>+(W259*Forudsætninger!$C$12)</f>
        <v>900</v>
      </c>
      <c r="AK259" s="20">
        <f>Forudsætninger!$C$17</f>
        <v>250</v>
      </c>
      <c r="AL259" s="20">
        <f>IF(A259&lt;92,Forudsætninger!$C$20,Forudsætninger!$C$21)</f>
        <v>1.0566762728146013</v>
      </c>
      <c r="AM259" s="20">
        <f t="shared" si="98"/>
        <v>540.07128496664416</v>
      </c>
      <c r="AN259" s="19">
        <f>IFERROR(AD259+AJ259-AA259-Z259-AK259-AM259-Forudsætninger!$D$75,-99999)</f>
        <v>1905.1762265253681</v>
      </c>
      <c r="AO259" s="57">
        <f>IFERROR(AN259/(A259+Forudsætninger!$D$74),-99999)</f>
        <v>7.4131370681920936</v>
      </c>
      <c r="AP259" s="19">
        <f>IFERROR(((365/(A259+Forudsætninger!$D$74))*AN259)/(AI259+Forudsætninger!$D$73),-99999)</f>
        <v>824.63424843971916</v>
      </c>
      <c r="AQ259" s="18">
        <f t="shared" si="102"/>
        <v>257</v>
      </c>
      <c r="AR259" s="18">
        <f t="shared" si="103"/>
        <v>7093.796731356445</v>
      </c>
      <c r="AS259" s="50">
        <f t="shared" si="104"/>
        <v>9.6</v>
      </c>
      <c r="AT259" s="50">
        <f t="shared" si="105"/>
        <v>7.0549797088469859</v>
      </c>
      <c r="AU259" s="50">
        <f t="shared" si="106"/>
        <v>-1.3990521849418514E-3</v>
      </c>
      <c r="AV259" s="2">
        <f t="shared" si="107"/>
        <v>-1.3639573498187474</v>
      </c>
      <c r="AW259" s="16">
        <f t="shared" si="99"/>
        <v>9.5145817567782576</v>
      </c>
      <c r="AZ259" s="16"/>
      <c r="BA259" s="2"/>
    </row>
    <row r="260" spans="1:58" x14ac:dyDescent="0.25">
      <c r="A260">
        <v>258</v>
      </c>
      <c r="B260" s="1">
        <f>ROUND((A260+Forudsætninger!$D$60)/30.4,1)</f>
        <v>9.6</v>
      </c>
      <c r="C260" s="1">
        <f>VLOOKUP((A260+Forudsætninger!$D$60),'Model tilvækst, slagteform, fe'!A:C,3,FALSE)</f>
        <v>492.806661518959</v>
      </c>
      <c r="D260" s="3">
        <f t="shared" si="108"/>
        <v>1452.5009116430283</v>
      </c>
      <c r="E260" s="3">
        <f>(1+Forudsætninger!$D$78)*C260</f>
        <v>413.95759567592557</v>
      </c>
      <c r="F260" s="2">
        <f t="shared" ref="F260:F323" si="116">MAX(F259-((D260/1000)/15),0)</f>
        <v>0</v>
      </c>
      <c r="G260" s="1">
        <f t="shared" si="109"/>
        <v>413.95759567592557</v>
      </c>
      <c r="H260" s="3">
        <f t="shared" ref="H260:H323" si="117">(G260-G259)*1000</f>
        <v>1220.1007657801597</v>
      </c>
      <c r="I260" s="3">
        <f t="shared" ref="I260:I323" si="118">(G260-$G$2)*1000/A260</f>
        <v>1325.4170375035874</v>
      </c>
      <c r="J260" s="1">
        <f>VLOOKUP((A260+Forudsætninger!$D$60),'Model tilvækst, slagteform, fe'!G:K,3,FALSE)*(1+Forudsætninger!$D$79)</f>
        <v>54.993060076092057</v>
      </c>
      <c r="K260" s="17">
        <f t="shared" si="110"/>
        <v>227.64794927960801</v>
      </c>
      <c r="L260" s="17">
        <f t="shared" ref="L260:L323" si="119">(K260-K259)*1000</f>
        <v>698.73401413312308</v>
      </c>
      <c r="M260" s="3">
        <f>((K260-(('Model tilvækst, slagteform, fe'!$I$9/100)*'Model tilvækst, slagteform, fe'!$C$9))*1000/(A260+Forudsætninger!$D$60))</f>
        <v>705.23762439465304</v>
      </c>
      <c r="N260" s="17">
        <f t="shared" ref="N260:N323" si="120">N259+P260</f>
        <v>1438.5442588504782</v>
      </c>
      <c r="O260" s="19">
        <f>IF( A260&lt;Forudsætninger!$C$14,(G260/100)*Forudsætninger!$C$13,(Forudsætninger!$C$15/1000)*Forudsætninger!$C$13)</f>
        <v>2.6907243718935163</v>
      </c>
      <c r="P260" s="17" cm="1">
        <f t="array" ref="P260">INDEX('Model tilvækst, slagteform, fe'!$O$9:$O$375,MATCH(MIN(ABS('Model tilvækst, slagteform, fe'!$M$9:$M$375-G260)),ABS('Model tilvækst, slagteform, fe'!$M$9:$M$375-G260),0))*(1+Forudsætninger!$D$80)</f>
        <v>7.7244859523032421</v>
      </c>
      <c r="Q260" s="17">
        <f t="shared" ref="Q260:Q323" si="121">P260/(L260/1000)</f>
        <v>11.054973417726835</v>
      </c>
      <c r="R260" s="17">
        <f t="shared" ref="R260:R323" si="122">N260/(K260-$K$2)</f>
        <v>7.4656549456394137</v>
      </c>
      <c r="S260" s="2">
        <f t="shared" si="111"/>
        <v>4.2067913596333497</v>
      </c>
      <c r="T260" s="19">
        <f>(P260)*IF(N260&lt;Forudsætninger!$B$228,IF(N260&lt;Forudsætninger!$B$227,Forudsætninger!$B$225,Forudsætninger!$C$9),Forudsætninger!$C$11)+O260</f>
        <v>20.766021500283102</v>
      </c>
      <c r="U260" s="2">
        <f>Forudsætninger!$D$68+((K260-(Forudsætninger!$D$84)))*0.01</f>
        <v>7.4160901741557321</v>
      </c>
      <c r="V260" s="2">
        <f>U260+Forudsætninger!$D$69</f>
        <v>7.4160901741557321</v>
      </c>
      <c r="W260">
        <f t="shared" si="112"/>
        <v>1</v>
      </c>
      <c r="X260">
        <f>IF(A260+Forudsætninger!$D$60&gt;248,IF(A260+Forudsætninger!$D$60&lt;365,IF(K260&gt;180,IF(K260&lt;260,1,0),0),0),0)</f>
        <v>1</v>
      </c>
      <c r="Y260" s="22">
        <f>IF(X260=0,0,IF('Vækstfunktion, kry tyr'!A260&lt;Forudsætninger!$D$66,Forudsætninger!$D$67+(('Vækstfunktion, kry tyr'!A260-Forudsætninger!$D$66)/7)*Forudsætninger!$D$64,Forudsætninger!$D$67))</f>
        <v>0.98</v>
      </c>
      <c r="Z260" s="19">
        <f t="shared" si="100"/>
        <v>4269.4914678900841</v>
      </c>
      <c r="AA260" s="19">
        <f>Forudsætninger!$D$62+Forudsætninger!$C$16</f>
        <v>2055</v>
      </c>
      <c r="AB260" s="19">
        <f>IF(K260&gt;Forudsætninger!$C$37,IF(K260&gt;Forudsætninger!$C$38,IF(K260&gt;Forudsætninger!$C$39,Forudsætninger!$E$39,Forudsætninger!$E$38+Forudsætninger!$F$39*(K260-Forudsætninger!$C$38)),Forudsætninger!$E$37+Forudsætninger!$F$38*(K260-Forudsætninger!$C$37)),Forudsætninger!$E$37)+IF(K260&gt;Forudsætninger!$C$39,Forudsætninger!$G$39,IF(K260&gt;Forudsætninger!$C$38,Forudsætninger!$G$38+Forudsætninger!$H$39*(K260-Forudsætninger!$C$38),IF(K260&gt;Forudsætninger!$C$37,Forudsætninger!$G$37+Forudsætninger!$H$38*(K260-Forudsætninger!$C$37),Forudsætninger!$G$37)))*(U260-Forudsætninger!$H$37)</f>
        <v>36.772508066408221</v>
      </c>
      <c r="AC260" s="19">
        <f>IF(K260&gt;Forudsætninger!$C$42,IF(K260&gt;Forudsætninger!$C$43,IF(K260&gt;Forudsætninger!$C$44,Forudsætninger!$E$44,Forudsætninger!$E$43+Forudsætninger!$F$44*(K260-Forudsætninger!$C$43)),Forudsætninger!$E$42+Forudsætninger!$F$43*(K260-Forudsætninger!$C$42)),Forudsætninger!$E$42)+IF(K260&gt;Forudsætninger!$C$44,Forudsætninger!$G$44,IF(K260&gt;Forudsætninger!$C$43,Forudsætninger!$G$43+Forudsætninger!$H$44*(K260-Forudsætninger!$C$43),IF(K260&gt;Forudsætninger!$C$42,Forudsætninger!$G$42+Forudsætninger!$H$43*(K260-Forudsætninger!$C$42),Forudsætninger!$G$42)))*(V260-Forudsætninger!$H$42)</f>
        <v>31.159734546598465</v>
      </c>
      <c r="AD260" s="19">
        <f t="shared" si="113"/>
        <v>8345.6313235545622</v>
      </c>
      <c r="AE260" s="19">
        <f t="shared" si="114"/>
        <v>36.660252596012022</v>
      </c>
      <c r="AF260">
        <f>IF(G260&lt;=Forudsætninger!$C$97,Forudsætninger!$C$98,(IF(G260&lt;=Forudsætninger!$D$97,Forudsætninger!$D$98,IF(G260&lt;=Forudsætninger!$E$97,Forudsætninger!$E$98,IF(G260&lt;=Forudsætninger!$F$97,Forudsætninger!$F$98,IF(G260&lt;=Forudsætninger!$G$97,Forudsætninger!$G$98,IF(G260&lt;=Forudsætninger!$H$97,Forudsætninger!$H$98,IF(G260&lt;=Forudsætninger!$I$97,Forudsætninger!$I$98,Forudsætninger!$I$98))))))))</f>
        <v>4.4000000000000004</v>
      </c>
      <c r="AG260" s="1">
        <f t="shared" ref="AG260:AG323" si="123">IF(AF260&lt;=3.2,IF(AF260&lt;=2.2,2.2,3.2),4.4)</f>
        <v>4.4000000000000004</v>
      </c>
      <c r="AH260" s="1">
        <f t="shared" si="101"/>
        <v>819.39999999999691</v>
      </c>
      <c r="AI260" s="1">
        <f t="shared" si="115"/>
        <v>3.1759689922480501</v>
      </c>
      <c r="AJ260" s="20">
        <f>+(W260*Forudsætninger!$C$12)</f>
        <v>900</v>
      </c>
      <c r="AK260" s="20">
        <f>Forudsætninger!$C$17</f>
        <v>250</v>
      </c>
      <c r="AL260" s="20">
        <f>IF(A260&lt;92,Forudsætninger!$C$20,Forudsætninger!$C$21)</f>
        <v>1.0566762728146013</v>
      </c>
      <c r="AM260" s="20">
        <f t="shared" ref="AM260:AM323" si="124">AL260+AM259</f>
        <v>541.12796123945873</v>
      </c>
      <c r="AN260" s="19">
        <f>IFERROR(AD260+AJ260-AA260-Z260-AK260-AM260-Forudsætninger!$D$75,-99999)</f>
        <v>1912.1199207240591</v>
      </c>
      <c r="AO260" s="57">
        <f>IFERROR(AN260/(A260+Forudsætninger!$D$74),-99999)</f>
        <v>7.411317522186275</v>
      </c>
      <c r="AP260" s="19">
        <f>IFERROR(((365/(A260+Forudsætninger!$D$74))*AN260)/(AI260+Forudsætninger!$D$73),-99999)</f>
        <v>823.23689054269289</v>
      </c>
      <c r="AQ260" s="18">
        <f t="shared" si="102"/>
        <v>258</v>
      </c>
      <c r="AR260" s="18">
        <f t="shared" si="103"/>
        <v>7115.6194291295433</v>
      </c>
      <c r="AS260" s="50">
        <f t="shared" si="104"/>
        <v>9.6</v>
      </c>
      <c r="AT260" s="50">
        <f t="shared" si="105"/>
        <v>6.9436941986909915</v>
      </c>
      <c r="AU260" s="50">
        <f t="shared" si="106"/>
        <v>-1.8195460058185731E-3</v>
      </c>
      <c r="AV260" s="2">
        <f t="shared" si="107"/>
        <v>-1.3973578970262679</v>
      </c>
      <c r="AW260" s="16">
        <f t="shared" ref="AW260:AW323" si="125">((AN260+AM260)/A260)</f>
        <v>9.5087127207888287</v>
      </c>
      <c r="AZ260" s="16"/>
      <c r="BA260" s="2"/>
    </row>
    <row r="261" spans="1:58" x14ac:dyDescent="0.25">
      <c r="A261">
        <v>259</v>
      </c>
      <c r="B261" s="1">
        <f>ROUND((A261+Forudsætninger!$D$60)/30.4,1)</f>
        <v>9.6</v>
      </c>
      <c r="C261" s="1">
        <f>VLOOKUP((A261+Forudsætninger!$D$60),'Model tilvækst, slagteform, fe'!A:C,3,FALSE)</f>
        <v>494.25445987083242</v>
      </c>
      <c r="D261" s="3">
        <f t="shared" si="108"/>
        <v>1447.7983518734163</v>
      </c>
      <c r="E261" s="3">
        <f>(1+Forudsætninger!$D$78)*C261</f>
        <v>415.17374629149924</v>
      </c>
      <c r="F261" s="2">
        <f t="shared" si="116"/>
        <v>0</v>
      </c>
      <c r="G261" s="1">
        <f t="shared" si="109"/>
        <v>415.17374629149924</v>
      </c>
      <c r="H261" s="3">
        <f t="shared" si="117"/>
        <v>1216.1506155736674</v>
      </c>
      <c r="I261" s="3">
        <f t="shared" si="118"/>
        <v>1324.9951594266379</v>
      </c>
      <c r="J261" s="1">
        <f>VLOOKUP((A261+Forudsætninger!$D$60),'Model tilvækst, slagteform, fe'!G:K,3,FALSE)*(1+Forudsætninger!$D$79)</f>
        <v>54.999746964616577</v>
      </c>
      <c r="K261" s="17">
        <f t="shared" si="110"/>
        <v>228.34450992384379</v>
      </c>
      <c r="L261" s="17">
        <f t="shared" si="119"/>
        <v>696.56064423577391</v>
      </c>
      <c r="M261" s="3">
        <f>((K261-(('Model tilvækst, slagteform, fe'!$I$9/100)*'Model tilvækst, slagteform, fe'!$C$9))*1000/(A261+Forudsætninger!$D$60))</f>
        <v>705.20801012789923</v>
      </c>
      <c r="N261" s="17">
        <f t="shared" si="120"/>
        <v>1446.2824888159223</v>
      </c>
      <c r="O261" s="19">
        <f>IF( A261&lt;Forudsætninger!$C$14,(G261/100)*Forudsætninger!$C$13,(Forudsætninger!$C$15/1000)*Forudsætninger!$C$13)</f>
        <v>2.6986293508947452</v>
      </c>
      <c r="P261" s="17" cm="1">
        <f t="array" ref="P261">INDEX('Model tilvækst, slagteform, fe'!$O$9:$O$375,MATCH(MIN(ABS('Model tilvækst, slagteform, fe'!$M$9:$M$375-G261)),ABS('Model tilvækst, slagteform, fe'!$M$9:$M$375-G261),0))*(1+Forudsætninger!$D$80)</f>
        <v>7.7382299654442006</v>
      </c>
      <c r="Q261" s="17">
        <f t="shared" si="121"/>
        <v>11.109197784112737</v>
      </c>
      <c r="R261" s="17">
        <f t="shared" si="122"/>
        <v>7.4787787688589766</v>
      </c>
      <c r="S261" s="2">
        <f t="shared" si="111"/>
        <v>4.2144322065576034</v>
      </c>
      <c r="T261" s="19">
        <f>(P261)*IF(N261&lt;Forudsætninger!$B$228,IF(N261&lt;Forudsætninger!$B$227,Forudsætninger!$B$225,Forudsætninger!$C$9),Forudsætninger!$C$11)+O261</f>
        <v>20.806087470034171</v>
      </c>
      <c r="U261" s="2">
        <f>Forudsætninger!$D$68+((K261-(Forudsætninger!$D$84)))*0.01</f>
        <v>7.4230557805980899</v>
      </c>
      <c r="V261" s="2">
        <f>U261+Forudsætninger!$D$69</f>
        <v>7.4230557805980899</v>
      </c>
      <c r="W261">
        <f t="shared" si="112"/>
        <v>1</v>
      </c>
      <c r="X261">
        <f>IF(A261+Forudsætninger!$D$60&gt;248,IF(A261+Forudsætninger!$D$60&lt;365,IF(K261&gt;180,IF(K261&lt;260,1,0),0),0),0)</f>
        <v>1</v>
      </c>
      <c r="Y261" s="22">
        <f>IF(X261=0,0,IF('Vækstfunktion, kry tyr'!A261&lt;Forudsætninger!$D$66,Forudsætninger!$D$67+(('Vækstfunktion, kry tyr'!A261-Forudsætninger!$D$66)/7)*Forudsætninger!$D$64,Forudsætninger!$D$67))</f>
        <v>0.98</v>
      </c>
      <c r="Z261" s="19">
        <f t="shared" ref="Z261:Z324" si="126">Z260+T261</f>
        <v>4290.2975553601182</v>
      </c>
      <c r="AA261" s="19">
        <f>Forudsætninger!$D$62+Forudsætninger!$C$16</f>
        <v>2055</v>
      </c>
      <c r="AB261" s="19">
        <f>IF(K261&gt;Forudsætninger!$C$37,IF(K261&gt;Forudsætninger!$C$38,IF(K261&gt;Forudsætninger!$C$39,Forudsætninger!$E$39,Forudsætninger!$E$38+Forudsætninger!$F$39*(K261-Forudsætninger!$C$38)),Forudsætninger!$E$37+Forudsætninger!$F$38*(K261-Forudsætninger!$C$37)),Forudsætninger!$E$37)+IF(K261&gt;Forudsætninger!$C$39,Forudsætninger!$G$39,IF(K261&gt;Forudsætninger!$C$38,Forudsætninger!$G$38+Forudsætninger!$H$39*(K261-Forudsætninger!$C$38),IF(K261&gt;Forudsætninger!$C$37,Forudsætninger!$G$37+Forudsætninger!$H$38*(K261-Forudsætninger!$C$37),Forudsætninger!$G$37)))*(U261-Forudsætninger!$H$37)</f>
        <v>36.786265139131878</v>
      </c>
      <c r="AC261" s="19">
        <f>IF(K261&gt;Forudsætninger!$C$42,IF(K261&gt;Forudsætninger!$C$43,IF(K261&gt;Forudsætninger!$C$44,Forudsætninger!$E$44,Forudsætninger!$E$43+Forudsætninger!$F$44*(K261-Forudsætninger!$C$43)),Forudsætninger!$E$42+Forudsætninger!$F$43*(K261-Forudsætninger!$C$42)),Forudsætninger!$E$42)+IF(K261&gt;Forudsætninger!$C$44,Forudsætninger!$G$44,IF(K261&gt;Forudsætninger!$C$43,Forudsætninger!$G$43+Forudsætninger!$H$44*(K261-Forudsætninger!$C$43),IF(K261&gt;Forudsætninger!$C$42,Forudsætninger!$G$42+Forudsætninger!$H$43*(K261-Forudsætninger!$C$42),Forudsætninger!$G$42)))*(V261-Forudsætninger!$H$42)</f>
        <v>31.177584587503386</v>
      </c>
      <c r="AD261" s="19">
        <f t="shared" si="113"/>
        <v>8374.327456886027</v>
      </c>
      <c r="AE261" s="19">
        <f t="shared" si="114"/>
        <v>36.674091528099304</v>
      </c>
      <c r="AF261">
        <f>IF(G261&lt;=Forudsætninger!$C$97,Forudsætninger!$C$98,(IF(G261&lt;=Forudsætninger!$D$97,Forudsætninger!$D$98,IF(G261&lt;=Forudsætninger!$E$97,Forudsætninger!$E$98,IF(G261&lt;=Forudsætninger!$F$97,Forudsætninger!$F$98,IF(G261&lt;=Forudsætninger!$G$97,Forudsætninger!$G$98,IF(G261&lt;=Forudsætninger!$H$97,Forudsætninger!$H$98,IF(G261&lt;=Forudsætninger!$I$97,Forudsætninger!$I$98,Forudsætninger!$I$98))))))))</f>
        <v>4.4000000000000004</v>
      </c>
      <c r="AG261" s="1">
        <f t="shared" si="123"/>
        <v>4.4000000000000004</v>
      </c>
      <c r="AH261" s="1">
        <f t="shared" ref="AH261:AH324" si="127">AH260+AG261</f>
        <v>823.79999999999688</v>
      </c>
      <c r="AI261" s="1">
        <f t="shared" si="115"/>
        <v>3.1806949806949687</v>
      </c>
      <c r="AJ261" s="20">
        <f>+(W261*Forudsætninger!$C$12)</f>
        <v>900</v>
      </c>
      <c r="AK261" s="20">
        <f>Forudsætninger!$C$17</f>
        <v>250</v>
      </c>
      <c r="AL261" s="20">
        <f>IF(A261&lt;92,Forudsætninger!$C$20,Forudsætninger!$C$21)</f>
        <v>1.0566762728146013</v>
      </c>
      <c r="AM261" s="20">
        <f t="shared" si="124"/>
        <v>542.1846375122733</v>
      </c>
      <c r="AN261" s="19">
        <f>IFERROR(AD261+AJ261-AA261-Z261-AK261-AM261-Forudsætninger!$D$75,-99999)</f>
        <v>1918.9532903126753</v>
      </c>
      <c r="AO261" s="57">
        <f>IFERROR(AN261/(A261+Forudsætninger!$D$74),-99999)</f>
        <v>7.4090860629833024</v>
      </c>
      <c r="AP261" s="19">
        <f>IFERROR(((365/(A261+Forudsætninger!$D$74))*AN261)/(AI261+Forudsætninger!$D$73),-99999)</f>
        <v>821.80707384121501</v>
      </c>
      <c r="AQ261" s="18">
        <f t="shared" ref="AQ261:AQ324" si="128">A261</f>
        <v>259</v>
      </c>
      <c r="AR261" s="18">
        <f t="shared" ref="AR261:AR324" si="129">AA261+Z261+AK261+AM261</f>
        <v>7137.4821928723914</v>
      </c>
      <c r="AS261" s="50">
        <f t="shared" ref="AS261:AS324" si="130">B261</f>
        <v>9.6</v>
      </c>
      <c r="AT261" s="50">
        <f t="shared" ref="AT261:AT324" si="131">AN261-AN260</f>
        <v>6.8333695886162786</v>
      </c>
      <c r="AU261" s="50">
        <f t="shared" ref="AU261:AU324" si="132">AO261-AO260</f>
        <v>-2.2314592029726299E-3</v>
      </c>
      <c r="AV261" s="2">
        <f t="shared" ref="AV261:AV324" si="133">AP261-AP260</f>
        <v>-1.4298167014778755</v>
      </c>
      <c r="AW261" s="16">
        <f t="shared" si="125"/>
        <v>9.5024630417951688</v>
      </c>
      <c r="AZ261" s="16"/>
      <c r="BA261" s="2"/>
    </row>
    <row r="262" spans="1:58" s="7" customFormat="1" x14ac:dyDescent="0.25">
      <c r="A262" s="7">
        <v>260</v>
      </c>
      <c r="B262" s="21">
        <f>ROUND((A262+Forudsætninger!$D$60)/30.4,1)</f>
        <v>9.6999999999999993</v>
      </c>
      <c r="C262" s="21">
        <f>VLOOKUP((A262+Forudsætninger!$D$60),'Model tilvækst, slagteform, fe'!A:C,3,FALSE)</f>
        <v>495.69755856705768</v>
      </c>
      <c r="D262" s="28">
        <f t="shared" ref="D262:D325" si="134">(C262-C261)*1000</f>
        <v>1443.0986962252632</v>
      </c>
      <c r="E262" s="28">
        <f>(1+Forudsætninger!$D$78)*C262</f>
        <v>416.38594919632845</v>
      </c>
      <c r="F262" s="30">
        <f t="shared" si="116"/>
        <v>0</v>
      </c>
      <c r="G262" s="21">
        <f t="shared" si="109"/>
        <v>416.38594919632845</v>
      </c>
      <c r="H262" s="28">
        <f t="shared" si="117"/>
        <v>1212.202904829212</v>
      </c>
      <c r="I262" s="28">
        <f t="shared" si="118"/>
        <v>1324.5613430628018</v>
      </c>
      <c r="J262" s="21">
        <f>VLOOKUP((A262+Forudsætninger!$D$60),'Model tilvækst, slagteform, fe'!G:K,3,FALSE)*(1+Forudsætninger!$D$79)</f>
        <v>55.006402667070191</v>
      </c>
      <c r="K262" s="29">
        <f t="shared" si="110"/>
        <v>229.03893186403474</v>
      </c>
      <c r="L262" s="29">
        <f t="shared" si="119"/>
        <v>694.42194019094927</v>
      </c>
      <c r="M262" s="28">
        <f>((K262-(('Model tilvækst, slagteform, fe'!$I$9/100)*'Model tilvækst, slagteform, fe'!$C$9))*1000/(A262+Forudsætninger!$D$60))</f>
        <v>705.17132281518843</v>
      </c>
      <c r="N262" s="29">
        <f t="shared" si="120"/>
        <v>1454.034580172932</v>
      </c>
      <c r="O262" s="30">
        <f>IF( A262&lt;Forudsætninger!$C$14,(G262/100)*Forudsætninger!$C$13,(Forudsætninger!$C$15/1000)*Forudsætninger!$C$13)</f>
        <v>2.7065086697761354</v>
      </c>
      <c r="P262" s="29" cm="1">
        <f t="array" ref="P262">INDEX('Model tilvækst, slagteform, fe'!$O$9:$O$375,MATCH(MIN(ABS('Model tilvækst, slagteform, fe'!$M$9:$M$375-G262)),ABS('Model tilvækst, slagteform, fe'!$M$9:$M$375-G262),0))*(1+Forudsætninger!$D$80)</f>
        <v>7.7520913570097463</v>
      </c>
      <c r="Q262" s="29">
        <f t="shared" si="121"/>
        <v>11.163373315765496</v>
      </c>
      <c r="R262" s="29">
        <f t="shared" si="122"/>
        <v>7.4919623680478438</v>
      </c>
      <c r="S262" s="30">
        <f t="shared" si="111"/>
        <v>4.222107735713724</v>
      </c>
      <c r="T262" s="30">
        <f>(P262)*IF(N262&lt;Forudsætninger!$B$228,IF(N262&lt;Forudsætninger!$B$227,Forudsætninger!$B$225,Forudsætninger!$C$9),Forudsætninger!$C$11)+O262</f>
        <v>20.846402445178938</v>
      </c>
      <c r="U262" s="30">
        <f>Forudsætninger!$D$68+((K262-(Forudsætninger!$D$84)))*0.01</f>
        <v>7.43</v>
      </c>
      <c r="V262" s="30">
        <f>U262+Forudsætninger!$D$69</f>
        <v>7.43</v>
      </c>
      <c r="W262" s="7">
        <f t="shared" si="112"/>
        <v>1</v>
      </c>
      <c r="X262" s="7">
        <f>IF(A262+Forudsætninger!$D$60&gt;248,IF(A262+Forudsætninger!$D$60&lt;365,IF(K262&gt;180,IF(K262&lt;260,1,0),0),0),0)</f>
        <v>1</v>
      </c>
      <c r="Y262" s="31">
        <f>IF(X262=0,0,IF('Vækstfunktion, kry tyr'!A262&lt;Forudsætninger!$D$66,Forudsætninger!$D$67+(('Vækstfunktion, kry tyr'!A262-Forudsætninger!$D$66)/7)*Forudsætninger!$D$64,Forudsætninger!$D$67))</f>
        <v>0.98</v>
      </c>
      <c r="Z262" s="30">
        <f t="shared" si="126"/>
        <v>4311.1439578052968</v>
      </c>
      <c r="AA262" s="30">
        <f>Forudsætninger!$D$62+Forudsætninger!$C$16</f>
        <v>2055</v>
      </c>
      <c r="AB262" s="30">
        <f>IF(K262&gt;Forudsætninger!$C$37,IF(K262&gt;Forudsætninger!$C$38,IF(K262&gt;Forudsætninger!$C$39,Forudsætninger!$E$39,Forudsætninger!$E$38+Forudsætninger!$F$39*(K262-Forudsætninger!$C$38)),Forudsætninger!$E$37+Forudsætninger!$F$38*(K262-Forudsætninger!$C$37)),Forudsætninger!$E$37)+IF(K262&gt;Forudsætninger!$C$39,Forudsætninger!$G$39,IF(K262&gt;Forudsætninger!$C$38,Forudsætninger!$G$38+Forudsætninger!$H$39*(K262-Forudsætninger!$C$38),IF(K262&gt;Forudsætninger!$C$37,Forudsætninger!$G$37+Forudsætninger!$H$38*(K262-Forudsætninger!$C$37),Forudsætninger!$G$37)))*(U262-Forudsætninger!$H$37)</f>
        <v>36.79997997245065</v>
      </c>
      <c r="AC262" s="30">
        <f>IF(K262&gt;Forudsætninger!$C$42,IF(K262&gt;Forudsætninger!$C$43,IF(K262&gt;Forudsætninger!$C$44,Forudsætninger!$E$44,Forudsætninger!$E$43+Forudsætninger!$F$44*(K262-Forudsætninger!$C$43)),Forudsætninger!$E$42+Forudsætninger!$F$43*(K262-Forudsætninger!$C$42)),Forudsætninger!$E$42)+IF(K262&gt;Forudsætninger!$C$44,Forudsætninger!$G$44,IF(K262&gt;Forudsætninger!$C$43,Forudsætninger!$G$43+Forudsætninger!$H$44*(K262-Forudsætninger!$C$43),IF(K262&gt;Forudsætninger!$C$42,Forudsætninger!$G$42+Forudsætninger!$H$43*(K262-Forudsætninger!$C$42),Forudsætninger!$G$42)))*(V262-Forudsætninger!$H$42)</f>
        <v>31.195359698529323</v>
      </c>
      <c r="AD262" s="30">
        <f t="shared" si="113"/>
        <v>8402.9545806871174</v>
      </c>
      <c r="AE262" s="30">
        <f t="shared" si="114"/>
        <v>36.687887566972222</v>
      </c>
      <c r="AF262" s="7">
        <f>IF(G262&lt;=Forudsætninger!$C$97,Forudsætninger!$C$98,(IF(G262&lt;=Forudsætninger!$D$97,Forudsætninger!$D$98,IF(G262&lt;=Forudsætninger!$E$97,Forudsætninger!$E$98,IF(G262&lt;=Forudsætninger!$F$97,Forudsætninger!$F$98,IF(G262&lt;=Forudsætninger!$G$97,Forudsætninger!$G$98,IF(G262&lt;=Forudsætninger!$H$97,Forudsætninger!$H$98,IF(G262&lt;=Forudsætninger!$I$97,Forudsætninger!$I$98,Forudsætninger!$I$98))))))))</f>
        <v>4.4000000000000004</v>
      </c>
      <c r="AG262" s="21">
        <f t="shared" si="123"/>
        <v>4.4000000000000004</v>
      </c>
      <c r="AH262" s="21">
        <f t="shared" si="127"/>
        <v>828.19999999999686</v>
      </c>
      <c r="AI262" s="21">
        <f t="shared" si="115"/>
        <v>3.1853846153846033</v>
      </c>
      <c r="AJ262" s="28">
        <f>+(W262*Forudsætninger!$C$12)</f>
        <v>900</v>
      </c>
      <c r="AK262" s="28">
        <f>Forudsætninger!$C$17</f>
        <v>250</v>
      </c>
      <c r="AL262" s="28">
        <f>IF(A262&lt;92,Forudsætninger!$C$20,Forudsætninger!$C$21)</f>
        <v>1.0566762728146013</v>
      </c>
      <c r="AM262" s="28">
        <f t="shared" si="124"/>
        <v>543.24131378508787</v>
      </c>
      <c r="AN262" s="19">
        <f>IFERROR(AD262+AJ262-AA262-Z262-AK262-AM262-Forudsætninger!$D$75,-99999)</f>
        <v>1925.6773353957722</v>
      </c>
      <c r="AO262" s="57">
        <f>IFERROR(AN262/(A262+Forudsætninger!$D$74),-99999)</f>
        <v>7.4064512899837389</v>
      </c>
      <c r="AP262" s="19">
        <f>IFERROR(((365/(A262+Forudsætninger!$D$74))*AN262)/(AI262+Forudsætninger!$D$73),-99999)</f>
        <v>820.34573695081633</v>
      </c>
      <c r="AQ262" s="28">
        <f t="shared" si="128"/>
        <v>260</v>
      </c>
      <c r="AR262" s="28">
        <f t="shared" si="129"/>
        <v>7159.3852715903849</v>
      </c>
      <c r="AS262" s="30">
        <f t="shared" si="130"/>
        <v>9.6999999999999993</v>
      </c>
      <c r="AT262" s="30">
        <f t="shared" si="131"/>
        <v>6.7240450830968257</v>
      </c>
      <c r="AU262" s="30">
        <f t="shared" si="132"/>
        <v>-2.634772999563495E-3</v>
      </c>
      <c r="AV262" s="30">
        <f t="shared" si="133"/>
        <v>-1.4613368903986839</v>
      </c>
      <c r="AW262" s="16">
        <f t="shared" si="125"/>
        <v>9.4958409583879231</v>
      </c>
      <c r="AX262" s="28"/>
      <c r="AZ262" s="32"/>
      <c r="BA262" s="30"/>
      <c r="BB262" s="28"/>
      <c r="BC262" s="33"/>
      <c r="BD262" s="30"/>
      <c r="BE262" s="30"/>
      <c r="BF262" s="30"/>
    </row>
    <row r="263" spans="1:58" x14ac:dyDescent="0.25">
      <c r="A263">
        <v>261</v>
      </c>
      <c r="B263" s="1">
        <f>ROUND((A263+Forudsætninger!$D$60)/30.4,1)</f>
        <v>9.6999999999999993</v>
      </c>
      <c r="C263" s="1">
        <f>VLOOKUP((A263+Forudsætninger!$D$60),'Model tilvækst, slagteform, fe'!A:C,3,FALSE)</f>
        <v>497.13596113269239</v>
      </c>
      <c r="D263" s="3">
        <f t="shared" si="134"/>
        <v>1438.4025656347035</v>
      </c>
      <c r="E263" s="3">
        <f>(1+Forudsætninger!$D$78)*C263</f>
        <v>417.59420735146159</v>
      </c>
      <c r="F263" s="2">
        <f t="shared" si="116"/>
        <v>0</v>
      </c>
      <c r="G263" s="1">
        <f t="shared" si="109"/>
        <v>417.59420735146159</v>
      </c>
      <c r="H263" s="3">
        <f t="shared" si="117"/>
        <v>1208.2581551331373</v>
      </c>
      <c r="I263" s="3">
        <f t="shared" si="118"/>
        <v>1324.11573697878</v>
      </c>
      <c r="J263" s="1">
        <f>VLOOKUP((A263+Forudsætninger!$D$60),'Model tilvækst, slagteform, fe'!G:K,3,FALSE)*(1+Forudsætninger!$D$79)</f>
        <v>55.013035725014511</v>
      </c>
      <c r="K263" s="17">
        <f t="shared" si="110"/>
        <v>229.73125047585074</v>
      </c>
      <c r="L263" s="17">
        <f t="shared" si="119"/>
        <v>692.31861181600607</v>
      </c>
      <c r="M263" s="3">
        <f>((K263-(('Model tilvækst, slagteform, fe'!$I$9/100)*'Model tilvækst, slagteform, fe'!$C$9))*1000/(A263+Forudsætninger!$D$60))</f>
        <v>705.12775430332681</v>
      </c>
      <c r="N263" s="17">
        <f t="shared" si="120"/>
        <v>1461.8006479523633</v>
      </c>
      <c r="O263" s="19">
        <f>IF( A263&lt;Forudsætninger!$C$14,(G263/100)*Forudsætninger!$C$13,(Forudsætninger!$C$15/1000)*Forudsætninger!$C$13)</f>
        <v>2.7143623477845003</v>
      </c>
      <c r="P263" s="17" cm="1">
        <f t="array" ref="P263">INDEX('Model tilvækst, slagteform, fe'!$O$9:$O$375,MATCH(MIN(ABS('Model tilvækst, slagteform, fe'!$M$9:$M$375-G263)),ABS('Model tilvækst, slagteform, fe'!$M$9:$M$375-G263),0))*(1+Forudsætninger!$D$80)</f>
        <v>7.7660677794313857</v>
      </c>
      <c r="Q263" s="17">
        <f t="shared" si="121"/>
        <v>11.217476530149002</v>
      </c>
      <c r="R263" s="17">
        <f t="shared" si="122"/>
        <v>7.5052047655859706</v>
      </c>
      <c r="S263" s="2">
        <f t="shared" si="111"/>
        <v>4.2298181417888889</v>
      </c>
      <c r="T263" s="19">
        <f>(P263)*IF(N263&lt;Forudsætninger!$B$228,IF(N263&lt;Forudsætninger!$B$227,Forudsætninger!$B$225,Forudsætninger!$C$9),Forudsætninger!$C$11)+O263</f>
        <v>20.886960951653943</v>
      </c>
      <c r="U263" s="2">
        <f>Forudsætninger!$D$68+((K263-(Forudsætninger!$D$84)))*0.01</f>
        <v>7.4369231861181602</v>
      </c>
      <c r="V263" s="2">
        <f>U263+Forudsætninger!$D$69</f>
        <v>7.4369231861181602</v>
      </c>
      <c r="W263">
        <f t="shared" si="112"/>
        <v>1</v>
      </c>
      <c r="X263">
        <f>IF(A263+Forudsætninger!$D$60&gt;248,IF(A263+Forudsætninger!$D$60&lt;365,IF(K263&gt;180,IF(K263&lt;260,1,0),0),0),0)</f>
        <v>1</v>
      </c>
      <c r="Y263" s="22">
        <f>IF(X263=0,0,IF('Vækstfunktion, kry tyr'!A263&lt;Forudsætninger!$D$66,Forudsætninger!$D$67+(('Vækstfunktion, kry tyr'!A263-Forudsætninger!$D$66)/7)*Forudsætninger!$D$64,Forudsætninger!$D$67))</f>
        <v>0.98</v>
      </c>
      <c r="Z263" s="19">
        <f t="shared" si="126"/>
        <v>4332.030918756951</v>
      </c>
      <c r="AA263" s="19">
        <f>Forudsætninger!$D$62+Forudsætninger!$C$16</f>
        <v>2055</v>
      </c>
      <c r="AB263" s="19">
        <f>IF(K263&gt;Forudsætninger!$C$37,IF(K263&gt;Forudsætninger!$C$38,IF(K263&gt;Forudsætninger!$C$39,Forudsætninger!$E$39,Forudsætninger!$E$38+Forudsætninger!$F$39*(K263-Forudsætninger!$C$38)),Forudsætninger!$E$37+Forudsætninger!$F$38*(K263-Forudsætninger!$C$37)),Forudsætninger!$E$37)+IF(K263&gt;Forudsætninger!$C$39,Forudsætninger!$G$39,IF(K263&gt;Forudsætninger!$C$38,Forudsætninger!$G$38+Forudsætninger!$H$39*(K263-Forudsætninger!$C$38),IF(K263&gt;Forudsætninger!$C$37,Forudsætninger!$G$37+Forudsætninger!$H$38*(K263-Forudsætninger!$C$37),Forudsætninger!$G$37)))*(U263-Forudsætninger!$H$37)</f>
        <v>36.81365326503402</v>
      </c>
      <c r="AC263" s="19">
        <f>IF(K263&gt;Forudsætninger!$C$42,IF(K263&gt;Forudsætninger!$C$43,IF(K263&gt;Forudsætninger!$C$44,Forudsætninger!$E$44,Forudsætninger!$E$43+Forudsætninger!$F$44*(K263-Forudsætninger!$C$43)),Forudsætninger!$E$42+Forudsætninger!$F$43*(K263-Forudsætninger!$C$42)),Forudsætninger!$E$42)+IF(K263&gt;Forudsætninger!$C$44,Forudsætninger!$G$44,IF(K263&gt;Forudsætninger!$C$43,Forudsætninger!$G$43+Forudsætninger!$H$44*(K263-Forudsætninger!$C$43),IF(K263&gt;Forudsætninger!$C$42,Forudsætninger!$G$42+Forudsætninger!$H$43*(K263-Forudsætninger!$C$42),Forudsætninger!$G$42)))*(V263-Forudsætninger!$H$42)</f>
        <v>31.21306096930007</v>
      </c>
      <c r="AD263" s="19">
        <f t="shared" si="113"/>
        <v>8431.5139777305631</v>
      </c>
      <c r="AE263" s="19">
        <f t="shared" si="114"/>
        <v>36.701641419119341</v>
      </c>
      <c r="AF263">
        <f>IF(G263&lt;=Forudsætninger!$C$97,Forudsætninger!$C$98,(IF(G263&lt;=Forudsætninger!$D$97,Forudsætninger!$D$98,IF(G263&lt;=Forudsætninger!$E$97,Forudsætninger!$E$98,IF(G263&lt;=Forudsætninger!$F$97,Forudsætninger!$F$98,IF(G263&lt;=Forudsætninger!$G$97,Forudsætninger!$G$98,IF(G263&lt;=Forudsætninger!$H$97,Forudsætninger!$H$98,IF(G263&lt;=Forudsætninger!$I$97,Forudsætninger!$I$98,Forudsætninger!$I$98))))))))</f>
        <v>4.4000000000000004</v>
      </c>
      <c r="AG263" s="1">
        <f t="shared" si="123"/>
        <v>4.4000000000000004</v>
      </c>
      <c r="AH263" s="1">
        <f t="shared" si="127"/>
        <v>832.59999999999684</v>
      </c>
      <c r="AI263" s="1">
        <f t="shared" si="115"/>
        <v>3.190038314176233</v>
      </c>
      <c r="AJ263" s="20">
        <f>+(W263*Forudsætninger!$C$12)</f>
        <v>900</v>
      </c>
      <c r="AK263" s="20">
        <f>Forudsætninger!$C$17</f>
        <v>250</v>
      </c>
      <c r="AL263" s="20">
        <f>IF(A263&lt;92,Forudsætninger!$C$20,Forudsætninger!$C$21)</f>
        <v>1.0566762728146013</v>
      </c>
      <c r="AM263" s="20">
        <f t="shared" si="124"/>
        <v>544.29799005790244</v>
      </c>
      <c r="AN263" s="19">
        <f>IFERROR(AD263+AJ263-AA263-Z263-AK263-AM263-Forudsætninger!$D$75,-99999)</f>
        <v>1932.2930952147492</v>
      </c>
      <c r="AO263" s="57">
        <f>IFERROR(AN263/(A263+Forudsætninger!$D$74),-99999)</f>
        <v>7.4034218207461659</v>
      </c>
      <c r="AP263" s="19">
        <f>IFERROR(((365/(A263+Forudsætninger!$D$74))*AN263)/(AI263+Forudsætninger!$D$73),-99999)</f>
        <v>818.85381541301751</v>
      </c>
      <c r="AQ263" s="18">
        <f t="shared" si="128"/>
        <v>261</v>
      </c>
      <c r="AR263" s="18">
        <f t="shared" si="129"/>
        <v>7181.3289088148531</v>
      </c>
      <c r="AS263" s="50">
        <f t="shared" si="130"/>
        <v>9.6999999999999993</v>
      </c>
      <c r="AT263" s="50">
        <f t="shared" si="131"/>
        <v>6.6157598189770397</v>
      </c>
      <c r="AU263" s="50">
        <f t="shared" si="132"/>
        <v>-3.0294692375729682E-3</v>
      </c>
      <c r="AV263" s="2">
        <f t="shared" si="133"/>
        <v>-1.4919215377988166</v>
      </c>
      <c r="AW263" s="16">
        <f t="shared" si="125"/>
        <v>9.4888547328454074</v>
      </c>
      <c r="AZ263" s="16"/>
      <c r="BA263" s="2"/>
    </row>
    <row r="264" spans="1:58" x14ac:dyDescent="0.25">
      <c r="A264">
        <v>262</v>
      </c>
      <c r="B264" s="1">
        <f>ROUND((A264+Forudsætninger!$D$60)/30.4,1)</f>
        <v>9.6999999999999993</v>
      </c>
      <c r="C264" s="1">
        <f>VLOOKUP((A264+Forudsætninger!$D$60),'Model tilvækst, slagteform, fe'!A:C,3,FALSE)</f>
        <v>498.56967171373111</v>
      </c>
      <c r="D264" s="3">
        <f t="shared" si="134"/>
        <v>1433.7105810387243</v>
      </c>
      <c r="E264" s="3">
        <f>(1+Forudsætninger!$D$78)*C264</f>
        <v>418.79852423953412</v>
      </c>
      <c r="F264" s="2">
        <f t="shared" si="116"/>
        <v>0</v>
      </c>
      <c r="G264" s="1">
        <f t="shared" si="109"/>
        <v>418.79852423953412</v>
      </c>
      <c r="H264" s="3">
        <f t="shared" si="117"/>
        <v>1204.3168880725261</v>
      </c>
      <c r="I264" s="3">
        <f t="shared" si="118"/>
        <v>1323.6584894638706</v>
      </c>
      <c r="J264" s="1">
        <f>VLOOKUP((A264+Forudsætninger!$D$60),'Model tilvækst, slagteform, fe'!G:K,3,FALSE)*(1+Forudsætninger!$D$79)</f>
        <v>55.019654680011136</v>
      </c>
      <c r="K264" s="17">
        <f t="shared" si="110"/>
        <v>230.42150184157438</v>
      </c>
      <c r="L264" s="17">
        <f t="shared" si="119"/>
        <v>690.25136572363976</v>
      </c>
      <c r="M264" s="3">
        <f>((K264-(('Model tilvækst, slagteform, fe'!$I$9/100)*'Model tilvækst, slagteform, fe'!$C$9))*1000/(A264+Forudsætninger!$D$60))</f>
        <v>705.07749623380096</v>
      </c>
      <c r="N264" s="17">
        <f t="shared" si="120"/>
        <v>1469.5950042789323</v>
      </c>
      <c r="O264" s="19">
        <f>IF( A264&lt;Forudsætninger!$C$14,(G264/100)*Forudsætninger!$C$13,(Forudsætninger!$C$15/1000)*Forudsætninger!$C$13)</f>
        <v>2.7221904075569721</v>
      </c>
      <c r="P264" s="17" cm="1">
        <f t="array" ref="P264">INDEX('Model tilvækst, slagteform, fe'!$O$9:$O$375,MATCH(MIN(ABS('Model tilvækst, slagteform, fe'!$M$9:$M$375-G264)),ABS('Model tilvækst, slagteform, fe'!$M$9:$M$375-G264),0))*(1+Forudsætninger!$D$80)</f>
        <v>7.7943563265689866</v>
      </c>
      <c r="Q264" s="17">
        <f t="shared" si="121"/>
        <v>11.292054914513072</v>
      </c>
      <c r="R264" s="17">
        <f t="shared" si="122"/>
        <v>7.5185775983600545</v>
      </c>
      <c r="S264" s="2">
        <f t="shared" si="111"/>
        <v>4.2376045500813069</v>
      </c>
      <c r="T264" s="19">
        <f>(P264)*IF(N264&lt;Forudsætninger!$B$228,IF(N264&lt;Forudsætninger!$B$227,Forudsætninger!$B$225,Forudsætninger!$C$9),Forudsætninger!$C$11)+O264</f>
        <v>20.960984211728402</v>
      </c>
      <c r="U264" s="2">
        <f>Forudsætninger!$D$68+((K264-(Forudsætninger!$D$84)))*0.01</f>
        <v>7.4438256997753962</v>
      </c>
      <c r="V264" s="2">
        <f>U264+Forudsætninger!$D$69</f>
        <v>7.4438256997753962</v>
      </c>
      <c r="W264">
        <f t="shared" si="112"/>
        <v>1</v>
      </c>
      <c r="X264">
        <f>IF(A264+Forudsætninger!$D$60&gt;248,IF(A264+Forudsætninger!$D$60&lt;365,IF(K264&gt;180,IF(K264&lt;260,1,0),0),0),0)</f>
        <v>1</v>
      </c>
      <c r="Y264" s="22">
        <f>IF(X264=0,0,IF('Vækstfunktion, kry tyr'!A264&lt;Forudsætninger!$D$66,Forudsætninger!$D$67+(('Vækstfunktion, kry tyr'!A264-Forudsætninger!$D$66)/7)*Forudsætninger!$D$64,Forudsætninger!$D$67))</f>
        <v>0.98</v>
      </c>
      <c r="Z264" s="19">
        <f t="shared" si="126"/>
        <v>4352.9919029686798</v>
      </c>
      <c r="AA264" s="19">
        <f>Forudsætninger!$D$62+Forudsætninger!$C$16</f>
        <v>2055</v>
      </c>
      <c r="AB264" s="19">
        <f>IF(K264&gt;Forudsætninger!$C$37,IF(K264&gt;Forudsætninger!$C$38,IF(K264&gt;Forudsætninger!$C$39,Forudsætninger!$E$39,Forudsætninger!$E$38+Forudsætninger!$F$39*(K264-Forudsætninger!$C$38)),Forudsætninger!$E$37+Forudsætninger!$F$38*(K264-Forudsætninger!$C$37)),Forudsætninger!$E$37)+IF(K264&gt;Forudsætninger!$C$39,Forudsætninger!$G$39,IF(K264&gt;Forudsætninger!$C$38,Forudsætninger!$G$38+Forudsætninger!$H$39*(K264-Forudsætninger!$C$38),IF(K264&gt;Forudsætninger!$C$37,Forudsætninger!$G$37+Forudsætninger!$H$38*(K264-Forudsætninger!$C$37),Forudsætninger!$G$37)))*(U264-Forudsætninger!$H$37)</f>
        <v>36.827285729507061</v>
      </c>
      <c r="AC264" s="19">
        <f>IF(K264&gt;Forudsætninger!$C$42,IF(K264&gt;Forudsætninger!$C$43,IF(K264&gt;Forudsætninger!$C$44,Forudsætninger!$E$44,Forudsætninger!$E$43+Forudsætninger!$F$44*(K264-Forudsætninger!$C$43)),Forudsætninger!$E$42+Forudsætninger!$F$43*(K264-Forudsætninger!$C$42)),Forudsætninger!$E$42)+IF(K264&gt;Forudsætninger!$C$44,Forudsætninger!$G$44,IF(K264&gt;Forudsætninger!$C$43,Forudsætninger!$G$43+Forudsætninger!$H$44*(K264-Forudsætninger!$C$43),IF(K264&gt;Forudsætninger!$C$42,Forudsætninger!$G$42+Forudsætninger!$H$43*(K264-Forudsætninger!$C$42),Forudsætninger!$G$42)))*(V264-Forudsætninger!$H$42)</f>
        <v>31.230689502834522</v>
      </c>
      <c r="AD264" s="19">
        <f t="shared" si="113"/>
        <v>8460.006964386781</v>
      </c>
      <c r="AE264" s="19">
        <f t="shared" si="114"/>
        <v>36.71535380497361</v>
      </c>
      <c r="AF264">
        <f>IF(G264&lt;=Forudsætninger!$C$97,Forudsætninger!$C$98,(IF(G264&lt;=Forudsætninger!$D$97,Forudsætninger!$D$98,IF(G264&lt;=Forudsætninger!$E$97,Forudsætninger!$E$98,IF(G264&lt;=Forudsætninger!$F$97,Forudsætninger!$F$98,IF(G264&lt;=Forudsætninger!$G$97,Forudsætninger!$G$98,IF(G264&lt;=Forudsætninger!$H$97,Forudsætninger!$H$98,IF(G264&lt;=Forudsætninger!$I$97,Forudsætninger!$I$98,Forudsætninger!$I$98))))))))</f>
        <v>4.4000000000000004</v>
      </c>
      <c r="AG264" s="1">
        <f t="shared" si="123"/>
        <v>4.4000000000000004</v>
      </c>
      <c r="AH264" s="1">
        <f t="shared" si="127"/>
        <v>836.99999999999682</v>
      </c>
      <c r="AI264" s="1">
        <f t="shared" si="115"/>
        <v>3.1946564885496063</v>
      </c>
      <c r="AJ264" s="20">
        <f>+(W264*Forudsætninger!$C$12)</f>
        <v>900</v>
      </c>
      <c r="AK264" s="20">
        <f>Forudsætninger!$C$17</f>
        <v>250</v>
      </c>
      <c r="AL264" s="20">
        <f>IF(A264&lt;92,Forudsætninger!$C$20,Forudsætninger!$C$21)</f>
        <v>1.0566762728146013</v>
      </c>
      <c r="AM264" s="20">
        <f t="shared" si="124"/>
        <v>545.35466633071701</v>
      </c>
      <c r="AN264" s="19">
        <f>IFERROR(AD264+AJ264-AA264-Z264-AK264-AM264-Forudsætninger!$D$75,-99999)</f>
        <v>1938.7684213864238</v>
      </c>
      <c r="AO264" s="57">
        <f>IFERROR(AN264/(A264+Forudsætninger!$D$74),-99999)</f>
        <v>7.3998794709405491</v>
      </c>
      <c r="AP264" s="19">
        <f>IFERROR(((365/(A264+Forudsætninger!$D$74))*AN264)/(AI264+Forudsætninger!$D$73),-99999)</f>
        <v>817.31823451300193</v>
      </c>
      <c r="AQ264" s="18">
        <f t="shared" si="128"/>
        <v>262</v>
      </c>
      <c r="AR264" s="18">
        <f t="shared" si="129"/>
        <v>7203.3465692993968</v>
      </c>
      <c r="AS264" s="50">
        <f t="shared" si="130"/>
        <v>9.6999999999999993</v>
      </c>
      <c r="AT264" s="50">
        <f t="shared" si="131"/>
        <v>6.4753261716746238</v>
      </c>
      <c r="AU264" s="50">
        <f t="shared" si="132"/>
        <v>-3.5423498056168512E-3</v>
      </c>
      <c r="AV264" s="2">
        <f t="shared" si="133"/>
        <v>-1.5355809000155887</v>
      </c>
      <c r="AW264" s="16">
        <f t="shared" si="125"/>
        <v>9.4813858309814538</v>
      </c>
      <c r="AZ264" s="16"/>
      <c r="BA264" s="2"/>
    </row>
    <row r="265" spans="1:58" x14ac:dyDescent="0.25">
      <c r="A265">
        <v>263</v>
      </c>
      <c r="B265" s="1">
        <f>ROUND((A265+Forudsætninger!$D$60)/30.4,1)</f>
        <v>9.8000000000000007</v>
      </c>
      <c r="C265" s="1">
        <f>VLOOKUP((A265+Forudsætninger!$D$60),'Model tilvækst, slagteform, fe'!A:C,3,FALSE)</f>
        <v>499.99869507710463</v>
      </c>
      <c r="D265" s="3">
        <f t="shared" si="134"/>
        <v>1429.023363373517</v>
      </c>
      <c r="E265" s="3">
        <f>(1+Forudsætninger!$D$78)*C265</f>
        <v>419.9989038647679</v>
      </c>
      <c r="F265" s="2">
        <f t="shared" si="116"/>
        <v>0</v>
      </c>
      <c r="G265" s="1">
        <f t="shared" si="109"/>
        <v>419.9989038647679</v>
      </c>
      <c r="H265" s="3">
        <f t="shared" si="117"/>
        <v>1200.3796252337793</v>
      </c>
      <c r="I265" s="3">
        <f t="shared" si="118"/>
        <v>1323.189748535239</v>
      </c>
      <c r="J265" s="1">
        <f>VLOOKUP((A265+Forudsætninger!$D$60),'Model tilvækst, slagteform, fe'!G:K,3,FALSE)*(1+Forudsætninger!$D$79)</f>
        <v>55.026268073621658</v>
      </c>
      <c r="K265" s="17">
        <f t="shared" si="110"/>
        <v>231.10972274689968</v>
      </c>
      <c r="L265" s="17">
        <f t="shared" si="119"/>
        <v>688.22090532529501</v>
      </c>
      <c r="M265" s="3">
        <f>((K265-(('Model tilvækst, slagteform, fe'!$I$9/100)*'Model tilvækst, slagteform, fe'!$C$9))*1000/(A265+Forudsætninger!$D$60))</f>
        <v>705.02074003545579</v>
      </c>
      <c r="N265" s="17">
        <f t="shared" si="120"/>
        <v>1477.4036680350803</v>
      </c>
      <c r="O265" s="19">
        <f>IF( A265&lt;Forudsætninger!$C$14,(G265/100)*Forudsætninger!$C$13,(Forudsætninger!$C$15/1000)*Forudsætninger!$C$13)</f>
        <v>2.7299928751209914</v>
      </c>
      <c r="P265" s="17" cm="1">
        <f t="array" ref="P265">INDEX('Model tilvækst, slagteform, fe'!$O$9:$O$375,MATCH(MIN(ABS('Model tilvækst, slagteform, fe'!$M$9:$M$375-G265)),ABS('Model tilvækst, slagteform, fe'!$M$9:$M$375-G265),0))*(1+Forudsætninger!$D$80)</f>
        <v>7.8086637561479622</v>
      </c>
      <c r="Q265" s="17">
        <f t="shared" si="121"/>
        <v>11.346158908754905</v>
      </c>
      <c r="R265" s="17">
        <f t="shared" si="122"/>
        <v>7.5320072219629752</v>
      </c>
      <c r="S265" s="2">
        <f t="shared" si="111"/>
        <v>4.2454262114836956</v>
      </c>
      <c r="T265" s="19">
        <f>(P265)*IF(N265&lt;Forudsætninger!$B$228,IF(N265&lt;Forudsætninger!$B$227,Forudsætninger!$B$225,Forudsætninger!$C$9),Forudsætninger!$C$11)+O265</f>
        <v>21.002266064507221</v>
      </c>
      <c r="U265" s="2">
        <f>Forudsætninger!$D$68+((K265-(Forudsætninger!$D$84)))*0.01</f>
        <v>7.4507079088286492</v>
      </c>
      <c r="V265" s="2">
        <f>U265+Forudsætninger!$D$69</f>
        <v>7.4507079088286492</v>
      </c>
      <c r="W265">
        <f t="shared" si="112"/>
        <v>1</v>
      </c>
      <c r="X265">
        <f>IF(A265+Forudsætninger!$D$60&gt;248,IF(A265+Forudsætninger!$D$60&lt;365,IF(K265&gt;180,IF(K265&lt;260,1,0),0),0),0)</f>
        <v>1</v>
      </c>
      <c r="Y265" s="22">
        <f>IF(X265=0,0,IF('Vækstfunktion, kry tyr'!A265&lt;Forudsætninger!$D$66,Forudsætninger!$D$67+(('Vækstfunktion, kry tyr'!A265-Forudsætninger!$D$66)/7)*Forudsætninger!$D$64,Forudsætninger!$D$67))</f>
        <v>0.98</v>
      </c>
      <c r="Z265" s="19">
        <f t="shared" si="126"/>
        <v>4373.9941690331871</v>
      </c>
      <c r="AA265" s="19">
        <f>Forudsætninger!$D$62+Forudsætninger!$C$16</f>
        <v>2055</v>
      </c>
      <c r="AB265" s="19">
        <f>IF(K265&gt;Forudsætninger!$C$37,IF(K265&gt;Forudsætninger!$C$38,IF(K265&gt;Forudsætninger!$C$39,Forudsætninger!$E$39,Forudsætninger!$E$38+Forudsætninger!$F$39*(K265-Forudsætninger!$C$38)),Forudsætninger!$E$37+Forudsætninger!$F$38*(K265-Forudsætninger!$C$37)),Forudsætninger!$E$37)+IF(K265&gt;Forudsætninger!$C$39,Forudsætninger!$G$39,IF(K265&gt;Forudsætninger!$C$38,Forudsætninger!$G$38+Forudsætninger!$H$39*(K265-Forudsætninger!$C$38),IF(K265&gt;Forudsætninger!$C$37,Forudsætninger!$G$37+Forudsætninger!$H$38*(K265-Forudsætninger!$C$37),Forudsætninger!$G$37)))*(U265-Forudsætninger!$H$37)</f>
        <v>36.840878092387236</v>
      </c>
      <c r="AC265" s="19">
        <f>IF(K265&gt;Forudsætninger!$C$42,IF(K265&gt;Forudsætninger!$C$43,IF(K265&gt;Forudsætninger!$C$44,Forudsætninger!$E$44,Forudsætninger!$E$43+Forudsætninger!$F$44*(K265-Forudsætninger!$C$43)),Forudsætninger!$E$42+Forudsætninger!$F$43*(K265-Forudsætninger!$C$42)),Forudsætninger!$E$42)+IF(K265&gt;Forudsætninger!$C$44,Forudsætninger!$G$44,IF(K265&gt;Forudsætninger!$C$43,Forudsætninger!$G$43+Forudsætninger!$H$44*(K265-Forudsætninger!$C$43),IF(K265&gt;Forudsætninger!$C$42,Forudsætninger!$G$42+Forudsætninger!$H$43*(K265-Forudsætninger!$C$42),Forudsætninger!$G$42)))*(V265-Forudsætninger!$H$42)</f>
        <v>31.248246415394501</v>
      </c>
      <c r="AD265" s="19">
        <f t="shared" si="113"/>
        <v>8488.4348905580373</v>
      </c>
      <c r="AE265" s="19">
        <f t="shared" si="114"/>
        <v>36.729025458847381</v>
      </c>
      <c r="AF265">
        <f>IF(G265&lt;=Forudsætninger!$C$97,Forudsætninger!$C$98,(IF(G265&lt;=Forudsætninger!$D$97,Forudsætninger!$D$98,IF(G265&lt;=Forudsætninger!$E$97,Forudsætninger!$E$98,IF(G265&lt;=Forudsætninger!$F$97,Forudsætninger!$F$98,IF(G265&lt;=Forudsætninger!$G$97,Forudsætninger!$G$98,IF(G265&lt;=Forudsætninger!$H$97,Forudsætninger!$H$98,IF(G265&lt;=Forudsætninger!$I$97,Forudsætninger!$I$98,Forudsætninger!$I$98))))))))</f>
        <v>4.4000000000000004</v>
      </c>
      <c r="AG265" s="1">
        <f t="shared" si="123"/>
        <v>4.4000000000000004</v>
      </c>
      <c r="AH265" s="1">
        <f t="shared" si="127"/>
        <v>841.39999999999679</v>
      </c>
      <c r="AI265" s="1">
        <f t="shared" si="115"/>
        <v>3.1992395437262235</v>
      </c>
      <c r="AJ265" s="20">
        <f>+(W265*Forudsætninger!$C$12)</f>
        <v>900</v>
      </c>
      <c r="AK265" s="20">
        <f>Forudsætninger!$C$17</f>
        <v>250</v>
      </c>
      <c r="AL265" s="20">
        <f>IF(A265&lt;92,Forudsætninger!$C$20,Forudsætninger!$C$21)</f>
        <v>1.0566762728146013</v>
      </c>
      <c r="AM265" s="20">
        <f t="shared" si="124"/>
        <v>546.41134260353158</v>
      </c>
      <c r="AN265" s="19">
        <f>IFERROR(AD265+AJ265-AA265-Z265-AK265-AM265-Forudsætninger!$D$75,-99999)</f>
        <v>1945.1374052203585</v>
      </c>
      <c r="AO265" s="57">
        <f>IFERROR(AN265/(A265+Forudsætninger!$D$74),-99999)</f>
        <v>7.3959597156667618</v>
      </c>
      <c r="AP265" s="19">
        <f>IFERROR(((365/(A265+Forudsætninger!$D$74))*AN265)/(AI265+Forudsætninger!$D$73),-99999)</f>
        <v>815.7539702244361</v>
      </c>
      <c r="AQ265" s="18">
        <f t="shared" si="128"/>
        <v>263</v>
      </c>
      <c r="AR265" s="18">
        <f t="shared" si="129"/>
        <v>7225.405511636719</v>
      </c>
      <c r="AS265" s="50">
        <f t="shared" si="130"/>
        <v>9.8000000000000007</v>
      </c>
      <c r="AT265" s="50">
        <f t="shared" si="131"/>
        <v>6.3689838339346352</v>
      </c>
      <c r="AU265" s="50">
        <f t="shared" si="132"/>
        <v>-3.9197552737872954E-3</v>
      </c>
      <c r="AV265" s="2">
        <f t="shared" si="133"/>
        <v>-1.5642642885658233</v>
      </c>
      <c r="AW265" s="16">
        <f t="shared" si="125"/>
        <v>9.4735693833607986</v>
      </c>
      <c r="AZ265" s="16"/>
      <c r="BA265" s="2"/>
    </row>
    <row r="266" spans="1:58" x14ac:dyDescent="0.25">
      <c r="A266">
        <v>264</v>
      </c>
      <c r="B266" s="1">
        <f>ROUND((A266+Forudsætninger!$D$60)/30.4,1)</f>
        <v>9.8000000000000007</v>
      </c>
      <c r="C266" s="1">
        <f>VLOOKUP((A266+Forudsætninger!$D$60),'Model tilvækst, slagteform, fe'!A:C,3,FALSE)</f>
        <v>501.42303661068036</v>
      </c>
      <c r="D266" s="3">
        <f t="shared" si="134"/>
        <v>1424.3415335757277</v>
      </c>
      <c r="E266" s="3">
        <f>(1+Forudsætninger!$D$78)*C266</f>
        <v>421.19535075297148</v>
      </c>
      <c r="F266" s="2">
        <f t="shared" si="116"/>
        <v>0</v>
      </c>
      <c r="G266" s="1">
        <f t="shared" si="109"/>
        <v>421.19535075297148</v>
      </c>
      <c r="H266" s="3">
        <f t="shared" si="117"/>
        <v>1196.4468882035817</v>
      </c>
      <c r="I266" s="3">
        <f t="shared" si="118"/>
        <v>1322.7096619430738</v>
      </c>
      <c r="J266" s="1">
        <f>VLOOKUP((A266+Forudsætninger!$D$60),'Model tilvækst, slagteform, fe'!G:K,3,FALSE)*(1+Forudsætninger!$D$79)</f>
        <v>55.032884447407731</v>
      </c>
      <c r="K266" s="17">
        <f t="shared" si="110"/>
        <v>231.79595067773647</v>
      </c>
      <c r="L266" s="17">
        <f t="shared" si="119"/>
        <v>686.22793083679312</v>
      </c>
      <c r="M266" s="3">
        <f>((K266-(('Model tilvækst, slagteform, fe'!$I$9/100)*'Model tilvækst, slagteform, fe'!$C$9))*1000/(A266+Forudsætninger!$D$60))</f>
        <v>704.95767691733931</v>
      </c>
      <c r="N266" s="17">
        <f t="shared" si="120"/>
        <v>1485.2267448613893</v>
      </c>
      <c r="O266" s="19">
        <f>IF( A266&lt;Forudsætninger!$C$14,(G266/100)*Forudsætninger!$C$13,(Forudsætninger!$C$15/1000)*Forudsætninger!$C$13)</f>
        <v>2.7377697798943146</v>
      </c>
      <c r="P266" s="17" cm="1">
        <f t="array" ref="P266">INDEX('Model tilvækst, slagteform, fe'!$O$9:$O$375,MATCH(MIN(ABS('Model tilvækst, slagteform, fe'!$M$9:$M$375-G266)),ABS('Model tilvækst, slagteform, fe'!$M$9:$M$375-G266),0))*(1+Forudsætninger!$D$80)</f>
        <v>7.823076826309066</v>
      </c>
      <c r="Q266" s="17">
        <f t="shared" si="121"/>
        <v>11.400114269277161</v>
      </c>
      <c r="R266" s="17">
        <f t="shared" si="122"/>
        <v>7.5454925560143575</v>
      </c>
      <c r="S266" s="2">
        <f t="shared" si="111"/>
        <v>4.2532832744158489</v>
      </c>
      <c r="T266" s="19">
        <f>(P266)*IF(N266&lt;Forudsætninger!$B$228,IF(N266&lt;Forudsætninger!$B$227,Forudsætninger!$B$225,Forudsætninger!$C$9),Forudsætninger!$C$11)+O266</f>
        <v>21.043769553457526</v>
      </c>
      <c r="U266" s="2">
        <f>Forudsætninger!$D$68+((K266-(Forudsætninger!$D$84)))*0.01</f>
        <v>7.4575701881370167</v>
      </c>
      <c r="V266" s="2">
        <f>U266+Forudsætninger!$D$69</f>
        <v>7.4575701881370167</v>
      </c>
      <c r="W266">
        <f t="shared" si="112"/>
        <v>1</v>
      </c>
      <c r="X266">
        <f>IF(A266+Forudsætninger!$D$60&gt;248,IF(A266+Forudsætninger!$D$60&lt;365,IF(K266&gt;180,IF(K266&lt;260,1,0),0),0),0)</f>
        <v>1</v>
      </c>
      <c r="Y266" s="22">
        <f>IF(X266=0,0,IF('Vækstfunktion, kry tyr'!A266&lt;Forudsætninger!$D$66,Forudsætninger!$D$67+(('Vækstfunktion, kry tyr'!A266-Forudsætninger!$D$66)/7)*Forudsætninger!$D$64,Forudsætninger!$D$67))</f>
        <v>0.98</v>
      </c>
      <c r="Z266" s="19">
        <f t="shared" si="126"/>
        <v>4395.0379385866445</v>
      </c>
      <c r="AA266" s="19">
        <f>Forudsætninger!$D$62+Forudsætninger!$C$16</f>
        <v>2055</v>
      </c>
      <c r="AB266" s="19">
        <f>IF(K266&gt;Forudsætninger!$C$37,IF(K266&gt;Forudsætninger!$C$38,IF(K266&gt;Forudsætninger!$C$39,Forudsætninger!$E$39,Forudsætninger!$E$38+Forudsætninger!$F$39*(K266-Forudsætninger!$C$38)),Forudsætninger!$E$37+Forudsætninger!$F$38*(K266-Forudsætninger!$C$37)),Forudsætninger!$E$37)+IF(K266&gt;Forudsætninger!$C$39,Forudsætninger!$G$39,IF(K266&gt;Forudsætninger!$C$38,Forudsætninger!$G$38+Forudsætninger!$H$39*(K266-Forudsætninger!$C$38),IF(K266&gt;Forudsætninger!$C$37,Forudsætninger!$G$37+Forudsætninger!$H$38*(K266-Forudsætninger!$C$37),Forudsætninger!$G$37)))*(U266-Forudsætninger!$H$37)</f>
        <v>36.854431094021258</v>
      </c>
      <c r="AC266" s="19">
        <f>IF(K266&gt;Forudsætninger!$C$42,IF(K266&gt;Forudsætninger!$C$43,IF(K266&gt;Forudsætninger!$C$44,Forudsætninger!$E$44,Forudsætninger!$E$43+Forudsætninger!$F$44*(K266-Forudsætninger!$C$43)),Forudsætninger!$E$42+Forudsætninger!$F$43*(K266-Forudsætninger!$C$42)),Forudsætninger!$E$42)+IF(K266&gt;Forudsætninger!$C$44,Forudsætninger!$G$44,IF(K266&gt;Forudsætninger!$C$43,Forudsætninger!$G$43+Forudsætninger!$H$44*(K266-Forudsætninger!$C$43),IF(K266&gt;Forudsætninger!$C$42,Forudsætninger!$G$42+Forudsætninger!$H$43*(K266-Forudsætninger!$C$42),Forudsætninger!$G$42)))*(V266-Forudsætninger!$H$42)</f>
        <v>31.265732836333594</v>
      </c>
      <c r="AD266" s="19">
        <f t="shared" si="113"/>
        <v>8516.7991396119542</v>
      </c>
      <c r="AE266" s="19">
        <f t="shared" si="114"/>
        <v>36.742657128867506</v>
      </c>
      <c r="AF266">
        <f>IF(G266&lt;=Forudsætninger!$C$97,Forudsætninger!$C$98,(IF(G266&lt;=Forudsætninger!$D$97,Forudsætninger!$D$98,IF(G266&lt;=Forudsætninger!$E$97,Forudsætninger!$E$98,IF(G266&lt;=Forudsætninger!$F$97,Forudsætninger!$F$98,IF(G266&lt;=Forudsætninger!$G$97,Forudsætninger!$G$98,IF(G266&lt;=Forudsætninger!$H$97,Forudsætninger!$H$98,IF(G266&lt;=Forudsætninger!$I$97,Forudsætninger!$I$98,Forudsætninger!$I$98))))))))</f>
        <v>4.4000000000000004</v>
      </c>
      <c r="AG266" s="1">
        <f t="shared" si="123"/>
        <v>4.4000000000000004</v>
      </c>
      <c r="AH266" s="1">
        <f t="shared" si="127"/>
        <v>845.79999999999677</v>
      </c>
      <c r="AI266" s="1">
        <f t="shared" si="115"/>
        <v>3.2037878787878666</v>
      </c>
      <c r="AJ266" s="20">
        <f>+(W266*Forudsætninger!$C$12)</f>
        <v>900</v>
      </c>
      <c r="AK266" s="20">
        <f>Forudsætninger!$C$17</f>
        <v>250</v>
      </c>
      <c r="AL266" s="20">
        <f>IF(A266&lt;92,Forudsætninger!$C$20,Forudsætninger!$C$21)</f>
        <v>1.0566762728146013</v>
      </c>
      <c r="AM266" s="20">
        <f t="shared" si="124"/>
        <v>547.46801887634615</v>
      </c>
      <c r="AN266" s="19">
        <f>IFERROR(AD266+AJ266-AA266-Z266-AK266-AM266-Forudsætninger!$D$75,-99999)</f>
        <v>1951.4012084480034</v>
      </c>
      <c r="AO266" s="57">
        <f>IFERROR(AN266/(A266+Forudsætninger!$D$74),-99999)</f>
        <v>7.3916712441212251</v>
      </c>
      <c r="AP266" s="19">
        <f>IFERROR(((365/(A266+Forudsætninger!$D$74))*AN266)/(AI266+Forudsætninger!$D$73),-99999)</f>
        <v>814.16195085218317</v>
      </c>
      <c r="AQ266" s="18">
        <f t="shared" si="128"/>
        <v>264</v>
      </c>
      <c r="AR266" s="18">
        <f t="shared" si="129"/>
        <v>7247.5059574629904</v>
      </c>
      <c r="AS266" s="50">
        <f t="shared" si="130"/>
        <v>9.8000000000000007</v>
      </c>
      <c r="AT266" s="50">
        <f t="shared" si="131"/>
        <v>6.2638032276449849</v>
      </c>
      <c r="AU266" s="50">
        <f t="shared" si="132"/>
        <v>-4.2884715455366873E-3</v>
      </c>
      <c r="AV266" s="2">
        <f t="shared" si="133"/>
        <v>-1.5920193722529348</v>
      </c>
      <c r="AW266" s="16">
        <f t="shared" si="125"/>
        <v>9.4654137398649603</v>
      </c>
      <c r="AZ266" s="16"/>
      <c r="BA266" s="2"/>
    </row>
    <row r="267" spans="1:58" x14ac:dyDescent="0.25">
      <c r="A267">
        <v>265</v>
      </c>
      <c r="B267" s="1">
        <f>ROUND((A267+Forudsætninger!$D$60)/30.4,1)</f>
        <v>9.8000000000000007</v>
      </c>
      <c r="C267" s="1">
        <f>VLOOKUP((A267+Forudsætninger!$D$60),'Model tilvækst, slagteform, fe'!A:C,3,FALSE)</f>
        <v>502.84270232326298</v>
      </c>
      <c r="D267" s="3">
        <f t="shared" si="134"/>
        <v>1419.6657125826277</v>
      </c>
      <c r="E267" s="3">
        <f>(1+Forudsætninger!$D$78)*C267</f>
        <v>422.38786995154089</v>
      </c>
      <c r="F267" s="2">
        <f t="shared" si="116"/>
        <v>0</v>
      </c>
      <c r="G267" s="1">
        <f t="shared" si="109"/>
        <v>422.38786995154089</v>
      </c>
      <c r="H267" s="3">
        <f t="shared" si="117"/>
        <v>1192.5191985694141</v>
      </c>
      <c r="I267" s="3">
        <f t="shared" si="118"/>
        <v>1322.2183771756261</v>
      </c>
      <c r="J267" s="1">
        <f>VLOOKUP((A267+Forudsætninger!$D$60),'Model tilvækst, slagteform, fe'!G:K,3,FALSE)*(1+Forudsætninger!$D$79)</f>
        <v>55.039512342930927</v>
      </c>
      <c r="K267" s="17">
        <f t="shared" si="110"/>
        <v>232.4802238170214</v>
      </c>
      <c r="L267" s="17">
        <f t="shared" si="119"/>
        <v>684.27313928492595</v>
      </c>
      <c r="M267" s="3">
        <f>((K267-(('Model tilvækst, slagteform, fe'!$I$9/100)*'Model tilvækst, slagteform, fe'!$C$9))*1000/(A267+Forudsætninger!$D$60))</f>
        <v>704.88849786171249</v>
      </c>
      <c r="N267" s="17">
        <f t="shared" si="120"/>
        <v>1493.0643380508732</v>
      </c>
      <c r="O267" s="19">
        <f>IF( A267&lt;Forudsætninger!$C$14,(G267/100)*Forudsætninger!$C$13,(Forudsætninger!$C$15/1000)*Forudsætninger!$C$13)</f>
        <v>2.745521154685016</v>
      </c>
      <c r="P267" s="17" cm="1">
        <f t="array" ref="P267">INDEX('Model tilvækst, slagteform, fe'!$O$9:$O$375,MATCH(MIN(ABS('Model tilvækst, slagteform, fe'!$M$9:$M$375-G267)),ABS('Model tilvækst, slagteform, fe'!$M$9:$M$375-G267),0))*(1+Forudsætninger!$D$80)</f>
        <v>7.8375931894838073</v>
      </c>
      <c r="Q267" s="17">
        <f t="shared" si="121"/>
        <v>11.453895731862559</v>
      </c>
      <c r="R267" s="17">
        <f t="shared" si="122"/>
        <v>7.5590324897665218</v>
      </c>
      <c r="S267" s="2">
        <f t="shared" si="111"/>
        <v>4.2611758742029684</v>
      </c>
      <c r="T267" s="19">
        <f>(P267)*IF(N267&lt;Forudsætninger!$B$228,IF(N267&lt;Forudsætninger!$B$227,Forudsætninger!$B$225,Forudsætninger!$C$9),Forudsætninger!$C$11)+O267</f>
        <v>21.085489218077122</v>
      </c>
      <c r="U267" s="2">
        <f>Forudsætninger!$D$68+((K267-(Forudsætninger!$D$84)))*0.01</f>
        <v>7.4644129195298667</v>
      </c>
      <c r="V267" s="2">
        <f>U267+Forudsætninger!$D$69</f>
        <v>7.4644129195298667</v>
      </c>
      <c r="W267">
        <f t="shared" si="112"/>
        <v>1</v>
      </c>
      <c r="X267">
        <f>IF(A267+Forudsætninger!$D$60&gt;248,IF(A267+Forudsætninger!$D$60&lt;365,IF(K267&gt;180,IF(K267&lt;260,1,0),0),0),0)</f>
        <v>1</v>
      </c>
      <c r="Y267" s="22">
        <f>IF(X267=0,0,IF('Vækstfunktion, kry tyr'!A267&lt;Forudsætninger!$D$66,Forudsætninger!$D$67+(('Vækstfunktion, kry tyr'!A267-Forudsætninger!$D$66)/7)*Forudsætninger!$D$64,Forudsætninger!$D$67))</f>
        <v>0.98</v>
      </c>
      <c r="Z267" s="19">
        <f t="shared" si="126"/>
        <v>4416.1234278047214</v>
      </c>
      <c r="AA267" s="19">
        <f>Forudsætninger!$D$62+Forudsætninger!$C$16</f>
        <v>2055</v>
      </c>
      <c r="AB267" s="19">
        <f>IF(K267&gt;Forudsætninger!$C$37,IF(K267&gt;Forudsætninger!$C$38,IF(K267&gt;Forudsætninger!$C$39,Forudsætninger!$E$39,Forudsætninger!$E$38+Forudsætninger!$F$39*(K267-Forudsætninger!$C$38)),Forudsætninger!$E$37+Forudsætninger!$F$38*(K267-Forudsætninger!$C$37)),Forudsætninger!$E$37)+IF(K267&gt;Forudsætninger!$C$39,Forudsætninger!$G$39,IF(K267&gt;Forudsætninger!$C$38,Forudsætninger!$G$38+Forudsætninger!$H$39*(K267-Forudsætninger!$C$38),IF(K267&gt;Forudsætninger!$C$37,Forudsætninger!$G$37+Forudsætninger!$H$38*(K267-Forudsætninger!$C$37),Forudsætninger!$G$37)))*(U267-Forudsætninger!$H$37)</f>
        <v>36.867945488522139</v>
      </c>
      <c r="AC267" s="19">
        <f>IF(K267&gt;Forudsætninger!$C$42,IF(K267&gt;Forudsætninger!$C$43,IF(K267&gt;Forudsætninger!$C$44,Forudsætninger!$E$44,Forudsætninger!$E$43+Forudsætninger!$F$44*(K267-Forudsætninger!$C$43)),Forudsætninger!$E$42+Forudsætninger!$F$43*(K267-Forudsætninger!$C$42)),Forudsætninger!$E$42)+IF(K267&gt;Forudsætninger!$C$44,Forudsætninger!$G$44,IF(K267&gt;Forudsætninger!$C$43,Forudsætninger!$G$43+Forudsætninger!$H$44*(K267-Forudsætninger!$C$43),IF(K267&gt;Forudsætninger!$C$42,Forudsætninger!$G$42+Forudsætninger!$H$43*(K267-Forudsætninger!$C$42),Forudsætninger!$G$42)))*(V267-Forudsætninger!$H$42)</f>
        <v>31.283149907947063</v>
      </c>
      <c r="AD267" s="19">
        <f t="shared" si="113"/>
        <v>8545.1011283144835</v>
      </c>
      <c r="AE267" s="19">
        <f t="shared" si="114"/>
        <v>36.756249576910641</v>
      </c>
      <c r="AF267">
        <f>IF(G267&lt;=Forudsætninger!$C$97,Forudsætninger!$C$98,(IF(G267&lt;=Forudsætninger!$D$97,Forudsætninger!$D$98,IF(G267&lt;=Forudsætninger!$E$97,Forudsætninger!$E$98,IF(G267&lt;=Forudsætninger!$F$97,Forudsætninger!$F$98,IF(G267&lt;=Forudsætninger!$G$97,Forudsætninger!$G$98,IF(G267&lt;=Forudsætninger!$H$97,Forudsætninger!$H$98,IF(G267&lt;=Forudsætninger!$I$97,Forudsætninger!$I$98,Forudsætninger!$I$98))))))))</f>
        <v>4.4000000000000004</v>
      </c>
      <c r="AG267" s="1">
        <f t="shared" si="123"/>
        <v>4.4000000000000004</v>
      </c>
      <c r="AH267" s="1">
        <f t="shared" si="127"/>
        <v>850.19999999999675</v>
      </c>
      <c r="AI267" s="1">
        <f t="shared" si="115"/>
        <v>3.2083018867924404</v>
      </c>
      <c r="AJ267" s="20">
        <f>+(W267*Forudsætninger!$C$12)</f>
        <v>900</v>
      </c>
      <c r="AK267" s="20">
        <f>Forudsætninger!$C$17</f>
        <v>250</v>
      </c>
      <c r="AL267" s="20">
        <f>IF(A267&lt;92,Forudsætninger!$C$20,Forudsætninger!$C$21)</f>
        <v>1.0566762728146013</v>
      </c>
      <c r="AM267" s="20">
        <f t="shared" si="124"/>
        <v>548.52469514916072</v>
      </c>
      <c r="AN267" s="19">
        <f>IFERROR(AD267+AJ267-AA267-Z267-AK267-AM267-Forudsætninger!$D$75,-99999)</f>
        <v>1957.561031659641</v>
      </c>
      <c r="AO267" s="57">
        <f>IFERROR(AN267/(A267+Forudsætninger!$D$74),-99999)</f>
        <v>7.3870227609797769</v>
      </c>
      <c r="AP267" s="19">
        <f>IFERROR(((365/(A267+Forudsætninger!$D$74))*AN267)/(AI267+Forudsætninger!$D$73),-99999)</f>
        <v>812.54310178628714</v>
      </c>
      <c r="AQ267" s="18">
        <f t="shared" si="128"/>
        <v>265</v>
      </c>
      <c r="AR267" s="18">
        <f t="shared" si="129"/>
        <v>7269.6481229538822</v>
      </c>
      <c r="AS267" s="50">
        <f t="shared" si="130"/>
        <v>9.8000000000000007</v>
      </c>
      <c r="AT267" s="50">
        <f t="shared" si="131"/>
        <v>6.1598232116375584</v>
      </c>
      <c r="AU267" s="50">
        <f t="shared" si="132"/>
        <v>-4.6484831414481675E-3</v>
      </c>
      <c r="AV267" s="2">
        <f t="shared" si="133"/>
        <v>-1.6188490658960291</v>
      </c>
      <c r="AW267" s="16">
        <f t="shared" si="125"/>
        <v>9.4569272709766103</v>
      </c>
      <c r="AZ267" s="16"/>
      <c r="BA267" s="2"/>
    </row>
    <row r="268" spans="1:58" x14ac:dyDescent="0.25">
      <c r="A268">
        <v>266</v>
      </c>
      <c r="B268" s="1">
        <f>ROUND((A268+Forudsætninger!$D$60)/30.4,1)</f>
        <v>9.9</v>
      </c>
      <c r="C268" s="1">
        <f>VLOOKUP((A268+Forudsætninger!$D$60),'Model tilvækst, slagteform, fe'!A:C,3,FALSE)</f>
        <v>504.25769884459305</v>
      </c>
      <c r="D268" s="3">
        <f t="shared" si="134"/>
        <v>1414.9965213300675</v>
      </c>
      <c r="E268" s="3">
        <f>(1+Forudsætninger!$D$78)*C268</f>
        <v>423.57646702945817</v>
      </c>
      <c r="F268" s="2">
        <f t="shared" si="116"/>
        <v>0</v>
      </c>
      <c r="G268" s="1">
        <f t="shared" si="109"/>
        <v>423.57646702945817</v>
      </c>
      <c r="H268" s="3">
        <f t="shared" si="117"/>
        <v>1188.5970779172794</v>
      </c>
      <c r="I268" s="3">
        <f t="shared" si="118"/>
        <v>1321.7160414641285</v>
      </c>
      <c r="J268" s="1">
        <f>VLOOKUP((A268+Forudsætninger!$D$60),'Model tilvækst, slagteform, fe'!G:K,3,FALSE)*(1+Forudsætninger!$D$79)</f>
        <v>55.046160301752863</v>
      </c>
      <c r="K268" s="17">
        <f t="shared" si="110"/>
        <v>233.16258104153692</v>
      </c>
      <c r="L268" s="17">
        <f t="shared" si="119"/>
        <v>682.35722451552761</v>
      </c>
      <c r="M268" s="3">
        <f>((K268-(('Model tilvækst, slagteform, fe'!$I$9/100)*'Model tilvækst, slagteform, fe'!$C$9))*1000/(A268+Forudsætninger!$D$60))</f>
        <v>704.81339361722542</v>
      </c>
      <c r="N268" s="17">
        <f t="shared" si="120"/>
        <v>1500.9165485489768</v>
      </c>
      <c r="O268" s="19">
        <f>IF( A268&lt;Forudsætninger!$C$14,(G268/100)*Forudsætninger!$C$13,(Forudsætninger!$C$15/1000)*Forudsætninger!$C$13)</f>
        <v>2.7532470356914787</v>
      </c>
      <c r="P268" s="17" cm="1">
        <f t="array" ref="P268">INDEX('Model tilvækst, slagteform, fe'!$O$9:$O$375,MATCH(MIN(ABS('Model tilvækst, slagteform, fe'!$M$9:$M$375-G268)),ABS('Model tilvækst, slagteform, fe'!$M$9:$M$375-G268),0))*(1+Forudsætninger!$D$80)</f>
        <v>7.852210498103692</v>
      </c>
      <c r="Q268" s="17">
        <f t="shared" si="121"/>
        <v>11.507477631937945</v>
      </c>
      <c r="R268" s="17">
        <f t="shared" si="122"/>
        <v>7.5726258822977703</v>
      </c>
      <c r="S268" s="2">
        <f t="shared" si="111"/>
        <v>4.2691041332502406</v>
      </c>
      <c r="T268" s="19">
        <f>(P268)*IF(N268&lt;Forudsætninger!$B$228,IF(N268&lt;Forudsætninger!$B$227,Forudsætninger!$B$225,Forudsætninger!$C$9),Forudsætninger!$C$11)+O268</f>
        <v>21.127419601254118</v>
      </c>
      <c r="U268" s="2">
        <f>Forudsætninger!$D$68+((K268-(Forudsætninger!$D$84)))*0.01</f>
        <v>7.4712364917750218</v>
      </c>
      <c r="V268" s="2">
        <f>U268+Forudsætninger!$D$69</f>
        <v>7.4712364917750218</v>
      </c>
      <c r="W268">
        <f t="shared" si="112"/>
        <v>1</v>
      </c>
      <c r="X268">
        <f>IF(A268+Forudsætninger!$D$60&gt;248,IF(A268+Forudsætninger!$D$60&lt;365,IF(K268&gt;180,IF(K268&lt;260,1,0),0),0),0)</f>
        <v>1</v>
      </c>
      <c r="Y268" s="22">
        <f>IF(X268=0,0,IF('Vækstfunktion, kry tyr'!A268&lt;Forudsætninger!$D$66,Forudsætninger!$D$67+(('Vækstfunktion, kry tyr'!A268-Forudsætninger!$D$66)/7)*Forudsætninger!$D$64,Forudsætninger!$D$67))</f>
        <v>0.98</v>
      </c>
      <c r="Z268" s="19">
        <f t="shared" si="126"/>
        <v>4437.250847405975</v>
      </c>
      <c r="AA268" s="19">
        <f>Forudsætninger!$D$62+Forudsætninger!$C$16</f>
        <v>2055</v>
      </c>
      <c r="AB268" s="19">
        <f>IF(K268&gt;Forudsætninger!$C$37,IF(K268&gt;Forudsætninger!$C$38,IF(K268&gt;Forudsætninger!$C$39,Forudsætninger!$E$39,Forudsætninger!$E$38+Forudsætninger!$F$39*(K268-Forudsætninger!$C$38)),Forudsætninger!$E$37+Forudsætninger!$F$38*(K268-Forudsætninger!$C$37)),Forudsætninger!$E$37)+IF(K268&gt;Forudsætninger!$C$39,Forudsætninger!$G$39,IF(K268&gt;Forudsætninger!$C$38,Forudsætninger!$G$38+Forudsætninger!$H$39*(K268-Forudsætninger!$C$38),IF(K268&gt;Forudsætninger!$C$37,Forudsætninger!$G$37+Forudsætninger!$H$38*(K268-Forudsætninger!$C$37),Forudsætninger!$G$37)))*(U268-Forudsætninger!$H$37)</f>
        <v>36.881422043706323</v>
      </c>
      <c r="AC268" s="19">
        <f>IF(K268&gt;Forudsætninger!$C$42,IF(K268&gt;Forudsætninger!$C$43,IF(K268&gt;Forudsætninger!$C$44,Forudsætninger!$E$44,Forudsætninger!$E$43+Forudsætninger!$F$44*(K268-Forudsætninger!$C$43)),Forudsætninger!$E$42+Forudsætninger!$F$43*(K268-Forudsætninger!$C$42)),Forudsætninger!$E$42)+IF(K268&gt;Forudsætninger!$C$44,Forudsætninger!$G$44,IF(K268&gt;Forudsætninger!$C$43,Forudsætninger!$G$43+Forudsætninger!$H$44*(K268-Forudsætninger!$C$43),IF(K268&gt;Forudsætninger!$C$42,Forudsætninger!$G$42+Forudsætninger!$H$43*(K268-Forudsætninger!$C$42),Forudsætninger!$G$42)))*(V268-Forudsætninger!$H$42)</f>
        <v>31.300498785322748</v>
      </c>
      <c r="AD268" s="19">
        <f t="shared" si="113"/>
        <v>8573.3423067624117</v>
      </c>
      <c r="AE268" s="19">
        <f t="shared" si="114"/>
        <v>36.769803578538649</v>
      </c>
      <c r="AF268">
        <f>IF(G268&lt;=Forudsætninger!$C$97,Forudsætninger!$C$98,(IF(G268&lt;=Forudsætninger!$D$97,Forudsætninger!$D$98,IF(G268&lt;=Forudsætninger!$E$97,Forudsætninger!$E$98,IF(G268&lt;=Forudsætninger!$F$97,Forudsætninger!$F$98,IF(G268&lt;=Forudsætninger!$G$97,Forudsætninger!$G$98,IF(G268&lt;=Forudsætninger!$H$97,Forudsætninger!$H$98,IF(G268&lt;=Forudsætninger!$I$97,Forudsætninger!$I$98,Forudsætninger!$I$98))))))))</f>
        <v>4.4000000000000004</v>
      </c>
      <c r="AG268" s="1">
        <f t="shared" si="123"/>
        <v>4.4000000000000004</v>
      </c>
      <c r="AH268" s="1">
        <f t="shared" si="127"/>
        <v>854.59999999999673</v>
      </c>
      <c r="AI268" s="1">
        <f t="shared" si="115"/>
        <v>3.2127819548872059</v>
      </c>
      <c r="AJ268" s="20">
        <f>+(W268*Forudsætninger!$C$12)</f>
        <v>900</v>
      </c>
      <c r="AK268" s="20">
        <f>Forudsætninger!$C$17</f>
        <v>250</v>
      </c>
      <c r="AL268" s="20">
        <f>IF(A268&lt;92,Forudsætninger!$C$20,Forudsætninger!$C$21)</f>
        <v>1.0566762728146013</v>
      </c>
      <c r="AM268" s="20">
        <f t="shared" si="124"/>
        <v>549.58137142197529</v>
      </c>
      <c r="AN268" s="19">
        <f>IFERROR(AD268+AJ268-AA268-Z268-AK268-AM268-Forudsætninger!$D$75,-99999)</f>
        <v>1963.618114233501</v>
      </c>
      <c r="AO268" s="57">
        <f>IFERROR(AN268/(A268+Forudsætninger!$D$74),-99999)</f>
        <v>7.3820229858402291</v>
      </c>
      <c r="AP268" s="19">
        <f>IFERROR(((365/(A268+Forudsætninger!$D$74))*AN268)/(AI268+Forudsætninger!$D$73),-99999)</f>
        <v>810.89834554706692</v>
      </c>
      <c r="AQ268" s="18">
        <f t="shared" si="128"/>
        <v>266</v>
      </c>
      <c r="AR268" s="18">
        <f t="shared" si="129"/>
        <v>7291.8322188279508</v>
      </c>
      <c r="AS268" s="50">
        <f t="shared" si="130"/>
        <v>9.9</v>
      </c>
      <c r="AT268" s="50">
        <f t="shared" si="131"/>
        <v>6.0570825738600433</v>
      </c>
      <c r="AU268" s="50">
        <f t="shared" si="132"/>
        <v>-4.9997751395478573E-3</v>
      </c>
      <c r="AV268" s="2">
        <f t="shared" si="133"/>
        <v>-1.6447562392202144</v>
      </c>
      <c r="AW268" s="16">
        <f t="shared" si="125"/>
        <v>9.4481183671258524</v>
      </c>
      <c r="AZ268" s="16"/>
      <c r="BA268" s="2"/>
    </row>
    <row r="269" spans="1:58" x14ac:dyDescent="0.25">
      <c r="A269">
        <v>267</v>
      </c>
      <c r="B269" s="1">
        <f>ROUND((A269+Forudsætninger!$D$60)/30.4,1)</f>
        <v>9.9</v>
      </c>
      <c r="C269" s="1">
        <f>VLOOKUP((A269+Forudsætninger!$D$60),'Model tilvækst, slagteform, fe'!A:C,3,FALSE)</f>
        <v>505.66803342534786</v>
      </c>
      <c r="D269" s="3">
        <f t="shared" si="134"/>
        <v>1410.3345807548067</v>
      </c>
      <c r="E269" s="3">
        <f>(1+Forudsætninger!$D$78)*C269</f>
        <v>424.76114807729221</v>
      </c>
      <c r="F269" s="2">
        <f t="shared" si="116"/>
        <v>0</v>
      </c>
      <c r="G269" s="1">
        <f t="shared" si="109"/>
        <v>424.76114807729221</v>
      </c>
      <c r="H269" s="3">
        <f t="shared" si="117"/>
        <v>1184.6810478340331</v>
      </c>
      <c r="I269" s="3">
        <f t="shared" si="118"/>
        <v>1321.2028017876112</v>
      </c>
      <c r="J269" s="1">
        <f>VLOOKUP((A269+Forudsætninger!$D$60),'Model tilvækst, slagteform, fe'!G:K,3,FALSE)*(1+Forudsætninger!$D$79)</f>
        <v>55.052836865435154</v>
      </c>
      <c r="K269" s="17">
        <f t="shared" si="110"/>
        <v>233.84306191874111</v>
      </c>
      <c r="L269" s="17">
        <f t="shared" si="119"/>
        <v>680.48087720418948</v>
      </c>
      <c r="M269" s="3">
        <f>((K269-(('Model tilvækst, slagteform, fe'!$I$9/100)*'Model tilvækst, slagteform, fe'!$C$9))*1000/(A269+Forudsætninger!$D$60))</f>
        <v>704.73255469226501</v>
      </c>
      <c r="N269" s="17">
        <f t="shared" si="120"/>
        <v>1508.7834749535771</v>
      </c>
      <c r="O269" s="19">
        <f>IF( A269&lt;Forudsætninger!$C$14,(G269/100)*Forudsætninger!$C$13,(Forudsætninger!$C$15/1000)*Forudsætninger!$C$13)</f>
        <v>2.7609474625023993</v>
      </c>
      <c r="P269" s="17" cm="1">
        <f t="array" ref="P269">INDEX('Model tilvækst, slagteform, fe'!$O$9:$O$375,MATCH(MIN(ABS('Model tilvækst, slagteform, fe'!$M$9:$M$375-G269)),ABS('Model tilvækst, slagteform, fe'!$M$9:$M$375-G269),0))*(1+Forudsætninger!$D$80)</f>
        <v>7.866926404600231</v>
      </c>
      <c r="Q269" s="17">
        <f t="shared" si="121"/>
        <v>11.560833916335948</v>
      </c>
      <c r="R269" s="17">
        <f t="shared" si="122"/>
        <v>7.5862715626996229</v>
      </c>
      <c r="S269" s="2">
        <f t="shared" si="111"/>
        <v>4.2770681612108632</v>
      </c>
      <c r="T269" s="19">
        <f>(P269)*IF(N269&lt;Forudsætninger!$B$228,IF(N269&lt;Forudsætninger!$B$227,Forudsætninger!$B$225,Forudsætninger!$C$9),Forudsætninger!$C$11)+O269</f>
        <v>21.169555249266939</v>
      </c>
      <c r="U269" s="2">
        <f>Forudsætninger!$D$68+((K269-(Forudsætninger!$D$84)))*0.01</f>
        <v>7.4780413005470638</v>
      </c>
      <c r="V269" s="2">
        <f>U269+Forudsætninger!$D$69</f>
        <v>7.4780413005470638</v>
      </c>
      <c r="W269">
        <f t="shared" si="112"/>
        <v>1</v>
      </c>
      <c r="X269">
        <f>IF(A269+Forudsætninger!$D$60&gt;248,IF(A269+Forudsætninger!$D$60&lt;365,IF(K269&gt;180,IF(K269&lt;260,1,0),0),0),0)</f>
        <v>1</v>
      </c>
      <c r="Y269" s="22">
        <f>IF(X269=0,0,IF('Vækstfunktion, kry tyr'!A269&lt;Forudsætninger!$D$66,Forudsætninger!$D$67+(('Vækstfunktion, kry tyr'!A269-Forudsætninger!$D$66)/7)*Forudsætninger!$D$64,Forudsætninger!$D$67))</f>
        <v>0.98</v>
      </c>
      <c r="Z269" s="19">
        <f t="shared" si="126"/>
        <v>4458.4204026552416</v>
      </c>
      <c r="AA269" s="19">
        <f>Forudsætninger!$D$62+Forudsætninger!$C$16</f>
        <v>2055</v>
      </c>
      <c r="AB269" s="19">
        <f>IF(K269&gt;Forudsætninger!$C$37,IF(K269&gt;Forudsætninger!$C$38,IF(K269&gt;Forudsætninger!$C$39,Forudsætninger!$E$39,Forudsætninger!$E$38+Forudsætninger!$F$39*(K269-Forudsætninger!$C$38)),Forudsætninger!$E$37+Forudsætninger!$F$38*(K269-Forudsætninger!$C$37)),Forudsætninger!$E$37)+IF(K269&gt;Forudsætninger!$C$39,Forudsætninger!$G$39,IF(K269&gt;Forudsætninger!$C$38,Forudsætninger!$G$38+Forudsætninger!$H$39*(K269-Forudsætninger!$C$38),IF(K269&gt;Forudsætninger!$C$37,Forudsætninger!$G$37+Forudsætninger!$H$38*(K269-Forudsætninger!$C$37),Forudsætninger!$G$37)))*(U269-Forudsætninger!$H$37)</f>
        <v>36.894861541031105</v>
      </c>
      <c r="AC269" s="19">
        <f>IF(K269&gt;Forudsætninger!$C$42,IF(K269&gt;Forudsætninger!$C$43,IF(K269&gt;Forudsætninger!$C$44,Forudsætninger!$E$44,Forudsætninger!$E$43+Forudsætninger!$F$44*(K269-Forudsætninger!$C$43)),Forudsætninger!$E$42+Forudsætninger!$F$43*(K269-Forudsætninger!$C$42)),Forudsætninger!$E$42)+IF(K269&gt;Forudsætninger!$C$44,Forudsætninger!$G$44,IF(K269&gt;Forudsætninger!$C$43,Forudsætninger!$G$43+Forudsætninger!$H$44*(K269-Forudsætninger!$C$43),IF(K269&gt;Forudsætninger!$C$42,Forudsætninger!$G$42+Forudsætninger!$H$43*(K269-Forudsætninger!$C$42),Forudsætninger!$G$42)))*(V269-Forudsætninger!$H$42)</f>
        <v>31.317780636193049</v>
      </c>
      <c r="AD269" s="19">
        <f t="shared" si="113"/>
        <v>8601.5241583156003</v>
      </c>
      <c r="AE269" s="19">
        <f t="shared" si="114"/>
        <v>36.783319922934346</v>
      </c>
      <c r="AF269">
        <f>IF(G269&lt;=Forudsætninger!$C$97,Forudsætninger!$C$98,(IF(G269&lt;=Forudsætninger!$D$97,Forudsætninger!$D$98,IF(G269&lt;=Forudsætninger!$E$97,Forudsætninger!$E$98,IF(G269&lt;=Forudsætninger!$F$97,Forudsætninger!$F$98,IF(G269&lt;=Forudsætninger!$G$97,Forudsætninger!$G$98,IF(G269&lt;=Forudsætninger!$H$97,Forudsætninger!$H$98,IF(G269&lt;=Forudsætninger!$I$97,Forudsætninger!$I$98,Forudsætninger!$I$98))))))))</f>
        <v>4.4000000000000004</v>
      </c>
      <c r="AG269" s="1">
        <f t="shared" si="123"/>
        <v>4.4000000000000004</v>
      </c>
      <c r="AH269" s="1">
        <f t="shared" si="127"/>
        <v>858.9999999999967</v>
      </c>
      <c r="AI269" s="1">
        <f t="shared" si="115"/>
        <v>3.2172284644194633</v>
      </c>
      <c r="AJ269" s="20">
        <f>+(W269*Forudsætninger!$C$12)</f>
        <v>900</v>
      </c>
      <c r="AK269" s="20">
        <f>Forudsætninger!$C$17</f>
        <v>250</v>
      </c>
      <c r="AL269" s="20">
        <f>IF(A269&lt;92,Forudsætninger!$C$20,Forudsætninger!$C$21)</f>
        <v>1.0566762728146013</v>
      </c>
      <c r="AM269" s="20">
        <f t="shared" si="124"/>
        <v>550.63804769478986</v>
      </c>
      <c r="AN269" s="19">
        <f>IFERROR(AD269+AJ269-AA269-Z269-AK269-AM269-Forudsætninger!$D$75,-99999)</f>
        <v>1969.5737342646087</v>
      </c>
      <c r="AO269" s="57">
        <f>IFERROR(AN269/(A269+Forudsætninger!$D$74),-99999)</f>
        <v>7.3766806526764368</v>
      </c>
      <c r="AP269" s="19">
        <f>IFERROR(((365/(A269+Forudsætninger!$D$74))*AN269)/(AI269+Forudsætninger!$D$73),-99999)</f>
        <v>809.22860182872557</v>
      </c>
      <c r="AQ269" s="18">
        <f t="shared" si="128"/>
        <v>267</v>
      </c>
      <c r="AR269" s="18">
        <f t="shared" si="129"/>
        <v>7314.0584503500313</v>
      </c>
      <c r="AS269" s="50">
        <f t="shared" si="130"/>
        <v>9.9</v>
      </c>
      <c r="AT269" s="50">
        <f t="shared" si="131"/>
        <v>5.9556200311076282</v>
      </c>
      <c r="AU269" s="50">
        <f t="shared" si="132"/>
        <v>-5.34233316379229E-3</v>
      </c>
      <c r="AV269" s="2">
        <f t="shared" si="133"/>
        <v>-1.6697437183413513</v>
      </c>
      <c r="AW269" s="16">
        <f t="shared" si="125"/>
        <v>9.438995438050183</v>
      </c>
      <c r="AZ269" s="16"/>
      <c r="BA269" s="2"/>
    </row>
    <row r="270" spans="1:58" x14ac:dyDescent="0.25">
      <c r="A270">
        <v>268</v>
      </c>
      <c r="B270" s="1">
        <f>ROUND((A270+Forudsætninger!$D$60)/30.4,1)</f>
        <v>9.9</v>
      </c>
      <c r="C270" s="1">
        <f>VLOOKUP((A270+Forudsætninger!$D$60),'Model tilvækst, slagteform, fe'!A:C,3,FALSE)</f>
        <v>507.07371393714163</v>
      </c>
      <c r="D270" s="3">
        <f t="shared" si="134"/>
        <v>1405.6805117937756</v>
      </c>
      <c r="E270" s="3">
        <f>(1+Forudsætninger!$D$78)*C270</f>
        <v>425.94191970719896</v>
      </c>
      <c r="F270" s="2">
        <f t="shared" si="116"/>
        <v>0</v>
      </c>
      <c r="G270" s="1">
        <f t="shared" si="109"/>
        <v>425.94191970719896</v>
      </c>
      <c r="H270" s="3">
        <f t="shared" si="117"/>
        <v>1180.7716299067579</v>
      </c>
      <c r="I270" s="3">
        <f t="shared" si="118"/>
        <v>1320.6788048776082</v>
      </c>
      <c r="J270" s="1">
        <f>VLOOKUP((A270+Forudsætninger!$D$60),'Model tilvækst, slagteform, fe'!G:K,3,FALSE)*(1+Forudsætninger!$D$79)</f>
        <v>55.059550575539411</v>
      </c>
      <c r="K270" s="17">
        <f t="shared" si="110"/>
        <v>234.52170670360866</v>
      </c>
      <c r="L270" s="17">
        <f t="shared" si="119"/>
        <v>678.64478486754365</v>
      </c>
      <c r="M270" s="3">
        <f>((K270-(('Model tilvækst, slagteform, fe'!$I$9/100)*'Model tilvækst, slagteform, fe'!$C$9))*1000/(A270+Forudsætninger!$D$60))</f>
        <v>704.6461713484747</v>
      </c>
      <c r="N270" s="17">
        <f t="shared" si="120"/>
        <v>1516.665213514982</v>
      </c>
      <c r="O270" s="19">
        <f>IF( A270&lt;Forudsætninger!$C$14,(G270/100)*Forudsætninger!$C$13,(Forudsætninger!$C$15/1000)*Forudsætninger!$C$13)</f>
        <v>2.768622478096793</v>
      </c>
      <c r="P270" s="17" cm="1">
        <f t="array" ref="P270">INDEX('Model tilvækst, slagteform, fe'!$O$9:$O$375,MATCH(MIN(ABS('Model tilvækst, slagteform, fe'!$M$9:$M$375-G270)),ABS('Model tilvækst, slagteform, fe'!$M$9:$M$375-G270),0))*(1+Forudsætninger!$D$80)</f>
        <v>7.8817385614049291</v>
      </c>
      <c r="Q270" s="17">
        <f t="shared" si="121"/>
        <v>11.613938156090404</v>
      </c>
      <c r="R270" s="17">
        <f t="shared" si="122"/>
        <v>7.5999683302585055</v>
      </c>
      <c r="S270" s="2">
        <f t="shared" si="111"/>
        <v>4.2850680551477325</v>
      </c>
      <c r="T270" s="19">
        <f>(P270)*IF(N270&lt;Forudsætninger!$B$228,IF(N270&lt;Forudsætninger!$B$227,Forudsætninger!$B$225,Forudsætninger!$C$9),Forudsætninger!$C$11)+O270</f>
        <v>21.211890711784328</v>
      </c>
      <c r="U270" s="2">
        <f>Forudsætninger!$D$68+((K270-(Forudsætninger!$D$84)))*0.01</f>
        <v>7.4848277483957393</v>
      </c>
      <c r="V270" s="2">
        <f>U270+Forudsætninger!$D$69</f>
        <v>7.4848277483957393</v>
      </c>
      <c r="W270">
        <f t="shared" si="112"/>
        <v>1</v>
      </c>
      <c r="X270">
        <f>IF(A270+Forudsætninger!$D$60&gt;248,IF(A270+Forudsætninger!$D$60&lt;365,IF(K270&gt;180,IF(K270&lt;260,1,0),0),0),0)</f>
        <v>1</v>
      </c>
      <c r="Y270" s="22">
        <f>IF(X270=0,0,IF('Vækstfunktion, kry tyr'!A270&lt;Forudsætninger!$D$66,Forudsætninger!$D$67+(('Vækstfunktion, kry tyr'!A270-Forudsætninger!$D$66)/7)*Forudsætninger!$D$64,Forudsætninger!$D$67))</f>
        <v>0.98</v>
      </c>
      <c r="Z270" s="19">
        <f t="shared" si="126"/>
        <v>4479.6322933670263</v>
      </c>
      <c r="AA270" s="19">
        <f>Forudsætninger!$D$62+Forudsætninger!$C$16</f>
        <v>2055</v>
      </c>
      <c r="AB270" s="19">
        <f>IF(K270&gt;Forudsætninger!$C$37,IF(K270&gt;Forudsætninger!$C$38,IF(K270&gt;Forudsætninger!$C$39,Forudsætninger!$E$39,Forudsætninger!$E$38+Forudsætninger!$F$39*(K270-Forudsætninger!$C$38)),Forudsætninger!$E$37+Forudsætninger!$F$38*(K270-Forudsætninger!$C$37)),Forudsætninger!$E$37)+IF(K270&gt;Forudsætninger!$C$39,Forudsætninger!$G$39,IF(K270&gt;Forudsætninger!$C$38,Forudsætninger!$G$38+Forudsætninger!$H$39*(K270-Forudsætninger!$C$38),IF(K270&gt;Forudsætninger!$C$37,Forudsætninger!$G$37+Forudsætninger!$H$38*(K270-Forudsætninger!$C$37),Forudsætninger!$G$37)))*(U270-Forudsætninger!$H$37)</f>
        <v>36.908264775532238</v>
      </c>
      <c r="AC270" s="19">
        <f>IF(K270&gt;Forudsætninger!$C$42,IF(K270&gt;Forudsætninger!$C$43,IF(K270&gt;Forudsætninger!$C$44,Forudsætninger!$E$44,Forudsætninger!$E$43+Forudsætninger!$F$44*(K270-Forudsætninger!$C$43)),Forudsætninger!$E$42+Forudsætninger!$F$43*(K270-Forudsætninger!$C$42)),Forudsætninger!$E$42)+IF(K270&gt;Forudsætninger!$C$44,Forudsætninger!$G$44,IF(K270&gt;Forudsætninger!$C$43,Forudsætninger!$G$43+Forudsætninger!$H$44*(K270-Forudsætninger!$C$43),IF(K270&gt;Forudsætninger!$C$42,Forudsætninger!$G$42+Forudsætninger!$H$43*(K270-Forudsætninger!$C$42),Forudsætninger!$G$42)))*(V270-Forudsætninger!$H$42)</f>
        <v>31.334996640787882</v>
      </c>
      <c r="AD270" s="19">
        <f t="shared" si="113"/>
        <v>8629.6481995289614</v>
      </c>
      <c r="AE270" s="19">
        <f t="shared" si="114"/>
        <v>36.796799412837352</v>
      </c>
      <c r="AF270">
        <f>IF(G270&lt;=Forudsætninger!$C$97,Forudsætninger!$C$98,(IF(G270&lt;=Forudsætninger!$D$97,Forudsætninger!$D$98,IF(G270&lt;=Forudsætninger!$E$97,Forudsætninger!$E$98,IF(G270&lt;=Forudsætninger!$F$97,Forudsætninger!$F$98,IF(G270&lt;=Forudsætninger!$G$97,Forudsætninger!$G$98,IF(G270&lt;=Forudsætninger!$H$97,Forudsætninger!$H$98,IF(G270&lt;=Forudsætninger!$I$97,Forudsætninger!$I$98,Forudsætninger!$I$98))))))))</f>
        <v>4.4000000000000004</v>
      </c>
      <c r="AG270" s="1">
        <f t="shared" si="123"/>
        <v>4.4000000000000004</v>
      </c>
      <c r="AH270" s="1">
        <f t="shared" si="127"/>
        <v>863.39999999999668</v>
      </c>
      <c r="AI270" s="1">
        <f t="shared" si="115"/>
        <v>3.2216417910447639</v>
      </c>
      <c r="AJ270" s="20">
        <f>+(W270*Forudsætninger!$C$12)</f>
        <v>900</v>
      </c>
      <c r="AK270" s="20">
        <f>Forudsætninger!$C$17</f>
        <v>250</v>
      </c>
      <c r="AL270" s="20">
        <f>IF(A270&lt;92,Forudsætninger!$C$20,Forudsætninger!$C$21)</f>
        <v>1.0566762728146013</v>
      </c>
      <c r="AM270" s="20">
        <f t="shared" si="124"/>
        <v>551.69472396760443</v>
      </c>
      <c r="AN270" s="19">
        <f>IFERROR(AD270+AJ270-AA270-Z270-AK270-AM270-Forudsætninger!$D$75,-99999)</f>
        <v>1975.4292084933702</v>
      </c>
      <c r="AO270" s="57">
        <f>IFERROR(AN270/(A270+Forudsætninger!$D$74),-99999)</f>
        <v>7.3710045093036198</v>
      </c>
      <c r="AP270" s="19">
        <f>IFERROR(((365/(A270+Forudsætninger!$D$74))*AN270)/(AI270+Forudsætninger!$D$73),-99999)</f>
        <v>807.53478754153161</v>
      </c>
      <c r="AQ270" s="18">
        <f t="shared" si="128"/>
        <v>268</v>
      </c>
      <c r="AR270" s="18">
        <f t="shared" si="129"/>
        <v>7336.3270173346309</v>
      </c>
      <c r="AS270" s="50">
        <f t="shared" si="130"/>
        <v>9.9</v>
      </c>
      <c r="AT270" s="50">
        <f t="shared" si="131"/>
        <v>5.8554742287615227</v>
      </c>
      <c r="AU270" s="50">
        <f t="shared" si="132"/>
        <v>-5.6761433728169663E-3</v>
      </c>
      <c r="AV270" s="2">
        <f t="shared" si="133"/>
        <v>-1.693814287193959</v>
      </c>
      <c r="AW270" s="16">
        <f t="shared" si="125"/>
        <v>9.4295669121678163</v>
      </c>
      <c r="AZ270" s="16"/>
      <c r="BA270" s="2"/>
    </row>
    <row r="271" spans="1:58" x14ac:dyDescent="0.25">
      <c r="A271">
        <v>269</v>
      </c>
      <c r="B271" s="1">
        <f>ROUND((A271+Forudsætninger!$D$60)/30.4,1)</f>
        <v>10</v>
      </c>
      <c r="C271" s="1">
        <f>VLOOKUP((A271+Forudsætninger!$D$60),'Model tilvækst, slagteform, fe'!A:C,3,FALSE)</f>
        <v>508.4747488725252</v>
      </c>
      <c r="D271" s="3">
        <f t="shared" si="134"/>
        <v>1401.0349353835636</v>
      </c>
      <c r="E271" s="3">
        <f>(1+Forudsætninger!$D$78)*C271</f>
        <v>427.11878905292116</v>
      </c>
      <c r="F271" s="2">
        <f t="shared" si="116"/>
        <v>0</v>
      </c>
      <c r="G271" s="1">
        <f t="shared" si="109"/>
        <v>427.11878905292116</v>
      </c>
      <c r="H271" s="3">
        <f t="shared" si="117"/>
        <v>1176.8693457221957</v>
      </c>
      <c r="I271" s="3">
        <f t="shared" si="118"/>
        <v>1320.1441972227553</v>
      </c>
      <c r="J271" s="1">
        <f>VLOOKUP((A271+Forudsætninger!$D$60),'Model tilvækst, slagteform, fe'!G:K,3,FALSE)*(1+Forudsætninger!$D$79)</f>
        <v>55.06630997362722</v>
      </c>
      <c r="K271" s="17">
        <f t="shared" si="110"/>
        <v>235.19855633548457</v>
      </c>
      <c r="L271" s="17">
        <f t="shared" si="119"/>
        <v>676.84963187591052</v>
      </c>
      <c r="M271" s="3">
        <f>((K271-(('Model tilvækst, slagteform, fe'!$I$9/100)*'Model tilvækst, slagteform, fe'!$C$9))*1000/(A271+Forudsætninger!$D$60))</f>
        <v>704.55443359443962</v>
      </c>
      <c r="N271" s="17">
        <f t="shared" si="120"/>
        <v>1524.5618581359313</v>
      </c>
      <c r="O271" s="19">
        <f>IF( A271&lt;Forudsætninger!$C$14,(G271/100)*Forudsætninger!$C$13,(Forudsætninger!$C$15/1000)*Forudsætninger!$C$13)</f>
        <v>2.7762721288439876</v>
      </c>
      <c r="P271" s="17" cm="1">
        <f t="array" ref="P271">INDEX('Model tilvækst, slagteform, fe'!$O$9:$O$375,MATCH(MIN(ABS('Model tilvækst, slagteform, fe'!$M$9:$M$375-G271)),ABS('Model tilvækst, slagteform, fe'!$M$9:$M$375-G271),0))*(1+Forudsætninger!$D$80)</f>
        <v>7.8966446209492993</v>
      </c>
      <c r="Q271" s="17">
        <f t="shared" si="121"/>
        <v>11.666763560265956</v>
      </c>
      <c r="R271" s="17">
        <f t="shared" si="122"/>
        <v>7.6137149546324148</v>
      </c>
      <c r="S271" s="2">
        <f t="shared" si="111"/>
        <v>4.2931038996890001</v>
      </c>
      <c r="T271" s="19">
        <f>(P271)*IF(N271&lt;Forudsætninger!$B$228,IF(N271&lt;Forudsætninger!$B$227,Forudsætninger!$B$225,Forudsætninger!$C$9),Forudsætninger!$C$11)+O271</f>
        <v>21.254420541865347</v>
      </c>
      <c r="U271" s="2">
        <f>Forudsætninger!$D$68+((K271-(Forudsætninger!$D$84)))*0.01</f>
        <v>7.4915962447144979</v>
      </c>
      <c r="V271" s="2">
        <f>U271+Forudsætninger!$D$69</f>
        <v>7.4915962447144979</v>
      </c>
      <c r="W271">
        <f t="shared" si="112"/>
        <v>1</v>
      </c>
      <c r="X271">
        <f>IF(A271+Forudsætninger!$D$60&gt;248,IF(A271+Forudsætninger!$D$60&lt;365,IF(K271&gt;180,IF(K271&lt;260,1,0),0),0),0)</f>
        <v>1</v>
      </c>
      <c r="Y271" s="22">
        <f>IF(X271=0,0,IF('Vækstfunktion, kry tyr'!A271&lt;Forudsætninger!$D$66,Forudsætninger!$D$67+(('Vækstfunktion, kry tyr'!A271-Forudsætninger!$D$66)/7)*Forudsætninger!$D$64,Forudsætninger!$D$67))</f>
        <v>0.98</v>
      </c>
      <c r="Z271" s="19">
        <f t="shared" si="126"/>
        <v>4500.8867139088916</v>
      </c>
      <c r="AA271" s="19">
        <f>Forudsætninger!$D$62+Forudsætninger!$C$16</f>
        <v>2055</v>
      </c>
      <c r="AB271" s="19">
        <f>IF(K271&gt;Forudsætninger!$C$37,IF(K271&gt;Forudsætninger!$C$38,IF(K271&gt;Forudsætninger!$C$39,Forudsætninger!$E$39,Forudsætninger!$E$38+Forudsætninger!$F$39*(K271-Forudsætninger!$C$38)),Forudsætninger!$E$37+Forudsætninger!$F$38*(K271-Forudsætninger!$C$37)),Forudsætninger!$E$37)+IF(K271&gt;Forudsætninger!$C$39,Forudsætninger!$G$39,IF(K271&gt;Forudsætninger!$C$38,Forudsætninger!$G$38+Forudsætninger!$H$39*(K271-Forudsætninger!$C$38),IF(K271&gt;Forudsætninger!$C$37,Forudsætninger!$G$37+Forudsætninger!$H$38*(K271-Forudsætninger!$C$37),Forudsætninger!$G$37)))*(U271-Forudsætninger!$H$37)</f>
        <v>36.921632555761782</v>
      </c>
      <c r="AC271" s="19">
        <f>IF(K271&gt;Forudsætninger!$C$42,IF(K271&gt;Forudsætninger!$C$43,IF(K271&gt;Forudsætninger!$C$44,Forudsætninger!$E$44,Forudsætninger!$E$43+Forudsætninger!$F$44*(K271-Forudsætninger!$C$43)),Forudsætninger!$E$42+Forudsætninger!$F$43*(K271-Forudsætninger!$C$42)),Forudsætninger!$E$42)+IF(K271&gt;Forudsætninger!$C$44,Forudsætninger!$G$44,IF(K271&gt;Forudsætninger!$C$43,Forudsætninger!$G$43+Forudsætninger!$H$44*(K271-Forudsætninger!$C$43),IF(K271&gt;Forudsætninger!$C$42,Forudsætninger!$G$42+Forudsætninger!$H$43*(K271-Forudsætninger!$C$42),Forudsætninger!$G$42)))*(V271-Forudsætninger!$H$42)</f>
        <v>31.352147991688668</v>
      </c>
      <c r="AD271" s="19">
        <f t="shared" si="113"/>
        <v>8657.7159800843419</v>
      </c>
      <c r="AE271" s="19">
        <f t="shared" si="114"/>
        <v>36.810242864480315</v>
      </c>
      <c r="AF271">
        <f>IF(G271&lt;=Forudsætninger!$C$97,Forudsætninger!$C$98,(IF(G271&lt;=Forudsætninger!$D$97,Forudsætninger!$D$98,IF(G271&lt;=Forudsætninger!$E$97,Forudsætninger!$E$98,IF(G271&lt;=Forudsætninger!$F$97,Forudsætninger!$F$98,IF(G271&lt;=Forudsætninger!$G$97,Forudsætninger!$G$98,IF(G271&lt;=Forudsætninger!$H$97,Forudsætninger!$H$98,IF(G271&lt;=Forudsætninger!$I$97,Forudsætninger!$I$98,Forudsætninger!$I$98))))))))</f>
        <v>4.4000000000000004</v>
      </c>
      <c r="AG271" s="1">
        <f t="shared" si="123"/>
        <v>4.4000000000000004</v>
      </c>
      <c r="AH271" s="1">
        <f t="shared" si="127"/>
        <v>867.79999999999666</v>
      </c>
      <c r="AI271" s="1">
        <f t="shared" si="115"/>
        <v>3.2260223048327012</v>
      </c>
      <c r="AJ271" s="20">
        <f>+(W271*Forudsætninger!$C$12)</f>
        <v>900</v>
      </c>
      <c r="AK271" s="20">
        <f>Forudsætninger!$C$17</f>
        <v>250</v>
      </c>
      <c r="AL271" s="20">
        <f>IF(A271&lt;92,Forudsætninger!$C$20,Forudsætninger!$C$21)</f>
        <v>1.0566762728146013</v>
      </c>
      <c r="AM271" s="20">
        <f t="shared" si="124"/>
        <v>552.751400240419</v>
      </c>
      <c r="AN271" s="19">
        <f>IFERROR(AD271+AJ271-AA271-Z271-AK271-AM271-Forudsætninger!$D$75,-99999)</f>
        <v>1981.1858922340709</v>
      </c>
      <c r="AO271" s="57">
        <f>IFERROR(AN271/(A271+Forudsætninger!$D$74),-99999)</f>
        <v>7.3650033168552822</v>
      </c>
      <c r="AP271" s="19">
        <f>IFERROR(((365/(A271+Forudsætninger!$D$74))*AN271)/(AI271+Forudsætninger!$D$73),-99999)</f>
        <v>805.81781685269345</v>
      </c>
      <c r="AQ271" s="18">
        <f t="shared" si="128"/>
        <v>269</v>
      </c>
      <c r="AR271" s="18">
        <f t="shared" si="129"/>
        <v>7358.6381141493102</v>
      </c>
      <c r="AS271" s="50">
        <f t="shared" si="130"/>
        <v>10</v>
      </c>
      <c r="AT271" s="50">
        <f t="shared" si="131"/>
        <v>5.756683740700737</v>
      </c>
      <c r="AU271" s="50">
        <f t="shared" si="132"/>
        <v>-6.0011924483376333E-3</v>
      </c>
      <c r="AV271" s="2">
        <f t="shared" si="133"/>
        <v>-1.7169706888381597</v>
      </c>
      <c r="AW271" s="16">
        <f t="shared" si="125"/>
        <v>9.4198412359646468</v>
      </c>
      <c r="AZ271" s="16"/>
      <c r="BA271" s="2"/>
    </row>
    <row r="272" spans="1:58" s="7" customFormat="1" x14ac:dyDescent="0.25">
      <c r="A272" s="7">
        <v>270</v>
      </c>
      <c r="B272" s="1">
        <f>ROUND((A272+Forudsætninger!$D$60)/30.4,1)</f>
        <v>10</v>
      </c>
      <c r="C272" s="1">
        <f>VLOOKUP((A272+Forudsætninger!$D$60),'Model tilvækst, slagteform, fe'!A:C,3,FALSE)</f>
        <v>509.87114734498545</v>
      </c>
      <c r="D272" s="28">
        <f t="shared" si="134"/>
        <v>1396.3984724602483</v>
      </c>
      <c r="E272" s="3">
        <f>(1+Forudsætninger!$D$78)*C272</f>
        <v>428.29176376978774</v>
      </c>
      <c r="F272" s="2">
        <f t="shared" si="116"/>
        <v>0</v>
      </c>
      <c r="G272" s="1">
        <f t="shared" si="109"/>
        <v>428.29176376978774</v>
      </c>
      <c r="H272" s="28">
        <f t="shared" si="117"/>
        <v>1172.9747168665767</v>
      </c>
      <c r="I272" s="28">
        <f t="shared" si="118"/>
        <v>1319.599125073288</v>
      </c>
      <c r="J272" s="1">
        <f>VLOOKUP((A272+Forudsætninger!$D$60),'Model tilvækst, slagteform, fe'!G:K,3,FALSE)*(1+Forudsætninger!$D$79)</f>
        <v>55.073123601260214</v>
      </c>
      <c r="K272" s="17">
        <f t="shared" si="110"/>
        <v>235.87365243495259</v>
      </c>
      <c r="L272" s="17">
        <f t="shared" si="119"/>
        <v>675.09609946802129</v>
      </c>
      <c r="M272" s="3">
        <f>((K272-(('Model tilvækst, slagteform, fe'!$I$9/100)*'Model tilvækst, slagteform, fe'!$C$9))*1000/(A272+Forudsætninger!$D$60))</f>
        <v>704.45753117955019</v>
      </c>
      <c r="N272" s="29">
        <f t="shared" si="120"/>
        <v>1532.4735003715962</v>
      </c>
      <c r="O272" s="19">
        <f>IF( A272&lt;Forudsætninger!$C$14,(G272/100)*Forudsætninger!$C$13,(Forudsætninger!$C$15/1000)*Forudsætninger!$C$13)</f>
        <v>2.7838964645036204</v>
      </c>
      <c r="P272" s="17" cm="1">
        <f t="array" ref="P272">INDEX('Model tilvækst, slagteform, fe'!$O$9:$O$375,MATCH(MIN(ABS('Model tilvækst, slagteform, fe'!$M$9:$M$375-G272)),ABS('Model tilvækst, slagteform, fe'!$M$9:$M$375-G272),0))*(1+Forudsætninger!$D$80)</f>
        <v>7.9116422356648455</v>
      </c>
      <c r="Q272" s="17">
        <f t="shared" si="121"/>
        <v>11.719282990820499</v>
      </c>
      <c r="R272" s="17">
        <f t="shared" si="122"/>
        <v>7.6275101760229287</v>
      </c>
      <c r="S272" s="2">
        <f t="shared" si="111"/>
        <v>4.3011757671776536</v>
      </c>
      <c r="T272" s="30">
        <f>(P272)*IF(N272&lt;Forudsætninger!$B$228,IF(N272&lt;Forudsætninger!$B$227,Forudsætninger!$B$225,Forudsætninger!$C$9),Forudsætninger!$C$11)+O272</f>
        <v>21.297139295959358</v>
      </c>
      <c r="U272" s="2">
        <f>Forudsætninger!$D$68+((K272-(Forudsætninger!$D$84)))*0.01</f>
        <v>7.4983472057091785</v>
      </c>
      <c r="V272" s="2">
        <f>U272+Forudsætninger!$D$69</f>
        <v>7.4983472057091785</v>
      </c>
      <c r="W272" s="7">
        <f t="shared" si="112"/>
        <v>1</v>
      </c>
      <c r="X272" s="7">
        <f>IF(A272+Forudsætninger!$D$60&gt;248,IF(A272+Forudsætninger!$D$60&lt;365,IF(K272&gt;180,IF(K272&lt;260,1,0),0),0),0)</f>
        <v>1</v>
      </c>
      <c r="Y272" s="22">
        <f>IF(X272=0,0,IF('Vækstfunktion, kry tyr'!A272&lt;Forudsætninger!$D$66,Forudsætninger!$D$67+(('Vækstfunktion, kry tyr'!A272-Forudsætninger!$D$66)/7)*Forudsætninger!$D$64,Forudsætninger!$D$67))</f>
        <v>0.98</v>
      </c>
      <c r="Z272" s="30">
        <f t="shared" si="126"/>
        <v>4522.1838532048505</v>
      </c>
      <c r="AA272" s="30">
        <f>Forudsætninger!$D$62+Forudsætninger!$C$16</f>
        <v>2055</v>
      </c>
      <c r="AB272" s="19">
        <f>IF(K272&gt;Forudsætninger!$C$37,IF(K272&gt;Forudsætninger!$C$38,IF(K272&gt;Forudsætninger!$C$39,Forudsætninger!$E$39,Forudsætninger!$E$38+Forudsætninger!$F$39*(K272-Forudsætninger!$C$38)),Forudsætninger!$E$37+Forudsætninger!$F$38*(K272-Forudsætninger!$C$37)),Forudsætninger!$E$37)+IF(K272&gt;Forudsætninger!$C$39,Forudsætninger!$G$39,IF(K272&gt;Forudsætninger!$C$38,Forudsætninger!$G$38+Forudsætninger!$H$39*(K272-Forudsætninger!$C$38),IF(K272&gt;Forudsætninger!$C$37,Forudsætninger!$G$37+Forudsætninger!$H$38*(K272-Forudsætninger!$C$37),Forudsætninger!$G$37)))*(U272-Forudsætninger!$H$37)</f>
        <v>36.934965703726277</v>
      </c>
      <c r="AC272" s="19">
        <f>IF(K272&gt;Forudsætninger!$C$42,IF(K272&gt;Forudsætninger!$C$43,IF(K272&gt;Forudsætninger!$C$44,Forudsætninger!$E$44,Forudsætninger!$E$43+Forudsætninger!$F$44*(K272-Forudsætninger!$C$43)),Forudsætninger!$E$42+Forudsætninger!$F$43*(K272-Forudsætninger!$C$42)),Forudsætninger!$E$42)+IF(K272&gt;Forudsætninger!$C$44,Forudsætninger!$G$44,IF(K272&gt;Forudsætninger!$C$43,Forudsætninger!$G$43+Forudsætninger!$H$44*(K272-Forudsætninger!$C$43),IF(K272&gt;Forudsætninger!$C$42,Forudsætninger!$G$42+Forudsætninger!$H$43*(K272-Forudsætninger!$C$42),Forudsætninger!$G$42)))*(V272-Forudsætninger!$H$42)</f>
        <v>31.369235893683335</v>
      </c>
      <c r="AD272" s="30">
        <f t="shared" si="113"/>
        <v>8685.7290827224078</v>
      </c>
      <c r="AE272" s="30">
        <f t="shared" si="114"/>
        <v>36.823651107525421</v>
      </c>
      <c r="AF272" s="7">
        <f>IF(G272&lt;=Forudsætninger!$C$97,Forudsætninger!$C$98,(IF(G272&lt;=Forudsætninger!$D$97,Forudsætninger!$D$98,IF(G272&lt;=Forudsætninger!$E$97,Forudsætninger!$E$98,IF(G272&lt;=Forudsætninger!$F$97,Forudsætninger!$F$98,IF(G272&lt;=Forudsætninger!$G$97,Forudsætninger!$G$98,IF(G272&lt;=Forudsætninger!$H$97,Forudsætninger!$H$98,IF(G272&lt;=Forudsætninger!$I$97,Forudsætninger!$I$98,Forudsætninger!$I$98))))))))</f>
        <v>4.4000000000000004</v>
      </c>
      <c r="AG272" s="21">
        <f t="shared" si="123"/>
        <v>4.4000000000000004</v>
      </c>
      <c r="AH272" s="21">
        <f t="shared" si="127"/>
        <v>872.19999999999663</v>
      </c>
      <c r="AI272" s="21">
        <f t="shared" si="115"/>
        <v>3.2303703703703581</v>
      </c>
      <c r="AJ272" s="28">
        <f>+(W272*Forudsætninger!$C$12)</f>
        <v>900</v>
      </c>
      <c r="AK272" s="28">
        <f>Forudsætninger!$C$17</f>
        <v>250</v>
      </c>
      <c r="AL272" s="28">
        <f>IF(A272&lt;92,Forudsætninger!$C$20,Forudsætninger!$C$21)</f>
        <v>1.0566762728146013</v>
      </c>
      <c r="AM272" s="28">
        <f t="shared" si="124"/>
        <v>553.80807651323357</v>
      </c>
      <c r="AN272" s="19">
        <f>IFERROR(AD272+AJ272-AA272-Z272-AK272-AM272-Forudsætninger!$D$75,-99999)</f>
        <v>1986.8451793033635</v>
      </c>
      <c r="AO272" s="57">
        <f>IFERROR(AN272/(A272+Forudsætninger!$D$74),-99999)</f>
        <v>7.3586858492717164</v>
      </c>
      <c r="AP272" s="19">
        <f>IFERROR(((365/(A272+Forudsætninger!$D$74))*AN272)/(AI272+Forudsætninger!$D$73),-99999)</f>
        <v>804.07860122600107</v>
      </c>
      <c r="AQ272" s="18">
        <f t="shared" si="128"/>
        <v>270</v>
      </c>
      <c r="AR272" s="18">
        <f t="shared" si="129"/>
        <v>7380.9919297180841</v>
      </c>
      <c r="AS272" s="50">
        <f t="shared" si="130"/>
        <v>10</v>
      </c>
      <c r="AT272" s="50">
        <f t="shared" si="131"/>
        <v>5.6592870692925317</v>
      </c>
      <c r="AU272" s="50">
        <f t="shared" si="132"/>
        <v>-6.3174675835657723E-3</v>
      </c>
      <c r="AV272" s="2">
        <f t="shared" si="133"/>
        <v>-1.7392156266923848</v>
      </c>
      <c r="AW272" s="16">
        <f t="shared" si="125"/>
        <v>9.4098268733948043</v>
      </c>
      <c r="AX272" s="28"/>
      <c r="AZ272" s="32"/>
      <c r="BA272" s="30"/>
      <c r="BB272" s="28"/>
      <c r="BC272" s="33"/>
      <c r="BD272" s="30"/>
      <c r="BE272" s="30"/>
      <c r="BF272" s="30"/>
    </row>
    <row r="273" spans="1:53" x14ac:dyDescent="0.25">
      <c r="A273">
        <v>271</v>
      </c>
      <c r="B273" s="1">
        <f>ROUND((A273+Forudsætninger!$D$60)/30.4,1)</f>
        <v>10</v>
      </c>
      <c r="C273" s="1">
        <f>VLOOKUP((A273+Forudsætninger!$D$60),'Model tilvækst, slagteform, fe'!A:C,3,FALSE)</f>
        <v>511.2629190889466</v>
      </c>
      <c r="D273" s="3">
        <f t="shared" si="134"/>
        <v>1391.7717439611579</v>
      </c>
      <c r="E273" s="3">
        <f>(1+Forudsætninger!$D$78)*C273</f>
        <v>429.46085203471512</v>
      </c>
      <c r="F273" s="2">
        <f t="shared" si="116"/>
        <v>0</v>
      </c>
      <c r="G273" s="1">
        <f t="shared" si="109"/>
        <v>429.46085203471512</v>
      </c>
      <c r="H273" s="3">
        <f t="shared" si="117"/>
        <v>1169.0882649273817</v>
      </c>
      <c r="I273" s="3">
        <f t="shared" si="118"/>
        <v>1319.0437344454433</v>
      </c>
      <c r="J273" s="1">
        <f>VLOOKUP((A273+Forudsætninger!$D$60),'Model tilvækst, slagteform, fe'!G:K,3,FALSE)*(1+Forudsætninger!$D$79)</f>
        <v>55.079999999999991</v>
      </c>
      <c r="K273" s="17">
        <f t="shared" si="110"/>
        <v>236.54703730072106</v>
      </c>
      <c r="L273" s="17">
        <f t="shared" si="119"/>
        <v>673.3848657684689</v>
      </c>
      <c r="M273" s="3">
        <f>((K273-(('Model tilvækst, slagteform, fe'!$I$9/100)*'Model tilvækst, slagteform, fe'!$C$9))*1000/(A273+Forudsætninger!$D$60))</f>
        <v>704.35565358803842</v>
      </c>
      <c r="N273" s="17">
        <f t="shared" si="120"/>
        <v>1540.4002294295792</v>
      </c>
      <c r="O273" s="19">
        <f>IF( A273&lt;Forudsætninger!$C$14,(G273/100)*Forudsætninger!$C$13,(Forudsætninger!$C$15/1000)*Forudsætninger!$C$13)</f>
        <v>2.7914955382256483</v>
      </c>
      <c r="P273" s="17" cm="1">
        <f t="array" ref="P273">INDEX('Model tilvækst, slagteform, fe'!$O$9:$O$375,MATCH(MIN(ABS('Model tilvækst, slagteform, fe'!$M$9:$M$375-G273)),ABS('Model tilvækst, slagteform, fe'!$M$9:$M$375-G273),0))*(1+Forudsætninger!$D$80)</f>
        <v>7.9267290579830778</v>
      </c>
      <c r="Q273" s="17">
        <f t="shared" si="121"/>
        <v>11.771468978497268</v>
      </c>
      <c r="R273" s="17">
        <f t="shared" si="122"/>
        <v>7.6413527053430332</v>
      </c>
      <c r="S273" s="2">
        <f t="shared" si="111"/>
        <v>4.3092837178152923</v>
      </c>
      <c r="T273" s="19">
        <f>(P273)*IF(N273&lt;Forudsætninger!$B$228,IF(N273&lt;Forudsætninger!$B$227,Forudsætninger!$B$225,Forudsætninger!$C$9),Forudsætninger!$C$11)+O273</f>
        <v>21.340041533906046</v>
      </c>
      <c r="U273" s="2">
        <f>Forudsætninger!$D$68+((K273-(Forudsætninger!$D$84)))*0.01</f>
        <v>7.5050810543668627</v>
      </c>
      <c r="V273" s="2">
        <f>U273+Forudsætninger!$D$69</f>
        <v>7.5050810543668627</v>
      </c>
      <c r="W273">
        <f t="shared" si="112"/>
        <v>1</v>
      </c>
      <c r="X273">
        <f>IF(A273+Forudsætninger!$D$60&gt;248,IF(A273+Forudsætninger!$D$60&lt;365,IF(K273&gt;180,IF(K273&lt;260,1,0),0),0),0)</f>
        <v>1</v>
      </c>
      <c r="Y273" s="22">
        <f>IF(X273=0,0,IF('Vækstfunktion, kry tyr'!A273&lt;Forudsætninger!$D$66,Forudsætninger!$D$67+(('Vækstfunktion, kry tyr'!A273-Forudsætninger!$D$66)/7)*Forudsætninger!$D$64,Forudsætninger!$D$67))</f>
        <v>0.98</v>
      </c>
      <c r="Z273" s="19">
        <f t="shared" si="126"/>
        <v>4543.5238947387561</v>
      </c>
      <c r="AA273" s="19">
        <f>Forudsætninger!$D$62+Forudsætninger!$C$16</f>
        <v>2055</v>
      </c>
      <c r="AB273" s="19">
        <f>IF(K273&gt;Forudsætninger!$C$37,IF(K273&gt;Forudsætninger!$C$38,IF(K273&gt;Forudsætninger!$C$39,Forudsætninger!$E$39,Forudsætninger!$E$38+Forudsætninger!$F$39*(K273-Forudsætninger!$C$38)),Forudsætninger!$E$37+Forudsætninger!$F$38*(K273-Forudsætninger!$C$37)),Forudsætninger!$E$37)+IF(K273&gt;Forudsætninger!$C$39,Forudsætninger!$G$39,IF(K273&gt;Forudsætninger!$C$38,Forudsætninger!$G$38+Forudsætninger!$H$39*(K273-Forudsætninger!$C$38),IF(K273&gt;Forudsætninger!$C$37,Forudsætninger!$G$37+Forudsætninger!$H$38*(K273-Forudsætninger!$C$37),Forudsætninger!$G$37)))*(U273-Forudsætninger!$H$37)</f>
        <v>36.948265054825207</v>
      </c>
      <c r="AC273" s="19">
        <f>IF(K273&gt;Forudsætninger!$C$42,IF(K273&gt;Forudsætninger!$C$43,IF(K273&gt;Forudsætninger!$C$44,Forudsætninger!$E$44,Forudsætninger!$E$43+Forudsætninger!$F$44*(K273-Forudsætninger!$C$43)),Forudsætninger!$E$42+Forudsætninger!$F$43*(K273-Forudsætninger!$C$42)),Forudsætninger!$E$42)+IF(K273&gt;Forudsætninger!$C$44,Forudsætninger!$G$44,IF(K273&gt;Forudsætninger!$C$43,Forudsætninger!$G$43+Forudsætninger!$H$44*(K273-Forudsætninger!$C$43),IF(K273&gt;Forudsætninger!$C$42,Forudsætninger!$G$42+Forudsætninger!$H$43*(K273-Forudsætninger!$C$42),Forudsætninger!$G$42)))*(V273-Forudsætninger!$H$42)</f>
        <v>31.386261563622291</v>
      </c>
      <c r="AD273" s="19">
        <f t="shared" si="113"/>
        <v>8713.6891231746613</v>
      </c>
      <c r="AE273" s="19">
        <f t="shared" si="114"/>
        <v>36.83702498500115</v>
      </c>
      <c r="AF273">
        <f>IF(G273&lt;=Forudsætninger!$C$97,Forudsætninger!$C$98,(IF(G273&lt;=Forudsætninger!$D$97,Forudsætninger!$D$98,IF(G273&lt;=Forudsætninger!$E$97,Forudsætninger!$E$98,IF(G273&lt;=Forudsætninger!$F$97,Forudsætninger!$F$98,IF(G273&lt;=Forudsætninger!$G$97,Forudsætninger!$G$98,IF(G273&lt;=Forudsætninger!$H$97,Forudsætninger!$H$98,IF(G273&lt;=Forudsætninger!$I$97,Forudsætninger!$I$98,Forudsætninger!$I$98))))))))</f>
        <v>4.4000000000000004</v>
      </c>
      <c r="AG273" s="1">
        <f t="shared" si="123"/>
        <v>4.4000000000000004</v>
      </c>
      <c r="AH273" s="1">
        <f t="shared" si="127"/>
        <v>876.59999999999661</v>
      </c>
      <c r="AI273" s="1">
        <f t="shared" si="115"/>
        <v>3.2346863468634561</v>
      </c>
      <c r="AJ273" s="20">
        <f>+(W273*Forudsætninger!$C$12)</f>
        <v>900</v>
      </c>
      <c r="AK273" s="20">
        <f>Forudsætninger!$C$17</f>
        <v>250</v>
      </c>
      <c r="AL273" s="20">
        <f>IF(A273&lt;92,Forudsætninger!$C$20,Forudsætninger!$C$21)</f>
        <v>1.0566762728146013</v>
      </c>
      <c r="AM273" s="20">
        <f t="shared" si="124"/>
        <v>554.86475278604814</v>
      </c>
      <c r="AN273" s="19">
        <f>IFERROR(AD273+AJ273-AA273-Z273-AK273-AM273-Forudsætninger!$D$75,-99999)</f>
        <v>1992.4085019488969</v>
      </c>
      <c r="AO273" s="57">
        <f>IFERROR(AN273/(A273+Forudsætninger!$D$74),-99999)</f>
        <v>7.352060892800357</v>
      </c>
      <c r="AP273" s="19">
        <f>IFERROR(((365/(A273+Forudsætninger!$D$74))*AN273)/(AI273+Forudsætninger!$D$73),-99999)</f>
        <v>802.31804946034367</v>
      </c>
      <c r="AQ273" s="18">
        <f t="shared" si="128"/>
        <v>271</v>
      </c>
      <c r="AR273" s="18">
        <f t="shared" si="129"/>
        <v>7403.3886475248046</v>
      </c>
      <c r="AS273" s="50">
        <f t="shared" si="130"/>
        <v>10</v>
      </c>
      <c r="AT273" s="50">
        <f t="shared" si="131"/>
        <v>5.5633226455333897</v>
      </c>
      <c r="AU273" s="50">
        <f t="shared" si="132"/>
        <v>-6.6249564713594111E-3</v>
      </c>
      <c r="AV273" s="2">
        <f t="shared" si="133"/>
        <v>-1.7605517656573966</v>
      </c>
      <c r="AW273" s="16">
        <f t="shared" si="125"/>
        <v>9.3995323052950006</v>
      </c>
      <c r="AZ273" s="16"/>
      <c r="BA273" s="2"/>
    </row>
    <row r="274" spans="1:53" x14ac:dyDescent="0.25">
      <c r="A274">
        <v>272</v>
      </c>
      <c r="B274" s="1">
        <f>ROUND((A274+Forudsætninger!$D$60)/30.4,1)</f>
        <v>10.1</v>
      </c>
      <c r="C274" s="1">
        <f>VLOOKUP((A274+Forudsætninger!$D$60),'Model tilvækst, slagteform, fe'!A:C,3,FALSE)</f>
        <v>512.6500744597688</v>
      </c>
      <c r="D274" s="3">
        <f t="shared" si="134"/>
        <v>1387.1553708221995</v>
      </c>
      <c r="E274" s="3">
        <f>(1+Forudsætninger!$D$78)*C274</f>
        <v>430.62606254620579</v>
      </c>
      <c r="F274" s="2">
        <f t="shared" si="116"/>
        <v>0</v>
      </c>
      <c r="G274" s="1">
        <f t="shared" si="109"/>
        <v>430.62606254620579</v>
      </c>
      <c r="H274" s="3">
        <f t="shared" si="117"/>
        <v>1165.2105114906703</v>
      </c>
      <c r="I274" s="3">
        <f t="shared" si="118"/>
        <v>1318.4781711257565</v>
      </c>
      <c r="J274" s="1">
        <f>VLOOKUP((A274+Forudsætninger!$D$60),'Model tilvækst, slagteform, fe'!G:K,3,FALSE)*(1+Forudsætninger!$D$79)</f>
        <v>55.086946092971218</v>
      </c>
      <c r="K274" s="17">
        <f t="shared" si="110"/>
        <v>237.21874693711291</v>
      </c>
      <c r="L274" s="17">
        <f t="shared" si="119"/>
        <v>671.70963639185288</v>
      </c>
      <c r="M274" s="3">
        <f>((K274-(('Model tilvækst, slagteform, fe'!$I$9/100)*'Model tilvækst, slagteform, fe'!$C$9))*1000/(A274+Forudsætninger!$D$60))</f>
        <v>704.24896725733208</v>
      </c>
      <c r="N274" s="17">
        <f t="shared" si="120"/>
        <v>1548.3421321699147</v>
      </c>
      <c r="O274" s="19">
        <f>IF( A274&lt;Forudsætninger!$C$14,(G274/100)*Forudsætninger!$C$13,(Forudsætninger!$C$15/1000)*Forudsætninger!$C$13)</f>
        <v>2.7990694065503381</v>
      </c>
      <c r="P274" s="17" cm="1">
        <f t="array" ref="P274">INDEX('Model tilvækst, slagteform, fe'!$O$9:$O$375,MATCH(MIN(ABS('Model tilvækst, slagteform, fe'!$M$9:$M$375-G274)),ABS('Model tilvækst, slagteform, fe'!$M$9:$M$375-G274),0))*(1+Forudsætninger!$D$80)</f>
        <v>7.9419027403355056</v>
      </c>
      <c r="Q274" s="17">
        <f t="shared" si="121"/>
        <v>11.823416413967397</v>
      </c>
      <c r="R274" s="17">
        <f t="shared" si="122"/>
        <v>7.6552414881643704</v>
      </c>
      <c r="S274" s="2">
        <f t="shared" si="111"/>
        <v>4.3174277998003134</v>
      </c>
      <c r="T274" s="19">
        <f>(P274)*IF(N274&lt;Forudsætninger!$B$228,IF(N274&lt;Forudsætninger!$B$227,Forudsætninger!$B$225,Forudsætninger!$C$9),Forudsætninger!$C$11)+O274</f>
        <v>21.383121818935418</v>
      </c>
      <c r="U274" s="2">
        <f>Forudsætninger!$D$68+((K274-(Forudsætninger!$D$84)))*0.01</f>
        <v>7.5117981507307814</v>
      </c>
      <c r="V274" s="2">
        <f>U274+Forudsætninger!$D$69</f>
        <v>7.5117981507307814</v>
      </c>
      <c r="W274">
        <f t="shared" si="112"/>
        <v>1</v>
      </c>
      <c r="X274">
        <f>IF(A274+Forudsætninger!$D$60&gt;248,IF(A274+Forudsætninger!$D$60&lt;365,IF(K274&gt;180,IF(K274&lt;260,1,0),0),0),0)</f>
        <v>1</v>
      </c>
      <c r="Y274" s="22">
        <f>IF(X274=0,0,IF('Vækstfunktion, kry tyr'!A274&lt;Forudsætninger!$D$66,Forudsætninger!$D$67+(('Vækstfunktion, kry tyr'!A274-Forudsætninger!$D$66)/7)*Forudsætninger!$D$64,Forudsætninger!$D$67))</f>
        <v>0.98</v>
      </c>
      <c r="Z274" s="19">
        <f t="shared" si="126"/>
        <v>4564.9070165576913</v>
      </c>
      <c r="AA274" s="19">
        <f>Forudsætninger!$D$62+Forudsætninger!$C$16</f>
        <v>2055</v>
      </c>
      <c r="AB274" s="19">
        <f>IF(K274&gt;Forudsætninger!$C$37,IF(K274&gt;Forudsætninger!$C$38,IF(K274&gt;Forudsætninger!$C$39,Forudsætninger!$E$39,Forudsætninger!$E$38+Forudsætninger!$F$39*(K274-Forudsætninger!$C$38)),Forudsætninger!$E$37+Forudsætninger!$F$38*(K274-Forudsætninger!$C$37)),Forudsætninger!$E$37)+IF(K274&gt;Forudsætninger!$C$39,Forudsætninger!$G$39,IF(K274&gt;Forudsætninger!$C$38,Forudsætninger!$G$38+Forudsætninger!$H$39*(K274-Forudsætninger!$C$38),IF(K274&gt;Forudsætninger!$C$37,Forudsætninger!$G$37+Forudsætninger!$H$38*(K274-Forudsætninger!$C$37),Forudsætninger!$G$37)))*(U274-Forudsætninger!$H$37)</f>
        <v>36.961531320143941</v>
      </c>
      <c r="AC274" s="19">
        <f>IF(K274&gt;Forudsætninger!$C$42,IF(K274&gt;Forudsætninger!$C$43,IF(K274&gt;Forudsætninger!$C$44,Forudsætninger!$E$44,Forudsætninger!$E$43+Forudsætninger!$F$44*(K274-Forudsætninger!$C$43)),Forudsætninger!$E$42+Forudsætninger!$F$43*(K274-Forudsætninger!$C$42)),Forudsætninger!$E$42)+IF(K274&gt;Forudsætninger!$C$44,Forudsætninger!$G$44,IF(K274&gt;Forudsætninger!$C$43,Forudsætninger!$G$43+Forudsætninger!$H$44*(K274-Forudsætninger!$C$43),IF(K274&gt;Forudsætninger!$C$42,Forudsætninger!$G$42+Forudsætninger!$H$43*(K274-Forudsætninger!$C$42),Forudsætninger!$G$42)))*(V274-Forudsætninger!$H$42)</f>
        <v>31.403226054355617</v>
      </c>
      <c r="AD274" s="19">
        <f t="shared" si="113"/>
        <v>8741.5974604365128</v>
      </c>
      <c r="AE274" s="19">
        <f t="shared" si="114"/>
        <v>36.850365214828173</v>
      </c>
      <c r="AF274">
        <f>IF(G274&lt;=Forudsætninger!$C$97,Forudsætninger!$C$98,(IF(G274&lt;=Forudsætninger!$D$97,Forudsætninger!$D$98,IF(G274&lt;=Forudsætninger!$E$97,Forudsætninger!$E$98,IF(G274&lt;=Forudsætninger!$F$97,Forudsætninger!$F$98,IF(G274&lt;=Forudsætninger!$G$97,Forudsætninger!$G$98,IF(G274&lt;=Forudsætninger!$H$97,Forudsætninger!$H$98,IF(G274&lt;=Forudsætninger!$I$97,Forudsætninger!$I$98,Forudsætninger!$I$98))))))))</f>
        <v>4.4000000000000004</v>
      </c>
      <c r="AG274" s="1">
        <f t="shared" si="123"/>
        <v>4.4000000000000004</v>
      </c>
      <c r="AH274" s="1">
        <f t="shared" si="127"/>
        <v>880.99999999999659</v>
      </c>
      <c r="AI274" s="1">
        <f t="shared" si="115"/>
        <v>3.2389705882352815</v>
      </c>
      <c r="AJ274" s="20">
        <f>+(W274*Forudsætninger!$C$12)</f>
        <v>900</v>
      </c>
      <c r="AK274" s="20">
        <f>Forudsætninger!$C$17</f>
        <v>250</v>
      </c>
      <c r="AL274" s="20">
        <f>IF(A274&lt;92,Forudsætninger!$C$20,Forudsætninger!$C$21)</f>
        <v>1.0566762728146013</v>
      </c>
      <c r="AM274" s="20">
        <f t="shared" si="124"/>
        <v>555.92142905886271</v>
      </c>
      <c r="AN274" s="19">
        <f>IFERROR(AD274+AJ274-AA274-Z274-AK274-AM274-Forudsætninger!$D$75,-99999)</f>
        <v>1997.8770411189987</v>
      </c>
      <c r="AO274" s="57">
        <f>IFERROR(AN274/(A274+Forudsætninger!$D$74),-99999)</f>
        <v>7.3451361805845536</v>
      </c>
      <c r="AP274" s="19">
        <f>IFERROR(((365/(A274+Forudsætninger!$D$74))*AN274)/(AI274+Forudsætninger!$D$73),-99999)</f>
        <v>800.5369516625359</v>
      </c>
      <c r="AQ274" s="18">
        <f t="shared" si="128"/>
        <v>272</v>
      </c>
      <c r="AR274" s="18">
        <f t="shared" si="129"/>
        <v>7425.8284456165538</v>
      </c>
      <c r="AS274" s="50">
        <f t="shared" si="130"/>
        <v>10.1</v>
      </c>
      <c r="AT274" s="50">
        <f t="shared" si="131"/>
        <v>5.4685391701018489</v>
      </c>
      <c r="AU274" s="50">
        <f t="shared" si="132"/>
        <v>-6.9247122158033747E-3</v>
      </c>
      <c r="AV274" s="2">
        <f t="shared" si="133"/>
        <v>-1.7810977978077744</v>
      </c>
      <c r="AW274" s="16">
        <f t="shared" si="125"/>
        <v>9.3889649638891957</v>
      </c>
      <c r="AZ274" s="16"/>
      <c r="BA274" s="2"/>
    </row>
    <row r="275" spans="1:53" x14ac:dyDescent="0.25">
      <c r="A275">
        <v>273</v>
      </c>
      <c r="B275" s="1">
        <f>ROUND((A275+Forudsætninger!$D$60)/30.4,1)</f>
        <v>10.1</v>
      </c>
      <c r="C275" s="1">
        <f>VLOOKUP((A275+Forudsætninger!$D$60),'Model tilvækst, slagteform, fe'!A:C,3,FALSE)</f>
        <v>514.03262443374956</v>
      </c>
      <c r="D275" s="3">
        <f t="shared" si="134"/>
        <v>1382.5499739807583</v>
      </c>
      <c r="E275" s="3">
        <f>(1+Forudsætninger!$D$78)*C275</f>
        <v>431.7874045243496</v>
      </c>
      <c r="F275" s="2">
        <f t="shared" si="116"/>
        <v>0</v>
      </c>
      <c r="G275" s="1">
        <f t="shared" si="109"/>
        <v>431.7874045243496</v>
      </c>
      <c r="H275" s="3">
        <f t="shared" si="117"/>
        <v>1161.3419781438097</v>
      </c>
      <c r="I275" s="3">
        <f t="shared" si="118"/>
        <v>1317.9025806752734</v>
      </c>
      <c r="J275" s="1">
        <f>VLOOKUP((A275+Forudsætninger!$D$60),'Model tilvækst, slagteform, fe'!G:K,3,FALSE)*(1+Forudsætninger!$D$79)</f>
        <v>55.093962329550685</v>
      </c>
      <c r="K275" s="17">
        <f t="shared" si="110"/>
        <v>237.88878999238977</v>
      </c>
      <c r="L275" s="17">
        <f t="shared" si="119"/>
        <v>670.0430552768637</v>
      </c>
      <c r="M275" s="3">
        <f>((K275-(('Model tilvækst, slagteform, fe'!$I$9/100)*'Model tilvækst, slagteform, fe'!$C$9))*1000/(A275+Forudsætninger!$D$60))</f>
        <v>704.13754734860072</v>
      </c>
      <c r="N275" s="17">
        <f t="shared" si="120"/>
        <v>1556.2992931050683</v>
      </c>
      <c r="O275" s="19">
        <f>IF( A275&lt;Forudsætninger!$C$14,(G275/100)*Forudsætninger!$C$13,(Forudsætninger!$C$15/1000)*Forudsætninger!$C$13)</f>
        <v>2.8066181294082724</v>
      </c>
      <c r="P275" s="17" cm="1">
        <f t="array" ref="P275">INDEX('Model tilvækst, slagteform, fe'!$O$9:$O$375,MATCH(MIN(ABS('Model tilvækst, slagteform, fe'!$M$9:$M$375-G275)),ABS('Model tilvækst, slagteform, fe'!$M$9:$M$375-G275),0))*(1+Forudsætninger!$D$80)</f>
        <v>7.9571609351536363</v>
      </c>
      <c r="Q275" s="17">
        <f t="shared" si="121"/>
        <v>11.875596459791252</v>
      </c>
      <c r="R275" s="17">
        <f t="shared" si="122"/>
        <v>7.6691764987702991</v>
      </c>
      <c r="S275" s="2">
        <f t="shared" si="111"/>
        <v>4.3256080494606124</v>
      </c>
      <c r="T275" s="19">
        <f>(P275)*IF(N275&lt;Forudsætninger!$B$228,IF(N275&lt;Forudsætninger!$B$227,Forudsætninger!$B$225,Forudsætninger!$C$9),Forudsætninger!$C$11)+O275</f>
        <v>21.42637471766778</v>
      </c>
      <c r="U275" s="2">
        <f>Forudsætninger!$D$68+((K275-(Forudsætninger!$D$84)))*0.01</f>
        <v>7.5184985812835503</v>
      </c>
      <c r="V275" s="2">
        <f>U275+Forudsætninger!$D$69</f>
        <v>7.5184985812835503</v>
      </c>
      <c r="W275">
        <f t="shared" si="112"/>
        <v>1</v>
      </c>
      <c r="X275">
        <f>IF(A275+Forudsætninger!$D$60&gt;248,IF(A275+Forudsætninger!$D$60&lt;365,IF(K275&gt;180,IF(K275&lt;260,1,0),0),0),0)</f>
        <v>1</v>
      </c>
      <c r="Y275" s="22">
        <f>IF(X275=0,0,IF('Vækstfunktion, kry tyr'!A275&lt;Forudsætninger!$D$66,Forudsætninger!$D$67+(('Vækstfunktion, kry tyr'!A275-Forudsætninger!$D$66)/7)*Forudsætninger!$D$64,Forudsætninger!$D$67))</f>
        <v>0.98</v>
      </c>
      <c r="Z275" s="19">
        <f t="shared" si="126"/>
        <v>4586.3333912753587</v>
      </c>
      <c r="AA275" s="19">
        <f>Forudsætninger!$D$62+Forudsætninger!$C$16</f>
        <v>2055</v>
      </c>
      <c r="AB275" s="19">
        <f>IF(K275&gt;Forudsætninger!$C$37,IF(K275&gt;Forudsætninger!$C$38,IF(K275&gt;Forudsætninger!$C$39,Forudsætninger!$E$39,Forudsætninger!$E$38+Forudsætninger!$F$39*(K275-Forudsætninger!$C$38)),Forudsætninger!$E$37+Forudsætninger!$F$38*(K275-Forudsætninger!$C$37)),Forudsætninger!$E$37)+IF(K275&gt;Forudsætninger!$C$39,Forudsætninger!$G$39,IF(K275&gt;Forudsætninger!$C$38,Forudsætninger!$G$38+Forudsætninger!$H$39*(K275-Forudsætninger!$C$38),IF(K275&gt;Forudsætninger!$C$37,Forudsætninger!$G$37+Forudsætninger!$H$38*(K275-Forudsætninger!$C$37),Forudsætninger!$G$37)))*(U275-Forudsætninger!$H$37)</f>
        <v>36.974764670485662</v>
      </c>
      <c r="AC275" s="19">
        <f>IF(K275&gt;Forudsætninger!$C$42,IF(K275&gt;Forudsætninger!$C$43,IF(K275&gt;Forudsætninger!$C$44,Forudsætninger!$E$44,Forudsætninger!$E$43+Forudsætninger!$F$44*(K275-Forudsætninger!$C$43)),Forudsætninger!$E$42+Forudsætninger!$F$43*(K275-Forudsætninger!$C$42)),Forudsætninger!$E$42)+IF(K275&gt;Forudsætninger!$C$44,Forudsætninger!$G$44,IF(K275&gt;Forudsætninger!$C$43,Forudsætninger!$G$43+Forudsætninger!$H$44*(K275-Forudsætninger!$C$43),IF(K275&gt;Forudsætninger!$C$42,Forudsætninger!$G$42+Forudsætninger!$H$43*(K275-Forudsætninger!$C$42),Forudsætninger!$G$42)))*(V275-Forudsætninger!$H$42)</f>
        <v>31.420129724597125</v>
      </c>
      <c r="AD275" s="19">
        <f t="shared" si="113"/>
        <v>8769.4543199926611</v>
      </c>
      <c r="AE275" s="19">
        <f t="shared" si="114"/>
        <v>36.863671971567896</v>
      </c>
      <c r="AF275">
        <f>IF(G275&lt;=Forudsætninger!$C$97,Forudsætninger!$C$98,(IF(G275&lt;=Forudsætninger!$D$97,Forudsætninger!$D$98,IF(G275&lt;=Forudsætninger!$E$97,Forudsætninger!$E$98,IF(G275&lt;=Forudsætninger!$F$97,Forudsætninger!$F$98,IF(G275&lt;=Forudsætninger!$G$97,Forudsætninger!$G$98,IF(G275&lt;=Forudsætninger!$H$97,Forudsætninger!$H$98,IF(G275&lt;=Forudsætninger!$I$97,Forudsætninger!$I$98,Forudsætninger!$I$98))))))))</f>
        <v>4.4000000000000004</v>
      </c>
      <c r="AG275" s="1">
        <f t="shared" si="123"/>
        <v>4.4000000000000004</v>
      </c>
      <c r="AH275" s="1">
        <f t="shared" si="127"/>
        <v>885.39999999999657</v>
      </c>
      <c r="AI275" s="1">
        <f t="shared" si="115"/>
        <v>3.2432234432234308</v>
      </c>
      <c r="AJ275" s="20">
        <f>+(W275*Forudsætninger!$C$12)</f>
        <v>900</v>
      </c>
      <c r="AK275" s="20">
        <f>Forudsætninger!$C$17</f>
        <v>250</v>
      </c>
      <c r="AL275" s="20">
        <f>IF(A275&lt;92,Forudsætninger!$C$20,Forudsætninger!$C$21)</f>
        <v>1.0566762728146013</v>
      </c>
      <c r="AM275" s="20">
        <f t="shared" si="124"/>
        <v>556.97810533167728</v>
      </c>
      <c r="AN275" s="19">
        <f>IFERROR(AD275+AJ275-AA275-Z275-AK275-AM275-Forudsætninger!$D$75,-99999)</f>
        <v>2003.2508496846647</v>
      </c>
      <c r="AO275" s="57">
        <f>IFERROR(AN275/(A275+Forudsætninger!$D$74),-99999)</f>
        <v>7.3379152003101273</v>
      </c>
      <c r="AP275" s="19">
        <f>IFERROR(((365/(A275+Forudsætninger!$D$74))*AN275)/(AI275+Forudsætninger!$D$73),-99999)</f>
        <v>798.73563258239869</v>
      </c>
      <c r="AQ275" s="18">
        <f t="shared" si="128"/>
        <v>273</v>
      </c>
      <c r="AR275" s="18">
        <f t="shared" si="129"/>
        <v>7448.3114966070361</v>
      </c>
      <c r="AS275" s="50">
        <f t="shared" si="130"/>
        <v>10.1</v>
      </c>
      <c r="AT275" s="50">
        <f t="shared" si="131"/>
        <v>5.3738085656659678</v>
      </c>
      <c r="AU275" s="50">
        <f t="shared" si="132"/>
        <v>-7.220980274426303E-3</v>
      </c>
      <c r="AV275" s="2">
        <f t="shared" si="133"/>
        <v>-1.8013190801372048</v>
      </c>
      <c r="AW275" s="16">
        <f t="shared" si="125"/>
        <v>9.3781280403528999</v>
      </c>
      <c r="AZ275" s="16"/>
      <c r="BA275" s="2"/>
    </row>
    <row r="276" spans="1:53" x14ac:dyDescent="0.25">
      <c r="A276">
        <v>274</v>
      </c>
      <c r="B276" s="1">
        <f>ROUND((A276+Forudsætninger!$D$60)/30.4,1)</f>
        <v>10.1</v>
      </c>
      <c r="C276" s="1">
        <f>VLOOKUP((A276+Forudsætninger!$D$60),'Model tilvækst, slagteform, fe'!A:C,3,FALSE)</f>
        <v>515.41058060812247</v>
      </c>
      <c r="D276" s="3">
        <f t="shared" si="134"/>
        <v>1377.9561743729118</v>
      </c>
      <c r="E276" s="3">
        <f>(1+Forudsætninger!$D$78)*C276</f>
        <v>432.94488771082285</v>
      </c>
      <c r="F276" s="2">
        <f t="shared" si="116"/>
        <v>0</v>
      </c>
      <c r="G276" s="1">
        <f t="shared" si="109"/>
        <v>432.94488771082285</v>
      </c>
      <c r="H276" s="3">
        <f t="shared" si="117"/>
        <v>1157.4831864732573</v>
      </c>
      <c r="I276" s="3">
        <f t="shared" si="118"/>
        <v>1317.31710843366</v>
      </c>
      <c r="J276" s="1">
        <f>VLOOKUP((A276+Forudsætninger!$D$60),'Model tilvækst, slagteform, fe'!G:K,3,FALSE)*(1+Forudsætninger!$D$79)</f>
        <v>55.101047540678273</v>
      </c>
      <c r="K276" s="17">
        <f t="shared" si="110"/>
        <v>238.55716840247666</v>
      </c>
      <c r="L276" s="17">
        <f t="shared" si="119"/>
        <v>668.3784100868877</v>
      </c>
      <c r="M276" s="3">
        <f>((K276-(('Model tilvækst, slagteform, fe'!$I$9/100)*'Model tilvækst, slagteform, fe'!$C$9))*1000/(A276+Forudsætninger!$D$60))</f>
        <v>704.02144625359529</v>
      </c>
      <c r="N276" s="17">
        <f t="shared" si="120"/>
        <v>1564.2717943999373</v>
      </c>
      <c r="O276" s="19">
        <f>IF( A276&lt;Forudsætninger!$C$14,(G276/100)*Forudsætninger!$C$13,(Forudsætninger!$C$15/1000)*Forudsætninger!$C$13)</f>
        <v>2.8141417701203491</v>
      </c>
      <c r="P276" s="17" cm="1">
        <f t="array" ref="P276">INDEX('Model tilvækst, slagteform, fe'!$O$9:$O$375,MATCH(MIN(ABS('Model tilvækst, slagteform, fe'!$M$9:$M$375-G276)),ABS('Model tilvækst, slagteform, fe'!$M$9:$M$375-G276),0))*(1+Forudsætninger!$D$80)</f>
        <v>7.9725012948689766</v>
      </c>
      <c r="Q276" s="17">
        <f t="shared" si="121"/>
        <v>11.92812510780019</v>
      </c>
      <c r="R276" s="17">
        <f t="shared" si="122"/>
        <v>7.6831579534627714</v>
      </c>
      <c r="S276" s="2">
        <f t="shared" si="111"/>
        <v>4.3338244913810229</v>
      </c>
      <c r="T276" s="19">
        <f>(P276)*IF(N276&lt;Forudsætninger!$B$228,IF(N276&lt;Forudsætninger!$B$227,Forudsætninger!$B$225,Forudsætninger!$C$9),Forudsætninger!$C$11)+O276</f>
        <v>21.469794800113753</v>
      </c>
      <c r="U276" s="2">
        <f>Forudsætninger!$D$68+((K276-(Forudsætninger!$D$84)))*0.01</f>
        <v>7.5251823653844188</v>
      </c>
      <c r="V276" s="2">
        <f>U276+Forudsætninger!$D$69</f>
        <v>7.5251823653844188</v>
      </c>
      <c r="W276">
        <f t="shared" si="112"/>
        <v>1</v>
      </c>
      <c r="X276">
        <f>IF(A276+Forudsætninger!$D$60&gt;248,IF(A276+Forudsætninger!$D$60&lt;365,IF(K276&gt;180,IF(K276&lt;260,1,0),0),0),0)</f>
        <v>1</v>
      </c>
      <c r="Y276" s="22">
        <f>IF(X276=0,0,IF('Vækstfunktion, kry tyr'!A276&lt;Forudsætninger!$D$66,Forudsætninger!$D$67+(('Vækstfunktion, kry tyr'!A276-Forudsætninger!$D$66)/7)*Forudsætninger!$D$64,Forudsætninger!$D$67))</f>
        <v>0.98</v>
      </c>
      <c r="Z276" s="19">
        <f t="shared" si="126"/>
        <v>4607.8031860754727</v>
      </c>
      <c r="AA276" s="19">
        <f>Forudsætninger!$D$62+Forudsætninger!$C$16</f>
        <v>2055</v>
      </c>
      <c r="AB276" s="19">
        <f>IF(K276&gt;Forudsætninger!$C$37,IF(K276&gt;Forudsætninger!$C$38,IF(K276&gt;Forudsætninger!$C$39,Forudsætninger!$E$39,Forudsætninger!$E$38+Forudsætninger!$F$39*(K276-Forudsætninger!$C$38)),Forudsætninger!$E$37+Forudsætninger!$F$38*(K276-Forudsætninger!$C$37)),Forudsætninger!$E$37)+IF(K276&gt;Forudsætninger!$C$39,Forudsætninger!$G$39,IF(K276&gt;Forudsætninger!$C$38,Forudsætninger!$G$38+Forudsætninger!$H$39*(K276-Forudsætninger!$C$38),IF(K276&gt;Forudsætninger!$C$37,Forudsætninger!$G$37+Forudsætninger!$H$38*(K276-Forudsætninger!$C$37),Forudsætninger!$G$37)))*(U276-Forudsætninger!$H$37)</f>
        <v>36.987965144084882</v>
      </c>
      <c r="AC276" s="19">
        <f>IF(K276&gt;Forudsætninger!$C$42,IF(K276&gt;Forudsætninger!$C$43,IF(K276&gt;Forudsætninger!$C$44,Forudsætninger!$E$44,Forudsætninger!$E$43+Forudsætninger!$F$44*(K276-Forudsætninger!$C$43)),Forudsætninger!$E$42+Forudsætninger!$F$43*(K276-Forudsætninger!$C$42)),Forudsætninger!$E$42)+IF(K276&gt;Forudsætninger!$C$44,Forudsætninger!$G$44,IF(K276&gt;Forudsætninger!$C$43,Forudsætninger!$G$43+Forudsætninger!$H$44*(K276-Forudsætninger!$C$43),IF(K276&gt;Forudsætninger!$C$42,Forudsætninger!$G$42+Forudsætninger!$H$43*(K276-Forudsætninger!$C$42),Forudsætninger!$G$42)))*(V276-Forudsætninger!$H$42)</f>
        <v>31.436972762690033</v>
      </c>
      <c r="AD276" s="19">
        <f t="shared" si="113"/>
        <v>8797.2596492558077</v>
      </c>
      <c r="AE276" s="19">
        <f t="shared" si="114"/>
        <v>36.876945296456981</v>
      </c>
      <c r="AF276">
        <f>IF(G276&lt;=Forudsætninger!$C$97,Forudsætninger!$C$98,(IF(G276&lt;=Forudsætninger!$D$97,Forudsætninger!$D$98,IF(G276&lt;=Forudsætninger!$E$97,Forudsætninger!$E$98,IF(G276&lt;=Forudsætninger!$F$97,Forudsætninger!$F$98,IF(G276&lt;=Forudsætninger!$G$97,Forudsætninger!$G$98,IF(G276&lt;=Forudsætninger!$H$97,Forudsætninger!$H$98,IF(G276&lt;=Forudsætninger!$I$97,Forudsætninger!$I$98,Forudsætninger!$I$98))))))))</f>
        <v>4.4000000000000004</v>
      </c>
      <c r="AG276" s="1">
        <f t="shared" si="123"/>
        <v>4.4000000000000004</v>
      </c>
      <c r="AH276" s="1">
        <f t="shared" si="127"/>
        <v>889.79999999999654</v>
      </c>
      <c r="AI276" s="1">
        <f t="shared" si="115"/>
        <v>3.2474452554744397</v>
      </c>
      <c r="AJ276" s="20">
        <f>+(W276*Forudsætninger!$C$12)</f>
        <v>900</v>
      </c>
      <c r="AK276" s="20">
        <f>Forudsætninger!$C$17</f>
        <v>250</v>
      </c>
      <c r="AL276" s="20">
        <f>IF(A276&lt;92,Forudsætninger!$C$20,Forudsætninger!$C$21)</f>
        <v>1.0566762728146013</v>
      </c>
      <c r="AM276" s="20">
        <f t="shared" si="124"/>
        <v>558.03478160449185</v>
      </c>
      <c r="AN276" s="19">
        <f>IFERROR(AD276+AJ276-AA276-Z276-AK276-AM276-Forudsætninger!$D$75,-99999)</f>
        <v>2008.5297078748829</v>
      </c>
      <c r="AO276" s="57">
        <f>IFERROR(AN276/(A276+Forudsætninger!$D$74),-99999)</f>
        <v>7.3304003937039521</v>
      </c>
      <c r="AP276" s="19">
        <f>IFERROR(((365/(A276+Forudsætninger!$D$74))*AN276)/(AI276+Forudsætninger!$D$73),-99999)</f>
        <v>796.91430242660954</v>
      </c>
      <c r="AQ276" s="18">
        <f t="shared" si="128"/>
        <v>274</v>
      </c>
      <c r="AR276" s="18">
        <f t="shared" si="129"/>
        <v>7470.837967679965</v>
      </c>
      <c r="AS276" s="50">
        <f t="shared" si="130"/>
        <v>10.1</v>
      </c>
      <c r="AT276" s="50">
        <f t="shared" si="131"/>
        <v>5.2788581902182159</v>
      </c>
      <c r="AU276" s="50">
        <f t="shared" si="132"/>
        <v>-7.5148066061752061E-3</v>
      </c>
      <c r="AV276" s="2">
        <f t="shared" si="133"/>
        <v>-1.8213301557891555</v>
      </c>
      <c r="AW276" s="16">
        <f t="shared" si="125"/>
        <v>9.3670236842312953</v>
      </c>
      <c r="AZ276" s="16"/>
      <c r="BA276" s="2"/>
    </row>
    <row r="277" spans="1:53" x14ac:dyDescent="0.25">
      <c r="A277">
        <v>275</v>
      </c>
      <c r="B277" s="1">
        <f>ROUND((A277+Forudsætninger!$D$60)/30.4,1)</f>
        <v>10.199999999999999</v>
      </c>
      <c r="C277" s="1">
        <f>VLOOKUP((A277+Forudsætninger!$D$60),'Model tilvækst, slagteform, fe'!A:C,3,FALSE)</f>
        <v>516.78395520105767</v>
      </c>
      <c r="D277" s="3">
        <f t="shared" si="134"/>
        <v>1373.3745929351926</v>
      </c>
      <c r="E277" s="3">
        <f>(1+Forudsætninger!$D$78)*C277</f>
        <v>434.09852236888844</v>
      </c>
      <c r="F277" s="2">
        <f t="shared" si="116"/>
        <v>0</v>
      </c>
      <c r="G277" s="1">
        <f t="shared" si="109"/>
        <v>434.09852236888844</v>
      </c>
      <c r="H277" s="3">
        <f t="shared" si="117"/>
        <v>1153.6346580655845</v>
      </c>
      <c r="I277" s="3">
        <f t="shared" si="118"/>
        <v>1316.7218995232306</v>
      </c>
      <c r="J277" s="1">
        <f>VLOOKUP((A277+Forudsætninger!$D$60),'Model tilvækst, slagteform, fe'!G:K,3,FALSE)*(1+Forudsætninger!$D$79)</f>
        <v>55.108200557293841</v>
      </c>
      <c r="K277" s="17">
        <f t="shared" si="110"/>
        <v>239.22388432329612</v>
      </c>
      <c r="L277" s="17">
        <f t="shared" si="119"/>
        <v>666.71592081945619</v>
      </c>
      <c r="M277" s="3">
        <f>((K277-(('Model tilvækst, slagteform, fe'!$I$9/100)*'Model tilvækst, slagteform, fe'!$C$9))*1000/(A277+Forudsætninger!$D$60))</f>
        <v>703.90071639782138</v>
      </c>
      <c r="N277" s="17">
        <f t="shared" si="120"/>
        <v>1572.2597158718504</v>
      </c>
      <c r="O277" s="19">
        <f>IF( A277&lt;Forudsætninger!$C$14,(G277/100)*Forudsætninger!$C$13,(Forudsætninger!$C$15/1000)*Forudsætninger!$C$13)</f>
        <v>2.8216403953977749</v>
      </c>
      <c r="P277" s="17" cm="1">
        <f t="array" ref="P277">INDEX('Model tilvækst, slagteform, fe'!$O$9:$O$375,MATCH(MIN(ABS('Model tilvækst, slagteform, fe'!$M$9:$M$375-G277)),ABS('Model tilvækst, slagteform, fe'!$M$9:$M$375-G277),0))*(1+Forudsætninger!$D$80)</f>
        <v>7.9879214719130358</v>
      </c>
      <c r="Q277" s="17">
        <f t="shared" si="121"/>
        <v>11.9809970370816</v>
      </c>
      <c r="R277" s="17">
        <f t="shared" si="122"/>
        <v>7.6971860476680929</v>
      </c>
      <c r="S277" s="2">
        <f t="shared" si="111"/>
        <v>4.3420771385255978</v>
      </c>
      <c r="T277" s="19">
        <f>(P277)*IF(N277&lt;Forudsætninger!$B$228,IF(N277&lt;Forudsætninger!$B$227,Forudsætninger!$B$225,Forudsætninger!$C$9),Forudsætninger!$C$11)+O277</f>
        <v>21.513376639674277</v>
      </c>
      <c r="U277" s="2">
        <f>Forudsætninger!$D$68+((K277-(Forudsætninger!$D$84)))*0.01</f>
        <v>7.5318495245926131</v>
      </c>
      <c r="V277" s="2">
        <f>U277+Forudsætninger!$D$69</f>
        <v>7.5318495245926131</v>
      </c>
      <c r="W277">
        <f t="shared" si="112"/>
        <v>1</v>
      </c>
      <c r="X277">
        <f>IF(A277+Forudsætninger!$D$60&gt;248,IF(A277+Forudsætninger!$D$60&lt;365,IF(K277&gt;180,IF(K277&lt;260,1,0),0),0),0)</f>
        <v>1</v>
      </c>
      <c r="Y277" s="22">
        <f>IF(X277=0,0,IF('Vækstfunktion, kry tyr'!A277&lt;Forudsætninger!$D$66,Forudsætninger!$D$67+(('Vækstfunktion, kry tyr'!A277-Forudsætninger!$D$66)/7)*Forudsætninger!$D$64,Forudsætninger!$D$67))</f>
        <v>0.98</v>
      </c>
      <c r="Z277" s="19">
        <f t="shared" si="126"/>
        <v>4629.3165627151466</v>
      </c>
      <c r="AA277" s="19">
        <f>Forudsætninger!$D$62+Forudsætninger!$C$16</f>
        <v>2055</v>
      </c>
      <c r="AB277" s="19">
        <f>IF(K277&gt;Forudsætninger!$C$37,IF(K277&gt;Forudsætninger!$C$38,IF(K277&gt;Forudsætninger!$C$39,Forudsætninger!$E$39,Forudsætninger!$E$38+Forudsætninger!$F$39*(K277-Forudsætninger!$C$38)),Forudsætninger!$E$37+Forudsætninger!$F$38*(K277-Forudsætninger!$C$37)),Forudsætninger!$E$37)+IF(K277&gt;Forudsætninger!$C$39,Forudsætninger!$G$39,IF(K277&gt;Forudsætninger!$C$38,Forudsætninger!$G$38+Forudsætninger!$H$39*(K277-Forudsætninger!$C$38),IF(K277&gt;Forudsætninger!$C$37,Forudsætninger!$G$37+Forudsætninger!$H$38*(K277-Forudsætninger!$C$37),Forudsætninger!$G$37)))*(U277-Forudsætninger!$H$37)</f>
        <v>37.001132783521065</v>
      </c>
      <c r="AC277" s="19">
        <f>IF(K277&gt;Forudsætninger!$C$42,IF(K277&gt;Forudsætninger!$C$43,IF(K277&gt;Forudsætninger!$C$44,Forudsætninger!$E$44,Forudsætninger!$E$43+Forudsætninger!$F$44*(K277-Forudsætninger!$C$43)),Forudsætninger!$E$42+Forudsætninger!$F$43*(K277-Forudsætninger!$C$42)),Forudsætninger!$E$42)+IF(K277&gt;Forudsætninger!$C$44,Forudsætninger!$G$44,IF(K277&gt;Forudsætninger!$C$43,Forudsætninger!$G$43+Forudsætninger!$H$44*(K277-Forudsætninger!$C$43),IF(K277&gt;Forudsætninger!$C$42,Forudsætninger!$G$42+Forudsætninger!$H$43*(K277-Forudsætninger!$C$42),Forudsætninger!$G$42)))*(V277-Forudsætninger!$H$42)</f>
        <v>31.453755361949973</v>
      </c>
      <c r="AD277" s="19">
        <f t="shared" si="113"/>
        <v>8825.0134053440506</v>
      </c>
      <c r="AE277" s="19">
        <f t="shared" si="114"/>
        <v>36.890185235089639</v>
      </c>
      <c r="AF277">
        <f>IF(G277&lt;=Forudsætninger!$C$97,Forudsætninger!$C$98,(IF(G277&lt;=Forudsætninger!$D$97,Forudsætninger!$D$98,IF(G277&lt;=Forudsætninger!$E$97,Forudsætninger!$E$98,IF(G277&lt;=Forudsætninger!$F$97,Forudsætninger!$F$98,IF(G277&lt;=Forudsætninger!$G$97,Forudsætninger!$G$98,IF(G277&lt;=Forudsætninger!$H$97,Forudsætninger!$H$98,IF(G277&lt;=Forudsætninger!$I$97,Forudsætninger!$I$98,Forudsætninger!$I$98))))))))</f>
        <v>4.4000000000000004</v>
      </c>
      <c r="AG277" s="1">
        <f t="shared" si="123"/>
        <v>4.4000000000000004</v>
      </c>
      <c r="AH277" s="1">
        <f t="shared" si="127"/>
        <v>894.19999999999652</v>
      </c>
      <c r="AI277" s="1">
        <f t="shared" si="115"/>
        <v>3.2516363636363508</v>
      </c>
      <c r="AJ277" s="20">
        <f>+(W277*Forudsætninger!$C$12)</f>
        <v>900</v>
      </c>
      <c r="AK277" s="20">
        <f>Forudsætninger!$C$17</f>
        <v>250</v>
      </c>
      <c r="AL277" s="20">
        <f>IF(A277&lt;92,Forudsætninger!$C$20,Forudsætninger!$C$21)</f>
        <v>1.0566762728146013</v>
      </c>
      <c r="AM277" s="20">
        <f t="shared" si="124"/>
        <v>559.09145787730642</v>
      </c>
      <c r="AN277" s="19">
        <f>IFERROR(AD277+AJ277-AA277-Z277-AK277-AM277-Forudsætninger!$D$75,-99999)</f>
        <v>2013.7134110506374</v>
      </c>
      <c r="AO277" s="57">
        <f>IFERROR(AN277/(A277+Forudsætninger!$D$74),-99999)</f>
        <v>7.3225942220023184</v>
      </c>
      <c r="AP277" s="19">
        <f>IFERROR(((365/(A277+Forudsætninger!$D$74))*AN277)/(AI277+Forudsætninger!$D$73),-99999)</f>
        <v>795.07317327436374</v>
      </c>
      <c r="AQ277" s="18">
        <f t="shared" si="128"/>
        <v>275</v>
      </c>
      <c r="AR277" s="18">
        <f t="shared" si="129"/>
        <v>7493.4080205924529</v>
      </c>
      <c r="AS277" s="50">
        <f t="shared" si="130"/>
        <v>10.199999999999999</v>
      </c>
      <c r="AT277" s="50">
        <f t="shared" si="131"/>
        <v>5.1837031757545446</v>
      </c>
      <c r="AU277" s="50">
        <f t="shared" si="132"/>
        <v>-7.8061717016337795E-3</v>
      </c>
      <c r="AV277" s="2">
        <f t="shared" si="133"/>
        <v>-1.8411291522457987</v>
      </c>
      <c r="AW277" s="16">
        <f t="shared" si="125"/>
        <v>9.3556540688288869</v>
      </c>
      <c r="AZ277" s="16"/>
      <c r="BA277" s="2"/>
    </row>
    <row r="278" spans="1:53" x14ac:dyDescent="0.25">
      <c r="A278">
        <v>276</v>
      </c>
      <c r="B278" s="1">
        <f>ROUND((A278+Forudsætninger!$D$60)/30.4,1)</f>
        <v>10.199999999999999</v>
      </c>
      <c r="C278" s="1">
        <f>VLOOKUP((A278+Forudsætninger!$D$60),'Model tilvækst, slagteform, fe'!A:C,3,FALSE)</f>
        <v>518.15276105166208</v>
      </c>
      <c r="D278" s="3">
        <f>(C278-C277)*1000</f>
        <v>1368.8058506044172</v>
      </c>
      <c r="E278" s="3">
        <f>(1+Forudsætninger!$D$78)*C278</f>
        <v>435.24831928339614</v>
      </c>
      <c r="F278" s="2">
        <f t="shared" si="116"/>
        <v>0</v>
      </c>
      <c r="G278" s="1">
        <f t="shared" si="109"/>
        <v>435.24831928339614</v>
      </c>
      <c r="H278" s="3">
        <f t="shared" si="117"/>
        <v>1149.7969145077036</v>
      </c>
      <c r="I278" s="3">
        <f t="shared" si="118"/>
        <v>1316.1170988528845</v>
      </c>
      <c r="J278" s="1">
        <f>VLOOKUP((A278+Forudsætninger!$D$60),'Model tilvækst, slagteform, fe'!G:K,3,FALSE)*(1+Forudsætninger!$D$79)</f>
        <v>55.115420210337248</v>
      </c>
      <c r="K278" s="17">
        <f t="shared" si="110"/>
        <v>239.88894013147413</v>
      </c>
      <c r="L278" s="17">
        <f t="shared" si="119"/>
        <v>665.05580817801047</v>
      </c>
      <c r="M278" s="3">
        <f>((K278-(('Model tilvækst, slagteform, fe'!$I$9/100)*'Model tilvækst, slagteform, fe'!$C$9))*1000/(A278+Forudsætninger!$D$60))</f>
        <v>703.77541024227355</v>
      </c>
      <c r="N278" s="17">
        <f t="shared" si="120"/>
        <v>1580.2631349905678</v>
      </c>
      <c r="O278" s="19">
        <f>IF( A278&lt;Forudsætninger!$C$14,(G278/100)*Forudsætninger!$C$13,(Forudsætninger!$C$15/1000)*Forudsætninger!$C$13)</f>
        <v>2.8291140753420749</v>
      </c>
      <c r="P278" s="17" cm="1">
        <f t="array" ref="P278">INDEX('Model tilvækst, slagteform, fe'!$O$9:$O$375,MATCH(MIN(ABS('Model tilvækst, slagteform, fe'!$M$9:$M$375-G278)),ABS('Model tilvækst, slagteform, fe'!$M$9:$M$375-G278),0))*(1+Forudsætninger!$D$80)</f>
        <v>8.0034191187173249</v>
      </c>
      <c r="Q278" s="17">
        <f t="shared" si="121"/>
        <v>12.0342067843051</v>
      </c>
      <c r="R278" s="17">
        <f t="shared" si="122"/>
        <v>7.7112609561867069</v>
      </c>
      <c r="S278" s="2">
        <f t="shared" si="111"/>
        <v>4.3503659923549183</v>
      </c>
      <c r="T278" s="19">
        <f>(P278)*IF(N278&lt;Forudsætninger!$B$228,IF(N278&lt;Forudsætninger!$B$227,Forudsætninger!$B$225,Forudsætninger!$C$9),Forudsætninger!$C$11)+O278</f>
        <v>21.557114813140615</v>
      </c>
      <c r="U278" s="2">
        <f>Forudsætninger!$D$68+((K278-(Forudsætninger!$D$84)))*0.01</f>
        <v>7.5385000826743935</v>
      </c>
      <c r="V278" s="2">
        <f>U278+Forudsætninger!$D$69</f>
        <v>7.5385000826743935</v>
      </c>
      <c r="W278">
        <f t="shared" si="112"/>
        <v>1</v>
      </c>
      <c r="X278">
        <f>IF(A278+Forudsætninger!$D$60&gt;248,IF(A278+Forudsætninger!$D$60&lt;365,IF(K278&gt;180,IF(K278&lt;260,1,0),0),0),0)</f>
        <v>1</v>
      </c>
      <c r="Y278" s="22">
        <f>IF(X278=0,0,IF('Vækstfunktion, kry tyr'!A278&lt;Forudsætninger!$D$66,Forudsætninger!$D$67+(('Vækstfunktion, kry tyr'!A278-Forudsætninger!$D$66)/7)*Forudsætninger!$D$64,Forudsætninger!$D$67))</f>
        <v>0.98</v>
      </c>
      <c r="Z278" s="19">
        <f t="shared" si="126"/>
        <v>4650.8736775282869</v>
      </c>
      <c r="AA278" s="19">
        <f>Forudsætninger!$D$62+Forudsætninger!$C$16</f>
        <v>2055</v>
      </c>
      <c r="AB278" s="19">
        <f>IF(K278&gt;Forudsætninger!$C$37,IF(K278&gt;Forudsætninger!$C$38,IF(K278&gt;Forudsætninger!$C$39,Forudsætninger!$E$39,Forudsætninger!$E$38+Forudsætninger!$F$39*(K278-Forudsætninger!$C$38)),Forudsætninger!$E$37+Forudsætninger!$F$38*(K278-Forudsætninger!$C$37)),Forudsætninger!$E$37)+IF(K278&gt;Forudsætninger!$C$39,Forudsætninger!$G$39,IF(K278&gt;Forudsætninger!$C$38,Forudsætninger!$G$38+Forudsætninger!$H$39*(K278-Forudsætninger!$C$38),IF(K278&gt;Forudsætninger!$C$37,Forudsætninger!$G$37+Forudsætninger!$H$38*(K278-Forudsætninger!$C$37),Forudsætninger!$G$37)))*(U278-Forudsætninger!$H$37)</f>
        <v>37.01426763573258</v>
      </c>
      <c r="AC278" s="19">
        <f>IF(K278&gt;Forudsætninger!$C$42,IF(K278&gt;Forudsætninger!$C$43,IF(K278&gt;Forudsætninger!$C$44,Forudsætninger!$E$44,Forudsætninger!$E$43+Forudsætninger!$F$44*(K278-Forudsætninger!$C$43)),Forudsætninger!$E$42+Forudsætninger!$F$43*(K278-Forudsætninger!$C$42)),Forudsætninger!$E$42)+IF(K278&gt;Forudsætninger!$C$44,Forudsætninger!$G$44,IF(K278&gt;Forudsætninger!$C$43,Forudsætninger!$G$43+Forudsætninger!$H$44*(K278-Forudsætninger!$C$43),IF(K278&gt;Forudsætninger!$C$42,Forudsætninger!$G$42+Forudsætninger!$H$43*(K278-Forudsætninger!$C$42),Forudsætninger!$G$42)))*(V278-Forudsætninger!$H$42)</f>
        <v>31.470477720653601</v>
      </c>
      <c r="AD278" s="19">
        <f t="shared" si="113"/>
        <v>8852.7155551378164</v>
      </c>
      <c r="AE278" s="19">
        <f t="shared" si="114"/>
        <v>36.903391837431002</v>
      </c>
      <c r="AF278">
        <f>IF(G278&lt;=Forudsætninger!$C$97,Forudsætninger!$C$98,(IF(G278&lt;=Forudsætninger!$D$97,Forudsætninger!$D$98,IF(G278&lt;=Forudsætninger!$E$97,Forudsætninger!$E$98,IF(G278&lt;=Forudsætninger!$F$97,Forudsætninger!$F$98,IF(G278&lt;=Forudsætninger!$G$97,Forudsætninger!$G$98,IF(G278&lt;=Forudsætninger!$H$97,Forudsætninger!$H$98,IF(G278&lt;=Forudsætninger!$I$97,Forudsætninger!$I$98,Forudsætninger!$I$98))))))))</f>
        <v>4.4000000000000004</v>
      </c>
      <c r="AG278" s="1">
        <f t="shared" si="123"/>
        <v>4.4000000000000004</v>
      </c>
      <c r="AH278" s="1">
        <f t="shared" si="127"/>
        <v>898.5999999999965</v>
      </c>
      <c r="AI278" s="1">
        <f t="shared" si="115"/>
        <v>3.2557971014492626</v>
      </c>
      <c r="AJ278" s="20">
        <f>+(W278*Forudsætninger!$C$12)</f>
        <v>900</v>
      </c>
      <c r="AK278" s="20">
        <f>Forudsætninger!$C$17</f>
        <v>250</v>
      </c>
      <c r="AL278" s="20">
        <f>IF(A278&lt;92,Forudsætninger!$C$20,Forudsætninger!$C$21)</f>
        <v>1.0566762728146013</v>
      </c>
      <c r="AM278" s="20">
        <f t="shared" si="124"/>
        <v>560.148134150121</v>
      </c>
      <c r="AN278" s="19">
        <f>IFERROR(AD278+AJ278-AA278-Z278-AK278-AM278-Forudsætninger!$D$75,-99999)</f>
        <v>2018.801769758448</v>
      </c>
      <c r="AO278" s="57">
        <f>IFERROR(AN278/(A278+Forudsætninger!$D$74),-99999)</f>
        <v>7.314499165791478</v>
      </c>
      <c r="AP278" s="19">
        <f>IFERROR(((365/(A278+Forudsætninger!$D$74))*AN278)/(AI278+Forudsætninger!$D$73),-99999)</f>
        <v>793.21245905295859</v>
      </c>
      <c r="AQ278" s="18">
        <f t="shared" si="128"/>
        <v>276</v>
      </c>
      <c r="AR278" s="18">
        <f t="shared" si="129"/>
        <v>7516.0218116784081</v>
      </c>
      <c r="AS278" s="50">
        <f t="shared" si="130"/>
        <v>10.199999999999999</v>
      </c>
      <c r="AT278" s="50">
        <f t="shared" si="131"/>
        <v>5.0883587078105847</v>
      </c>
      <c r="AU278" s="50">
        <f t="shared" si="132"/>
        <v>-8.0950562108403901E-3</v>
      </c>
      <c r="AV278" s="2">
        <f t="shared" si="133"/>
        <v>-1.8607142214051464</v>
      </c>
      <c r="AW278" s="16">
        <f t="shared" si="125"/>
        <v>9.3440213909730758</v>
      </c>
      <c r="AZ278" s="16"/>
      <c r="BA278" s="2"/>
    </row>
    <row r="279" spans="1:53" x14ac:dyDescent="0.25">
      <c r="A279">
        <v>277</v>
      </c>
      <c r="B279" s="1">
        <f>ROUND((A279+Forudsætninger!$D$60)/30.4,1)</f>
        <v>10.199999999999999</v>
      </c>
      <c r="C279" s="1">
        <f>VLOOKUP((A279+Forudsætninger!$D$60),'Model tilvækst, slagteform, fe'!A:C,3,FALSE)</f>
        <v>519.51701161997948</v>
      </c>
      <c r="D279" s="3">
        <f t="shared" si="134"/>
        <v>1364.2505683174022</v>
      </c>
      <c r="E279" s="3">
        <f>(1+Forudsætninger!$D$78)*C279</f>
        <v>436.39428976078273</v>
      </c>
      <c r="F279" s="2">
        <f t="shared" si="116"/>
        <v>0</v>
      </c>
      <c r="G279" s="1">
        <f t="shared" si="109"/>
        <v>436.39428976078273</v>
      </c>
      <c r="H279" s="3">
        <f t="shared" si="117"/>
        <v>1145.9704773865838</v>
      </c>
      <c r="I279" s="3">
        <f t="shared" si="118"/>
        <v>1315.5028511219593</v>
      </c>
      <c r="J279" s="1">
        <f>VLOOKUP((A279+Forudsætninger!$D$60),'Model tilvækst, slagteform, fe'!G:K,3,FALSE)*(1+Forudsætninger!$D$79)</f>
        <v>55.122705330748381</v>
      </c>
      <c r="K279" s="17">
        <f t="shared" si="110"/>
        <v>240.5523384250485</v>
      </c>
      <c r="L279" s="17">
        <f t="shared" si="119"/>
        <v>663.39829357437452</v>
      </c>
      <c r="M279" s="3">
        <f>((K279-(('Model tilvækst, slagteform, fe'!$I$9/100)*'Model tilvækst, slagteform, fe'!$C$9))*1000/(A279+Forudsætninger!$D$60))</f>
        <v>703.64558028514205</v>
      </c>
      <c r="N279" s="17">
        <f t="shared" si="120"/>
        <v>1588.2821268782811</v>
      </c>
      <c r="O279" s="19">
        <f>IF( A279&lt;Forudsætninger!$C$14,(G279/100)*Forudsætninger!$C$13,(Forudsætninger!$C$15/1000)*Forudsætninger!$C$13)</f>
        <v>2.8365628834450876</v>
      </c>
      <c r="P279" s="17" cm="1">
        <f t="array" ref="P279">INDEX('Model tilvækst, slagteform, fe'!$O$9:$O$375,MATCH(MIN(ABS('Model tilvækst, slagteform, fe'!$M$9:$M$375-G279)),ABS('Model tilvækst, slagteform, fe'!$M$9:$M$375-G279),0))*(1+Forudsætninger!$D$80)</f>
        <v>8.0189918877133461</v>
      </c>
      <c r="Q279" s="17">
        <f t="shared" si="121"/>
        <v>12.087748740665589</v>
      </c>
      <c r="R279" s="17">
        <f t="shared" si="122"/>
        <v>7.7253828334344421</v>
      </c>
      <c r="S279" s="2">
        <f t="shared" si="111"/>
        <v>4.3586910429385579</v>
      </c>
      <c r="T279" s="19">
        <f>(P279)*IF(N279&lt;Forudsætninger!$B$228,IF(N279&lt;Forudsætninger!$B$227,Forudsætninger!$B$225,Forudsætninger!$C$9),Forudsætninger!$C$11)+O279</f>
        <v>21.601003900694316</v>
      </c>
      <c r="U279" s="2">
        <f>Forudsætninger!$D$68+((K279-(Forudsætninger!$D$84)))*0.01</f>
        <v>7.5451340656101378</v>
      </c>
      <c r="V279" s="2">
        <f>U279+Forudsætninger!$D$69</f>
        <v>7.5451340656101378</v>
      </c>
      <c r="W279">
        <f t="shared" si="112"/>
        <v>1</v>
      </c>
      <c r="X279">
        <f>IF(A279+Forudsætninger!$D$60&gt;248,IF(A279+Forudsætninger!$D$60&lt;365,IF(K279&gt;180,IF(K279&lt;260,1,0),0),0),0)</f>
        <v>1</v>
      </c>
      <c r="Y279" s="22">
        <f>IF(X279=0,0,IF('Vækstfunktion, kry tyr'!A279&lt;Forudsætninger!$D$66,Forudsætninger!$D$67+(('Vækstfunktion, kry tyr'!A279-Forudsætninger!$D$66)/7)*Forudsætninger!$D$64,Forudsætninger!$D$67))</f>
        <v>0.98</v>
      </c>
      <c r="Z279" s="19">
        <f t="shared" si="126"/>
        <v>4672.4746814289811</v>
      </c>
      <c r="AA279" s="19">
        <f>Forudsætninger!$D$62+Forudsætninger!$C$16</f>
        <v>2055</v>
      </c>
      <c r="AB279" s="19">
        <f>IF(K279&gt;Forudsætninger!$C$37,IF(K279&gt;Forudsætninger!$C$38,IF(K279&gt;Forudsætninger!$C$39,Forudsætninger!$E$39,Forudsætninger!$E$38+Forudsætninger!$F$39*(K279-Forudsætninger!$C$38)),Forudsætninger!$E$37+Forudsætninger!$F$38*(K279-Forudsætninger!$C$37)),Forudsætninger!$E$37)+IF(K279&gt;Forudsætninger!$C$39,Forudsætninger!$G$39,IF(K279&gt;Forudsætninger!$C$38,Forudsætninger!$G$38+Forudsætninger!$H$39*(K279-Forudsætninger!$C$38),IF(K279&gt;Forudsætninger!$C$37,Forudsætninger!$G$37+Forudsætninger!$H$38*(K279-Forudsætninger!$C$37),Forudsætninger!$G$37)))*(U279-Forudsætninger!$H$37)</f>
        <v>37.027369752030673</v>
      </c>
      <c r="AC279" s="19">
        <f>IF(K279&gt;Forudsætninger!$C$42,IF(K279&gt;Forudsætninger!$C$43,IF(K279&gt;Forudsætninger!$C$44,Forudsætninger!$E$44,Forudsætninger!$E$43+Forudsætninger!$F$44*(K279-Forudsætninger!$C$43)),Forudsætninger!$E$42+Forudsætninger!$F$43*(K279-Forudsætninger!$C$42)),Forudsætninger!$E$42)+IF(K279&gt;Forudsætninger!$C$44,Forudsætninger!$G$44,IF(K279&gt;Forudsætninger!$C$43,Forudsætninger!$G$43+Forudsætninger!$H$44*(K279-Forudsætninger!$C$43),IF(K279&gt;Forudsætninger!$C$42,Forudsætninger!$G$42+Forudsætninger!$H$43*(K279-Forudsætninger!$C$42),Forudsætninger!$G$42)))*(V279-Forudsætninger!$H$42)</f>
        <v>31.487140042027384</v>
      </c>
      <c r="AD279" s="19">
        <f t="shared" si="113"/>
        <v>8880.3660753368222</v>
      </c>
      <c r="AE279" s="19">
        <f t="shared" si="114"/>
        <v>36.916565157830604</v>
      </c>
      <c r="AF279">
        <f>IF(G279&lt;=Forudsætninger!$C$97,Forudsætninger!$C$98,(IF(G279&lt;=Forudsætninger!$D$97,Forudsætninger!$D$98,IF(G279&lt;=Forudsætninger!$E$97,Forudsætninger!$E$98,IF(G279&lt;=Forudsætninger!$F$97,Forudsætninger!$F$98,IF(G279&lt;=Forudsætninger!$G$97,Forudsætninger!$G$98,IF(G279&lt;=Forudsætninger!$H$97,Forudsætninger!$H$98,IF(G279&lt;=Forudsætninger!$I$97,Forudsætninger!$I$98,Forudsætninger!$I$98))))))))</f>
        <v>4.4000000000000004</v>
      </c>
      <c r="AG279" s="1">
        <f t="shared" si="123"/>
        <v>4.4000000000000004</v>
      </c>
      <c r="AH279" s="1">
        <f t="shared" si="127"/>
        <v>902.99999999999648</v>
      </c>
      <c r="AI279" s="1">
        <f t="shared" si="115"/>
        <v>3.2599277978339223</v>
      </c>
      <c r="AJ279" s="20">
        <f>+(W279*Forudsætninger!$C$12)</f>
        <v>900</v>
      </c>
      <c r="AK279" s="20">
        <f>Forudsætninger!$C$17</f>
        <v>250</v>
      </c>
      <c r="AL279" s="20">
        <f>IF(A279&lt;92,Forudsætninger!$C$20,Forudsætninger!$C$21)</f>
        <v>1.0566762728146013</v>
      </c>
      <c r="AM279" s="20">
        <f t="shared" si="124"/>
        <v>561.20481042293557</v>
      </c>
      <c r="AN279" s="19">
        <f>IFERROR(AD279+AJ279-AA279-Z279-AK279-AM279-Forudsætninger!$D$75,-99999)</f>
        <v>2023.7946097839451</v>
      </c>
      <c r="AO279" s="57">
        <f>IFERROR(AN279/(A279+Forudsætninger!$D$74),-99999)</f>
        <v>7.3061177248517879</v>
      </c>
      <c r="AP279" s="19">
        <f>IFERROR(((365/(A279+Forudsætninger!$D$74))*AN279)/(AI279+Forudsætninger!$D$73),-99999)</f>
        <v>791.3323755140957</v>
      </c>
      <c r="AQ279" s="18">
        <f t="shared" si="128"/>
        <v>277</v>
      </c>
      <c r="AR279" s="18">
        <f t="shared" si="129"/>
        <v>7538.6794918519163</v>
      </c>
      <c r="AS279" s="50">
        <f t="shared" si="130"/>
        <v>10.199999999999999</v>
      </c>
      <c r="AT279" s="50">
        <f t="shared" si="131"/>
        <v>4.9928400254971166</v>
      </c>
      <c r="AU279" s="50">
        <f t="shared" si="132"/>
        <v>-8.3814409396900658E-3</v>
      </c>
      <c r="AV279" s="2">
        <f t="shared" si="133"/>
        <v>-1.8800835388628911</v>
      </c>
      <c r="AW279" s="16">
        <f t="shared" si="125"/>
        <v>9.332127870782962</v>
      </c>
      <c r="AZ279" s="16"/>
      <c r="BA279" s="2"/>
    </row>
    <row r="280" spans="1:53" x14ac:dyDescent="0.25">
      <c r="A280">
        <v>278</v>
      </c>
      <c r="B280" s="1">
        <f>ROUND((A280+Forudsætninger!$D$60)/30.4,1)</f>
        <v>10.3</v>
      </c>
      <c r="C280" s="1">
        <f>VLOOKUP((A280+Forudsætninger!$D$60),'Model tilvækst, slagteform, fe'!A:C,3,FALSE)</f>
        <v>520.87672098699022</v>
      </c>
      <c r="D280" s="3">
        <f t="shared" si="134"/>
        <v>1359.709367010737</v>
      </c>
      <c r="E280" s="3">
        <f>(1+Forudsætninger!$D$78)*C280</f>
        <v>437.53644562907175</v>
      </c>
      <c r="F280" s="2">
        <f t="shared" si="116"/>
        <v>0</v>
      </c>
      <c r="G280" s="1">
        <f t="shared" si="109"/>
        <v>437.53644562907175</v>
      </c>
      <c r="H280" s="3">
        <f t="shared" si="117"/>
        <v>1142.1558682890236</v>
      </c>
      <c r="I280" s="3">
        <f t="shared" si="118"/>
        <v>1314.8793008239991</v>
      </c>
      <c r="J280" s="1">
        <f>VLOOKUP((A280+Forudsætninger!$D$60),'Model tilvækst, slagteform, fe'!G:K,3,FALSE)*(1+Forudsætninger!$D$79)</f>
        <v>55.130054749467057</v>
      </c>
      <c r="K280" s="17">
        <f t="shared" si="110"/>
        <v>241.21408202417945</v>
      </c>
      <c r="L280" s="17">
        <f t="shared" si="119"/>
        <v>661.74359913094349</v>
      </c>
      <c r="M280" s="3">
        <f>((K280-(('Model tilvækst, slagteform, fe'!$I$9/100)*'Model tilvækst, slagteform, fe'!$C$9))*1000/(A280+Forudsætninger!$D$60))</f>
        <v>703.51127906349393</v>
      </c>
      <c r="N280" s="17">
        <f t="shared" si="120"/>
        <v>1596.3167643096137</v>
      </c>
      <c r="O280" s="19">
        <f>IF( A280&lt;Forudsætninger!$C$14,(G280/100)*Forudsætninger!$C$13,(Forudsætninger!$C$15/1000)*Forudsætninger!$C$13)</f>
        <v>2.8439868965889663</v>
      </c>
      <c r="P280" s="17" cm="1">
        <f t="array" ref="P280">INDEX('Model tilvækst, slagteform, fe'!$O$9:$O$375,MATCH(MIN(ABS('Model tilvækst, slagteform, fe'!$M$9:$M$375-G280)),ABS('Model tilvækst, slagteform, fe'!$M$9:$M$375-G280),0))*(1+Forudsætninger!$D$80)</f>
        <v>8.0346374313326141</v>
      </c>
      <c r="Q280" s="17">
        <f t="shared" si="121"/>
        <v>12.141617148823752</v>
      </c>
      <c r="R280" s="17">
        <f t="shared" si="122"/>
        <v>7.7395518136754573</v>
      </c>
      <c r="S280" s="2">
        <f t="shared" si="111"/>
        <v>4.367052269062869</v>
      </c>
      <c r="T280" s="19">
        <f>(P280)*IF(N280&lt;Forudsætninger!$B$228,IF(N280&lt;Forudsætninger!$B$227,Forudsætninger!$B$225,Forudsætninger!$C$9),Forudsætninger!$C$11)+O280</f>
        <v>21.645038485907282</v>
      </c>
      <c r="U280" s="2">
        <f>Forudsætninger!$D$68+((K280-(Forudsætninger!$D$84)))*0.01</f>
        <v>7.5517515016014469</v>
      </c>
      <c r="V280" s="2">
        <f>U280+Forudsætninger!$D$69</f>
        <v>7.5517515016014469</v>
      </c>
      <c r="W280">
        <f t="shared" si="112"/>
        <v>1</v>
      </c>
      <c r="X280">
        <f>IF(A280+Forudsætninger!$D$60&gt;248,IF(A280+Forudsætninger!$D$60&lt;365,IF(K280&gt;180,IF(K280&lt;260,1,0),0),0),0)</f>
        <v>1</v>
      </c>
      <c r="Y280" s="22">
        <f>IF(X280=0,0,IF('Vækstfunktion, kry tyr'!A280&lt;Forudsætninger!$D$66,Forudsætninger!$D$67+(('Vækstfunktion, kry tyr'!A280-Forudsætninger!$D$66)/7)*Forudsætninger!$D$64,Forudsætninger!$D$67))</f>
        <v>0.98</v>
      </c>
      <c r="Z280" s="19">
        <f>Z279+T280</f>
        <v>4694.1197199148883</v>
      </c>
      <c r="AA280" s="19">
        <f>Forudsætninger!$D$62+Forudsætninger!$C$16</f>
        <v>2055</v>
      </c>
      <c r="AB280" s="19">
        <f>IF(K280&gt;Forudsætninger!$C$37,IF(K280&gt;Forudsætninger!$C$38,IF(K280&gt;Forudsætninger!$C$39,Forudsætninger!$E$39,Forudsætninger!$E$38+Forudsætninger!$F$39*(K280-Forudsætninger!$C$38)),Forudsætninger!$E$37+Forudsætninger!$F$38*(K280-Forudsætninger!$C$37)),Forudsætninger!$E$37)+IF(K280&gt;Forudsætninger!$C$39,Forudsætninger!$G$39,IF(K280&gt;Forudsætninger!$C$38,Forudsætninger!$G$38+Forudsætninger!$H$39*(K280-Forudsætninger!$C$38),IF(K280&gt;Forudsætninger!$C$37,Forudsætninger!$G$37+Forudsætninger!$H$38*(K280-Forudsætninger!$C$37),Forudsætninger!$G$37)))*(U280-Forudsætninger!$H$37)</f>
        <v>37.04043918811351</v>
      </c>
      <c r="AC280" s="19">
        <f>IF(K280&gt;Forudsætninger!$C$42,IF(K280&gt;Forudsætninger!$C$43,IF(K280&gt;Forudsætninger!$C$44,Forudsætninger!$E$44,Forudsætninger!$E$43+Forudsætninger!$F$44*(K280-Forudsætninger!$C$43)),Forudsætninger!$E$42+Forudsætninger!$F$43*(K280-Forudsætninger!$C$42)),Forudsætninger!$E$42)+IF(K280&gt;Forudsætninger!$C$44,Forudsætninger!$G$44,IF(K280&gt;Forudsætninger!$C$43,Forudsætninger!$G$43+Forudsætninger!$H$44*(K280-Forudsætninger!$C$43),IF(K280&gt;Forudsætninger!$C$42,Forudsætninger!$G$42+Forudsætninger!$H$43*(K280-Forudsætninger!$C$42),Forudsætninger!$G$42)))*(V280-Forudsætninger!$H$42)</f>
        <v>31.503742534236512</v>
      </c>
      <c r="AD280" s="19">
        <f t="shared" si="113"/>
        <v>8907.9649525170171</v>
      </c>
      <c r="AE280" s="19">
        <f t="shared" si="114"/>
        <v>36.929705255035969</v>
      </c>
      <c r="AF280">
        <f>IF(G280&lt;=Forudsætninger!$C$97,Forudsætninger!$C$98,(IF(G280&lt;=Forudsætninger!$D$97,Forudsætninger!$D$98,IF(G280&lt;=Forudsætninger!$E$97,Forudsætninger!$E$98,IF(G280&lt;=Forudsætninger!$F$97,Forudsætninger!$F$98,IF(G280&lt;=Forudsætninger!$G$97,Forudsætninger!$G$98,IF(G280&lt;=Forudsætninger!$H$97,Forudsætninger!$H$98,IF(G280&lt;=Forudsætninger!$I$97,Forudsætninger!$I$98,Forudsætninger!$I$98))))))))</f>
        <v>4.4000000000000004</v>
      </c>
      <c r="AG280" s="1">
        <f t="shared" si="123"/>
        <v>4.4000000000000004</v>
      </c>
      <c r="AH280" s="1">
        <f t="shared" si="127"/>
        <v>907.39999999999645</v>
      </c>
      <c r="AI280" s="1">
        <f t="shared" si="115"/>
        <v>3.2640287769784044</v>
      </c>
      <c r="AJ280" s="20">
        <f>+(W280*Forudsætninger!$C$12)</f>
        <v>900</v>
      </c>
      <c r="AK280" s="20">
        <f>Forudsætninger!$C$17</f>
        <v>250</v>
      </c>
      <c r="AL280" s="20">
        <f>IF(A280&lt;92,Forudsætninger!$C$20,Forudsætninger!$C$21)</f>
        <v>1.0566762728146013</v>
      </c>
      <c r="AM280" s="20">
        <f t="shared" si="124"/>
        <v>562.26148669575014</v>
      </c>
      <c r="AN280" s="19">
        <f>IFERROR(AD280+AJ280-AA280-Z280-AK280-AM280-Forudsætninger!$D$75,-99999)</f>
        <v>2028.6917722054184</v>
      </c>
      <c r="AO280" s="57">
        <f>IFERROR(AN280/(A280+Forudsætninger!$D$74),-99999)</f>
        <v>7.2974524180051024</v>
      </c>
      <c r="AP280" s="19">
        <f>IFERROR(((365/(A280+Forudsætninger!$D$74))*AN280)/(AI280+Forudsætninger!$D$73),-99999)</f>
        <v>789.43314021085803</v>
      </c>
      <c r="AQ280" s="18">
        <f t="shared" si="128"/>
        <v>278</v>
      </c>
      <c r="AR280" s="18">
        <f t="shared" si="129"/>
        <v>7561.3812066106384</v>
      </c>
      <c r="AS280" s="50">
        <f t="shared" si="130"/>
        <v>10.3</v>
      </c>
      <c r="AT280" s="50">
        <f t="shared" si="131"/>
        <v>4.8971624214732401</v>
      </c>
      <c r="AU280" s="50">
        <f t="shared" si="132"/>
        <v>-8.6653068466855387E-3</v>
      </c>
      <c r="AV280" s="2">
        <f t="shared" si="133"/>
        <v>-1.8992353032376741</v>
      </c>
      <c r="AW280" s="16">
        <f t="shared" si="125"/>
        <v>9.319975751443053</v>
      </c>
      <c r="AZ280" s="16"/>
      <c r="BA280" s="2"/>
    </row>
    <row r="281" spans="1:53" x14ac:dyDescent="0.25">
      <c r="A281">
        <v>279</v>
      </c>
      <c r="B281" s="1">
        <f>ROUND((A281+Forudsætninger!$D$60)/30.4,1)</f>
        <v>10.3</v>
      </c>
      <c r="C281" s="1">
        <f>VLOOKUP((A281+Forudsætninger!$D$60),'Model tilvækst, slagteform, fe'!A:C,3,FALSE)</f>
        <v>522.23190385461089</v>
      </c>
      <c r="D281" s="3">
        <f t="shared" si="134"/>
        <v>1355.1828676206696</v>
      </c>
      <c r="E281" s="3">
        <f>(1+Forudsætninger!$D$78)*C281</f>
        <v>438.67479923787312</v>
      </c>
      <c r="F281" s="2">
        <f t="shared" si="116"/>
        <v>0</v>
      </c>
      <c r="G281" s="1">
        <f t="shared" si="109"/>
        <v>438.67479923787312</v>
      </c>
      <c r="H281" s="3">
        <f t="shared" si="117"/>
        <v>1138.353608801367</v>
      </c>
      <c r="I281" s="3">
        <f t="shared" si="118"/>
        <v>1314.2465922504414</v>
      </c>
      <c r="J281" s="1">
        <f>VLOOKUP((A281+Forudsætninger!$D$60),'Model tilvækst, slagteform, fe'!G:K,3,FALSE)*(1+Forudsætninger!$D$79)</f>
        <v>55.137467297433169</v>
      </c>
      <c r="K281" s="17">
        <f t="shared" si="110"/>
        <v>241.87417397186292</v>
      </c>
      <c r="L281" s="17">
        <f t="shared" si="119"/>
        <v>660.09194768346902</v>
      </c>
      <c r="M281" s="3">
        <f>((K281-(('Model tilvækst, slagteform, fe'!$I$9/100)*'Model tilvækst, slagteform, fe'!$C$9))*1000/(A281+Forudsætninger!$D$60))</f>
        <v>703.37255915493165</v>
      </c>
      <c r="N281" s="17">
        <f t="shared" si="120"/>
        <v>1604.3671177116203</v>
      </c>
      <c r="O281" s="19">
        <f>IF( A281&lt;Forudsætninger!$C$14,(G281/100)*Forudsætninger!$C$13,(Forudsætninger!$C$15/1000)*Forudsætninger!$C$13)</f>
        <v>2.8513861950461754</v>
      </c>
      <c r="P281" s="17" cm="1">
        <f t="array" ref="P281">INDEX('Model tilvækst, slagteform, fe'!$O$9:$O$375,MATCH(MIN(ABS('Model tilvækst, slagteform, fe'!$M$9:$M$375-G281)),ABS('Model tilvækst, slagteform, fe'!$M$9:$M$375-G281),0))*(1+Forudsætninger!$D$80)</f>
        <v>8.0503534020066319</v>
      </c>
      <c r="Q281" s="17">
        <f t="shared" si="121"/>
        <v>12.195806099829872</v>
      </c>
      <c r="R281" s="17">
        <f t="shared" si="122"/>
        <v>7.7537680112470984</v>
      </c>
      <c r="S281" s="2">
        <f t="shared" si="111"/>
        <v>4.3754496383342083</v>
      </c>
      <c r="T281" s="19">
        <f>(P281)*IF(N281&lt;Forudsætninger!$B$228,IF(N281&lt;Forudsætninger!$B$227,Forudsætninger!$B$225,Forudsætninger!$C$9),Forudsætninger!$C$11)+O281</f>
        <v>21.68921315574169</v>
      </c>
      <c r="U281" s="2">
        <f>Forudsætninger!$D$68+((K281-(Forudsætninger!$D$84)))*0.01</f>
        <v>7.5583524210782818</v>
      </c>
      <c r="V281" s="2">
        <f>U281+Forudsætninger!$D$69</f>
        <v>7.5583524210782818</v>
      </c>
      <c r="W281">
        <f t="shared" si="112"/>
        <v>1</v>
      </c>
      <c r="X281">
        <f>IF(A281+Forudsætninger!$D$60&gt;248,IF(A281+Forudsætninger!$D$60&lt;365,IF(K281&gt;180,IF(K281&lt;260,1,0),0),0),0)</f>
        <v>1</v>
      </c>
      <c r="Y281" s="22">
        <f>IF(X281=0,0,IF('Vækstfunktion, kry tyr'!A281&lt;Forudsætninger!$D$66,Forudsætninger!$D$67+(('Vækstfunktion, kry tyr'!A281-Forudsætninger!$D$66)/7)*Forudsætninger!$D$64,Forudsætninger!$D$67))</f>
        <v>0.98</v>
      </c>
      <c r="Z281" s="19">
        <f t="shared" si="126"/>
        <v>4715.8089330706298</v>
      </c>
      <c r="AA281" s="19">
        <f>Forudsætninger!$D$62+Forudsætninger!$C$16</f>
        <v>2055</v>
      </c>
      <c r="AB281" s="19">
        <f>IF(K281&gt;Forudsætninger!$C$37,IF(K281&gt;Forudsætninger!$C$38,IF(K281&gt;Forudsætninger!$C$39,Forudsætninger!$E$39,Forudsætninger!$E$38+Forudsætninger!$F$39*(K281-Forudsætninger!$C$38)),Forudsætninger!$E$37+Forudsætninger!$F$38*(K281-Forudsætninger!$C$37)),Forudsætninger!$E$37)+IF(K281&gt;Forudsætninger!$C$39,Forudsætninger!$G$39,IF(K281&gt;Forudsætninger!$C$38,Forudsætninger!$G$38+Forudsætninger!$H$39*(K281-Forudsætninger!$C$38),IF(K281&gt;Forudsætninger!$C$37,Forudsætninger!$G$37+Forudsætninger!$H$38*(K281-Forudsætninger!$C$37),Forudsætninger!$G$37)))*(U281-Forudsætninger!$H$37)</f>
        <v>37.05347600408026</v>
      </c>
      <c r="AC281" s="19">
        <f>IF(K281&gt;Forudsætninger!$C$42,IF(K281&gt;Forudsætninger!$C$43,IF(K281&gt;Forudsætninger!$C$44,Forudsætninger!$E$44,Forudsætninger!$E$43+Forudsætninger!$F$44*(K281-Forudsætninger!$C$43)),Forudsætninger!$E$42+Forudsætninger!$F$43*(K281-Forudsætninger!$C$42)),Forudsætninger!$E$42)+IF(K281&gt;Forudsætninger!$C$44,Forudsætninger!$G$44,IF(K281&gt;Forudsætninger!$C$43,Forudsætninger!$G$43+Forudsætninger!$H$44*(K281-Forudsætninger!$C$43),IF(K281&gt;Forudsætninger!$C$42,Forudsætninger!$G$42+Forudsætninger!$H$43*(K281-Forudsætninger!$C$42),Forudsætninger!$G$42)))*(V281-Forudsætninger!$H$42)</f>
        <v>31.520285410374029</v>
      </c>
      <c r="AD281" s="19">
        <f t="shared" si="113"/>
        <v>8935.512183187524</v>
      </c>
      <c r="AE281" s="19">
        <f t="shared" si="114"/>
        <v>36.942812192206134</v>
      </c>
      <c r="AF281">
        <f>IF(G281&lt;=Forudsætninger!$C$97,Forudsætninger!$C$98,(IF(G281&lt;=Forudsætninger!$D$97,Forudsætninger!$D$98,IF(G281&lt;=Forudsætninger!$E$97,Forudsætninger!$E$98,IF(G281&lt;=Forudsætninger!$F$97,Forudsætninger!$F$98,IF(G281&lt;=Forudsætninger!$G$97,Forudsætninger!$G$98,IF(G281&lt;=Forudsætninger!$H$97,Forudsætninger!$H$98,IF(G281&lt;=Forudsætninger!$I$97,Forudsætninger!$I$98,Forudsætninger!$I$98))))))))</f>
        <v>4.4000000000000004</v>
      </c>
      <c r="AG281" s="1">
        <f t="shared" si="123"/>
        <v>4.4000000000000004</v>
      </c>
      <c r="AH281" s="1">
        <f t="shared" si="127"/>
        <v>911.79999999999643</v>
      </c>
      <c r="AI281" s="1">
        <f t="shared" si="115"/>
        <v>3.2681003584229265</v>
      </c>
      <c r="AJ281" s="20">
        <f>+(W281*Forudsætninger!$C$12)</f>
        <v>900</v>
      </c>
      <c r="AK281" s="20">
        <f>Forudsætninger!$C$17</f>
        <v>250</v>
      </c>
      <c r="AL281" s="20">
        <f>IF(A281&lt;92,Forudsætninger!$C$20,Forudsætninger!$C$21)</f>
        <v>1.0566762728146013</v>
      </c>
      <c r="AM281" s="20">
        <f t="shared" si="124"/>
        <v>563.31816296856471</v>
      </c>
      <c r="AN281" s="19">
        <f>IFERROR(AD281+AJ281-AA281-Z281-AK281-AM281-Forudsætninger!$D$75,-99999)</f>
        <v>2033.4931134473693</v>
      </c>
      <c r="AO281" s="57">
        <f>IFERROR(AN281/(A281+Forudsætninger!$D$74),-99999)</f>
        <v>7.2885057829654816</v>
      </c>
      <c r="AP281" s="19">
        <f>IFERROR(((365/(A281+Forudsætninger!$D$74))*AN281)/(AI281+Forudsætninger!$D$73),-99999)</f>
        <v>787.51497247534996</v>
      </c>
      <c r="AQ281" s="18">
        <f t="shared" si="128"/>
        <v>279</v>
      </c>
      <c r="AR281" s="18">
        <f t="shared" si="129"/>
        <v>7584.1270960391948</v>
      </c>
      <c r="AS281" s="50">
        <f t="shared" si="130"/>
        <v>10.3</v>
      </c>
      <c r="AT281" s="50">
        <f t="shared" si="131"/>
        <v>4.8013412419509223</v>
      </c>
      <c r="AU281" s="50">
        <f t="shared" si="132"/>
        <v>-8.9466350396207872E-3</v>
      </c>
      <c r="AV281" s="2">
        <f t="shared" si="133"/>
        <v>-1.9181677355080637</v>
      </c>
      <c r="AW281" s="16">
        <f t="shared" si="125"/>
        <v>9.3075672989818425</v>
      </c>
      <c r="AZ281" s="16"/>
      <c r="BA281" s="2"/>
    </row>
    <row r="282" spans="1:53" x14ac:dyDescent="0.25">
      <c r="A282">
        <v>280</v>
      </c>
      <c r="B282" s="1">
        <f>ROUND((A282+Forudsætninger!$D$60)/30.4,1)</f>
        <v>10.3</v>
      </c>
      <c r="C282" s="1">
        <f>VLOOKUP((A282+Forudsætninger!$D$60),'Model tilvækst, slagteform, fe'!A:C,3,FALSE)</f>
        <v>523.58257554569491</v>
      </c>
      <c r="D282" s="3">
        <f t="shared" si="134"/>
        <v>1350.6716910840169</v>
      </c>
      <c r="E282" s="3">
        <f>(1+Forudsætninger!$D$78)*C282</f>
        <v>439.8093634583837</v>
      </c>
      <c r="F282" s="2">
        <f t="shared" si="116"/>
        <v>0</v>
      </c>
      <c r="G282" s="1">
        <f t="shared" si="109"/>
        <v>439.8093634583837</v>
      </c>
      <c r="H282" s="3">
        <f t="shared" si="117"/>
        <v>1134.5642205105833</v>
      </c>
      <c r="I282" s="3">
        <f t="shared" si="118"/>
        <v>1313.6048694942276</v>
      </c>
      <c r="J282" s="1">
        <f>VLOOKUP((A282+Forudsætninger!$D$60),'Model tilvækst, slagteform, fe'!G:K,3,FALSE)*(1+Forudsætninger!$D$79)</f>
        <v>55.144941805586583</v>
      </c>
      <c r="K282" s="17">
        <f t="shared" si="110"/>
        <v>242.53261753464645</v>
      </c>
      <c r="L282" s="17">
        <f t="shared" si="119"/>
        <v>658.44356278353189</v>
      </c>
      <c r="M282" s="3">
        <f>((K282-(('Model tilvækst, slagteform, fe'!$I$9/100)*'Model tilvækst, slagteform, fe'!$C$9))*1000/(A282+Forudsætninger!$D$60))</f>
        <v>703.2294731792266</v>
      </c>
      <c r="N282" s="17">
        <f t="shared" si="120"/>
        <v>1612.4332551637872</v>
      </c>
      <c r="O282" s="19">
        <f>IF( A282&lt;Forudsætninger!$C$14,(G282/100)*Forudsætninger!$C$13,(Forudsætninger!$C$15/1000)*Forudsætninger!$C$13)</f>
        <v>2.8587608624794942</v>
      </c>
      <c r="P282" s="17" cm="1">
        <f t="array" ref="P282">INDEX('Model tilvækst, slagteform, fe'!$O$9:$O$375,MATCH(MIN(ABS('Model tilvækst, slagteform, fe'!$M$9:$M$375-G282)),ABS('Model tilvækst, slagteform, fe'!$M$9:$M$375-G282),0))*(1+Forudsætninger!$D$80)</f>
        <v>8.0661374521669114</v>
      </c>
      <c r="Q282" s="17">
        <f t="shared" si="121"/>
        <v>12.250309530049599</v>
      </c>
      <c r="R282" s="17">
        <f t="shared" si="122"/>
        <v>7.7680315207768844</v>
      </c>
      <c r="S282" s="2">
        <f t="shared" si="111"/>
        <v>4.3838831072777413</v>
      </c>
      <c r="T282" s="19">
        <f>(P282)*IF(N282&lt;Forudsætninger!$B$228,IF(N282&lt;Forudsætninger!$B$227,Forudsætninger!$B$225,Forudsætninger!$C$9),Forudsætninger!$C$11)+O282</f>
        <v>21.733522500550066</v>
      </c>
      <c r="U282" s="2">
        <f>Forudsætninger!$D$68+((K282-(Forudsætninger!$D$84)))*0.01</f>
        <v>7.564936856706117</v>
      </c>
      <c r="V282" s="2">
        <f>U282+Forudsætninger!$D$69</f>
        <v>7.564936856706117</v>
      </c>
      <c r="W282">
        <f t="shared" si="112"/>
        <v>1</v>
      </c>
      <c r="X282">
        <f>IF(A282+Forudsætninger!$D$60&gt;248,IF(A282+Forudsætninger!$D$60&lt;365,IF(K282&gt;180,IF(K282&lt;260,1,0),0),0),0)</f>
        <v>1</v>
      </c>
      <c r="Y282" s="22">
        <f>IF(X282=0,0,IF('Vækstfunktion, kry tyr'!A282&lt;Forudsætninger!$D$66,Forudsætninger!$D$67+(('Vækstfunktion, kry tyr'!A282-Forudsætninger!$D$66)/7)*Forudsætninger!$D$64,Forudsætninger!$D$67))</f>
        <v>0.98</v>
      </c>
      <c r="Z282" s="19">
        <f t="shared" si="126"/>
        <v>4737.5424555711797</v>
      </c>
      <c r="AA282" s="19">
        <f>Forudsætninger!$D$62+Forudsætninger!$C$16</f>
        <v>2055</v>
      </c>
      <c r="AB282" s="19">
        <f>IF(K282&gt;Forudsætninger!$C$37,IF(K282&gt;Forudsætninger!$C$38,IF(K282&gt;Forudsætninger!$C$39,Forudsætninger!$E$39,Forudsætninger!$E$38+Forudsætninger!$F$39*(K282-Forudsætninger!$C$38)),Forudsætninger!$E$37+Forudsætninger!$F$38*(K282-Forudsætninger!$C$37)),Forudsætninger!$E$37)+IF(K282&gt;Forudsætninger!$C$39,Forudsætninger!$G$39,IF(K282&gt;Forudsætninger!$C$38,Forudsætninger!$G$38+Forudsætninger!$H$39*(K282-Forudsætninger!$C$38),IF(K282&gt;Forudsætninger!$C$37,Forudsætninger!$G$37+Forudsætninger!$H$38*(K282-Forudsætninger!$C$37),Forudsætninger!$G$37)))*(U282-Forudsætninger!$H$37)</f>
        <v>37.066480264445239</v>
      </c>
      <c r="AC282" s="19">
        <f>IF(K282&gt;Forudsætninger!$C$42,IF(K282&gt;Forudsætninger!$C$43,IF(K282&gt;Forudsætninger!$C$44,Forudsætninger!$E$44,Forudsætninger!$E$43+Forudsætninger!$F$44*(K282-Forudsætninger!$C$43)),Forudsætninger!$E$42+Forudsætninger!$F$43*(K282-Forudsætninger!$C$42)),Forudsætninger!$E$42)+IF(K282&gt;Forudsætninger!$C$44,Forudsætninger!$G$44,IF(K282&gt;Forudsætninger!$C$43,Forudsætninger!$G$43+Forudsætninger!$H$44*(K282-Forudsætninger!$C$43),IF(K282&gt;Forudsætninger!$C$42,Forudsætninger!$G$42+Forudsætninger!$H$43*(K282-Forudsætninger!$C$42),Forudsætninger!$G$42)))*(V282-Forudsætninger!$H$42)</f>
        <v>31.536768888450116</v>
      </c>
      <c r="AD282" s="19">
        <f t="shared" si="113"/>
        <v>8963.0077738475939</v>
      </c>
      <c r="AE282" s="19">
        <f t="shared" si="114"/>
        <v>36.955886036925335</v>
      </c>
      <c r="AF282">
        <f>IF(G282&lt;=Forudsætninger!$C$97,Forudsætninger!$C$98,(IF(G282&lt;=Forudsætninger!$D$97,Forudsætninger!$D$98,IF(G282&lt;=Forudsætninger!$E$97,Forudsætninger!$E$98,IF(G282&lt;=Forudsætninger!$F$97,Forudsætninger!$F$98,IF(G282&lt;=Forudsætninger!$G$97,Forudsætninger!$G$98,IF(G282&lt;=Forudsætninger!$H$97,Forudsætninger!$H$98,IF(G282&lt;=Forudsætninger!$I$97,Forudsætninger!$I$98,Forudsætninger!$I$98))))))))</f>
        <v>4.4000000000000004</v>
      </c>
      <c r="AG282" s="1">
        <f t="shared" si="123"/>
        <v>4.4000000000000004</v>
      </c>
      <c r="AH282" s="1">
        <f t="shared" si="127"/>
        <v>916.19999999999641</v>
      </c>
      <c r="AI282" s="1">
        <f t="shared" si="115"/>
        <v>3.2721428571428444</v>
      </c>
      <c r="AJ282" s="20">
        <f>+(W282*Forudsætninger!$C$12)</f>
        <v>900</v>
      </c>
      <c r="AK282" s="20">
        <f>Forudsætninger!$C$17</f>
        <v>250</v>
      </c>
      <c r="AL282" s="20">
        <f>IF(A282&lt;92,Forudsætninger!$C$20,Forudsætninger!$C$21)</f>
        <v>1.0566762728146013</v>
      </c>
      <c r="AM282" s="20">
        <f t="shared" si="124"/>
        <v>564.37483924137928</v>
      </c>
      <c r="AN282" s="19">
        <f>IFERROR(AD282+AJ282-AA282-Z282-AK282-AM282-Forudsætninger!$D$75,-99999)</f>
        <v>2038.1985053340748</v>
      </c>
      <c r="AO282" s="57">
        <f>IFERROR(AN282/(A282+Forudsætninger!$D$74),-99999)</f>
        <v>7.2792803761931237</v>
      </c>
      <c r="AP282" s="19">
        <f>IFERROR(((365/(A282+Forudsætninger!$D$74))*AN282)/(AI282+Forudsætninger!$D$73),-99999)</f>
        <v>785.57809339698008</v>
      </c>
      <c r="AQ282" s="18">
        <f t="shared" si="128"/>
        <v>280</v>
      </c>
      <c r="AR282" s="18">
        <f t="shared" si="129"/>
        <v>7606.9172948125588</v>
      </c>
      <c r="AS282" s="50">
        <f t="shared" si="130"/>
        <v>10.3</v>
      </c>
      <c r="AT282" s="50">
        <f t="shared" si="131"/>
        <v>4.7053918867054563</v>
      </c>
      <c r="AU282" s="50">
        <f t="shared" si="132"/>
        <v>-9.2254067723578359E-3</v>
      </c>
      <c r="AV282" s="2">
        <f t="shared" si="133"/>
        <v>-1.9368790783698842</v>
      </c>
      <c r="AW282" s="16">
        <f t="shared" si="125"/>
        <v>9.2949048020551928</v>
      </c>
      <c r="AZ282" s="16"/>
      <c r="BA282" s="2"/>
    </row>
    <row r="283" spans="1:53" x14ac:dyDescent="0.25">
      <c r="A283">
        <v>281</v>
      </c>
      <c r="B283" s="1">
        <f>ROUND((A283+Forudsætninger!$D$60)/30.4,1)</f>
        <v>10.4</v>
      </c>
      <c r="C283" s="1">
        <f>VLOOKUP((A283+Forudsætninger!$D$60),'Model tilvækst, slagteform, fe'!A:C,3,FALSE)</f>
        <v>524.92875200403171</v>
      </c>
      <c r="D283" s="3">
        <f t="shared" si="134"/>
        <v>1346.1764583367994</v>
      </c>
      <c r="E283" s="3">
        <f>(1+Forudsætninger!$D$78)*C283</f>
        <v>440.9401516833866</v>
      </c>
      <c r="F283" s="2">
        <f t="shared" si="116"/>
        <v>0</v>
      </c>
      <c r="G283" s="1">
        <f t="shared" si="109"/>
        <v>440.9401516833866</v>
      </c>
      <c r="H283" s="3">
        <f t="shared" si="117"/>
        <v>1130.7882250029024</v>
      </c>
      <c r="I283" s="3">
        <f t="shared" si="118"/>
        <v>1312.954276453333</v>
      </c>
      <c r="J283" s="1">
        <f>VLOOKUP((A283+Forudsætninger!$D$60),'Model tilvækst, slagteform, fe'!G:K,3,FALSE)*(1+Forudsætninger!$D$79)</f>
        <v>55.152477104867152</v>
      </c>
      <c r="K283" s="17">
        <f t="shared" si="110"/>
        <v>243.18941620334627</v>
      </c>
      <c r="L283" s="17">
        <f t="shared" si="119"/>
        <v>656.79866869982106</v>
      </c>
      <c r="M283" s="3">
        <f>((K283-(('Model tilvækst, slagteform, fe'!$I$9/100)*'Model tilvækst, slagteform, fe'!$C$9))*1000/(A283+Forudsætninger!$D$60))</f>
        <v>703.08207379992689</v>
      </c>
      <c r="N283" s="17">
        <f t="shared" si="120"/>
        <v>1620.5152423980321</v>
      </c>
      <c r="O283" s="19">
        <f>IF( A283&lt;Forudsætninger!$C$14,(G283/100)*Forudsætninger!$C$13,(Forudsætninger!$C$15/1000)*Forudsætninger!$C$13)</f>
        <v>2.8661109859420133</v>
      </c>
      <c r="P283" s="17" cm="1">
        <f t="array" ref="P283">INDEX('Model tilvækst, slagteform, fe'!$O$9:$O$375,MATCH(MIN(ABS('Model tilvækst, slagteform, fe'!$M$9:$M$375-G283)),ABS('Model tilvækst, slagteform, fe'!$M$9:$M$375-G283),0))*(1+Forudsætninger!$D$80)</f>
        <v>8.0819872342449592</v>
      </c>
      <c r="Q283" s="17">
        <f t="shared" si="121"/>
        <v>12.305121218110594</v>
      </c>
      <c r="R283" s="17">
        <f t="shared" si="122"/>
        <v>7.7823424173918738</v>
      </c>
      <c r="S283" s="2">
        <f t="shared" si="111"/>
        <v>4.3923526214319706</v>
      </c>
      <c r="T283" s="19">
        <f>(P283)*IF(N283&lt;Forudsætninger!$B$228,IF(N283&lt;Forudsætninger!$B$227,Forudsætninger!$B$225,Forudsætninger!$C$9),Forudsætninger!$C$11)+O283</f>
        <v>21.777961114075218</v>
      </c>
      <c r="U283" s="2">
        <f>Forudsætninger!$D$68+((K283-(Forudsætninger!$D$84)))*0.01</f>
        <v>7.5715048433931154</v>
      </c>
      <c r="V283" s="2">
        <f>U283+Forudsætninger!$D$69</f>
        <v>7.5715048433931154</v>
      </c>
      <c r="W283">
        <f t="shared" si="112"/>
        <v>1</v>
      </c>
      <c r="X283">
        <f>IF(A283+Forudsætninger!$D$60&gt;248,IF(A283+Forudsætninger!$D$60&lt;365,IF(K283&gt;180,IF(K283&lt;260,1,0),0),0),0)</f>
        <v>1</v>
      </c>
      <c r="Y283" s="22">
        <f>IF(X283=0,0,IF('Vækstfunktion, kry tyr'!A283&lt;Forudsætninger!$D$66,Forudsætninger!$D$67+(('Vækstfunktion, kry tyr'!A283-Forudsætninger!$D$66)/7)*Forudsætninger!$D$64,Forudsætninger!$D$67))</f>
        <v>0.98</v>
      </c>
      <c r="Z283" s="19">
        <f t="shared" si="126"/>
        <v>4759.3204166852547</v>
      </c>
      <c r="AA283" s="19">
        <f>Forudsætninger!$D$62+Forudsætninger!$C$16</f>
        <v>2055</v>
      </c>
      <c r="AB283" s="19">
        <f>IF(K283&gt;Forudsætninger!$C$37,IF(K283&gt;Forudsætninger!$C$38,IF(K283&gt;Forudsætninger!$C$39,Forudsætninger!$E$39,Forudsætninger!$E$38+Forudsætninger!$F$39*(K283-Forudsætninger!$C$38)),Forudsætninger!$E$37+Forudsætninger!$F$38*(K283-Forudsætninger!$C$37)),Forudsætninger!$E$37)+IF(K283&gt;Forudsætninger!$C$39,Forudsætninger!$G$39,IF(K283&gt;Forudsætninger!$C$38,Forudsætninger!$G$38+Forudsætninger!$H$39*(K283-Forudsætninger!$C$38),IF(K283&gt;Forudsætninger!$C$37,Forudsætninger!$G$37+Forudsætninger!$H$38*(K283-Forudsætninger!$C$37),Forudsætninger!$G$37)))*(U283-Forudsætninger!$H$37)</f>
        <v>37.079452038152048</v>
      </c>
      <c r="AC283" s="19">
        <f>IF(K283&gt;Forudsætninger!$C$42,IF(K283&gt;Forudsætninger!$C$43,IF(K283&gt;Forudsætninger!$C$44,Forudsætninger!$E$44,Forudsætninger!$E$43+Forudsætninger!$F$44*(K283-Forudsætninger!$C$43)),Forudsætninger!$E$42+Forudsætninger!$F$43*(K283-Forudsætninger!$C$42)),Forudsætninger!$E$42)+IF(K283&gt;Forudsætninger!$C$44,Forudsætninger!$G$44,IF(K283&gt;Forudsætninger!$C$43,Forudsætninger!$G$43+Forudsætninger!$H$44*(K283-Forudsætninger!$C$43),IF(K283&gt;Forudsætninger!$C$42,Forudsætninger!$G$42+Forudsætninger!$H$43*(K283-Forudsætninger!$C$42),Forudsætninger!$G$42)))*(V283-Forudsætninger!$H$42)</f>
        <v>31.553193191381517</v>
      </c>
      <c r="AD283" s="19">
        <f t="shared" si="113"/>
        <v>8990.4517410434819</v>
      </c>
      <c r="AE283" s="19">
        <f t="shared" si="114"/>
        <v>36.968926861216644</v>
      </c>
      <c r="AF283">
        <f>IF(G283&lt;=Forudsætninger!$C$97,Forudsætninger!$C$98,(IF(G283&lt;=Forudsætninger!$D$97,Forudsætninger!$D$98,IF(G283&lt;=Forudsætninger!$E$97,Forudsætninger!$E$98,IF(G283&lt;=Forudsætninger!$F$97,Forudsætninger!$F$98,IF(G283&lt;=Forudsætninger!$G$97,Forudsætninger!$G$98,IF(G283&lt;=Forudsætninger!$H$97,Forudsætninger!$H$98,IF(G283&lt;=Forudsætninger!$I$97,Forudsætninger!$I$98,Forudsætninger!$I$98))))))))</f>
        <v>4.4000000000000004</v>
      </c>
      <c r="AG283" s="1">
        <f t="shared" si="123"/>
        <v>4.4000000000000004</v>
      </c>
      <c r="AH283" s="1">
        <f t="shared" si="127"/>
        <v>920.59999999999638</v>
      </c>
      <c r="AI283" s="1">
        <f t="shared" si="115"/>
        <v>3.2761565836298803</v>
      </c>
      <c r="AJ283" s="20">
        <f>+(W283*Forudsætninger!$C$12)</f>
        <v>900</v>
      </c>
      <c r="AK283" s="20">
        <f>Forudsætninger!$C$17</f>
        <v>250</v>
      </c>
      <c r="AL283" s="20">
        <f>IF(A283&lt;92,Forudsætninger!$C$20,Forudsætninger!$C$21)</f>
        <v>1.0566762728146013</v>
      </c>
      <c r="AM283" s="20">
        <f t="shared" si="124"/>
        <v>565.43151551419385</v>
      </c>
      <c r="AN283" s="19">
        <f>IFERROR(AD283+AJ283-AA283-Z283-AK283-AM283-Forudsætninger!$D$75,-99999)</f>
        <v>2042.8078351430729</v>
      </c>
      <c r="AO283" s="57">
        <f>IFERROR(AN283/(A283+Forudsætninger!$D$74),-99999)</f>
        <v>7.2697787727511489</v>
      </c>
      <c r="AP283" s="19">
        <f>IFERROR(((365/(A283+Forudsætninger!$D$74))*AN283)/(AI283+Forudsætninger!$D$73),-99999)</f>
        <v>783.62272580133106</v>
      </c>
      <c r="AQ283" s="18">
        <f t="shared" si="128"/>
        <v>281</v>
      </c>
      <c r="AR283" s="18">
        <f t="shared" si="129"/>
        <v>7629.7519321994487</v>
      </c>
      <c r="AS283" s="50">
        <f t="shared" si="130"/>
        <v>10.4</v>
      </c>
      <c r="AT283" s="50">
        <f t="shared" si="131"/>
        <v>4.6093298089981545</v>
      </c>
      <c r="AU283" s="50">
        <f t="shared" si="132"/>
        <v>-9.5016034419748152E-3</v>
      </c>
      <c r="AV283" s="2">
        <f t="shared" si="133"/>
        <v>-1.9553675956490224</v>
      </c>
      <c r="AW283" s="16">
        <f t="shared" si="125"/>
        <v>9.2819905717340454</v>
      </c>
      <c r="AZ283" s="16"/>
      <c r="BA283" s="2"/>
    </row>
    <row r="284" spans="1:53" x14ac:dyDescent="0.25">
      <c r="A284">
        <v>282</v>
      </c>
      <c r="B284" s="1">
        <f>ROUND((A284+Forudsætninger!$D$60)/30.4,1)</f>
        <v>10.4</v>
      </c>
      <c r="C284" s="1">
        <f>VLOOKUP((A284+Forudsætninger!$D$60),'Model tilvækst, slagteform, fe'!A:C,3,FALSE)</f>
        <v>526.27044979434891</v>
      </c>
      <c r="D284" s="3">
        <f t="shared" si="134"/>
        <v>1341.6977903171983</v>
      </c>
      <c r="E284" s="3">
        <f>(1+Forudsætninger!$D$78)*C284</f>
        <v>442.06717782725309</v>
      </c>
      <c r="F284" s="2">
        <f t="shared" si="116"/>
        <v>0</v>
      </c>
      <c r="G284" s="1">
        <f t="shared" si="109"/>
        <v>442.06717782725309</v>
      </c>
      <c r="H284" s="3">
        <f t="shared" si="117"/>
        <v>1127.0261438664875</v>
      </c>
      <c r="I284" s="3">
        <f t="shared" si="118"/>
        <v>1312.2949568342308</v>
      </c>
      <c r="J284" s="1">
        <f>VLOOKUP((A284+Forudsætninger!$D$60),'Model tilvækst, slagteform, fe'!G:K,3,FALSE)*(1+Forudsætninger!$D$79)</f>
        <v>55.160072026214721</v>
      </c>
      <c r="K284" s="17">
        <f t="shared" si="110"/>
        <v>243.84457369376753</v>
      </c>
      <c r="L284" s="17">
        <f t="shared" si="119"/>
        <v>655.15749042126004</v>
      </c>
      <c r="M284" s="3">
        <f>((K284-(('Model tilvækst, slagteform, fe'!$I$9/100)*'Model tilvækst, slagteform, fe'!$C$9))*1000/(A284+Forudsætninger!$D$60))</f>
        <v>702.93041372594371</v>
      </c>
      <c r="N284" s="17">
        <f t="shared" si="120"/>
        <v>1628.6131427987043</v>
      </c>
      <c r="O284" s="19">
        <f>IF( A284&lt;Forudsætninger!$C$14,(G284/100)*Forudsætninger!$C$13,(Forudsætninger!$C$15/1000)*Forudsætninger!$C$13)</f>
        <v>2.8734366558771454</v>
      </c>
      <c r="P284" s="17" cm="1">
        <f t="array" ref="P284">INDEX('Model tilvækst, slagteform, fe'!$O$9:$O$375,MATCH(MIN(ABS('Model tilvækst, slagteform, fe'!$M$9:$M$375-G284)),ABS('Model tilvækst, slagteform, fe'!$M$9:$M$375-G284),0))*(1+Forudsætninger!$D$80)</f>
        <v>8.0979004006722857</v>
      </c>
      <c r="Q284" s="17">
        <f t="shared" si="121"/>
        <v>12.360234781816221</v>
      </c>
      <c r="R284" s="17">
        <f t="shared" si="122"/>
        <v>7.7967007569205737</v>
      </c>
      <c r="S284" s="2">
        <f t="shared" si="111"/>
        <v>4.4008581154390809</v>
      </c>
      <c r="T284" s="19">
        <f>(P284)*IF(N284&lt;Forudsætninger!$B$228,IF(N284&lt;Forudsætninger!$B$227,Forudsætninger!$B$225,Forudsætninger!$C$9),Forudsætninger!$C$11)+O284</f>
        <v>21.822523593450292</v>
      </c>
      <c r="U284" s="2">
        <f>Forudsætninger!$D$68+((K284-(Forudsætninger!$D$84)))*0.01</f>
        <v>7.5780564182973276</v>
      </c>
      <c r="V284" s="2">
        <f>U284+Forudsætninger!$D$69</f>
        <v>7.5780564182973276</v>
      </c>
      <c r="W284">
        <f t="shared" si="112"/>
        <v>1</v>
      </c>
      <c r="X284">
        <f>IF(A284+Forudsætninger!$D$60&gt;248,IF(A284+Forudsætninger!$D$60&lt;365,IF(K284&gt;180,IF(K284&lt;260,1,0),0),0),0)</f>
        <v>1</v>
      </c>
      <c r="Y284" s="22">
        <f>IF(X284=0,0,IF('Vækstfunktion, kry tyr'!A284&lt;Forudsætninger!$D$66,Forudsætninger!$D$67+(('Vækstfunktion, kry tyr'!A284-Forudsætninger!$D$66)/7)*Forudsætninger!$D$64,Forudsætninger!$D$67))</f>
        <v>0.98</v>
      </c>
      <c r="Z284" s="19">
        <f t="shared" si="126"/>
        <v>4781.1429402787053</v>
      </c>
      <c r="AA284" s="19">
        <f>Forudsætninger!$D$62+Forudsætninger!$C$16</f>
        <v>2055</v>
      </c>
      <c r="AB284" s="19">
        <f>IF(K284&gt;Forudsætninger!$C$37,IF(K284&gt;Forudsætninger!$C$38,IF(K284&gt;Forudsætninger!$C$39,Forudsætninger!$E$39,Forudsætninger!$E$38+Forudsætninger!$F$39*(K284-Forudsætninger!$C$38)),Forudsætninger!$E$37+Forudsætninger!$F$38*(K284-Forudsætninger!$C$37)),Forudsætninger!$E$37)+IF(K284&gt;Forudsætninger!$C$39,Forudsætninger!$G$39,IF(K284&gt;Forudsætninger!$C$38,Forudsætninger!$G$38+Forudsætninger!$H$39*(K284-Forudsætninger!$C$38),IF(K284&gt;Forudsætninger!$C$37,Forudsætninger!$G$37+Forudsætninger!$H$38*(K284-Forudsætninger!$C$37),Forudsætninger!$G$37)))*(U284-Forudsætninger!$H$37)</f>
        <v>37.092391398587878</v>
      </c>
      <c r="AC284" s="19">
        <f>IF(K284&gt;Forudsætninger!$C$42,IF(K284&gt;Forudsætninger!$C$43,IF(K284&gt;Forudsætninger!$C$44,Forudsætninger!$E$44,Forudsætninger!$E$43+Forudsætninger!$F$44*(K284-Forudsætninger!$C$43)),Forudsætninger!$E$42+Forudsætninger!$F$43*(K284-Forudsætninger!$C$42)),Forudsætninger!$E$42)+IF(K284&gt;Forudsætninger!$C$44,Forudsætninger!$G$44,IF(K284&gt;Forudsætninger!$C$43,Forudsætninger!$G$43+Forudsætninger!$H$44*(K284-Forudsætninger!$C$43),IF(K284&gt;Forudsætninger!$C$42,Forudsætninger!$G$42+Forudsætninger!$H$43*(K284-Forudsætninger!$C$42),Forudsætninger!$G$42)))*(V284-Forudsætninger!$H$42)</f>
        <v>31.569558546981135</v>
      </c>
      <c r="AD284" s="19">
        <f t="shared" si="113"/>
        <v>9017.844111425391</v>
      </c>
      <c r="AE284" s="19">
        <f t="shared" si="114"/>
        <v>36.98193474155574</v>
      </c>
      <c r="AF284">
        <f>IF(G284&lt;=Forudsætninger!$C$97,Forudsætninger!$C$98,(IF(G284&lt;=Forudsætninger!$D$97,Forudsætninger!$D$98,IF(G284&lt;=Forudsætninger!$E$97,Forudsætninger!$E$98,IF(G284&lt;=Forudsætninger!$F$97,Forudsætninger!$F$98,IF(G284&lt;=Forudsætninger!$G$97,Forudsætninger!$G$98,IF(G284&lt;=Forudsætninger!$H$97,Forudsætninger!$H$98,IF(G284&lt;=Forudsætninger!$I$97,Forudsætninger!$I$98,Forudsætninger!$I$98))))))))</f>
        <v>4.4000000000000004</v>
      </c>
      <c r="AG284" s="1">
        <f t="shared" si="123"/>
        <v>4.4000000000000004</v>
      </c>
      <c r="AH284" s="1">
        <f t="shared" si="127"/>
        <v>924.99999999999636</v>
      </c>
      <c r="AI284" s="1">
        <f t="shared" si="115"/>
        <v>3.2801418439716183</v>
      </c>
      <c r="AJ284" s="20">
        <f>+(W284*Forudsætninger!$C$12)</f>
        <v>900</v>
      </c>
      <c r="AK284" s="20">
        <f>Forudsætninger!$C$17</f>
        <v>250</v>
      </c>
      <c r="AL284" s="20">
        <f>IF(A284&lt;92,Forudsætninger!$C$20,Forudsætninger!$C$21)</f>
        <v>1.0566762728146013</v>
      </c>
      <c r="AM284" s="20">
        <f t="shared" si="124"/>
        <v>566.48819178700842</v>
      </c>
      <c r="AN284" s="19">
        <f>IFERROR(AD284+AJ284-AA284-Z284-AK284-AM284-Forudsætninger!$D$75,-99999)</f>
        <v>2047.321005658717</v>
      </c>
      <c r="AO284" s="57">
        <f>IFERROR(AN284/(A284+Forudsætninger!$D$74),-99999)</f>
        <v>7.260003566165663</v>
      </c>
      <c r="AP284" s="19">
        <f>IFERROR(((365/(A284+Forudsætninger!$D$74))*AN284)/(AI284+Forudsætninger!$D$73),-99999)</f>
        <v>781.64909422965491</v>
      </c>
      <c r="AQ284" s="18">
        <f t="shared" si="128"/>
        <v>282</v>
      </c>
      <c r="AR284" s="18">
        <f t="shared" si="129"/>
        <v>7652.6311320657132</v>
      </c>
      <c r="AS284" s="50">
        <f t="shared" si="130"/>
        <v>10.4</v>
      </c>
      <c r="AT284" s="50">
        <f t="shared" si="131"/>
        <v>4.5131705156441058</v>
      </c>
      <c r="AU284" s="50">
        <f t="shared" si="132"/>
        <v>-9.7752065854859183E-3</v>
      </c>
      <c r="AV284" s="2">
        <f t="shared" si="133"/>
        <v>-1.973631571676151</v>
      </c>
      <c r="AW284" s="16">
        <f t="shared" si="125"/>
        <v>9.2688269412968989</v>
      </c>
      <c r="AZ284" s="16"/>
      <c r="BA284" s="2"/>
    </row>
    <row r="285" spans="1:53" x14ac:dyDescent="0.25">
      <c r="A285">
        <v>283</v>
      </c>
      <c r="B285" s="1">
        <f>ROUND((A285+Forudsætninger!$D$60)/30.4,1)</f>
        <v>10.4</v>
      </c>
      <c r="C285" s="1">
        <f>VLOOKUP((A285+Forudsætninger!$D$60),'Model tilvækst, slagteform, fe'!A:C,3,FALSE)</f>
        <v>527.60768610230934</v>
      </c>
      <c r="D285" s="3">
        <f t="shared" si="134"/>
        <v>1337.2363079604384</v>
      </c>
      <c r="E285" s="3">
        <f>(1+Forudsætninger!$D$78)*C285</f>
        <v>443.19045632593981</v>
      </c>
      <c r="F285" s="2">
        <f t="shared" si="116"/>
        <v>0</v>
      </c>
      <c r="G285" s="1">
        <f t="shared" si="109"/>
        <v>443.19045632593981</v>
      </c>
      <c r="H285" s="3">
        <f t="shared" si="117"/>
        <v>1123.2784986867159</v>
      </c>
      <c r="I285" s="3">
        <f t="shared" si="118"/>
        <v>1311.6270541552642</v>
      </c>
      <c r="J285" s="1">
        <f>VLOOKUP((A285+Forudsætninger!$D$60),'Model tilvækst, slagteform, fe'!G:K,3,FALSE)*(1+Forudsætninger!$D$79)</f>
        <v>55.167725400569189</v>
      </c>
      <c r="K285" s="17">
        <f t="shared" si="110"/>
        <v>244.498093947424</v>
      </c>
      <c r="L285" s="17">
        <f t="shared" si="119"/>
        <v>653.52025365646682</v>
      </c>
      <c r="M285" s="3">
        <f>((K285-(('Model tilvækst, slagteform, fe'!$I$9/100)*'Model tilvækst, slagteform, fe'!$C$9))*1000/(A285+Forudsætninger!$D$60))</f>
        <v>702.77454571310625</v>
      </c>
      <c r="N285" s="17">
        <f t="shared" si="120"/>
        <v>1636.7270174025848</v>
      </c>
      <c r="O285" s="19">
        <f>IF( A285&lt;Forudsætninger!$C$14,(G285/100)*Forudsætninger!$C$13,(Forudsætninger!$C$15/1000)*Forudsætninger!$C$13)</f>
        <v>2.8807379661186086</v>
      </c>
      <c r="P285" s="17" cm="1">
        <f t="array" ref="P285">INDEX('Model tilvækst, slagteform, fe'!$O$9:$O$375,MATCH(MIN(ABS('Model tilvækst, slagteform, fe'!$M$9:$M$375-G285)),ABS('Model tilvækst, slagteform, fe'!$M$9:$M$375-G285),0))*(1+Forudsætninger!$D$80)</f>
        <v>8.1138746038803937</v>
      </c>
      <c r="Q285" s="17">
        <f t="shared" si="121"/>
        <v>12.415643675131726</v>
      </c>
      <c r="R285" s="17">
        <f t="shared" si="122"/>
        <v>7.8111065760877061</v>
      </c>
      <c r="S285" s="2">
        <f t="shared" si="111"/>
        <v>4.4093995131313024</v>
      </c>
      <c r="T285" s="19">
        <f>(P285)*IF(N285&lt;Forudsætninger!$B$228,IF(N285&lt;Forudsætninger!$B$227,Forudsætninger!$B$225,Forudsætninger!$C$9),Forudsætninger!$C$11)+O285</f>
        <v>21.867204539198728</v>
      </c>
      <c r="U285" s="2">
        <f>Forudsætninger!$D$68+((K285-(Forudsætninger!$D$84)))*0.01</f>
        <v>7.5845916208338924</v>
      </c>
      <c r="V285" s="2">
        <f>U285+Forudsætninger!$D$69</f>
        <v>7.5845916208338924</v>
      </c>
      <c r="W285">
        <f t="shared" si="112"/>
        <v>1</v>
      </c>
      <c r="X285">
        <f>IF(A285+Forudsætninger!$D$60&gt;248,IF(A285+Forudsætninger!$D$60&lt;365,IF(K285&gt;180,IF(K285&lt;260,1,0),0),0),0)</f>
        <v>1</v>
      </c>
      <c r="Y285" s="22">
        <f>IF(X285=0,0,IF('Vækstfunktion, kry tyr'!A285&lt;Forudsætninger!$D$66,Forudsætninger!$D$67+(('Vækstfunktion, kry tyr'!A285-Forudsætninger!$D$66)/7)*Forudsætninger!$D$64,Forudsætninger!$D$67))</f>
        <v>0.98</v>
      </c>
      <c r="Z285" s="19">
        <f t="shared" si="126"/>
        <v>4803.0101448179039</v>
      </c>
      <c r="AA285" s="19">
        <f>Forudsætninger!$D$62+Forudsætninger!$C$16</f>
        <v>2055</v>
      </c>
      <c r="AB285" s="19">
        <f>IF(K285&gt;Forudsætninger!$C$37,IF(K285&gt;Forudsætninger!$C$38,IF(K285&gt;Forudsætninger!$C$39,Forudsætninger!$E$39,Forudsætninger!$E$38+Forudsætninger!$F$39*(K285-Forudsætninger!$C$38)),Forudsætninger!$E$37+Forudsætninger!$F$38*(K285-Forudsætninger!$C$37)),Forudsætninger!$E$37)+IF(K285&gt;Forudsætninger!$C$39,Forudsætninger!$G$39,IF(K285&gt;Forudsætninger!$C$38,Forudsætninger!$G$38+Forudsætninger!$H$39*(K285-Forudsætninger!$C$38),IF(K285&gt;Forudsætninger!$C$37,Forudsætninger!$G$37+Forudsætninger!$H$38*(K285-Forudsætninger!$C$37),Forudsætninger!$G$37)))*(U285-Forudsætninger!$H$37)</f>
        <v>37.105298423597588</v>
      </c>
      <c r="AC285" s="19">
        <f>IF(K285&gt;Forudsætninger!$C$42,IF(K285&gt;Forudsætninger!$C$43,IF(K285&gt;Forudsætninger!$C$44,Forudsætninger!$E$44,Forudsætninger!$E$43+Forudsætninger!$F$44*(K285-Forudsætninger!$C$43)),Forudsætninger!$E$42+Forudsætninger!$F$43*(K285-Forudsætninger!$C$42)),Forudsætninger!$E$42)+IF(K285&gt;Forudsætninger!$C$44,Forudsætninger!$G$44,IF(K285&gt;Forudsætninger!$C$43,Forudsætninger!$G$43+Forudsætninger!$H$44*(K285-Forudsætninger!$C$43),IF(K285&gt;Forudsætninger!$C$42,Forudsætninger!$G$42+Forudsætninger!$H$43*(K285-Forudsætninger!$C$42),Forudsætninger!$G$42)))*(V285-Forudsætninger!$H$42)</f>
        <v>31.585865187947768</v>
      </c>
      <c r="AD285" s="19">
        <f t="shared" si="113"/>
        <v>9045.1849218042371</v>
      </c>
      <c r="AE285" s="19">
        <f t="shared" si="114"/>
        <v>36.994909758884589</v>
      </c>
      <c r="AF285">
        <f>IF(G285&lt;=Forudsætninger!$C$97,Forudsætninger!$C$98,(IF(G285&lt;=Forudsætninger!$D$97,Forudsætninger!$D$98,IF(G285&lt;=Forudsætninger!$E$97,Forudsætninger!$E$98,IF(G285&lt;=Forudsætninger!$F$97,Forudsætninger!$F$98,IF(G285&lt;=Forudsætninger!$G$97,Forudsætninger!$G$98,IF(G285&lt;=Forudsætninger!$H$97,Forudsætninger!$H$98,IF(G285&lt;=Forudsætninger!$I$97,Forudsætninger!$I$98,Forudsætninger!$I$98))))))))</f>
        <v>4.4000000000000004</v>
      </c>
      <c r="AG285" s="1">
        <f t="shared" si="123"/>
        <v>4.4000000000000004</v>
      </c>
      <c r="AH285" s="1">
        <f t="shared" si="127"/>
        <v>929.39999999999634</v>
      </c>
      <c r="AI285" s="1">
        <f t="shared" si="115"/>
        <v>3.2840989399293159</v>
      </c>
      <c r="AJ285" s="20">
        <f>+(W285*Forudsætninger!$C$12)</f>
        <v>900</v>
      </c>
      <c r="AK285" s="20">
        <f>Forudsætninger!$C$17</f>
        <v>250</v>
      </c>
      <c r="AL285" s="20">
        <f>IF(A285&lt;92,Forudsætninger!$C$20,Forudsætninger!$C$21)</f>
        <v>1.0566762728146013</v>
      </c>
      <c r="AM285" s="20">
        <f t="shared" si="124"/>
        <v>567.54486805982299</v>
      </c>
      <c r="AN285" s="19">
        <f>IFERROR(AD285+AJ285-AA285-Z285-AK285-AM285-Forudsætninger!$D$75,-99999)</f>
        <v>2051.7379352255502</v>
      </c>
      <c r="AO285" s="57">
        <f>IFERROR(AN285/(A285+Forudsætninger!$D$74),-99999)</f>
        <v>7.2499573682881637</v>
      </c>
      <c r="AP285" s="19">
        <f>IFERROR(((365/(A285+Forudsætninger!$D$74))*AN285)/(AI285+Forudsætninger!$D$73),-99999)</f>
        <v>779.65742491887681</v>
      </c>
      <c r="AQ285" s="18">
        <f t="shared" si="128"/>
        <v>283</v>
      </c>
      <c r="AR285" s="18">
        <f t="shared" si="129"/>
        <v>7675.5550128777268</v>
      </c>
      <c r="AS285" s="50">
        <f t="shared" si="130"/>
        <v>10.4</v>
      </c>
      <c r="AT285" s="50">
        <f t="shared" si="131"/>
        <v>4.4169295668332325</v>
      </c>
      <c r="AU285" s="50">
        <f t="shared" si="132"/>
        <v>-1.0046197877499274E-2</v>
      </c>
      <c r="AV285" s="2">
        <f t="shared" si="133"/>
        <v>-1.9916693107780929</v>
      </c>
      <c r="AW285" s="16">
        <f t="shared" si="125"/>
        <v>9.2554162660260531</v>
      </c>
      <c r="AZ285" s="16"/>
      <c r="BA285" s="2"/>
    </row>
    <row r="286" spans="1:53" x14ac:dyDescent="0.25">
      <c r="A286">
        <v>284</v>
      </c>
      <c r="B286" s="1">
        <f>ROUND((A286+Forudsætninger!$D$60)/30.4,1)</f>
        <v>10.5</v>
      </c>
      <c r="C286" s="1">
        <f>VLOOKUP((A286+Forudsætninger!$D$60),'Model tilvækst, slagteform, fe'!A:C,3,FALSE)</f>
        <v>528.94047873451291</v>
      </c>
      <c r="D286" s="3">
        <f t="shared" si="134"/>
        <v>1332.7926322035637</v>
      </c>
      <c r="E286" s="3">
        <f>(1+Forudsætninger!$D$78)*C286</f>
        <v>444.31000213699082</v>
      </c>
      <c r="F286" s="2">
        <f t="shared" si="116"/>
        <v>0</v>
      </c>
      <c r="G286" s="1">
        <f t="shared" si="109"/>
        <v>444.31000213699082</v>
      </c>
      <c r="H286" s="3">
        <f t="shared" si="117"/>
        <v>1119.5458110510117</v>
      </c>
      <c r="I286" s="3">
        <f t="shared" si="118"/>
        <v>1310.9507117499677</v>
      </c>
      <c r="J286" s="1">
        <f>VLOOKUP((A286+Forudsætninger!$D$60),'Model tilvækst, slagteform, fe'!G:K,3,FALSE)*(1+Forudsætninger!$D$79)</f>
        <v>55.175436058870389</v>
      </c>
      <c r="K286" s="17">
        <f t="shared" si="110"/>
        <v>245.14998113226102</v>
      </c>
      <c r="L286" s="17">
        <f t="shared" si="119"/>
        <v>651.88718483702246</v>
      </c>
      <c r="M286" s="3">
        <f>((K286-(('Model tilvækst, slagteform, fe'!$I$9/100)*'Model tilvækst, slagteform, fe'!$C$9))*1000/(A286+Forudsætninger!$D$60))</f>
        <v>702.61452256569714</v>
      </c>
      <c r="N286" s="17">
        <f t="shared" si="120"/>
        <v>1644.8569248988856</v>
      </c>
      <c r="O286" s="19">
        <f>IF( A286&lt;Forudsætninger!$C$14,(G286/100)*Forudsætninger!$C$13,(Forudsætninger!$C$15/1000)*Forudsætninger!$C$13)</f>
        <v>2.8880150138904401</v>
      </c>
      <c r="P286" s="17" cm="1">
        <f t="array" ref="P286">INDEX('Model tilvækst, slagteform, fe'!$O$9:$O$375,MATCH(MIN(ABS('Model tilvækst, slagteform, fe'!$M$9:$M$375-G286)),ABS('Model tilvækst, slagteform, fe'!$M$9:$M$375-G286),0))*(1+Forudsætninger!$D$80)</f>
        <v>8.1299074963007971</v>
      </c>
      <c r="Q286" s="17">
        <f t="shared" si="121"/>
        <v>12.471341185106048</v>
      </c>
      <c r="R286" s="17">
        <f t="shared" si="122"/>
        <v>7.8255598927018992</v>
      </c>
      <c r="S286" s="2">
        <f t="shared" si="111"/>
        <v>4.417976727613306</v>
      </c>
      <c r="T286" s="19">
        <f>(P286)*IF(N286&lt;Forudsætninger!$B$228,IF(N286&lt;Forudsætninger!$B$227,Forudsætninger!$B$225,Forudsætninger!$C$9),Forudsætninger!$C$11)+O286</f>
        <v>21.911998555234305</v>
      </c>
      <c r="U286" s="2">
        <f>Forudsætninger!$D$68+((K286-(Forudsætninger!$D$84)))*0.01</f>
        <v>7.5911104926822626</v>
      </c>
      <c r="V286" s="2">
        <f>U286+Forudsætninger!$D$69</f>
        <v>7.5911104926822626</v>
      </c>
      <c r="W286">
        <f t="shared" si="112"/>
        <v>1</v>
      </c>
      <c r="X286">
        <f>IF(A286+Forudsætninger!$D$60&gt;248,IF(A286+Forudsætninger!$D$60&lt;365,IF(K286&gt;180,IF(K286&lt;260,1,0),0),0),0)</f>
        <v>1</v>
      </c>
      <c r="Y286" s="22">
        <f>IF(X286=0,0,IF('Vækstfunktion, kry tyr'!A286&lt;Forudsætninger!$D$66,Forudsætninger!$D$67+(('Vækstfunktion, kry tyr'!A286-Forudsætninger!$D$66)/7)*Forudsætninger!$D$64,Forudsætninger!$D$67))</f>
        <v>0.98</v>
      </c>
      <c r="Z286" s="19">
        <f t="shared" si="126"/>
        <v>4824.9221433731382</v>
      </c>
      <c r="AA286" s="19">
        <f>Forudsætninger!$D$62+Forudsætninger!$C$16</f>
        <v>2055</v>
      </c>
      <c r="AB286" s="19">
        <f>IF(K286&gt;Forudsætninger!$C$37,IF(K286&gt;Forudsætninger!$C$38,IF(K286&gt;Forudsætninger!$C$39,Forudsætninger!$E$39,Forudsætninger!$E$38+Forudsætninger!$F$39*(K286-Forudsætninger!$C$38)),Forudsætninger!$E$37+Forudsætninger!$F$38*(K286-Forudsætninger!$C$37)),Forudsætninger!$E$37)+IF(K286&gt;Forudsætninger!$C$39,Forudsætninger!$G$39,IF(K286&gt;Forudsætninger!$C$38,Forudsætninger!$G$38+Forudsætninger!$H$39*(K286-Forudsætninger!$C$38),IF(K286&gt;Forudsætninger!$C$37,Forudsætninger!$G$37+Forudsætninger!$H$38*(K286-Forudsætninger!$C$37),Forudsætninger!$G$37)))*(U286-Forudsætninger!$H$37)</f>
        <v>37.118173195498116</v>
      </c>
      <c r="AC286" s="19">
        <f>IF(K286&gt;Forudsætninger!$C$42,IF(K286&gt;Forudsætninger!$C$43,IF(K286&gt;Forudsætninger!$C$44,Forudsætninger!$E$44,Forudsætninger!$E$43+Forudsætninger!$F$44*(K286-Forudsætninger!$C$43)),Forudsætninger!$E$42+Forudsætninger!$F$43*(K286-Forudsætninger!$C$42)),Forudsætninger!$E$42)+IF(K286&gt;Forudsætninger!$C$44,Forudsætninger!$G$44,IF(K286&gt;Forudsætninger!$C$43,Forudsætninger!$G$43+Forudsætninger!$H$44*(K286-Forudsætninger!$C$43),IF(K286&gt;Forudsætninger!$C$42,Forudsætninger!$G$42+Forudsætninger!$H$43*(K286-Forudsætninger!$C$42),Forudsætninger!$G$42)))*(V286-Forudsætninger!$H$42)</f>
        <v>31.602113351855969</v>
      </c>
      <c r="AD286" s="19">
        <f t="shared" si="113"/>
        <v>9072.4742192084941</v>
      </c>
      <c r="AE286" s="19">
        <f t="shared" si="114"/>
        <v>37.007851998625277</v>
      </c>
      <c r="AF286">
        <f>IF(G286&lt;=Forudsætninger!$C$97,Forudsætninger!$C$98,(IF(G286&lt;=Forudsætninger!$D$97,Forudsætninger!$D$98,IF(G286&lt;=Forudsætninger!$E$97,Forudsætninger!$E$98,IF(G286&lt;=Forudsætninger!$F$97,Forudsætninger!$F$98,IF(G286&lt;=Forudsætninger!$G$97,Forudsætninger!$G$98,IF(G286&lt;=Forudsætninger!$H$97,Forudsætninger!$H$98,IF(G286&lt;=Forudsætninger!$I$97,Forudsætninger!$I$98,Forudsætninger!$I$98))))))))</f>
        <v>4.4000000000000004</v>
      </c>
      <c r="AG286" s="1">
        <f t="shared" si="123"/>
        <v>4.4000000000000004</v>
      </c>
      <c r="AH286" s="1">
        <f t="shared" si="127"/>
        <v>933.79999999999632</v>
      </c>
      <c r="AI286" s="1">
        <f t="shared" si="115"/>
        <v>3.2880281690140714</v>
      </c>
      <c r="AJ286" s="20">
        <f>+(W286*Forudsætninger!$C$12)</f>
        <v>900</v>
      </c>
      <c r="AK286" s="20">
        <f>Forudsætninger!$C$17</f>
        <v>250</v>
      </c>
      <c r="AL286" s="20">
        <f>IF(A286&lt;92,Forudsætninger!$C$20,Forudsætninger!$C$21)</f>
        <v>1.0566762728146013</v>
      </c>
      <c r="AM286" s="20">
        <f t="shared" si="124"/>
        <v>568.60154433263756</v>
      </c>
      <c r="AN286" s="19">
        <f>IFERROR(AD286+AJ286-AA286-Z286-AK286-AM286-Forudsætninger!$D$75,-99999)</f>
        <v>2056.0585578017581</v>
      </c>
      <c r="AO286" s="57">
        <f>IFERROR(AN286/(A286+Forudsætninger!$D$74),-99999)</f>
        <v>7.2396428091611202</v>
      </c>
      <c r="AP286" s="19">
        <f>IFERROR(((365/(A286+Forudsætninger!$D$74))*AN286)/(AI286+Forudsætninger!$D$73),-99999)</f>
        <v>777.64794578218994</v>
      </c>
      <c r="AQ286" s="18">
        <f t="shared" si="128"/>
        <v>284</v>
      </c>
      <c r="AR286" s="18">
        <f t="shared" si="129"/>
        <v>7698.523687705776</v>
      </c>
      <c r="AS286" s="50">
        <f t="shared" si="130"/>
        <v>10.5</v>
      </c>
      <c r="AT286" s="50">
        <f t="shared" si="131"/>
        <v>4.3206225762078247</v>
      </c>
      <c r="AU286" s="50">
        <f t="shared" si="132"/>
        <v>-1.0314559127043488E-2</v>
      </c>
      <c r="AV286" s="2">
        <f t="shared" si="133"/>
        <v>-2.0094791366868776</v>
      </c>
      <c r="AW286" s="16">
        <f t="shared" si="125"/>
        <v>9.241760923008437</v>
      </c>
      <c r="AZ286" s="16"/>
      <c r="BA286" s="2"/>
    </row>
    <row r="287" spans="1:53" x14ac:dyDescent="0.25">
      <c r="A287">
        <v>285</v>
      </c>
      <c r="B287" s="1">
        <f>ROUND((A287+Forudsætninger!$D$60)/30.4,1)</f>
        <v>10.5</v>
      </c>
      <c r="C287" s="1">
        <f>VLOOKUP((A287+Forudsætninger!$D$60),'Model tilvækst, slagteform, fe'!A:C,3,FALSE)</f>
        <v>530.26884611849584</v>
      </c>
      <c r="D287" s="3">
        <f t="shared" si="134"/>
        <v>1328.3673839829362</v>
      </c>
      <c r="E287" s="3">
        <f>(1+Forudsætninger!$D$78)*C287</f>
        <v>445.42583073953648</v>
      </c>
      <c r="F287" s="2">
        <f t="shared" si="116"/>
        <v>0</v>
      </c>
      <c r="G287" s="1">
        <f t="shared" si="109"/>
        <v>445.42583073953648</v>
      </c>
      <c r="H287" s="3">
        <f t="shared" si="117"/>
        <v>1115.8286025456619</v>
      </c>
      <c r="I287" s="3">
        <f t="shared" si="118"/>
        <v>1310.2660727703035</v>
      </c>
      <c r="J287" s="1">
        <f>VLOOKUP((A287+Forudsætninger!$D$60),'Model tilvækst, slagteform, fe'!G:K,3,FALSE)*(1+Forudsætninger!$D$79)</f>
        <v>55.183202832058193</v>
      </c>
      <c r="K287" s="17">
        <f t="shared" si="110"/>
        <v>245.80023964337866</v>
      </c>
      <c r="L287" s="17">
        <f t="shared" si="119"/>
        <v>650.25851111764155</v>
      </c>
      <c r="M287" s="3">
        <f>((K287-(('Model tilvækst, slagteform, fe'!$I$9/100)*'Model tilvækst, slagteform, fe'!$C$9))*1000/(A287+Forudsætninger!$D$60))</f>
        <v>702.45039713796029</v>
      </c>
      <c r="N287" s="17">
        <f t="shared" si="120"/>
        <v>1653.0029216292505</v>
      </c>
      <c r="O287" s="19">
        <f>IF( A287&lt;Forudsætninger!$C$14,(G287/100)*Forudsætninger!$C$13,(Forudsætninger!$C$15/1000)*Forudsætninger!$C$13)</f>
        <v>2.8952678998069872</v>
      </c>
      <c r="P287" s="17" cm="1">
        <f t="array" ref="P287">INDEX('Model tilvækst, slagteform, fe'!$O$9:$O$375,MATCH(MIN(ABS('Model tilvækst, slagteform, fe'!$M$9:$M$375-G287)),ABS('Model tilvækst, slagteform, fe'!$M$9:$M$375-G287),0))*(1+Forudsætninger!$D$80)</f>
        <v>8.1459967303650025</v>
      </c>
      <c r="Q287" s="17">
        <f t="shared" si="121"/>
        <v>12.52732042886136</v>
      </c>
      <c r="R287" s="17">
        <f t="shared" si="122"/>
        <v>7.8400607058365877</v>
      </c>
      <c r="S287" s="2">
        <f t="shared" si="111"/>
        <v>4.4265896613408504</v>
      </c>
      <c r="T287" s="19">
        <f>(P287)*IF(N287&lt;Forudsætninger!$B$228,IF(N287&lt;Forudsætninger!$B$227,Forudsætninger!$B$225,Forudsætninger!$C$9),Forudsætninger!$C$11)+O287</f>
        <v>21.956900248861093</v>
      </c>
      <c r="U287" s="2">
        <f>Forudsætninger!$D$68+((K287-(Forudsætninger!$D$84)))*0.01</f>
        <v>7.5976130777934392</v>
      </c>
      <c r="V287" s="2">
        <f>U287+Forudsætninger!$D$69</f>
        <v>7.5976130777934392</v>
      </c>
      <c r="W287">
        <f t="shared" si="112"/>
        <v>1</v>
      </c>
      <c r="X287">
        <f>IF(A287+Forudsætninger!$D$60&gt;248,IF(A287+Forudsætninger!$D$60&lt;365,IF(K287&gt;180,IF(K287&lt;260,1,0),0),0),0)</f>
        <v>1</v>
      </c>
      <c r="Y287" s="22">
        <f>IF(X287=0,0,IF('Vækstfunktion, kry tyr'!A287&lt;Forudsætninger!$D$66,Forudsætninger!$D$67+(('Vækstfunktion, kry tyr'!A287-Forudsætninger!$D$66)/7)*Forudsætninger!$D$64,Forudsætninger!$D$67))</f>
        <v>0.98</v>
      </c>
      <c r="Z287" s="19">
        <f t="shared" si="126"/>
        <v>4846.8790436219997</v>
      </c>
      <c r="AA287" s="19">
        <f>Forudsætninger!$D$62+Forudsætninger!$C$16</f>
        <v>2055</v>
      </c>
      <c r="AB287" s="19">
        <f>IF(K287&gt;Forudsætninger!$C$37,IF(K287&gt;Forudsætninger!$C$38,IF(K287&gt;Forudsætninger!$C$39,Forudsætninger!$E$39,Forudsætninger!$E$38+Forudsætninger!$F$39*(K287-Forudsætninger!$C$38)),Forudsætninger!$E$37+Forudsætninger!$F$38*(K287-Forudsætninger!$C$37)),Forudsætninger!$E$37)+IF(K287&gt;Forudsætninger!$C$39,Forudsætninger!$G$39,IF(K287&gt;Forudsætninger!$C$38,Forudsætninger!$G$38+Forudsætninger!$H$39*(K287-Forudsætninger!$C$38),IF(K287&gt;Forudsætninger!$C$37,Forudsætninger!$G$37+Forudsætninger!$H$38*(K287-Forudsætninger!$C$37),Forudsætninger!$G$37)))*(U287-Forudsætninger!$H$37)</f>
        <v>37.131015801092694</v>
      </c>
      <c r="AC287" s="19">
        <f>IF(K287&gt;Forudsætninger!$C$42,IF(K287&gt;Forudsætninger!$C$43,IF(K287&gt;Forudsætninger!$C$44,Forudsætninger!$E$44,Forudsætninger!$E$43+Forudsætninger!$F$44*(K287-Forudsætninger!$C$43)),Forudsætninger!$E$42+Forudsætninger!$F$43*(K287-Forudsætninger!$C$42)),Forudsætninger!$E$42)+IF(K287&gt;Forudsætninger!$C$44,Forudsætninger!$G$44,IF(K287&gt;Forudsætninger!$C$43,Forudsætninger!$G$43+Forudsætninger!$H$44*(K287-Forudsætninger!$C$43),IF(K287&gt;Forudsætninger!$C$42,Forudsætninger!$G$42+Forudsætninger!$H$43*(K287-Forudsætninger!$C$42),Forudsætninger!$G$42)))*(V287-Forudsætninger!$H$42)</f>
        <v>31.618303281146094</v>
      </c>
      <c r="AD287" s="19">
        <f t="shared" si="113"/>
        <v>9099.7120609409048</v>
      </c>
      <c r="AE287" s="19">
        <f t="shared" si="114"/>
        <v>37.020761550693763</v>
      </c>
      <c r="AF287">
        <f>IF(G287&lt;=Forudsætninger!$C$97,Forudsætninger!$C$98,(IF(G287&lt;=Forudsætninger!$D$97,Forudsætninger!$D$98,IF(G287&lt;=Forudsætninger!$E$97,Forudsætninger!$E$98,IF(G287&lt;=Forudsætninger!$F$97,Forudsætninger!$F$98,IF(G287&lt;=Forudsætninger!$G$97,Forudsætninger!$G$98,IF(G287&lt;=Forudsætninger!$H$97,Forudsætninger!$H$98,IF(G287&lt;=Forudsætninger!$I$97,Forudsætninger!$I$98,Forudsætninger!$I$98))))))))</f>
        <v>4.4000000000000004</v>
      </c>
      <c r="AG287" s="1">
        <f t="shared" si="123"/>
        <v>4.4000000000000004</v>
      </c>
      <c r="AH287" s="1">
        <f t="shared" si="127"/>
        <v>938.19999999999629</v>
      </c>
      <c r="AI287" s="1">
        <f t="shared" si="115"/>
        <v>3.2919298245613904</v>
      </c>
      <c r="AJ287" s="20">
        <f>+(W287*Forudsætninger!$C$12)</f>
        <v>900</v>
      </c>
      <c r="AK287" s="20">
        <f>Forudsætninger!$C$17</f>
        <v>250</v>
      </c>
      <c r="AL287" s="20">
        <f>IF(A287&lt;92,Forudsætninger!$C$20,Forudsætninger!$C$21)</f>
        <v>1.0566762728146013</v>
      </c>
      <c r="AM287" s="20">
        <f t="shared" si="124"/>
        <v>569.65822060545213</v>
      </c>
      <c r="AN287" s="19">
        <f>IFERROR(AD287+AJ287-AA287-Z287-AK287-AM287-Forudsætninger!$D$75,-99999)</f>
        <v>2060.2828230124928</v>
      </c>
      <c r="AO287" s="57">
        <f>IFERROR(AN287/(A287+Forudsætninger!$D$74),-99999)</f>
        <v>7.22906253688594</v>
      </c>
      <c r="AP287" s="19">
        <f>IFERROR(((365/(A287+Forudsætninger!$D$74))*AN287)/(AI287+Forudsætninger!$D$73),-99999)</f>
        <v>775.62088639014257</v>
      </c>
      <c r="AQ287" s="18">
        <f t="shared" si="128"/>
        <v>285</v>
      </c>
      <c r="AR287" s="18">
        <f t="shared" si="129"/>
        <v>7721.5372642274515</v>
      </c>
      <c r="AS287" s="50">
        <f t="shared" si="130"/>
        <v>10.5</v>
      </c>
      <c r="AT287" s="50">
        <f t="shared" si="131"/>
        <v>4.2242652107347567</v>
      </c>
      <c r="AU287" s="50">
        <f t="shared" si="132"/>
        <v>-1.0580272275180214E-2</v>
      </c>
      <c r="AV287" s="2">
        <f t="shared" si="133"/>
        <v>-2.027059392047363</v>
      </c>
      <c r="AW287" s="16">
        <f t="shared" si="125"/>
        <v>9.2278633109401582</v>
      </c>
      <c r="AZ287" s="16"/>
      <c r="BA287" s="2"/>
    </row>
    <row r="288" spans="1:53" x14ac:dyDescent="0.25">
      <c r="A288">
        <v>286</v>
      </c>
      <c r="B288" s="1">
        <f>ROUND((A288+Forudsætninger!$D$60)/30.4,1)</f>
        <v>10.5</v>
      </c>
      <c r="C288" s="1">
        <f>VLOOKUP((A288+Forudsætninger!$D$60),'Model tilvækst, slagteform, fe'!A:C,3,FALSE)</f>
        <v>531.59280730273144</v>
      </c>
      <c r="D288" s="3">
        <f t="shared" si="134"/>
        <v>1323.9611842355998</v>
      </c>
      <c r="E288" s="3">
        <f>(1+Forudsætninger!$D$78)*C288</f>
        <v>446.5379581342944</v>
      </c>
      <c r="F288" s="2">
        <f t="shared" si="116"/>
        <v>0</v>
      </c>
      <c r="G288" s="1">
        <f t="shared" si="109"/>
        <v>446.5379581342944</v>
      </c>
      <c r="H288" s="3">
        <f t="shared" si="117"/>
        <v>1112.1273947579198</v>
      </c>
      <c r="I288" s="3">
        <f t="shared" si="118"/>
        <v>1309.5732801898405</v>
      </c>
      <c r="J288" s="1">
        <f>VLOOKUP((A288+Forudsætninger!$D$60),'Model tilvækst, slagteform, fe'!G:K,3,FALSE)*(1+Forudsætninger!$D$79)</f>
        <v>55.191024551072466</v>
      </c>
      <c r="K288" s="17">
        <f t="shared" si="110"/>
        <v>246.44887410375611</v>
      </c>
      <c r="L288" s="17">
        <f t="shared" si="119"/>
        <v>648.63446037745121</v>
      </c>
      <c r="M288" s="3">
        <f>((K288-(('Model tilvækst, slagteform, fe'!$I$9/100)*'Model tilvækst, slagteform, fe'!$C$9))*1000/(A288+Forudsætninger!$D$60))</f>
        <v>702.28222233558358</v>
      </c>
      <c r="N288" s="17">
        <f t="shared" si="120"/>
        <v>1661.165061587755</v>
      </c>
      <c r="O288" s="19">
        <f>IF( A288&lt;Forudsætninger!$C$14,(G288/100)*Forudsætninger!$C$13,(Forudsætninger!$C$15/1000)*Forudsætninger!$C$13)</f>
        <v>2.9024967278729137</v>
      </c>
      <c r="P288" s="17" cm="1">
        <f t="array" ref="P288">INDEX('Model tilvækst, slagteform, fe'!$O$9:$O$375,MATCH(MIN(ABS('Model tilvækst, slagteform, fe'!$M$9:$M$375-G288)),ABS('Model tilvækst, slagteform, fe'!$M$9:$M$375-G288),0))*(1+Forudsætninger!$D$80)</f>
        <v>8.1621399585045182</v>
      </c>
      <c r="Q288" s="17">
        <f t="shared" si="121"/>
        <v>12.583574350574642</v>
      </c>
      <c r="R288" s="17">
        <f t="shared" si="122"/>
        <v>7.85460899600431</v>
      </c>
      <c r="S288" s="2">
        <f t="shared" si="111"/>
        <v>4.4352382061957183</v>
      </c>
      <c r="T288" s="19">
        <f>(P288)*IF(N288&lt;Forudsætninger!$B$228,IF(N288&lt;Forudsætninger!$B$227,Forudsætninger!$B$225,Forudsætninger!$C$9),Forudsætninger!$C$11)+O288</f>
        <v>22.001904230773487</v>
      </c>
      <c r="U288" s="2">
        <f>Forudsætninger!$D$68+((K288-(Forudsætninger!$D$84)))*0.01</f>
        <v>7.6040994223972138</v>
      </c>
      <c r="V288" s="2">
        <f>U288+Forudsætninger!$D$69</f>
        <v>7.6040994223972138</v>
      </c>
      <c r="W288">
        <f t="shared" si="112"/>
        <v>1</v>
      </c>
      <c r="X288">
        <f>IF(A288+Forudsætninger!$D$60&gt;248,IF(A288+Forudsætninger!$D$60&lt;365,IF(K288&gt;180,IF(K288&lt;260,1,0),0),0),0)</f>
        <v>1</v>
      </c>
      <c r="Y288" s="22">
        <f>IF(X288=0,0,IF('Vækstfunktion, kry tyr'!A288&lt;Forudsætninger!$D$66,Forudsætninger!$D$67+(('Vækstfunktion, kry tyr'!A288-Forudsætninger!$D$66)/7)*Forudsætninger!$D$64,Forudsætninger!$D$67))</f>
        <v>0.98</v>
      </c>
      <c r="Z288" s="19">
        <f t="shared" si="126"/>
        <v>4868.8809478527728</v>
      </c>
      <c r="AA288" s="19">
        <f>Forudsætninger!$D$62+Forudsætninger!$C$16</f>
        <v>2055</v>
      </c>
      <c r="AB288" s="19">
        <f>IF(K288&gt;Forudsætninger!$C$37,IF(K288&gt;Forudsætninger!$C$38,IF(K288&gt;Forudsætninger!$C$39,Forudsætninger!$E$39,Forudsætninger!$E$38+Forudsætninger!$F$39*(K288-Forudsætninger!$C$38)),Forudsætninger!$E$37+Forudsætninger!$F$38*(K288-Forudsætninger!$C$37)),Forudsætninger!$E$37)+IF(K288&gt;Forudsætninger!$C$39,Forudsætninger!$G$39,IF(K288&gt;Forudsætninger!$C$38,Forudsætninger!$G$38+Forudsætninger!$H$39*(K288-Forudsætninger!$C$38),IF(K288&gt;Forudsætninger!$C$37,Forudsætninger!$G$37+Forudsætninger!$H$38*(K288-Forudsætninger!$C$37),Forudsætninger!$G$37)))*(U288-Forudsætninger!$H$37)</f>
        <v>37.143826331685148</v>
      </c>
      <c r="AC288" s="19">
        <f>IF(K288&gt;Forudsætninger!$C$42,IF(K288&gt;Forudsætninger!$C$43,IF(K288&gt;Forudsætninger!$C$44,Forudsætninger!$E$44,Forudsætninger!$E$43+Forudsætninger!$F$44*(K288-Forudsætninger!$C$43)),Forudsætninger!$E$42+Forudsætninger!$F$43*(K288-Forudsætninger!$C$42)),Forudsætninger!$E$42)+IF(K288&gt;Forudsætninger!$C$44,Forudsætninger!$G$44,IF(K288&gt;Forudsætninger!$C$43,Forudsætninger!$G$43+Forudsætninger!$H$44*(K288-Forudsætninger!$C$43),IF(K288&gt;Forudsætninger!$C$42,Forudsætninger!$G$42+Forudsætninger!$H$43*(K288-Forudsætninger!$C$42),Forudsætninger!$G$42)))*(V288-Forudsætninger!$H$42)</f>
        <v>31.634435223114391</v>
      </c>
      <c r="AD288" s="19">
        <f t="shared" si="113"/>
        <v>9126.8985146351642</v>
      </c>
      <c r="AE288" s="19">
        <f t="shared" si="114"/>
        <v>37.033638509513736</v>
      </c>
      <c r="AF288">
        <f>IF(G288&lt;=Forudsætninger!$C$97,Forudsætninger!$C$98,(IF(G288&lt;=Forudsætninger!$D$97,Forudsætninger!$D$98,IF(G288&lt;=Forudsætninger!$E$97,Forudsætninger!$E$98,IF(G288&lt;=Forudsætninger!$F$97,Forudsætninger!$F$98,IF(G288&lt;=Forudsætninger!$G$97,Forudsætninger!$G$98,IF(G288&lt;=Forudsætninger!$H$97,Forudsætninger!$H$98,IF(G288&lt;=Forudsætninger!$I$97,Forudsætninger!$I$98,Forudsætninger!$I$98))))))))</f>
        <v>4.4000000000000004</v>
      </c>
      <c r="AG288" s="1">
        <f t="shared" si="123"/>
        <v>4.4000000000000004</v>
      </c>
      <c r="AH288" s="1">
        <f t="shared" si="127"/>
        <v>942.59999999999627</v>
      </c>
      <c r="AI288" s="1">
        <f t="shared" si="115"/>
        <v>3.2958041958041826</v>
      </c>
      <c r="AJ288" s="20">
        <f>+(W288*Forudsætninger!$C$12)</f>
        <v>900</v>
      </c>
      <c r="AK288" s="20">
        <f>Forudsætninger!$C$17</f>
        <v>250</v>
      </c>
      <c r="AL288" s="20">
        <f>IF(A288&lt;92,Forudsætninger!$C$20,Forudsætninger!$C$21)</f>
        <v>1.0566762728146013</v>
      </c>
      <c r="AM288" s="20">
        <f t="shared" si="124"/>
        <v>570.7148968782667</v>
      </c>
      <c r="AN288" s="19">
        <f>IFERROR(AD288+AJ288-AA288-Z288-AK288-AM288-Forudsætninger!$D$75,-99999)</f>
        <v>2064.4106962031647</v>
      </c>
      <c r="AO288" s="57">
        <f>IFERROR(AN288/(A288+Forudsætninger!$D$74),-99999)</f>
        <v>7.2182192174935826</v>
      </c>
      <c r="AP288" s="19">
        <f>IFERROR(((365/(A288+Forudsætninger!$D$74))*AN288)/(AI288+Forudsætninger!$D$73),-99999)</f>
        <v>773.57647795223909</v>
      </c>
      <c r="AQ288" s="18">
        <f t="shared" si="128"/>
        <v>286</v>
      </c>
      <c r="AR288" s="18">
        <f t="shared" si="129"/>
        <v>7744.5958447310395</v>
      </c>
      <c r="AS288" s="50">
        <f t="shared" si="130"/>
        <v>10.5</v>
      </c>
      <c r="AT288" s="50">
        <f t="shared" si="131"/>
        <v>4.1278731906718349</v>
      </c>
      <c r="AU288" s="50">
        <f t="shared" si="132"/>
        <v>-1.0843319392357387E-2</v>
      </c>
      <c r="AV288" s="2">
        <f t="shared" si="133"/>
        <v>-2.0444084379034848</v>
      </c>
      <c r="AW288" s="16">
        <f t="shared" si="125"/>
        <v>9.2137258499350754</v>
      </c>
      <c r="AZ288" s="16"/>
      <c r="BA288" s="2"/>
    </row>
    <row r="289" spans="1:53" x14ac:dyDescent="0.25">
      <c r="A289">
        <v>287</v>
      </c>
      <c r="B289" s="1">
        <f>ROUND((A289+Forudsætninger!$D$60)/30.4,1)</f>
        <v>10.6</v>
      </c>
      <c r="C289" s="1">
        <f>VLOOKUP((A289+Forudsætninger!$D$60),'Model tilvækst, slagteform, fe'!A:C,3,FALSE)</f>
        <v>532.91238195662959</v>
      </c>
      <c r="D289" s="3">
        <f t="shared" si="134"/>
        <v>1319.5746538981439</v>
      </c>
      <c r="E289" s="3">
        <f>(1+Forudsætninger!$D$78)*C289</f>
        <v>447.64640084356881</v>
      </c>
      <c r="F289" s="2">
        <f t="shared" si="116"/>
        <v>0</v>
      </c>
      <c r="G289" s="1">
        <f t="shared" si="109"/>
        <v>447.64640084356881</v>
      </c>
      <c r="H289" s="3">
        <f t="shared" si="117"/>
        <v>1108.4427092744136</v>
      </c>
      <c r="I289" s="3">
        <f t="shared" si="118"/>
        <v>1308.8724768068598</v>
      </c>
      <c r="J289" s="1">
        <f>VLOOKUP((A289+Forudsætninger!$D$60),'Model tilvækst, slagteform, fe'!G:K,3,FALSE)*(1+Forudsætninger!$D$79)</f>
        <v>55.198900046853069</v>
      </c>
      <c r="K289" s="17">
        <f t="shared" si="110"/>
        <v>247.09588936497678</v>
      </c>
      <c r="L289" s="17">
        <f t="shared" si="119"/>
        <v>647.01526122067321</v>
      </c>
      <c r="M289" s="3">
        <f>((K289-(('Model tilvækst, slagteform, fe'!$I$9/100)*'Model tilvækst, slagteform, fe'!$C$9))*1000/(A289+Forudsætninger!$D$60))</f>
        <v>702.11005111715724</v>
      </c>
      <c r="N289" s="17">
        <f t="shared" si="120"/>
        <v>1669.3433964209057</v>
      </c>
      <c r="O289" s="19">
        <f>IF( A289&lt;Forudsætninger!$C$14,(G289/100)*Forudsætninger!$C$13,(Forudsætninger!$C$15/1000)*Forudsætninger!$C$13)</f>
        <v>2.909701605483197</v>
      </c>
      <c r="P289" s="17" cm="1">
        <f t="array" ref="P289">INDEX('Model tilvækst, slagteform, fe'!$O$9:$O$375,MATCH(MIN(ABS('Model tilvækst, slagteform, fe'!$M$9:$M$375-G289)),ABS('Model tilvækst, slagteform, fe'!$M$9:$M$375-G289),0))*(1+Forudsætninger!$D$80)</f>
        <v>8.178334833150851</v>
      </c>
      <c r="Q289" s="17">
        <f t="shared" si="121"/>
        <v>12.640095718486492</v>
      </c>
      <c r="R289" s="17">
        <f t="shared" si="122"/>
        <v>7.8692047253245381</v>
      </c>
      <c r="S289" s="2">
        <f t="shared" si="111"/>
        <v>4.4439222435571102</v>
      </c>
      <c r="T289" s="19">
        <f>(P289)*IF(N289&lt;Forudsætninger!$B$228,IF(N289&lt;Forudsætninger!$B$227,Forudsætninger!$B$225,Forudsætninger!$C$9),Forudsætninger!$C$11)+O289</f>
        <v>22.047005115056187</v>
      </c>
      <c r="U289" s="2">
        <f>Forudsætninger!$D$68+((K289-(Forudsætninger!$D$84)))*0.01</f>
        <v>7.6105695750094204</v>
      </c>
      <c r="V289" s="2">
        <f>U289+Forudsætninger!$D$69</f>
        <v>7.6105695750094204</v>
      </c>
      <c r="W289">
        <f t="shared" si="112"/>
        <v>1</v>
      </c>
      <c r="X289">
        <f>IF(A289+Forudsætninger!$D$60&gt;248,IF(A289+Forudsætninger!$D$60&lt;365,IF(K289&gt;180,IF(K289&lt;260,1,0),0),0),0)</f>
        <v>1</v>
      </c>
      <c r="Y289" s="22">
        <f>IF(X289=0,0,IF('Vækstfunktion, kry tyr'!A289&lt;Forudsætninger!$D$66,Forudsætninger!$D$67+(('Vækstfunktion, kry tyr'!A289-Forudsætninger!$D$66)/7)*Forudsætninger!$D$64,Forudsætninger!$D$67))</f>
        <v>0.98</v>
      </c>
      <c r="Z289" s="19">
        <f t="shared" si="126"/>
        <v>4890.9279529678288</v>
      </c>
      <c r="AA289" s="19">
        <f>Forudsætninger!$D$62+Forudsætninger!$C$16</f>
        <v>2055</v>
      </c>
      <c r="AB289" s="19">
        <f>IF(K289&gt;Forudsætninger!$C$37,IF(K289&gt;Forudsætninger!$C$38,IF(K289&gt;Forudsætninger!$C$39,Forudsætninger!$E$39,Forudsætninger!$E$38+Forudsætninger!$F$39*(K289-Forudsætninger!$C$38)),Forudsætninger!$E$37+Forudsætninger!$F$38*(K289-Forudsætninger!$C$37)),Forudsætninger!$E$37)+IF(K289&gt;Forudsætninger!$C$39,Forudsætninger!$G$39,IF(K289&gt;Forudsætninger!$C$38,Forudsætninger!$G$38+Forudsætninger!$H$39*(K289-Forudsætninger!$C$38),IF(K289&gt;Forudsætninger!$C$37,Forudsætninger!$G$37+Forudsætninger!$H$38*(K289-Forudsætninger!$C$37),Forudsætninger!$G$37)))*(U289-Forudsætninger!$H$37)</f>
        <v>37.156604883094261</v>
      </c>
      <c r="AC289" s="19">
        <f>IF(K289&gt;Forudsætninger!$C$42,IF(K289&gt;Forudsætninger!$C$43,IF(K289&gt;Forudsætninger!$C$44,Forudsætninger!$E$44,Forudsætninger!$E$43+Forudsætninger!$F$44*(K289-Forudsætninger!$C$43)),Forudsætninger!$E$42+Forudsætninger!$F$43*(K289-Forudsætninger!$C$42)),Forudsætninger!$E$42)+IF(K289&gt;Forudsætninger!$C$44,Forudsætninger!$G$44,IF(K289&gt;Forudsætninger!$C$43,Forudsætninger!$G$43+Forudsætninger!$H$44*(K289-Forudsætninger!$C$43),IF(K289&gt;Forudsætninger!$C$42,Forudsætninger!$G$42+Forudsætninger!$H$43*(K289-Forudsætninger!$C$42),Forudsætninger!$G$42)))*(V289-Forudsætninger!$H$42)</f>
        <v>31.65050942990332</v>
      </c>
      <c r="AD289" s="19">
        <f t="shared" si="113"/>
        <v>9154.0336583125209</v>
      </c>
      <c r="AE289" s="19">
        <f t="shared" si="114"/>
        <v>37.04648297403044</v>
      </c>
      <c r="AF289">
        <f>IF(G289&lt;=Forudsætninger!$C$97,Forudsætninger!$C$98,(IF(G289&lt;=Forudsætninger!$D$97,Forudsætninger!$D$98,IF(G289&lt;=Forudsætninger!$E$97,Forudsætninger!$E$98,IF(G289&lt;=Forudsætninger!$F$97,Forudsætninger!$F$98,IF(G289&lt;=Forudsætninger!$G$97,Forudsætninger!$G$98,IF(G289&lt;=Forudsætninger!$H$97,Forudsætninger!$H$98,IF(G289&lt;=Forudsætninger!$I$97,Forudsætninger!$I$98,Forudsætninger!$I$98))))))))</f>
        <v>4.4000000000000004</v>
      </c>
      <c r="AG289" s="1">
        <f t="shared" si="123"/>
        <v>4.4000000000000004</v>
      </c>
      <c r="AH289" s="1">
        <f t="shared" si="127"/>
        <v>946.99999999999625</v>
      </c>
      <c r="AI289" s="1">
        <f t="shared" si="115"/>
        <v>3.2996515679442378</v>
      </c>
      <c r="AJ289" s="20">
        <f>+(W289*Forudsætninger!$C$12)</f>
        <v>900</v>
      </c>
      <c r="AK289" s="20">
        <f>Forudsætninger!$C$17</f>
        <v>250</v>
      </c>
      <c r="AL289" s="20">
        <f>IF(A289&lt;92,Forudsætninger!$C$20,Forudsætninger!$C$21)</f>
        <v>1.0566762728146013</v>
      </c>
      <c r="AM289" s="20">
        <f t="shared" si="124"/>
        <v>571.77157315108127</v>
      </c>
      <c r="AN289" s="19">
        <f>IFERROR(AD289+AJ289-AA289-Z289-AK289-AM289-Forudsætninger!$D$75,-99999)</f>
        <v>2068.4421584926508</v>
      </c>
      <c r="AO289" s="57">
        <f>IFERROR(AN289/(A289+Forudsætninger!$D$74),-99999)</f>
        <v>7.207115534817599</v>
      </c>
      <c r="AP289" s="19">
        <f>IFERROR(((365/(A289+Forudsætninger!$D$74))*AN289)/(AI289+Forudsætninger!$D$73),-99999)</f>
        <v>771.51495329901843</v>
      </c>
      <c r="AQ289" s="18">
        <f t="shared" si="128"/>
        <v>287</v>
      </c>
      <c r="AR289" s="18">
        <f t="shared" si="129"/>
        <v>7767.6995261189104</v>
      </c>
      <c r="AS289" s="50">
        <f t="shared" si="130"/>
        <v>10.6</v>
      </c>
      <c r="AT289" s="50">
        <f t="shared" si="131"/>
        <v>4.0314622894861714</v>
      </c>
      <c r="AU289" s="50">
        <f t="shared" si="132"/>
        <v>-1.1103682675983606E-2</v>
      </c>
      <c r="AV289" s="2">
        <f t="shared" si="133"/>
        <v>-2.0615246532206584</v>
      </c>
      <c r="AW289" s="16">
        <f t="shared" si="125"/>
        <v>9.1993509813370444</v>
      </c>
      <c r="AZ289" s="16"/>
      <c r="BA289" s="2"/>
    </row>
    <row r="290" spans="1:53" x14ac:dyDescent="0.25">
      <c r="A290">
        <v>288</v>
      </c>
      <c r="B290" s="1">
        <f>ROUND((A290+Forudsætninger!$D$60)/30.4,1)</f>
        <v>10.6</v>
      </c>
      <c r="C290" s="1">
        <f>VLOOKUP((A290+Forudsætninger!$D$60),'Model tilvækst, slagteform, fe'!A:C,3,FALSE)</f>
        <v>534.22759037053606</v>
      </c>
      <c r="D290" s="3">
        <f t="shared" si="134"/>
        <v>1315.2084139064755</v>
      </c>
      <c r="E290" s="3">
        <f>(1+Forudsætninger!$D$78)*C290</f>
        <v>448.7511759112503</v>
      </c>
      <c r="F290" s="2">
        <f t="shared" si="116"/>
        <v>0</v>
      </c>
      <c r="G290" s="1">
        <f t="shared" si="109"/>
        <v>448.7511759112503</v>
      </c>
      <c r="H290" s="3">
        <f t="shared" si="117"/>
        <v>1104.7750676814871</v>
      </c>
      <c r="I290" s="3">
        <f t="shared" si="118"/>
        <v>1308.1638052473968</v>
      </c>
      <c r="J290" s="1">
        <f>VLOOKUP((A290+Forudsætninger!$D$60),'Model tilvækst, slagteform, fe'!G:K,3,FALSE)*(1+Forudsætninger!$D$79)</f>
        <v>55.206828150339859</v>
      </c>
      <c r="K290" s="17">
        <f t="shared" si="110"/>
        <v>247.74129050795327</v>
      </c>
      <c r="L290" s="17">
        <f t="shared" si="119"/>
        <v>645.40114297648188</v>
      </c>
      <c r="M290" s="3">
        <f>((K290-(('Model tilvækst, slagteform, fe'!$I$9/100)*'Model tilvækst, slagteform, fe'!$C$9))*1000/(A290+Forudsætninger!$D$60))</f>
        <v>701.93393649560232</v>
      </c>
      <c r="N290" s="17">
        <f t="shared" si="120"/>
        <v>1677.5379754276412</v>
      </c>
      <c r="O290" s="19">
        <f>IF( A290&lt;Forudsætninger!$C$14,(G290/100)*Forudsætninger!$C$13,(Forudsætninger!$C$15/1000)*Forudsætninger!$C$13)</f>
        <v>2.916882643423127</v>
      </c>
      <c r="P290" s="17" cm="1">
        <f t="array" ref="P290">INDEX('Model tilvækst, slagteform, fe'!$O$9:$O$375,MATCH(MIN(ABS('Model tilvækst, slagteform, fe'!$M$9:$M$375-G290)),ABS('Model tilvækst, slagteform, fe'!$M$9:$M$375-G290),0))*(1+Forudsætninger!$D$80)</f>
        <v>8.1945790067355091</v>
      </c>
      <c r="Q290" s="17">
        <f t="shared" si="121"/>
        <v>12.696877121945407</v>
      </c>
      <c r="R290" s="17">
        <f t="shared" si="122"/>
        <v>7.8838478376853205</v>
      </c>
      <c r="S290" s="2">
        <f t="shared" si="111"/>
        <v>4.4526416443695771</v>
      </c>
      <c r="T290" s="19">
        <f>(P290)*IF(N290&lt;Forudsætninger!$B$228,IF(N290&lt;Forudsætninger!$B$227,Forudsætninger!$B$225,Forudsætninger!$C$9),Forudsætninger!$C$11)+O290</f>
        <v>22.092197519184214</v>
      </c>
      <c r="U290" s="2">
        <f>Forudsætninger!$D$68+((K290-(Forudsætninger!$D$84)))*0.01</f>
        <v>7.6170235864391849</v>
      </c>
      <c r="V290" s="2">
        <f>U290+Forudsætninger!$D$69</f>
        <v>7.6170235864391849</v>
      </c>
      <c r="W290">
        <f t="shared" si="112"/>
        <v>1</v>
      </c>
      <c r="X290">
        <f>IF(A290+Forudsætninger!$D$60&gt;248,IF(A290+Forudsætninger!$D$60&lt;365,IF(K290&gt;180,IF(K290&lt;260,1,0),0),0),0)</f>
        <v>1</v>
      </c>
      <c r="Y290" s="22">
        <f>IF(X290=0,0,IF('Vækstfunktion, kry tyr'!A290&lt;Forudsætninger!$D$66,Forudsætninger!$D$67+(('Vækstfunktion, kry tyr'!A290-Forudsætninger!$D$66)/7)*Forudsætninger!$D$64,Forudsætninger!$D$67))</f>
        <v>0.98</v>
      </c>
      <c r="Z290" s="19">
        <f t="shared" si="126"/>
        <v>4913.0201504870129</v>
      </c>
      <c r="AA290" s="19">
        <f>Forudsætninger!$D$62+Forudsætninger!$C$16</f>
        <v>2055</v>
      </c>
      <c r="AB290" s="19">
        <f>IF(K290&gt;Forudsætninger!$C$37,IF(K290&gt;Forudsætninger!$C$38,IF(K290&gt;Forudsætninger!$C$39,Forudsætninger!$E$39,Forudsætninger!$E$38+Forudsætninger!$F$39*(K290-Forudsætninger!$C$38)),Forudsætninger!$E$37+Forudsætninger!$F$38*(K290-Forudsætninger!$C$37)),Forudsætninger!$E$37)+IF(K290&gt;Forudsætninger!$C$39,Forudsætninger!$G$39,IF(K290&gt;Forudsætninger!$C$38,Forudsætninger!$G$38+Forudsætninger!$H$39*(K290-Forudsætninger!$C$38),IF(K290&gt;Forudsætninger!$C$37,Forudsætninger!$G$37+Forudsætninger!$H$38*(K290-Forudsætninger!$C$37),Forudsætninger!$G$37)))*(U290-Forudsætninger!$H$37)</f>
        <v>37.169351555668044</v>
      </c>
      <c r="AC290" s="19">
        <f>IF(K290&gt;Forudsætninger!$C$42,IF(K290&gt;Forudsætninger!$C$43,IF(K290&gt;Forudsætninger!$C$44,Forudsætninger!$E$44,Forudsætninger!$E$43+Forudsætninger!$F$44*(K290-Forudsætninger!$C$43)),Forudsætninger!$E$42+Forudsætninger!$F$43*(K290-Forudsætninger!$C$42)),Forudsætninger!$E$42)+IF(K290&gt;Forudsætninger!$C$44,Forudsætninger!$G$44,IF(K290&gt;Forudsætninger!$C$43,Forudsætninger!$G$43+Forudsætninger!$H$44*(K290-Forudsætninger!$C$43),IF(K290&gt;Forudsætninger!$C$42,Forudsætninger!$G$42+Forudsætninger!$H$43*(K290-Forudsætninger!$C$42),Forudsætninger!$G$42)))*(V290-Forudsætninger!$H$42)</f>
        <v>31.66652615849187</v>
      </c>
      <c r="AD290" s="19">
        <f t="shared" si="113"/>
        <v>9181.1175804382729</v>
      </c>
      <c r="AE290" s="19">
        <f t="shared" si="114"/>
        <v>37.059295047724518</v>
      </c>
      <c r="AF290">
        <f>IF(G290&lt;=Forudsætninger!$C$97,Forudsætninger!$C$98,(IF(G290&lt;=Forudsætninger!$D$97,Forudsætninger!$D$98,IF(G290&lt;=Forudsætninger!$E$97,Forudsætninger!$E$98,IF(G290&lt;=Forudsætninger!$F$97,Forudsætninger!$F$98,IF(G290&lt;=Forudsætninger!$G$97,Forudsætninger!$G$98,IF(G290&lt;=Forudsætninger!$H$97,Forudsætninger!$H$98,IF(G290&lt;=Forudsætninger!$I$97,Forudsætninger!$I$98,Forudsætninger!$I$98))))))))</f>
        <v>4.4000000000000004</v>
      </c>
      <c r="AG290" s="1">
        <f t="shared" si="123"/>
        <v>4.4000000000000004</v>
      </c>
      <c r="AH290" s="1">
        <f t="shared" si="127"/>
        <v>951.39999999999623</v>
      </c>
      <c r="AI290" s="1">
        <f t="shared" si="115"/>
        <v>3.3034722222222093</v>
      </c>
      <c r="AJ290" s="20">
        <f>+(W290*Forudsætninger!$C$12)</f>
        <v>900</v>
      </c>
      <c r="AK290" s="20">
        <f>Forudsætninger!$C$17</f>
        <v>250</v>
      </c>
      <c r="AL290" s="20">
        <f>IF(A290&lt;92,Forudsætninger!$C$20,Forudsætninger!$C$21)</f>
        <v>1.0566762728146013</v>
      </c>
      <c r="AM290" s="20">
        <f t="shared" si="124"/>
        <v>572.82824942389584</v>
      </c>
      <c r="AN290" s="19">
        <f>IFERROR(AD290+AJ290-AA290-Z290-AK290-AM290-Forudsætninger!$D$75,-99999)</f>
        <v>2072.3772068264043</v>
      </c>
      <c r="AO290" s="57">
        <f>IFERROR(AN290/(A290+Forudsætninger!$D$74),-99999)</f>
        <v>7.1957541903694597</v>
      </c>
      <c r="AP290" s="19">
        <f>IFERROR(((365/(A290+Forudsætninger!$D$74))*AN290)/(AI290+Forudsætninger!$D$73),-99999)</f>
        <v>769.43654686458933</v>
      </c>
      <c r="AQ290" s="18">
        <f t="shared" si="128"/>
        <v>288</v>
      </c>
      <c r="AR290" s="18">
        <f t="shared" si="129"/>
        <v>7790.8483999109085</v>
      </c>
      <c r="AS290" s="50">
        <f t="shared" si="130"/>
        <v>10.6</v>
      </c>
      <c r="AT290" s="50">
        <f t="shared" si="131"/>
        <v>3.935048333753457</v>
      </c>
      <c r="AU290" s="50">
        <f t="shared" si="132"/>
        <v>-1.1361344448139299E-2</v>
      </c>
      <c r="AV290" s="2">
        <f t="shared" si="133"/>
        <v>-2.0784064344290982</v>
      </c>
      <c r="AW290" s="16">
        <f t="shared" si="125"/>
        <v>9.1847411675357638</v>
      </c>
      <c r="AZ290" s="16"/>
      <c r="BA290" s="2"/>
    </row>
    <row r="291" spans="1:53" x14ac:dyDescent="0.25">
      <c r="A291">
        <v>289</v>
      </c>
      <c r="B291" s="1">
        <f>ROUND((A291+Forudsætninger!$D$60)/30.4,1)</f>
        <v>10.6</v>
      </c>
      <c r="C291" s="1">
        <f>VLOOKUP((A291+Forudsætninger!$D$60),'Model tilvækst, slagteform, fe'!A:C,3,FALSE)</f>
        <v>535.53845345573438</v>
      </c>
      <c r="D291" s="3">
        <f t="shared" si="134"/>
        <v>1310.8630851983207</v>
      </c>
      <c r="E291" s="3">
        <f>(1+Forudsætninger!$D$78)*C291</f>
        <v>449.85230090281686</v>
      </c>
      <c r="F291" s="2">
        <f t="shared" si="116"/>
        <v>0</v>
      </c>
      <c r="G291" s="1">
        <f t="shared" si="109"/>
        <v>449.85230090281686</v>
      </c>
      <c r="H291" s="3">
        <f t="shared" si="117"/>
        <v>1101.1249915665644</v>
      </c>
      <c r="I291" s="3">
        <f t="shared" si="118"/>
        <v>1307.4474079682245</v>
      </c>
      <c r="J291" s="1">
        <f>VLOOKUP((A291+Forudsætninger!$D$60),'Model tilvækst, slagteform, fe'!G:K,3,FALSE)*(1+Forudsætninger!$D$79)</f>
        <v>55.214807692472711</v>
      </c>
      <c r="K291" s="17">
        <f t="shared" si="110"/>
        <v>248.385082843654</v>
      </c>
      <c r="L291" s="17">
        <f t="shared" si="119"/>
        <v>643.79233570073779</v>
      </c>
      <c r="M291" s="3">
        <f>((K291-(('Model tilvækst, slagteform, fe'!$I$9/100)*'Model tilvækst, slagteform, fe'!$C$9))*1000/(A291+Forudsætninger!$D$60))</f>
        <v>701.753931539581</v>
      </c>
      <c r="N291" s="17">
        <f t="shared" si="120"/>
        <v>1685.7325544343767</v>
      </c>
      <c r="O291" s="19">
        <f>IF( A291&lt;Forudsætninger!$C$14,(G291/100)*Forudsætninger!$C$13,(Forudsætninger!$C$15/1000)*Forudsætninger!$C$13)</f>
        <v>2.9240399558683099</v>
      </c>
      <c r="P291" s="17" cm="1">
        <f t="array" ref="P291">INDEX('Model tilvækst, slagteform, fe'!$O$9:$O$375,MATCH(MIN(ABS('Model tilvækst, slagteform, fe'!$M$9:$M$375-G291)),ABS('Model tilvækst, slagteform, fe'!$M$9:$M$375-G291),0))*(1+Forudsætninger!$D$80)</f>
        <v>8.1945790067355091</v>
      </c>
      <c r="Q291" s="17">
        <f t="shared" si="121"/>
        <v>12.728606030725876</v>
      </c>
      <c r="R291" s="17">
        <f t="shared" si="122"/>
        <v>7.898461927199623</v>
      </c>
      <c r="S291" s="2">
        <f t="shared" si="111"/>
        <v>4.4613531541467175</v>
      </c>
      <c r="T291" s="19">
        <f>(P291)*IF(N291&lt;Forudsætninger!$B$228,IF(N291&lt;Forudsætninger!$B$227,Forudsætninger!$B$225,Forudsætninger!$C$9),Forudsætninger!$C$11)+O291</f>
        <v>22.099354831629398</v>
      </c>
      <c r="U291" s="2">
        <f>Forudsætninger!$D$68+((K291-(Forudsætninger!$D$84)))*0.01</f>
        <v>7.6234615097961926</v>
      </c>
      <c r="V291" s="2">
        <f>U291+Forudsætninger!$D$69</f>
        <v>7.6234615097961926</v>
      </c>
      <c r="W291">
        <f t="shared" si="112"/>
        <v>1</v>
      </c>
      <c r="X291">
        <f>IF(A291+Forudsætninger!$D$60&gt;248,IF(A291+Forudsætninger!$D$60&lt;365,IF(K291&gt;180,IF(K291&lt;260,1,0),0),0),0)</f>
        <v>1</v>
      </c>
      <c r="Y291" s="22">
        <f>IF(X291=0,0,IF('Vækstfunktion, kry tyr'!A291&lt;Forudsætninger!$D$66,Forudsætninger!$D$67+(('Vækstfunktion, kry tyr'!A291-Forudsætninger!$D$66)/7)*Forudsætninger!$D$64,Forudsætninger!$D$67))</f>
        <v>0.98</v>
      </c>
      <c r="Z291" s="19">
        <f t="shared" si="126"/>
        <v>4935.119505318642</v>
      </c>
      <c r="AA291" s="19">
        <f>Forudsætninger!$D$62+Forudsætninger!$C$16</f>
        <v>2055</v>
      </c>
      <c r="AB291" s="19">
        <f>IF(K291&gt;Forudsætninger!$C$37,IF(K291&gt;Forudsætninger!$C$38,IF(K291&gt;Forudsætninger!$C$39,Forudsætninger!$E$39,Forudsætninger!$E$38+Forudsætninger!$F$39*(K291-Forudsætninger!$C$38)),Forudsætninger!$E$37+Forudsætninger!$F$38*(K291-Forudsætninger!$C$37)),Forudsætninger!$E$37)+IF(K291&gt;Forudsætninger!$C$39,Forudsætninger!$G$39,IF(K291&gt;Forudsætninger!$C$38,Forudsætninger!$G$38+Forudsætninger!$H$39*(K291-Forudsætninger!$C$38),IF(K291&gt;Forudsætninger!$C$37,Forudsætninger!$G$37+Forudsætninger!$H$38*(K291-Forudsætninger!$C$37),Forudsætninger!$G$37)))*(U291-Forudsætninger!$H$37)</f>
        <v>37.182066454298131</v>
      </c>
      <c r="AC291" s="19">
        <f>IF(K291&gt;Forudsætninger!$C$42,IF(K291&gt;Forudsætninger!$C$43,IF(K291&gt;Forudsætninger!$C$44,Forudsætninger!$E$44,Forudsætninger!$E$43+Forudsætninger!$F$44*(K291-Forudsætninger!$C$43)),Forudsætninger!$E$42+Forudsætninger!$F$43*(K291-Forudsætninger!$C$42)),Forudsætninger!$E$42)+IF(K291&gt;Forudsætninger!$C$44,Forudsætninger!$G$44,IF(K291&gt;Forudsætninger!$C$43,Forudsætninger!$G$43+Forudsætninger!$H$44*(K291-Forudsætninger!$C$43),IF(K291&gt;Forudsætninger!$C$42,Forudsætninger!$G$42+Forudsætninger!$H$43*(K291-Forudsætninger!$C$42),Forudsætninger!$G$42)))*(V291-Forudsætninger!$H$42)</f>
        <v>31.68248567068613</v>
      </c>
      <c r="AD291" s="19">
        <f t="shared" si="113"/>
        <v>9208.1503799782331</v>
      </c>
      <c r="AE291" s="19">
        <f t="shared" si="114"/>
        <v>37.072074838625888</v>
      </c>
      <c r="AF291">
        <f>IF(G291&lt;=Forudsætninger!$C$97,Forudsætninger!$C$98,(IF(G291&lt;=Forudsætninger!$D$97,Forudsætninger!$D$98,IF(G291&lt;=Forudsætninger!$E$97,Forudsætninger!$E$98,IF(G291&lt;=Forudsætninger!$F$97,Forudsætninger!$F$98,IF(G291&lt;=Forudsætninger!$G$97,Forudsætninger!$G$98,IF(G291&lt;=Forudsætninger!$H$97,Forudsætninger!$H$98,IF(G291&lt;=Forudsætninger!$I$97,Forudsætninger!$I$98,Forudsætninger!$I$98))))))))</f>
        <v>4.4000000000000004</v>
      </c>
      <c r="AG291" s="1">
        <f t="shared" si="123"/>
        <v>4.4000000000000004</v>
      </c>
      <c r="AH291" s="1">
        <f t="shared" si="127"/>
        <v>955.7999999999962</v>
      </c>
      <c r="AI291" s="1">
        <f t="shared" si="115"/>
        <v>3.3072664359861461</v>
      </c>
      <c r="AJ291" s="20">
        <f>+(W291*Forudsætninger!$C$12)</f>
        <v>900</v>
      </c>
      <c r="AK291" s="20">
        <f>Forudsætninger!$C$17</f>
        <v>250</v>
      </c>
      <c r="AL291" s="20">
        <f>IF(A291&lt;92,Forudsætninger!$C$20,Forudsætninger!$C$21)</f>
        <v>1.0566762728146013</v>
      </c>
      <c r="AM291" s="20">
        <f t="shared" si="124"/>
        <v>573.88492569671041</v>
      </c>
      <c r="AN291" s="19">
        <f>IFERROR(AD291+AJ291-AA291-Z291-AK291-AM291-Forudsætninger!$D$75,-99999)</f>
        <v>2076.2539752619205</v>
      </c>
      <c r="AO291" s="57">
        <f>IFERROR(AN291/(A291+Forudsætninger!$D$74),-99999)</f>
        <v>7.1842698105948806</v>
      </c>
      <c r="AP291" s="19">
        <f>IFERROR(((365/(A291+Forudsætninger!$D$74))*AN291)/(AI291+Forudsætninger!$D$73),-99999)</f>
        <v>767.35558376512915</v>
      </c>
      <c r="AQ291" s="18">
        <f t="shared" si="128"/>
        <v>289</v>
      </c>
      <c r="AR291" s="18">
        <f t="shared" si="129"/>
        <v>7814.0044310153526</v>
      </c>
      <c r="AS291" s="50">
        <f t="shared" si="130"/>
        <v>10.6</v>
      </c>
      <c r="AT291" s="50">
        <f t="shared" si="131"/>
        <v>3.8767684355161691</v>
      </c>
      <c r="AU291" s="50">
        <f t="shared" si="132"/>
        <v>-1.1484379774579168E-2</v>
      </c>
      <c r="AV291" s="2">
        <f t="shared" si="133"/>
        <v>-2.0809630994601775</v>
      </c>
      <c r="AW291" s="16">
        <f t="shared" si="125"/>
        <v>9.1700307991648131</v>
      </c>
      <c r="AZ291" s="16"/>
      <c r="BA291" s="2"/>
    </row>
    <row r="292" spans="1:53" x14ac:dyDescent="0.25">
      <c r="A292">
        <v>290</v>
      </c>
      <c r="B292" s="1">
        <f>ROUND((A292+Forudsætninger!$D$60)/30.4,1)</f>
        <v>10.7</v>
      </c>
      <c r="C292" s="1">
        <f>VLOOKUP((A292+Forudsætninger!$D$60),'Model tilvækst, slagteform, fe'!A:C,3,FALSE)</f>
        <v>536.84499274444352</v>
      </c>
      <c r="D292" s="3">
        <f t="shared" si="134"/>
        <v>1306.5392887091321</v>
      </c>
      <c r="E292" s="3">
        <f>(1+Forudsætninger!$D$78)*C292</f>
        <v>450.94979390533251</v>
      </c>
      <c r="F292" s="2">
        <f t="shared" si="116"/>
        <v>0</v>
      </c>
      <c r="G292" s="1">
        <f t="shared" si="109"/>
        <v>450.94979390533251</v>
      </c>
      <c r="H292" s="3">
        <f t="shared" si="117"/>
        <v>1097.4930025156482</v>
      </c>
      <c r="I292" s="3">
        <f t="shared" si="118"/>
        <v>1306.7234272597673</v>
      </c>
      <c r="J292" s="1">
        <f>VLOOKUP((A292+Forudsætninger!$D$60),'Model tilvækst, slagteform, fe'!G:K,3,FALSE)*(1+Forudsætninger!$D$79)</f>
        <v>55.222837504191475</v>
      </c>
      <c r="K292" s="17">
        <f t="shared" si="110"/>
        <v>249.02727191382814</v>
      </c>
      <c r="L292" s="17">
        <f t="shared" si="119"/>
        <v>642.1890701741404</v>
      </c>
      <c r="M292" s="3">
        <f>((K292-(('Model tilvækst, slagteform, fe'!$I$9/100)*'Model tilvækst, slagteform, fe'!$C$9))*1000/(A292+Forudsætninger!$D$60))</f>
        <v>701.57008937487285</v>
      </c>
      <c r="N292" s="17">
        <f t="shared" si="120"/>
        <v>1693.9434245660666</v>
      </c>
      <c r="O292" s="19">
        <f>IF( A292&lt;Forudsætninger!$C$14,(G292/100)*Forudsætninger!$C$13,(Forudsætninger!$C$15/1000)*Forudsætninger!$C$13)</f>
        <v>2.9311736603846614</v>
      </c>
      <c r="P292" s="17" cm="1">
        <f t="array" ref="P292">INDEX('Model tilvækst, slagteform, fe'!$O$9:$O$375,MATCH(MIN(ABS('Model tilvækst, slagteform, fe'!$M$9:$M$375-G292)),ABS('Model tilvækst, slagteform, fe'!$M$9:$M$375-G292),0))*(1+Forudsætninger!$D$80)</f>
        <v>8.2108701316900046</v>
      </c>
      <c r="Q292" s="17">
        <f t="shared" si="121"/>
        <v>12.785751911759396</v>
      </c>
      <c r="R292" s="17">
        <f t="shared" si="122"/>
        <v>7.9131234830697119</v>
      </c>
      <c r="S292" s="2">
        <f t="shared" si="111"/>
        <v>4.4700998702462407</v>
      </c>
      <c r="T292" s="19">
        <f>(P292)*IF(N292&lt;Forudsætninger!$B$228,IF(N292&lt;Forudsætninger!$B$227,Forudsætninger!$B$225,Forudsætninger!$C$9),Forudsætninger!$C$11)+O292</f>
        <v>22.144609768539272</v>
      </c>
      <c r="U292" s="2">
        <f>Forudsætninger!$D$68+((K292-(Forudsætninger!$D$84)))*0.01</f>
        <v>7.6298834004979339</v>
      </c>
      <c r="V292" s="2">
        <f>U292+Forudsætninger!$D$69</f>
        <v>7.6298834004979339</v>
      </c>
      <c r="W292">
        <f t="shared" si="112"/>
        <v>1</v>
      </c>
      <c r="X292">
        <f>IF(A292+Forudsætninger!$D$60&gt;248,IF(A292+Forudsætninger!$D$60&lt;365,IF(K292&gt;180,IF(K292&lt;260,1,0),0),0),0)</f>
        <v>1</v>
      </c>
      <c r="Y292" s="22">
        <f>IF(X292=0,0,IF('Vækstfunktion, kry tyr'!A292&lt;Forudsætninger!$D$66,Forudsætninger!$D$67+(('Vækstfunktion, kry tyr'!A292-Forudsætninger!$D$66)/7)*Forudsætninger!$D$64,Forudsætninger!$D$67))</f>
        <v>0.98</v>
      </c>
      <c r="Z292" s="19">
        <f t="shared" si="126"/>
        <v>4957.2641150871814</v>
      </c>
      <c r="AA292" s="19">
        <f>Forudsætninger!$D$62+Forudsætninger!$C$16</f>
        <v>2055</v>
      </c>
      <c r="AB292" s="19">
        <f>IF(K292&gt;Forudsætninger!$C$37,IF(K292&gt;Forudsætninger!$C$38,IF(K292&gt;Forudsætninger!$C$39,Forudsætninger!$E$39,Forudsætninger!$E$38+Forudsætninger!$F$39*(K292-Forudsætninger!$C$38)),Forudsætninger!$E$37+Forudsætninger!$F$38*(K292-Forudsætninger!$C$37)),Forudsætninger!$E$37)+IF(K292&gt;Forudsætninger!$C$39,Forudsætninger!$G$39,IF(K292&gt;Forudsætninger!$C$38,Forudsætninger!$G$38+Forudsætninger!$H$39*(K292-Forudsætninger!$C$38),IF(K292&gt;Forudsætninger!$C$37,Forudsætninger!$G$37+Forudsætninger!$H$38*(K292-Forudsætninger!$C$37),Forudsætninger!$G$37)))*(U292-Forudsætninger!$H$37)</f>
        <v>37.194749688434065</v>
      </c>
      <c r="AC292" s="19">
        <f>IF(K292&gt;Forudsætninger!$C$42,IF(K292&gt;Forudsætninger!$C$43,IF(K292&gt;Forudsætninger!$C$44,Forudsætninger!$E$44,Forudsætninger!$E$43+Forudsætninger!$F$44*(K292-Forudsætninger!$C$43)),Forudsætninger!$E$42+Forudsætninger!$F$43*(K292-Forudsætninger!$C$42)),Forudsætninger!$E$42)+IF(K292&gt;Forudsætninger!$C$44,Forudsætninger!$G$44,IF(K292&gt;Forudsætninger!$C$43,Forudsætninger!$G$43+Forudsætninger!$H$44*(K292-Forudsætninger!$C$43),IF(K292&gt;Forudsætninger!$C$42,Forudsætninger!$G$42+Forudsætninger!$H$43*(K292-Forudsætninger!$C$42),Forudsætninger!$G$42)))*(V292-Forudsætninger!$H$42)</f>
        <v>31.698388233109803</v>
      </c>
      <c r="AD292" s="19">
        <f t="shared" si="113"/>
        <v>9235.1321664550087</v>
      </c>
      <c r="AE292" s="19">
        <f t="shared" si="114"/>
        <v>37.084822459327576</v>
      </c>
      <c r="AF292">
        <f>IF(G292&lt;=Forudsætninger!$C$97,Forudsætninger!$C$98,(IF(G292&lt;=Forudsætninger!$D$97,Forudsætninger!$D$98,IF(G292&lt;=Forudsætninger!$E$97,Forudsætninger!$E$98,IF(G292&lt;=Forudsætninger!$F$97,Forudsætninger!$F$98,IF(G292&lt;=Forudsætninger!$G$97,Forudsætninger!$G$98,IF(G292&lt;=Forudsætninger!$H$97,Forudsætninger!$H$98,IF(G292&lt;=Forudsætninger!$I$97,Forudsætninger!$I$98,Forudsætninger!$I$98))))))))</f>
        <v>4.4000000000000004</v>
      </c>
      <c r="AG292" s="1">
        <f t="shared" si="123"/>
        <v>4.4000000000000004</v>
      </c>
      <c r="AH292" s="1">
        <f t="shared" si="127"/>
        <v>960.19999999999618</v>
      </c>
      <c r="AI292" s="1">
        <f t="shared" si="115"/>
        <v>3.3110344827586076</v>
      </c>
      <c r="AJ292" s="20">
        <f>+(W292*Forudsætninger!$C$12)</f>
        <v>900</v>
      </c>
      <c r="AK292" s="20">
        <f>Forudsætninger!$C$17</f>
        <v>250</v>
      </c>
      <c r="AL292" s="20">
        <f>IF(A292&lt;92,Forudsætninger!$C$20,Forudsætninger!$C$21)</f>
        <v>1.0566762728146013</v>
      </c>
      <c r="AM292" s="20">
        <f t="shared" si="124"/>
        <v>574.94160196952498</v>
      </c>
      <c r="AN292" s="19">
        <f>IFERROR(AD292+AJ292-AA292-Z292-AK292-AM292-Forudsætninger!$D$75,-99999)</f>
        <v>2080.0344756973423</v>
      </c>
      <c r="AO292" s="57">
        <f>IFERROR(AN292/(A292+Forudsætninger!$D$74),-99999)</f>
        <v>7.1725326748184219</v>
      </c>
      <c r="AP292" s="19">
        <f>IFERROR(((365/(A292+Forudsætninger!$D$74))*AN292)/(AI292+Forudsætninger!$D$73),-99999)</f>
        <v>765.25812279964998</v>
      </c>
      <c r="AQ292" s="18">
        <f t="shared" si="128"/>
        <v>290</v>
      </c>
      <c r="AR292" s="18">
        <f t="shared" si="129"/>
        <v>7837.2057170567059</v>
      </c>
      <c r="AS292" s="50">
        <f t="shared" si="130"/>
        <v>10.7</v>
      </c>
      <c r="AT292" s="50">
        <f t="shared" si="131"/>
        <v>3.7805004354217999</v>
      </c>
      <c r="AU292" s="50">
        <f t="shared" si="132"/>
        <v>-1.1737135776458629E-2</v>
      </c>
      <c r="AV292" s="2">
        <f t="shared" si="133"/>
        <v>-2.097460965479172</v>
      </c>
      <c r="AW292" s="16">
        <f t="shared" si="125"/>
        <v>9.1550899229891982</v>
      </c>
      <c r="AZ292" s="16"/>
      <c r="BA292" s="2"/>
    </row>
    <row r="293" spans="1:53" x14ac:dyDescent="0.25">
      <c r="A293">
        <v>291</v>
      </c>
      <c r="B293" s="1">
        <f>ROUND((A293+Forudsætninger!$D$60)/30.4,1)</f>
        <v>10.7</v>
      </c>
      <c r="C293" s="1">
        <f>VLOOKUP((A293+Forudsætninger!$D$60),'Model tilvækst, slagteform, fe'!A:C,3,FALSE)</f>
        <v>538.14723038982027</v>
      </c>
      <c r="D293" s="3">
        <f t="shared" si="134"/>
        <v>1302.2376453767492</v>
      </c>
      <c r="E293" s="3">
        <f>(1+Forudsætninger!$D$78)*C293</f>
        <v>452.04367352744902</v>
      </c>
      <c r="F293" s="2">
        <f t="shared" si="116"/>
        <v>0</v>
      </c>
      <c r="G293" s="1">
        <f t="shared" si="109"/>
        <v>452.04367352744902</v>
      </c>
      <c r="H293" s="3">
        <f t="shared" si="117"/>
        <v>1093.8796221165035</v>
      </c>
      <c r="I293" s="3">
        <f t="shared" si="118"/>
        <v>1305.9920052489656</v>
      </c>
      <c r="J293" s="1">
        <f>VLOOKUP((A293+Forudsætninger!$D$60),'Model tilvækst, slagteform, fe'!G:K,3,FALSE)*(1+Forudsætninger!$D$79)</f>
        <v>55.230916416436031</v>
      </c>
      <c r="K293" s="17">
        <f t="shared" si="110"/>
        <v>249.66786349173231</v>
      </c>
      <c r="L293" s="17">
        <f t="shared" si="119"/>
        <v>640.59157790416066</v>
      </c>
      <c r="M293" s="3">
        <f>((K293-(('Model tilvækst, slagteform, fe'!$I$9/100)*'Model tilvækst, slagteform, fe'!$C$9))*1000/(A293+Forudsætninger!$D$60))</f>
        <v>701.38246318573226</v>
      </c>
      <c r="N293" s="17">
        <f t="shared" si="120"/>
        <v>1702.1706304265124</v>
      </c>
      <c r="O293" s="19">
        <f>IF( A293&lt;Forudsætninger!$C$14,(G293/100)*Forudsætninger!$C$13,(Forudsætninger!$C$15/1000)*Forudsætninger!$C$13)</f>
        <v>2.9382838779284186</v>
      </c>
      <c r="P293" s="17" cm="1">
        <f t="array" ref="P293">INDEX('Model tilvækst, slagteform, fe'!$O$9:$O$375,MATCH(MIN(ABS('Model tilvækst, slagteform, fe'!$M$9:$M$375-G293)),ABS('Model tilvækst, slagteform, fe'!$M$9:$M$375-G293),0))*(1+Forudsætninger!$D$80)</f>
        <v>8.2272058604458422</v>
      </c>
      <c r="Q293" s="17">
        <f t="shared" si="121"/>
        <v>12.843137724918263</v>
      </c>
      <c r="R293" s="17">
        <f t="shared" si="122"/>
        <v>7.927832402394845</v>
      </c>
      <c r="S293" s="2">
        <f t="shared" si="111"/>
        <v>4.4788816364905797</v>
      </c>
      <c r="T293" s="19">
        <f>(P293)*IF(N293&lt;Forudsætninger!$B$228,IF(N293&lt;Forudsætninger!$B$227,Forudsætninger!$B$225,Forudsætninger!$C$9),Forudsætninger!$C$11)+O293</f>
        <v>22.189945591371689</v>
      </c>
      <c r="U293" s="2">
        <f>Forudsætninger!$D$68+((K293-(Forudsætninger!$D$84)))*0.01</f>
        <v>7.6362893162769758</v>
      </c>
      <c r="V293" s="2">
        <f>U293+Forudsætninger!$D$69</f>
        <v>7.6362893162769758</v>
      </c>
      <c r="W293">
        <f t="shared" si="112"/>
        <v>1</v>
      </c>
      <c r="X293">
        <f>IF(A293+Forudsætninger!$D$60&gt;248,IF(A293+Forudsætninger!$D$60&lt;365,IF(K293&gt;180,IF(K293&lt;260,1,0),0),0),0)</f>
        <v>1</v>
      </c>
      <c r="Y293" s="22">
        <f>IF(X293=0,0,IF('Vækstfunktion, kry tyr'!A293&lt;Forudsætninger!$D$66,Forudsætninger!$D$67+(('Vækstfunktion, kry tyr'!A293-Forudsætninger!$D$66)/7)*Forudsætninger!$D$64,Forudsætninger!$D$67))</f>
        <v>0.98</v>
      </c>
      <c r="Z293" s="19">
        <f t="shared" si="126"/>
        <v>4979.4540606785531</v>
      </c>
      <c r="AA293" s="19">
        <f>Forudsætninger!$D$62+Forudsætninger!$C$16</f>
        <v>2055</v>
      </c>
      <c r="AB293" s="19">
        <f>IF(K293&gt;Forudsætninger!$C$37,IF(K293&gt;Forudsætninger!$C$38,IF(K293&gt;Forudsætninger!$C$39,Forudsætninger!$E$39,Forudsætninger!$E$38+Forudsætninger!$F$39*(K293-Forudsætninger!$C$38)),Forudsætninger!$E$37+Forudsætninger!$F$38*(K293-Forudsætninger!$C$37)),Forudsætninger!$E$37)+IF(K293&gt;Forudsætninger!$C$39,Forudsætninger!$G$39,IF(K293&gt;Forudsætninger!$C$38,Forudsætninger!$G$38+Forudsætninger!$H$39*(K293-Forudsætninger!$C$38),IF(K293&gt;Forudsætninger!$C$37,Forudsætninger!$G$37+Forudsætninger!$H$38*(K293-Forudsætninger!$C$37),Forudsætninger!$G$37)))*(U293-Forudsætninger!$H$37)</f>
        <v>37.207401372097678</v>
      </c>
      <c r="AC293" s="19">
        <f>IF(K293&gt;Forudsætninger!$C$42,IF(K293&gt;Forudsætninger!$C$43,IF(K293&gt;Forudsætninger!$C$44,Forudsætninger!$E$44,Forudsætninger!$E$43+Forudsætninger!$F$44*(K293-Forudsætninger!$C$43)),Forudsætninger!$E$42+Forudsætninger!$F$43*(K293-Forudsætninger!$C$42)),Forudsætninger!$E$42)+IF(K293&gt;Forudsætninger!$C$44,Forudsætninger!$G$44,IF(K293&gt;Forudsætninger!$C$43,Forudsætninger!$G$43+Forudsætninger!$H$44*(K293-Forudsætninger!$C$43),IF(K293&gt;Forudsætninger!$C$42,Forudsætninger!$G$42+Forudsætninger!$H$43*(K293-Forudsætninger!$C$42),Forudsætninger!$G$42)))*(V293-Forudsætninger!$H$42)</f>
        <v>31.71423411719497</v>
      </c>
      <c r="AD293" s="19">
        <f t="shared" si="113"/>
        <v>9262.0630600042914</v>
      </c>
      <c r="AE293" s="19">
        <f t="shared" si="114"/>
        <v>37.097538026999629</v>
      </c>
      <c r="AF293">
        <f>IF(G293&lt;=Forudsætninger!$C$97,Forudsætninger!$C$98,(IF(G293&lt;=Forudsætninger!$D$97,Forudsætninger!$D$98,IF(G293&lt;=Forudsætninger!$E$97,Forudsætninger!$E$98,IF(G293&lt;=Forudsætninger!$F$97,Forudsætninger!$F$98,IF(G293&lt;=Forudsætninger!$G$97,Forudsætninger!$G$98,IF(G293&lt;=Forudsætninger!$H$97,Forudsætninger!$H$98,IF(G293&lt;=Forudsætninger!$I$97,Forudsætninger!$I$98,Forudsætninger!$I$98))))))))</f>
        <v>4.4000000000000004</v>
      </c>
      <c r="AG293" s="1">
        <f t="shared" si="123"/>
        <v>4.4000000000000004</v>
      </c>
      <c r="AH293" s="1">
        <f t="shared" si="127"/>
        <v>964.59999999999616</v>
      </c>
      <c r="AI293" s="1">
        <f t="shared" si="115"/>
        <v>3.3147766323023924</v>
      </c>
      <c r="AJ293" s="20">
        <f>+(W293*Forudsætninger!$C$12)</f>
        <v>900</v>
      </c>
      <c r="AK293" s="20">
        <f>Forudsætninger!$C$17</f>
        <v>250</v>
      </c>
      <c r="AL293" s="20">
        <f>IF(A293&lt;92,Forudsætninger!$C$20,Forudsætninger!$C$21)</f>
        <v>1.0566762728146013</v>
      </c>
      <c r="AM293" s="20">
        <f t="shared" si="124"/>
        <v>575.99827824233955</v>
      </c>
      <c r="AN293" s="19">
        <f>IFERROR(AD293+AJ293-AA293-Z293-AK293-AM293-Forudsætninger!$D$75,-99999)</f>
        <v>2083.7187473824388</v>
      </c>
      <c r="AO293" s="57">
        <f>IFERROR(AN293/(A293+Forudsætninger!$D$74),-99999)</f>
        <v>7.1605455236509927</v>
      </c>
      <c r="AP293" s="19">
        <f>IFERROR(((365/(A293+Forudsætninger!$D$74))*AN293)/(AI293+Forudsætninger!$D$73),-99999)</f>
        <v>763.14440231845265</v>
      </c>
      <c r="AQ293" s="18">
        <f t="shared" si="128"/>
        <v>291</v>
      </c>
      <c r="AR293" s="18">
        <f t="shared" si="129"/>
        <v>7860.4523389208925</v>
      </c>
      <c r="AS293" s="50">
        <f t="shared" si="130"/>
        <v>10.7</v>
      </c>
      <c r="AT293" s="50">
        <f t="shared" si="131"/>
        <v>3.6842716850965189</v>
      </c>
      <c r="AU293" s="50">
        <f t="shared" si="132"/>
        <v>-1.1987151167429211E-2</v>
      </c>
      <c r="AV293" s="2">
        <f t="shared" si="133"/>
        <v>-2.1137204811973334</v>
      </c>
      <c r="AW293" s="16">
        <f t="shared" si="125"/>
        <v>9.1399210502569694</v>
      </c>
      <c r="AZ293" s="16"/>
      <c r="BA293" s="2"/>
    </row>
    <row r="294" spans="1:53" x14ac:dyDescent="0.25">
      <c r="A294">
        <v>292</v>
      </c>
      <c r="B294" s="1">
        <f>ROUND((A294+Forudsætninger!$D$60)/30.4,1)</f>
        <v>10.7</v>
      </c>
      <c r="C294" s="1">
        <f>VLOOKUP((A294+Forudsætninger!$D$60),'Model tilvækst, slagteform, fe'!A:C,3,FALSE)</f>
        <v>539.44518916595678</v>
      </c>
      <c r="D294" s="3">
        <f t="shared" si="134"/>
        <v>1297.958776136511</v>
      </c>
      <c r="E294" s="3">
        <f>(1+Forudsætninger!$D$78)*C294</f>
        <v>453.13395889940369</v>
      </c>
      <c r="F294" s="2">
        <f t="shared" si="116"/>
        <v>0</v>
      </c>
      <c r="G294" s="1">
        <f t="shared" si="109"/>
        <v>453.13395889940369</v>
      </c>
      <c r="H294" s="3">
        <f t="shared" si="117"/>
        <v>1090.2853719546783</v>
      </c>
      <c r="I294" s="3">
        <f t="shared" si="118"/>
        <v>1305.2532839020673</v>
      </c>
      <c r="J294" s="1">
        <f>VLOOKUP((A294+Forudsætninger!$D$60),'Model tilvækst, slagteform, fe'!G:K,3,FALSE)*(1+Forudsætninger!$D$79)</f>
        <v>55.239043260146204</v>
      </c>
      <c r="K294" s="17">
        <f t="shared" si="110"/>
        <v>250.30686358285473</v>
      </c>
      <c r="L294" s="17">
        <f t="shared" si="119"/>
        <v>639.00009112242628</v>
      </c>
      <c r="M294" s="3">
        <f>((K294-(('Model tilvækst, slagteform, fe'!$I$9/100)*'Model tilvækst, slagteform, fe'!$C$9))*1000/(A294+Forudsætninger!$D$60))</f>
        <v>701.19110621621303</v>
      </c>
      <c r="N294" s="17">
        <f t="shared" si="120"/>
        <v>1710.414214271947</v>
      </c>
      <c r="O294" s="19">
        <f>IF( A294&lt;Forudsætninger!$C$14,(G294/100)*Forudsætninger!$C$13,(Forudsætninger!$C$15/1000)*Forudsætninger!$C$13)</f>
        <v>2.9453707328461238</v>
      </c>
      <c r="P294" s="17" cm="1">
        <f t="array" ref="P294">INDEX('Model tilvækst, slagteform, fe'!$O$9:$O$375,MATCH(MIN(ABS('Model tilvækst, slagteform, fe'!$M$9:$M$375-G294)),ABS('Model tilvækst, slagteform, fe'!$M$9:$M$375-G294),0))*(1+Forudsætninger!$D$80)</f>
        <v>8.2435838454345323</v>
      </c>
      <c r="Q294" s="17">
        <f t="shared" si="121"/>
        <v>12.900755351934905</v>
      </c>
      <c r="R294" s="17">
        <f t="shared" si="122"/>
        <v>7.9425885645668748</v>
      </c>
      <c r="S294" s="2">
        <f t="shared" si="111"/>
        <v>4.4876982864793558</v>
      </c>
      <c r="T294" s="19">
        <f>(P294)*IF(N294&lt;Forudsætninger!$B$228,IF(N294&lt;Forudsætninger!$B$227,Forudsætninger!$B$225,Forudsætninger!$C$9),Forudsætninger!$C$11)+O294</f>
        <v>22.235356931162926</v>
      </c>
      <c r="U294" s="2">
        <f>Forudsætninger!$D$68+((K294-(Forudsætninger!$D$84)))*0.01</f>
        <v>7.6426793171881995</v>
      </c>
      <c r="V294" s="2">
        <f>U294+Forudsætninger!$D$69</f>
        <v>7.6426793171881995</v>
      </c>
      <c r="W294">
        <f t="shared" si="112"/>
        <v>1</v>
      </c>
      <c r="X294">
        <f>IF(A294+Forudsætninger!$D$60&gt;248,IF(A294+Forudsætninger!$D$60&lt;365,IF(K294&gt;180,IF(K294&lt;260,1,0),0),0),0)</f>
        <v>1</v>
      </c>
      <c r="Y294" s="22">
        <f>IF(X294=0,0,IF('Vækstfunktion, kry tyr'!A294&lt;Forudsætninger!$D$66,Forudsætninger!$D$67+(('Vækstfunktion, kry tyr'!A294-Forudsætninger!$D$66)/7)*Forudsætninger!$D$64,Forudsætninger!$D$67))</f>
        <v>0.98</v>
      </c>
      <c r="Z294" s="19">
        <f t="shared" si="126"/>
        <v>5001.6894176097157</v>
      </c>
      <c r="AA294" s="19">
        <f>Forudsætninger!$D$62+Forudsætninger!$C$16</f>
        <v>2055</v>
      </c>
      <c r="AB294" s="19">
        <f>IF(K294&gt;Forudsætninger!$C$37,IF(K294&gt;Forudsætninger!$C$38,IF(K294&gt;Forudsætninger!$C$39,Forudsætninger!$E$39,Forudsætninger!$E$38+Forudsætninger!$F$39*(K294-Forudsætninger!$C$38)),Forudsætninger!$E$37+Forudsætninger!$F$38*(K294-Forudsætninger!$C$37)),Forudsætninger!$E$37)+IF(K294&gt;Forudsætninger!$C$39,Forudsætninger!$G$39,IF(K294&gt;Forudsætninger!$C$38,Forudsætninger!$G$38+Forudsætninger!$H$39*(K294-Forudsætninger!$C$38),IF(K294&gt;Forudsætninger!$C$37,Forudsætninger!$G$37+Forudsætninger!$H$38*(K294-Forudsætninger!$C$37),Forudsætninger!$G$37)))*(U294-Forudsætninger!$H$37)</f>
        <v>37.214267931718823</v>
      </c>
      <c r="AC294" s="19">
        <f>IF(K294&gt;Forudsætninger!$C$42,IF(K294&gt;Forudsætninger!$C$43,IF(K294&gt;Forudsætninger!$C$44,Forudsætninger!$E$44,Forudsætninger!$E$43+Forudsætninger!$F$44*(K294-Forudsætninger!$C$43)),Forudsætninger!$E$42+Forudsætninger!$F$43*(K294-Forudsætninger!$C$42)),Forudsætninger!$E$42)+IF(K294&gt;Forudsætninger!$C$44,Forudsætninger!$G$44,IF(K294&gt;Forudsætninger!$C$43,Forudsætninger!$G$43+Forudsætninger!$H$44*(K294-Forudsætninger!$C$43),IF(K294&gt;Forudsætninger!$C$42,Forudsætninger!$G$42+Forudsætninger!$H$43*(K294-Forudsætninger!$C$42),Forudsætninger!$G$42)))*(V294-Forudsætninger!$H$42)</f>
        <v>31.730023599172839</v>
      </c>
      <c r="AD294" s="19">
        <f t="shared" si="113"/>
        <v>9287.5318065605152</v>
      </c>
      <c r="AE294" s="19">
        <f t="shared" si="114"/>
        <v>37.104583045067898</v>
      </c>
      <c r="AF294">
        <f>IF(G294&lt;=Forudsætninger!$C$97,Forudsætninger!$C$98,(IF(G294&lt;=Forudsætninger!$D$97,Forudsætninger!$D$98,IF(G294&lt;=Forudsætninger!$E$97,Forudsætninger!$E$98,IF(G294&lt;=Forudsætninger!$F$97,Forudsætninger!$F$98,IF(G294&lt;=Forudsætninger!$G$97,Forudsætninger!$G$98,IF(G294&lt;=Forudsætninger!$H$97,Forudsætninger!$H$98,IF(G294&lt;=Forudsætninger!$I$97,Forudsætninger!$I$98,Forudsætninger!$I$98))))))))</f>
        <v>4.4000000000000004</v>
      </c>
      <c r="AG294" s="1">
        <f t="shared" si="123"/>
        <v>4.4000000000000004</v>
      </c>
      <c r="AH294" s="1">
        <f t="shared" si="127"/>
        <v>968.99999999999613</v>
      </c>
      <c r="AI294" s="1">
        <f t="shared" si="115"/>
        <v>3.3184931506849185</v>
      </c>
      <c r="AJ294" s="20">
        <f>+(W294*Forudsætninger!$C$12)</f>
        <v>900</v>
      </c>
      <c r="AK294" s="20">
        <f>Forudsætninger!$C$17</f>
        <v>250</v>
      </c>
      <c r="AL294" s="20">
        <f>IF(A294&lt;92,Forudsætninger!$C$20,Forudsætninger!$C$21)</f>
        <v>1.0566762728146013</v>
      </c>
      <c r="AM294" s="20">
        <f t="shared" si="124"/>
        <v>577.05495451515412</v>
      </c>
      <c r="AN294" s="19">
        <f>IFERROR(AD294+AJ294-AA294-Z294-AK294-AM294-Forudsætninger!$D$75,-99999)</f>
        <v>2085.895460734685</v>
      </c>
      <c r="AO294" s="57">
        <f>IFERROR(AN294/(A294+Forudsætninger!$D$74),-99999)</f>
        <v>7.1434776052557707</v>
      </c>
      <c r="AP294" s="19">
        <f>IFERROR(((365/(A294+Forudsætninger!$D$74))*AN294)/(AI294+Forudsætninger!$D$73),-99999)</f>
        <v>760.50008307511894</v>
      </c>
      <c r="AQ294" s="18">
        <f t="shared" si="128"/>
        <v>292</v>
      </c>
      <c r="AR294" s="18">
        <f t="shared" si="129"/>
        <v>7883.7443721248701</v>
      </c>
      <c r="AS294" s="50">
        <f t="shared" si="130"/>
        <v>10.7</v>
      </c>
      <c r="AT294" s="50">
        <f t="shared" si="131"/>
        <v>2.1767133522462245</v>
      </c>
      <c r="AU294" s="50">
        <f t="shared" si="132"/>
        <v>-1.7067918395222037E-2</v>
      </c>
      <c r="AV294" s="2">
        <f t="shared" si="133"/>
        <v>-2.6443192433337117</v>
      </c>
      <c r="AW294" s="16">
        <f t="shared" si="125"/>
        <v>9.1196932029104083</v>
      </c>
      <c r="AZ294" s="16"/>
      <c r="BA294" s="2"/>
    </row>
    <row r="295" spans="1:53" x14ac:dyDescent="0.25">
      <c r="A295">
        <v>293</v>
      </c>
      <c r="B295" s="1">
        <f>ROUND((A295+Forudsætninger!$D$60)/30.4,1)</f>
        <v>10.8</v>
      </c>
      <c r="C295" s="1">
        <f>VLOOKUP((A295+Forudsætninger!$D$60),'Model tilvækst, slagteform, fe'!A:C,3,FALSE)</f>
        <v>540.73889246788281</v>
      </c>
      <c r="D295" s="3">
        <f t="shared" si="134"/>
        <v>1293.7033019260298</v>
      </c>
      <c r="E295" s="3">
        <f>(1+Forudsætninger!$D$78)*C295</f>
        <v>454.22066967302152</v>
      </c>
      <c r="F295" s="2">
        <f t="shared" si="116"/>
        <v>0</v>
      </c>
      <c r="G295" s="1">
        <f t="shared" si="109"/>
        <v>454.22066967302152</v>
      </c>
      <c r="H295" s="3">
        <f t="shared" si="117"/>
        <v>1086.7107736178241</v>
      </c>
      <c r="I295" s="3">
        <f t="shared" si="118"/>
        <v>1304.5074050273772</v>
      </c>
      <c r="J295" s="1">
        <f>VLOOKUP((A295+Forudsætninger!$D$60),'Model tilvækst, slagteform, fe'!G:K,3,FALSE)*(1+Forudsætninger!$D$79)</f>
        <v>55.247216866261894</v>
      </c>
      <c r="K295" s="17">
        <f t="shared" si="110"/>
        <v>250.94427842564127</v>
      </c>
      <c r="L295" s="17">
        <f t="shared" si="119"/>
        <v>637.4148427865407</v>
      </c>
      <c r="M295" s="3">
        <f>((K295-(('Model tilvækst, slagteform, fe'!$I$9/100)*'Model tilvækst, slagteform, fe'!$C$9))*1000/(A295+Forudsætninger!$D$60))</f>
        <v>700.99607177147391</v>
      </c>
      <c r="N295" s="17">
        <f t="shared" si="120"/>
        <v>1718.6742160110346</v>
      </c>
      <c r="O295" s="19">
        <f>IF( A295&lt;Forudsætninger!$C$14,(G295/100)*Forudsætninger!$C$13,(Forudsætninger!$C$15/1000)*Forudsætninger!$C$13)</f>
        <v>2.95243435287464</v>
      </c>
      <c r="P295" s="17" cm="1">
        <f t="array" ref="P295">INDEX('Model tilvækst, slagteform, fe'!$O$9:$O$375,MATCH(MIN(ABS('Model tilvækst, slagteform, fe'!$M$9:$M$375-G295)),ABS('Model tilvækst, slagteform, fe'!$M$9:$M$375-G295),0))*(1+Forudsætninger!$D$80)</f>
        <v>8.2600017390875813</v>
      </c>
      <c r="Q295" s="17">
        <f t="shared" si="121"/>
        <v>12.958596481653808</v>
      </c>
      <c r="R295" s="17">
        <f t="shared" si="122"/>
        <v>7.9573918314049727</v>
      </c>
      <c r="S295" s="2">
        <f t="shared" si="111"/>
        <v>4.4965496436425312</v>
      </c>
      <c r="T295" s="19">
        <f>(P295)*IF(N295&lt;Forudsætninger!$B$228,IF(N295&lt;Forudsætninger!$B$227,Forudsætninger!$B$225,Forudsætninger!$C$9),Forudsætninger!$C$11)+O295</f>
        <v>22.280838422339578</v>
      </c>
      <c r="U295" s="2">
        <f>Forudsætninger!$D$68+((K295-(Forudsætninger!$D$84)))*0.01</f>
        <v>7.6490534656160651</v>
      </c>
      <c r="V295" s="2">
        <f>U295+Forudsætninger!$D$69</f>
        <v>7.6490534656160651</v>
      </c>
      <c r="W295">
        <f t="shared" si="112"/>
        <v>1</v>
      </c>
      <c r="X295">
        <f>IF(A295+Forudsætninger!$D$60&gt;248,IF(A295+Forudsætninger!$D$60&lt;365,IF(K295&gt;180,IF(K295&lt;260,1,0),0),0),0)</f>
        <v>1</v>
      </c>
      <c r="Y295" s="22">
        <f>IF(X295=0,0,IF('Vækstfunktion, kry tyr'!A295&lt;Forudsætninger!$D$66,Forudsætninger!$D$67+(('Vækstfunktion, kry tyr'!A295-Forudsætninger!$D$66)/7)*Forudsætninger!$D$64,Forudsætninger!$D$67))</f>
        <v>0.98</v>
      </c>
      <c r="Z295" s="19">
        <f t="shared" si="126"/>
        <v>5023.9702560320557</v>
      </c>
      <c r="AA295" s="19">
        <f>Forudsætninger!$D$62+Forudsætninger!$C$16</f>
        <v>2055</v>
      </c>
      <c r="AB295" s="19">
        <f>IF(K295&gt;Forudsætninger!$C$37,IF(K295&gt;Forudsætninger!$C$38,IF(K295&gt;Forudsætninger!$C$39,Forudsætninger!$E$39,Forudsætninger!$E$38+Forudsætninger!$F$39*(K295-Forudsætninger!$C$38)),Forudsætninger!$E$37+Forudsætninger!$F$38*(K295-Forudsætninger!$C$37)),Forudsætninger!$E$37)+IF(K295&gt;Forudsætninger!$C$39,Forudsætninger!$G$39,IF(K295&gt;Forudsætninger!$C$38,Forudsætninger!$G$38+Forudsætninger!$H$39*(K295-Forudsætninger!$C$38),IF(K295&gt;Forudsætninger!$C$37,Forudsætninger!$G$37+Forudsætninger!$H$38*(K295-Forudsætninger!$C$37),Forudsætninger!$G$37)))*(U295-Forudsætninger!$H$37)</f>
        <v>37.214905346561608</v>
      </c>
      <c r="AC295" s="19">
        <f>IF(K295&gt;Forudsætninger!$C$42,IF(K295&gt;Forudsætninger!$C$43,IF(K295&gt;Forudsætninger!$C$44,Forudsætninger!$E$44,Forudsætninger!$E$43+Forudsætninger!$F$44*(K295-Forudsætninger!$C$43)),Forudsætninger!$E$42+Forudsætninger!$F$43*(K295-Forudsætninger!$C$42)),Forudsætninger!$E$42)+IF(K295&gt;Forudsætninger!$C$44,Forudsætninger!$G$44,IF(K295&gt;Forudsætninger!$C$43,Forudsætninger!$G$43+Forudsætninger!$H$44*(K295-Forudsætninger!$C$43),IF(K295&gt;Forudsætninger!$C$42,Forudsætninger!$G$42+Forudsætninger!$H$43*(K295-Forudsætninger!$C$42),Forudsætninger!$G$42)))*(V295-Forudsætninger!$H$42)</f>
        <v>31.745756960064632</v>
      </c>
      <c r="AD295" s="19">
        <f t="shared" si="113"/>
        <v>9311.4185389623963</v>
      </c>
      <c r="AE295" s="19">
        <f t="shared" si="114"/>
        <v>37.105522378831665</v>
      </c>
      <c r="AF295">
        <f>IF(G295&lt;=Forudsætninger!$C$97,Forudsætninger!$C$98,(IF(G295&lt;=Forudsætninger!$D$97,Forudsætninger!$D$98,IF(G295&lt;=Forudsætninger!$E$97,Forudsætninger!$E$98,IF(G295&lt;=Forudsætninger!$F$97,Forudsætninger!$F$98,IF(G295&lt;=Forudsætninger!$G$97,Forudsætninger!$G$98,IF(G295&lt;=Forudsætninger!$H$97,Forudsætninger!$H$98,IF(G295&lt;=Forudsætninger!$I$97,Forudsætninger!$I$98,Forudsætninger!$I$98))))))))</f>
        <v>4.4000000000000004</v>
      </c>
      <c r="AG295" s="1">
        <f t="shared" si="123"/>
        <v>4.4000000000000004</v>
      </c>
      <c r="AH295" s="1">
        <f t="shared" si="127"/>
        <v>973.39999999999611</v>
      </c>
      <c r="AI295" s="1">
        <f t="shared" si="115"/>
        <v>3.3221843003412839</v>
      </c>
      <c r="AJ295" s="20">
        <f>+(W295*Forudsætninger!$C$12)</f>
        <v>900</v>
      </c>
      <c r="AK295" s="20">
        <f>Forudsætninger!$C$17</f>
        <v>250</v>
      </c>
      <c r="AL295" s="20">
        <f>IF(A295&lt;92,Forudsætninger!$C$20,Forudsætninger!$C$21)</f>
        <v>1.0566762728146013</v>
      </c>
      <c r="AM295" s="20">
        <f t="shared" si="124"/>
        <v>578.11163078796869</v>
      </c>
      <c r="AN295" s="19">
        <f>IFERROR(AD295+AJ295-AA295-Z295-AK295-AM295-Forudsætninger!$D$75,-99999)</f>
        <v>2086.4446784414117</v>
      </c>
      <c r="AO295" s="57">
        <f>IFERROR(AN295/(A295+Forudsætninger!$D$74),-99999)</f>
        <v>7.1209715987761495</v>
      </c>
      <c r="AP295" s="19">
        <f>IFERROR(((365/(A295+Forudsætninger!$D$74))*AN295)/(AI295+Forudsætninger!$D$73),-99999)</f>
        <v>757.28877184562748</v>
      </c>
      <c r="AQ295" s="18">
        <f t="shared" si="128"/>
        <v>293</v>
      </c>
      <c r="AR295" s="18">
        <f t="shared" si="129"/>
        <v>7907.081886820024</v>
      </c>
      <c r="AS295" s="50">
        <f t="shared" si="130"/>
        <v>10.8</v>
      </c>
      <c r="AT295" s="50">
        <f t="shared" si="131"/>
        <v>0.5492177067267221</v>
      </c>
      <c r="AU295" s="50">
        <f t="shared" si="132"/>
        <v>-2.2506006479621199E-2</v>
      </c>
      <c r="AV295" s="2">
        <f t="shared" si="133"/>
        <v>-3.2113112294914572</v>
      </c>
      <c r="AW295" s="16">
        <f t="shared" si="125"/>
        <v>9.0940488369603436</v>
      </c>
      <c r="AZ295" s="16"/>
      <c r="BA295" s="2"/>
    </row>
    <row r="296" spans="1:53" x14ac:dyDescent="0.25">
      <c r="A296">
        <v>294</v>
      </c>
      <c r="B296" s="1">
        <f>ROUND((A296+Forudsætninger!$D$60)/30.4,1)</f>
        <v>10.8</v>
      </c>
      <c r="C296" s="1">
        <f>VLOOKUP((A296+Forudsætninger!$D$60),'Model tilvækst, slagteform, fe'!A:C,3,FALSE)</f>
        <v>542.02836431156402</v>
      </c>
      <c r="D296" s="3">
        <f t="shared" si="134"/>
        <v>1289.4718436812127</v>
      </c>
      <c r="E296" s="3">
        <f>(1+Forudsætninger!$D$78)*C296</f>
        <v>455.30382602171375</v>
      </c>
      <c r="F296" s="2">
        <f t="shared" si="116"/>
        <v>0</v>
      </c>
      <c r="G296" s="1">
        <f t="shared" si="109"/>
        <v>455.30382602171375</v>
      </c>
      <c r="H296" s="3">
        <f t="shared" si="117"/>
        <v>1083.1563486922278</v>
      </c>
      <c r="I296" s="3">
        <f t="shared" si="118"/>
        <v>1303.7545102779379</v>
      </c>
      <c r="J296" s="1">
        <f>VLOOKUP((A296+Forudsætninger!$D$60),'Model tilvækst, slagteform, fe'!G:K,3,FALSE)*(1+Forudsætninger!$D$79)</f>
        <v>55.255436065722954</v>
      </c>
      <c r="K296" s="17">
        <f t="shared" si="110"/>
        <v>251.58011449221848</v>
      </c>
      <c r="L296" s="17">
        <f t="shared" si="119"/>
        <v>635.83606657721248</v>
      </c>
      <c r="M296" s="3">
        <f>((K296-(('Model tilvækst, slagteform, fe'!$I$9/100)*'Model tilvækst, slagteform, fe'!$C$9))*1000/(A296+Forudsætninger!$D$60))</f>
        <v>700.79741321905237</v>
      </c>
      <c r="N296" s="17">
        <f t="shared" si="120"/>
        <v>1726.950673204871</v>
      </c>
      <c r="O296" s="19">
        <f>IF( A296&lt;Forudsætninger!$C$14,(G296/100)*Forudsætninger!$C$13,(Forudsætninger!$C$15/1000)*Forudsætninger!$C$13)</f>
        <v>2.9594748691411397</v>
      </c>
      <c r="P296" s="17" cm="1">
        <f t="array" ref="P296">INDEX('Model tilvækst, slagteform, fe'!$O$9:$O$375,MATCH(MIN(ABS('Model tilvækst, slagteform, fe'!$M$9:$M$375-G296)),ABS('Model tilvækst, slagteform, fe'!$M$9:$M$375-G296),0))*(1+Forudsætninger!$D$80)</f>
        <v>8.2764571938364977</v>
      </c>
      <c r="Q296" s="17">
        <f t="shared" si="121"/>
        <v>13.016652607313917</v>
      </c>
      <c r="R296" s="17">
        <f t="shared" si="122"/>
        <v>7.9722420472851319</v>
      </c>
      <c r="S296" s="2">
        <f t="shared" si="111"/>
        <v>4.50543552129073</v>
      </c>
      <c r="T296" s="19">
        <f>(P296)*IF(N296&lt;Forudsætninger!$B$228,IF(N296&lt;Forudsætninger!$B$227,Forudsætninger!$B$225,Forudsætninger!$C$9),Forudsætninger!$C$11)+O296</f>
        <v>22.326384702718542</v>
      </c>
      <c r="U296" s="2">
        <f>Forudsætninger!$D$68+((K296-(Forudsætninger!$D$84)))*0.01</f>
        <v>7.6554118262818376</v>
      </c>
      <c r="V296" s="2">
        <f>U296+Forudsætninger!$D$69</f>
        <v>7.6554118262818376</v>
      </c>
      <c r="W296">
        <f t="shared" si="112"/>
        <v>1</v>
      </c>
      <c r="X296">
        <f>IF(A296+Forudsætninger!$D$60&gt;248,IF(A296+Forudsætninger!$D$60&lt;365,IF(K296&gt;180,IF(K296&lt;260,1,0),0),0),0)</f>
        <v>1</v>
      </c>
      <c r="Y296" s="22">
        <f>IF(X296=0,0,IF('Vækstfunktion, kry tyr'!A296&lt;Forudsætninger!$D$66,Forudsætninger!$D$67+(('Vækstfunktion, kry tyr'!A296-Forudsætninger!$D$66)/7)*Forudsætninger!$D$64,Forudsætninger!$D$67))</f>
        <v>0.98</v>
      </c>
      <c r="Z296" s="19">
        <f t="shared" si="126"/>
        <v>5046.296640734774</v>
      </c>
      <c r="AA296" s="19">
        <f>Forudsætninger!$D$62+Forudsætninger!$C$16</f>
        <v>2055</v>
      </c>
      <c r="AB296" s="19">
        <f>IF(K296&gt;Forudsætninger!$C$37,IF(K296&gt;Forudsætninger!$C$38,IF(K296&gt;Forudsætninger!$C$39,Forudsætninger!$E$39,Forudsætninger!$E$38+Forudsætninger!$F$39*(K296-Forudsætninger!$C$38)),Forudsætninger!$E$37+Forudsætninger!$F$38*(K296-Forudsætninger!$C$37)),Forudsætninger!$E$37)+IF(K296&gt;Forudsætninger!$C$39,Forudsætninger!$G$39,IF(K296&gt;Forudsætninger!$C$38,Forudsætninger!$G$38+Forudsætninger!$H$39*(K296-Forudsætninger!$C$38),IF(K296&gt;Forudsætninger!$C$37,Forudsætninger!$G$37+Forudsætninger!$H$38*(K296-Forudsætninger!$C$37),Forudsætninger!$G$37)))*(U296-Forudsætninger!$H$37)</f>
        <v>37.215541182628186</v>
      </c>
      <c r="AC296" s="19">
        <f>IF(K296&gt;Forudsætninger!$C$42,IF(K296&gt;Forudsætninger!$C$43,IF(K296&gt;Forudsætninger!$C$44,Forudsætninger!$E$44,Forudsætninger!$E$43+Forudsætninger!$F$44*(K296-Forudsætninger!$C$43)),Forudsætninger!$E$42+Forudsætninger!$F$43*(K296-Forudsætninger!$C$42)),Forudsætninger!$E$42)+IF(K296&gt;Forudsætninger!$C$44,Forudsætninger!$G$44,IF(K296&gt;Forudsætninger!$C$43,Forudsætninger!$G$43+Forudsætninger!$H$44*(K296-Forudsætninger!$C$43),IF(K296&gt;Forudsætninger!$C$42,Forudsætninger!$G$42+Forudsætninger!$H$43*(K296-Forudsætninger!$C$42),Forudsætninger!$G$42)))*(V296-Forudsætninger!$H$42)</f>
        <v>31.761434485672559</v>
      </c>
      <c r="AD296" s="19">
        <f t="shared" si="113"/>
        <v>9335.2472158700148</v>
      </c>
      <c r="AE296" s="19">
        <f t="shared" si="114"/>
        <v>37.106459048689075</v>
      </c>
      <c r="AF296">
        <f>IF(G296&lt;=Forudsætninger!$C$97,Forudsætninger!$C$98,(IF(G296&lt;=Forudsætninger!$D$97,Forudsætninger!$D$98,IF(G296&lt;=Forudsætninger!$E$97,Forudsætninger!$E$98,IF(G296&lt;=Forudsætninger!$F$97,Forudsætninger!$F$98,IF(G296&lt;=Forudsætninger!$G$97,Forudsætninger!$G$98,IF(G296&lt;=Forudsætninger!$H$97,Forudsætninger!$H$98,IF(G296&lt;=Forudsætninger!$I$97,Forudsætninger!$I$98,Forudsætninger!$I$98))))))))</f>
        <v>4.4000000000000004</v>
      </c>
      <c r="AG296" s="1">
        <f t="shared" si="123"/>
        <v>4.4000000000000004</v>
      </c>
      <c r="AH296" s="1">
        <f t="shared" si="127"/>
        <v>977.79999999999609</v>
      </c>
      <c r="AI296" s="1">
        <f t="shared" si="115"/>
        <v>3.3258503401360411</v>
      </c>
      <c r="AJ296" s="20">
        <f>+(W296*Forudsætninger!$C$12)</f>
        <v>900</v>
      </c>
      <c r="AK296" s="20">
        <f>Forudsætninger!$C$17</f>
        <v>250</v>
      </c>
      <c r="AL296" s="20">
        <f>IF(A296&lt;92,Forudsætninger!$C$20,Forudsætninger!$C$21)</f>
        <v>1.0566762728146013</v>
      </c>
      <c r="AM296" s="20">
        <f t="shared" si="124"/>
        <v>579.16830706078326</v>
      </c>
      <c r="AN296" s="19">
        <f>IFERROR(AD296+AJ296-AA296-Z296-AK296-AM296-Forudsætninger!$D$75,-99999)</f>
        <v>2086.8902943734975</v>
      </c>
      <c r="AO296" s="57">
        <f>IFERROR(AN296/(A296+Forudsætninger!$D$74),-99999)</f>
        <v>7.0982663073928487</v>
      </c>
      <c r="AP296" s="19">
        <f>IFERROR(((365/(A296+Forudsætninger!$D$74))*AN296)/(AI296+Forudsætninger!$D$73),-99999)</f>
        <v>754.06870082001456</v>
      </c>
      <c r="AQ296" s="18">
        <f t="shared" si="128"/>
        <v>294</v>
      </c>
      <c r="AR296" s="18">
        <f t="shared" si="129"/>
        <v>7930.4649477955572</v>
      </c>
      <c r="AS296" s="50">
        <f t="shared" si="130"/>
        <v>10.8</v>
      </c>
      <c r="AT296" s="50">
        <f t="shared" si="131"/>
        <v>0.44561593208572958</v>
      </c>
      <c r="AU296" s="50">
        <f t="shared" si="132"/>
        <v>-2.2705291383300796E-2</v>
      </c>
      <c r="AV296" s="2">
        <f t="shared" si="133"/>
        <v>-3.2200710256129241</v>
      </c>
      <c r="AW296" s="16">
        <f t="shared" si="125"/>
        <v>9.0682265354907514</v>
      </c>
      <c r="AZ296" s="16"/>
      <c r="BA296" s="2"/>
    </row>
    <row r="297" spans="1:53" x14ac:dyDescent="0.25">
      <c r="A297">
        <v>295</v>
      </c>
      <c r="B297" s="1">
        <f>ROUND((A297+Forudsætninger!$D$60)/30.4,1)</f>
        <v>10.8</v>
      </c>
      <c r="C297" s="1">
        <f>VLOOKUP((A297+Forudsætninger!$D$60),'Model tilvækst, slagteform, fe'!A:C,3,FALSE)</f>
        <v>543.31362933390369</v>
      </c>
      <c r="D297" s="3">
        <f t="shared" si="134"/>
        <v>1285.2650223396722</v>
      </c>
      <c r="E297" s="3">
        <f>(1+Forudsætninger!$D$78)*C297</f>
        <v>456.38344864047906</v>
      </c>
      <c r="F297" s="2">
        <f t="shared" si="116"/>
        <v>0</v>
      </c>
      <c r="G297" s="1">
        <f t="shared" si="109"/>
        <v>456.38344864047906</v>
      </c>
      <c r="H297" s="3">
        <f t="shared" si="117"/>
        <v>1079.6226187653133</v>
      </c>
      <c r="I297" s="3">
        <f t="shared" si="118"/>
        <v>1302.9947411541664</v>
      </c>
      <c r="J297" s="1">
        <f>VLOOKUP((A297+Forudsætninger!$D$60),'Model tilvækst, slagteform, fe'!G:K,3,FALSE)*(1+Forudsætninger!$D$79)</f>
        <v>55.263699689469234</v>
      </c>
      <c r="K297" s="17">
        <f t="shared" si="110"/>
        <v>252.21437848911742</v>
      </c>
      <c r="L297" s="17">
        <f t="shared" si="119"/>
        <v>634.26399689893742</v>
      </c>
      <c r="M297" s="3">
        <f>((K297-(('Model tilvækst, slagteform, fe'!$I$9/100)*'Model tilvækst, slagteform, fe'!$C$9))*1000/(A297+Forudsætninger!$D$60))</f>
        <v>700.59518399011586</v>
      </c>
      <c r="N297" s="17">
        <f t="shared" si="120"/>
        <v>1735.2436210669839</v>
      </c>
      <c r="O297" s="19">
        <f>IF( A297&lt;Forudsætninger!$C$14,(G297/100)*Forudsætninger!$C$13,(Forudsætninger!$C$15/1000)*Forudsætninger!$C$13)</f>
        <v>2.9664924161631139</v>
      </c>
      <c r="P297" s="17" cm="1">
        <f t="array" ref="P297">INDEX('Model tilvækst, slagteform, fe'!$O$9:$O$375,MATCH(MIN(ABS('Model tilvækst, slagteform, fe'!$M$9:$M$375-G297)),ABS('Model tilvækst, slagteform, fe'!$M$9:$M$375-G297),0))*(1+Forudsætninger!$D$80)</f>
        <v>8.2929478621127899</v>
      </c>
      <c r="Q297" s="17">
        <f t="shared" si="121"/>
        <v>13.074915023805419</v>
      </c>
      <c r="R297" s="17">
        <f t="shared" si="122"/>
        <v>7.9871390392645027</v>
      </c>
      <c r="S297" s="2">
        <f t="shared" si="111"/>
        <v>4.5143557226627342</v>
      </c>
      <c r="T297" s="19">
        <f>(P297)*IF(N297&lt;Forudsætninger!$B$228,IF(N297&lt;Forudsætninger!$B$227,Forudsætninger!$B$225,Forudsætninger!$C$9),Forudsætninger!$C$11)+O297</f>
        <v>22.371990413507042</v>
      </c>
      <c r="U297" s="2">
        <f>Forudsætninger!$D$68+((K297-(Forudsætninger!$D$84)))*0.01</f>
        <v>7.6617544662508266</v>
      </c>
      <c r="V297" s="2">
        <f>U297+Forudsætninger!$D$69</f>
        <v>7.6617544662508266</v>
      </c>
      <c r="W297">
        <f t="shared" si="112"/>
        <v>1</v>
      </c>
      <c r="X297">
        <f>IF(A297+Forudsætninger!$D$60&gt;248,IF(A297+Forudsætninger!$D$60&lt;365,IF(K297&gt;180,IF(K297&lt;260,1,0),0),0),0)</f>
        <v>1</v>
      </c>
      <c r="Y297" s="22">
        <f>IF(X297=0,0,IF('Vækstfunktion, kry tyr'!A297&lt;Forudsætninger!$D$66,Forudsætninger!$D$67+(('Vækstfunktion, kry tyr'!A297-Forudsætninger!$D$66)/7)*Forudsætninger!$D$64,Forudsætninger!$D$67))</f>
        <v>0.98</v>
      </c>
      <c r="Z297" s="19">
        <f t="shared" si="126"/>
        <v>5068.6686311482808</v>
      </c>
      <c r="AA297" s="19">
        <f>Forudsætninger!$D$62+Forudsætninger!$C$16</f>
        <v>2055</v>
      </c>
      <c r="AB297" s="19">
        <f>IF(K297&gt;Forudsætninger!$C$37,IF(K297&gt;Forudsætninger!$C$38,IF(K297&gt;Forudsætninger!$C$39,Forudsætninger!$E$39,Forudsætninger!$E$38+Forudsætninger!$F$39*(K297-Forudsætninger!$C$38)),Forudsætninger!$E$37+Forudsætninger!$F$38*(K297-Forudsætninger!$C$37)),Forudsætninger!$E$37)+IF(K297&gt;Forudsætninger!$C$39,Forudsætninger!$G$39,IF(K297&gt;Forudsætninger!$C$38,Forudsætninger!$G$38+Forudsætninger!$H$39*(K297-Forudsætninger!$C$38),IF(K297&gt;Forudsætninger!$C$37,Forudsætninger!$G$37+Forudsætninger!$H$38*(K297-Forudsætninger!$C$37),Forudsætninger!$G$37)))*(U297-Forudsætninger!$H$37)</f>
        <v>37.21617544662508</v>
      </c>
      <c r="AC297" s="19">
        <f>IF(K297&gt;Forudsætninger!$C$42,IF(K297&gt;Forudsætninger!$C$43,IF(K297&gt;Forudsætninger!$C$44,Forudsætninger!$E$44,Forudsætninger!$E$43+Forudsætninger!$F$44*(K297-Forudsætninger!$C$43)),Forudsætninger!$E$42+Forudsætninger!$F$43*(K297-Forudsætninger!$C$42)),Forudsætninger!$E$42)+IF(K297&gt;Forudsætninger!$C$44,Forudsætninger!$G$44,IF(K297&gt;Forudsætninger!$C$43,Forudsætninger!$G$43+Forudsætninger!$H$44*(K297-Forudsætninger!$C$43),IF(K297&gt;Forudsætninger!$C$42,Forudsætninger!$G$42+Forudsætninger!$H$43*(K297-Forudsætninger!$C$42),Forudsætninger!$G$42)))*(V297-Forudsætninger!$H$42)</f>
        <v>31.777056466570837</v>
      </c>
      <c r="AD297" s="19">
        <f t="shared" si="113"/>
        <v>9359.0180797508401</v>
      </c>
      <c r="AE297" s="19">
        <f t="shared" si="114"/>
        <v>37.107393067023992</v>
      </c>
      <c r="AF297">
        <f>IF(G297&lt;=Forudsætninger!$C$97,Forudsætninger!$C$98,(IF(G297&lt;=Forudsætninger!$D$97,Forudsætninger!$D$98,IF(G297&lt;=Forudsætninger!$E$97,Forudsætninger!$E$98,IF(G297&lt;=Forudsætninger!$F$97,Forudsætninger!$F$98,IF(G297&lt;=Forudsætninger!$G$97,Forudsætninger!$G$98,IF(G297&lt;=Forudsætninger!$H$97,Forudsætninger!$H$98,IF(G297&lt;=Forudsætninger!$I$97,Forudsætninger!$I$98,Forudsætninger!$I$98))))))))</f>
        <v>4.4000000000000004</v>
      </c>
      <c r="AG297" s="1">
        <f t="shared" si="123"/>
        <v>4.4000000000000004</v>
      </c>
      <c r="AH297" s="1">
        <f t="shared" si="127"/>
        <v>982.19999999999607</v>
      </c>
      <c r="AI297" s="1">
        <f t="shared" si="115"/>
        <v>3.3294915254237156</v>
      </c>
      <c r="AJ297" s="20">
        <f>+(W297*Forudsætninger!$C$12)</f>
        <v>900</v>
      </c>
      <c r="AK297" s="20">
        <f>Forudsætninger!$C$17</f>
        <v>250</v>
      </c>
      <c r="AL297" s="20">
        <f>IF(A297&lt;92,Forudsætninger!$C$20,Forudsætninger!$C$21)</f>
        <v>1.0566762728146013</v>
      </c>
      <c r="AM297" s="20">
        <f t="shared" si="124"/>
        <v>580.22498333359783</v>
      </c>
      <c r="AN297" s="19">
        <f>IFERROR(AD297+AJ297-AA297-Z297-AK297-AM297-Forudsætninger!$D$75,-99999)</f>
        <v>2087.2324915680015</v>
      </c>
      <c r="AO297" s="57">
        <f>IFERROR(AN297/(A297+Forudsætninger!$D$74),-99999)</f>
        <v>7.0753643781966149</v>
      </c>
      <c r="AP297" s="19">
        <f>IFERROR(((365/(A297+Forudsætninger!$D$74))*AN297)/(AI297+Forudsætninger!$D$73),-99999)</f>
        <v>750.84005265098654</v>
      </c>
      <c r="AQ297" s="18">
        <f t="shared" si="128"/>
        <v>295</v>
      </c>
      <c r="AR297" s="18">
        <f t="shared" si="129"/>
        <v>7953.893614481879</v>
      </c>
      <c r="AS297" s="50">
        <f t="shared" si="130"/>
        <v>10.8</v>
      </c>
      <c r="AT297" s="50">
        <f t="shared" si="131"/>
        <v>0.34219719450402408</v>
      </c>
      <c r="AU297" s="50">
        <f t="shared" si="132"/>
        <v>-2.2901929196233795E-2</v>
      </c>
      <c r="AV297" s="2">
        <f t="shared" si="133"/>
        <v>-3.2286481690280198</v>
      </c>
      <c r="AW297" s="16">
        <f t="shared" si="125"/>
        <v>9.0422287284799978</v>
      </c>
      <c r="AZ297" s="16"/>
      <c r="BA297" s="2"/>
    </row>
    <row r="298" spans="1:53" x14ac:dyDescent="0.25">
      <c r="A298">
        <v>296</v>
      </c>
      <c r="B298" s="1">
        <f>ROUND((A298+Forudsætninger!$D$60)/30.4,1)</f>
        <v>10.9</v>
      </c>
      <c r="C298" s="1">
        <f>VLOOKUP((A298+Forudsætninger!$D$60),'Model tilvækst, slagteform, fe'!A:C,3,FALSE)</f>
        <v>544.59471279274021</v>
      </c>
      <c r="D298" s="3">
        <f t="shared" si="134"/>
        <v>1281.0834588365196</v>
      </c>
      <c r="E298" s="3">
        <f>(1+Forudsætninger!$D$78)*C298</f>
        <v>457.45955874590175</v>
      </c>
      <c r="F298" s="2">
        <f t="shared" si="116"/>
        <v>0</v>
      </c>
      <c r="G298" s="1">
        <f t="shared" si="109"/>
        <v>457.45955874590175</v>
      </c>
      <c r="H298" s="3">
        <f t="shared" si="117"/>
        <v>1076.1101054226856</v>
      </c>
      <c r="I298" s="3">
        <f t="shared" si="118"/>
        <v>1302.2282390064247</v>
      </c>
      <c r="J298" s="1">
        <f>VLOOKUP((A298+Forudsætninger!$D$60),'Model tilvækst, slagteform, fe'!G:K,3,FALSE)*(1+Forudsætninger!$D$79)</f>
        <v>55.272006568440609</v>
      </c>
      <c r="K298" s="17">
        <f t="shared" si="110"/>
        <v>252.84707735799427</v>
      </c>
      <c r="L298" s="17">
        <f t="shared" si="119"/>
        <v>632.69886887684379</v>
      </c>
      <c r="M298" s="3">
        <f>((K298-(('Model tilvækst, slagteform, fe'!$I$9/100)*'Model tilvækst, slagteform, fe'!$C$9))*1000/(A298+Forudsætninger!$D$60))</f>
        <v>700.38943758068172</v>
      </c>
      <c r="N298" s="17">
        <f t="shared" si="120"/>
        <v>1743.553092463332</v>
      </c>
      <c r="O298" s="19">
        <f>IF( A298&lt;Forudsætninger!$C$14,(G298/100)*Forudsætninger!$C$13,(Forudsætninger!$C$15/1000)*Forudsætninger!$C$13)</f>
        <v>2.9734871318483616</v>
      </c>
      <c r="P298" s="17" cm="1">
        <f t="array" ref="P298">INDEX('Model tilvækst, slagteform, fe'!$O$9:$O$375,MATCH(MIN(ABS('Model tilvækst, slagteform, fe'!$M$9:$M$375-G298)),ABS('Model tilvækst, slagteform, fe'!$M$9:$M$375-G298),0))*(1+Forudsætninger!$D$80)</f>
        <v>8.3094713963479663</v>
      </c>
      <c r="Q298" s="17">
        <f t="shared" si="121"/>
        <v>13.133374825055082</v>
      </c>
      <c r="R298" s="17">
        <f t="shared" si="122"/>
        <v>8.0020826172008164</v>
      </c>
      <c r="S298" s="2">
        <f t="shared" si="111"/>
        <v>4.5233100409703351</v>
      </c>
      <c r="T298" s="19">
        <f>(P298)*IF(N298&lt;Forudsætninger!$B$228,IF(N298&lt;Forudsætninger!$B$227,Forudsætninger!$B$225,Forudsætninger!$C$9),Forudsætninger!$C$11)+O298</f>
        <v>22.417650199302603</v>
      </c>
      <c r="U298" s="2">
        <f>Forudsætninger!$D$68+((K298-(Forudsætninger!$D$84)))*0.01</f>
        <v>7.6680814549395953</v>
      </c>
      <c r="V298" s="2">
        <f>U298+Forudsætninger!$D$69</f>
        <v>7.6680814549395953</v>
      </c>
      <c r="W298">
        <f t="shared" si="112"/>
        <v>1</v>
      </c>
      <c r="X298">
        <f>IF(A298+Forudsætninger!$D$60&gt;248,IF(A298+Forudsætninger!$D$60&lt;365,IF(K298&gt;180,IF(K298&lt;260,1,0),0),0),0)</f>
        <v>1</v>
      </c>
      <c r="Y298" s="22">
        <f>IF(X298=0,0,IF('Vækstfunktion, kry tyr'!A298&lt;Forudsætninger!$D$66,Forudsætninger!$D$67+(('Vækstfunktion, kry tyr'!A298-Forudsætninger!$D$66)/7)*Forudsætninger!$D$64,Forudsætninger!$D$67))</f>
        <v>0.98</v>
      </c>
      <c r="Z298" s="19">
        <f t="shared" si="126"/>
        <v>5091.0862813475833</v>
      </c>
      <c r="AA298" s="19">
        <f>Forudsætninger!$D$62+Forudsætninger!$C$16</f>
        <v>2055</v>
      </c>
      <c r="AB298" s="19">
        <f>IF(K298&gt;Forudsætninger!$C$37,IF(K298&gt;Forudsætninger!$C$38,IF(K298&gt;Forudsætninger!$C$39,Forudsætninger!$E$39,Forudsætninger!$E$38+Forudsætninger!$F$39*(K298-Forudsætninger!$C$38)),Forudsætninger!$E$37+Forudsætninger!$F$38*(K298-Forudsætninger!$C$37)),Forudsætninger!$E$37)+IF(K298&gt;Forudsætninger!$C$39,Forudsætninger!$G$39,IF(K298&gt;Forudsætninger!$C$38,Forudsætninger!$G$38+Forudsætninger!$H$39*(K298-Forudsætninger!$C$38),IF(K298&gt;Forudsætninger!$C$37,Forudsætninger!$G$37+Forudsætninger!$H$38*(K298-Forudsætninger!$C$37),Forudsætninger!$G$37)))*(U298-Forudsætninger!$H$37)</f>
        <v>37.216808145493957</v>
      </c>
      <c r="AC298" s="19">
        <f>IF(K298&gt;Forudsætninger!$C$42,IF(K298&gt;Forudsætninger!$C$43,IF(K298&gt;Forudsætninger!$C$44,Forudsætninger!$E$44,Forudsætninger!$E$43+Forudsætninger!$F$44*(K298-Forudsætninger!$C$43)),Forudsætninger!$E$42+Forudsætninger!$F$43*(K298-Forudsætninger!$C$42)),Forudsætninger!$E$42)+IF(K298&gt;Forudsætninger!$C$44,Forudsætninger!$G$44,IF(K298&gt;Forudsætninger!$C$43,Forudsætninger!$G$43+Forudsætninger!$H$44*(K298-Forudsætninger!$C$43),IF(K298&gt;Forudsætninger!$C$42,Forudsætninger!$G$42+Forudsætninger!$H$43*(K298-Forudsætninger!$C$42),Forudsætninger!$G$42)))*(V298-Forudsætninger!$H$42)</f>
        <v>31.79262319809677</v>
      </c>
      <c r="AD298" s="19">
        <f t="shared" si="113"/>
        <v>9382.7313819613701</v>
      </c>
      <c r="AE298" s="19">
        <f t="shared" si="114"/>
        <v>37.108324446546014</v>
      </c>
      <c r="AF298">
        <f>IF(G298&lt;=Forudsætninger!$C$97,Forudsætninger!$C$98,(IF(G298&lt;=Forudsætninger!$D$97,Forudsætninger!$D$98,IF(G298&lt;=Forudsætninger!$E$97,Forudsætninger!$E$98,IF(G298&lt;=Forudsætninger!$F$97,Forudsætninger!$F$98,IF(G298&lt;=Forudsætninger!$G$97,Forudsætninger!$G$98,IF(G298&lt;=Forudsætninger!$H$97,Forudsætninger!$H$98,IF(G298&lt;=Forudsætninger!$I$97,Forudsætninger!$I$98,Forudsætninger!$I$98))))))))</f>
        <v>4.4000000000000004</v>
      </c>
      <c r="AG298" s="1">
        <f t="shared" si="123"/>
        <v>4.4000000000000004</v>
      </c>
      <c r="AH298" s="1">
        <f t="shared" si="127"/>
        <v>986.59999999999604</v>
      </c>
      <c r="AI298" s="1">
        <f t="shared" si="115"/>
        <v>3.3331081081080947</v>
      </c>
      <c r="AJ298" s="20">
        <f>+(W298*Forudsætninger!$C$12)</f>
        <v>900</v>
      </c>
      <c r="AK298" s="20">
        <f>Forudsætninger!$C$17</f>
        <v>250</v>
      </c>
      <c r="AL298" s="20">
        <f>IF(A298&lt;92,Forudsætninger!$C$20,Forudsætninger!$C$21)</f>
        <v>1.0566762728146013</v>
      </c>
      <c r="AM298" s="20">
        <f t="shared" si="124"/>
        <v>581.2816596064124</v>
      </c>
      <c r="AN298" s="19">
        <f>IFERROR(AD298+AJ298-AA298-Z298-AK298-AM298-Forudsætninger!$D$75,-99999)</f>
        <v>2087.4714673064145</v>
      </c>
      <c r="AO298" s="57">
        <f>IFERROR(AN298/(A298+Forudsætninger!$D$74),-99999)</f>
        <v>7.0522684706297785</v>
      </c>
      <c r="AP298" s="19">
        <f>IFERROR(((365/(A298+Forudsætninger!$D$74))*AN298)/(AI298+Forudsætninger!$D$73),-99999)</f>
        <v>747.60301185961407</v>
      </c>
      <c r="AQ298" s="18">
        <f t="shared" si="128"/>
        <v>296</v>
      </c>
      <c r="AR298" s="18">
        <f t="shared" si="129"/>
        <v>7977.3679409539955</v>
      </c>
      <c r="AS298" s="50">
        <f t="shared" si="130"/>
        <v>10.9</v>
      </c>
      <c r="AT298" s="50">
        <f t="shared" si="131"/>
        <v>0.2389757384130462</v>
      </c>
      <c r="AU298" s="50">
        <f t="shared" si="132"/>
        <v>-2.3095907566836438E-2</v>
      </c>
      <c r="AV298" s="2">
        <f t="shared" si="133"/>
        <v>-3.2370407913724648</v>
      </c>
      <c r="AW298" s="16">
        <f t="shared" si="125"/>
        <v>9.0160578611919817</v>
      </c>
      <c r="AZ298" s="16"/>
      <c r="BA298" s="2"/>
    </row>
    <row r="299" spans="1:53" x14ac:dyDescent="0.25">
      <c r="A299">
        <v>297</v>
      </c>
      <c r="B299" s="1">
        <f>ROUND((A299+Forudsætninger!$D$60)/30.4,1)</f>
        <v>10.9</v>
      </c>
      <c r="C299" s="1">
        <f>VLOOKUP((A299+Forudsætninger!$D$60),'Model tilvækst, slagteform, fe'!A:C,3,FALSE)</f>
        <v>545.87164056684992</v>
      </c>
      <c r="D299" s="3">
        <f t="shared" si="134"/>
        <v>1276.9277741097085</v>
      </c>
      <c r="E299" s="3">
        <f>(1+Forudsætninger!$D$78)*C299</f>
        <v>458.53217807615391</v>
      </c>
      <c r="F299" s="2">
        <f t="shared" si="116"/>
        <v>0</v>
      </c>
      <c r="G299" s="1">
        <f t="shared" si="109"/>
        <v>458.53217807615391</v>
      </c>
      <c r="H299" s="3">
        <f t="shared" si="117"/>
        <v>1072.6193302521665</v>
      </c>
      <c r="I299" s="3">
        <f t="shared" si="118"/>
        <v>1301.4551450375552</v>
      </c>
      <c r="J299" s="1">
        <f>VLOOKUP((A299+Forudsætninger!$D$60),'Model tilvækst, slagteform, fe'!G:K,3,FALSE)*(1+Forudsætninger!$D$79)</f>
        <v>55.280355533576937</v>
      </c>
      <c r="K299" s="17">
        <f t="shared" si="110"/>
        <v>253.47821827635204</v>
      </c>
      <c r="L299" s="17">
        <f t="shared" si="119"/>
        <v>631.14091835777231</v>
      </c>
      <c r="M299" s="3">
        <f>((K299-(('Model tilvækst, slagteform, fe'!$I$9/100)*'Model tilvækst, slagteform, fe'!$C$9))*1000/(A299+Forudsætninger!$D$60))</f>
        <v>700.18022755281788</v>
      </c>
      <c r="N299" s="17">
        <f t="shared" si="120"/>
        <v>1751.8791179123054</v>
      </c>
      <c r="O299" s="19">
        <f>IF( A299&lt;Forudsætninger!$C$14,(G299/100)*Forudsætninger!$C$13,(Forudsætninger!$C$15/1000)*Forudsætninger!$C$13)</f>
        <v>2.9804591574950008</v>
      </c>
      <c r="P299" s="17" cm="1">
        <f t="array" ref="P299">INDEX('Model tilvækst, slagteform, fe'!$O$9:$O$375,MATCH(MIN(ABS('Model tilvækst, slagteform, fe'!$M$9:$M$375-G299)),ABS('Model tilvækst, slagteform, fe'!$M$9:$M$375-G299),0))*(1+Forudsætninger!$D$80)</f>
        <v>8.3260254489735352</v>
      </c>
      <c r="Q299" s="17">
        <f t="shared" si="121"/>
        <v>13.19202290137968</v>
      </c>
      <c r="R299" s="17">
        <f t="shared" si="122"/>
        <v>8.017072573866896</v>
      </c>
      <c r="S299" s="2">
        <f t="shared" si="111"/>
        <v>4.5322982594405197</v>
      </c>
      <c r="T299" s="19">
        <f>(P299)*IF(N299&lt;Forudsætninger!$B$228,IF(N299&lt;Forudsætninger!$B$227,Forudsætninger!$B$225,Forudsætninger!$C$9),Forudsætninger!$C$11)+O299</f>
        <v>22.463358708093072</v>
      </c>
      <c r="U299" s="2">
        <f>Forudsætninger!$D$68+((K299-(Forudsætninger!$D$84)))*0.01</f>
        <v>7.6743928641231731</v>
      </c>
      <c r="V299" s="2">
        <f>U299+Forudsætninger!$D$69</f>
        <v>7.6743928641231731</v>
      </c>
      <c r="W299">
        <f t="shared" si="112"/>
        <v>1</v>
      </c>
      <c r="X299">
        <f>IF(A299+Forudsætninger!$D$60&gt;248,IF(A299+Forudsætninger!$D$60&lt;365,IF(K299&gt;180,IF(K299&lt;260,1,0),0),0),0)</f>
        <v>1</v>
      </c>
      <c r="Y299" s="22">
        <f>IF(X299=0,0,IF('Vækstfunktion, kry tyr'!A299&lt;Forudsætninger!$D$66,Forudsætninger!$D$67+(('Vækstfunktion, kry tyr'!A299-Forudsætninger!$D$66)/7)*Forudsætninger!$D$64,Forudsætninger!$D$67))</f>
        <v>0.98</v>
      </c>
      <c r="Z299" s="19">
        <f t="shared" si="126"/>
        <v>5113.5496400556767</v>
      </c>
      <c r="AA299" s="19">
        <f>Forudsætninger!$D$62+Forudsætninger!$C$16</f>
        <v>2055</v>
      </c>
      <c r="AB299" s="19">
        <f>IF(K299&gt;Forudsætninger!$C$37,IF(K299&gt;Forudsætninger!$C$38,IF(K299&gt;Forudsætninger!$C$39,Forudsætninger!$E$39,Forudsætninger!$E$38+Forudsætninger!$F$39*(K299-Forudsætninger!$C$38)),Forudsætninger!$E$37+Forudsætninger!$F$38*(K299-Forudsætninger!$C$37)),Forudsætninger!$E$37)+IF(K299&gt;Forudsætninger!$C$39,Forudsætninger!$G$39,IF(K299&gt;Forudsætninger!$C$38,Forudsætninger!$G$38+Forudsætninger!$H$39*(K299-Forudsætninger!$C$38),IF(K299&gt;Forudsætninger!$C$37,Forudsætninger!$G$37+Forudsætninger!$H$38*(K299-Forudsætninger!$C$37),Forudsætninger!$G$37)))*(U299-Forudsætninger!$H$37)</f>
        <v>37.217439286412315</v>
      </c>
      <c r="AC299" s="19">
        <f>IF(K299&gt;Forudsætninger!$C$42,IF(K299&gt;Forudsætninger!$C$43,IF(K299&gt;Forudsætninger!$C$44,Forudsætninger!$E$44,Forudsætninger!$E$43+Forudsætninger!$F$44*(K299-Forudsætninger!$C$43)),Forudsætninger!$E$42+Forudsætninger!$F$43*(K299-Forudsætninger!$C$42)),Forudsætninger!$E$42)+IF(K299&gt;Forudsætninger!$C$44,Forudsætninger!$G$44,IF(K299&gt;Forudsætninger!$C$43,Forudsætninger!$G$43+Forudsætninger!$H$44*(K299-Forudsætninger!$C$43),IF(K299&gt;Forudsætninger!$C$42,Forudsætninger!$G$42+Forudsætninger!$H$43*(K299-Forudsætninger!$C$42),Forudsætninger!$G$42)))*(V299-Forudsætninger!$H$42)</f>
        <v>31.808134980341961</v>
      </c>
      <c r="AD299" s="19">
        <f t="shared" si="113"/>
        <v>9406.3873827757543</v>
      </c>
      <c r="AE299" s="19">
        <f t="shared" si="114"/>
        <v>37.109253200290908</v>
      </c>
      <c r="AF299">
        <f>IF(G299&lt;=Forudsætninger!$C$97,Forudsætninger!$C$98,(IF(G299&lt;=Forudsætninger!$D$97,Forudsætninger!$D$98,IF(G299&lt;=Forudsætninger!$E$97,Forudsætninger!$E$98,IF(G299&lt;=Forudsætninger!$F$97,Forudsætninger!$F$98,IF(G299&lt;=Forudsætninger!$G$97,Forudsætninger!$G$98,IF(G299&lt;=Forudsætninger!$H$97,Forudsætninger!$H$98,IF(G299&lt;=Forudsætninger!$I$97,Forudsætninger!$I$98,Forudsætninger!$I$98))))))))</f>
        <v>4.4000000000000004</v>
      </c>
      <c r="AG299" s="1">
        <f t="shared" si="123"/>
        <v>4.4000000000000004</v>
      </c>
      <c r="AH299" s="1">
        <f t="shared" si="127"/>
        <v>990.99999999999602</v>
      </c>
      <c r="AI299" s="1">
        <f t="shared" si="115"/>
        <v>3.3367003367003232</v>
      </c>
      <c r="AJ299" s="20">
        <f>+(W299*Forudsætninger!$C$12)</f>
        <v>900</v>
      </c>
      <c r="AK299" s="20">
        <f>Forudsætninger!$C$17</f>
        <v>250</v>
      </c>
      <c r="AL299" s="20">
        <f>IF(A299&lt;92,Forudsætninger!$C$20,Forudsætninger!$C$21)</f>
        <v>1.0566762728146013</v>
      </c>
      <c r="AM299" s="20">
        <f t="shared" si="124"/>
        <v>582.33833587922697</v>
      </c>
      <c r="AN299" s="19">
        <f>IFERROR(AD299+AJ299-AA299-Z299-AK299-AM299-Forudsætninger!$D$75,-99999)</f>
        <v>2087.6074331398904</v>
      </c>
      <c r="AO299" s="57">
        <f>IFERROR(AN299/(A299+Forudsætninger!$D$74),-99999)</f>
        <v>7.0289812563632674</v>
      </c>
      <c r="AP299" s="19">
        <f>IFERROR(((365/(A299+Forudsætninger!$D$74))*AN299)/(AI299+Forudsætninger!$D$73),-99999)</f>
        <v>744.3577648031719</v>
      </c>
      <c r="AQ299" s="18">
        <f t="shared" si="128"/>
        <v>297</v>
      </c>
      <c r="AR299" s="18">
        <f t="shared" si="129"/>
        <v>8000.8879759349038</v>
      </c>
      <c r="AS299" s="50">
        <f t="shared" si="130"/>
        <v>10.9</v>
      </c>
      <c r="AT299" s="50">
        <f t="shared" si="131"/>
        <v>0.13596583347589331</v>
      </c>
      <c r="AU299" s="50">
        <f t="shared" si="132"/>
        <v>-2.3287214266511036E-2</v>
      </c>
      <c r="AV299" s="2">
        <f t="shared" si="133"/>
        <v>-3.2452470564421674</v>
      </c>
      <c r="AW299" s="16">
        <f t="shared" si="125"/>
        <v>8.9897163940037625</v>
      </c>
      <c r="AZ299" s="16"/>
      <c r="BA299" s="2"/>
    </row>
    <row r="300" spans="1:53" x14ac:dyDescent="0.25">
      <c r="A300">
        <v>298</v>
      </c>
      <c r="B300" s="1">
        <f>ROUND((A300+Forudsætninger!$D$60)/30.4,1)</f>
        <v>10.9</v>
      </c>
      <c r="C300" s="1">
        <f>VLOOKUP((A300+Forudsætninger!$D$60),'Model tilvækst, slagteform, fe'!A:C,3,FALSE)</f>
        <v>547.14443915594518</v>
      </c>
      <c r="D300" s="3">
        <f t="shared" si="134"/>
        <v>1272.7985890952596</v>
      </c>
      <c r="E300" s="3">
        <f>(1+Forudsætninger!$D$78)*C300</f>
        <v>459.60132889099395</v>
      </c>
      <c r="F300" s="2">
        <f t="shared" si="116"/>
        <v>0</v>
      </c>
      <c r="G300" s="1">
        <f t="shared" si="109"/>
        <v>459.60132889099395</v>
      </c>
      <c r="H300" s="3">
        <f t="shared" si="117"/>
        <v>1069.150814840043</v>
      </c>
      <c r="I300" s="3">
        <f t="shared" si="118"/>
        <v>1300.6756003053488</v>
      </c>
      <c r="J300" s="1">
        <f>VLOOKUP((A300+Forudsætninger!$D$60),'Model tilvækst, slagteform, fe'!G:K,3,FALSE)*(1+Forudsætninger!$D$79)</f>
        <v>55.288745415818084</v>
      </c>
      <c r="K300" s="17">
        <f t="shared" si="110"/>
        <v>254.10780865825842</v>
      </c>
      <c r="L300" s="17">
        <f t="shared" si="119"/>
        <v>629.59038190638239</v>
      </c>
      <c r="M300" s="3">
        <f>((K300-(('Model tilvækst, slagteform, fe'!$I$9/100)*'Model tilvækst, slagteform, fe'!$C$9))*1000/(A300+Forudsætninger!$D$60))</f>
        <v>699.96760753581043</v>
      </c>
      <c r="N300" s="17">
        <f t="shared" si="120"/>
        <v>1760.2217255847265</v>
      </c>
      <c r="O300" s="19">
        <f>IF( A300&lt;Forudsætninger!$C$14,(G300/100)*Forudsætninger!$C$13,(Forudsætninger!$C$15/1000)*Forudsætninger!$C$13)</f>
        <v>2.9874086377914608</v>
      </c>
      <c r="P300" s="17" cm="1">
        <f t="array" ref="P300">INDEX('Model tilvækst, slagteform, fe'!$O$9:$O$375,MATCH(MIN(ABS('Model tilvækst, slagteform, fe'!$M$9:$M$375-G300)),ABS('Model tilvækst, slagteform, fe'!$M$9:$M$375-G300),0))*(1+Forudsætninger!$D$80)</f>
        <v>8.3426076724210052</v>
      </c>
      <c r="Q300" s="17">
        <f t="shared" si="121"/>
        <v>13.250849937001608</v>
      </c>
      <c r="R300" s="17">
        <f t="shared" si="122"/>
        <v>8.0321086850605852</v>
      </c>
      <c r="S300" s="2">
        <f t="shared" si="111"/>
        <v>4.5413201513552028</v>
      </c>
      <c r="T300" s="19">
        <f>(P300)*IF(N300&lt;Forudsætninger!$B$228,IF(N300&lt;Forudsætninger!$B$227,Forudsætninger!$B$225,Forudsætninger!$C$9),Forudsætninger!$C$11)+O300</f>
        <v>22.509110591256611</v>
      </c>
      <c r="U300" s="2">
        <f>Forudsætninger!$D$68+((K300-(Forudsætninger!$D$84)))*0.01</f>
        <v>7.6806887679422369</v>
      </c>
      <c r="V300" s="2">
        <f>U300+Forudsætninger!$D$69</f>
        <v>7.6806887679422369</v>
      </c>
      <c r="W300">
        <f t="shared" si="112"/>
        <v>1</v>
      </c>
      <c r="X300">
        <f>IF(A300+Forudsætninger!$D$60&gt;248,IF(A300+Forudsætninger!$D$60&lt;365,IF(K300&gt;180,IF(K300&lt;260,1,0),0),0),0)</f>
        <v>1</v>
      </c>
      <c r="Y300" s="22">
        <f>IF(X300=0,0,IF('Vækstfunktion, kry tyr'!A300&lt;Forudsætninger!$D$66,Forudsætninger!$D$67+(('Vækstfunktion, kry tyr'!A300-Forudsætninger!$D$66)/7)*Forudsætninger!$D$64,Forudsætninger!$D$67))</f>
        <v>0.98</v>
      </c>
      <c r="Z300" s="19">
        <f t="shared" si="126"/>
        <v>5136.0587506469337</v>
      </c>
      <c r="AA300" s="19">
        <f>Forudsætninger!$D$62+Forudsætninger!$C$16</f>
        <v>2055</v>
      </c>
      <c r="AB300" s="19">
        <f>IF(K300&gt;Forudsætninger!$C$37,IF(K300&gt;Forudsætninger!$C$38,IF(K300&gt;Forudsætninger!$C$39,Forudsætninger!$E$39,Forudsætninger!$E$38+Forudsætninger!$F$39*(K300-Forudsætninger!$C$38)),Forudsætninger!$E$37+Forudsætninger!$F$38*(K300-Forudsætninger!$C$37)),Forudsætninger!$E$37)+IF(K300&gt;Forudsætninger!$C$39,Forudsætninger!$G$39,IF(K300&gt;Forudsætninger!$C$38,Forudsætninger!$G$38+Forudsætninger!$H$39*(K300-Forudsætninger!$C$38),IF(K300&gt;Forudsætninger!$C$37,Forudsætninger!$G$37+Forudsætninger!$H$38*(K300-Forudsætninger!$C$37),Forudsætninger!$G$37)))*(U300-Forudsætninger!$H$37)</f>
        <v>37.218068876794227</v>
      </c>
      <c r="AC300" s="19">
        <f>IF(K300&gt;Forudsætninger!$C$42,IF(K300&gt;Forudsætninger!$C$43,IF(K300&gt;Forudsætninger!$C$44,Forudsætninger!$E$44,Forudsætninger!$E$43+Forudsætninger!$F$44*(K300-Forudsætninger!$C$43)),Forudsætninger!$E$42+Forudsætninger!$F$43*(K300-Forudsætninger!$C$42)),Forudsætninger!$E$42)+IF(K300&gt;Forudsætninger!$C$44,Forudsætninger!$G$44,IF(K300&gt;Forudsætninger!$C$43,Forudsætninger!$G$43+Forudsætninger!$H$44*(K300-Forudsætninger!$C$43),IF(K300&gt;Forudsætninger!$C$42,Forudsætninger!$G$42+Forudsætninger!$H$43*(K300-Forudsætninger!$C$42),Forudsætninger!$G$42)))*(V300-Forudsætninger!$H$42)</f>
        <v>31.823592118143491</v>
      </c>
      <c r="AD300" s="19">
        <f t="shared" si="113"/>
        <v>9429.9863514143381</v>
      </c>
      <c r="AE300" s="19">
        <f t="shared" si="114"/>
        <v>37.110179341621212</v>
      </c>
      <c r="AF300">
        <f>IF(G300&lt;=Forudsætninger!$C$97,Forudsætninger!$C$98,(IF(G300&lt;=Forudsætninger!$D$97,Forudsætninger!$D$98,IF(G300&lt;=Forudsætninger!$E$97,Forudsætninger!$E$98,IF(G300&lt;=Forudsætninger!$F$97,Forudsætninger!$F$98,IF(G300&lt;=Forudsætninger!$G$97,Forudsætninger!$G$98,IF(G300&lt;=Forudsætninger!$H$97,Forudsætninger!$H$98,IF(G300&lt;=Forudsætninger!$I$97,Forudsætninger!$I$98,Forudsætninger!$I$98))))))))</f>
        <v>4.4000000000000004</v>
      </c>
      <c r="AG300" s="1">
        <f t="shared" si="123"/>
        <v>4.4000000000000004</v>
      </c>
      <c r="AH300" s="1">
        <f t="shared" si="127"/>
        <v>995.399999999996</v>
      </c>
      <c r="AI300" s="1">
        <f t="shared" si="115"/>
        <v>3.3402684563758256</v>
      </c>
      <c r="AJ300" s="20">
        <f>+(W300*Forudsætninger!$C$12)</f>
        <v>900</v>
      </c>
      <c r="AK300" s="20">
        <f>Forudsætninger!$C$17</f>
        <v>250</v>
      </c>
      <c r="AL300" s="20">
        <f>IF(A300&lt;92,Forudsætninger!$C$20,Forudsætninger!$C$21)</f>
        <v>1.0566762728146013</v>
      </c>
      <c r="AM300" s="20">
        <f t="shared" si="124"/>
        <v>583.39501215204155</v>
      </c>
      <c r="AN300" s="19">
        <f>IFERROR(AD300+AJ300-AA300-Z300-AK300-AM300-Forudsætninger!$D$75,-99999)</f>
        <v>2087.6406149144027</v>
      </c>
      <c r="AO300" s="57">
        <f>IFERROR(AN300/(A300+Forudsætninger!$D$74),-99999)</f>
        <v>7.0055054191758481</v>
      </c>
      <c r="AP300" s="19">
        <f>IFERROR(((365/(A300+Forudsætninger!$D$74))*AN300)/(AI300+Forudsætninger!$D$73),-99999)</f>
        <v>741.10449964379779</v>
      </c>
      <c r="AQ300" s="18">
        <f t="shared" si="128"/>
        <v>298</v>
      </c>
      <c r="AR300" s="18">
        <f t="shared" si="129"/>
        <v>8024.4537627989757</v>
      </c>
      <c r="AS300" s="50">
        <f t="shared" si="130"/>
        <v>10.9</v>
      </c>
      <c r="AT300" s="50">
        <f t="shared" si="131"/>
        <v>3.3181774512286211E-2</v>
      </c>
      <c r="AU300" s="50">
        <f t="shared" si="132"/>
        <v>-2.3475837187419302E-2</v>
      </c>
      <c r="AV300" s="2">
        <f t="shared" si="133"/>
        <v>-3.2532651593741093</v>
      </c>
      <c r="AW300" s="16">
        <f t="shared" si="125"/>
        <v>8.9632068022363907</v>
      </c>
      <c r="AZ300" s="16"/>
      <c r="BA300" s="2"/>
    </row>
    <row r="301" spans="1:53" x14ac:dyDescent="0.25">
      <c r="A301">
        <v>299</v>
      </c>
      <c r="B301" s="1">
        <f>ROUND((A301+Forudsætninger!$D$60)/30.4,1)</f>
        <v>11</v>
      </c>
      <c r="C301" s="1">
        <f>VLOOKUP((A301+Forudsætninger!$D$60),'Model tilvækst, slagteform, fe'!A:C,3,FALSE)</f>
        <v>548.41313568067517</v>
      </c>
      <c r="D301" s="3">
        <f t="shared" si="134"/>
        <v>1268.6965247299895</v>
      </c>
      <c r="E301" s="3">
        <f>(1+Forudsætninger!$D$78)*C301</f>
        <v>460.66703397176713</v>
      </c>
      <c r="F301" s="2">
        <f t="shared" si="116"/>
        <v>0</v>
      </c>
      <c r="G301" s="1">
        <f t="shared" si="109"/>
        <v>460.66703397176713</v>
      </c>
      <c r="H301" s="3">
        <f t="shared" si="117"/>
        <v>1065.7050807731707</v>
      </c>
      <c r="I301" s="3">
        <f t="shared" si="118"/>
        <v>1299.8897457249736</v>
      </c>
      <c r="J301" s="1">
        <f>VLOOKUP((A301+Forudsætninger!$D$60),'Model tilvækst, slagteform, fe'!G:K,3,FALSE)*(1+Forudsætninger!$D$79)</f>
        <v>55.297175046103916</v>
      </c>
      <c r="K301" s="17">
        <f t="shared" si="110"/>
        <v>254.73585615506306</v>
      </c>
      <c r="L301" s="17">
        <f t="shared" si="119"/>
        <v>628.04749680464056</v>
      </c>
      <c r="M301" s="3">
        <f>((K301-(('Model tilvækst, slagteform, fe'!$I$9/100)*'Model tilvækst, slagteform, fe'!$C$9))*1000/(A301+Forudsætninger!$D$60))</f>
        <v>699.75163122730851</v>
      </c>
      <c r="N301" s="17">
        <f t="shared" si="120"/>
        <v>1768.5809413038485</v>
      </c>
      <c r="O301" s="19">
        <f>IF( A301&lt;Forudsætninger!$C$14,(G301/100)*Forudsætninger!$C$13,(Forudsætninger!$C$15/1000)*Forudsætninger!$C$13)</f>
        <v>2.9943357208164865</v>
      </c>
      <c r="P301" s="17" cm="1">
        <f t="array" ref="P301">INDEX('Model tilvækst, slagteform, fe'!$O$9:$O$375,MATCH(MIN(ABS('Model tilvækst, slagteform, fe'!$M$9:$M$375-G301)),ABS('Model tilvækst, slagteform, fe'!$M$9:$M$375-G301),0))*(1+Forudsætninger!$D$80)</f>
        <v>8.3592157191218845</v>
      </c>
      <c r="Q301" s="17">
        <f t="shared" si="121"/>
        <v>13.309846407559345</v>
      </c>
      <c r="R301" s="17">
        <f t="shared" si="122"/>
        <v>8.0471907097100832</v>
      </c>
      <c r="S301" s="2">
        <f t="shared" si="111"/>
        <v>4.5503754800884879</v>
      </c>
      <c r="T301" s="19">
        <f>(P301)*IF(N301&lt;Forudsætninger!$B$228,IF(N301&lt;Forudsætninger!$B$227,Forudsætninger!$B$225,Forudsætninger!$C$9),Forudsætninger!$C$11)+O301</f>
        <v>22.554900503561697</v>
      </c>
      <c r="U301" s="2">
        <f>Forudsætninger!$D$68+((K301-(Forudsætninger!$D$84)))*0.01</f>
        <v>7.6869692429102834</v>
      </c>
      <c r="V301" s="2">
        <f>U301+Forudsætninger!$D$69</f>
        <v>7.6869692429102834</v>
      </c>
      <c r="W301">
        <f t="shared" si="112"/>
        <v>1</v>
      </c>
      <c r="X301">
        <f>IF(A301+Forudsætninger!$D$60&gt;248,IF(A301+Forudsætninger!$D$60&lt;365,IF(K301&gt;180,IF(K301&lt;260,1,0),0),0),0)</f>
        <v>1</v>
      </c>
      <c r="Y301" s="22">
        <f>IF(X301=0,0,IF('Vækstfunktion, kry tyr'!A301&lt;Forudsætninger!$D$66,Forudsætninger!$D$67+(('Vækstfunktion, kry tyr'!A301-Forudsætninger!$D$66)/7)*Forudsætninger!$D$64,Forudsætninger!$D$67))</f>
        <v>0.98</v>
      </c>
      <c r="Z301" s="19">
        <f t="shared" si="126"/>
        <v>5158.6136511504956</v>
      </c>
      <c r="AA301" s="19">
        <f>Forudsætninger!$D$62+Forudsætninger!$C$16</f>
        <v>2055</v>
      </c>
      <c r="AB301" s="19">
        <f>IF(K301&gt;Forudsætninger!$C$37,IF(K301&gt;Forudsætninger!$C$38,IF(K301&gt;Forudsætninger!$C$39,Forudsætninger!$E$39,Forudsætninger!$E$38+Forudsætninger!$F$39*(K301-Forudsætninger!$C$38)),Forudsætninger!$E$37+Forudsætninger!$F$38*(K301-Forudsætninger!$C$37)),Forudsætninger!$E$37)+IF(K301&gt;Forudsætninger!$C$39,Forudsætninger!$G$39,IF(K301&gt;Forudsætninger!$C$38,Forudsætninger!$G$38+Forudsætninger!$H$39*(K301-Forudsætninger!$C$38),IF(K301&gt;Forudsætninger!$C$37,Forudsætninger!$G$37+Forudsætninger!$H$38*(K301-Forudsætninger!$C$37),Forudsætninger!$G$37)))*(U301-Forudsætninger!$H$37)</f>
        <v>37.218696924291031</v>
      </c>
      <c r="AC301" s="19">
        <f>IF(K301&gt;Forudsætninger!$C$42,IF(K301&gt;Forudsætninger!$C$43,IF(K301&gt;Forudsætninger!$C$44,Forudsætninger!$E$44,Forudsætninger!$E$43+Forudsætninger!$F$44*(K301-Forudsætninger!$C$43)),Forudsætninger!$E$42+Forudsætninger!$F$43*(K301-Forudsætninger!$C$42)),Forudsætninger!$E$42)+IF(K301&gt;Forudsætninger!$C$44,Forudsætninger!$G$44,IF(K301&gt;Forudsætninger!$C$43,Forudsætninger!$G$43+Forudsætninger!$H$44*(K301-Forudsætninger!$C$43),IF(K301&gt;Forudsætninger!$C$42,Forudsætninger!$G$42+Forudsætninger!$H$43*(K301-Forudsætninger!$C$42),Forudsætninger!$G$42)))*(V301-Forudsætninger!$H$42)</f>
        <v>31.838994921075184</v>
      </c>
      <c r="AD301" s="19">
        <f t="shared" si="113"/>
        <v>9453.528566072122</v>
      </c>
      <c r="AE301" s="19">
        <f t="shared" si="114"/>
        <v>37.11110288422671</v>
      </c>
      <c r="AF301">
        <f>IF(G301&lt;=Forudsætninger!$C$97,Forudsætninger!$C$98,(IF(G301&lt;=Forudsætninger!$D$97,Forudsætninger!$D$98,IF(G301&lt;=Forudsætninger!$E$97,Forudsætninger!$E$98,IF(G301&lt;=Forudsætninger!$F$97,Forudsætninger!$F$98,IF(G301&lt;=Forudsætninger!$G$97,Forudsætninger!$G$98,IF(G301&lt;=Forudsætninger!$H$97,Forudsætninger!$H$98,IF(G301&lt;=Forudsætninger!$I$97,Forudsætninger!$I$98,Forudsætninger!$I$98))))))))</f>
        <v>4.4000000000000004</v>
      </c>
      <c r="AG301" s="1">
        <f t="shared" si="123"/>
        <v>4.4000000000000004</v>
      </c>
      <c r="AH301" s="1">
        <f t="shared" si="127"/>
        <v>999.79999999999598</v>
      </c>
      <c r="AI301" s="1">
        <f t="shared" si="115"/>
        <v>3.3438127090300869</v>
      </c>
      <c r="AJ301" s="20">
        <f>+(W301*Forudsætninger!$C$12)</f>
        <v>900</v>
      </c>
      <c r="AK301" s="20">
        <f>Forudsætninger!$C$17</f>
        <v>250</v>
      </c>
      <c r="AL301" s="20">
        <f>IF(A301&lt;92,Forudsætninger!$C$20,Forudsætninger!$C$21)</f>
        <v>1.0566762728146013</v>
      </c>
      <c r="AM301" s="20">
        <f t="shared" si="124"/>
        <v>584.45168842485612</v>
      </c>
      <c r="AN301" s="19">
        <f>IFERROR(AD301+AJ301-AA301-Z301-AK301-AM301-Forudsætninger!$D$75,-99999)</f>
        <v>2087.5712527958103</v>
      </c>
      <c r="AO301" s="57">
        <f>IFERROR(AN301/(A301+Forudsætninger!$D$74),-99999)</f>
        <v>6.9818436548354859</v>
      </c>
      <c r="AP301" s="19">
        <f>IFERROR(((365/(A301+Forudsætninger!$D$74))*AN301)/(AI301+Forudsætninger!$D$73),-99999)</f>
        <v>737.84340631794032</v>
      </c>
      <c r="AQ301" s="18">
        <f t="shared" si="128"/>
        <v>299</v>
      </c>
      <c r="AR301" s="18">
        <f t="shared" si="129"/>
        <v>8048.0653395753516</v>
      </c>
      <c r="AS301" s="50">
        <f t="shared" si="130"/>
        <v>11</v>
      </c>
      <c r="AT301" s="50">
        <f t="shared" si="131"/>
        <v>-6.9362118592380284E-2</v>
      </c>
      <c r="AU301" s="50">
        <f t="shared" si="132"/>
        <v>-2.3661764340362268E-2</v>
      </c>
      <c r="AV301" s="2">
        <f t="shared" si="133"/>
        <v>-3.2610933258574732</v>
      </c>
      <c r="AW301" s="16">
        <f t="shared" si="125"/>
        <v>8.93653157598885</v>
      </c>
      <c r="AZ301" s="16"/>
      <c r="BA301" s="2"/>
    </row>
    <row r="302" spans="1:53" x14ac:dyDescent="0.25">
      <c r="A302">
        <v>300</v>
      </c>
      <c r="B302" s="1">
        <f>ROUND((A302+Forudsætninger!$D$60)/30.4,1)</f>
        <v>11</v>
      </c>
      <c r="C302" s="1">
        <f>VLOOKUP((A302+Forudsætninger!$D$60),'Model tilvækst, slagteform, fe'!A:C,3,FALSE)</f>
        <v>549.6777578826252</v>
      </c>
      <c r="D302" s="3">
        <f t="shared" si="134"/>
        <v>1264.6222019500328</v>
      </c>
      <c r="E302" s="3">
        <f>(1+Forudsætninger!$D$78)*C302</f>
        <v>461.72931662140513</v>
      </c>
      <c r="F302" s="2">
        <f t="shared" si="116"/>
        <v>0</v>
      </c>
      <c r="G302" s="1">
        <f t="shared" si="109"/>
        <v>461.72931662140513</v>
      </c>
      <c r="H302" s="3">
        <f t="shared" si="117"/>
        <v>1062.2826496380071</v>
      </c>
      <c r="I302" s="3">
        <f t="shared" si="118"/>
        <v>1299.0977220713505</v>
      </c>
      <c r="J302" s="1">
        <f>VLOOKUP((A302+Forudsætninger!$D$60),'Model tilvækst, slagteform, fe'!G:K,3,FALSE)*(1+Forudsætninger!$D$79)</f>
        <v>55.305643255374271</v>
      </c>
      <c r="K302" s="17">
        <f t="shared" si="110"/>
        <v>255.36236865611187</v>
      </c>
      <c r="L302" s="17">
        <f t="shared" si="119"/>
        <v>626.51250104880774</v>
      </c>
      <c r="M302" s="3">
        <f>((K302-(('Model tilvækst, slagteform, fe'!$I$9/100)*'Model tilvækst, slagteform, fe'!$C$9))*1000/(A302+Forudsætninger!$D$60))</f>
        <v>699.5323523944387</v>
      </c>
      <c r="N302" s="17">
        <f t="shared" si="120"/>
        <v>1776.9567885453562</v>
      </c>
      <c r="O302" s="19">
        <f>IF( A302&lt;Forudsætninger!$C$14,(G302/100)*Forudsætninger!$C$13,(Forudsætninger!$C$15/1000)*Forudsætninger!$C$13)</f>
        <v>3.0012405580391337</v>
      </c>
      <c r="P302" s="17" cm="1">
        <f t="array" ref="P302">INDEX('Model tilvækst, slagteform, fe'!$O$9:$O$375,MATCH(MIN(ABS('Model tilvækst, slagteform, fe'!$M$9:$M$375-G302)),ABS('Model tilvækst, slagteform, fe'!$M$9:$M$375-G302),0))*(1+Forudsætninger!$D$80)</f>
        <v>8.3758472415076817</v>
      </c>
      <c r="Q302" s="17">
        <f t="shared" si="121"/>
        <v>13.369002577739739</v>
      </c>
      <c r="R302" s="17">
        <f t="shared" si="122"/>
        <v>8.0623183899749282</v>
      </c>
      <c r="S302" s="2">
        <f t="shared" si="111"/>
        <v>4.5594639991416042</v>
      </c>
      <c r="T302" s="19">
        <f>(P302)*IF(N302&lt;Forudsætninger!$B$228,IF(N302&lt;Forudsætninger!$B$227,Forudsætninger!$B$225,Forudsætninger!$C$9),Forudsætninger!$C$11)+O302</f>
        <v>22.600723103167105</v>
      </c>
      <c r="U302" s="2">
        <f>Forudsætninger!$D$68+((K302-(Forudsætninger!$D$84)))*0.01</f>
        <v>7.6932343679207706</v>
      </c>
      <c r="V302" s="2">
        <f>U302+Forudsætninger!$D$69</f>
        <v>7.6932343679207706</v>
      </c>
      <c r="W302">
        <f t="shared" si="112"/>
        <v>1</v>
      </c>
      <c r="X302">
        <f>IF(A302+Forudsætninger!$D$60&gt;248,IF(A302+Forudsætninger!$D$60&lt;365,IF(K302&gt;180,IF(K302&lt;260,1,0),0),0),0)</f>
        <v>1</v>
      </c>
      <c r="Y302" s="22">
        <f>IF(X302=0,0,IF('Vækstfunktion, kry tyr'!A302&lt;Forudsætninger!$D$66,Forudsætninger!$D$67+(('Vækstfunktion, kry tyr'!A302-Forudsætninger!$D$66)/7)*Forudsætninger!$D$64,Forudsætninger!$D$67))</f>
        <v>0.98</v>
      </c>
      <c r="Z302" s="19">
        <f t="shared" si="126"/>
        <v>5181.2143742536628</v>
      </c>
      <c r="AA302" s="19">
        <f>Forudsætninger!$D$62+Forudsætninger!$C$16</f>
        <v>2055</v>
      </c>
      <c r="AB302" s="19">
        <f>IF(K302&gt;Forudsætninger!$C$37,IF(K302&gt;Forudsætninger!$C$38,IF(K302&gt;Forudsætninger!$C$39,Forudsætninger!$E$39,Forudsætninger!$E$38+Forudsætninger!$F$39*(K302-Forudsætninger!$C$38)),Forudsætninger!$E$37+Forudsætninger!$F$38*(K302-Forudsætninger!$C$37)),Forudsætninger!$E$37)+IF(K302&gt;Forudsætninger!$C$39,Forudsætninger!$G$39,IF(K302&gt;Forudsætninger!$C$38,Forudsætninger!$G$38+Forudsætninger!$H$39*(K302-Forudsætninger!$C$38),IF(K302&gt;Forudsætninger!$C$37,Forudsætninger!$G$37+Forudsætninger!$H$38*(K302-Forudsætninger!$C$37),Forudsætninger!$G$37)))*(U302-Forudsætninger!$H$37)</f>
        <v>37.219323436792081</v>
      </c>
      <c r="AC302" s="19">
        <f>IF(K302&gt;Forudsætninger!$C$42,IF(K302&gt;Forudsætninger!$C$43,IF(K302&gt;Forudsætninger!$C$44,Forudsætninger!$E$44,Forudsætninger!$E$43+Forudsætninger!$F$44*(K302-Forudsætninger!$C$43)),Forudsætninger!$E$42+Forudsætninger!$F$43*(K302-Forudsætninger!$C$42)),Forudsætninger!$E$42)+IF(K302&gt;Forudsætninger!$C$44,Forudsætninger!$G$44,IF(K302&gt;Forudsætninger!$C$43,Forudsætninger!$G$43+Forudsætninger!$H$44*(K302-Forudsætninger!$C$43),IF(K302&gt;Forudsætninger!$C$42,Forudsætninger!$G$42+Forudsætninger!$H$43*(K302-Forudsætninger!$C$42),Forudsætninger!$G$42)))*(V302-Forudsætninger!$H$42)</f>
        <v>31.854343703438953</v>
      </c>
      <c r="AD302" s="19">
        <f t="shared" si="113"/>
        <v>9477.014313947142</v>
      </c>
      <c r="AE302" s="19">
        <f t="shared" si="114"/>
        <v>37.112023842125019</v>
      </c>
      <c r="AF302">
        <f>IF(G302&lt;=Forudsætninger!$C$97,Forudsætninger!$C$98,(IF(G302&lt;=Forudsætninger!$D$97,Forudsætninger!$D$98,IF(G302&lt;=Forudsætninger!$E$97,Forudsætninger!$E$98,IF(G302&lt;=Forudsætninger!$F$97,Forudsætninger!$F$98,IF(G302&lt;=Forudsætninger!$G$97,Forudsætninger!$G$98,IF(G302&lt;=Forudsætninger!$H$97,Forudsætninger!$H$98,IF(G302&lt;=Forudsætninger!$I$97,Forudsætninger!$I$98,Forudsætninger!$I$98))))))))</f>
        <v>4.4000000000000004</v>
      </c>
      <c r="AG302" s="1">
        <f t="shared" si="123"/>
        <v>4.4000000000000004</v>
      </c>
      <c r="AH302" s="1">
        <f t="shared" si="127"/>
        <v>1004.199999999996</v>
      </c>
      <c r="AI302" s="1">
        <f t="shared" si="115"/>
        <v>3.3473333333333199</v>
      </c>
      <c r="AJ302" s="20">
        <f>+(W302*Forudsætninger!$C$12)</f>
        <v>900</v>
      </c>
      <c r="AK302" s="20">
        <f>Forudsætninger!$C$17</f>
        <v>250</v>
      </c>
      <c r="AL302" s="20">
        <f>IF(A302&lt;92,Forudsætninger!$C$20,Forudsætninger!$C$21)</f>
        <v>1.0566762728146013</v>
      </c>
      <c r="AM302" s="20">
        <f t="shared" si="124"/>
        <v>585.50836469767069</v>
      </c>
      <c r="AN302" s="19">
        <f>IFERROR(AD302+AJ302-AA302-Z302-AK302-AM302-Forudsætninger!$D$75,-99999)</f>
        <v>2087.3996012948483</v>
      </c>
      <c r="AO302" s="57">
        <f>IFERROR(AN302/(A302+Forudsætninger!$D$74),-99999)</f>
        <v>6.9579986709828274</v>
      </c>
      <c r="AP302" s="19">
        <f>IFERROR(((365/(A302+Forudsætninger!$D$74))*AN302)/(AI302+Forudsætninger!$D$73),-99999)</f>
        <v>734.57467650657782</v>
      </c>
      <c r="AQ302" s="18">
        <f t="shared" si="128"/>
        <v>300</v>
      </c>
      <c r="AR302" s="18">
        <f t="shared" si="129"/>
        <v>8071.7227389513337</v>
      </c>
      <c r="AS302" s="50">
        <f t="shared" si="130"/>
        <v>11</v>
      </c>
      <c r="AT302" s="50">
        <f t="shared" si="131"/>
        <v>-0.17165150096207071</v>
      </c>
      <c r="AU302" s="50">
        <f t="shared" si="132"/>
        <v>-2.384498385265843E-2</v>
      </c>
      <c r="AV302" s="2">
        <f t="shared" si="133"/>
        <v>-3.2687298113625047</v>
      </c>
      <c r="AW302" s="16">
        <f t="shared" si="125"/>
        <v>8.9096932199750647</v>
      </c>
      <c r="AZ302" s="16"/>
      <c r="BA302" s="2"/>
    </row>
    <row r="303" spans="1:53" x14ac:dyDescent="0.25">
      <c r="A303">
        <v>301</v>
      </c>
      <c r="B303" s="1">
        <f>ROUND((A303+Forudsætninger!$D$60)/30.4,1)</f>
        <v>11</v>
      </c>
      <c r="C303" s="1">
        <f>VLOOKUP((A303+Forudsætninger!$D$60),'Model tilvækst, slagteform, fe'!A:C,3,FALSE)</f>
        <v>550.93833412431786</v>
      </c>
      <c r="D303" s="3">
        <f t="shared" si="134"/>
        <v>1260.5762416926609</v>
      </c>
      <c r="E303" s="3">
        <f>(1+Forudsætninger!$D$78)*C303</f>
        <v>462.78820066442699</v>
      </c>
      <c r="F303" s="2">
        <f t="shared" si="116"/>
        <v>0</v>
      </c>
      <c r="G303" s="1">
        <f t="shared" si="109"/>
        <v>462.78820066442699</v>
      </c>
      <c r="H303" s="3">
        <f t="shared" si="117"/>
        <v>1058.8840430218625</v>
      </c>
      <c r="I303" s="3">
        <f t="shared" si="118"/>
        <v>1298.2996699814851</v>
      </c>
      <c r="J303" s="1">
        <f>VLOOKUP((A303+Forudsætninger!$D$60),'Model tilvækst, slagteform, fe'!G:K,3,FALSE)*(1+Forudsætninger!$D$79)</f>
        <v>55.314148874569035</v>
      </c>
      <c r="K303" s="17">
        <f t="shared" si="110"/>
        <v>255.98735428946043</v>
      </c>
      <c r="L303" s="17">
        <f t="shared" si="119"/>
        <v>624.98563334855817</v>
      </c>
      <c r="M303" s="3">
        <f>((K303-(('Model tilvækst, slagteform, fe'!$I$9/100)*'Model tilvækst, slagteform, fe'!$C$9))*1000/(A303+Forudsætninger!$D$60))</f>
        <v>699.30982487489882</v>
      </c>
      <c r="N303" s="17">
        <f t="shared" si="120"/>
        <v>1785.3492884373661</v>
      </c>
      <c r="O303" s="19">
        <f>IF( A303&lt;Forudsætninger!$C$14,(G303/100)*Forudsætninger!$C$13,(Forudsætninger!$C$15/1000)*Forudsætninger!$C$13)</f>
        <v>3.0081233043187754</v>
      </c>
      <c r="P303" s="17" cm="1">
        <f t="array" ref="P303">INDEX('Model tilvækst, slagteform, fe'!$O$9:$O$375,MATCH(MIN(ABS('Model tilvækst, slagteform, fe'!$M$9:$M$375-G303)),ABS('Model tilvækst, slagteform, fe'!$M$9:$M$375-G303),0))*(1+Forudsætninger!$D$80)</f>
        <v>8.392499892009905</v>
      </c>
      <c r="Q303" s="17">
        <f t="shared" si="121"/>
        <v>13.428308498940099</v>
      </c>
      <c r="R303" s="17">
        <f t="shared" si="122"/>
        <v>8.077491451342679</v>
      </c>
      <c r="S303" s="2">
        <f t="shared" si="111"/>
        <v>4.5685854521755633</v>
      </c>
      <c r="T303" s="19">
        <f>(P303)*IF(N303&lt;Forudsætninger!$B$228,IF(N303&lt;Forudsætninger!$B$227,Forudsætninger!$B$225,Forudsætninger!$C$9),Forudsætninger!$C$11)+O303</f>
        <v>22.646573051621953</v>
      </c>
      <c r="U303" s="2">
        <f>Forudsætninger!$D$68+((K303-(Forudsætninger!$D$84)))*0.01</f>
        <v>7.6994842242542569</v>
      </c>
      <c r="V303" s="2">
        <f>U303+Forudsætninger!$D$69</f>
        <v>7.6994842242542569</v>
      </c>
      <c r="W303">
        <f t="shared" si="112"/>
        <v>1</v>
      </c>
      <c r="X303">
        <f>IF(A303+Forudsætninger!$D$60&gt;248,IF(A303+Forudsætninger!$D$60&lt;365,IF(K303&gt;180,IF(K303&lt;260,1,0),0),0),0)</f>
        <v>1</v>
      </c>
      <c r="Y303" s="22">
        <f>IF(X303=0,0,IF('Vækstfunktion, kry tyr'!A303&lt;Forudsætninger!$D$66,Forudsætninger!$D$67+(('Vækstfunktion, kry tyr'!A303-Forudsætninger!$D$66)/7)*Forudsætninger!$D$64,Forudsætninger!$D$67))</f>
        <v>0.98</v>
      </c>
      <c r="Z303" s="19">
        <f t="shared" si="126"/>
        <v>5203.8609473052848</v>
      </c>
      <c r="AA303" s="19">
        <f>Forudsætninger!$D$62+Forudsætninger!$C$16</f>
        <v>2055</v>
      </c>
      <c r="AB303" s="19">
        <f>IF(K303&gt;Forudsætninger!$C$37,IF(K303&gt;Forudsætninger!$C$38,IF(K303&gt;Forudsætninger!$C$39,Forudsætninger!$E$39,Forudsætninger!$E$38+Forudsætninger!$F$39*(K303-Forudsætninger!$C$38)),Forudsætninger!$E$37+Forudsætninger!$F$38*(K303-Forudsætninger!$C$37)),Forudsætninger!$E$37)+IF(K303&gt;Forudsætninger!$C$39,Forudsætninger!$G$39,IF(K303&gt;Forudsætninger!$C$38,Forudsætninger!$G$38+Forudsætninger!$H$39*(K303-Forudsætninger!$C$38),IF(K303&gt;Forudsætninger!$C$37,Forudsætninger!$G$37+Forudsætninger!$H$38*(K303-Forudsætninger!$C$37),Forudsætninger!$G$37)))*(U303-Forudsætninger!$H$37)</f>
        <v>37.219948422425425</v>
      </c>
      <c r="AC303" s="19">
        <f>IF(K303&gt;Forudsætninger!$C$42,IF(K303&gt;Forudsætninger!$C$43,IF(K303&gt;Forudsætninger!$C$44,Forudsætninger!$E$44,Forudsætninger!$E$43+Forudsætninger!$F$44*(K303-Forudsætninger!$C$43)),Forudsætninger!$E$42+Forudsætninger!$F$43*(K303-Forudsætninger!$C$42)),Forudsætninger!$E$42)+IF(K303&gt;Forudsætninger!$C$44,Forudsætninger!$G$44,IF(K303&gt;Forudsætninger!$C$43,Forudsætninger!$G$43+Forudsætninger!$H$44*(K303-Forudsætninger!$C$43),IF(K303&gt;Forudsætninger!$C$42,Forudsætninger!$G$42+Forudsætninger!$H$43*(K303-Forudsætninger!$C$42),Forudsætninger!$G$42)))*(V303-Forudsætninger!$H$42)</f>
        <v>31.869638784256111</v>
      </c>
      <c r="AD303" s="19">
        <f t="shared" si="113"/>
        <v>9500.4438912687747</v>
      </c>
      <c r="AE303" s="19">
        <f t="shared" si="114"/>
        <v>37.112942229662039</v>
      </c>
      <c r="AF303">
        <f>IF(G303&lt;=Forudsætninger!$C$97,Forudsætninger!$C$98,(IF(G303&lt;=Forudsætninger!$D$97,Forudsætninger!$D$98,IF(G303&lt;=Forudsætninger!$E$97,Forudsætninger!$E$98,IF(G303&lt;=Forudsætninger!$F$97,Forudsætninger!$F$98,IF(G303&lt;=Forudsætninger!$G$97,Forudsætninger!$G$98,IF(G303&lt;=Forudsætninger!$H$97,Forudsætninger!$H$98,IF(G303&lt;=Forudsætninger!$I$97,Forudsætninger!$I$98,Forudsætninger!$I$98))))))))</f>
        <v>4.4000000000000004</v>
      </c>
      <c r="AG303" s="1">
        <f t="shared" si="123"/>
        <v>4.4000000000000004</v>
      </c>
      <c r="AH303" s="1">
        <f t="shared" si="127"/>
        <v>1008.5999999999959</v>
      </c>
      <c r="AI303" s="1">
        <f t="shared" si="115"/>
        <v>3.3508305647840397</v>
      </c>
      <c r="AJ303" s="20">
        <f>+(W303*Forudsætninger!$C$12)</f>
        <v>900</v>
      </c>
      <c r="AK303" s="20">
        <f>Forudsætninger!$C$17</f>
        <v>250</v>
      </c>
      <c r="AL303" s="20">
        <f>IF(A303&lt;92,Forudsætninger!$C$20,Forudsætninger!$C$21)</f>
        <v>1.0566762728146013</v>
      </c>
      <c r="AM303" s="20">
        <f t="shared" si="124"/>
        <v>586.56504097048526</v>
      </c>
      <c r="AN303" s="19">
        <f>IFERROR(AD303+AJ303-AA303-Z303-AK303-AM303-Forudsætninger!$D$75,-99999)</f>
        <v>2087.1259292920445</v>
      </c>
      <c r="AO303" s="57">
        <f>IFERROR(AN303/(A303+Forudsætninger!$D$74),-99999)</f>
        <v>6.9339731870167594</v>
      </c>
      <c r="AP303" s="19">
        <f>IFERROR(((365/(A303+Forudsætninger!$D$74))*AN303)/(AI303+Forudsætninger!$D$73),-99999)</f>
        <v>731.29850360618525</v>
      </c>
      <c r="AQ303" s="18">
        <f t="shared" si="128"/>
        <v>301</v>
      </c>
      <c r="AR303" s="18">
        <f t="shared" si="129"/>
        <v>8095.4259882757697</v>
      </c>
      <c r="AS303" s="50">
        <f t="shared" si="130"/>
        <v>11</v>
      </c>
      <c r="AT303" s="50">
        <f t="shared" si="131"/>
        <v>-0.27367200280377801</v>
      </c>
      <c r="AU303" s="50">
        <f t="shared" si="132"/>
        <v>-2.4025483966068073E-2</v>
      </c>
      <c r="AV303" s="2">
        <f t="shared" si="133"/>
        <v>-3.2761729003925666</v>
      </c>
      <c r="AW303" s="16">
        <f t="shared" si="125"/>
        <v>8.8826942533638871</v>
      </c>
      <c r="AZ303" s="16"/>
      <c r="BA303" s="2"/>
    </row>
    <row r="304" spans="1:53" x14ac:dyDescent="0.25">
      <c r="A304">
        <v>302</v>
      </c>
      <c r="B304" s="1">
        <f>ROUND((A304+Forudsætninger!$D$60)/30.4,1)</f>
        <v>11.1</v>
      </c>
      <c r="C304" s="1">
        <f>VLOOKUP((A304+Forudsætninger!$D$60),'Model tilvækst, slagteform, fe'!A:C,3,FALSE)</f>
        <v>552.19489338921176</v>
      </c>
      <c r="D304" s="3">
        <f t="shared" si="134"/>
        <v>1256.5592648938946</v>
      </c>
      <c r="E304" s="3">
        <f>(1+Forudsætninger!$D$78)*C304</f>
        <v>463.84371044693785</v>
      </c>
      <c r="F304" s="2">
        <f t="shared" si="116"/>
        <v>0</v>
      </c>
      <c r="G304" s="1">
        <f t="shared" si="109"/>
        <v>463.84371044693785</v>
      </c>
      <c r="H304" s="3">
        <f t="shared" si="117"/>
        <v>1055.5097825108533</v>
      </c>
      <c r="I304" s="3">
        <f t="shared" si="118"/>
        <v>1297.4957299567477</v>
      </c>
      <c r="J304" s="1">
        <f>VLOOKUP((A304+Forudsætninger!$D$60),'Model tilvækst, slagteform, fe'!G:K,3,FALSE)*(1+Forudsætninger!$D$79)</f>
        <v>55.322690734628068</v>
      </c>
      <c r="K304" s="17">
        <f t="shared" si="110"/>
        <v>256.61082142258311</v>
      </c>
      <c r="L304" s="17">
        <f t="shared" si="119"/>
        <v>623.46713312268776</v>
      </c>
      <c r="M304" s="3">
        <f>((K304-(('Model tilvækst, slagteform, fe'!$I$9/100)*'Model tilvækst, slagteform, fe'!$C$9))*1000/(A304+Forudsætninger!$D$60))</f>
        <v>699.08410257801711</v>
      </c>
      <c r="N304" s="17">
        <f t="shared" si="120"/>
        <v>1793.7584597604261</v>
      </c>
      <c r="O304" s="19">
        <f>IF( A304&lt;Forudsætninger!$C$14,(G304/100)*Forudsætninger!$C$13,(Forudsætninger!$C$15/1000)*Forudsætninger!$C$13)</f>
        <v>3.014984117905096</v>
      </c>
      <c r="P304" s="17" cm="1">
        <f t="array" ref="P304">INDEX('Model tilvækst, slagteform, fe'!$O$9:$O$375,MATCH(MIN(ABS('Model tilvækst, slagteform, fe'!$M$9:$M$375-G304)),ABS('Model tilvækst, slagteform, fe'!$M$9:$M$375-G304),0))*(1+Forudsætninger!$D$80)</f>
        <v>8.4091713230600611</v>
      </c>
      <c r="Q304" s="17">
        <f t="shared" si="121"/>
        <v>13.487754007082966</v>
      </c>
      <c r="R304" s="17">
        <f t="shared" si="122"/>
        <v>8.0927096027215324</v>
      </c>
      <c r="S304" s="2">
        <f t="shared" si="111"/>
        <v>4.5777395730416623</v>
      </c>
      <c r="T304" s="19">
        <f>(P304)*IF(N304&lt;Forudsætninger!$B$228,IF(N304&lt;Forudsætninger!$B$227,Forudsætninger!$B$225,Forudsætninger!$C$9),Forudsætninger!$C$11)+O304</f>
        <v>22.69244501386564</v>
      </c>
      <c r="U304" s="2">
        <f>Forudsætninger!$D$68+((K304-(Forudsætninger!$D$84)))*0.01</f>
        <v>7.7057188955854832</v>
      </c>
      <c r="V304" s="2">
        <f>U304+Forudsætninger!$D$69</f>
        <v>7.7057188955854832</v>
      </c>
      <c r="W304">
        <f t="shared" si="112"/>
        <v>1</v>
      </c>
      <c r="X304">
        <f>IF(A304+Forudsætninger!$D$60&gt;248,IF(A304+Forudsætninger!$D$60&lt;365,IF(K304&gt;180,IF(K304&lt;260,1,0),0),0),0)</f>
        <v>1</v>
      </c>
      <c r="Y304" s="22">
        <f>IF(X304=0,0,IF('Vækstfunktion, kry tyr'!A304&lt;Forudsætninger!$D$66,Forudsætninger!$D$67+(('Vækstfunktion, kry tyr'!A304-Forudsætninger!$D$66)/7)*Forudsætninger!$D$64,Forudsætninger!$D$67))</f>
        <v>0.98</v>
      </c>
      <c r="Z304" s="19">
        <f t="shared" si="126"/>
        <v>5226.5533923191506</v>
      </c>
      <c r="AA304" s="19">
        <f>Forudsætninger!$D$62+Forudsætninger!$C$16</f>
        <v>2055</v>
      </c>
      <c r="AB304" s="19">
        <f>IF(K304&gt;Forudsætninger!$C$37,IF(K304&gt;Forudsætninger!$C$38,IF(K304&gt;Forudsætninger!$C$39,Forudsætninger!$E$39,Forudsætninger!$E$38+Forudsætninger!$F$39*(K304-Forudsætninger!$C$38)),Forudsætninger!$E$37+Forudsætninger!$F$38*(K304-Forudsætninger!$C$37)),Forudsætninger!$E$37)+IF(K304&gt;Forudsætninger!$C$39,Forudsætninger!$G$39,IF(K304&gt;Forudsætninger!$C$38,Forudsætninger!$G$38+Forudsætninger!$H$39*(K304-Forudsætninger!$C$38),IF(K304&gt;Forudsætninger!$C$37,Forudsætninger!$G$37+Forudsætninger!$H$38*(K304-Forudsætninger!$C$37),Forudsætninger!$G$37)))*(U304-Forudsætninger!$H$37)</f>
        <v>37.220571889558549</v>
      </c>
      <c r="AC304" s="19">
        <f>IF(K304&gt;Forudsætninger!$C$42,IF(K304&gt;Forudsætninger!$C$43,IF(K304&gt;Forudsætninger!$C$44,Forudsætninger!$E$44,Forudsætninger!$E$43+Forudsætninger!$F$44*(K304-Forudsætninger!$C$43)),Forudsætninger!$E$42+Forudsætninger!$F$43*(K304-Forudsætninger!$C$42)),Forudsætninger!$E$42)+IF(K304&gt;Forudsætninger!$C$44,Forudsætninger!$G$44,IF(K304&gt;Forudsætninger!$C$43,Forudsætninger!$G$43+Forudsætninger!$H$44*(K304-Forudsætninger!$C$43),IF(K304&gt;Forudsætninger!$C$42,Forudsætninger!$G$42+Forudsætninger!$H$43*(K304-Forudsætninger!$C$42),Forudsætninger!$G$42)))*(V304-Forudsætninger!$H$42)</f>
        <v>31.884880487258766</v>
      </c>
      <c r="AD304" s="19">
        <f t="shared" si="113"/>
        <v>9523.8176033258951</v>
      </c>
      <c r="AE304" s="19">
        <f t="shared" si="114"/>
        <v>37.113858061512552</v>
      </c>
      <c r="AF304">
        <f>IF(G304&lt;=Forudsætninger!$C$97,Forudsætninger!$C$98,(IF(G304&lt;=Forudsætninger!$D$97,Forudsætninger!$D$98,IF(G304&lt;=Forudsætninger!$E$97,Forudsætninger!$E$98,IF(G304&lt;=Forudsætninger!$F$97,Forudsætninger!$F$98,IF(G304&lt;=Forudsætninger!$G$97,Forudsætninger!$G$98,IF(G304&lt;=Forudsætninger!$H$97,Forudsætninger!$H$98,IF(G304&lt;=Forudsætninger!$I$97,Forudsætninger!$I$98,Forudsætninger!$I$98))))))))</f>
        <v>4.4000000000000004</v>
      </c>
      <c r="AG304" s="1">
        <f t="shared" si="123"/>
        <v>4.4000000000000004</v>
      </c>
      <c r="AH304" s="1">
        <f t="shared" si="127"/>
        <v>1012.9999999999959</v>
      </c>
      <c r="AI304" s="1">
        <f t="shared" si="115"/>
        <v>3.3543046357615758</v>
      </c>
      <c r="AJ304" s="20">
        <f>+(W304*Forudsætninger!$C$12)</f>
        <v>900</v>
      </c>
      <c r="AK304" s="20">
        <f>Forudsætninger!$C$17</f>
        <v>250</v>
      </c>
      <c r="AL304" s="20">
        <f>IF(A304&lt;92,Forudsætninger!$C$20,Forudsætninger!$C$21)</f>
        <v>1.0566762728146013</v>
      </c>
      <c r="AM304" s="20">
        <f t="shared" si="124"/>
        <v>587.62171724329983</v>
      </c>
      <c r="AN304" s="19">
        <f>IFERROR(AD304+AJ304-AA304-Z304-AK304-AM304-Forudsætninger!$D$75,-99999)</f>
        <v>2086.7505200624846</v>
      </c>
      <c r="AO304" s="57">
        <f>IFERROR(AN304/(A304+Forudsætninger!$D$74),-99999)</f>
        <v>6.9097699339817371</v>
      </c>
      <c r="AP304" s="19">
        <f>IFERROR(((365/(A304+Forudsætninger!$D$74))*AN304)/(AI304+Forudsætninger!$D$73),-99999)</f>
        <v>728.01508270039756</v>
      </c>
      <c r="AQ304" s="18">
        <f t="shared" si="128"/>
        <v>302</v>
      </c>
      <c r="AR304" s="18">
        <f t="shared" si="129"/>
        <v>8119.1751095624504</v>
      </c>
      <c r="AS304" s="50">
        <f t="shared" si="130"/>
        <v>11.1</v>
      </c>
      <c r="AT304" s="50">
        <f t="shared" si="131"/>
        <v>-0.37540922955986389</v>
      </c>
      <c r="AU304" s="50">
        <f t="shared" si="132"/>
        <v>-2.4203253035022243E-2</v>
      </c>
      <c r="AV304" s="2">
        <f t="shared" si="133"/>
        <v>-3.2834209057876933</v>
      </c>
      <c r="AW304" s="16">
        <f t="shared" si="125"/>
        <v>8.8555372096218026</v>
      </c>
      <c r="AZ304" s="16"/>
      <c r="BA304" s="2"/>
    </row>
    <row r="305" spans="1:53" x14ac:dyDescent="0.25">
      <c r="A305">
        <v>303</v>
      </c>
      <c r="B305" s="1">
        <f>ROUND((A305+Forudsætninger!$D$60)/30.4,1)</f>
        <v>11.1</v>
      </c>
      <c r="C305" s="1">
        <f>VLOOKUP((A305+Forudsætninger!$D$60),'Model tilvækst, slagteform, fe'!A:C,3,FALSE)</f>
        <v>553.44746528170276</v>
      </c>
      <c r="D305" s="3">
        <f t="shared" si="134"/>
        <v>1252.5718924910052</v>
      </c>
      <c r="E305" s="3">
        <f>(1+Forudsætninger!$D$78)*C305</f>
        <v>464.89587083663031</v>
      </c>
      <c r="F305" s="2">
        <f t="shared" si="116"/>
        <v>0</v>
      </c>
      <c r="G305" s="1">
        <f t="shared" si="109"/>
        <v>464.89587083663031</v>
      </c>
      <c r="H305" s="3">
        <f t="shared" si="117"/>
        <v>1052.1603896924603</v>
      </c>
      <c r="I305" s="3">
        <f t="shared" si="118"/>
        <v>1296.6860423651165</v>
      </c>
      <c r="J305" s="1">
        <f>VLOOKUP((A305+Forudsætninger!$D$60),'Model tilvækst, slagteform, fe'!G:K,3,FALSE)*(1+Forudsætninger!$D$79)</f>
        <v>55.331267666491229</v>
      </c>
      <c r="K305" s="17">
        <f t="shared" si="110"/>
        <v>257.23277866308121</v>
      </c>
      <c r="L305" s="17">
        <f t="shared" si="119"/>
        <v>621.95724049809087</v>
      </c>
      <c r="M305" s="3">
        <f>((K305-(('Model tilvækst, slagteform, fe'!$I$9/100)*'Model tilvækst, slagteform, fe'!$C$9))*1000/(A305+Forudsætninger!$D$60))</f>
        <v>698.85523948579191</v>
      </c>
      <c r="N305" s="17">
        <f t="shared" si="120"/>
        <v>1802.1843189475157</v>
      </c>
      <c r="O305" s="19">
        <f>IF( A305&lt;Forudsætninger!$C$14,(G305/100)*Forudsætninger!$C$13,(Forudsætninger!$C$15/1000)*Forudsætninger!$C$13)</f>
        <v>3.021823160438097</v>
      </c>
      <c r="P305" s="17" cm="1">
        <f t="array" ref="P305">INDEX('Model tilvækst, slagteform, fe'!$O$9:$O$375,MATCH(MIN(ABS('Model tilvækst, slagteform, fe'!$M$9:$M$375-G305)),ABS('Model tilvækst, slagteform, fe'!$M$9:$M$375-G305),0))*(1+Forudsætninger!$D$80)</f>
        <v>8.4258591870896584</v>
      </c>
      <c r="Q305" s="17">
        <f t="shared" si="121"/>
        <v>13.547328720446854</v>
      </c>
      <c r="R305" s="17">
        <f t="shared" si="122"/>
        <v>8.1079725365289086</v>
      </c>
      <c r="S305" s="2">
        <f t="shared" si="111"/>
        <v>4.5869260858098464</v>
      </c>
      <c r="T305" s="19">
        <f>(P305)*IF(N305&lt;Forudsætninger!$B$228,IF(N305&lt;Forudsætninger!$B$227,Forudsætninger!$B$225,Forudsætninger!$C$9),Forudsætninger!$C$11)+O305</f>
        <v>22.738333658227894</v>
      </c>
      <c r="U305" s="2">
        <f>Forudsætninger!$D$68+((K305-(Forudsætninger!$D$84)))*0.01</f>
        <v>7.7119384679904641</v>
      </c>
      <c r="V305" s="2">
        <f>U305+Forudsætninger!$D$69</f>
        <v>7.7119384679904641</v>
      </c>
      <c r="W305">
        <f t="shared" si="112"/>
        <v>1</v>
      </c>
      <c r="X305">
        <f>IF(A305+Forudsætninger!$D$60&gt;248,IF(A305+Forudsætninger!$D$60&lt;365,IF(K305&gt;180,IF(K305&lt;260,1,0),0),0),0)</f>
        <v>1</v>
      </c>
      <c r="Y305" s="22">
        <f>IF(X305=0,0,IF('Vækstfunktion, kry tyr'!A305&lt;Forudsætninger!$D$66,Forudsætninger!$D$67+(('Vækstfunktion, kry tyr'!A305-Forudsætninger!$D$66)/7)*Forudsætninger!$D$64,Forudsætninger!$D$67))</f>
        <v>0.98</v>
      </c>
      <c r="Z305" s="19">
        <f t="shared" si="126"/>
        <v>5249.2917259773785</v>
      </c>
      <c r="AA305" s="19">
        <f>Forudsætninger!$D$62+Forudsætninger!$C$16</f>
        <v>2055</v>
      </c>
      <c r="AB305" s="19">
        <f>IF(K305&gt;Forudsætninger!$C$37,IF(K305&gt;Forudsætninger!$C$38,IF(K305&gt;Forudsætninger!$C$39,Forudsætninger!$E$39,Forudsætninger!$E$38+Forudsætninger!$F$39*(K305-Forudsætninger!$C$38)),Forudsætninger!$E$37+Forudsætninger!$F$38*(K305-Forudsætninger!$C$37)),Forudsætninger!$E$37)+IF(K305&gt;Forudsætninger!$C$39,Forudsætninger!$G$39,IF(K305&gt;Forudsætninger!$C$38,Forudsætninger!$G$38+Forudsætninger!$H$39*(K305-Forudsætninger!$C$38),IF(K305&gt;Forudsætninger!$C$37,Forudsætninger!$G$37+Forudsætninger!$H$38*(K305-Forudsætninger!$C$37),Forudsætninger!$G$37)))*(U305-Forudsætninger!$H$37)</f>
        <v>37.221193846799046</v>
      </c>
      <c r="AC305" s="19">
        <f>IF(K305&gt;Forudsætninger!$C$42,IF(K305&gt;Forudsætninger!$C$43,IF(K305&gt;Forudsætninger!$C$44,Forudsætninger!$E$44,Forudsætninger!$E$43+Forudsætninger!$F$44*(K305-Forudsætninger!$C$43)),Forudsætninger!$E$42+Forudsætninger!$F$43*(K305-Forudsætninger!$C$42)),Forudsætninger!$E$42)+IF(K305&gt;Forudsætninger!$C$44,Forudsætninger!$G$44,IF(K305&gt;Forudsætninger!$C$43,Forudsætninger!$G$43+Forudsætninger!$H$44*(K305-Forudsætninger!$C$43),IF(K305&gt;Forudsætninger!$C$42,Forudsætninger!$G$42+Forudsætninger!$H$43*(K305-Forudsætninger!$C$42),Forudsætninger!$G$42)))*(V305-Forudsætninger!$H$42)</f>
        <v>31.900069140881214</v>
      </c>
      <c r="AD305" s="19">
        <f t="shared" si="113"/>
        <v>9547.1357644949785</v>
      </c>
      <c r="AE305" s="19">
        <f t="shared" si="114"/>
        <v>37.114771352680691</v>
      </c>
      <c r="AF305">
        <f>IF(G305&lt;=Forudsætninger!$C$97,Forudsætninger!$C$98,(IF(G305&lt;=Forudsætninger!$D$97,Forudsætninger!$D$98,IF(G305&lt;=Forudsætninger!$E$97,Forudsætninger!$E$98,IF(G305&lt;=Forudsætninger!$F$97,Forudsætninger!$F$98,IF(G305&lt;=Forudsætninger!$G$97,Forudsætninger!$G$98,IF(G305&lt;=Forudsætninger!$H$97,Forudsætninger!$H$98,IF(G305&lt;=Forudsætninger!$I$97,Forudsætninger!$I$98,Forudsætninger!$I$98))))))))</f>
        <v>4.4000000000000004</v>
      </c>
      <c r="AG305" s="1">
        <f t="shared" si="123"/>
        <v>4.4000000000000004</v>
      </c>
      <c r="AH305" s="1">
        <f t="shared" si="127"/>
        <v>1017.3999999999959</v>
      </c>
      <c r="AI305" s="1">
        <f t="shared" si="115"/>
        <v>3.357755775577544</v>
      </c>
      <c r="AJ305" s="20">
        <f>+(W305*Forudsætninger!$C$12)</f>
        <v>900</v>
      </c>
      <c r="AK305" s="20">
        <f>Forudsætninger!$C$17</f>
        <v>250</v>
      </c>
      <c r="AL305" s="20">
        <f>IF(A305&lt;92,Forudsætninger!$C$20,Forudsætninger!$C$21)</f>
        <v>1.0566762728146013</v>
      </c>
      <c r="AM305" s="20">
        <f t="shared" si="124"/>
        <v>588.6783935161144</v>
      </c>
      <c r="AN305" s="19">
        <f>IFERROR(AD305+AJ305-AA305-Z305-AK305-AM305-Forudsætninger!$D$75,-99999)</f>
        <v>2086.2736713005256</v>
      </c>
      <c r="AO305" s="57">
        <f>IFERROR(AN305/(A305+Forudsætninger!$D$74),-99999)</f>
        <v>6.8853916544571803</v>
      </c>
      <c r="AP305" s="19">
        <f>IFERROR(((365/(A305+Forudsætninger!$D$74))*AN305)/(AI305+Forudsætninger!$D$73),-99999)</f>
        <v>724.72461053238692</v>
      </c>
      <c r="AQ305" s="18">
        <f t="shared" si="128"/>
        <v>303</v>
      </c>
      <c r="AR305" s="18">
        <f t="shared" si="129"/>
        <v>8142.9701194934933</v>
      </c>
      <c r="AS305" s="50">
        <f t="shared" si="130"/>
        <v>11.1</v>
      </c>
      <c r="AT305" s="50">
        <f t="shared" si="131"/>
        <v>-0.47684876195899051</v>
      </c>
      <c r="AU305" s="50">
        <f t="shared" si="132"/>
        <v>-2.4378279524556845E-2</v>
      </c>
      <c r="AV305" s="2">
        <f t="shared" si="133"/>
        <v>-3.2904721680106377</v>
      </c>
      <c r="AW305" s="16">
        <f t="shared" si="125"/>
        <v>8.8282246363585468</v>
      </c>
      <c r="AZ305" s="16"/>
      <c r="BA305" s="2"/>
    </row>
    <row r="306" spans="1:53" x14ac:dyDescent="0.25">
      <c r="A306">
        <v>304</v>
      </c>
      <c r="B306" s="1">
        <f>ROUND((A306+Forudsætninger!$D$60)/30.4,1)</f>
        <v>11.1</v>
      </c>
      <c r="C306" s="1">
        <f>VLOOKUP((A306+Forudsætninger!$D$60),'Model tilvækst, slagteform, fe'!A:C,3,FALSE)</f>
        <v>554.69608002712312</v>
      </c>
      <c r="D306" s="3">
        <f t="shared" si="134"/>
        <v>1248.6147454203547</v>
      </c>
      <c r="E306" s="3">
        <f>(1+Forudsætninger!$D$78)*C306</f>
        <v>465.94470722278339</v>
      </c>
      <c r="F306" s="2">
        <f t="shared" si="116"/>
        <v>0</v>
      </c>
      <c r="G306" s="1">
        <f t="shared" si="109"/>
        <v>465.94470722278339</v>
      </c>
      <c r="H306" s="3">
        <f t="shared" si="117"/>
        <v>1048.8363861530843</v>
      </c>
      <c r="I306" s="3">
        <f t="shared" si="118"/>
        <v>1295.8707474433666</v>
      </c>
      <c r="J306" s="1">
        <f>VLOOKUP((A306+Forudsætninger!$D$60),'Model tilvækst, slagteform, fe'!G:K,3,FALSE)*(1+Forudsætninger!$D$79)</f>
        <v>55.339878501098383</v>
      </c>
      <c r="K306" s="17">
        <f t="shared" si="110"/>
        <v>257.85323485938693</v>
      </c>
      <c r="L306" s="17">
        <f t="shared" si="119"/>
        <v>620.45619630572446</v>
      </c>
      <c r="M306" s="3">
        <f>((K306-(('Model tilvækst, slagteform, fe'!$I$9/100)*'Model tilvækst, slagteform, fe'!$C$9))*1000/(A306+Forudsætninger!$D$60))</f>
        <v>698.62328965389815</v>
      </c>
      <c r="N306" s="17">
        <f t="shared" si="120"/>
        <v>1810.6101781346053</v>
      </c>
      <c r="O306" s="19">
        <f>IF( A306&lt;Forudsætninger!$C$14,(G306/100)*Forudsætninger!$C$13,(Forudsætninger!$C$15/1000)*Forudsætninger!$C$13)</f>
        <v>3.0286405969480921</v>
      </c>
      <c r="P306" s="17" cm="1">
        <f t="array" ref="P306">INDEX('Model tilvækst, slagteform, fe'!$O$9:$O$375,MATCH(MIN(ABS('Model tilvækst, slagteform, fe'!$M$9:$M$375-G306)),ABS('Model tilvækst, slagteform, fe'!$M$9:$M$375-G306),0))*(1+Forudsætninger!$D$80)</f>
        <v>8.4258591870896584</v>
      </c>
      <c r="Q306" s="17">
        <f t="shared" si="121"/>
        <v>13.580103216404803</v>
      </c>
      <c r="R306" s="17">
        <f t="shared" si="122"/>
        <v>8.1232049963800499</v>
      </c>
      <c r="S306" s="2">
        <f t="shared" si="111"/>
        <v>4.5961023081106411</v>
      </c>
      <c r="T306" s="19">
        <f>(P306)*IF(N306&lt;Forudsætninger!$B$228,IF(N306&lt;Forudsætninger!$B$227,Forudsætninger!$B$225,Forudsætninger!$C$9),Forudsætninger!$C$11)+O306</f>
        <v>22.745151094737892</v>
      </c>
      <c r="U306" s="2">
        <f>Forudsætninger!$D$68+((K306-(Forudsætninger!$D$84)))*0.01</f>
        <v>7.7181430299535219</v>
      </c>
      <c r="V306" s="2">
        <f>U306+Forudsætninger!$D$69</f>
        <v>7.7181430299535219</v>
      </c>
      <c r="W306">
        <f t="shared" si="112"/>
        <v>1</v>
      </c>
      <c r="X306">
        <f>IF(A306+Forudsætninger!$D$60&gt;248,IF(A306+Forudsætninger!$D$60&lt;365,IF(K306&gt;180,IF(K306&lt;260,1,0),0),0),0)</f>
        <v>1</v>
      </c>
      <c r="Y306" s="22">
        <f>IF(X306=0,0,IF('Vækstfunktion, kry tyr'!A306&lt;Forudsætninger!$D$66,Forudsætninger!$D$67+(('Vækstfunktion, kry tyr'!A306-Forudsætninger!$D$66)/7)*Forudsætninger!$D$64,Forudsætninger!$D$67))</f>
        <v>0.98</v>
      </c>
      <c r="Z306" s="19">
        <f t="shared" si="126"/>
        <v>5272.0368770721161</v>
      </c>
      <c r="AA306" s="19">
        <f>Forudsætninger!$D$62+Forudsætninger!$C$16</f>
        <v>2055</v>
      </c>
      <c r="AB306" s="19">
        <f>IF(K306&gt;Forudsætninger!$C$37,IF(K306&gt;Forudsætninger!$C$38,IF(K306&gt;Forudsætninger!$C$39,Forudsætninger!$E$39,Forudsætninger!$E$38+Forudsætninger!$F$39*(K306-Forudsætninger!$C$38)),Forudsætninger!$E$37+Forudsætninger!$F$38*(K306-Forudsætninger!$C$37)),Forudsætninger!$E$37)+IF(K306&gt;Forudsætninger!$C$39,Forudsætninger!$G$39,IF(K306&gt;Forudsætninger!$C$38,Forudsætninger!$G$38+Forudsætninger!$H$39*(K306-Forudsætninger!$C$38),IF(K306&gt;Forudsætninger!$C$37,Forudsætninger!$G$37+Forudsætninger!$H$38*(K306-Forudsætninger!$C$37),Forudsætninger!$G$37)))*(U306-Forudsætninger!$H$37)</f>
        <v>37.221814302995355</v>
      </c>
      <c r="AC306" s="19">
        <f>IF(K306&gt;Forudsætninger!$C$42,IF(K306&gt;Forudsætninger!$C$43,IF(K306&gt;Forudsætninger!$C$44,Forudsætninger!$E$44,Forudsætninger!$E$43+Forudsætninger!$F$44*(K306-Forudsætninger!$C$43)),Forudsætninger!$E$42+Forudsætninger!$F$43*(K306-Forudsætninger!$C$42)),Forudsætninger!$E$42)+IF(K306&gt;Forudsætninger!$C$44,Forudsætninger!$G$44,IF(K306&gt;Forudsætninger!$C$43,Forudsætninger!$G$43+Forudsætninger!$H$44*(K306-Forudsætninger!$C$43),IF(K306&gt;Forudsætninger!$C$42,Forudsætninger!$G$42+Forudsætninger!$H$43*(K306-Forudsætninger!$C$42),Forudsætninger!$G$42)))*(V306-Forudsætninger!$H$42)</f>
        <v>31.915205078251368</v>
      </c>
      <c r="AD306" s="19">
        <f t="shared" si="113"/>
        <v>9570.3986982680508</v>
      </c>
      <c r="AE306" s="19">
        <f t="shared" si="114"/>
        <v>37.115682118500473</v>
      </c>
      <c r="AF306">
        <f>IF(G306&lt;=Forudsætninger!$C$97,Forudsætninger!$C$98,(IF(G306&lt;=Forudsætninger!$D$97,Forudsætninger!$D$98,IF(G306&lt;=Forudsætninger!$E$97,Forudsætninger!$E$98,IF(G306&lt;=Forudsætninger!$F$97,Forudsætninger!$F$98,IF(G306&lt;=Forudsætninger!$G$97,Forudsætninger!$G$98,IF(G306&lt;=Forudsætninger!$H$97,Forudsætninger!$H$98,IF(G306&lt;=Forudsætninger!$I$97,Forudsætninger!$I$98,Forudsætninger!$I$98))))))))</f>
        <v>4.4000000000000004</v>
      </c>
      <c r="AG306" s="1">
        <f t="shared" si="123"/>
        <v>4.4000000000000004</v>
      </c>
      <c r="AH306" s="1">
        <f t="shared" si="127"/>
        <v>1021.7999999999959</v>
      </c>
      <c r="AI306" s="1">
        <f t="shared" si="115"/>
        <v>3.3611842105263023</v>
      </c>
      <c r="AJ306" s="20">
        <f>+(W306*Forudsætninger!$C$12)</f>
        <v>900</v>
      </c>
      <c r="AK306" s="20">
        <f>Forudsætninger!$C$17</f>
        <v>250</v>
      </c>
      <c r="AL306" s="20">
        <f>IF(A306&lt;92,Forudsætninger!$C$20,Forudsætninger!$C$21)</f>
        <v>1.0566762728146013</v>
      </c>
      <c r="AM306" s="20">
        <f t="shared" si="124"/>
        <v>589.73506978892897</v>
      </c>
      <c r="AN306" s="19">
        <f>IFERROR(AD306+AJ306-AA306-Z306-AK306-AM306-Forudsætninger!$D$75,-99999)</f>
        <v>2085.7347777060459</v>
      </c>
      <c r="AO306" s="57">
        <f>IFERROR(AN306/(A306+Forudsætninger!$D$74),-99999)</f>
        <v>6.8609696635067294</v>
      </c>
      <c r="AP306" s="19">
        <f>IFERROR(((365/(A306+Forudsætninger!$D$74))*AN306)/(AI306+Forudsætninger!$D$73),-99999)</f>
        <v>721.44080385761492</v>
      </c>
      <c r="AQ306" s="18">
        <f t="shared" si="128"/>
        <v>304</v>
      </c>
      <c r="AR306" s="18">
        <f t="shared" si="129"/>
        <v>8166.7719468610449</v>
      </c>
      <c r="AS306" s="50">
        <f t="shared" si="130"/>
        <v>11.1</v>
      </c>
      <c r="AT306" s="50">
        <f t="shared" si="131"/>
        <v>-0.53889359447975949</v>
      </c>
      <c r="AU306" s="50">
        <f t="shared" si="132"/>
        <v>-2.4421990950450834E-2</v>
      </c>
      <c r="AV306" s="2">
        <f t="shared" si="133"/>
        <v>-3.2838066747719949</v>
      </c>
      <c r="AW306" s="16">
        <f t="shared" si="125"/>
        <v>8.8008876562334688</v>
      </c>
      <c r="AZ306" s="16"/>
      <c r="BA306" s="2"/>
    </row>
    <row r="307" spans="1:53" x14ac:dyDescent="0.25">
      <c r="A307">
        <v>305</v>
      </c>
      <c r="B307" s="1">
        <f>ROUND((A307+Forudsætninger!$D$60)/30.4,1)</f>
        <v>11.2</v>
      </c>
      <c r="C307" s="1">
        <f>VLOOKUP((A307+Forudsætninger!$D$60),'Model tilvækst, slagteform, fe'!A:C,3,FALSE)</f>
        <v>555.94076847174074</v>
      </c>
      <c r="D307" s="3">
        <f t="shared" si="134"/>
        <v>1244.6884446176227</v>
      </c>
      <c r="E307" s="3">
        <f>(1+Forudsætninger!$D$78)*C307</f>
        <v>466.99024551626218</v>
      </c>
      <c r="F307" s="2">
        <f t="shared" si="116"/>
        <v>0</v>
      </c>
      <c r="G307" s="1">
        <f t="shared" si="109"/>
        <v>466.99024551626218</v>
      </c>
      <c r="H307" s="3">
        <f t="shared" si="117"/>
        <v>1045.5382934787849</v>
      </c>
      <c r="I307" s="3">
        <f t="shared" si="118"/>
        <v>1295.0499852992202</v>
      </c>
      <c r="J307" s="1">
        <f>VLOOKUP((A307+Forudsætninger!$D$60),'Model tilvækst, slagteform, fe'!G:K,3,FALSE)*(1+Forudsætninger!$D$79)</f>
        <v>55.348522069389389</v>
      </c>
      <c r="K307" s="17">
        <f t="shared" si="110"/>
        <v>258.47219910146407</v>
      </c>
      <c r="L307" s="17">
        <f t="shared" si="119"/>
        <v>618.96424207714063</v>
      </c>
      <c r="M307" s="3">
        <f>((K307-(('Model tilvækst, slagteform, fe'!$I$9/100)*'Model tilvækst, slagteform, fe'!$C$9))*1000/(A307+Forudsætninger!$D$60))</f>
        <v>698.38830721266879</v>
      </c>
      <c r="N307" s="17">
        <f t="shared" si="120"/>
        <v>1819.0527392711356</v>
      </c>
      <c r="O307" s="19">
        <f>IF( A307&lt;Forudsætninger!$C$14,(G307/100)*Forudsætninger!$C$13,(Forudsætninger!$C$15/1000)*Forudsætninger!$C$13)</f>
        <v>3.0354365958557041</v>
      </c>
      <c r="P307" s="17" cm="1">
        <f t="array" ref="P307">INDEX('Model tilvækst, slagteform, fe'!$O$9:$O$375,MATCH(MIN(ABS('Model tilvækst, slagteform, fe'!$M$9:$M$375-G307)),ABS('Model tilvækst, slagteform, fe'!$M$9:$M$375-G307),0))*(1+Forudsætninger!$D$80)</f>
        <v>8.4425611365302089</v>
      </c>
      <c r="Q307" s="17">
        <f t="shared" si="121"/>
        <v>13.639820465554495</v>
      </c>
      <c r="R307" s="17">
        <f t="shared" si="122"/>
        <v>8.1384819368566763</v>
      </c>
      <c r="S307" s="2">
        <f t="shared" si="111"/>
        <v>4.605310535943965</v>
      </c>
      <c r="T307" s="19">
        <f>(P307)*IF(N307&lt;Forudsætninger!$B$228,IF(N307&lt;Forudsætninger!$B$227,Forudsætninger!$B$225,Forudsætninger!$C$9),Forudsætninger!$C$11)+O307</f>
        <v>22.791029655336391</v>
      </c>
      <c r="U307" s="2">
        <f>Forudsætninger!$D$68+((K307-(Forudsætninger!$D$84)))*0.01</f>
        <v>7.7243326723742927</v>
      </c>
      <c r="V307" s="2">
        <f>U307+Forudsætninger!$D$69</f>
        <v>7.7243326723742927</v>
      </c>
      <c r="W307">
        <f t="shared" si="112"/>
        <v>1</v>
      </c>
      <c r="X307">
        <f>IF(A307+Forudsætninger!$D$60&gt;248,IF(A307+Forudsætninger!$D$60&lt;365,IF(K307&gt;180,IF(K307&lt;260,1,0),0),0),0)</f>
        <v>1</v>
      </c>
      <c r="Y307" s="22">
        <f>IF(X307=0,0,IF('Vækstfunktion, kry tyr'!A307&lt;Forudsætninger!$D$66,Forudsætninger!$D$67+(('Vækstfunktion, kry tyr'!A307-Forudsætninger!$D$66)/7)*Forudsætninger!$D$64,Forudsætninger!$D$67))</f>
        <v>0.98</v>
      </c>
      <c r="Z307" s="19">
        <f t="shared" si="126"/>
        <v>5294.8279067274525</v>
      </c>
      <c r="AA307" s="19">
        <f>Forudsætninger!$D$62+Forudsætninger!$C$16</f>
        <v>2055</v>
      </c>
      <c r="AB307" s="19">
        <f>IF(K307&gt;Forudsætninger!$C$37,IF(K307&gt;Forudsætninger!$C$38,IF(K307&gt;Forudsætninger!$C$39,Forudsætninger!$E$39,Forudsætninger!$E$38+Forudsætninger!$F$39*(K307-Forudsætninger!$C$38)),Forudsætninger!$E$37+Forudsætninger!$F$38*(K307-Forudsætninger!$C$37)),Forudsætninger!$E$37)+IF(K307&gt;Forudsætninger!$C$39,Forudsætninger!$G$39,IF(K307&gt;Forudsætninger!$C$38,Forudsætninger!$G$38+Forudsætninger!$H$39*(K307-Forudsætninger!$C$38),IF(K307&gt;Forudsætninger!$C$37,Forudsætninger!$G$37+Forudsætninger!$H$38*(K307-Forudsætninger!$C$37),Forudsætninger!$G$37)))*(U307-Forudsætninger!$H$37)</f>
        <v>37.222433267237427</v>
      </c>
      <c r="AC307" s="19">
        <f>IF(K307&gt;Forudsætninger!$C$42,IF(K307&gt;Forudsætninger!$C$43,IF(K307&gt;Forudsætninger!$C$44,Forudsætninger!$E$44,Forudsætninger!$E$43+Forudsætninger!$F$44*(K307-Forudsætninger!$C$43)),Forudsætninger!$E$42+Forudsætninger!$F$43*(K307-Forudsætninger!$C$42)),Forudsætninger!$E$42)+IF(K307&gt;Forudsætninger!$C$44,Forudsætninger!$G$44,IF(K307&gt;Forudsætninger!$C$43,Forudsætninger!$G$43+Forudsætninger!$H$44*(K307-Forudsætninger!$C$43),IF(K307&gt;Forudsætninger!$C$42,Forudsætninger!$G$42+Forudsætninger!$H$43*(K307-Forudsætninger!$C$42),Forudsætninger!$G$42)))*(V307-Forudsætninger!$H$42)</f>
        <v>31.930288637182137</v>
      </c>
      <c r="AD307" s="19">
        <f t="shared" si="113"/>
        <v>9593.6067372804846</v>
      </c>
      <c r="AE307" s="19">
        <f t="shared" si="114"/>
        <v>37.116590374636324</v>
      </c>
      <c r="AF307">
        <f>IF(G307&lt;=Forudsætninger!$C$97,Forudsætninger!$C$98,(IF(G307&lt;=Forudsætninger!$D$97,Forudsætninger!$D$98,IF(G307&lt;=Forudsætninger!$E$97,Forudsætninger!$E$98,IF(G307&lt;=Forudsætninger!$F$97,Forudsætninger!$F$98,IF(G307&lt;=Forudsætninger!$G$97,Forudsætninger!$G$98,IF(G307&lt;=Forudsætninger!$H$97,Forudsætninger!$H$98,IF(G307&lt;=Forudsætninger!$I$97,Forudsætninger!$I$98,Forudsætninger!$I$98))))))))</f>
        <v>4.4000000000000004</v>
      </c>
      <c r="AG307" s="1">
        <f t="shared" si="123"/>
        <v>4.4000000000000004</v>
      </c>
      <c r="AH307" s="1">
        <f t="shared" si="127"/>
        <v>1026.199999999996</v>
      </c>
      <c r="AI307" s="1">
        <f t="shared" si="115"/>
        <v>3.3645901639344129</v>
      </c>
      <c r="AJ307" s="20">
        <f>+(W307*Forudsætninger!$C$12)</f>
        <v>900</v>
      </c>
      <c r="AK307" s="20">
        <f>Forudsætninger!$C$17</f>
        <v>250</v>
      </c>
      <c r="AL307" s="20">
        <f>IF(A307&lt;92,Forudsætninger!$C$20,Forudsætninger!$C$21)</f>
        <v>1.0566762728146013</v>
      </c>
      <c r="AM307" s="20">
        <f t="shared" si="124"/>
        <v>590.79174606174354</v>
      </c>
      <c r="AN307" s="19">
        <f>IFERROR(AD307+AJ307-AA307-Z307-AK307-AM307-Forudsætninger!$D$75,-99999)</f>
        <v>2085.0951107903284</v>
      </c>
      <c r="AO307" s="57">
        <f>IFERROR(AN307/(A307+Forudsætninger!$D$74),-99999)</f>
        <v>6.8363774124273062</v>
      </c>
      <c r="AP307" s="19">
        <f>IFERROR(((365/(A307+Forudsætninger!$D$74))*AN307)/(AI307+Forudsætninger!$D$73),-99999)</f>
        <v>718.15023867749255</v>
      </c>
      <c r="AQ307" s="18">
        <f t="shared" si="128"/>
        <v>305</v>
      </c>
      <c r="AR307" s="18">
        <f t="shared" si="129"/>
        <v>8190.6196527891962</v>
      </c>
      <c r="AS307" s="50">
        <f t="shared" si="130"/>
        <v>11.2</v>
      </c>
      <c r="AT307" s="50">
        <f t="shared" si="131"/>
        <v>-0.63966691571749834</v>
      </c>
      <c r="AU307" s="50">
        <f t="shared" si="132"/>
        <v>-2.45922510794232E-2</v>
      </c>
      <c r="AV307" s="2">
        <f t="shared" si="133"/>
        <v>-3.2905651801223712</v>
      </c>
      <c r="AW307" s="16">
        <f t="shared" si="125"/>
        <v>8.7733995306625303</v>
      </c>
      <c r="AZ307" s="16"/>
      <c r="BA307" s="2"/>
    </row>
    <row r="308" spans="1:53" x14ac:dyDescent="0.25">
      <c r="A308">
        <v>306</v>
      </c>
      <c r="B308" s="1">
        <f>ROUND((A308+Forudsætninger!$D$60)/30.4,1)</f>
        <v>11.2</v>
      </c>
      <c r="C308" s="1">
        <f>VLOOKUP((A308+Forudsætninger!$D$60),'Model tilvækst, slagteform, fe'!A:C,3,FALSE)</f>
        <v>557.18156208276218</v>
      </c>
      <c r="D308" s="3">
        <f t="shared" si="134"/>
        <v>1240.793611021445</v>
      </c>
      <c r="E308" s="3">
        <f>(1+Forudsætninger!$D$78)*C308</f>
        <v>468.03251214952024</v>
      </c>
      <c r="F308" s="2">
        <f t="shared" si="116"/>
        <v>0</v>
      </c>
      <c r="G308" s="1">
        <f t="shared" si="109"/>
        <v>468.03251214952024</v>
      </c>
      <c r="H308" s="3">
        <f t="shared" si="117"/>
        <v>1042.2666332580661</v>
      </c>
      <c r="I308" s="3">
        <f t="shared" si="118"/>
        <v>1294.2238959134647</v>
      </c>
      <c r="J308" s="1">
        <f>VLOOKUP((A308+Forudsætninger!$D$60),'Model tilvækst, slagteform, fe'!G:K,3,FALSE)*(1+Forudsætninger!$D$79)</f>
        <v>55.3571972023041</v>
      </c>
      <c r="K308" s="17">
        <f t="shared" si="110"/>
        <v>259.08968072150782</v>
      </c>
      <c r="L308" s="17">
        <f t="shared" si="119"/>
        <v>617.48162004374763</v>
      </c>
      <c r="M308" s="3">
        <f>((K308-(('Model tilvækst, slagteform, fe'!$I$9/100)*'Model tilvækst, slagteform, fe'!$C$9))*1000/(A308+Forudsætninger!$D$60))</f>
        <v>698.15034636805433</v>
      </c>
      <c r="N308" s="17">
        <f t="shared" si="120"/>
        <v>1827.5120140949489</v>
      </c>
      <c r="O308" s="19">
        <f>IF( A308&lt;Forudsætninger!$C$14,(G308/100)*Forudsætninger!$C$13,(Forudsætninger!$C$15/1000)*Forudsætninger!$C$13)</f>
        <v>3.0422113289718817</v>
      </c>
      <c r="P308" s="17" cm="1">
        <f t="array" ref="P308">INDEX('Model tilvækst, slagteform, fe'!$O$9:$O$375,MATCH(MIN(ABS('Model tilvækst, slagteform, fe'!$M$9:$M$375-G308)),ABS('Model tilvækst, slagteform, fe'!$M$9:$M$375-G308),0))*(1+Forudsætninger!$D$80)</f>
        <v>8.4592748238132156</v>
      </c>
      <c r="Q308" s="17">
        <f t="shared" si="121"/>
        <v>13.699638255166022</v>
      </c>
      <c r="R308" s="17">
        <f t="shared" si="122"/>
        <v>8.1538030073885963</v>
      </c>
      <c r="S308" s="2">
        <f t="shared" si="111"/>
        <v>4.6145504675257074</v>
      </c>
      <c r="T308" s="19">
        <f>(P308)*IF(N308&lt;Forudsætninger!$B$228,IF(N308&lt;Forudsætninger!$B$227,Forudsætninger!$B$225,Forudsætninger!$C$9),Forudsætninger!$C$11)+O308</f>
        <v>22.836914416694803</v>
      </c>
      <c r="U308" s="2">
        <f>Forudsætninger!$D$68+((K308-(Forudsætninger!$D$84)))*0.01</f>
        <v>7.7305074885747302</v>
      </c>
      <c r="V308" s="2">
        <f>U308+Forudsætninger!$D$69</f>
        <v>7.7305074885747302</v>
      </c>
      <c r="W308">
        <f t="shared" si="112"/>
        <v>1</v>
      </c>
      <c r="X308">
        <f>IF(A308+Forudsætninger!$D$60&gt;248,IF(A308+Forudsætninger!$D$60&lt;365,IF(K308&gt;180,IF(K308&lt;260,1,0),0),0),0)</f>
        <v>1</v>
      </c>
      <c r="Y308" s="22">
        <f>IF(X308=0,0,IF('Vækstfunktion, kry tyr'!A308&lt;Forudsætninger!$D$66,Forudsætninger!$D$67+(('Vækstfunktion, kry tyr'!A308-Forudsætninger!$D$66)/7)*Forudsætninger!$D$64,Forudsætninger!$D$67))</f>
        <v>0.98</v>
      </c>
      <c r="Z308" s="19">
        <f>Z307+T308</f>
        <v>5317.664821144147</v>
      </c>
      <c r="AA308" s="19">
        <f>Forudsætninger!$D$62+Forudsætninger!$C$16</f>
        <v>2055</v>
      </c>
      <c r="AB308" s="19">
        <f>IF(K308&gt;Forudsætninger!$C$37,IF(K308&gt;Forudsætninger!$C$38,IF(K308&gt;Forudsætninger!$C$39,Forudsætninger!$E$39,Forudsætninger!$E$38+Forudsætninger!$F$39*(K308-Forudsætninger!$C$38)),Forudsætninger!$E$37+Forudsætninger!$F$38*(K308-Forudsætninger!$C$37)),Forudsætninger!$E$37)+IF(K308&gt;Forudsætninger!$C$39,Forudsætninger!$G$39,IF(K308&gt;Forudsætninger!$C$38,Forudsætninger!$G$38+Forudsætninger!$H$39*(K308-Forudsætninger!$C$38),IF(K308&gt;Forudsætninger!$C$37,Forudsætninger!$G$37+Forudsætninger!$H$38*(K308-Forudsætninger!$C$37),Forudsætninger!$G$37)))*(U308-Forudsætninger!$H$37)</f>
        <v>37.223050748857474</v>
      </c>
      <c r="AC308" s="19">
        <f>IF(K308&gt;Forudsætninger!$C$42,IF(K308&gt;Forudsætninger!$C$43,IF(K308&gt;Forudsætninger!$C$44,Forudsætninger!$E$44,Forudsætninger!$E$43+Forudsætninger!$F$44*(K308-Forudsætninger!$C$43)),Forudsætninger!$E$42+Forudsætninger!$F$43*(K308-Forudsætninger!$C$42)),Forudsætninger!$E$42)+IF(K308&gt;Forudsætninger!$C$44,Forudsætninger!$G$44,IF(K308&gt;Forudsætninger!$C$43,Forudsætninger!$G$43+Forudsætninger!$H$44*(K308-Forudsætninger!$C$43),IF(K308&gt;Forudsætninger!$C$42,Forudsætninger!$G$42+Forudsætninger!$H$43*(K308-Forudsætninger!$C$42),Forudsætninger!$G$42)))*(V308-Forudsætninger!$H$42)</f>
        <v>31.945320160162936</v>
      </c>
      <c r="AD308" s="19">
        <f t="shared" si="113"/>
        <v>9616.7602233387861</v>
      </c>
      <c r="AE308" s="19">
        <f t="shared" si="114"/>
        <v>37.117496137083585</v>
      </c>
      <c r="AF308">
        <f>IF(G308&lt;=Forudsætninger!$C$97,Forudsætninger!$C$98,(IF(G308&lt;=Forudsætninger!$D$97,Forudsætninger!$D$98,IF(G308&lt;=Forudsætninger!$E$97,Forudsætninger!$E$98,IF(G308&lt;=Forudsætninger!$F$97,Forudsætninger!$F$98,IF(G308&lt;=Forudsætninger!$G$97,Forudsætninger!$G$98,IF(G308&lt;=Forudsætninger!$H$97,Forudsætninger!$H$98,IF(G308&lt;=Forudsætninger!$I$97,Forudsætninger!$I$98,Forudsætninger!$I$98))))))))</f>
        <v>4.4000000000000004</v>
      </c>
      <c r="AG308" s="1">
        <f t="shared" si="123"/>
        <v>4.4000000000000004</v>
      </c>
      <c r="AH308" s="1">
        <f t="shared" si="127"/>
        <v>1030.599999999996</v>
      </c>
      <c r="AI308" s="1">
        <f t="shared" si="115"/>
        <v>3.3679738562091375</v>
      </c>
      <c r="AJ308" s="20">
        <f>+(W308*Forudsætninger!$C$12)</f>
        <v>900</v>
      </c>
      <c r="AK308" s="20">
        <f>Forudsætninger!$C$17</f>
        <v>250</v>
      </c>
      <c r="AL308" s="20">
        <f>IF(A308&lt;92,Forudsætninger!$C$20,Forudsætninger!$C$21)</f>
        <v>1.0566762728146013</v>
      </c>
      <c r="AM308" s="20">
        <f t="shared" si="124"/>
        <v>591.84842233455811</v>
      </c>
      <c r="AN308" s="19">
        <f>IFERROR(AD308+AJ308-AA308-Z308-AK308-AM308-Forudsætninger!$D$75,-99999)</f>
        <v>2084.3550061591209</v>
      </c>
      <c r="AO308" s="57">
        <f>IFERROR(AN308/(A308+Forudsætninger!$D$74),-99999)</f>
        <v>6.8116176671866695</v>
      </c>
      <c r="AP308" s="19">
        <f>IFERROR(((365/(A308+Forudsætninger!$D$74))*AN308)/(AI308+Forudsætninger!$D$73),-99999)</f>
        <v>714.85311601308138</v>
      </c>
      <c r="AQ308" s="18">
        <f t="shared" si="128"/>
        <v>306</v>
      </c>
      <c r="AR308" s="18">
        <f t="shared" si="129"/>
        <v>8214.5132434787047</v>
      </c>
      <c r="AS308" s="50">
        <f t="shared" si="130"/>
        <v>11.2</v>
      </c>
      <c r="AT308" s="50">
        <f t="shared" si="131"/>
        <v>-0.74010463120748682</v>
      </c>
      <c r="AU308" s="50">
        <f t="shared" si="132"/>
        <v>-2.4759745240636732E-2</v>
      </c>
      <c r="AV308" s="2">
        <f t="shared" si="133"/>
        <v>-3.2971226644111766</v>
      </c>
      <c r="AW308" s="16">
        <f t="shared" si="125"/>
        <v>8.7457628382146364</v>
      </c>
      <c r="AZ308" s="16"/>
      <c r="BA308" s="2"/>
    </row>
    <row r="309" spans="1:53" x14ac:dyDescent="0.25">
      <c r="A309">
        <v>307</v>
      </c>
      <c r="B309" s="1">
        <f>ROUND((A309+Forudsætninger!$D$60)/30.4,1)</f>
        <v>11.2</v>
      </c>
      <c r="C309" s="1">
        <f>VLOOKUP((A309+Forudsætninger!$D$60),'Model tilvækst, slagteform, fe'!A:C,3,FALSE)</f>
        <v>558.41849294832843</v>
      </c>
      <c r="D309" s="3">
        <f t="shared" si="134"/>
        <v>1236.9308655662508</v>
      </c>
      <c r="E309" s="3">
        <f>(1+Forudsætninger!$D$78)*C309</f>
        <v>469.07153407659587</v>
      </c>
      <c r="F309" s="2">
        <f t="shared" si="116"/>
        <v>0</v>
      </c>
      <c r="G309" s="1">
        <f t="shared" si="109"/>
        <v>469.07153407659587</v>
      </c>
      <c r="H309" s="3">
        <f t="shared" si="117"/>
        <v>1039.0219270756234</v>
      </c>
      <c r="I309" s="3">
        <f t="shared" si="118"/>
        <v>1293.392619142006</v>
      </c>
      <c r="J309" s="1">
        <f>VLOOKUP((A309+Forudsætninger!$D$60),'Model tilvækst, slagteform, fe'!G:K,3,FALSE)*(1+Forudsætninger!$D$79)</f>
        <v>55.365902730782409</v>
      </c>
      <c r="K309" s="17">
        <f t="shared" si="110"/>
        <v>259.70568929463695</v>
      </c>
      <c r="L309" s="17">
        <f t="shared" si="119"/>
        <v>616.00857312913604</v>
      </c>
      <c r="M309" s="3">
        <f>((K309-(('Model tilvækst, slagteform, fe'!$I$9/100)*'Model tilvækst, slagteform, fe'!$C$9))*1000/(A309+Forudsætninger!$D$60))</f>
        <v>697.90946140254437</v>
      </c>
      <c r="N309" s="17">
        <f t="shared" si="120"/>
        <v>1835.9880119963191</v>
      </c>
      <c r="O309" s="19">
        <f>IF( A309&lt;Forudsætninger!$C$14,(G309/100)*Forudsætninger!$C$13,(Forudsætninger!$C$15/1000)*Forudsætninger!$C$13)</f>
        <v>3.048964971497873</v>
      </c>
      <c r="P309" s="17" cm="1">
        <f t="array" ref="P309">INDEX('Model tilvækst, slagteform, fe'!$O$9:$O$375,MATCH(MIN(ABS('Model tilvækst, slagteform, fe'!$M$9:$M$375-G309)),ABS('Model tilvækst, slagteform, fe'!$M$9:$M$375-G309),0))*(1+Forudsætninger!$D$80)</f>
        <v>8.4759979013701905</v>
      </c>
      <c r="Q309" s="17">
        <f t="shared" si="121"/>
        <v>13.759545355537345</v>
      </c>
      <c r="R309" s="17">
        <f t="shared" si="122"/>
        <v>8.1691678411933211</v>
      </c>
      <c r="S309" s="2">
        <f t="shared" si="111"/>
        <v>4.6238217913706032</v>
      </c>
      <c r="T309" s="19">
        <f>(P309)*IF(N309&lt;Forudsætninger!$B$228,IF(N309&lt;Forudsætninger!$B$227,Forudsætninger!$B$225,Forudsætninger!$C$9),Forudsætninger!$C$11)+O309</f>
        <v>22.882800060704117</v>
      </c>
      <c r="U309" s="2">
        <f>Forudsætninger!$D$68+((K309-(Forudsætninger!$D$84)))*0.01</f>
        <v>7.736667574306022</v>
      </c>
      <c r="V309" s="2">
        <f>U309+Forudsætninger!$D$69</f>
        <v>7.736667574306022</v>
      </c>
      <c r="W309">
        <f t="shared" si="112"/>
        <v>1</v>
      </c>
      <c r="X309">
        <f>IF(A309+Forudsætninger!$D$60&gt;248,IF(A309+Forudsætninger!$D$60&lt;365,IF(K309&gt;180,IF(K309&lt;260,1,0),0),0),0)</f>
        <v>1</v>
      </c>
      <c r="Y309" s="22">
        <f>IF(X309=0,0,IF('Vækstfunktion, kry tyr'!A309&lt;Forudsætninger!$D$66,Forudsætninger!$D$67+(('Vækstfunktion, kry tyr'!A309-Forudsætninger!$D$66)/7)*Forudsætninger!$D$64,Forudsætninger!$D$67))</f>
        <v>0.98</v>
      </c>
      <c r="Z309" s="19">
        <f t="shared" si="126"/>
        <v>5340.5476212048516</v>
      </c>
      <c r="AA309" s="19">
        <f>Forudsætninger!$D$62+Forudsætninger!$C$16</f>
        <v>2055</v>
      </c>
      <c r="AB309" s="19">
        <f>IF(K309&gt;Forudsætninger!$C$37,IF(K309&gt;Forudsætninger!$C$38,IF(K309&gt;Forudsætninger!$C$39,Forudsætninger!$E$39,Forudsætninger!$E$38+Forudsætninger!$F$39*(K309-Forudsætninger!$C$38)),Forudsætninger!$E$37+Forudsætninger!$F$38*(K309-Forudsætninger!$C$37)),Forudsætninger!$E$37)+IF(K309&gt;Forudsætninger!$C$39,Forudsætninger!$G$39,IF(K309&gt;Forudsætninger!$C$38,Forudsætninger!$G$38+Forudsætninger!$H$39*(K309-Forudsætninger!$C$38),IF(K309&gt;Forudsætninger!$C$37,Forudsætninger!$G$37+Forudsætninger!$H$38*(K309-Forudsætninger!$C$37),Forudsætninger!$G$37)))*(U309-Forudsætninger!$H$37)</f>
        <v>37.2236667574306</v>
      </c>
      <c r="AC309" s="19">
        <f>IF(K309&gt;Forudsætninger!$C$42,IF(K309&gt;Forudsætninger!$C$43,IF(K309&gt;Forudsætninger!$C$44,Forudsætninger!$E$44,Forudsætninger!$E$43+Forudsætninger!$F$44*(K309-Forudsætninger!$C$43)),Forudsætninger!$E$42+Forudsætninger!$F$43*(K309-Forudsætninger!$C$42)),Forudsætninger!$E$42)+IF(K309&gt;Forudsætninger!$C$44,Forudsætninger!$G$44,IF(K309&gt;Forudsætninger!$C$43,Forudsætninger!$G$43+Forudsætninger!$H$44*(K309-Forudsætninger!$C$43),IF(K309&gt;Forudsætninger!$C$42,Forudsætninger!$G$42+Forudsætninger!$H$43*(K309-Forudsætninger!$C$42),Forudsætninger!$G$42)))*(V309-Forudsætninger!$H$42)</f>
        <v>31.960299994351022</v>
      </c>
      <c r="AD309" s="19">
        <f t="shared" si="113"/>
        <v>9639.8595074480563</v>
      </c>
      <c r="AE309" s="19">
        <f t="shared" si="114"/>
        <v>37.118399422169006</v>
      </c>
      <c r="AF309">
        <f>IF(G309&lt;=Forudsætninger!$C$97,Forudsætninger!$C$98,(IF(G309&lt;=Forudsætninger!$D$97,Forudsætninger!$D$98,IF(G309&lt;=Forudsætninger!$E$97,Forudsætninger!$E$98,IF(G309&lt;=Forudsætninger!$F$97,Forudsætninger!$F$98,IF(G309&lt;=Forudsætninger!$G$97,Forudsætninger!$G$98,IF(G309&lt;=Forudsætninger!$H$97,Forudsætninger!$H$98,IF(G309&lt;=Forudsætninger!$I$97,Forudsætninger!$I$98,Forudsætninger!$I$98))))))))</f>
        <v>4.4000000000000004</v>
      </c>
      <c r="AG309" s="1">
        <f t="shared" si="123"/>
        <v>4.4000000000000004</v>
      </c>
      <c r="AH309" s="1">
        <f t="shared" si="127"/>
        <v>1034.9999999999961</v>
      </c>
      <c r="AI309" s="1">
        <f t="shared" si="115"/>
        <v>3.3713355048859808</v>
      </c>
      <c r="AJ309" s="20">
        <f>+(W309*Forudsætninger!$C$12)</f>
        <v>900</v>
      </c>
      <c r="AK309" s="20">
        <f>Forudsætninger!$C$17</f>
        <v>250</v>
      </c>
      <c r="AL309" s="20">
        <f>IF(A309&lt;92,Forudsætninger!$C$20,Forudsætninger!$C$21)</f>
        <v>1.0566762728146013</v>
      </c>
      <c r="AM309" s="20">
        <f t="shared" si="124"/>
        <v>592.90509860737268</v>
      </c>
      <c r="AN309" s="19">
        <f>IFERROR(AD309+AJ309-AA309-Z309-AK309-AM309-Forudsætninger!$D$75,-99999)</f>
        <v>2083.5148139348721</v>
      </c>
      <c r="AO309" s="57">
        <f>IFERROR(AN309/(A309+Forudsætninger!$D$74),-99999)</f>
        <v>6.7866932049995832</v>
      </c>
      <c r="AP309" s="19">
        <f>IFERROR(((365/(A309+Forudsætninger!$D$74))*AN309)/(AI309+Forudsætninger!$D$73),-99999)</f>
        <v>711.54963845002305</v>
      </c>
      <c r="AQ309" s="18">
        <f t="shared" si="128"/>
        <v>307</v>
      </c>
      <c r="AR309" s="18">
        <f t="shared" si="129"/>
        <v>8238.452719812225</v>
      </c>
      <c r="AS309" s="50">
        <f t="shared" si="130"/>
        <v>11.2</v>
      </c>
      <c r="AT309" s="50">
        <f t="shared" si="131"/>
        <v>-0.84019222424876716</v>
      </c>
      <c r="AU309" s="50">
        <f t="shared" si="132"/>
        <v>-2.4924462187086327E-2</v>
      </c>
      <c r="AV309" s="2">
        <f t="shared" si="133"/>
        <v>-3.3034775630583226</v>
      </c>
      <c r="AW309" s="16">
        <f t="shared" si="125"/>
        <v>8.7179801711473761</v>
      </c>
      <c r="AZ309" s="16"/>
      <c r="BA309" s="2"/>
    </row>
    <row r="310" spans="1:53" x14ac:dyDescent="0.25">
      <c r="A310">
        <v>308</v>
      </c>
      <c r="B310" s="1">
        <f>ROUND((A310+Forudsætninger!$D$60)/30.4,1)</f>
        <v>11.3</v>
      </c>
      <c r="C310" s="1">
        <f>VLOOKUP((A310+Forudsætninger!$D$60),'Model tilvækst, slagteform, fe'!A:C,3,FALSE)</f>
        <v>559.65159377751843</v>
      </c>
      <c r="D310" s="3">
        <f t="shared" si="134"/>
        <v>1233.1008291899934</v>
      </c>
      <c r="E310" s="3">
        <f>(1+Forudsætninger!$D$78)*C310</f>
        <v>470.10733877311549</v>
      </c>
      <c r="F310" s="2">
        <f t="shared" si="116"/>
        <v>0</v>
      </c>
      <c r="G310" s="1">
        <f t="shared" si="109"/>
        <v>470.10733877311549</v>
      </c>
      <c r="H310" s="3">
        <f t="shared" si="117"/>
        <v>1035.8046965196195</v>
      </c>
      <c r="I310" s="3">
        <f t="shared" si="118"/>
        <v>1292.5562947179073</v>
      </c>
      <c r="J310" s="1">
        <f>VLOOKUP((A310+Forudsætninger!$D$60),'Model tilvækst, slagteform, fe'!G:K,3,FALSE)*(1+Forudsætninger!$D$79)</f>
        <v>55.374637485764133</v>
      </c>
      <c r="K310" s="17">
        <f t="shared" si="110"/>
        <v>260.32023463958581</v>
      </c>
      <c r="L310" s="17">
        <f t="shared" si="119"/>
        <v>614.54534494885138</v>
      </c>
      <c r="M310" s="3">
        <f>((K310-(('Model tilvækst, slagteform, fe'!$I$9/100)*'Model tilvækst, slagteform, fe'!$C$9))*1000/(A310+Forudsætninger!$D$60))</f>
        <v>697.66570667607152</v>
      </c>
      <c r="N310" s="17">
        <f t="shared" si="120"/>
        <v>1844.4807400179518</v>
      </c>
      <c r="O310" s="19">
        <f>IF( A310&lt;Forudsætninger!$C$14,(G310/100)*Forudsætninger!$C$13,(Forudsætninger!$C$15/1000)*Forudsætninger!$C$13)</f>
        <v>3.0556977020252507</v>
      </c>
      <c r="P310" s="17" cm="1">
        <f t="array" ref="P310">INDEX('Model tilvækst, slagteform, fe'!$O$9:$O$375,MATCH(MIN(ABS('Model tilvækst, slagteform, fe'!$M$9:$M$375-G310)),ABS('Model tilvækst, slagteform, fe'!$M$9:$M$375-G310),0))*(1+Forudsætninger!$D$80)</f>
        <v>8.4927280216326384</v>
      </c>
      <c r="Q310" s="17">
        <f t="shared" si="121"/>
        <v>13.819530310394732</v>
      </c>
      <c r="R310" s="17">
        <f t="shared" si="122"/>
        <v>8.1845760553477636</v>
      </c>
      <c r="S310" s="2">
        <f t="shared" si="111"/>
        <v>4.6331241863118127</v>
      </c>
      <c r="T310" s="19">
        <f>(P310)*IF(N310&lt;Forudsætninger!$B$228,IF(N310&lt;Forudsætninger!$B$227,Forudsætninger!$B$225,Forudsætninger!$C$9),Forudsætninger!$C$11)+O310</f>
        <v>22.928681272645626</v>
      </c>
      <c r="U310" s="2">
        <f>Forudsætninger!$D$68+((K310-(Forudsætninger!$D$84)))*0.01</f>
        <v>7.7428130277555107</v>
      </c>
      <c r="V310" s="2">
        <f>U310+Forudsætninger!$D$69</f>
        <v>7.7428130277555107</v>
      </c>
      <c r="W310">
        <f t="shared" si="112"/>
        <v>1</v>
      </c>
      <c r="X310">
        <f>IF(A310+Forudsætninger!$D$60&gt;248,IF(A310+Forudsætninger!$D$60&lt;365,IF(K310&gt;180,IF(K310&lt;260,1,0),0),0),0)</f>
        <v>0</v>
      </c>
      <c r="Y310" s="22">
        <f>IF(X310=0,0,IF('Vækstfunktion, kry tyr'!A310&lt;Forudsætninger!$D$66,Forudsætninger!$D$67+(('Vækstfunktion, kry tyr'!A310-Forudsætninger!$D$66)/7)*Forudsætninger!$D$64,Forudsætninger!$D$67))</f>
        <v>0</v>
      </c>
      <c r="Z310" s="19">
        <f t="shared" si="126"/>
        <v>5363.4763024774975</v>
      </c>
      <c r="AA310" s="19">
        <f>Forudsætninger!$D$62+Forudsætninger!$C$16</f>
        <v>2055</v>
      </c>
      <c r="AB310" s="19">
        <f>IF(K310&gt;Forudsætninger!$C$37,IF(K310&gt;Forudsætninger!$C$38,IF(K310&gt;Forudsætninger!$C$39,Forudsætninger!$E$39,Forudsætninger!$E$38+Forudsætninger!$F$39*(K310-Forudsætninger!$C$38)),Forudsætninger!$E$37+Forudsætninger!$F$38*(K310-Forudsætninger!$C$37)),Forudsætninger!$E$37)+IF(K310&gt;Forudsætninger!$C$39,Forudsætninger!$G$39,IF(K310&gt;Forudsætninger!$C$38,Forudsætninger!$G$38+Forudsætninger!$H$39*(K310-Forudsætninger!$C$38),IF(K310&gt;Forudsætninger!$C$37,Forudsætninger!$G$37+Forudsætninger!$H$38*(K310-Forudsætninger!$C$37),Forudsætninger!$G$37)))*(U310-Forudsætninger!$H$37)</f>
        <v>37.224281302775552</v>
      </c>
      <c r="AC310" s="19">
        <f>IF(K310&gt;Forudsætninger!$C$42,IF(K310&gt;Forudsætninger!$C$43,IF(K310&gt;Forudsætninger!$C$44,Forudsætninger!$E$44,Forudsætninger!$E$43+Forudsætninger!$F$44*(K310-Forudsætninger!$C$43)),Forudsætninger!$E$42+Forudsætninger!$F$43*(K310-Forudsætninger!$C$42)),Forudsætninger!$E$42)+IF(K310&gt;Forudsætninger!$C$44,Forudsætninger!$G$44,IF(K310&gt;Forudsætninger!$C$43,Forudsætninger!$G$43+Forudsætninger!$H$44*(K310-Forudsætninger!$C$43),IF(K310&gt;Forudsætninger!$C$42,Forudsætninger!$G$42+Forudsætninger!$H$43*(K310-Forudsætninger!$C$42),Forudsætninger!$G$42)))*(V310-Forudsætninger!$H$42)</f>
        <v>31.975228491562959</v>
      </c>
      <c r="AD310" s="19">
        <f t="shared" si="113"/>
        <v>8323.798983578039</v>
      </c>
      <c r="AE310" s="19">
        <f t="shared" si="114"/>
        <v>31.975228491562959</v>
      </c>
      <c r="AF310">
        <f>IF(G310&lt;=Forudsætninger!$C$97,Forudsætninger!$C$98,(IF(G310&lt;=Forudsætninger!$D$97,Forudsætninger!$D$98,IF(G310&lt;=Forudsætninger!$E$97,Forudsætninger!$E$98,IF(G310&lt;=Forudsætninger!$F$97,Forudsætninger!$F$98,IF(G310&lt;=Forudsætninger!$G$97,Forudsætninger!$G$98,IF(G310&lt;=Forudsætninger!$H$97,Forudsætninger!$H$98,IF(G310&lt;=Forudsætninger!$I$97,Forudsætninger!$I$98,Forudsætninger!$I$98))))))))</f>
        <v>4.4000000000000004</v>
      </c>
      <c r="AG310" s="1">
        <f t="shared" si="123"/>
        <v>4.4000000000000004</v>
      </c>
      <c r="AH310" s="1">
        <f t="shared" si="127"/>
        <v>1039.3999999999962</v>
      </c>
      <c r="AI310" s="1">
        <f t="shared" si="115"/>
        <v>3.3746753246753123</v>
      </c>
      <c r="AJ310" s="20">
        <f>+(W310*Forudsætninger!$C$12)</f>
        <v>900</v>
      </c>
      <c r="AK310" s="20">
        <f>Forudsætninger!$C$17</f>
        <v>250</v>
      </c>
      <c r="AL310" s="20">
        <f>IF(A310&lt;92,Forudsætninger!$C$20,Forudsætninger!$C$21)</f>
        <v>1.0566762728146013</v>
      </c>
      <c r="AM310" s="20">
        <f t="shared" si="124"/>
        <v>593.96177488018725</v>
      </c>
      <c r="AN310" s="19">
        <f>IFERROR(AD310+AJ310-AA310-Z310-AK310-AM310-Forudsætninger!$D$75,-99999)</f>
        <v>743.46893251939412</v>
      </c>
      <c r="AO310" s="57">
        <f>IFERROR(AN310/(A310+Forudsætninger!$D$74),-99999)</f>
        <v>2.4138601705175136</v>
      </c>
      <c r="AP310" s="19">
        <f>IFERROR(((365/(A310+Forudsætninger!$D$74))*AN310)/(AI310+Forudsætninger!$D$73),-99999)</f>
        <v>252.83817863891983</v>
      </c>
      <c r="AQ310" s="18">
        <f t="shared" si="128"/>
        <v>308</v>
      </c>
      <c r="AR310" s="18">
        <f t="shared" si="129"/>
        <v>8262.438077357685</v>
      </c>
      <c r="AS310" s="50">
        <f t="shared" si="130"/>
        <v>11.3</v>
      </c>
      <c r="AT310" s="50">
        <f t="shared" si="131"/>
        <v>-1340.0458814154781</v>
      </c>
      <c r="AU310" s="50">
        <f t="shared" si="132"/>
        <v>-4.3728330344820696</v>
      </c>
      <c r="AV310" s="2">
        <f t="shared" si="133"/>
        <v>-458.71145981110323</v>
      </c>
      <c r="AW310" s="16">
        <f t="shared" si="125"/>
        <v>4.342307491557083</v>
      </c>
      <c r="AZ310" s="16"/>
      <c r="BA310" s="2"/>
    </row>
    <row r="311" spans="1:53" x14ac:dyDescent="0.25">
      <c r="A311">
        <v>309</v>
      </c>
      <c r="B311" s="1">
        <f>ROUND((A311+Forudsætninger!$D$60)/30.4,1)</f>
        <v>11.3</v>
      </c>
      <c r="C311" s="1">
        <f>VLOOKUP((A311+Forudsætninger!$D$60),'Model tilvækst, slagteform, fe'!A:C,3,FALSE)</f>
        <v>560.88089790034746</v>
      </c>
      <c r="D311" s="3">
        <f t="shared" si="134"/>
        <v>1229.3041228290349</v>
      </c>
      <c r="E311" s="3">
        <f>(1+Forudsætninger!$D$78)*C311</f>
        <v>471.13995423629183</v>
      </c>
      <c r="F311" s="2">
        <f t="shared" si="116"/>
        <v>0</v>
      </c>
      <c r="G311" s="1">
        <f t="shared" si="109"/>
        <v>471.13995423629183</v>
      </c>
      <c r="H311" s="3">
        <f t="shared" si="117"/>
        <v>1032.6154631763416</v>
      </c>
      <c r="I311" s="3">
        <f t="shared" si="118"/>
        <v>1291.7150622533716</v>
      </c>
      <c r="J311" s="1">
        <f>VLOOKUP((A311+Forudsætninger!$D$60),'Model tilvækst, slagteform, fe'!G:K,3,FALSE)*(1+Forudsætninger!$D$79)</f>
        <v>55.383400298189166</v>
      </c>
      <c r="K311" s="17">
        <f t="shared" si="110"/>
        <v>260.93332681939074</v>
      </c>
      <c r="L311" s="17">
        <f t="shared" si="119"/>
        <v>613.09217980493713</v>
      </c>
      <c r="M311" s="3">
        <f>((K311-(('Model tilvækst, slagteform, fe'!$I$9/100)*'Model tilvækst, slagteform, fe'!$C$9))*1000/(A311+Forudsætninger!$D$60))</f>
        <v>697.41913662688455</v>
      </c>
      <c r="N311" s="17">
        <f t="shared" si="120"/>
        <v>1852.9902028549839</v>
      </c>
      <c r="O311" s="19">
        <f>IF( A311&lt;Forudsætninger!$C$14,(G311/100)*Forudsætninger!$C$13,(Forudsætninger!$C$15/1000)*Forudsætninger!$C$13)</f>
        <v>3.0624097025358972</v>
      </c>
      <c r="P311" s="17" cm="1">
        <f t="array" ref="P311">INDEX('Model tilvækst, slagteform, fe'!$O$9:$O$375,MATCH(MIN(ABS('Model tilvækst, slagteform, fe'!$M$9:$M$375-G311)),ABS('Model tilvækst, slagteform, fe'!$M$9:$M$375-G311),0))*(1+Forudsætninger!$D$80)</f>
        <v>8.5094628370320731</v>
      </c>
      <c r="Q311" s="17">
        <f t="shared" si="121"/>
        <v>13.879581435436778</v>
      </c>
      <c r="R311" s="17">
        <f t="shared" si="122"/>
        <v>8.2000272508566816</v>
      </c>
      <c r="S311" s="2">
        <f t="shared" si="111"/>
        <v>4.6424573215188802</v>
      </c>
      <c r="T311" s="19">
        <f>(P311)*IF(N311&lt;Forudsætninger!$B$228,IF(N311&lt;Forudsætninger!$B$227,Forudsætninger!$B$225,Forudsætninger!$C$9),Forudsætninger!$C$11)+O311</f>
        <v>22.974552741190948</v>
      </c>
      <c r="U311" s="2">
        <f>Forudsætninger!$D$68+((K311-(Forudsætninger!$D$84)))*0.01</f>
        <v>7.7489439495535599</v>
      </c>
      <c r="V311" s="2">
        <f>U311+Forudsætninger!$D$69</f>
        <v>7.7489439495535599</v>
      </c>
      <c r="W311">
        <f t="shared" si="112"/>
        <v>1</v>
      </c>
      <c r="X311">
        <f>IF(A311+Forudsætninger!$D$60&gt;248,IF(A311+Forudsætninger!$D$60&lt;365,IF(K311&gt;180,IF(K311&lt;260,1,0),0),0),0)</f>
        <v>0</v>
      </c>
      <c r="Y311" s="22">
        <f>IF(X311=0,0,IF('Vækstfunktion, kry tyr'!A311&lt;Forudsætninger!$D$66,Forudsætninger!$D$67+(('Vækstfunktion, kry tyr'!A311-Forudsætninger!$D$66)/7)*Forudsætninger!$D$64,Forudsætninger!$D$67))</f>
        <v>0</v>
      </c>
      <c r="Z311" s="19">
        <f t="shared" si="126"/>
        <v>5386.450855218688</v>
      </c>
      <c r="AA311" s="19">
        <f>Forudsætninger!$D$62+Forudsætninger!$C$16</f>
        <v>2055</v>
      </c>
      <c r="AB311" s="19">
        <f>IF(K311&gt;Forudsætninger!$C$37,IF(K311&gt;Forudsætninger!$C$38,IF(K311&gt;Forudsætninger!$C$39,Forudsætninger!$E$39,Forudsætninger!$E$38+Forudsætninger!$F$39*(K311-Forudsætninger!$C$38)),Forudsætninger!$E$37+Forudsætninger!$F$38*(K311-Forudsætninger!$C$37)),Forudsætninger!$E$37)+IF(K311&gt;Forudsætninger!$C$39,Forudsætninger!$G$39,IF(K311&gt;Forudsætninger!$C$38,Forudsætninger!$G$38+Forudsætninger!$H$39*(K311-Forudsætninger!$C$38),IF(K311&gt;Forudsætninger!$C$37,Forudsætninger!$G$37+Forudsætninger!$H$38*(K311-Forudsætninger!$C$37),Forudsætninger!$G$37)))*(U311-Forudsætninger!$H$37)</f>
        <v>37.224894394955356</v>
      </c>
      <c r="AC311" s="19">
        <f>IF(K311&gt;Forudsætninger!$C$42,IF(K311&gt;Forudsætninger!$C$43,IF(K311&gt;Forudsætninger!$C$44,Forudsætninger!$E$44,Forudsætninger!$E$43+Forudsætninger!$F$44*(K311-Forudsætninger!$C$43)),Forudsætninger!$E$42+Forudsætninger!$F$43*(K311-Forudsætninger!$C$42)),Forudsætninger!$E$42)+IF(K311&gt;Forudsætninger!$C$44,Forudsætninger!$G$44,IF(K311&gt;Forudsætninger!$C$43,Forudsætninger!$G$43+Forudsætninger!$H$44*(K311-Forudsætninger!$C$43),IF(K311&gt;Forudsætninger!$C$42,Forudsætninger!$G$42+Forudsætninger!$H$43*(K311-Forudsætninger!$C$42),Forudsætninger!$G$42)))*(V311-Forudsætninger!$H$42)</f>
        <v>31.990106008266011</v>
      </c>
      <c r="AD311" s="19">
        <f t="shared" si="113"/>
        <v>8347.2847860418296</v>
      </c>
      <c r="AE311" s="19">
        <f t="shared" si="114"/>
        <v>31.990106008266007</v>
      </c>
      <c r="AF311">
        <f>IF(G311&lt;=Forudsætninger!$C$97,Forudsætninger!$C$98,(IF(G311&lt;=Forudsætninger!$D$97,Forudsætninger!$D$98,IF(G311&lt;=Forudsætninger!$E$97,Forudsætninger!$E$98,IF(G311&lt;=Forudsætninger!$F$97,Forudsætninger!$F$98,IF(G311&lt;=Forudsætninger!$G$97,Forudsætninger!$G$98,IF(G311&lt;=Forudsætninger!$H$97,Forudsætninger!$H$98,IF(G311&lt;=Forudsætninger!$I$97,Forudsætninger!$I$98,Forudsætninger!$I$98))))))))</f>
        <v>4.4000000000000004</v>
      </c>
      <c r="AG311" s="1">
        <f t="shared" si="123"/>
        <v>4.4000000000000004</v>
      </c>
      <c r="AH311" s="1">
        <f t="shared" si="127"/>
        <v>1043.7999999999963</v>
      </c>
      <c r="AI311" s="1">
        <f t="shared" si="115"/>
        <v>3.3779935275080786</v>
      </c>
      <c r="AJ311" s="20">
        <f>+(W311*Forudsætninger!$C$12)</f>
        <v>900</v>
      </c>
      <c r="AK311" s="20">
        <f>Forudsætninger!$C$17</f>
        <v>250</v>
      </c>
      <c r="AL311" s="20">
        <f>IF(A311&lt;92,Forudsætninger!$C$20,Forudsætninger!$C$21)</f>
        <v>1.0566762728146013</v>
      </c>
      <c r="AM311" s="20">
        <f t="shared" si="124"/>
        <v>595.01845115300182</v>
      </c>
      <c r="AN311" s="19">
        <f>IFERROR(AD311+AJ311-AA311-Z311-AK311-AM311-Forudsætninger!$D$75,-99999)</f>
        <v>742.92350596917959</v>
      </c>
      <c r="AO311" s="57">
        <f>IFERROR(AN311/(A311+Forudsætninger!$D$74),-99999)</f>
        <v>2.4042831908387687</v>
      </c>
      <c r="AP311" s="19">
        <f>IFERROR(((365/(A311+Forudsætninger!$D$74))*AN311)/(AI311+Forudsætninger!$D$73),-99999)</f>
        <v>251.59546820693413</v>
      </c>
      <c r="AQ311" s="18">
        <f t="shared" si="128"/>
        <v>309</v>
      </c>
      <c r="AR311" s="18">
        <f t="shared" si="129"/>
        <v>8286.4693063716895</v>
      </c>
      <c r="AS311" s="50">
        <f t="shared" si="130"/>
        <v>11.3</v>
      </c>
      <c r="AT311" s="50">
        <f t="shared" si="131"/>
        <v>-0.54542655021452902</v>
      </c>
      <c r="AU311" s="50">
        <f t="shared" si="132"/>
        <v>-9.5769796787448236E-3</v>
      </c>
      <c r="AV311" s="2">
        <f t="shared" si="133"/>
        <v>-1.2427104319856994</v>
      </c>
      <c r="AW311" s="16">
        <f t="shared" si="125"/>
        <v>4.3299092463501019</v>
      </c>
      <c r="AZ311" s="16"/>
      <c r="BA311" s="2"/>
    </row>
    <row r="312" spans="1:53" x14ac:dyDescent="0.25">
      <c r="A312">
        <v>310</v>
      </c>
      <c r="B312" s="1">
        <f>ROUND((A312+Forudsætninger!$D$60)/30.4,1)</f>
        <v>11.3</v>
      </c>
      <c r="C312" s="1">
        <f>VLOOKUP((A312+Forudsætninger!$D$60),'Model tilvækst, slagteform, fe'!A:C,3,FALSE)</f>
        <v>562.10643926776697</v>
      </c>
      <c r="D312" s="3">
        <f t="shared" si="134"/>
        <v>1225.5413674195097</v>
      </c>
      <c r="E312" s="3">
        <f>(1+Forudsætninger!$D$78)*C312</f>
        <v>472.16940898492425</v>
      </c>
      <c r="F312" s="2">
        <f t="shared" si="116"/>
        <v>0</v>
      </c>
      <c r="G312" s="1">
        <f t="shared" si="109"/>
        <v>472.16940898492425</v>
      </c>
      <c r="H312" s="3">
        <f t="shared" si="117"/>
        <v>1029.4547486324177</v>
      </c>
      <c r="I312" s="3">
        <f t="shared" si="118"/>
        <v>1290.8690612416913</v>
      </c>
      <c r="J312" s="1">
        <f>VLOOKUP((A312+Forudsætninger!$D$60),'Model tilvækst, slagteform, fe'!G:K,3,FALSE)*(1+Forudsætninger!$D$79)</f>
        <v>55.392189998997374</v>
      </c>
      <c r="K312" s="17">
        <f t="shared" si="110"/>
        <v>261.54497614207224</v>
      </c>
      <c r="L312" s="17">
        <f t="shared" si="119"/>
        <v>611.64932268150096</v>
      </c>
      <c r="M312" s="3">
        <f>((K312-(('Model tilvækst, slagteform, fe'!$I$9/100)*'Model tilvækst, slagteform, fe'!$C$9))*1000/(A312+Forudsætninger!$D$60))</f>
        <v>697.16980577239212</v>
      </c>
      <c r="N312" s="17">
        <f t="shared" si="120"/>
        <v>1861.5164028549839</v>
      </c>
      <c r="O312" s="19">
        <f>IF( A312&lt;Forudsætninger!$C$14,(G312/100)*Forudsætninger!$C$13,(Forudsætninger!$C$15/1000)*Forudsætninger!$C$13)</f>
        <v>3.0691011584020074</v>
      </c>
      <c r="P312" s="17" cm="1">
        <f t="array" ref="P312">INDEX('Model tilvækst, slagteform, fe'!$O$9:$O$375,MATCH(MIN(ABS('Model tilvækst, slagteform, fe'!$M$9:$M$375-G312)),ABS('Model tilvækst, slagteform, fe'!$M$9:$M$375-G312),0))*(1+Forudsætninger!$D$80)</f>
        <v>8.5261999999999993</v>
      </c>
      <c r="Q312" s="17">
        <f t="shared" si="121"/>
        <v>13.939686816983162</v>
      </c>
      <c r="R312" s="17">
        <f t="shared" si="122"/>
        <v>8.2155210127180016</v>
      </c>
      <c r="S312" s="2">
        <f t="shared" si="111"/>
        <v>4.6518208565140808</v>
      </c>
      <c r="T312" s="19">
        <f>(P312)*IF(N312&lt;Forudsætninger!$B$228,IF(N312&lt;Forudsætninger!$B$227,Forudsætninger!$B$225,Forudsætninger!$C$9),Forudsætninger!$C$11)+O312</f>
        <v>23.020409158402003</v>
      </c>
      <c r="U312" s="2">
        <f>Forudsætninger!$D$68+((K312-(Forudsætninger!$D$84)))*0.01</f>
        <v>7.7550604427803744</v>
      </c>
      <c r="V312" s="2">
        <f>U312+Forudsætninger!$D$69</f>
        <v>7.7550604427803744</v>
      </c>
      <c r="W312">
        <f t="shared" si="112"/>
        <v>1</v>
      </c>
      <c r="X312">
        <f>IF(A312+Forudsætninger!$D$60&gt;248,IF(A312+Forudsætninger!$D$60&lt;365,IF(K312&gt;180,IF(K312&lt;260,1,0),0),0),0)</f>
        <v>0</v>
      </c>
      <c r="Y312" s="22">
        <f>IF(X312=0,0,IF('Vækstfunktion, kry tyr'!A312&lt;Forudsætninger!$D$66,Forudsætninger!$D$67+(('Vækstfunktion, kry tyr'!A312-Forudsætninger!$D$66)/7)*Forudsætninger!$D$64,Forudsætninger!$D$67))</f>
        <v>0</v>
      </c>
      <c r="Z312" s="19">
        <f t="shared" si="126"/>
        <v>5409.4712643770899</v>
      </c>
      <c r="AA312" s="19">
        <f>Forudsætninger!$D$62+Forudsætninger!$C$16</f>
        <v>2055</v>
      </c>
      <c r="AB312" s="19">
        <f>IF(K312&gt;Forudsætninger!$C$37,IF(K312&gt;Forudsætninger!$C$38,IF(K312&gt;Forudsætninger!$C$39,Forudsætninger!$E$39,Forudsætninger!$E$38+Forudsætninger!$F$39*(K312-Forudsætninger!$C$38)),Forudsætninger!$E$37+Forudsætninger!$F$38*(K312-Forudsætninger!$C$37)),Forudsætninger!$E$37)+IF(K312&gt;Forudsætninger!$C$39,Forudsætninger!$G$39,IF(K312&gt;Forudsætninger!$C$38,Forudsætninger!$G$38+Forudsætninger!$H$39*(K312-Forudsætninger!$C$38),IF(K312&gt;Forudsætninger!$C$37,Forudsætninger!$G$37+Forudsætninger!$H$38*(K312-Forudsætninger!$C$37),Forudsætninger!$G$37)))*(U312-Forudsætninger!$H$37)</f>
        <v>37.225506044278035</v>
      </c>
      <c r="AC312" s="19">
        <f>IF(K312&gt;Forudsætninger!$C$42,IF(K312&gt;Forudsætninger!$C$43,IF(K312&gt;Forudsætninger!$C$44,Forudsætninger!$E$44,Forudsætninger!$E$43+Forudsætninger!$F$44*(K312-Forudsætninger!$C$43)),Forudsætninger!$E$42+Forudsætninger!$F$43*(K312-Forudsætninger!$C$42)),Forudsætninger!$E$42)+IF(K312&gt;Forudsætninger!$C$44,Forudsætninger!$G$44,IF(K312&gt;Forudsætninger!$C$43,Forudsætninger!$G$43+Forudsætninger!$H$44*(K312-Forudsætninger!$C$43),IF(K312&gt;Forudsætninger!$C$42,Forudsætninger!$G$42+Forudsætninger!$H$43*(K312-Forudsætninger!$C$42),Forudsætninger!$G$42)))*(V312-Forudsætninger!$H$42)</f>
        <v>32.004932905569497</v>
      </c>
      <c r="AD312" s="19">
        <f t="shared" si="113"/>
        <v>8370.7294132157967</v>
      </c>
      <c r="AE312" s="19">
        <f t="shared" si="114"/>
        <v>32.004932905569497</v>
      </c>
      <c r="AF312">
        <f>IF(G312&lt;=Forudsætninger!$C$97,Forudsætninger!$C$98,(IF(G312&lt;=Forudsætninger!$D$97,Forudsætninger!$D$98,IF(G312&lt;=Forudsætninger!$E$97,Forudsætninger!$E$98,IF(G312&lt;=Forudsætninger!$F$97,Forudsætninger!$F$98,IF(G312&lt;=Forudsætninger!$G$97,Forudsætninger!$G$98,IF(G312&lt;=Forudsætninger!$H$97,Forudsætninger!$H$98,IF(G312&lt;=Forudsætninger!$I$97,Forudsætninger!$I$98,Forudsætninger!$I$98))))))))</f>
        <v>4.4000000000000004</v>
      </c>
      <c r="AG312" s="1">
        <f t="shared" si="123"/>
        <v>4.4000000000000004</v>
      </c>
      <c r="AH312" s="1">
        <f t="shared" si="127"/>
        <v>1048.1999999999964</v>
      </c>
      <c r="AI312" s="1">
        <f t="shared" si="115"/>
        <v>3.3812903225806337</v>
      </c>
      <c r="AJ312" s="20">
        <f>+(W312*Forudsætninger!$C$12)</f>
        <v>900</v>
      </c>
      <c r="AK312" s="20">
        <f>Forudsætninger!$C$17</f>
        <v>250</v>
      </c>
      <c r="AL312" s="20">
        <f>IF(A312&lt;92,Forudsætninger!$C$20,Forudsætninger!$C$21)</f>
        <v>1.0566762728146013</v>
      </c>
      <c r="AM312" s="20">
        <f t="shared" si="124"/>
        <v>596.07512742581639</v>
      </c>
      <c r="AN312" s="19">
        <f>IFERROR(AD312+AJ312-AA312-Z312-AK312-AM312-Forudsætninger!$D$75,-99999)</f>
        <v>742.29104771193022</v>
      </c>
      <c r="AO312" s="57">
        <f>IFERROR(AN312/(A312+Forudsætninger!$D$74),-99999)</f>
        <v>2.3944872506836457</v>
      </c>
      <c r="AP312" s="19">
        <f>IFERROR(((365/(A312+Forudsætninger!$D$74))*AN312)/(AI312+Forudsætninger!$D$73),-99999)</f>
        <v>250.33376366520875</v>
      </c>
      <c r="AQ312" s="18">
        <f t="shared" si="128"/>
        <v>310</v>
      </c>
      <c r="AR312" s="18">
        <f t="shared" si="129"/>
        <v>8310.5463918029054</v>
      </c>
      <c r="AS312" s="50">
        <f t="shared" si="130"/>
        <v>11.3</v>
      </c>
      <c r="AT312" s="50">
        <f t="shared" si="131"/>
        <v>-0.63245825724936822</v>
      </c>
      <c r="AU312" s="50">
        <f t="shared" si="132"/>
        <v>-9.795940155123084E-3</v>
      </c>
      <c r="AV312" s="2">
        <f t="shared" si="133"/>
        <v>-1.2617045417253792</v>
      </c>
      <c r="AW312" s="16">
        <f t="shared" si="125"/>
        <v>4.3173102423798282</v>
      </c>
      <c r="AZ312" s="16"/>
      <c r="BA312" s="2"/>
    </row>
    <row r="313" spans="1:53" x14ac:dyDescent="0.25">
      <c r="A313">
        <v>311</v>
      </c>
      <c r="B313" s="1">
        <f>ROUND((A313+Forudsætninger!$D$60)/30.4,1)</f>
        <v>11.3</v>
      </c>
      <c r="C313" s="1">
        <f>VLOOKUP((A313+Forudsætninger!$D$60),'Model tilvækst, slagteform, fe'!A:C,3,FALSE)</f>
        <v>563.328252451666</v>
      </c>
      <c r="D313" s="3">
        <f t="shared" si="134"/>
        <v>1221.8131838990303</v>
      </c>
      <c r="E313" s="3">
        <f>(1+Forudsætninger!$D$78)*C313</f>
        <v>473.1957320593994</v>
      </c>
      <c r="F313" s="2">
        <f t="shared" si="116"/>
        <v>0</v>
      </c>
      <c r="G313" s="1">
        <f t="shared" si="109"/>
        <v>473.1957320593994</v>
      </c>
      <c r="H313" s="3">
        <f t="shared" si="117"/>
        <v>1026.3230744751581</v>
      </c>
      <c r="I313" s="3">
        <f t="shared" si="118"/>
        <v>1290.0184310591621</v>
      </c>
      <c r="J313" s="1">
        <f>VLOOKUP((A313+Forudsætninger!$D$60),'Model tilvækst, slagteform, fe'!G:K,3,FALSE)*(1+Forudsætninger!$D$79)</f>
        <v>55.401005419128602</v>
      </c>
      <c r="K313" s="17">
        <f t="shared" si="110"/>
        <v>262.15519316131315</v>
      </c>
      <c r="L313" s="17">
        <f t="shared" si="119"/>
        <v>610.21701924090621</v>
      </c>
      <c r="M313" s="3">
        <f>((K313-(('Model tilvækst, slagteform, fe'!$I$9/100)*'Model tilvækst, slagteform, fe'!$C$9))*1000/(A313+Forudsætninger!$D$60))</f>
        <v>696.91776870998206</v>
      </c>
      <c r="N313" s="17">
        <f t="shared" si="120"/>
        <v>1870.0426028549839</v>
      </c>
      <c r="O313" s="19">
        <f>IF( A313&lt;Forudsætninger!$C$14,(G313/100)*Forudsætninger!$C$13,(Forudsætninger!$C$15/1000)*Forudsætninger!$C$13)</f>
        <v>3.0757722583860967</v>
      </c>
      <c r="P313" s="17" cm="1">
        <f t="array" ref="P313">INDEX('Model tilvækst, slagteform, fe'!$O$9:$O$375,MATCH(MIN(ABS('Model tilvækst, slagteform, fe'!$M$9:$M$375-G313)),ABS('Model tilvækst, slagteform, fe'!$M$9:$M$375-G313),0))*(1+Forudsætninger!$D$80)</f>
        <v>8.5261999999999993</v>
      </c>
      <c r="Q313" s="17">
        <f t="shared" si="121"/>
        <v>13.972406096779087</v>
      </c>
      <c r="R313" s="17">
        <f t="shared" si="122"/>
        <v>8.2309832414452675</v>
      </c>
      <c r="S313" s="2">
        <f t="shared" si="111"/>
        <v>4.661172722989269</v>
      </c>
      <c r="T313" s="19">
        <f>(P313)*IF(N313&lt;Forudsætninger!$B$228,IF(N313&lt;Forudsætninger!$B$227,Forudsætninger!$B$225,Forudsætninger!$C$9),Forudsætninger!$C$11)+O313</f>
        <v>23.027080258386093</v>
      </c>
      <c r="U313" s="2">
        <f>Forudsætninger!$D$68+((K313-(Forudsætninger!$D$84)))*0.01</f>
        <v>7.7611626129727842</v>
      </c>
      <c r="V313" s="2">
        <f>U313+Forudsætninger!$D$69</f>
        <v>7.7611626129727842</v>
      </c>
      <c r="W313">
        <f t="shared" si="112"/>
        <v>1</v>
      </c>
      <c r="X313">
        <f>IF(A313+Forudsætninger!$D$60&gt;248,IF(A313+Forudsætninger!$D$60&lt;365,IF(K313&gt;180,IF(K313&lt;260,1,0),0),0),0)</f>
        <v>0</v>
      </c>
      <c r="Y313" s="22">
        <f>IF(X313=0,0,IF('Vækstfunktion, kry tyr'!A313&lt;Forudsætninger!$D$66,Forudsætninger!$D$67+(('Vækstfunktion, kry tyr'!A313-Forudsætninger!$D$66)/7)*Forudsætninger!$D$64,Forudsætninger!$D$67))</f>
        <v>0</v>
      </c>
      <c r="Z313" s="19">
        <f t="shared" si="126"/>
        <v>5432.4983446354763</v>
      </c>
      <c r="AA313" s="19">
        <f>Forudsætninger!$D$62+Forudsætninger!$C$16</f>
        <v>2055</v>
      </c>
      <c r="AB313" s="19">
        <f>IF(K313&gt;Forudsætninger!$C$37,IF(K313&gt;Forudsætninger!$C$38,IF(K313&gt;Forudsætninger!$C$39,Forudsætninger!$E$39,Forudsætninger!$E$38+Forudsætninger!$F$39*(K313-Forudsætninger!$C$38)),Forudsætninger!$E$37+Forudsætninger!$F$38*(K313-Forudsætninger!$C$37)),Forudsætninger!$E$37)+IF(K313&gt;Forudsætninger!$C$39,Forudsætninger!$G$39,IF(K313&gt;Forudsætninger!$C$38,Forudsætninger!$G$38+Forudsætninger!$H$39*(K313-Forudsætninger!$C$38),IF(K313&gt;Forudsætninger!$C$37,Forudsætninger!$G$37+Forudsætninger!$H$38*(K313-Forudsætninger!$C$37),Forudsætninger!$G$37)))*(U313-Forudsætninger!$H$37)</f>
        <v>37.226116261297278</v>
      </c>
      <c r="AC313" s="19">
        <f>IF(K313&gt;Forudsætninger!$C$42,IF(K313&gt;Forudsætninger!$C$43,IF(K313&gt;Forudsætninger!$C$44,Forudsætninger!$E$44,Forudsætninger!$E$43+Forudsætninger!$F$44*(K313-Forudsætninger!$C$43)),Forudsætninger!$E$42+Forudsætninger!$F$43*(K313-Forudsætninger!$C$42)),Forudsætninger!$E$42)+IF(K313&gt;Forudsætninger!$C$44,Forudsætninger!$G$44,IF(K313&gt;Forudsætninger!$C$43,Forudsætninger!$G$43+Forudsætninger!$H$44*(K313-Forudsætninger!$C$43),IF(K313&gt;Forudsætninger!$C$42,Forudsætninger!$G$42+Forudsætninger!$H$43*(K313-Forudsætninger!$C$42),Forudsætninger!$G$42)))*(V313-Forudsætninger!$H$42)</f>
        <v>32.019709549216117</v>
      </c>
      <c r="AD313" s="19">
        <f t="shared" si="113"/>
        <v>8394.1331418438949</v>
      </c>
      <c r="AE313" s="19">
        <f t="shared" si="114"/>
        <v>32.019709549216117</v>
      </c>
      <c r="AF313">
        <f>IF(G313&lt;=Forudsætninger!$C$97,Forudsætninger!$C$98,(IF(G313&lt;=Forudsætninger!$D$97,Forudsætninger!$D$98,IF(G313&lt;=Forudsætninger!$E$97,Forudsætninger!$E$98,IF(G313&lt;=Forudsætninger!$F$97,Forudsætninger!$F$98,IF(G313&lt;=Forudsætninger!$G$97,Forudsætninger!$G$98,IF(G313&lt;=Forudsætninger!$H$97,Forudsætninger!$H$98,IF(G313&lt;=Forudsætninger!$I$97,Forudsætninger!$I$98,Forudsætninger!$I$98))))))))</f>
        <v>4.4000000000000004</v>
      </c>
      <c r="AG313" s="1">
        <f t="shared" si="123"/>
        <v>4.4000000000000004</v>
      </c>
      <c r="AH313" s="1">
        <f t="shared" si="127"/>
        <v>1052.5999999999965</v>
      </c>
      <c r="AI313" s="1">
        <f t="shared" si="115"/>
        <v>3.3845659163987025</v>
      </c>
      <c r="AJ313" s="20">
        <f>+(W313*Forudsætninger!$C$12)</f>
        <v>900</v>
      </c>
      <c r="AK313" s="20">
        <f>Forudsætninger!$C$17</f>
        <v>250</v>
      </c>
      <c r="AL313" s="20">
        <f>IF(A313&lt;92,Forudsætninger!$C$20,Forudsætninger!$C$21)</f>
        <v>1.0566762728146013</v>
      </c>
      <c r="AM313" s="20">
        <f t="shared" si="124"/>
        <v>597.13180369863096</v>
      </c>
      <c r="AN313" s="19">
        <f>IFERROR(AD313+AJ313-AA313-Z313-AK313-AM313-Forudsætninger!$D$75,-99999)</f>
        <v>741.61101980882745</v>
      </c>
      <c r="AO313" s="57">
        <f>IFERROR(AN313/(A313+Forudsætninger!$D$74),-99999)</f>
        <v>2.3846013498676122</v>
      </c>
      <c r="AP313" s="19">
        <f>IFERROR(((365/(A313+Forudsætninger!$D$74))*AN313)/(AI313+Forudsætninger!$D$73),-99999)</f>
        <v>249.06655462336832</v>
      </c>
      <c r="AQ313" s="18">
        <f t="shared" si="128"/>
        <v>311</v>
      </c>
      <c r="AR313" s="18">
        <f t="shared" si="129"/>
        <v>8334.6301483341067</v>
      </c>
      <c r="AS313" s="50">
        <f t="shared" si="130"/>
        <v>11.3</v>
      </c>
      <c r="AT313" s="50">
        <f t="shared" si="131"/>
        <v>-0.68002790310276851</v>
      </c>
      <c r="AU313" s="50">
        <f t="shared" si="132"/>
        <v>-9.885900816033466E-3</v>
      </c>
      <c r="AV313" s="2">
        <f t="shared" si="133"/>
        <v>-1.2672090418404309</v>
      </c>
      <c r="AW313" s="16">
        <f t="shared" si="125"/>
        <v>4.304639303882503</v>
      </c>
      <c r="AZ313" s="16"/>
      <c r="BA313" s="2"/>
    </row>
    <row r="314" spans="1:53" x14ac:dyDescent="0.25">
      <c r="A314">
        <v>312</v>
      </c>
      <c r="B314" s="1">
        <f>ROUND((A314+Forudsætninger!$D$60)/30.4,1)</f>
        <v>11.4</v>
      </c>
      <c r="C314" s="1">
        <f>VLOOKUP((A314+Forudsætninger!$D$60),'Model tilvækst, slagteform, fe'!A:C,3,FALSE)</f>
        <v>564.54637264486882</v>
      </c>
      <c r="D314" s="3">
        <f t="shared" si="134"/>
        <v>1218.1201932028216</v>
      </c>
      <c r="E314" s="3">
        <f>(1+Forudsætninger!$D$78)*C314</f>
        <v>474.2189530216898</v>
      </c>
      <c r="F314" s="2">
        <f t="shared" si="116"/>
        <v>0</v>
      </c>
      <c r="G314" s="1">
        <f t="shared" si="109"/>
        <v>474.2189530216898</v>
      </c>
      <c r="H314" s="3">
        <f t="shared" si="117"/>
        <v>1023.2209622903952</v>
      </c>
      <c r="I314" s="3">
        <f t="shared" si="118"/>
        <v>1289.1633109669544</v>
      </c>
      <c r="J314" s="1">
        <f>VLOOKUP((A314+Forudsætninger!$D$60),'Model tilvækst, slagteform, fe'!G:K,3,FALSE)*(1+Forudsætninger!$D$79)</f>
        <v>55.409845389522722</v>
      </c>
      <c r="K314" s="17">
        <f t="shared" si="110"/>
        <v>262.76398867713175</v>
      </c>
      <c r="L314" s="17">
        <f t="shared" si="119"/>
        <v>608.79551581859914</v>
      </c>
      <c r="M314" s="3">
        <f>((K314-(('Model tilvækst, slagteform, fe'!$I$9/100)*'Model tilvækst, slagteform, fe'!$C$9))*1000/(A314+Forudsætninger!$D$60))</f>
        <v>696.66308011781041</v>
      </c>
      <c r="N314" s="17">
        <f t="shared" si="120"/>
        <v>1878.5688028549839</v>
      </c>
      <c r="O314" s="19">
        <f>IF( A314&lt;Forudsætninger!$C$14,(G314/100)*Forudsætninger!$C$13,(Forudsætninger!$C$15/1000)*Forudsætninger!$C$13)</f>
        <v>3.0824231946409837</v>
      </c>
      <c r="P314" s="17" cm="1">
        <f t="array" ref="P314">INDEX('Model tilvækst, slagteform, fe'!$O$9:$O$375,MATCH(MIN(ABS('Model tilvækst, slagteform, fe'!$M$9:$M$375-G314)),ABS('Model tilvækst, slagteform, fe'!$M$9:$M$375-G314),0))*(1+Forudsætninger!$D$80)</f>
        <v>8.5261999999999993</v>
      </c>
      <c r="Q314" s="17">
        <f t="shared" si="121"/>
        <v>14.005030882225689</v>
      </c>
      <c r="R314" s="17">
        <f t="shared" si="122"/>
        <v>8.246414091138071</v>
      </c>
      <c r="S314" s="2">
        <f t="shared" si="111"/>
        <v>4.6705128854375033</v>
      </c>
      <c r="T314" s="19">
        <f>(P314)*IF(N314&lt;Forudsætninger!$B$228,IF(N314&lt;Forudsætninger!$B$227,Forudsætninger!$B$225,Forudsætninger!$C$9),Forudsætninger!$C$11)+O314</f>
        <v>23.033731194640982</v>
      </c>
      <c r="U314" s="2">
        <f>Forudsætninger!$D$68+((K314-(Forudsætninger!$D$84)))*0.01</f>
        <v>7.7672505681309696</v>
      </c>
      <c r="V314" s="2">
        <f>U314+Forudsætninger!$D$69</f>
        <v>7.7672505681309696</v>
      </c>
      <c r="W314">
        <f t="shared" si="112"/>
        <v>1</v>
      </c>
      <c r="X314">
        <f>IF(A314+Forudsætninger!$D$60&gt;248,IF(A314+Forudsætninger!$D$60&lt;365,IF(K314&gt;180,IF(K314&lt;260,1,0),0),0),0)</f>
        <v>0</v>
      </c>
      <c r="Y314" s="22">
        <f>IF(X314=0,0,IF('Vækstfunktion, kry tyr'!A314&lt;Forudsætninger!$D$66,Forudsætninger!$D$67+(('Vækstfunktion, kry tyr'!A314-Forudsætninger!$D$66)/7)*Forudsætninger!$D$64,Forudsætninger!$D$67))</f>
        <v>0</v>
      </c>
      <c r="Z314" s="19">
        <f t="shared" si="126"/>
        <v>5455.5320758301177</v>
      </c>
      <c r="AA314" s="19">
        <f>Forudsætninger!$D$62+Forudsætninger!$C$16</f>
        <v>2055</v>
      </c>
      <c r="AB314" s="19">
        <f>IF(K314&gt;Forudsætninger!$C$37,IF(K314&gt;Forudsætninger!$C$38,IF(K314&gt;Forudsætninger!$C$39,Forudsætninger!$E$39,Forudsætninger!$E$38+Forudsætninger!$F$39*(K314-Forudsætninger!$C$38)),Forudsætninger!$E$37+Forudsætninger!$F$38*(K314-Forudsætninger!$C$37)),Forudsætninger!$E$37)+IF(K314&gt;Forudsætninger!$C$39,Forudsætninger!$G$39,IF(K314&gt;Forudsætninger!$C$38,Forudsætninger!$G$38+Forudsætninger!$H$39*(K314-Forudsætninger!$C$38),IF(K314&gt;Forudsætninger!$C$37,Forudsætninger!$G$37+Forudsætninger!$H$38*(K314-Forudsætninger!$C$37),Forudsætninger!$G$37)))*(U314-Forudsætninger!$H$37)</f>
        <v>37.226725056813095</v>
      </c>
      <c r="AC314" s="19">
        <f>IF(K314&gt;Forudsætninger!$C$42,IF(K314&gt;Forudsætninger!$C$43,IF(K314&gt;Forudsætninger!$C$44,Forudsætninger!$E$44,Forudsætninger!$E$43+Forudsætninger!$F$44*(K314-Forudsætninger!$C$43)),Forudsætninger!$E$42+Forudsætninger!$F$43*(K314-Forudsætninger!$C$42)),Forudsætninger!$E$42)+IF(K314&gt;Forudsætninger!$C$44,Forudsætninger!$G$44,IF(K314&gt;Forudsætninger!$C$43,Forudsætninger!$G$43+Forudsætninger!$H$44*(K314-Forudsætninger!$C$43),IF(K314&gt;Forudsætninger!$C$42,Forudsætninger!$G$42+Forudsætninger!$H$43*(K314-Forudsætninger!$C$42),Forudsætninger!$G$42)))*(V314-Forudsætninger!$H$42)</f>
        <v>32.034436309573287</v>
      </c>
      <c r="AD314" s="19">
        <f t="shared" si="113"/>
        <v>8417.4962597270132</v>
      </c>
      <c r="AE314" s="19">
        <f t="shared" si="114"/>
        <v>32.034436309573287</v>
      </c>
      <c r="AF314">
        <f>IF(G314&lt;=Forudsætninger!$C$97,Forudsætninger!$C$98,(IF(G314&lt;=Forudsætninger!$D$97,Forudsætninger!$D$98,IF(G314&lt;=Forudsætninger!$E$97,Forudsætninger!$E$98,IF(G314&lt;=Forudsætninger!$F$97,Forudsætninger!$F$98,IF(G314&lt;=Forudsætninger!$G$97,Forudsætninger!$G$98,IF(G314&lt;=Forudsætninger!$H$97,Forudsætninger!$H$98,IF(G314&lt;=Forudsætninger!$I$97,Forudsætninger!$I$98,Forudsætninger!$I$98))))))))</f>
        <v>4.4000000000000004</v>
      </c>
      <c r="AG314" s="1">
        <f t="shared" si="123"/>
        <v>4.4000000000000004</v>
      </c>
      <c r="AH314" s="1">
        <f t="shared" si="127"/>
        <v>1056.9999999999966</v>
      </c>
      <c r="AI314" s="1">
        <f t="shared" si="115"/>
        <v>3.3878205128205017</v>
      </c>
      <c r="AJ314" s="20">
        <f>+(W314*Forudsætninger!$C$12)</f>
        <v>900</v>
      </c>
      <c r="AK314" s="20">
        <f>Forudsætninger!$C$17</f>
        <v>250</v>
      </c>
      <c r="AL314" s="20">
        <f>IF(A314&lt;92,Forudsætninger!$C$20,Forudsætninger!$C$21)</f>
        <v>1.0566762728146013</v>
      </c>
      <c r="AM314" s="20">
        <f t="shared" si="124"/>
        <v>598.18847997144553</v>
      </c>
      <c r="AN314" s="19">
        <f>IFERROR(AD314+AJ314-AA314-Z314-AK314-AM314-Forudsætninger!$D$75,-99999)</f>
        <v>740.8837302244898</v>
      </c>
      <c r="AO314" s="57">
        <f>IFERROR(AN314/(A314+Forudsætninger!$D$74),-99999)</f>
        <v>2.3746273404631082</v>
      </c>
      <c r="AP314" s="19">
        <f>IFERROR(((365/(A314+Forudsætninger!$D$74))*AN314)/(AI314+Forudsætninger!$D$73),-99999)</f>
        <v>247.79401232630175</v>
      </c>
      <c r="AQ314" s="18">
        <f t="shared" si="128"/>
        <v>312</v>
      </c>
      <c r="AR314" s="18">
        <f t="shared" si="129"/>
        <v>8358.720555801563</v>
      </c>
      <c r="AS314" s="50">
        <f t="shared" si="130"/>
        <v>11.4</v>
      </c>
      <c r="AT314" s="50">
        <f t="shared" si="131"/>
        <v>-0.72728958433765456</v>
      </c>
      <c r="AU314" s="50">
        <f t="shared" si="132"/>
        <v>-9.9740094045039918E-3</v>
      </c>
      <c r="AV314" s="2">
        <f t="shared" si="133"/>
        <v>-1.2725422970665647</v>
      </c>
      <c r="AW314" s="16">
        <f t="shared" si="125"/>
        <v>4.2918981096023572</v>
      </c>
      <c r="AZ314" s="16"/>
      <c r="BA314" s="2"/>
    </row>
    <row r="315" spans="1:53" x14ac:dyDescent="0.25">
      <c r="A315">
        <v>313</v>
      </c>
      <c r="B315" s="1">
        <f>ROUND((A315+Forudsætninger!$D$60)/30.4,1)</f>
        <v>11.4</v>
      </c>
      <c r="C315" s="1">
        <f>VLOOKUP((A315+Forudsætninger!$D$60),'Model tilvækst, slagteform, fe'!A:C,3,FALSE)</f>
        <v>565.76083566113789</v>
      </c>
      <c r="D315" s="3">
        <f t="shared" si="134"/>
        <v>1214.4630162690646</v>
      </c>
      <c r="E315" s="3">
        <f>(1+Forudsætninger!$D$78)*C315</f>
        <v>475.23910195535581</v>
      </c>
      <c r="F315" s="2">
        <f t="shared" si="116"/>
        <v>0</v>
      </c>
      <c r="G315" s="1">
        <f t="shared" si="109"/>
        <v>475.23910195535581</v>
      </c>
      <c r="H315" s="3">
        <f t="shared" si="117"/>
        <v>1020.1489336660075</v>
      </c>
      <c r="I315" s="3">
        <f t="shared" si="118"/>
        <v>1288.3038401129577</v>
      </c>
      <c r="J315" s="1">
        <f>VLOOKUP((A315+Forudsætninger!$D$60),'Model tilvækst, slagteform, fe'!G:K,3,FALSE)*(1+Forudsætninger!$D$79)</f>
        <v>55.418708741119602</v>
      </c>
      <c r="K315" s="17">
        <f t="shared" si="110"/>
        <v>263.37137373655105</v>
      </c>
      <c r="L315" s="17">
        <f t="shared" si="119"/>
        <v>607.38505941930043</v>
      </c>
      <c r="M315" s="3">
        <f>((K315-(('Model tilvækst, slagteform, fe'!$I$9/100)*'Model tilvækst, slagteform, fe'!$C$9))*1000/(A315+Forudsætninger!$D$60))</f>
        <v>696.40579475556694</v>
      </c>
      <c r="N315" s="17">
        <f t="shared" si="120"/>
        <v>1887.0950028549839</v>
      </c>
      <c r="O315" s="19">
        <f>IF( A315&lt;Forudsætninger!$C$14,(G315/100)*Forudsætninger!$C$13,(Forudsætninger!$C$15/1000)*Forudsætninger!$C$13)</f>
        <v>3.0890541627098127</v>
      </c>
      <c r="P315" s="17" cm="1">
        <f t="array" ref="P315">INDEX('Model tilvækst, slagteform, fe'!$O$9:$O$375,MATCH(MIN(ABS('Model tilvækst, slagteform, fe'!$M$9:$M$375-G315)),ABS('Model tilvækst, slagteform, fe'!$M$9:$M$375-G315),0))*(1+Forudsætninger!$D$80)</f>
        <v>8.5261999999999993</v>
      </c>
      <c r="Q315" s="17">
        <f t="shared" si="121"/>
        <v>14.037553060906042</v>
      </c>
      <c r="R315" s="17">
        <f t="shared" si="122"/>
        <v>8.261813701223673</v>
      </c>
      <c r="S315" s="2">
        <f t="shared" si="111"/>
        <v>4.6798412993785306</v>
      </c>
      <c r="T315" s="19">
        <f>(P315)*IF(N315&lt;Forudsætninger!$B$228,IF(N315&lt;Forudsætninger!$B$227,Forudsætninger!$B$225,Forudsætninger!$C$9),Forudsætninger!$C$11)+O315</f>
        <v>23.040362162709812</v>
      </c>
      <c r="U315" s="2">
        <f>Forudsætninger!$D$68+((K315-(Forudsætninger!$D$84)))*0.01</f>
        <v>7.7733244187251627</v>
      </c>
      <c r="V315" s="2">
        <f>U315+Forudsætninger!$D$69</f>
        <v>7.7733244187251627</v>
      </c>
      <c r="W315">
        <f t="shared" si="112"/>
        <v>1</v>
      </c>
      <c r="X315">
        <f>IF(A315+Forudsætninger!$D$60&gt;248,IF(A315+Forudsætninger!$D$60&lt;365,IF(K315&gt;180,IF(K315&lt;260,1,0),0),0),0)</f>
        <v>0</v>
      </c>
      <c r="Y315" s="22">
        <f>IF(X315=0,0,IF('Vækstfunktion, kry tyr'!A315&lt;Forudsætninger!$D$66,Forudsætninger!$D$67+(('Vækstfunktion, kry tyr'!A315-Forudsætninger!$D$66)/7)*Forudsætninger!$D$64,Forudsætninger!$D$67))</f>
        <v>0</v>
      </c>
      <c r="Z315" s="19">
        <f t="shared" si="126"/>
        <v>5478.5724379928279</v>
      </c>
      <c r="AA315" s="19">
        <f>Forudsætninger!$D$62+Forudsætninger!$C$16</f>
        <v>2055</v>
      </c>
      <c r="AB315" s="19">
        <f>IF(K315&gt;Forudsætninger!$C$37,IF(K315&gt;Forudsætninger!$C$38,IF(K315&gt;Forudsætninger!$C$39,Forudsætninger!$E$39,Forudsætninger!$E$38+Forudsætninger!$F$39*(K315-Forudsætninger!$C$38)),Forudsætninger!$E$37+Forudsætninger!$F$38*(K315-Forudsætninger!$C$37)),Forudsætninger!$E$37)+IF(K315&gt;Forudsætninger!$C$39,Forudsætninger!$G$39,IF(K315&gt;Forudsætninger!$C$38,Forudsætninger!$G$38+Forudsætninger!$H$39*(K315-Forudsætninger!$C$38),IF(K315&gt;Forudsætninger!$C$37,Forudsætninger!$G$37+Forudsætninger!$H$38*(K315-Forudsætninger!$C$37),Forudsætninger!$G$37)))*(U315-Forudsætninger!$H$37)</f>
        <v>37.22733244187252</v>
      </c>
      <c r="AC315" s="19">
        <f>IF(K315&gt;Forudsætninger!$C$42,IF(K315&gt;Forudsætninger!$C$43,IF(K315&gt;Forudsætninger!$C$44,Forudsætninger!$E$44,Forudsætninger!$E$43+Forudsætninger!$F$44*(K315-Forudsætninger!$C$43)),Forudsætninger!$E$42+Forudsætninger!$F$43*(K315-Forudsætninger!$C$42)),Forudsætninger!$E$42)+IF(K315&gt;Forudsætninger!$C$44,Forudsætninger!$G$44,IF(K315&gt;Forudsætninger!$C$43,Forudsætninger!$G$43+Forudsætninger!$H$44*(K315-Forudsætninger!$C$43),IF(K315&gt;Forudsætninger!$C$42,Forudsætninger!$G$42+Forudsætninger!$H$43*(K315-Forudsætninger!$C$42),Forudsætninger!$G$42)))*(V315-Forudsætninger!$H$42)</f>
        <v>32.049113561624353</v>
      </c>
      <c r="AD315" s="19">
        <f t="shared" si="113"/>
        <v>8440.8190657637333</v>
      </c>
      <c r="AE315" s="19">
        <f t="shared" si="114"/>
        <v>32.049113561624353</v>
      </c>
      <c r="AF315">
        <f>IF(G315&lt;=Forudsætninger!$C$97,Forudsætninger!$C$98,(IF(G315&lt;=Forudsætninger!$D$97,Forudsætninger!$D$98,IF(G315&lt;=Forudsætninger!$E$97,Forudsætninger!$E$98,IF(G315&lt;=Forudsætninger!$F$97,Forudsætninger!$F$98,IF(G315&lt;=Forudsætninger!$G$97,Forudsætninger!$G$98,IF(G315&lt;=Forudsætninger!$H$97,Forudsætninger!$H$98,IF(G315&lt;=Forudsætninger!$I$97,Forudsætninger!$I$98,Forudsætninger!$I$98))))))))</f>
        <v>4.4000000000000004</v>
      </c>
      <c r="AG315" s="1">
        <f t="shared" si="123"/>
        <v>4.4000000000000004</v>
      </c>
      <c r="AH315" s="1">
        <f t="shared" si="127"/>
        <v>1061.3999999999967</v>
      </c>
      <c r="AI315" s="1">
        <f t="shared" si="115"/>
        <v>3.3910543130990307</v>
      </c>
      <c r="AJ315" s="20">
        <f>+(W315*Forudsætninger!$C$12)</f>
        <v>900</v>
      </c>
      <c r="AK315" s="20">
        <f>Forudsætninger!$C$17</f>
        <v>250</v>
      </c>
      <c r="AL315" s="20">
        <f>IF(A315&lt;92,Forudsætninger!$C$20,Forudsætninger!$C$21)</f>
        <v>1.0566762728146013</v>
      </c>
      <c r="AM315" s="20">
        <f t="shared" si="124"/>
        <v>599.2451562442601</v>
      </c>
      <c r="AN315" s="19">
        <f>IFERROR(AD315+AJ315-AA315-Z315-AK315-AM315-Forudsætninger!$D$75,-99999)</f>
        <v>740.10949782568514</v>
      </c>
      <c r="AO315" s="57">
        <f>IFERROR(AN315/(A315+Forudsætninger!$D$74),-99999)</f>
        <v>2.3645670857050645</v>
      </c>
      <c r="AP315" s="19">
        <f>IFERROR(((365/(A315+Forudsætninger!$D$74))*AN315)/(AI315+Forudsætninger!$D$73),-99999)</f>
        <v>246.51630883109235</v>
      </c>
      <c r="AQ315" s="18">
        <f t="shared" si="128"/>
        <v>313</v>
      </c>
      <c r="AR315" s="18">
        <f t="shared" si="129"/>
        <v>8382.8175942370872</v>
      </c>
      <c r="AS315" s="50">
        <f t="shared" si="130"/>
        <v>11.4</v>
      </c>
      <c r="AT315" s="50">
        <f t="shared" si="131"/>
        <v>-0.77423239880465644</v>
      </c>
      <c r="AU315" s="50">
        <f t="shared" si="132"/>
        <v>-1.006025475804373E-2</v>
      </c>
      <c r="AV315" s="2">
        <f t="shared" si="133"/>
        <v>-1.2777034952094084</v>
      </c>
      <c r="AW315" s="16">
        <f t="shared" si="125"/>
        <v>4.2790883516611675</v>
      </c>
      <c r="AZ315" s="16"/>
      <c r="BA315" s="2"/>
    </row>
    <row r="316" spans="1:53" x14ac:dyDescent="0.25">
      <c r="A316">
        <v>314</v>
      </c>
      <c r="B316" s="1">
        <f>ROUND((A316+Forudsætninger!$D$60)/30.4,1)</f>
        <v>11.4</v>
      </c>
      <c r="C316" s="1">
        <f>VLOOKUP((A316+Forudsætninger!$D$60),'Model tilvækst, slagteform, fe'!A:C,3,FALSE)</f>
        <v>566.97167793517087</v>
      </c>
      <c r="D316" s="3">
        <f t="shared" si="134"/>
        <v>1210.8422740329843</v>
      </c>
      <c r="E316" s="3">
        <f>(1+Forudsætninger!$D$78)*C316</f>
        <v>476.25620946554352</v>
      </c>
      <c r="F316" s="2">
        <f t="shared" si="116"/>
        <v>0</v>
      </c>
      <c r="G316" s="1">
        <f t="shared" si="109"/>
        <v>476.25620946554352</v>
      </c>
      <c r="H316" s="3">
        <f t="shared" si="117"/>
        <v>1017.1075101877136</v>
      </c>
      <c r="I316" s="3">
        <f t="shared" si="118"/>
        <v>1287.440157533578</v>
      </c>
      <c r="J316" s="1">
        <f>VLOOKUP((A316+Forudsætninger!$D$60),'Model tilvækst, slagteform, fe'!G:K,3,FALSE)*(1+Forudsætninger!$D$79)</f>
        <v>55.42759430485907</v>
      </c>
      <c r="K316" s="17">
        <f t="shared" si="110"/>
        <v>263.97735963426129</v>
      </c>
      <c r="L316" s="17">
        <f t="shared" si="119"/>
        <v>605.98589771024081</v>
      </c>
      <c r="M316" s="3">
        <f>((K316-(('Model tilvækst, slagteform, fe'!$I$9/100)*'Model tilvækst, slagteform, fe'!$C$9))*1000/(A316+Forudsætninger!$D$60))</f>
        <v>696.14596746520681</v>
      </c>
      <c r="N316" s="17">
        <f t="shared" si="120"/>
        <v>1895.6212028549839</v>
      </c>
      <c r="O316" s="19">
        <f>IF( A316&lt;Forudsætninger!$C$14,(G316/100)*Forudsætninger!$C$13,(Forudsætninger!$C$15/1000)*Forudsætninger!$C$13)</f>
        <v>3.095665361526033</v>
      </c>
      <c r="P316" s="17" cm="1">
        <f t="array" ref="P316">INDEX('Model tilvækst, slagteform, fe'!$O$9:$O$375,MATCH(MIN(ABS('Model tilvækst, slagteform, fe'!$M$9:$M$375-G316)),ABS('Model tilvækst, slagteform, fe'!$M$9:$M$375-G316),0))*(1+Forudsætninger!$D$80)</f>
        <v>8.5261999999999993</v>
      </c>
      <c r="Q316" s="17">
        <f t="shared" si="121"/>
        <v>14.069964387317972</v>
      </c>
      <c r="R316" s="17">
        <f t="shared" si="122"/>
        <v>8.2771821965685817</v>
      </c>
      <c r="S316" s="2">
        <f t="shared" si="111"/>
        <v>4.6891579114174515</v>
      </c>
      <c r="T316" s="19">
        <f>(P316)*IF(N316&lt;Forudsætninger!$B$228,IF(N316&lt;Forudsætninger!$B$227,Forudsætninger!$B$225,Forudsætninger!$C$9),Forudsætninger!$C$11)+O316</f>
        <v>23.046973361526032</v>
      </c>
      <c r="U316" s="2">
        <f>Forudsætninger!$D$68+((K316-(Forudsætninger!$D$84)))*0.01</f>
        <v>7.779384277702265</v>
      </c>
      <c r="V316" s="2">
        <f>U316+Forudsætninger!$D$69</f>
        <v>7.779384277702265</v>
      </c>
      <c r="W316">
        <f t="shared" si="112"/>
        <v>1</v>
      </c>
      <c r="X316">
        <f>IF(A316+Forudsætninger!$D$60&gt;248,IF(A316+Forudsætninger!$D$60&lt;365,IF(K316&gt;180,IF(K316&lt;260,1,0),0),0),0)</f>
        <v>0</v>
      </c>
      <c r="Y316" s="22">
        <f>IF(X316=0,0,IF('Vækstfunktion, kry tyr'!A316&lt;Forudsætninger!$D$66,Forudsætninger!$D$67+(('Vækstfunktion, kry tyr'!A316-Forudsætninger!$D$66)/7)*Forudsætninger!$D$64,Forudsætninger!$D$67))</f>
        <v>0</v>
      </c>
      <c r="Z316" s="19">
        <f t="shared" si="126"/>
        <v>5501.6194113543543</v>
      </c>
      <c r="AA316" s="19">
        <f>Forudsætninger!$D$62+Forudsætninger!$C$16</f>
        <v>2055</v>
      </c>
      <c r="AB316" s="19">
        <f>IF(K316&gt;Forudsætninger!$C$37,IF(K316&gt;Forudsætninger!$C$38,IF(K316&gt;Forudsætninger!$C$39,Forudsætninger!$E$39,Forudsætninger!$E$38+Forudsætninger!$F$39*(K316-Forudsætninger!$C$38)),Forudsætninger!$E$37+Forudsætninger!$F$38*(K316-Forudsætninger!$C$37)),Forudsætninger!$E$37)+IF(K316&gt;Forudsætninger!$C$39,Forudsætninger!$G$39,IF(K316&gt;Forudsætninger!$C$38,Forudsætninger!$G$38+Forudsætninger!$H$39*(K316-Forudsætninger!$C$38),IF(K316&gt;Forudsætninger!$C$37,Forudsætninger!$G$37+Forudsætninger!$H$38*(K316-Forudsætninger!$C$37),Forudsætninger!$G$37)))*(U316-Forudsætninger!$H$37)</f>
        <v>37.227938427770226</v>
      </c>
      <c r="AC316" s="19">
        <f>IF(K316&gt;Forudsætninger!$C$42,IF(K316&gt;Forudsætninger!$C$43,IF(K316&gt;Forudsætninger!$C$44,Forudsætninger!$E$44,Forudsætninger!$E$43+Forudsætninger!$F$44*(K316-Forudsætninger!$C$43)),Forudsætninger!$E$42+Forudsætninger!$F$43*(K316-Forudsætninger!$C$42)),Forudsætninger!$E$42)+IF(K316&gt;Forudsætninger!$C$44,Forudsætninger!$G$44,IF(K316&gt;Forudsætninger!$C$43,Forudsætninger!$G$43+Forudsætninger!$H$44*(K316-Forudsætninger!$C$43),IF(K316&gt;Forudsætninger!$C$42,Forudsætninger!$G$42+Forudsætninger!$H$43*(K316-Forudsætninger!$C$42),Forudsætninger!$G$42)))*(V316-Forudsætninger!$H$42)</f>
        <v>32.063741684959808</v>
      </c>
      <c r="AD316" s="19">
        <f t="shared" si="113"/>
        <v>8464.1018699906908</v>
      </c>
      <c r="AE316" s="19">
        <f t="shared" si="114"/>
        <v>32.063741684959808</v>
      </c>
      <c r="AF316">
        <f>IF(G316&lt;=Forudsætninger!$C$97,Forudsætninger!$C$98,(IF(G316&lt;=Forudsætninger!$D$97,Forudsætninger!$D$98,IF(G316&lt;=Forudsætninger!$E$97,Forudsætninger!$E$98,IF(G316&lt;=Forudsætninger!$F$97,Forudsætninger!$F$98,IF(G316&lt;=Forudsætninger!$G$97,Forudsætninger!$G$98,IF(G316&lt;=Forudsætninger!$H$97,Forudsætninger!$H$98,IF(G316&lt;=Forudsætninger!$I$97,Forudsætninger!$I$98,Forudsætninger!$I$98))))))))</f>
        <v>4.4000000000000004</v>
      </c>
      <c r="AG316" s="1">
        <f t="shared" si="123"/>
        <v>4.4000000000000004</v>
      </c>
      <c r="AH316" s="1">
        <f t="shared" si="127"/>
        <v>1065.7999999999968</v>
      </c>
      <c r="AI316" s="1">
        <f t="shared" si="115"/>
        <v>3.3942675159235565</v>
      </c>
      <c r="AJ316" s="20">
        <f>+(W316*Forudsætninger!$C$12)</f>
        <v>900</v>
      </c>
      <c r="AK316" s="20">
        <f>Forudsætninger!$C$17</f>
        <v>250</v>
      </c>
      <c r="AL316" s="20">
        <f>IF(A316&lt;92,Forudsætninger!$C$20,Forudsætninger!$C$21)</f>
        <v>1.0566762728146013</v>
      </c>
      <c r="AM316" s="20">
        <f t="shared" si="124"/>
        <v>600.30183251707467</v>
      </c>
      <c r="AN316" s="19">
        <f>IFERROR(AD316+AJ316-AA316-Z316-AK316-AM316-Forudsætninger!$D$75,-99999)</f>
        <v>739.28865241830169</v>
      </c>
      <c r="AO316" s="57">
        <f>IFERROR(AN316/(A316+Forudsætninger!$D$74),-99999)</f>
        <v>2.3544224599308969</v>
      </c>
      <c r="AP316" s="19">
        <f>IFERROR(((365/(A316+Forudsætninger!$D$74))*AN316)/(AI316+Forudsætninger!$D$73),-99999)</f>
        <v>245.23361700263641</v>
      </c>
      <c r="AQ316" s="18">
        <f t="shared" si="128"/>
        <v>314</v>
      </c>
      <c r="AR316" s="18">
        <f t="shared" si="129"/>
        <v>8406.9212438714294</v>
      </c>
      <c r="AS316" s="50">
        <f t="shared" si="130"/>
        <v>11.4</v>
      </c>
      <c r="AT316" s="50">
        <f t="shared" si="131"/>
        <v>-0.82084540738344458</v>
      </c>
      <c r="AU316" s="50">
        <f t="shared" si="132"/>
        <v>-1.0144625774167526E-2</v>
      </c>
      <c r="AV316" s="2">
        <f t="shared" si="133"/>
        <v>-1.2826918284559383</v>
      </c>
      <c r="AW316" s="16">
        <f t="shared" si="125"/>
        <v>4.2662117354629823</v>
      </c>
      <c r="AZ316" s="16"/>
      <c r="BA316" s="2"/>
    </row>
    <row r="317" spans="1:53" x14ac:dyDescent="0.25">
      <c r="A317">
        <v>315</v>
      </c>
      <c r="B317" s="1">
        <f>ROUND((A317+Forudsætninger!$D$60)/30.4,1)</f>
        <v>11.5</v>
      </c>
      <c r="C317" s="1">
        <f>VLOOKUP((A317+Forudsætninger!$D$60),'Model tilvækst, slagteform, fe'!A:C,3,FALSE)</f>
        <v>568.17893652260273</v>
      </c>
      <c r="D317" s="3">
        <f t="shared" si="134"/>
        <v>1207.258587431852</v>
      </c>
      <c r="E317" s="3">
        <f>(1+Forudsætninger!$D$78)*C317</f>
        <v>477.27030667898629</v>
      </c>
      <c r="F317" s="2">
        <f t="shared" si="116"/>
        <v>0</v>
      </c>
      <c r="G317" s="1">
        <f t="shared" si="109"/>
        <v>477.27030667898629</v>
      </c>
      <c r="H317" s="3">
        <f t="shared" si="117"/>
        <v>1014.097213442767</v>
      </c>
      <c r="I317" s="3">
        <f t="shared" si="118"/>
        <v>1286.572402155512</v>
      </c>
      <c r="J317" s="1">
        <f>VLOOKUP((A317+Forudsætninger!$D$60),'Model tilvækst, slagteform, fe'!G:K,3,FALSE)*(1+Forudsætninger!$D$79)</f>
        <v>55.436500911681037</v>
      </c>
      <c r="K317" s="17">
        <f t="shared" si="110"/>
        <v>264.58195791327915</v>
      </c>
      <c r="L317" s="17">
        <f t="shared" si="119"/>
        <v>604.59827901786412</v>
      </c>
      <c r="M317" s="3">
        <f>((K317-(('Model tilvækst, slagteform, fe'!$I$9/100)*'Model tilvækst, slagteform, fe'!$C$9))*1000/(A317+Forudsætninger!$D$60))</f>
        <v>695.88365317166142</v>
      </c>
      <c r="N317" s="17">
        <f t="shared" si="120"/>
        <v>1904.147402854984</v>
      </c>
      <c r="O317" s="19">
        <f>IF( A317&lt;Forudsætninger!$C$14,(G317/100)*Forudsætninger!$C$13,(Forudsætninger!$C$15/1000)*Forudsætninger!$C$13)</f>
        <v>3.1022569934134108</v>
      </c>
      <c r="P317" s="17" cm="1">
        <f t="array" ref="P317">INDEX('Model tilvækst, slagteform, fe'!$O$9:$O$375,MATCH(MIN(ABS('Model tilvækst, slagteform, fe'!$M$9:$M$375-G317)),ABS('Model tilvækst, slagteform, fe'!$M$9:$M$375-G317),0))*(1+Forudsætninger!$D$80)</f>
        <v>8.5261999999999993</v>
      </c>
      <c r="Q317" s="17">
        <f t="shared" si="121"/>
        <v>14.102256483181414</v>
      </c>
      <c r="R317" s="17">
        <f t="shared" si="122"/>
        <v>8.2925196875872533</v>
      </c>
      <c r="S317" s="2">
        <f t="shared" si="111"/>
        <v>4.6984626593017458</v>
      </c>
      <c r="T317" s="19">
        <f>(P317)*IF(N317&lt;Forudsætninger!$B$228,IF(N317&lt;Forudsætninger!$B$227,Forudsætninger!$B$225,Forudsætninger!$C$9),Forudsætninger!$C$11)+O317</f>
        <v>23.05356499341341</v>
      </c>
      <c r="U317" s="2">
        <f>Forudsætninger!$D$68+((K317-(Forudsætninger!$D$84)))*0.01</f>
        <v>7.7854302604924435</v>
      </c>
      <c r="V317" s="2">
        <f>U317+Forudsætninger!$D$69</f>
        <v>7.7854302604924435</v>
      </c>
      <c r="W317">
        <f t="shared" si="112"/>
        <v>1</v>
      </c>
      <c r="X317">
        <f>IF(A317+Forudsætninger!$D$60&gt;248,IF(A317+Forudsætninger!$D$60&lt;365,IF(K317&gt;180,IF(K317&lt;260,1,0),0),0),0)</f>
        <v>0</v>
      </c>
      <c r="Y317" s="22">
        <f>IF(X317=0,0,IF('Vækstfunktion, kry tyr'!A317&lt;Forudsætninger!$D$66,Forudsætninger!$D$67+(('Vækstfunktion, kry tyr'!A317-Forudsætninger!$D$66)/7)*Forudsætninger!$D$64,Forudsætninger!$D$67))</f>
        <v>0</v>
      </c>
      <c r="Z317" s="19">
        <f t="shared" si="126"/>
        <v>5524.6729763477679</v>
      </c>
      <c r="AA317" s="19">
        <f>Forudsætninger!$D$62+Forudsætninger!$C$16</f>
        <v>2055</v>
      </c>
      <c r="AB317" s="19">
        <f>IF(K317&gt;Forudsætninger!$C$37,IF(K317&gt;Forudsætninger!$C$38,IF(K317&gt;Forudsætninger!$C$39,Forudsætninger!$E$39,Forudsætninger!$E$38+Forudsætninger!$F$39*(K317-Forudsætninger!$C$38)),Forudsætninger!$E$37+Forudsætninger!$F$38*(K317-Forudsætninger!$C$37)),Forudsætninger!$E$37)+IF(K317&gt;Forudsætninger!$C$39,Forudsætninger!$G$39,IF(K317&gt;Forudsætninger!$C$38,Forudsætninger!$G$38+Forudsætninger!$H$39*(K317-Forudsætninger!$C$38),IF(K317&gt;Forudsætninger!$C$37,Forudsætninger!$G$37+Forudsætninger!$H$38*(K317-Forudsætninger!$C$37),Forudsætninger!$G$37)))*(U317-Forudsætninger!$H$37)</f>
        <v>37.228543026049245</v>
      </c>
      <c r="AC317" s="19">
        <f>IF(K317&gt;Forudsætninger!$C$42,IF(K317&gt;Forudsætninger!$C$43,IF(K317&gt;Forudsætninger!$C$44,Forudsætninger!$E$44,Forudsætninger!$E$43+Forudsætninger!$F$44*(K317-Forudsætninger!$C$43)),Forudsætninger!$E$42+Forudsætninger!$F$43*(K317-Forudsætninger!$C$42)),Forudsætninger!$E$42)+IF(K317&gt;Forudsætninger!$C$44,Forudsætninger!$G$44,IF(K317&gt;Forudsætninger!$C$43,Forudsætninger!$G$43+Forudsætninger!$H$44*(K317-Forudsætninger!$C$43),IF(K317&gt;Forudsætninger!$C$42,Forudsætninger!$G$42+Forudsætninger!$H$43*(K317-Forudsætninger!$C$42),Forudsætninger!$G$42)))*(V317-Forudsætninger!$H$42)</f>
        <v>32.078321063768435</v>
      </c>
      <c r="AD317" s="19">
        <f t="shared" si="113"/>
        <v>8487.344993622637</v>
      </c>
      <c r="AE317" s="19">
        <f t="shared" si="114"/>
        <v>32.078321063768435</v>
      </c>
      <c r="AF317">
        <f>IF(G317&lt;=Forudsætninger!$C$97,Forudsætninger!$C$98,(IF(G317&lt;=Forudsætninger!$D$97,Forudsætninger!$D$98,IF(G317&lt;=Forudsætninger!$E$97,Forudsætninger!$E$98,IF(G317&lt;=Forudsætninger!$F$97,Forudsætninger!$F$98,IF(G317&lt;=Forudsætninger!$G$97,Forudsætninger!$G$98,IF(G317&lt;=Forudsætninger!$H$97,Forudsætninger!$H$98,IF(G317&lt;=Forudsætninger!$I$97,Forudsætninger!$I$98,Forudsætninger!$I$98))))))))</f>
        <v>4.4000000000000004</v>
      </c>
      <c r="AG317" s="1">
        <f t="shared" si="123"/>
        <v>4.4000000000000004</v>
      </c>
      <c r="AH317" s="1">
        <f t="shared" si="127"/>
        <v>1070.1999999999969</v>
      </c>
      <c r="AI317" s="1">
        <f t="shared" si="115"/>
        <v>3.3974603174603075</v>
      </c>
      <c r="AJ317" s="20">
        <f>+(W317*Forudsætninger!$C$12)</f>
        <v>900</v>
      </c>
      <c r="AK317" s="20">
        <f>Forudsætninger!$C$17</f>
        <v>250</v>
      </c>
      <c r="AL317" s="20">
        <f>IF(A317&lt;92,Forudsætninger!$C$20,Forudsætninger!$C$21)</f>
        <v>1.0566762728146013</v>
      </c>
      <c r="AM317" s="20">
        <f t="shared" si="124"/>
        <v>601.35850878988924</v>
      </c>
      <c r="AN317" s="19">
        <f>IFERROR(AD317+AJ317-AA317-Z317-AK317-AM317-Forudsætninger!$D$75,-99999)</f>
        <v>738.42153478401974</v>
      </c>
      <c r="AO317" s="57">
        <f>IFERROR(AN317/(A317+Forudsætninger!$D$74),-99999)</f>
        <v>2.3441953485206977</v>
      </c>
      <c r="AP317" s="19">
        <f>IFERROR(((365/(A317+Forudsætninger!$D$74))*AN317)/(AI317+Forudsætninger!$D$73),-99999)</f>
        <v>243.94611050927097</v>
      </c>
      <c r="AQ317" s="18">
        <f t="shared" si="128"/>
        <v>315</v>
      </c>
      <c r="AR317" s="18">
        <f t="shared" si="129"/>
        <v>8431.031485137657</v>
      </c>
      <c r="AS317" s="50">
        <f t="shared" si="130"/>
        <v>11.5</v>
      </c>
      <c r="AT317" s="50">
        <f t="shared" si="131"/>
        <v>-0.86711763428195354</v>
      </c>
      <c r="AU317" s="50">
        <f t="shared" si="132"/>
        <v>-1.0227111410199274E-2</v>
      </c>
      <c r="AV317" s="2">
        <f t="shared" si="133"/>
        <v>-1.2875064933654414</v>
      </c>
      <c r="AW317" s="16">
        <f t="shared" si="125"/>
        <v>4.2532699795997111</v>
      </c>
      <c r="AZ317" s="16"/>
      <c r="BA317" s="2"/>
    </row>
    <row r="318" spans="1:53" x14ac:dyDescent="0.25">
      <c r="A318">
        <v>316</v>
      </c>
      <c r="B318" s="1">
        <f>ROUND((A318+Forudsætninger!$D$60)/30.4,1)</f>
        <v>11.5</v>
      </c>
      <c r="C318" s="1">
        <f>VLOOKUP((A318+Forudsætninger!$D$60),'Model tilvækst, slagteform, fe'!A:C,3,FALSE)</f>
        <v>569.38264910000498</v>
      </c>
      <c r="D318" s="3">
        <f t="shared" si="134"/>
        <v>1203.712577402257</v>
      </c>
      <c r="E318" s="3">
        <f>(1+Forudsætninger!$D$78)*C318</f>
        <v>478.28142524400414</v>
      </c>
      <c r="F318" s="2">
        <f t="shared" si="116"/>
        <v>0</v>
      </c>
      <c r="G318" s="1">
        <f t="shared" si="109"/>
        <v>478.28142524400414</v>
      </c>
      <c r="H318" s="3">
        <f t="shared" si="117"/>
        <v>1011.1185650178527</v>
      </c>
      <c r="I318" s="3">
        <f t="shared" si="118"/>
        <v>1285.7007127974814</v>
      </c>
      <c r="J318" s="1">
        <f>VLOOKUP((A318+Forudsætninger!$D$60),'Model tilvækst, slagteform, fe'!G:K,3,FALSE)*(1+Forudsætninger!$D$79)</f>
        <v>55.445427392525346</v>
      </c>
      <c r="K318" s="17">
        <f t="shared" si="110"/>
        <v>265.18518036559971</v>
      </c>
      <c r="L318" s="17">
        <f t="shared" si="119"/>
        <v>603.22245232055138</v>
      </c>
      <c r="M318" s="3">
        <f>((K318-(('Model tilvækst, slagteform, fe'!$I$9/100)*'Model tilvækst, slagteform, fe'!$C$9))*1000/(A318+Forudsætninger!$D$60))</f>
        <v>695.61890688351525</v>
      </c>
      <c r="N318" s="17">
        <f t="shared" si="120"/>
        <v>1912.673602854984</v>
      </c>
      <c r="O318" s="19">
        <f>IF( A318&lt;Forudsætninger!$C$14,(G318/100)*Forudsætninger!$C$13,(Forudsætninger!$C$15/1000)*Forudsætninger!$C$13)</f>
        <v>3.1088292640860269</v>
      </c>
      <c r="P318" s="17" cm="1">
        <f t="array" ref="P318">INDEX('Model tilvækst, slagteform, fe'!$O$9:$O$375,MATCH(MIN(ABS('Model tilvækst, slagteform, fe'!$M$9:$M$375-G318)),ABS('Model tilvækst, slagteform, fe'!$M$9:$M$375-G318),0))*(1+Forudsætninger!$D$80)</f>
        <v>8.5261999999999993</v>
      </c>
      <c r="Q318" s="17">
        <f t="shared" si="121"/>
        <v>14.134420837951819</v>
      </c>
      <c r="R318" s="17">
        <f t="shared" si="122"/>
        <v>8.3078262703481442</v>
      </c>
      <c r="S318" s="2">
        <f t="shared" si="111"/>
        <v>4.7077554719767765</v>
      </c>
      <c r="T318" s="19">
        <f>(P318)*IF(N318&lt;Forudsætninger!$B$228,IF(N318&lt;Forudsætninger!$B$227,Forudsætninger!$B$225,Forudsætninger!$C$9),Forudsætninger!$C$11)+O318</f>
        <v>23.060137264086023</v>
      </c>
      <c r="U318" s="2">
        <f>Forudsætninger!$D$68+((K318-(Forudsætninger!$D$84)))*0.01</f>
        <v>7.7914624850156491</v>
      </c>
      <c r="V318" s="2">
        <f>U318+Forudsætninger!$D$69</f>
        <v>7.7914624850156491</v>
      </c>
      <c r="W318">
        <f t="shared" si="112"/>
        <v>1</v>
      </c>
      <c r="X318">
        <f>IF(A318+Forudsætninger!$D$60&gt;248,IF(A318+Forudsætninger!$D$60&lt;365,IF(K318&gt;180,IF(K318&lt;260,1,0),0),0),0)</f>
        <v>0</v>
      </c>
      <c r="Y318" s="22">
        <f>IF(X318=0,0,IF('Vækstfunktion, kry tyr'!A318&lt;Forudsætninger!$D$66,Forudsætninger!$D$67+(('Vækstfunktion, kry tyr'!A318-Forudsætninger!$D$66)/7)*Forudsætninger!$D$64,Forudsætninger!$D$67))</f>
        <v>0</v>
      </c>
      <c r="Z318" s="19">
        <f t="shared" si="126"/>
        <v>5547.7331136118537</v>
      </c>
      <c r="AA318" s="19">
        <f>Forudsætninger!$D$62+Forudsætninger!$C$16</f>
        <v>2055</v>
      </c>
      <c r="AB318" s="19">
        <f>IF(K318&gt;Forudsætninger!$C$37,IF(K318&gt;Forudsætninger!$C$38,IF(K318&gt;Forudsætninger!$C$39,Forudsætninger!$E$39,Forudsætninger!$E$38+Forudsætninger!$F$39*(K318-Forudsætninger!$C$38)),Forudsætninger!$E$37+Forudsætninger!$F$38*(K318-Forudsætninger!$C$37)),Forudsætninger!$E$37)+IF(K318&gt;Forudsætninger!$C$39,Forudsætninger!$G$39,IF(K318&gt;Forudsætninger!$C$38,Forudsætninger!$G$38+Forudsætninger!$H$39*(K318-Forudsætninger!$C$38),IF(K318&gt;Forudsætninger!$C$37,Forudsætninger!$G$37+Forudsætninger!$H$38*(K318-Forudsætninger!$C$37),Forudsætninger!$G$37)))*(U318-Forudsætninger!$H$37)</f>
        <v>37.229146248501564</v>
      </c>
      <c r="AC318" s="19">
        <f>IF(K318&gt;Forudsætninger!$C$42,IF(K318&gt;Forudsætninger!$C$43,IF(K318&gt;Forudsætninger!$C$44,Forudsætninger!$E$44,Forudsætninger!$E$43+Forudsætninger!$F$44*(K318-Forudsætninger!$C$43)),Forudsætninger!$E$42+Forudsætninger!$F$43*(K318-Forudsætninger!$C$42)),Forudsætninger!$E$42)+IF(K318&gt;Forudsætninger!$C$44,Forudsætninger!$G$44,IF(K318&gt;Forudsætninger!$C$43,Forudsætninger!$G$43+Forudsætninger!$H$44*(K318-Forudsætninger!$C$43),IF(K318&gt;Forudsætninger!$C$42,Forudsætninger!$G$42+Forudsætninger!$H$43*(K318-Forudsætninger!$C$42),Forudsætninger!$G$42)))*(V318-Forudsætninger!$H$42)</f>
        <v>32.092852086828344</v>
      </c>
      <c r="AD318" s="19">
        <f t="shared" si="113"/>
        <v>8510.5487690920872</v>
      </c>
      <c r="AE318" s="19">
        <f t="shared" si="114"/>
        <v>32.092852086828344</v>
      </c>
      <c r="AF318">
        <f>IF(G318&lt;=Forudsætninger!$C$97,Forudsætninger!$C$98,(IF(G318&lt;=Forudsætninger!$D$97,Forudsætninger!$D$98,IF(G318&lt;=Forudsætninger!$E$97,Forudsætninger!$E$98,IF(G318&lt;=Forudsætninger!$F$97,Forudsætninger!$F$98,IF(G318&lt;=Forudsætninger!$G$97,Forudsætninger!$G$98,IF(G318&lt;=Forudsætninger!$H$97,Forudsætninger!$H$98,IF(G318&lt;=Forudsætninger!$I$97,Forudsætninger!$I$98,Forudsætninger!$I$98))))))))</f>
        <v>4.4000000000000004</v>
      </c>
      <c r="AG318" s="1">
        <f t="shared" si="123"/>
        <v>4.4000000000000004</v>
      </c>
      <c r="AH318" s="1">
        <f t="shared" si="127"/>
        <v>1074.599999999997</v>
      </c>
      <c r="AI318" s="1">
        <f t="shared" si="115"/>
        <v>3.4006329113923952</v>
      </c>
      <c r="AJ318" s="20">
        <f>+(W318*Forudsætninger!$C$12)</f>
        <v>900</v>
      </c>
      <c r="AK318" s="20">
        <f>Forudsætninger!$C$17</f>
        <v>250</v>
      </c>
      <c r="AL318" s="20">
        <f>IF(A318&lt;92,Forudsætninger!$C$20,Forudsætninger!$C$21)</f>
        <v>1.0566762728146013</v>
      </c>
      <c r="AM318" s="20">
        <f t="shared" si="124"/>
        <v>602.41518506270381</v>
      </c>
      <c r="AN318" s="19">
        <f>IFERROR(AD318+AJ318-AA318-Z318-AK318-AM318-Forudsætninger!$D$75,-99999)</f>
        <v>737.50849671656954</v>
      </c>
      <c r="AO318" s="57">
        <f>IFERROR(AN318/(A318+Forudsætninger!$D$74),-99999)</f>
        <v>2.3338876478372454</v>
      </c>
      <c r="AP318" s="19">
        <f>IFERROR(((365/(A318+Forudsætninger!$D$74))*AN318)/(AI318+Forudsætninger!$D$73),-99999)</f>
        <v>242.65396381837152</v>
      </c>
      <c r="AQ318" s="18">
        <f t="shared" si="128"/>
        <v>316</v>
      </c>
      <c r="AR318" s="18">
        <f t="shared" si="129"/>
        <v>8455.1482986745577</v>
      </c>
      <c r="AS318" s="50">
        <f t="shared" si="130"/>
        <v>11.5</v>
      </c>
      <c r="AT318" s="50">
        <f t="shared" si="131"/>
        <v>-0.91303806745020211</v>
      </c>
      <c r="AU318" s="50">
        <f t="shared" si="132"/>
        <v>-1.0307700683452214E-2</v>
      </c>
      <c r="AV318" s="2">
        <f t="shared" si="133"/>
        <v>-1.2921466908994432</v>
      </c>
      <c r="AW318" s="16">
        <f t="shared" si="125"/>
        <v>4.2402648157571949</v>
      </c>
      <c r="AZ318" s="16"/>
      <c r="BA318" s="2"/>
    </row>
    <row r="319" spans="1:53" x14ac:dyDescent="0.25">
      <c r="A319">
        <v>317</v>
      </c>
      <c r="B319" s="1">
        <f>ROUND((A319+Forudsætninger!$D$60)/30.4,1)</f>
        <v>11.5</v>
      </c>
      <c r="C319" s="1">
        <f>VLOOKUP((A319+Forudsætninger!$D$60),'Model tilvækst, slagteform, fe'!A:C,3,FALSE)</f>
        <v>570.58285396488623</v>
      </c>
      <c r="D319" s="3">
        <f t="shared" si="134"/>
        <v>1200.2048648812433</v>
      </c>
      <c r="E319" s="3">
        <f>(1+Forudsætninger!$D$78)*C319</f>
        <v>479.28959733050442</v>
      </c>
      <c r="F319" s="2">
        <f t="shared" si="116"/>
        <v>0</v>
      </c>
      <c r="G319" s="1">
        <f t="shared" si="109"/>
        <v>479.28959733050442</v>
      </c>
      <c r="H319" s="3">
        <f t="shared" si="117"/>
        <v>1008.1720865002808</v>
      </c>
      <c r="I319" s="3">
        <f t="shared" si="118"/>
        <v>1284.8252281719383</v>
      </c>
      <c r="J319" s="1">
        <f>VLOOKUP((A319+Forudsætninger!$D$60),'Model tilvækst, slagteform, fe'!G:K,3,FALSE)*(1+Forudsætninger!$D$79)</f>
        <v>55.454372578331842</v>
      </c>
      <c r="K319" s="17">
        <f t="shared" si="110"/>
        <v>265.78703903284435</v>
      </c>
      <c r="L319" s="17">
        <f t="shared" si="119"/>
        <v>601.85866724464177</v>
      </c>
      <c r="M319" s="3">
        <f>((K319-(('Model tilvækst, slagteform, fe'!$I$9/100)*'Model tilvækst, slagteform, fe'!$C$9))*1000/(A319+Forudsætninger!$D$60))</f>
        <v>695.35178369366099</v>
      </c>
      <c r="N319" s="17">
        <f t="shared" si="120"/>
        <v>1921.199802854984</v>
      </c>
      <c r="O319" s="19">
        <f>IF( A319&lt;Forudsætninger!$C$14,(G319/100)*Forudsætninger!$C$13,(Forudsætninger!$C$15/1000)*Forudsætninger!$C$13)</f>
        <v>3.1153823826482787</v>
      </c>
      <c r="P319" s="17" cm="1">
        <f t="array" ref="P319">INDEX('Model tilvækst, slagteform, fe'!$O$9:$O$375,MATCH(MIN(ABS('Model tilvækst, slagteform, fe'!$M$9:$M$375-G319)),ABS('Model tilvækst, slagteform, fe'!$M$9:$M$375-G319),0))*(1+Forudsætninger!$D$80)</f>
        <v>8.5261999999999993</v>
      </c>
      <c r="Q319" s="17">
        <f t="shared" si="121"/>
        <v>14.166448809375199</v>
      </c>
      <c r="R319" s="17">
        <f t="shared" si="122"/>
        <v>8.3231020266770646</v>
      </c>
      <c r="S319" s="2">
        <f t="shared" si="111"/>
        <v>4.7170362696398129</v>
      </c>
      <c r="T319" s="19">
        <f>(P319)*IF(N319&lt;Forudsætninger!$B$228,IF(N319&lt;Forudsætninger!$B$227,Forudsætninger!$B$225,Forudsætninger!$C$9),Forudsætninger!$C$11)+O319</f>
        <v>23.066690382648275</v>
      </c>
      <c r="U319" s="2">
        <f>Forudsætninger!$D$68+((K319-(Forudsætninger!$D$84)))*0.01</f>
        <v>7.7974810716880958</v>
      </c>
      <c r="V319" s="2">
        <f>U319+Forudsætninger!$D$69</f>
        <v>7.7974810716880958</v>
      </c>
      <c r="W319">
        <f t="shared" si="112"/>
        <v>1</v>
      </c>
      <c r="X319">
        <f>IF(A319+Forudsætninger!$D$60&gt;248,IF(A319+Forudsætninger!$D$60&lt;365,IF(K319&gt;180,IF(K319&lt;260,1,0),0),0),0)</f>
        <v>0</v>
      </c>
      <c r="Y319" s="22">
        <f>IF(X319=0,0,IF('Vækstfunktion, kry tyr'!A319&lt;Forudsætninger!$D$66,Forudsætninger!$D$67+(('Vækstfunktion, kry tyr'!A319-Forudsætninger!$D$66)/7)*Forudsætninger!$D$64,Forudsætninger!$D$67))</f>
        <v>0</v>
      </c>
      <c r="Z319" s="19">
        <f t="shared" si="126"/>
        <v>5570.7998039945023</v>
      </c>
      <c r="AA319" s="19">
        <f>Forudsætninger!$D$62+Forudsætninger!$C$16</f>
        <v>2055</v>
      </c>
      <c r="AB319" s="19">
        <f>IF(K319&gt;Forudsætninger!$C$37,IF(K319&gt;Forudsætninger!$C$38,IF(K319&gt;Forudsætninger!$C$39,Forudsætninger!$E$39,Forudsætninger!$E$38+Forudsætninger!$F$39*(K319-Forudsætninger!$C$38)),Forudsætninger!$E$37+Forudsætninger!$F$38*(K319-Forudsætninger!$C$37)),Forudsætninger!$E$37)+IF(K319&gt;Forudsætninger!$C$39,Forudsætninger!$G$39,IF(K319&gt;Forudsætninger!$C$38,Forudsætninger!$G$38+Forudsætninger!$H$39*(K319-Forudsætninger!$C$38),IF(K319&gt;Forudsætninger!$C$37,Forudsætninger!$G$37+Forudsætninger!$H$38*(K319-Forudsætninger!$C$37),Forudsætninger!$G$37)))*(U319-Forudsætninger!$H$37)</f>
        <v>37.22974810716881</v>
      </c>
      <c r="AC319" s="19">
        <f>IF(K319&gt;Forudsætninger!$C$42,IF(K319&gt;Forudsætninger!$C$43,IF(K319&gt;Forudsætninger!$C$44,Forudsætninger!$E$44,Forudsætninger!$E$43+Forudsætninger!$F$44*(K319-Forudsætninger!$C$43)),Forudsætninger!$E$42+Forudsætninger!$F$43*(K319-Forudsætninger!$C$42)),Forudsætninger!$E$42)+IF(K319&gt;Forudsætninger!$C$44,Forudsætninger!$G$44,IF(K319&gt;Forudsætninger!$C$43,Forudsætninger!$G$43+Forudsætninger!$H$44*(K319-Forudsætninger!$C$43),IF(K319&gt;Forudsætninger!$C$42,Forudsætninger!$G$42+Forudsætninger!$H$43*(K319-Forudsætninger!$C$42),Forudsætninger!$G$42)))*(V319-Forudsætninger!$H$42)</f>
        <v>32.107335147497992</v>
      </c>
      <c r="AD319" s="19">
        <f t="shared" si="113"/>
        <v>8533.7135400886636</v>
      </c>
      <c r="AE319" s="19">
        <f t="shared" si="114"/>
        <v>32.107335147497992</v>
      </c>
      <c r="AF319">
        <f>IF(G319&lt;=Forudsætninger!$C$97,Forudsætninger!$C$98,(IF(G319&lt;=Forudsætninger!$D$97,Forudsætninger!$D$98,IF(G319&lt;=Forudsætninger!$E$97,Forudsætninger!$E$98,IF(G319&lt;=Forudsætninger!$F$97,Forudsætninger!$F$98,IF(G319&lt;=Forudsætninger!$G$97,Forudsætninger!$G$98,IF(G319&lt;=Forudsætninger!$H$97,Forudsætninger!$H$98,IF(G319&lt;=Forudsætninger!$I$97,Forudsætninger!$I$98,Forudsætninger!$I$98))))))))</f>
        <v>4.4000000000000004</v>
      </c>
      <c r="AG319" s="1">
        <f t="shared" si="123"/>
        <v>4.4000000000000004</v>
      </c>
      <c r="AH319" s="1">
        <f t="shared" si="127"/>
        <v>1078.999999999997</v>
      </c>
      <c r="AI319" s="1">
        <f t="shared" si="115"/>
        <v>3.4037854889589814</v>
      </c>
      <c r="AJ319" s="20">
        <f>+(W319*Forudsætninger!$C$12)</f>
        <v>900</v>
      </c>
      <c r="AK319" s="20">
        <f>Forudsætninger!$C$17</f>
        <v>250</v>
      </c>
      <c r="AL319" s="20">
        <f>IF(A319&lt;92,Forudsætninger!$C$20,Forudsætninger!$C$21)</f>
        <v>1.0566762728146013</v>
      </c>
      <c r="AM319" s="20">
        <f t="shared" si="124"/>
        <v>603.47186133551838</v>
      </c>
      <c r="AN319" s="19">
        <f>IFERROR(AD319+AJ319-AA319-Z319-AK319-AM319-Forudsætninger!$D$75,-99999)</f>
        <v>736.54990105768275</v>
      </c>
      <c r="AO319" s="57">
        <f>IFERROR(AN319/(A319+Forudsætninger!$D$74),-99999)</f>
        <v>2.3235012651661915</v>
      </c>
      <c r="AP319" s="19">
        <f>IFERROR(((365/(A319+Forudsætninger!$D$74))*AN319)/(AI319+Forudsætninger!$D$73),-99999)</f>
        <v>241.35735219195678</v>
      </c>
      <c r="AQ319" s="18">
        <f t="shared" si="128"/>
        <v>317</v>
      </c>
      <c r="AR319" s="18">
        <f t="shared" si="129"/>
        <v>8479.2716653300213</v>
      </c>
      <c r="AS319" s="50">
        <f t="shared" si="130"/>
        <v>11.5</v>
      </c>
      <c r="AT319" s="50">
        <f t="shared" si="131"/>
        <v>-0.95859565888679299</v>
      </c>
      <c r="AU319" s="50">
        <f t="shared" si="132"/>
        <v>-1.0386382671053962E-2</v>
      </c>
      <c r="AV319" s="2">
        <f t="shared" si="133"/>
        <v>-1.2966116264147445</v>
      </c>
      <c r="AW319" s="16">
        <f t="shared" si="125"/>
        <v>4.2271979886220858</v>
      </c>
      <c r="AZ319" s="16"/>
      <c r="BA319" s="2"/>
    </row>
    <row r="320" spans="1:53" x14ac:dyDescent="0.25">
      <c r="A320">
        <v>318</v>
      </c>
      <c r="B320" s="1">
        <f>ROUND((A320+Forudsætninger!$D$60)/30.4,1)</f>
        <v>11.6</v>
      </c>
      <c r="C320" s="1">
        <f>VLOOKUP((A320+Forudsætninger!$D$60),'Model tilvækst, slagteform, fe'!A:C,3,FALSE)</f>
        <v>571.77959003569026</v>
      </c>
      <c r="D320" s="3">
        <f t="shared" si="134"/>
        <v>1196.736070804036</v>
      </c>
      <c r="E320" s="3">
        <f>(1+Forudsætninger!$D$78)*C320</f>
        <v>480.29485562997979</v>
      </c>
      <c r="F320" s="2">
        <f t="shared" si="116"/>
        <v>0</v>
      </c>
      <c r="G320" s="1">
        <f t="shared" si="109"/>
        <v>480.29485562997979</v>
      </c>
      <c r="H320" s="3">
        <f t="shared" si="117"/>
        <v>1005.258299475372</v>
      </c>
      <c r="I320" s="3">
        <f t="shared" si="118"/>
        <v>1283.9460868867291</v>
      </c>
      <c r="J320" s="1">
        <f>VLOOKUP((A320+Forudsætninger!$D$60),'Model tilvækst, slagteform, fe'!G:K,3,FALSE)*(1+Forudsætninger!$D$79)</f>
        <v>55.463335300040406</v>
      </c>
      <c r="K320" s="17">
        <f t="shared" si="110"/>
        <v>266.38754620690071</v>
      </c>
      <c r="L320" s="17">
        <f t="shared" si="119"/>
        <v>600.50717405636078</v>
      </c>
      <c r="M320" s="3">
        <f>((K320-(('Model tilvækst, slagteform, fe'!$I$9/100)*'Model tilvækst, slagteform, fe'!$C$9))*1000/(A320+Forudsætninger!$D$60))</f>
        <v>695.0823387799187</v>
      </c>
      <c r="N320" s="17">
        <f t="shared" si="120"/>
        <v>1929.726002854984</v>
      </c>
      <c r="O320" s="19">
        <f>IF( A320&lt;Forudsætninger!$C$14,(G320/100)*Forudsætninger!$C$13,(Forudsætninger!$C$15/1000)*Forudsætninger!$C$13)</f>
        <v>3.121916561594869</v>
      </c>
      <c r="P320" s="17" cm="1">
        <f t="array" ref="P320">INDEX('Model tilvækst, slagteform, fe'!$O$9:$O$375,MATCH(MIN(ABS('Model tilvækst, slagteform, fe'!$M$9:$M$375-G320)),ABS('Model tilvækst, slagteform, fe'!$M$9:$M$375-G320),0))*(1+Forudsætninger!$D$80)</f>
        <v>8.5261999999999993</v>
      </c>
      <c r="Q320" s="17">
        <f t="shared" si="121"/>
        <v>14.198331624260945</v>
      </c>
      <c r="R320" s="17">
        <f t="shared" si="122"/>
        <v>8.3383470242581161</v>
      </c>
      <c r="S320" s="2">
        <f t="shared" si="111"/>
        <v>4.7263049637926677</v>
      </c>
      <c r="T320" s="19">
        <f>(P320)*IF(N320&lt;Forudsætninger!$B$228,IF(N320&lt;Forudsætninger!$B$227,Forudsætninger!$B$225,Forudsætninger!$C$9),Forudsætninger!$C$11)+O320</f>
        <v>23.073224561594866</v>
      </c>
      <c r="U320" s="2">
        <f>Forudsætninger!$D$68+((K320-(Forudsætninger!$D$84)))*0.01</f>
        <v>7.8034861434286595</v>
      </c>
      <c r="V320" s="2">
        <f>U320+Forudsætninger!$D$69</f>
        <v>7.8034861434286595</v>
      </c>
      <c r="W320">
        <f t="shared" si="112"/>
        <v>1</v>
      </c>
      <c r="X320">
        <f>IF(A320+Forudsætninger!$D$60&gt;248,IF(A320+Forudsætninger!$D$60&lt;365,IF(K320&gt;180,IF(K320&lt;260,1,0),0),0),0)</f>
        <v>0</v>
      </c>
      <c r="Y320" s="22">
        <f>IF(X320=0,0,IF('Vækstfunktion, kry tyr'!A320&lt;Forudsætninger!$D$66,Forudsætninger!$D$67+(('Vækstfunktion, kry tyr'!A320-Forudsætninger!$D$66)/7)*Forudsætninger!$D$64,Forudsætninger!$D$67))</f>
        <v>0</v>
      </c>
      <c r="Z320" s="19">
        <f t="shared" si="126"/>
        <v>5593.8730285560969</v>
      </c>
      <c r="AA320" s="19">
        <f>Forudsætninger!$D$62+Forudsætninger!$C$16</f>
        <v>2055</v>
      </c>
      <c r="AB320" s="19">
        <f>IF(K320&gt;Forudsætninger!$C$37,IF(K320&gt;Forudsætninger!$C$38,IF(K320&gt;Forudsætninger!$C$39,Forudsætninger!$E$39,Forudsætninger!$E$38+Forudsætninger!$F$39*(K320-Forudsætninger!$C$38)),Forudsætninger!$E$37+Forudsætninger!$F$38*(K320-Forudsætninger!$C$37)),Forudsætninger!$E$37)+IF(K320&gt;Forudsætninger!$C$39,Forudsætninger!$G$39,IF(K320&gt;Forudsætninger!$C$38,Forudsætninger!$G$38+Forudsætninger!$H$39*(K320-Forudsætninger!$C$38),IF(K320&gt;Forudsætninger!$C$37,Forudsætninger!$G$37+Forudsætninger!$H$38*(K320-Forudsætninger!$C$37),Forudsætninger!$G$37)))*(U320-Forudsætninger!$H$37)</f>
        <v>37.230348614342866</v>
      </c>
      <c r="AC320" s="19">
        <f>IF(K320&gt;Forudsætninger!$C$42,IF(K320&gt;Forudsætninger!$C$43,IF(K320&gt;Forudsætninger!$C$44,Forudsætninger!$E$44,Forudsætninger!$E$43+Forudsætninger!$F$44*(K320-Forudsætninger!$C$43)),Forudsætninger!$E$42+Forudsætninger!$F$43*(K320-Forudsætninger!$C$42)),Forudsætninger!$E$42)+IF(K320&gt;Forudsætninger!$C$44,Forudsætninger!$G$44,IF(K320&gt;Forudsætninger!$C$43,Forudsætninger!$G$43+Forudsætninger!$H$44*(K320-Forudsætninger!$C$43),IF(K320&gt;Forudsætninger!$C$42,Forudsætninger!$G$42+Forudsætninger!$H$43*(K320-Forudsætninger!$C$42),Forudsætninger!$G$42)))*(V320-Forudsætninger!$H$42)</f>
        <v>32.121770643707073</v>
      </c>
      <c r="AD320" s="19">
        <f t="shared" si="113"/>
        <v>8556.8396615979855</v>
      </c>
      <c r="AE320" s="19">
        <f t="shared" si="114"/>
        <v>32.121770643707073</v>
      </c>
      <c r="AF320">
        <f>IF(G320&lt;=Forudsætninger!$C$97,Forudsætninger!$C$98,(IF(G320&lt;=Forudsætninger!$D$97,Forudsætninger!$D$98,IF(G320&lt;=Forudsætninger!$E$97,Forudsætninger!$E$98,IF(G320&lt;=Forudsætninger!$F$97,Forudsætninger!$F$98,IF(G320&lt;=Forudsætninger!$G$97,Forudsætninger!$G$98,IF(G320&lt;=Forudsætninger!$H$97,Forudsætninger!$H$98,IF(G320&lt;=Forudsætninger!$I$97,Forudsætninger!$I$98,Forudsætninger!$I$98))))))))</f>
        <v>4.4000000000000004</v>
      </c>
      <c r="AG320" s="1">
        <f t="shared" si="123"/>
        <v>4.4000000000000004</v>
      </c>
      <c r="AH320" s="1">
        <f t="shared" si="127"/>
        <v>1083.3999999999971</v>
      </c>
      <c r="AI320" s="1">
        <f t="shared" si="115"/>
        <v>3.4069182389937018</v>
      </c>
      <c r="AJ320" s="20">
        <f>+(W320*Forudsætninger!$C$12)</f>
        <v>900</v>
      </c>
      <c r="AK320" s="20">
        <f>Forudsætninger!$C$17</f>
        <v>250</v>
      </c>
      <c r="AL320" s="20">
        <f>IF(A320&lt;92,Forudsætninger!$C$20,Forudsætninger!$C$21)</f>
        <v>1.0566762728146013</v>
      </c>
      <c r="AM320" s="20">
        <f t="shared" si="124"/>
        <v>604.52853760833295</v>
      </c>
      <c r="AN320" s="19">
        <f>IFERROR(AD320+AJ320-AA320-Z320-AK320-AM320-Forudsætninger!$D$75,-99999)</f>
        <v>735.54612173259545</v>
      </c>
      <c r="AO320" s="57">
        <f>IFERROR(AN320/(A320+Forudsætninger!$D$74),-99999)</f>
        <v>2.3130381186559608</v>
      </c>
      <c r="AP320" s="19">
        <f>IFERROR(((365/(A320+Forudsætninger!$D$74))*AN320)/(AI320+Forudsætninger!$D$73),-99999)</f>
        <v>240.05645168225294</v>
      </c>
      <c r="AQ320" s="18">
        <f t="shared" si="128"/>
        <v>318</v>
      </c>
      <c r="AR320" s="18">
        <f t="shared" si="129"/>
        <v>8503.4015661644298</v>
      </c>
      <c r="AS320" s="50">
        <f t="shared" si="130"/>
        <v>11.6</v>
      </c>
      <c r="AT320" s="50">
        <f t="shared" si="131"/>
        <v>-1.0037793250872937</v>
      </c>
      <c r="AU320" s="50">
        <f t="shared" si="132"/>
        <v>-1.0463146510230725E-2</v>
      </c>
      <c r="AV320" s="2">
        <f t="shared" si="133"/>
        <v>-1.3009005097038369</v>
      </c>
      <c r="AW320" s="16">
        <f t="shared" si="125"/>
        <v>4.2140712557890838</v>
      </c>
      <c r="AZ320" s="16"/>
      <c r="BA320" s="2"/>
    </row>
    <row r="321" spans="1:53" x14ac:dyDescent="0.25">
      <c r="A321">
        <v>319</v>
      </c>
      <c r="B321" s="1">
        <f>ROUND((A321+Forudsætninger!$D$60)/30.4,1)</f>
        <v>11.6</v>
      </c>
      <c r="C321" s="1">
        <f>VLOOKUP((A321+Forudsætninger!$D$60),'Model tilvækst, slagteform, fe'!A:C,3,FALSE)</f>
        <v>572.97289685179953</v>
      </c>
      <c r="D321" s="3">
        <f t="shared" si="134"/>
        <v>1193.3068161092706</v>
      </c>
      <c r="E321" s="3">
        <f>(1+Forudsætninger!$D$78)*C321</f>
        <v>481.29723335551159</v>
      </c>
      <c r="F321" s="2">
        <f t="shared" si="116"/>
        <v>0</v>
      </c>
      <c r="G321" s="1">
        <f t="shared" si="109"/>
        <v>481.29723335551159</v>
      </c>
      <c r="H321" s="3">
        <f t="shared" si="117"/>
        <v>1002.3777255318009</v>
      </c>
      <c r="I321" s="3">
        <f t="shared" si="118"/>
        <v>1283.063427446745</v>
      </c>
      <c r="J321" s="1">
        <f>VLOOKUP((A321+Forudsætninger!$D$60),'Model tilvækst, slagteform, fe'!G:K,3,FALSE)*(1+Forudsætninger!$D$79)</f>
        <v>55.472314388590902</v>
      </c>
      <c r="K321" s="17">
        <f t="shared" si="110"/>
        <v>266.9867144305594</v>
      </c>
      <c r="L321" s="17">
        <f t="shared" si="119"/>
        <v>599.16822365869393</v>
      </c>
      <c r="M321" s="3">
        <f>((K321-(('Model tilvækst, slagteform, fe'!$I$9/100)*'Model tilvækst, slagteform, fe'!$C$9))*1000/(A321+Forudsætninger!$D$60))</f>
        <v>694.81062740563755</v>
      </c>
      <c r="N321" s="17">
        <f t="shared" si="120"/>
        <v>1938.252202854984</v>
      </c>
      <c r="O321" s="19">
        <f>IF( A321&lt;Forudsætninger!$C$14,(G321/100)*Forudsætninger!$C$13,(Forudsætninger!$C$15/1000)*Forudsætninger!$C$13)</f>
        <v>3.1284320168108257</v>
      </c>
      <c r="P321" s="17" cm="1">
        <f t="array" ref="P321">INDEX('Model tilvækst, slagteform, fe'!$O$9:$O$375,MATCH(MIN(ABS('Model tilvækst, slagteform, fe'!$M$9:$M$375-G321)),ABS('Model tilvækst, slagteform, fe'!$M$9:$M$375-G321),0))*(1+Forudsætninger!$D$80)</f>
        <v>8.5261999999999993</v>
      </c>
      <c r="Q321" s="17">
        <f t="shared" si="121"/>
        <v>14.230060379264714</v>
      </c>
      <c r="R321" s="17">
        <f t="shared" si="122"/>
        <v>8.3535613167320584</v>
      </c>
      <c r="S321" s="2">
        <f t="shared" si="111"/>
        <v>4.7355614572929134</v>
      </c>
      <c r="T321" s="19">
        <f>(P321)*IF(N321&lt;Forudsætninger!$B$228,IF(N321&lt;Forudsætninger!$B$227,Forudsætninger!$B$225,Forudsætninger!$C$9),Forudsætninger!$C$11)+O321</f>
        <v>23.079740016810824</v>
      </c>
      <c r="U321" s="2">
        <f>Forudsætninger!$D$68+((K321-(Forudsætninger!$D$84)))*0.01</f>
        <v>7.8094778256652466</v>
      </c>
      <c r="V321" s="2">
        <f>U321+Forudsætninger!$D$69</f>
        <v>7.8094778256652466</v>
      </c>
      <c r="W321">
        <f t="shared" si="112"/>
        <v>1</v>
      </c>
      <c r="X321">
        <f>IF(A321+Forudsætninger!$D$60&gt;248,IF(A321+Forudsætninger!$D$60&lt;365,IF(K321&gt;180,IF(K321&lt;260,1,0),0),0),0)</f>
        <v>0</v>
      </c>
      <c r="Y321" s="22">
        <f>IF(X321=0,0,IF('Vækstfunktion, kry tyr'!A321&lt;Forudsætninger!$D$66,Forudsætninger!$D$67+(('Vækstfunktion, kry tyr'!A321-Forudsætninger!$D$66)/7)*Forudsætninger!$D$64,Forudsætninger!$D$67))</f>
        <v>0</v>
      </c>
      <c r="Z321" s="19">
        <f t="shared" si="126"/>
        <v>5616.9527685729081</v>
      </c>
      <c r="AA321" s="19">
        <f>Forudsætninger!$D$62+Forudsætninger!$C$16</f>
        <v>2055</v>
      </c>
      <c r="AB321" s="19">
        <f>IF(K321&gt;Forudsætninger!$C$37,IF(K321&gt;Forudsætninger!$C$38,IF(K321&gt;Forudsætninger!$C$39,Forudsætninger!$E$39,Forudsætninger!$E$38+Forudsætninger!$F$39*(K321-Forudsætninger!$C$38)),Forudsætninger!$E$37+Forudsætninger!$F$38*(K321-Forudsætninger!$C$37)),Forudsætninger!$E$37)+IF(K321&gt;Forudsætninger!$C$39,Forudsætninger!$G$39,IF(K321&gt;Forudsætninger!$C$38,Forudsætninger!$G$38+Forudsætninger!$H$39*(K321-Forudsætninger!$C$38),IF(K321&gt;Forudsætninger!$C$37,Forudsætninger!$G$37+Forudsætninger!$H$38*(K321-Forudsætninger!$C$37),Forudsætninger!$G$37)))*(U321-Forudsætninger!$H$37)</f>
        <v>37.230947782566524</v>
      </c>
      <c r="AC321" s="19">
        <f>IF(K321&gt;Forudsætninger!$C$42,IF(K321&gt;Forudsætninger!$C$43,IF(K321&gt;Forudsætninger!$C$44,Forudsætninger!$E$44,Forudsætninger!$E$43+Forudsætninger!$F$44*(K321-Forudsætninger!$C$43)),Forudsætninger!$E$42+Forudsætninger!$F$43*(K321-Forudsætninger!$C$42)),Forudsætninger!$E$42)+IF(K321&gt;Forudsætninger!$C$44,Forudsætninger!$G$44,IF(K321&gt;Forudsætninger!$C$43,Forudsætninger!$G$43+Forudsætninger!$H$44*(K321-Forudsætninger!$C$43),IF(K321&gt;Forudsætninger!$C$42,Forudsætninger!$G$42+Forudsætninger!$H$43*(K321-Forudsætninger!$C$42),Forudsætninger!$G$42)))*(V321-Forudsætninger!$H$42)</f>
        <v>32.136158977947339</v>
      </c>
      <c r="AD321" s="19">
        <f t="shared" si="113"/>
        <v>8579.9274999402842</v>
      </c>
      <c r="AE321" s="19">
        <f t="shared" si="114"/>
        <v>32.136158977947339</v>
      </c>
      <c r="AF321">
        <f>IF(G321&lt;=Forudsætninger!$C$97,Forudsætninger!$C$98,(IF(G321&lt;=Forudsætninger!$D$97,Forudsætninger!$D$98,IF(G321&lt;=Forudsætninger!$E$97,Forudsætninger!$E$98,IF(G321&lt;=Forudsætninger!$F$97,Forudsætninger!$F$98,IF(G321&lt;=Forudsætninger!$G$97,Forudsætninger!$G$98,IF(G321&lt;=Forudsætninger!$H$97,Forudsætninger!$H$98,IF(G321&lt;=Forudsætninger!$I$97,Forudsætninger!$I$98,Forudsætninger!$I$98))))))))</f>
        <v>4.4000000000000004</v>
      </c>
      <c r="AG321" s="1">
        <f t="shared" si="123"/>
        <v>4.4000000000000004</v>
      </c>
      <c r="AH321" s="1">
        <f t="shared" si="127"/>
        <v>1087.7999999999972</v>
      </c>
      <c r="AI321" s="1">
        <f t="shared" si="115"/>
        <v>3.4100313479623736</v>
      </c>
      <c r="AJ321" s="20">
        <f>+(W321*Forudsætninger!$C$12)</f>
        <v>900</v>
      </c>
      <c r="AK321" s="20">
        <f>Forudsætninger!$C$17</f>
        <v>250</v>
      </c>
      <c r="AL321" s="20">
        <f>IF(A321&lt;92,Forudsætninger!$C$20,Forudsætninger!$C$21)</f>
        <v>1.0566762728146013</v>
      </c>
      <c r="AM321" s="20">
        <f t="shared" si="124"/>
        <v>605.58521388114752</v>
      </c>
      <c r="AN321" s="19">
        <f>IFERROR(AD321+AJ321-AA321-Z321-AK321-AM321-Forudsætninger!$D$75,-99999)</f>
        <v>734.49754378526836</v>
      </c>
      <c r="AO321" s="57">
        <f>IFERROR(AN321/(A321+Forudsætninger!$D$74),-99999)</f>
        <v>2.3025001372578946</v>
      </c>
      <c r="AP321" s="19">
        <f>IFERROR(((365/(A321+Forudsætninger!$D$74))*AN321)/(AI321+Forudsætninger!$D$73),-99999)</f>
        <v>238.75143912727304</v>
      </c>
      <c r="AQ321" s="18">
        <f t="shared" si="128"/>
        <v>319</v>
      </c>
      <c r="AR321" s="18">
        <f t="shared" si="129"/>
        <v>8527.537982454056</v>
      </c>
      <c r="AS321" s="50">
        <f t="shared" si="130"/>
        <v>11.6</v>
      </c>
      <c r="AT321" s="50">
        <f t="shared" si="131"/>
        <v>-1.0485779473270895</v>
      </c>
      <c r="AU321" s="50">
        <f t="shared" si="132"/>
        <v>-1.0537981398066165E-2</v>
      </c>
      <c r="AV321" s="2">
        <f t="shared" si="133"/>
        <v>-1.3050125549798963</v>
      </c>
      <c r="AW321" s="16">
        <f t="shared" si="125"/>
        <v>4.2008863876690157</v>
      </c>
      <c r="AZ321" s="16"/>
      <c r="BA321" s="2"/>
    </row>
    <row r="322" spans="1:53" x14ac:dyDescent="0.25">
      <c r="A322">
        <v>320</v>
      </c>
      <c r="B322" s="1">
        <f>ROUND((A322+Forudsætninger!$D$60)/30.4,1)</f>
        <v>11.6</v>
      </c>
      <c r="C322" s="1">
        <f>VLOOKUP((A322+Forudsætninger!$D$60),'Model tilvækst, slagteform, fe'!A:C,3,FALSE)</f>
        <v>574.1628145735308</v>
      </c>
      <c r="D322" s="3">
        <f t="shared" si="134"/>
        <v>1189.9177217312626</v>
      </c>
      <c r="E322" s="3">
        <f>(1+Forudsætninger!$D$78)*C322</f>
        <v>482.29676424176586</v>
      </c>
      <c r="F322" s="2">
        <f t="shared" si="116"/>
        <v>0</v>
      </c>
      <c r="G322" s="1">
        <f t="shared" si="109"/>
        <v>482.29676424176586</v>
      </c>
      <c r="H322" s="3">
        <f t="shared" si="117"/>
        <v>999.5308862542629</v>
      </c>
      <c r="I322" s="3">
        <f t="shared" si="118"/>
        <v>1282.1773882555183</v>
      </c>
      <c r="J322" s="1">
        <f>VLOOKUP((A322+Forudsætninger!$D$60),'Model tilvækst, slagteform, fe'!G:K,3,FALSE)*(1+Forudsætninger!$D$79)</f>
        <v>55.481308674923184</v>
      </c>
      <c r="K322" s="17">
        <f t="shared" si="110"/>
        <v>267.58455649814061</v>
      </c>
      <c r="L322" s="17">
        <f t="shared" si="119"/>
        <v>597.84206758121172</v>
      </c>
      <c r="M322" s="3">
        <f>((K322-(('Model tilvækst, slagteform, fe'!$I$9/100)*'Model tilvækst, slagteform, fe'!$C$9))*1000/(A322+Forudsætninger!$D$60))</f>
        <v>694.53670492025788</v>
      </c>
      <c r="N322" s="17">
        <f t="shared" si="120"/>
        <v>1946.7784028549841</v>
      </c>
      <c r="O322" s="19">
        <f>IF( A322&lt;Forudsætninger!$C$14,(G322/100)*Forudsætninger!$C$13,(Forudsætninger!$C$15/1000)*Forudsætninger!$C$13)</f>
        <v>3.1349289675714784</v>
      </c>
      <c r="P322" s="17" cm="1">
        <f t="array" ref="P322">INDEX('Model tilvækst, slagteform, fe'!$O$9:$O$375,MATCH(MIN(ABS('Model tilvækst, slagteform, fe'!$M$9:$M$375-G322)),ABS('Model tilvækst, slagteform, fe'!$M$9:$M$375-G322),0))*(1+Forudsætninger!$D$80)</f>
        <v>8.5261999999999993</v>
      </c>
      <c r="Q322" s="17">
        <f t="shared" si="121"/>
        <v>14.261626041967661</v>
      </c>
      <c r="R322" s="17">
        <f t="shared" si="122"/>
        <v>8.3687449437924961</v>
      </c>
      <c r="S322" s="2">
        <f t="shared" si="111"/>
        <v>4.7448056444038933</v>
      </c>
      <c r="T322" s="19">
        <f>(P322)*IF(N322&lt;Forudsætninger!$B$228,IF(N322&lt;Forudsætninger!$B$227,Forudsætninger!$B$225,Forudsætninger!$C$9),Forudsætninger!$C$11)+O322</f>
        <v>23.086236967571477</v>
      </c>
      <c r="U322" s="2">
        <f>Forudsætninger!$D$68+((K322-(Forudsætninger!$D$84)))*0.01</f>
        <v>7.8154562463410588</v>
      </c>
      <c r="V322" s="2">
        <f>U322+Forudsætninger!$D$69</f>
        <v>7.8154562463410588</v>
      </c>
      <c r="W322">
        <f t="shared" si="112"/>
        <v>1</v>
      </c>
      <c r="X322">
        <f>IF(A322+Forudsætninger!$D$60&gt;248,IF(A322+Forudsætninger!$D$60&lt;365,IF(K322&gt;180,IF(K322&lt;260,1,0),0),0),0)</f>
        <v>0</v>
      </c>
      <c r="Y322" s="22">
        <f>IF(X322=0,0,IF('Vækstfunktion, kry tyr'!A322&lt;Forudsætninger!$D$66,Forudsætninger!$D$67+(('Vækstfunktion, kry tyr'!A322-Forudsætninger!$D$66)/7)*Forudsætninger!$D$64,Forudsætninger!$D$67))</f>
        <v>0</v>
      </c>
      <c r="Z322" s="19">
        <f t="shared" si="126"/>
        <v>5640.0390055404796</v>
      </c>
      <c r="AA322" s="19">
        <f>Forudsætninger!$D$62+Forudsætninger!$C$16</f>
        <v>2055</v>
      </c>
      <c r="AB322" s="19">
        <f>IF(K322&gt;Forudsætninger!$C$37,IF(K322&gt;Forudsætninger!$C$38,IF(K322&gt;Forudsætninger!$C$39,Forudsætninger!$E$39,Forudsætninger!$E$38+Forudsætninger!$F$39*(K322-Forudsætninger!$C$38)),Forudsætninger!$E$37+Forudsætninger!$F$38*(K322-Forudsætninger!$C$37)),Forudsætninger!$E$37)+IF(K322&gt;Forudsætninger!$C$39,Forudsætninger!$G$39,IF(K322&gt;Forudsætninger!$C$38,Forudsætninger!$G$38+Forudsætninger!$H$39*(K322-Forudsætninger!$C$38),IF(K322&gt;Forudsætninger!$C$37,Forudsætninger!$G$37+Forudsætninger!$H$38*(K322-Forudsætninger!$C$37),Forudsætninger!$G$37)))*(U322-Forudsætninger!$H$37)</f>
        <v>37.231545624634109</v>
      </c>
      <c r="AC322" s="19">
        <f>IF(K322&gt;Forudsætninger!$C$42,IF(K322&gt;Forudsætninger!$C$43,IF(K322&gt;Forudsætninger!$C$44,Forudsætninger!$E$44,Forudsætninger!$E$43+Forudsætninger!$F$44*(K322-Forudsætninger!$C$43)),Forudsætninger!$E$42+Forudsætninger!$F$43*(K322-Forudsætninger!$C$42)),Forudsætninger!$E$42)+IF(K322&gt;Forudsætninger!$C$44,Forudsætninger!$G$44,IF(K322&gt;Forudsætninger!$C$43,Forudsætninger!$G$43+Forudsætninger!$H$44*(K322-Forudsætninger!$C$43),IF(K322&gt;Forudsætninger!$C$42,Forudsætninger!$G$42+Forudsætninger!$H$43*(K322-Forudsætninger!$C$42),Forudsætninger!$G$42)))*(V322-Forudsætninger!$H$42)</f>
        <v>32.150500557263314</v>
      </c>
      <c r="AD322" s="19">
        <f t="shared" si="113"/>
        <v>8602.9774328085259</v>
      </c>
      <c r="AE322" s="19">
        <f t="shared" si="114"/>
        <v>32.150500557263314</v>
      </c>
      <c r="AF322">
        <f>IF(G322&lt;=Forudsætninger!$C$97,Forudsætninger!$C$98,(IF(G322&lt;=Forudsætninger!$D$97,Forudsætninger!$D$98,IF(G322&lt;=Forudsætninger!$E$97,Forudsætninger!$E$98,IF(G322&lt;=Forudsætninger!$F$97,Forudsætninger!$F$98,IF(G322&lt;=Forudsætninger!$G$97,Forudsætninger!$G$98,IF(G322&lt;=Forudsætninger!$H$97,Forudsætninger!$H$98,IF(G322&lt;=Forudsætninger!$I$97,Forudsætninger!$I$98,Forudsætninger!$I$98))))))))</f>
        <v>4.4000000000000004</v>
      </c>
      <c r="AG322" s="1">
        <f t="shared" si="123"/>
        <v>4.4000000000000004</v>
      </c>
      <c r="AH322" s="1">
        <f t="shared" si="127"/>
        <v>1092.1999999999973</v>
      </c>
      <c r="AI322" s="1">
        <f t="shared" si="115"/>
        <v>3.4131249999999915</v>
      </c>
      <c r="AJ322" s="20">
        <f>+(W322*Forudsætninger!$C$12)</f>
        <v>900</v>
      </c>
      <c r="AK322" s="20">
        <f>Forudsætninger!$C$17</f>
        <v>250</v>
      </c>
      <c r="AL322" s="20">
        <f>IF(A322&lt;92,Forudsætninger!$C$20,Forudsætninger!$C$21)</f>
        <v>1.0566762728146013</v>
      </c>
      <c r="AM322" s="20">
        <f t="shared" si="124"/>
        <v>606.64189015396209</v>
      </c>
      <c r="AN322" s="19">
        <f>IFERROR(AD322+AJ322-AA322-Z322-AK322-AM322-Forudsætninger!$D$75,-99999)</f>
        <v>733.40456341312404</v>
      </c>
      <c r="AO322" s="57">
        <f>IFERROR(AN322/(A322+Forudsætninger!$D$74),-99999)</f>
        <v>2.2918892606660126</v>
      </c>
      <c r="AP322" s="19">
        <f>IFERROR(((365/(A322+Forudsætninger!$D$74))*AN322)/(AI322+Forudsætninger!$D$73),-99999)</f>
        <v>237.44249214634638</v>
      </c>
      <c r="AQ322" s="18">
        <f t="shared" si="128"/>
        <v>320</v>
      </c>
      <c r="AR322" s="18">
        <f t="shared" si="129"/>
        <v>8551.6808956944424</v>
      </c>
      <c r="AS322" s="50">
        <f t="shared" si="130"/>
        <v>11.6</v>
      </c>
      <c r="AT322" s="50">
        <f t="shared" si="131"/>
        <v>-1.092980372144325</v>
      </c>
      <c r="AU322" s="50">
        <f t="shared" si="132"/>
        <v>-1.0610876591881979E-2</v>
      </c>
      <c r="AV322" s="2">
        <f t="shared" si="133"/>
        <v>-1.3089469809266632</v>
      </c>
      <c r="AW322" s="16">
        <f t="shared" si="125"/>
        <v>4.1876451673971449</v>
      </c>
      <c r="AZ322" s="16"/>
      <c r="BA322" s="2"/>
    </row>
    <row r="323" spans="1:53" x14ac:dyDescent="0.25">
      <c r="A323">
        <v>321</v>
      </c>
      <c r="B323" s="1">
        <f>ROUND((A323+Forudsætninger!$D$60)/30.4,1)</f>
        <v>11.7</v>
      </c>
      <c r="C323" s="1">
        <f>VLOOKUP((A323+Forudsætninger!$D$60),'Model tilvækst, slagteform, fe'!A:C,3,FALSE)</f>
        <v>575.34938398213944</v>
      </c>
      <c r="D323" s="3">
        <f t="shared" si="134"/>
        <v>1186.5694086086478</v>
      </c>
      <c r="E323" s="3">
        <f>(1+Forudsætninger!$D$78)*C323</f>
        <v>483.29348254499712</v>
      </c>
      <c r="F323" s="2">
        <f t="shared" si="116"/>
        <v>0</v>
      </c>
      <c r="G323" s="1">
        <f t="shared" ref="G323:G367" si="135">E323+F323</f>
        <v>483.29348254499712</v>
      </c>
      <c r="H323" s="3">
        <f t="shared" si="117"/>
        <v>996.71830323126187</v>
      </c>
      <c r="I323" s="3">
        <f t="shared" si="118"/>
        <v>1281.2881076168135</v>
      </c>
      <c r="J323" s="1">
        <f>VLOOKUP((A323+Forudsætninger!$D$60),'Model tilvækst, slagteform, fe'!G:K,3,FALSE)*(1+Forudsætninger!$D$79)</f>
        <v>55.490316989977117</v>
      </c>
      <c r="K323" s="17">
        <f t="shared" ref="K323:K367" si="136">G323*(J323/100)</f>
        <v>268.18108545611864</v>
      </c>
      <c r="L323" s="17">
        <f t="shared" si="119"/>
        <v>596.5289579780233</v>
      </c>
      <c r="M323" s="3">
        <f>((K323-(('Model tilvækst, slagteform, fe'!$I$9/100)*'Model tilvækst, slagteform, fe'!$C$9))*1000/(A323+Forudsætninger!$D$60))</f>
        <v>694.26062675985713</v>
      </c>
      <c r="N323" s="17">
        <f t="shared" si="120"/>
        <v>1955.3046028549841</v>
      </c>
      <c r="O323" s="19">
        <f>IF( A323&lt;Forudsætninger!$C$14,(G323/100)*Forudsætninger!$C$13,(Forudsætninger!$C$15/1000)*Forudsætninger!$C$13)</f>
        <v>3.1414076365424815</v>
      </c>
      <c r="P323" s="17" cm="1">
        <f t="array" ref="P323">INDEX('Model tilvækst, slagteform, fe'!$O$9:$O$375,MATCH(MIN(ABS('Model tilvækst, slagteform, fe'!$M$9:$M$375-G323)),ABS('Model tilvækst, slagteform, fe'!$M$9:$M$375-G323),0))*(1+Forudsætninger!$D$80)</f>
        <v>8.5261999999999993</v>
      </c>
      <c r="Q323" s="17">
        <f t="shared" si="121"/>
        <v>14.293019451897443</v>
      </c>
      <c r="R323" s="17">
        <f t="shared" si="122"/>
        <v>8.3838979312796464</v>
      </c>
      <c r="S323" s="2">
        <f t="shared" ref="S323:S367" si="137">N323/(G323-$G$2)</f>
        <v>4.7540374108434023</v>
      </c>
      <c r="T323" s="19">
        <f>(P323)*IF(N323&lt;Forudsætninger!$B$228,IF(N323&lt;Forudsætninger!$B$227,Forudsætninger!$B$225,Forudsætninger!$C$9),Forudsætninger!$C$11)+O323</f>
        <v>23.092715636542479</v>
      </c>
      <c r="U323" s="2">
        <f>Forudsætninger!$D$68+((K323-(Forudsætninger!$D$84)))*0.01</f>
        <v>7.8214215359208383</v>
      </c>
      <c r="V323" s="2">
        <f>U323+Forudsætninger!$D$69</f>
        <v>7.8214215359208383</v>
      </c>
      <c r="W323">
        <f t="shared" ref="W323:W367" si="138">IF(K323&gt;130,1,0)</f>
        <v>1</v>
      </c>
      <c r="X323">
        <f>IF(A323+Forudsætninger!$D$60&gt;248,IF(A323+Forudsætninger!$D$60&lt;365,IF(K323&gt;180,IF(K323&lt;260,1,0),0),0),0)</f>
        <v>0</v>
      </c>
      <c r="Y323" s="22">
        <f>IF(X323=0,0,IF('Vækstfunktion, kry tyr'!A323&lt;Forudsætninger!$D$66,Forudsætninger!$D$67+(('Vækstfunktion, kry tyr'!A323-Forudsætninger!$D$66)/7)*Forudsætninger!$D$64,Forudsætninger!$D$67))</f>
        <v>0</v>
      </c>
      <c r="Z323" s="19">
        <f t="shared" si="126"/>
        <v>5663.131721177022</v>
      </c>
      <c r="AA323" s="19">
        <f>Forudsætninger!$D$62+Forudsætninger!$C$16</f>
        <v>2055</v>
      </c>
      <c r="AB323" s="19">
        <f>IF(K323&gt;Forudsætninger!$C$37,IF(K323&gt;Forudsætninger!$C$38,IF(K323&gt;Forudsætninger!$C$39,Forudsætninger!$E$39,Forudsætninger!$E$38+Forudsætninger!$F$39*(K323-Forudsætninger!$C$38)),Forudsætninger!$E$37+Forudsætninger!$F$38*(K323-Forudsætninger!$C$37)),Forudsætninger!$E$37)+IF(K323&gt;Forudsætninger!$C$39,Forudsætninger!$G$39,IF(K323&gt;Forudsætninger!$C$38,Forudsætninger!$G$38+Forudsætninger!$H$39*(K323-Forudsætninger!$C$38),IF(K323&gt;Forudsætninger!$C$37,Forudsætninger!$G$37+Forudsætninger!$H$38*(K323-Forudsætninger!$C$37),Forudsætninger!$G$37)))*(U323-Forudsætninger!$H$37)</f>
        <v>37.232142153592086</v>
      </c>
      <c r="AC323" s="19">
        <f>IF(K323&gt;Forudsætninger!$C$42,IF(K323&gt;Forudsætninger!$C$43,IF(K323&gt;Forudsætninger!$C$44,Forudsætninger!$E$44,Forudsætninger!$E$43+Forudsætninger!$F$44*(K323-Forudsætninger!$C$43)),Forudsætninger!$E$42+Forudsætninger!$F$43*(K323-Forudsætninger!$C$42)),Forudsætninger!$E$42)+IF(K323&gt;Forudsætninger!$C$44,Forudsætninger!$G$44,IF(K323&gt;Forudsætninger!$C$43,Forudsætninger!$G$43+Forudsætninger!$H$44*(K323-Forudsætninger!$C$43),IF(K323&gt;Forudsætninger!$C$42,Forudsætninger!$G$42+Forudsætninger!$H$43*(K323-Forudsætninger!$C$42),Forudsætninger!$G$42)))*(V323-Forudsætninger!$H$42)</f>
        <v>32.164795793242888</v>
      </c>
      <c r="AD323" s="19">
        <f t="shared" ref="AD323:AD367" si="139">(K323*(Y323*AB323+((1-Y323)*AC323)))</f>
        <v>8625.9898493062756</v>
      </c>
      <c r="AE323" s="19">
        <f t="shared" ref="AE323:AE367" si="140">AD323/K323</f>
        <v>32.164795793242888</v>
      </c>
      <c r="AF323">
        <f>IF(G323&lt;=Forudsætninger!$C$97,Forudsætninger!$C$98,(IF(G323&lt;=Forudsætninger!$D$97,Forudsætninger!$D$98,IF(G323&lt;=Forudsætninger!$E$97,Forudsætninger!$E$98,IF(G323&lt;=Forudsætninger!$F$97,Forudsætninger!$F$98,IF(G323&lt;=Forudsætninger!$G$97,Forudsætninger!$G$98,IF(G323&lt;=Forudsætninger!$H$97,Forudsætninger!$H$98,IF(G323&lt;=Forudsætninger!$I$97,Forudsætninger!$I$98,Forudsætninger!$I$98))))))))</f>
        <v>4.4000000000000004</v>
      </c>
      <c r="AG323" s="1">
        <f t="shared" si="123"/>
        <v>4.4000000000000004</v>
      </c>
      <c r="AH323" s="1">
        <f t="shared" si="127"/>
        <v>1096.5999999999974</v>
      </c>
      <c r="AI323" s="1">
        <f t="shared" ref="AI323:AI367" si="141">AH323/A323</f>
        <v>3.4161993769470325</v>
      </c>
      <c r="AJ323" s="20">
        <f>+(W323*Forudsætninger!$C$12)</f>
        <v>900</v>
      </c>
      <c r="AK323" s="20">
        <f>Forudsætninger!$C$17</f>
        <v>250</v>
      </c>
      <c r="AL323" s="20">
        <f>IF(A323&lt;92,Forudsætninger!$C$20,Forudsætninger!$C$21)</f>
        <v>1.0566762728146013</v>
      </c>
      <c r="AM323" s="20">
        <f t="shared" si="124"/>
        <v>607.69856642677667</v>
      </c>
      <c r="AN323" s="19">
        <f>IFERROR(AD323+AJ323-AA323-Z323-AK323-AM323-Forudsætninger!$D$75,-99999)</f>
        <v>732.26758800151674</v>
      </c>
      <c r="AO323" s="57">
        <f>IFERROR(AN323/(A323+Forudsætninger!$D$74),-99999)</f>
        <v>2.2812074392570616</v>
      </c>
      <c r="AP323" s="19">
        <f>IFERROR(((365/(A323+Forudsætninger!$D$74))*AN323)/(AI323+Forudsætninger!$D$73),-99999)</f>
        <v>236.12978913566823</v>
      </c>
      <c r="AQ323" s="18">
        <f t="shared" si="128"/>
        <v>321</v>
      </c>
      <c r="AR323" s="18">
        <f t="shared" si="129"/>
        <v>8575.8302876037978</v>
      </c>
      <c r="AS323" s="50">
        <f t="shared" si="130"/>
        <v>11.7</v>
      </c>
      <c r="AT323" s="50">
        <f t="shared" si="131"/>
        <v>-1.1369754116072954</v>
      </c>
      <c r="AU323" s="50">
        <f t="shared" si="132"/>
        <v>-1.068182140895102E-2</v>
      </c>
      <c r="AV323" s="2">
        <f t="shared" si="133"/>
        <v>-1.312703010678149</v>
      </c>
      <c r="AW323" s="16">
        <f t="shared" si="125"/>
        <v>4.1743493907423472</v>
      </c>
      <c r="AZ323" s="16"/>
      <c r="BA323" s="2"/>
    </row>
    <row r="324" spans="1:53" x14ac:dyDescent="0.25">
      <c r="A324">
        <v>322</v>
      </c>
      <c r="B324" s="1">
        <f>ROUND((A324+Forudsætninger!$D$60)/30.4,1)</f>
        <v>11.7</v>
      </c>
      <c r="C324" s="1">
        <f>VLOOKUP((A324+Forudsætninger!$D$60),'Model tilvækst, slagteform, fe'!A:C,3,FALSE)</f>
        <v>576.53264647981655</v>
      </c>
      <c r="D324" s="3">
        <f t="shared" si="134"/>
        <v>1183.2624976771058</v>
      </c>
      <c r="E324" s="3">
        <f>(1+Forudsætninger!$D$78)*C324</f>
        <v>484.28742304304586</v>
      </c>
      <c r="F324" s="2">
        <f t="shared" ref="F324:F367" si="142">MAX(F323-((D324/1000)/15),0)</f>
        <v>0</v>
      </c>
      <c r="G324" s="1">
        <f t="shared" si="135"/>
        <v>484.28742304304586</v>
      </c>
      <c r="H324" s="3">
        <f t="shared" ref="H324:H367" si="143">(G324-G323)*1000</f>
        <v>993.94049804874385</v>
      </c>
      <c r="I324" s="3">
        <f t="shared" ref="I324:I367" si="144">(G324-$G$2)*1000/A324</f>
        <v>1280.3957237361672</v>
      </c>
      <c r="J324" s="1">
        <f>VLOOKUP((A324+Forudsætninger!$D$60),'Model tilvækst, slagteform, fe'!G:K,3,FALSE)*(1+Forudsætninger!$D$79)</f>
        <v>55.499338164692553</v>
      </c>
      <c r="K324" s="17">
        <f t="shared" si="136"/>
        <v>268.77631460373527</v>
      </c>
      <c r="L324" s="17">
        <f t="shared" ref="L324:L367" si="145">(K324-K323)*1000</f>
        <v>595.22914761663515</v>
      </c>
      <c r="M324" s="3">
        <f>((K324-(('Model tilvækst, slagteform, fe'!$I$9/100)*'Model tilvækst, slagteform, fe'!$C$9))*1000/(A324+Forudsætninger!$D$60))</f>
        <v>693.98244844765713</v>
      </c>
      <c r="N324" s="17">
        <f t="shared" ref="N324:N367" si="146">N323+P324</f>
        <v>1963.8308028549841</v>
      </c>
      <c r="O324" s="19">
        <f>IF( A324&lt;Forudsætninger!$C$14,(G324/100)*Forudsætninger!$C$13,(Forudsætninger!$C$15/1000)*Forudsætninger!$C$13)</f>
        <v>3.1478682497797985</v>
      </c>
      <c r="P324" s="17" cm="1">
        <f t="array" ref="P324">INDEX('Model tilvækst, slagteform, fe'!$O$9:$O$375,MATCH(MIN(ABS('Model tilvækst, slagteform, fe'!$M$9:$M$375-G324)),ABS('Model tilvækst, slagteform, fe'!$M$9:$M$375-G324),0))*(1+Forudsætninger!$D$80)</f>
        <v>8.5261999999999993</v>
      </c>
      <c r="Q324" s="17">
        <f t="shared" ref="Q324:Q367" si="147">P324/(L324/1000)</f>
        <v>14.324231321903286</v>
      </c>
      <c r="R324" s="17">
        <f t="shared" ref="R324:R367" si="148">N324/(K324-$K$2)</f>
        <v>8.3990202912721035</v>
      </c>
      <c r="S324" s="2">
        <f t="shared" si="137"/>
        <v>4.7632566338312623</v>
      </c>
      <c r="T324" s="19">
        <f>(P324)*IF(N324&lt;Forudsætninger!$B$228,IF(N324&lt;Forudsætninger!$B$227,Forudsætninger!$B$225,Forudsætninger!$C$9),Forudsætninger!$C$11)+O324</f>
        <v>23.099176249779795</v>
      </c>
      <c r="U324" s="2">
        <f>Forudsætninger!$D$68+((K324-(Forudsætninger!$D$84)))*0.01</f>
        <v>7.8273738273970048</v>
      </c>
      <c r="V324" s="2">
        <f>U324+Forudsætninger!$D$69</f>
        <v>7.8273738273970048</v>
      </c>
      <c r="W324">
        <f t="shared" si="138"/>
        <v>1</v>
      </c>
      <c r="X324">
        <f>IF(A324+Forudsætninger!$D$60&gt;248,IF(A324+Forudsætninger!$D$60&lt;365,IF(K324&gt;180,IF(K324&lt;260,1,0),0),0),0)</f>
        <v>0</v>
      </c>
      <c r="Y324" s="22">
        <f>IF(X324=0,0,IF('Vækstfunktion, kry tyr'!A324&lt;Forudsætninger!$D$66,Forudsætninger!$D$67+(('Vækstfunktion, kry tyr'!A324-Forudsætninger!$D$66)/7)*Forudsætninger!$D$64,Forudsætninger!$D$67))</f>
        <v>0</v>
      </c>
      <c r="Z324" s="19">
        <f t="shared" si="126"/>
        <v>5686.2308974268017</v>
      </c>
      <c r="AA324" s="19">
        <f>Forudsætninger!$D$62+Forudsætninger!$C$16</f>
        <v>2055</v>
      </c>
      <c r="AB324" s="19">
        <f>IF(K324&gt;Forudsætninger!$C$37,IF(K324&gt;Forudsætninger!$C$38,IF(K324&gt;Forudsætninger!$C$39,Forudsætninger!$E$39,Forudsætninger!$E$38+Forudsætninger!$F$39*(K324-Forudsætninger!$C$38)),Forudsætninger!$E$37+Forudsætninger!$F$38*(K324-Forudsætninger!$C$37)),Forudsætninger!$E$37)+IF(K324&gt;Forudsætninger!$C$39,Forudsætninger!$G$39,IF(K324&gt;Forudsætninger!$C$38,Forudsætninger!$G$38+Forudsætninger!$H$39*(K324-Forudsætninger!$C$38),IF(K324&gt;Forudsætninger!$C$37,Forudsætninger!$G$37+Forudsætninger!$H$38*(K324-Forudsætninger!$C$37),Forudsætninger!$G$37)))*(U324-Forudsætninger!$H$37)</f>
        <v>37.2327373827397</v>
      </c>
      <c r="AC324" s="19">
        <f>IF(K324&gt;Forudsætninger!$C$42,IF(K324&gt;Forudsætninger!$C$43,IF(K324&gt;Forudsætninger!$C$44,Forudsætninger!$E$44,Forudsætninger!$E$43+Forudsætninger!$F$44*(K324-Forudsætninger!$C$43)),Forudsætninger!$E$42+Forudsætninger!$F$43*(K324-Forudsætninger!$C$42)),Forudsætninger!$E$42)+IF(K324&gt;Forudsætninger!$C$44,Forudsætninger!$G$44,IF(K324&gt;Forudsætninger!$C$43,Forudsætninger!$G$43+Forudsætninger!$H$44*(K324-Forudsætninger!$C$43),IF(K324&gt;Forudsætninger!$C$42,Forudsætninger!$G$42+Forudsætninger!$H$43*(K324-Forudsætninger!$C$42),Forudsætninger!$G$42)))*(V324-Forudsætninger!$H$42)</f>
        <v>32.179045102007841</v>
      </c>
      <c r="AD324" s="19">
        <f t="shared" si="139"/>
        <v>8648.9651499850461</v>
      </c>
      <c r="AE324" s="19">
        <f t="shared" si="140"/>
        <v>32.179045102007841</v>
      </c>
      <c r="AF324">
        <f>IF(G324&lt;=Forudsætninger!$C$97,Forudsætninger!$C$98,(IF(G324&lt;=Forudsætninger!$D$97,Forudsætninger!$D$98,IF(G324&lt;=Forudsætninger!$E$97,Forudsætninger!$E$98,IF(G324&lt;=Forudsætninger!$F$97,Forudsætninger!$F$98,IF(G324&lt;=Forudsætninger!$G$97,Forudsætninger!$G$98,IF(G324&lt;=Forudsætninger!$H$97,Forudsætninger!$H$98,IF(G324&lt;=Forudsætninger!$I$97,Forudsætninger!$I$98,Forudsætninger!$I$98))))))))</f>
        <v>4.4000000000000004</v>
      </c>
      <c r="AG324" s="1">
        <f t="shared" ref="AG324:AG367" si="149">IF(AF324&lt;=3.2,IF(AF324&lt;=2.2,2.2,3.2),4.4)</f>
        <v>4.4000000000000004</v>
      </c>
      <c r="AH324" s="1">
        <f t="shared" si="127"/>
        <v>1100.9999999999975</v>
      </c>
      <c r="AI324" s="1">
        <f t="shared" si="141"/>
        <v>3.4192546583850856</v>
      </c>
      <c r="AJ324" s="20">
        <f>+(W324*Forudsætninger!$C$12)</f>
        <v>900</v>
      </c>
      <c r="AK324" s="20">
        <f>Forudsætninger!$C$17</f>
        <v>250</v>
      </c>
      <c r="AL324" s="20">
        <f>IF(A324&lt;92,Forudsætninger!$C$20,Forudsætninger!$C$21)</f>
        <v>1.0566762728146013</v>
      </c>
      <c r="AM324" s="20">
        <f t="shared" ref="AM324:AM367" si="150">AL324+AM323</f>
        <v>608.75524269959124</v>
      </c>
      <c r="AN324" s="19">
        <f>IFERROR(AD324+AJ324-AA324-Z324-AK324-AM324-Forudsætninger!$D$75,-99999)</f>
        <v>731.08703615769298</v>
      </c>
      <c r="AO324" s="57">
        <f>IFERROR(AN324/(A324+Forudsætninger!$D$74),-99999)</f>
        <v>2.2704566340301024</v>
      </c>
      <c r="AP324" s="19">
        <f>IFERROR(((365/(A324+Forudsætninger!$D$74))*AN324)/(AI324+Forudsætninger!$D$73),-99999)</f>
        <v>234.81350926379204</v>
      </c>
      <c r="AQ324" s="18">
        <f t="shared" si="128"/>
        <v>322</v>
      </c>
      <c r="AR324" s="18">
        <f t="shared" si="129"/>
        <v>8599.9861401263934</v>
      </c>
      <c r="AS324" s="50">
        <f t="shared" si="130"/>
        <v>11.7</v>
      </c>
      <c r="AT324" s="50">
        <f t="shared" si="131"/>
        <v>-1.1805518438237641</v>
      </c>
      <c r="AU324" s="50">
        <f t="shared" si="132"/>
        <v>-1.0750805226959148E-2</v>
      </c>
      <c r="AV324" s="2">
        <f t="shared" si="133"/>
        <v>-1.3162798718761906</v>
      </c>
      <c r="AW324" s="16">
        <f t="shared" ref="AW324:AW367" si="151">((AN324+AM324)/A324)</f>
        <v>4.1610008660164111</v>
      </c>
      <c r="AZ324" s="16"/>
      <c r="BA324" s="2"/>
    </row>
    <row r="325" spans="1:53" x14ac:dyDescent="0.25">
      <c r="A325">
        <v>323</v>
      </c>
      <c r="B325" s="1">
        <f>ROUND((A325+Forudsætninger!$D$60)/30.4,1)</f>
        <v>11.7</v>
      </c>
      <c r="C325" s="1">
        <f>VLOOKUP((A325+Forudsætninger!$D$60),'Model tilvækst, slagteform, fe'!A:C,3,FALSE)</f>
        <v>577.71264408968943</v>
      </c>
      <c r="D325" s="3">
        <f t="shared" si="134"/>
        <v>1179.9976098728848</v>
      </c>
      <c r="E325" s="3">
        <f>(1+Forudsætninger!$D$78)*C325</f>
        <v>485.27862103533909</v>
      </c>
      <c r="F325" s="2">
        <f t="shared" si="142"/>
        <v>0</v>
      </c>
      <c r="G325" s="1">
        <f t="shared" si="135"/>
        <v>485.27862103533909</v>
      </c>
      <c r="H325" s="3">
        <f t="shared" si="143"/>
        <v>991.19799229322325</v>
      </c>
      <c r="I325" s="3">
        <f t="shared" si="144"/>
        <v>1279.5003747224121</v>
      </c>
      <c r="J325" s="1">
        <f>VLOOKUP((A325+Forudsætninger!$D$60),'Model tilvækst, slagteform, fe'!G:K,3,FALSE)*(1+Forudsætninger!$D$79)</f>
        <v>55.508371030009393</v>
      </c>
      <c r="K325" s="17">
        <f t="shared" si="136"/>
        <v>269.37025749360924</v>
      </c>
      <c r="L325" s="17">
        <f t="shared" si="145"/>
        <v>593.94288987397204</v>
      </c>
      <c r="M325" s="3">
        <f>((K325-(('Model tilvækst, slagteform, fe'!$I$9/100)*'Model tilvækst, slagteform, fe'!$C$9))*1000/(A325+Forudsætninger!$D$60))</f>
        <v>693.70222559450951</v>
      </c>
      <c r="N325" s="17">
        <f t="shared" si="146"/>
        <v>1972.3570028549841</v>
      </c>
      <c r="O325" s="19">
        <f>IF( A325&lt;Forudsætninger!$C$14,(G325/100)*Forudsætninger!$C$13,(Forudsætninger!$C$15/1000)*Forudsætninger!$C$13)</f>
        <v>3.154311036729704</v>
      </c>
      <c r="P325" s="17" cm="1">
        <f t="array" ref="P325">INDEX('Model tilvækst, slagteform, fe'!$O$9:$O$375,MATCH(MIN(ABS('Model tilvækst, slagteform, fe'!$M$9:$M$375-G325)),ABS('Model tilvækst, slagteform, fe'!$M$9:$M$375-G325),0))*(1+Forudsætninger!$D$80)</f>
        <v>8.5261999999999993</v>
      </c>
      <c r="Q325" s="17">
        <f t="shared" si="147"/>
        <v>14.355252239502628</v>
      </c>
      <c r="R325" s="17">
        <f t="shared" si="148"/>
        <v>8.414112022176429</v>
      </c>
      <c r="S325" s="2">
        <f t="shared" si="137"/>
        <v>4.7724631821357377</v>
      </c>
      <c r="T325" s="19">
        <f>(P325)*IF(N325&lt;Forudsætninger!$B$228,IF(N325&lt;Forudsætninger!$B$227,Forudsætninger!$B$225,Forudsætninger!$C$9),Forudsætninger!$C$11)+O325</f>
        <v>23.105619036729703</v>
      </c>
      <c r="U325" s="2">
        <f>Forudsætninger!$D$68+((K325-(Forudsætninger!$D$84)))*0.01</f>
        <v>7.833313256295745</v>
      </c>
      <c r="V325" s="2">
        <f>U325+Forudsætninger!$D$69</f>
        <v>7.833313256295745</v>
      </c>
      <c r="W325">
        <f t="shared" si="138"/>
        <v>1</v>
      </c>
      <c r="X325">
        <f>IF(A325+Forudsætninger!$D$60&gt;248,IF(A325+Forudsætninger!$D$60&lt;365,IF(K325&gt;180,IF(K325&lt;260,1,0),0),0),0)</f>
        <v>0</v>
      </c>
      <c r="Y325" s="22">
        <f>IF(X325=0,0,IF('Vækstfunktion, kry tyr'!A325&lt;Forudsætninger!$D$66,Forudsætninger!$D$67+(('Vækstfunktion, kry tyr'!A325-Forudsætninger!$D$66)/7)*Forudsætninger!$D$64,Forudsætninger!$D$67))</f>
        <v>0</v>
      </c>
      <c r="Z325" s="19">
        <f t="shared" ref="Z325:Z367" si="152">Z324+T325</f>
        <v>5709.3365164635316</v>
      </c>
      <c r="AA325" s="19">
        <f>Forudsætninger!$D$62+Forudsætninger!$C$16</f>
        <v>2055</v>
      </c>
      <c r="AB325" s="19">
        <f>IF(K325&gt;Forudsætninger!$C$37,IF(K325&gt;Forudsætninger!$C$38,IF(K325&gt;Forudsætninger!$C$39,Forudsætninger!$E$39,Forudsætninger!$E$38+Forudsætninger!$F$39*(K325-Forudsætninger!$C$38)),Forudsætninger!$E$37+Forudsætninger!$F$38*(K325-Forudsætninger!$C$37)),Forudsætninger!$E$37)+IF(K325&gt;Forudsætninger!$C$39,Forudsætninger!$G$39,IF(K325&gt;Forudsætninger!$C$38,Forudsætninger!$G$38+Forudsætninger!$H$39*(K325-Forudsætninger!$C$38),IF(K325&gt;Forudsætninger!$C$37,Forudsætninger!$G$37+Forudsætninger!$H$38*(K325-Forudsætninger!$C$37),Forudsætninger!$G$37)))*(U325-Forudsætninger!$H$37)</f>
        <v>37.233331325629578</v>
      </c>
      <c r="AC325" s="19">
        <f>IF(K325&gt;Forudsætninger!$C$42,IF(K325&gt;Forudsætninger!$C$43,IF(K325&gt;Forudsætninger!$C$44,Forudsætninger!$E$44,Forudsætninger!$E$43+Forudsætninger!$F$44*(K325-Forudsætninger!$C$43)),Forudsætninger!$E$42+Forudsætninger!$F$43*(K325-Forudsætninger!$C$42)),Forudsætninger!$E$42)+IF(K325&gt;Forudsætninger!$C$44,Forudsætninger!$G$44,IF(K325&gt;Forudsætninger!$C$43,Forudsætninger!$G$43+Forudsætninger!$H$44*(K325-Forudsætninger!$C$43),IF(K325&gt;Forudsætninger!$C$42,Forudsætninger!$G$42+Forudsætninger!$H$43*(K325-Forudsætninger!$C$42),Forudsætninger!$G$42)))*(V325-Forudsætninger!$H$42)</f>
        <v>32.193248904204182</v>
      </c>
      <c r="AD325" s="19">
        <f t="shared" si="139"/>
        <v>8671.9037468813349</v>
      </c>
      <c r="AE325" s="19">
        <f t="shared" si="140"/>
        <v>32.193248904204182</v>
      </c>
      <c r="AF325">
        <f>IF(G325&lt;=Forudsætninger!$C$97,Forudsætninger!$C$98,(IF(G325&lt;=Forudsætninger!$D$97,Forudsætninger!$D$98,IF(G325&lt;=Forudsætninger!$E$97,Forudsætninger!$E$98,IF(G325&lt;=Forudsætninger!$F$97,Forudsætninger!$F$98,IF(G325&lt;=Forudsætninger!$G$97,Forudsætninger!$G$98,IF(G325&lt;=Forudsætninger!$H$97,Forudsætninger!$H$98,IF(G325&lt;=Forudsætninger!$I$97,Forudsætninger!$I$98,Forudsætninger!$I$98))))))))</f>
        <v>4.4000000000000004</v>
      </c>
      <c r="AG325" s="1">
        <f t="shared" si="149"/>
        <v>4.4000000000000004</v>
      </c>
      <c r="AH325" s="1">
        <f t="shared" ref="AH325:AH367" si="153">AH324+AG325</f>
        <v>1105.3999999999976</v>
      </c>
      <c r="AI325" s="1">
        <f t="shared" si="141"/>
        <v>3.422291021671819</v>
      </c>
      <c r="AJ325" s="20">
        <f>+(W325*Forudsætninger!$C$12)</f>
        <v>900</v>
      </c>
      <c r="AK325" s="20">
        <f>Forudsætninger!$C$17</f>
        <v>250</v>
      </c>
      <c r="AL325" s="20">
        <f>IF(A325&lt;92,Forudsætninger!$C$20,Forudsætninger!$C$21)</f>
        <v>1.0566762728146013</v>
      </c>
      <c r="AM325" s="20">
        <f t="shared" si="150"/>
        <v>609.81191897240581</v>
      </c>
      <c r="AN325" s="19">
        <f>IFERROR(AD325+AJ325-AA325-Z325-AK325-AM325-Forudsætninger!$D$75,-99999)</f>
        <v>729.86333774443733</v>
      </c>
      <c r="AO325" s="57">
        <f>IFERROR(AN325/(A325+Forudsætninger!$D$74),-99999)</f>
        <v>2.2596388165462455</v>
      </c>
      <c r="AP325" s="19">
        <f>IFERROR(((365/(A325+Forudsætninger!$D$74))*AN325)/(AI325+Forudsætninger!$D$73),-99999)</f>
        <v>233.49383246712787</v>
      </c>
      <c r="AQ325" s="18">
        <f t="shared" ref="AQ325:AQ367" si="154">A325</f>
        <v>323</v>
      </c>
      <c r="AR325" s="18">
        <f t="shared" ref="AR325:AR367" si="155">AA325+Z325+AK325+AM325</f>
        <v>8624.1484354359382</v>
      </c>
      <c r="AS325" s="50">
        <f t="shared" ref="AS325:AS367" si="156">B325</f>
        <v>11.7</v>
      </c>
      <c r="AT325" s="50">
        <f t="shared" ref="AT325:AT367" si="157">AN325-AN324</f>
        <v>-1.2236984132556472</v>
      </c>
      <c r="AU325" s="50">
        <f t="shared" ref="AU325:AU367" si="158">AO325-AO324</f>
        <v>-1.0817817483856906E-2</v>
      </c>
      <c r="AV325" s="2">
        <f t="shared" ref="AV325:AV367" si="159">AP325-AP324</f>
        <v>-1.3196767966641687</v>
      </c>
      <c r="AW325" s="16">
        <f t="shared" si="151"/>
        <v>4.1476014139840345</v>
      </c>
      <c r="AZ325" s="16"/>
      <c r="BA325" s="2"/>
    </row>
    <row r="326" spans="1:53" x14ac:dyDescent="0.25">
      <c r="A326">
        <v>324</v>
      </c>
      <c r="B326" s="1">
        <f>ROUND((A326+Forudsætninger!$D$60)/30.4,1)</f>
        <v>11.8</v>
      </c>
      <c r="C326" s="1">
        <f>VLOOKUP((A326+Forudsætninger!$D$60),'Model tilvækst, slagteform, fe'!A:C,3,FALSE)</f>
        <v>578.88941945582303</v>
      </c>
      <c r="D326" s="3">
        <f t="shared" ref="D326:D367" si="160">(C326-C325)*1000</f>
        <v>1176.7753661335973</v>
      </c>
      <c r="E326" s="3">
        <f>(1+Forudsætninger!$D$78)*C326</f>
        <v>486.26711234289132</v>
      </c>
      <c r="F326" s="2">
        <f t="shared" si="142"/>
        <v>0</v>
      </c>
      <c r="G326" s="1">
        <f t="shared" si="135"/>
        <v>486.26711234289132</v>
      </c>
      <c r="H326" s="3">
        <f t="shared" si="143"/>
        <v>988.49130755223769</v>
      </c>
      <c r="I326" s="3">
        <f t="shared" si="144"/>
        <v>1278.6021985891707</v>
      </c>
      <c r="J326" s="1">
        <f>VLOOKUP((A326+Forudsætninger!$D$60),'Model tilvækst, slagteform, fe'!G:K,3,FALSE)*(1+Forudsætninger!$D$79)</f>
        <v>55.517414416867446</v>
      </c>
      <c r="K326" s="17">
        <f t="shared" si="136"/>
        <v>269.96292793233738</v>
      </c>
      <c r="L326" s="17">
        <f t="shared" si="145"/>
        <v>592.67043872813474</v>
      </c>
      <c r="M326" s="3">
        <f>((K326-(('Model tilvækst, slagteform, fe'!$I$9/100)*'Model tilvækst, slagteform, fe'!$C$9))*1000/(A326+Forudsætninger!$D$60))</f>
        <v>693.42001389935206</v>
      </c>
      <c r="N326" s="17">
        <f t="shared" si="146"/>
        <v>1980.8832028549841</v>
      </c>
      <c r="O326" s="19">
        <f>IF( A326&lt;Forudsætninger!$C$14,(G326/100)*Forudsætninger!$C$13,(Forudsætninger!$C$15/1000)*Forudsætninger!$C$13)</f>
        <v>3.1607362302287938</v>
      </c>
      <c r="P326" s="17" cm="1">
        <f t="array" ref="P326">INDEX('Model tilvækst, slagteform, fe'!$O$9:$O$375,MATCH(MIN(ABS('Model tilvækst, slagteform, fe'!$M$9:$M$375-G326)),ABS('Model tilvækst, slagteform, fe'!$M$9:$M$375-G326),0))*(1+Forudsætninger!$D$80)</f>
        <v>8.5261999999999993</v>
      </c>
      <c r="Q326" s="17">
        <f t="shared" si="147"/>
        <v>14.386072668475157</v>
      </c>
      <c r="R326" s="17">
        <f t="shared" si="148"/>
        <v>8.4291731088147888</v>
      </c>
      <c r="S326" s="2">
        <f t="shared" si="137"/>
        <v>4.781656916118882</v>
      </c>
      <c r="T326" s="19">
        <f>(P326)*IF(N326&lt;Forudsætninger!$B$228,IF(N326&lt;Forudsætninger!$B$227,Forudsætninger!$B$225,Forudsætninger!$C$9),Forudsætninger!$C$11)+O326</f>
        <v>23.11204423022879</v>
      </c>
      <c r="U326" s="2">
        <f>Forudsætninger!$D$68+((K326-(Forudsætninger!$D$84)))*0.01</f>
        <v>7.8392399606830265</v>
      </c>
      <c r="V326" s="2">
        <f>U326+Forudsætninger!$D$69</f>
        <v>7.8392399606830265</v>
      </c>
      <c r="W326">
        <f t="shared" si="138"/>
        <v>1</v>
      </c>
      <c r="X326">
        <f>IF(A326+Forudsætninger!$D$60&gt;248,IF(A326+Forudsætninger!$D$60&lt;365,IF(K326&gt;180,IF(K326&lt;260,1,0),0),0),0)</f>
        <v>0</v>
      </c>
      <c r="Y326" s="22">
        <f>IF(X326=0,0,IF('Vækstfunktion, kry tyr'!A326&lt;Forudsætninger!$D$66,Forudsætninger!$D$67+(('Vækstfunktion, kry tyr'!A326-Forudsætninger!$D$66)/7)*Forudsætninger!$D$64,Forudsætninger!$D$67))</f>
        <v>0</v>
      </c>
      <c r="Z326" s="19">
        <f t="shared" si="152"/>
        <v>5732.4485606937606</v>
      </c>
      <c r="AA326" s="19">
        <f>Forudsætninger!$D$62+Forudsætninger!$C$16</f>
        <v>2055</v>
      </c>
      <c r="AB326" s="19">
        <f>IF(K326&gt;Forudsætninger!$C$37,IF(K326&gt;Forudsætninger!$C$38,IF(K326&gt;Forudsætninger!$C$39,Forudsætninger!$E$39,Forudsætninger!$E$38+Forudsætninger!$F$39*(K326-Forudsætninger!$C$38)),Forudsætninger!$E$37+Forudsætninger!$F$38*(K326-Forudsætninger!$C$37)),Forudsætninger!$E$37)+IF(K326&gt;Forudsætninger!$C$39,Forudsætninger!$G$39,IF(K326&gt;Forudsætninger!$C$38,Forudsætninger!$G$38+Forudsætninger!$H$39*(K326-Forudsætninger!$C$38),IF(K326&gt;Forudsætninger!$C$37,Forudsætninger!$G$37+Forudsætninger!$H$38*(K326-Forudsætninger!$C$37),Forudsætninger!$G$37)))*(U326-Forudsætninger!$H$37)</f>
        <v>37.233923996068306</v>
      </c>
      <c r="AC326" s="19">
        <f>IF(K326&gt;Forudsætninger!$C$42,IF(K326&gt;Forudsætninger!$C$43,IF(K326&gt;Forudsætninger!$C$44,Forudsætninger!$E$44,Forudsætninger!$E$43+Forudsætninger!$F$44*(K326-Forudsætninger!$C$43)),Forudsætninger!$E$42+Forudsætninger!$F$43*(K326-Forudsætninger!$C$42)),Forudsætninger!$E$42)+IF(K326&gt;Forudsætninger!$C$44,Forudsætninger!$G$44,IF(K326&gt;Forudsætninger!$C$43,Forudsætninger!$G$43+Forudsætninger!$H$44*(K326-Forudsætninger!$C$43),IF(K326&gt;Forudsætninger!$C$42,Forudsætninger!$G$42+Forudsætninger!$H$43*(K326-Forudsætninger!$C$42),Forudsætninger!$G$42)))*(V326-Forudsætninger!$H$42)</f>
        <v>32.207407624992378</v>
      </c>
      <c r="AD326" s="19">
        <f t="shared" si="139"/>
        <v>8694.8060635532311</v>
      </c>
      <c r="AE326" s="19">
        <f t="shared" si="140"/>
        <v>32.207407624992378</v>
      </c>
      <c r="AF326">
        <f>IF(G326&lt;=Forudsætninger!$C$97,Forudsætninger!$C$98,(IF(G326&lt;=Forudsætninger!$D$97,Forudsætninger!$D$98,IF(G326&lt;=Forudsætninger!$E$97,Forudsætninger!$E$98,IF(G326&lt;=Forudsætninger!$F$97,Forudsætninger!$F$98,IF(G326&lt;=Forudsætninger!$G$97,Forudsætninger!$G$98,IF(G326&lt;=Forudsætninger!$H$97,Forudsætninger!$H$98,IF(G326&lt;=Forudsætninger!$I$97,Forudsætninger!$I$98,Forudsætninger!$I$98))))))))</f>
        <v>4.4000000000000004</v>
      </c>
      <c r="AG326" s="1">
        <f t="shared" si="149"/>
        <v>4.4000000000000004</v>
      </c>
      <c r="AH326" s="1">
        <f t="shared" si="153"/>
        <v>1109.7999999999977</v>
      </c>
      <c r="AI326" s="1">
        <f t="shared" si="141"/>
        <v>3.4253086419753016</v>
      </c>
      <c r="AJ326" s="20">
        <f>+(W326*Forudsætninger!$C$12)</f>
        <v>900</v>
      </c>
      <c r="AK326" s="20">
        <f>Forudsætninger!$C$17</f>
        <v>250</v>
      </c>
      <c r="AL326" s="20">
        <f>IF(A326&lt;92,Forudsætninger!$C$20,Forudsætninger!$C$21)</f>
        <v>1.0566762728146013</v>
      </c>
      <c r="AM326" s="20">
        <f t="shared" si="150"/>
        <v>610.86859524522038</v>
      </c>
      <c r="AN326" s="19">
        <f>IFERROR(AD326+AJ326-AA326-Z326-AK326-AM326-Forudsætninger!$D$75,-99999)</f>
        <v>728.59693391328994</v>
      </c>
      <c r="AO326" s="57">
        <f>IFERROR(AN326/(A326+Forudsætninger!$D$74),-99999)</f>
        <v>2.2487559688681786</v>
      </c>
      <c r="AP326" s="19">
        <f>IFERROR(((365/(A326+Forudsætninger!$D$74))*AN326)/(AI326+Forudsætninger!$D$73),-99999)</f>
        <v>232.1709394454108</v>
      </c>
      <c r="AQ326" s="18">
        <f t="shared" si="154"/>
        <v>324</v>
      </c>
      <c r="AR326" s="18">
        <f t="shared" si="155"/>
        <v>8648.3171559389812</v>
      </c>
      <c r="AS326" s="50">
        <f t="shared" si="156"/>
        <v>11.8</v>
      </c>
      <c r="AT326" s="50">
        <f t="shared" si="157"/>
        <v>-1.266403831147386</v>
      </c>
      <c r="AU326" s="50">
        <f t="shared" si="158"/>
        <v>-1.0882847678066909E-2</v>
      </c>
      <c r="AV326" s="2">
        <f t="shared" si="159"/>
        <v>-1.3228930217170785</v>
      </c>
      <c r="AW326" s="16">
        <f t="shared" si="151"/>
        <v>4.1341528677731807</v>
      </c>
      <c r="AZ326" s="16"/>
      <c r="BA326" s="2"/>
    </row>
    <row r="327" spans="1:53" x14ac:dyDescent="0.25">
      <c r="A327">
        <v>325</v>
      </c>
      <c r="B327" s="1">
        <f>ROUND((A327+Forudsætninger!$D$60)/30.4,1)</f>
        <v>11.8</v>
      </c>
      <c r="C327" s="1">
        <f>VLOOKUP((A327+Forudsætninger!$D$60),'Model tilvækst, slagteform, fe'!A:C,3,FALSE)</f>
        <v>580.06301584321773</v>
      </c>
      <c r="D327" s="3">
        <f t="shared" si="160"/>
        <v>1173.5963873946957</v>
      </c>
      <c r="E327" s="3">
        <f>(1+Forudsætninger!$D$78)*C327</f>
        <v>487.25293330830289</v>
      </c>
      <c r="F327" s="2">
        <f t="shared" si="142"/>
        <v>0</v>
      </c>
      <c r="G327" s="1">
        <f t="shared" si="135"/>
        <v>487.25293330830289</v>
      </c>
      <c r="H327" s="3">
        <f t="shared" si="143"/>
        <v>985.82096541156261</v>
      </c>
      <c r="I327" s="3">
        <f t="shared" si="144"/>
        <v>1277.7013332563165</v>
      </c>
      <c r="J327" s="1">
        <f>VLOOKUP((A327+Forudsætninger!$D$60),'Model tilvækst, slagteform, fe'!G:K,3,FALSE)*(1+Forudsætninger!$D$79)</f>
        <v>55.526467156206607</v>
      </c>
      <c r="K327" s="17">
        <f t="shared" si="136"/>
        <v>270.55433998108805</v>
      </c>
      <c r="L327" s="17">
        <f t="shared" si="145"/>
        <v>591.41204875066933</v>
      </c>
      <c r="M327" s="3">
        <f>((K327-(('Model tilvækst, slagteform, fe'!$I$9/100)*'Model tilvækst, slagteform, fe'!$C$9))*1000/(A327+Forudsætninger!$D$60))</f>
        <v>693.13586914963423</v>
      </c>
      <c r="N327" s="17">
        <f t="shared" si="146"/>
        <v>1989.4094028549841</v>
      </c>
      <c r="O327" s="19">
        <f>IF( A327&lt;Forudsætninger!$C$14,(G327/100)*Forudsætninger!$C$13,(Forudsætninger!$C$15/1000)*Forudsætninger!$C$13)</f>
        <v>3.167144066503969</v>
      </c>
      <c r="P327" s="17" cm="1">
        <f t="array" ref="P327">INDEX('Model tilvækst, slagteform, fe'!$O$9:$O$375,MATCH(MIN(ABS('Model tilvækst, slagteform, fe'!$M$9:$M$375-G327)),ABS('Model tilvækst, slagteform, fe'!$M$9:$M$375-G327),0))*(1+Forudsætninger!$D$80)</f>
        <v>8.5261999999999993</v>
      </c>
      <c r="Q327" s="17">
        <f t="shared" si="147"/>
        <v>14.416682950594604</v>
      </c>
      <c r="R327" s="17">
        <f t="shared" si="148"/>
        <v>8.4442035225107084</v>
      </c>
      <c r="S327" s="2">
        <f t="shared" si="137"/>
        <v>4.7908376877808951</v>
      </c>
      <c r="T327" s="19">
        <f>(P327)*IF(N327&lt;Forudsætninger!$B$228,IF(N327&lt;Forudsætninger!$B$227,Forudsætninger!$B$225,Forudsætninger!$C$9),Forudsætninger!$C$11)+O327</f>
        <v>23.118452066503966</v>
      </c>
      <c r="U327" s="2">
        <f>Forudsætninger!$D$68+((K327-(Forudsætninger!$D$84)))*0.01</f>
        <v>7.8451540811705325</v>
      </c>
      <c r="V327" s="2">
        <f>U327+Forudsætninger!$D$69</f>
        <v>7.8451540811705325</v>
      </c>
      <c r="W327">
        <f t="shared" si="138"/>
        <v>1</v>
      </c>
      <c r="X327">
        <f>IF(A327+Forudsætninger!$D$60&gt;248,IF(A327+Forudsætninger!$D$60&lt;365,IF(K327&gt;180,IF(K327&lt;260,1,0),0),0),0)</f>
        <v>0</v>
      </c>
      <c r="Y327" s="22">
        <f>IF(X327=0,0,IF('Vækstfunktion, kry tyr'!A327&lt;Forudsætninger!$D$66,Forudsætninger!$D$67+(('Vækstfunktion, kry tyr'!A327-Forudsætninger!$D$66)/7)*Forudsætninger!$D$64,Forudsætninger!$D$67))</f>
        <v>0</v>
      </c>
      <c r="Z327" s="19">
        <f t="shared" si="152"/>
        <v>5755.5670127602643</v>
      </c>
      <c r="AA327" s="19">
        <f>Forudsætninger!$D$62+Forudsætninger!$C$16</f>
        <v>2055</v>
      </c>
      <c r="AB327" s="19">
        <f>IF(K327&gt;Forudsætninger!$C$37,IF(K327&gt;Forudsætninger!$C$38,IF(K327&gt;Forudsætninger!$C$39,Forudsætninger!$E$39,Forudsætninger!$E$38+Forudsætninger!$F$39*(K327-Forudsætninger!$C$38)),Forudsætninger!$E$37+Forudsætninger!$F$38*(K327-Forudsætninger!$C$37)),Forudsætninger!$E$37)+IF(K327&gt;Forudsætninger!$C$39,Forudsætninger!$G$39,IF(K327&gt;Forudsætninger!$C$38,Forudsætninger!$G$38+Forudsætninger!$H$39*(K327-Forudsætninger!$C$38),IF(K327&gt;Forudsætninger!$C$37,Forudsætninger!$G$37+Forudsætninger!$H$38*(K327-Forudsætninger!$C$37),Forudsætninger!$G$37)))*(U327-Forudsætninger!$H$37)</f>
        <v>37.234515408117055</v>
      </c>
      <c r="AC327" s="19">
        <f>IF(K327&gt;Forudsætninger!$C$42,IF(K327&gt;Forudsætninger!$C$43,IF(K327&gt;Forudsætninger!$C$44,Forudsætninger!$E$44,Forudsætninger!$E$43+Forudsætninger!$F$44*(K327-Forudsætninger!$C$43)),Forudsætninger!$E$42+Forudsætninger!$F$43*(K327-Forudsætninger!$C$42)),Forudsætninger!$E$42)+IF(K327&gt;Forudsætninger!$C$44,Forudsætninger!$G$44,IF(K327&gt;Forudsætninger!$C$43,Forudsætninger!$G$43+Forudsætninger!$H$44*(K327-Forudsætninger!$C$43),IF(K327&gt;Forudsætninger!$C$42,Forudsætninger!$G$42+Forudsætninger!$H$43*(K327-Forudsætninger!$C$42),Forudsætninger!$G$42)))*(V327-Forudsætninger!$H$42)</f>
        <v>32.221521694037484</v>
      </c>
      <c r="AD327" s="19">
        <f t="shared" si="139"/>
        <v>8717.6725351166224</v>
      </c>
      <c r="AE327" s="19">
        <f t="shared" si="140"/>
        <v>32.221521694037484</v>
      </c>
      <c r="AF327">
        <f>IF(G327&lt;=Forudsætninger!$C$97,Forudsætninger!$C$98,(IF(G327&lt;=Forudsætninger!$D$97,Forudsætninger!$D$98,IF(G327&lt;=Forudsætninger!$E$97,Forudsætninger!$E$98,IF(G327&lt;=Forudsætninger!$F$97,Forudsætninger!$F$98,IF(G327&lt;=Forudsætninger!$G$97,Forudsætninger!$G$98,IF(G327&lt;=Forudsætninger!$H$97,Forudsætninger!$H$98,IF(G327&lt;=Forudsætninger!$I$97,Forudsætninger!$I$98,Forudsætninger!$I$98))))))))</f>
        <v>4.4000000000000004</v>
      </c>
      <c r="AG327" s="1">
        <f t="shared" si="149"/>
        <v>4.4000000000000004</v>
      </c>
      <c r="AH327" s="1">
        <f t="shared" si="153"/>
        <v>1114.1999999999978</v>
      </c>
      <c r="AI327" s="1">
        <f t="shared" si="141"/>
        <v>3.4283076923076856</v>
      </c>
      <c r="AJ327" s="20">
        <f>+(W327*Forudsætninger!$C$12)</f>
        <v>900</v>
      </c>
      <c r="AK327" s="20">
        <f>Forudsætninger!$C$17</f>
        <v>250</v>
      </c>
      <c r="AL327" s="20">
        <f>IF(A327&lt;92,Forudsætninger!$C$20,Forudsætninger!$C$21)</f>
        <v>1.0566762728146013</v>
      </c>
      <c r="AM327" s="20">
        <f t="shared" si="150"/>
        <v>611.92527151803495</v>
      </c>
      <c r="AN327" s="19">
        <f>IFERROR(AD327+AJ327-AA327-Z327-AK327-AM327-Forudsætninger!$D$75,-99999)</f>
        <v>727.28827713736291</v>
      </c>
      <c r="AO327" s="57">
        <f>IFERROR(AN327/(A327+Forudsætninger!$D$74),-99999)</f>
        <v>2.237810083499578</v>
      </c>
      <c r="AP327" s="19">
        <f>IFERROR(((365/(A327+Forudsætninger!$D$74))*AN327)/(AI327+Forudsætninger!$D$73),-99999)</f>
        <v>230.84501165714855</v>
      </c>
      <c r="AQ327" s="18">
        <f t="shared" si="154"/>
        <v>325</v>
      </c>
      <c r="AR327" s="18">
        <f t="shared" si="155"/>
        <v>8672.4922842782998</v>
      </c>
      <c r="AS327" s="50">
        <f t="shared" si="156"/>
        <v>11.8</v>
      </c>
      <c r="AT327" s="50">
        <f t="shared" si="157"/>
        <v>-1.3086567759270338</v>
      </c>
      <c r="AU327" s="50">
        <f t="shared" si="158"/>
        <v>-1.0945885368600639E-2</v>
      </c>
      <c r="AV327" s="2">
        <f t="shared" si="159"/>
        <v>-1.3259277882622484</v>
      </c>
      <c r="AW327" s="16">
        <f t="shared" si="151"/>
        <v>4.12065707278584</v>
      </c>
      <c r="AZ327" s="16"/>
      <c r="BA327" s="2"/>
    </row>
    <row r="328" spans="1:53" x14ac:dyDescent="0.25">
      <c r="A328">
        <v>326</v>
      </c>
      <c r="B328" s="1">
        <f>ROUND((A328+Forudsætninger!$D$60)/30.4,1)</f>
        <v>11.8</v>
      </c>
      <c r="C328" s="1">
        <f>VLOOKUP((A328+Forudsætninger!$D$60),'Model tilvækst, slagteform, fe'!A:C,3,FALSE)</f>
        <v>581.23347713781209</v>
      </c>
      <c r="D328" s="3">
        <f t="shared" si="160"/>
        <v>1170.4612945943609</v>
      </c>
      <c r="E328" s="3">
        <f>(1+Forudsætninger!$D$78)*C328</f>
        <v>488.23612079576213</v>
      </c>
      <c r="F328" s="2">
        <f t="shared" si="142"/>
        <v>0</v>
      </c>
      <c r="G328" s="1">
        <f t="shared" si="135"/>
        <v>488.23612079576213</v>
      </c>
      <c r="H328" s="3">
        <f t="shared" si="143"/>
        <v>983.18748745924722</v>
      </c>
      <c r="I328" s="3">
        <f t="shared" si="144"/>
        <v>1276.7979165514175</v>
      </c>
      <c r="J328" s="1">
        <f>VLOOKUP((A328+Forudsætninger!$D$60),'Model tilvækst, slagteform, fe'!G:K,3,FALSE)*(1+Forudsætninger!$D$79)</f>
        <v>55.535528078966735</v>
      </c>
      <c r="K328" s="17">
        <f t="shared" si="136"/>
        <v>271.14450795618842</v>
      </c>
      <c r="L328" s="17">
        <f t="shared" si="145"/>
        <v>590.16797510037122</v>
      </c>
      <c r="M328" s="3">
        <f>((K328-(('Model tilvækst, slagteform, fe'!$I$9/100)*'Model tilvækst, slagteform, fe'!$C$9))*1000/(A328+Forudsætninger!$D$60))</f>
        <v>692.84984722171964</v>
      </c>
      <c r="N328" s="17">
        <f t="shared" si="146"/>
        <v>1997.9356028549842</v>
      </c>
      <c r="O328" s="19">
        <f>IF( A328&lt;Forudsætninger!$C$14,(G328/100)*Forudsætninger!$C$13,(Forudsætninger!$C$15/1000)*Forudsætninger!$C$13)</f>
        <v>3.1735347851724538</v>
      </c>
      <c r="P328" s="17" cm="1">
        <f t="array" ref="P328">INDEX('Model tilvækst, slagteform, fe'!$O$9:$O$375,MATCH(MIN(ABS('Model tilvækst, slagteform, fe'!$M$9:$M$375-G328)),ABS('Model tilvækst, slagteform, fe'!$M$9:$M$375-G328),0))*(1+Forudsætninger!$D$80)</f>
        <v>8.5261999999999993</v>
      </c>
      <c r="Q328" s="17">
        <f t="shared" si="147"/>
        <v>14.447073307476449</v>
      </c>
      <c r="R328" s="17">
        <f t="shared" si="148"/>
        <v>8.4592032211729489</v>
      </c>
      <c r="S328" s="2">
        <f t="shared" si="137"/>
        <v>4.8000053408034882</v>
      </c>
      <c r="T328" s="19">
        <f>(P328)*IF(N328&lt;Forudsætninger!$B$228,IF(N328&lt;Forudsætninger!$B$227,Forudsætninger!$B$225,Forudsætninger!$C$9),Forudsætninger!$C$11)+O328</f>
        <v>23.124842785172451</v>
      </c>
      <c r="U328" s="2">
        <f>Forudsætninger!$D$68+((K328-(Forudsætninger!$D$84)))*0.01</f>
        <v>7.8510557609215361</v>
      </c>
      <c r="V328" s="2">
        <f>U328+Forudsætninger!$D$69</f>
        <v>7.8510557609215361</v>
      </c>
      <c r="W328">
        <f t="shared" si="138"/>
        <v>1</v>
      </c>
      <c r="X328">
        <f>IF(A328+Forudsætninger!$D$60&gt;248,IF(A328+Forudsætninger!$D$60&lt;365,IF(K328&gt;180,IF(K328&lt;260,1,0),0),0),0)</f>
        <v>0</v>
      </c>
      <c r="Y328" s="22">
        <f>IF(X328=0,0,IF('Vækstfunktion, kry tyr'!A328&lt;Forudsætninger!$D$66,Forudsætninger!$D$67+(('Vækstfunktion, kry tyr'!A328-Forudsætninger!$D$66)/7)*Forudsætninger!$D$64,Forudsætninger!$D$67))</f>
        <v>0</v>
      </c>
      <c r="Z328" s="19">
        <f t="shared" si="152"/>
        <v>5778.6918555454367</v>
      </c>
      <c r="AA328" s="19">
        <f>Forudsætninger!$D$62+Forudsætninger!$C$16</f>
        <v>2055</v>
      </c>
      <c r="AB328" s="19">
        <f>IF(K328&gt;Forudsætninger!$C$37,IF(K328&gt;Forudsætninger!$C$38,IF(K328&gt;Forudsætninger!$C$39,Forudsætninger!$E$39,Forudsætninger!$E$38+Forudsætninger!$F$39*(K328-Forudsætninger!$C$38)),Forudsætninger!$E$37+Forudsætninger!$F$38*(K328-Forudsætninger!$C$37)),Forudsætninger!$E$37)+IF(K328&gt;Forudsætninger!$C$39,Forudsætninger!$G$39,IF(K328&gt;Forudsætninger!$C$38,Forudsætninger!$G$38+Forudsætninger!$H$39*(K328-Forudsætninger!$C$38),IF(K328&gt;Forudsætninger!$C$37,Forudsætninger!$G$37+Forudsætninger!$H$38*(K328-Forudsætninger!$C$37),Forudsætninger!$G$37)))*(U328-Forudsætninger!$H$37)</f>
        <v>37.235105576092153</v>
      </c>
      <c r="AC328" s="19">
        <f>IF(K328&gt;Forudsætninger!$C$42,IF(K328&gt;Forudsætninger!$C$43,IF(K328&gt;Forudsætninger!$C$44,Forudsætninger!$E$44,Forudsætninger!$E$43+Forudsætninger!$F$44*(K328-Forudsætninger!$C$43)),Forudsætninger!$E$42+Forudsætninger!$F$43*(K328-Forudsætninger!$C$42)),Forudsætninger!$E$42)+IF(K328&gt;Forudsætninger!$C$44,Forudsætninger!$G$44,IF(K328&gt;Forudsætninger!$C$43,Forudsætninger!$G$43+Forudsætninger!$H$44*(K328-Forudsætninger!$C$43),IF(K328&gt;Forudsætninger!$C$42,Forudsætninger!$G$42+Forudsætninger!$H$43*(K328-Forudsætninger!$C$42),Forudsætninger!$G$42)))*(V328-Forudsætninger!$H$42)</f>
        <v>32.235591545499098</v>
      </c>
      <c r="AD328" s="19">
        <f t="shared" si="139"/>
        <v>8740.5036082810202</v>
      </c>
      <c r="AE328" s="19">
        <f t="shared" si="140"/>
        <v>32.235591545499098</v>
      </c>
      <c r="AF328">
        <f>IF(G328&lt;=Forudsætninger!$C$97,Forudsætninger!$C$98,(IF(G328&lt;=Forudsætninger!$D$97,Forudsætninger!$D$98,IF(G328&lt;=Forudsætninger!$E$97,Forudsætninger!$E$98,IF(G328&lt;=Forudsætninger!$F$97,Forudsætninger!$F$98,IF(G328&lt;=Forudsætninger!$G$97,Forudsætninger!$G$98,IF(G328&lt;=Forudsætninger!$H$97,Forudsætninger!$H$98,IF(G328&lt;=Forudsætninger!$I$97,Forudsætninger!$I$98,Forudsætninger!$I$98))))))))</f>
        <v>4.4000000000000004</v>
      </c>
      <c r="AG328" s="1">
        <f t="shared" si="149"/>
        <v>4.4000000000000004</v>
      </c>
      <c r="AH328" s="1">
        <f t="shared" si="153"/>
        <v>1118.5999999999979</v>
      </c>
      <c r="AI328" s="1">
        <f t="shared" si="141"/>
        <v>3.4312883435582755</v>
      </c>
      <c r="AJ328" s="20">
        <f>+(W328*Forudsætninger!$C$12)</f>
        <v>900</v>
      </c>
      <c r="AK328" s="20">
        <f>Forudsætninger!$C$17</f>
        <v>250</v>
      </c>
      <c r="AL328" s="20">
        <f>IF(A328&lt;92,Forudsætninger!$C$20,Forudsætninger!$C$21)</f>
        <v>1.0566762728146013</v>
      </c>
      <c r="AM328" s="20">
        <f t="shared" si="150"/>
        <v>612.98194779084952</v>
      </c>
      <c r="AN328" s="19">
        <f>IFERROR(AD328+AJ328-AA328-Z328-AK328-AM328-Forudsætninger!$D$75,-99999)</f>
        <v>725.93783124377376</v>
      </c>
      <c r="AO328" s="57">
        <f>IFERROR(AN328/(A328+Forudsætninger!$D$74),-99999)</f>
        <v>2.2268031633244596</v>
      </c>
      <c r="AP328" s="19">
        <f>IFERROR(((365/(A328+Forudsætninger!$D$74))*AN328)/(AI328+Forudsætninger!$D$73),-99999)</f>
        <v>229.5162313150546</v>
      </c>
      <c r="AQ328" s="18">
        <f t="shared" si="154"/>
        <v>326</v>
      </c>
      <c r="AR328" s="18">
        <f t="shared" si="155"/>
        <v>8696.6738033362853</v>
      </c>
      <c r="AS328" s="50">
        <f t="shared" si="156"/>
        <v>11.8</v>
      </c>
      <c r="AT328" s="50">
        <f t="shared" si="157"/>
        <v>-1.3504458935891535</v>
      </c>
      <c r="AU328" s="50">
        <f t="shared" si="158"/>
        <v>-1.1006920175118395E-2</v>
      </c>
      <c r="AV328" s="2">
        <f t="shared" si="159"/>
        <v>-1.3287803420939497</v>
      </c>
      <c r="AW328" s="16">
        <f t="shared" si="151"/>
        <v>4.1071158866092743</v>
      </c>
      <c r="AZ328" s="16"/>
      <c r="BA328" s="2"/>
    </row>
    <row r="329" spans="1:53" x14ac:dyDescent="0.25">
      <c r="A329">
        <v>327</v>
      </c>
      <c r="B329" s="1">
        <f>ROUND((A329+Forudsætninger!$D$60)/30.4,1)</f>
        <v>11.9</v>
      </c>
      <c r="C329" s="1">
        <f>VLOOKUP((A329+Forudsætninger!$D$60),'Model tilvækst, slagteform, fe'!A:C,3,FALSE)</f>
        <v>582.40084784647934</v>
      </c>
      <c r="D329" s="3">
        <f t="shared" si="160"/>
        <v>1167.3707086672493</v>
      </c>
      <c r="E329" s="3">
        <f>(1+Forudsætninger!$D$78)*C329</f>
        <v>489.21671219104263</v>
      </c>
      <c r="F329" s="2">
        <f t="shared" si="142"/>
        <v>0</v>
      </c>
      <c r="G329" s="1">
        <f t="shared" si="135"/>
        <v>489.21671219104263</v>
      </c>
      <c r="H329" s="3">
        <f t="shared" si="143"/>
        <v>980.59139528049855</v>
      </c>
      <c r="I329" s="3">
        <f t="shared" si="144"/>
        <v>1275.8920862111395</v>
      </c>
      <c r="J329" s="1">
        <f>VLOOKUP((A329+Forudsætninger!$D$60),'Model tilvækst, slagteform, fe'!G:K,3,FALSE)*(1+Forudsætninger!$D$79)</f>
        <v>55.544596016087681</v>
      </c>
      <c r="K329" s="17">
        <f t="shared" si="136"/>
        <v>271.73344642970096</v>
      </c>
      <c r="L329" s="17">
        <f t="shared" si="145"/>
        <v>588.9384735125418</v>
      </c>
      <c r="M329" s="3">
        <f>((K329-(('Model tilvækst, slagteform, fe'!$I$9/100)*'Model tilvækst, slagteform, fe'!$C$9))*1000/(A329+Forudsætninger!$D$60))</f>
        <v>692.56200408125108</v>
      </c>
      <c r="N329" s="17">
        <f t="shared" si="146"/>
        <v>2006.4618028549842</v>
      </c>
      <c r="O329" s="19">
        <f>IF( A329&lt;Forudsætninger!$C$14,(G329/100)*Forudsætninger!$C$13,(Forudsætninger!$C$15/1000)*Forudsætninger!$C$13)</f>
        <v>3.1799086292417771</v>
      </c>
      <c r="P329" s="17" cm="1">
        <f t="array" ref="P329">INDEX('Model tilvækst, slagteform, fe'!$O$9:$O$375,MATCH(MIN(ABS('Model tilvækst, slagteform, fe'!$M$9:$M$375-G329)),ABS('Model tilvækst, slagteform, fe'!$M$9:$M$375-G329),0))*(1+Forudsætninger!$D$80)</f>
        <v>8.5261999999999993</v>
      </c>
      <c r="Q329" s="17">
        <f t="shared" si="147"/>
        <v>14.477233842693465</v>
      </c>
      <c r="R329" s="17">
        <f t="shared" si="148"/>
        <v>8.4741721493777664</v>
      </c>
      <c r="S329" s="2">
        <f t="shared" si="137"/>
        <v>4.8091597105923931</v>
      </c>
      <c r="T329" s="19">
        <f>(P329)*IF(N329&lt;Forudsætninger!$B$228,IF(N329&lt;Forudsætninger!$B$227,Forudsætninger!$B$225,Forudsætninger!$C$9),Forudsætninger!$C$11)+O329</f>
        <v>23.131216629241774</v>
      </c>
      <c r="U329" s="2">
        <f>Forudsætninger!$D$68+((K329-(Forudsætninger!$D$84)))*0.01</f>
        <v>7.8569451456566624</v>
      </c>
      <c r="V329" s="2">
        <f>U329+Forudsætninger!$D$69</f>
        <v>7.8569451456566624</v>
      </c>
      <c r="W329">
        <f t="shared" si="138"/>
        <v>1</v>
      </c>
      <c r="X329">
        <f>IF(A329+Forudsætninger!$D$60&gt;248,IF(A329+Forudsætninger!$D$60&lt;365,IF(K329&gt;180,IF(K329&lt;260,1,0),0),0),0)</f>
        <v>0</v>
      </c>
      <c r="Y329" s="22">
        <f>IF(X329=0,0,IF('Vækstfunktion, kry tyr'!A329&lt;Forudsætninger!$D$66,Forudsætninger!$D$67+(('Vækstfunktion, kry tyr'!A329-Forudsætninger!$D$66)/7)*Forudsætninger!$D$64,Forudsætninger!$D$67))</f>
        <v>0</v>
      </c>
      <c r="Z329" s="19">
        <f t="shared" si="152"/>
        <v>5801.8230721746786</v>
      </c>
      <c r="AA329" s="19">
        <f>Forudsætninger!$D$62+Forudsætninger!$C$16</f>
        <v>2055</v>
      </c>
      <c r="AB329" s="19">
        <f>IF(K329&gt;Forudsætninger!$C$37,IF(K329&gt;Forudsætninger!$C$38,IF(K329&gt;Forudsætninger!$C$39,Forudsætninger!$E$39,Forudsætninger!$E$38+Forudsætninger!$F$39*(K329-Forudsætninger!$C$38)),Forudsætninger!$E$37+Forudsætninger!$F$38*(K329-Forudsætninger!$C$37)),Forudsætninger!$E$37)+IF(K329&gt;Forudsætninger!$C$39,Forudsætninger!$G$39,IF(K329&gt;Forudsætninger!$C$38,Forudsætninger!$G$38+Forudsætninger!$H$39*(K329-Forudsætninger!$C$38),IF(K329&gt;Forudsætninger!$C$37,Forudsætninger!$G$37+Forudsætninger!$H$38*(K329-Forudsætninger!$C$37),Forudsætninger!$G$37)))*(U329-Forudsætninger!$H$37)</f>
        <v>37.235694514565665</v>
      </c>
      <c r="AC329" s="19">
        <f>IF(K329&gt;Forudsætninger!$C$42,IF(K329&gt;Forudsætninger!$C$43,IF(K329&gt;Forudsætninger!$C$44,Forudsætninger!$E$44,Forudsætninger!$E$43+Forudsætninger!$F$44*(K329-Forudsætninger!$C$43)),Forudsætninger!$E$42+Forudsætninger!$F$43*(K329-Forudsætninger!$C$42)),Forudsætninger!$E$42)+IF(K329&gt;Forudsætninger!$C$44,Forudsætninger!$G$44,IF(K329&gt;Forudsætninger!$C$43,Forudsætninger!$G$43+Forudsætninger!$H$44*(K329-Forudsætninger!$C$43),IF(K329&gt;Forudsætninger!$C$42,Forudsætninger!$G$42+Forudsætninger!$H$43*(K329-Forudsætninger!$C$42),Forudsætninger!$G$42)))*(V329-Forudsætninger!$H$42)</f>
        <v>32.249617618021077</v>
      </c>
      <c r="AD329" s="19">
        <f t="shared" si="139"/>
        <v>8763.2997413848698</v>
      </c>
      <c r="AE329" s="19">
        <f t="shared" si="140"/>
        <v>32.249617618021077</v>
      </c>
      <c r="AF329">
        <f>IF(G329&lt;=Forudsætninger!$C$97,Forudsætninger!$C$98,(IF(G329&lt;=Forudsætninger!$D$97,Forudsætninger!$D$98,IF(G329&lt;=Forudsætninger!$E$97,Forudsætninger!$E$98,IF(G329&lt;=Forudsætninger!$F$97,Forudsætninger!$F$98,IF(G329&lt;=Forudsætninger!$G$97,Forudsætninger!$G$98,IF(G329&lt;=Forudsætninger!$H$97,Forudsætninger!$H$98,IF(G329&lt;=Forudsætninger!$I$97,Forudsætninger!$I$98,Forudsætninger!$I$98))))))))</f>
        <v>4.4000000000000004</v>
      </c>
      <c r="AG329" s="1">
        <f t="shared" si="149"/>
        <v>4.4000000000000004</v>
      </c>
      <c r="AH329" s="1">
        <f t="shared" si="153"/>
        <v>1122.999999999998</v>
      </c>
      <c r="AI329" s="1">
        <f t="shared" si="141"/>
        <v>3.4342507645259874</v>
      </c>
      <c r="AJ329" s="20">
        <f>+(W329*Forudsætninger!$C$12)</f>
        <v>900</v>
      </c>
      <c r="AK329" s="20">
        <f>Forudsætninger!$C$17</f>
        <v>250</v>
      </c>
      <c r="AL329" s="20">
        <f>IF(A329&lt;92,Forudsætninger!$C$20,Forudsætninger!$C$21)</f>
        <v>1.0566762728146013</v>
      </c>
      <c r="AM329" s="20">
        <f t="shared" si="150"/>
        <v>614.03862406366409</v>
      </c>
      <c r="AN329" s="19">
        <f>IFERROR(AD329+AJ329-AA329-Z329-AK329-AM329-Forudsætninger!$D$75,-99999)</f>
        <v>724.54607144556689</v>
      </c>
      <c r="AO329" s="57">
        <f>IFERROR(AN329/(A329+Forudsætninger!$D$74),-99999)</f>
        <v>2.215737221546076</v>
      </c>
      <c r="AP329" s="19">
        <f>IFERROR(((365/(A329+Forudsætninger!$D$74))*AN329)/(AI329+Forudsætninger!$D$73),-99999)</f>
        <v>228.18478138142697</v>
      </c>
      <c r="AQ329" s="18">
        <f t="shared" si="154"/>
        <v>327</v>
      </c>
      <c r="AR329" s="18">
        <f t="shared" si="155"/>
        <v>8720.8616962383421</v>
      </c>
      <c r="AS329" s="50">
        <f t="shared" si="156"/>
        <v>11.9</v>
      </c>
      <c r="AT329" s="50">
        <f t="shared" si="157"/>
        <v>-1.3917597982068628</v>
      </c>
      <c r="AU329" s="50">
        <f t="shared" si="158"/>
        <v>-1.1065941778383603E-2</v>
      </c>
      <c r="AV329" s="2">
        <f t="shared" si="159"/>
        <v>-1.3314499336276242</v>
      </c>
      <c r="AW329" s="16">
        <f t="shared" si="151"/>
        <v>4.0935311789273126</v>
      </c>
      <c r="AZ329" s="16"/>
      <c r="BA329" s="2"/>
    </row>
    <row r="330" spans="1:53" x14ac:dyDescent="0.25">
      <c r="A330">
        <v>328</v>
      </c>
      <c r="B330" s="1">
        <f>ROUND((A330+Forudsætninger!$D$60)/30.4,1)</f>
        <v>11.9</v>
      </c>
      <c r="C330" s="1">
        <f>VLOOKUP((A330+Forudsætninger!$D$60),'Model tilvækst, slagteform, fe'!A:C,3,FALSE)</f>
        <v>583.56517309703099</v>
      </c>
      <c r="D330" s="3">
        <f t="shared" si="160"/>
        <v>1164.3252505516557</v>
      </c>
      <c r="E330" s="3">
        <f>(1+Forudsætninger!$D$78)*C330</f>
        <v>490.194745401506</v>
      </c>
      <c r="F330" s="2">
        <f t="shared" si="142"/>
        <v>0</v>
      </c>
      <c r="G330" s="1">
        <f t="shared" si="135"/>
        <v>490.194745401506</v>
      </c>
      <c r="H330" s="3">
        <f t="shared" si="143"/>
        <v>978.03321046336578</v>
      </c>
      <c r="I330" s="3">
        <f t="shared" si="144"/>
        <v>1274.9839798826404</v>
      </c>
      <c r="J330" s="1">
        <f>VLOOKUP((A330+Forudsætninger!$D$60),'Model tilvækst, slagteform, fe'!G:K,3,FALSE)*(1+Forudsætninger!$D$79)</f>
        <v>55.553669798509333</v>
      </c>
      <c r="K330" s="17">
        <f t="shared" si="136"/>
        <v>272.32117022999614</v>
      </c>
      <c r="L330" s="17">
        <f t="shared" si="145"/>
        <v>587.7238002951799</v>
      </c>
      <c r="M330" s="3">
        <f>((K330-(('Model tilvækst, slagteform, fe'!$I$9/100)*'Model tilvækst, slagteform, fe'!$C$9))*1000/(A330+Forudsætninger!$D$60))</f>
        <v>692.27239578349952</v>
      </c>
      <c r="N330" s="17">
        <f t="shared" si="146"/>
        <v>2014.9880028549842</v>
      </c>
      <c r="O330" s="19">
        <f>IF( A330&lt;Forudsætninger!$C$14,(G330/100)*Forudsætninger!$C$13,(Forudsætninger!$C$15/1000)*Forudsætninger!$C$13)</f>
        <v>3.1862658451097889</v>
      </c>
      <c r="P330" s="17" cm="1">
        <f t="array" ref="P330">INDEX('Model tilvækst, slagteform, fe'!$O$9:$O$375,MATCH(MIN(ABS('Model tilvækst, slagteform, fe'!$M$9:$M$375-G330)),ABS('Model tilvækst, slagteform, fe'!$M$9:$M$375-G330),0))*(1+Forudsætninger!$D$80)</f>
        <v>8.5261999999999993</v>
      </c>
      <c r="Q330" s="17">
        <f t="shared" si="147"/>
        <v>14.507154543882312</v>
      </c>
      <c r="R330" s="17">
        <f t="shared" si="148"/>
        <v>8.4891102384493635</v>
      </c>
      <c r="S330" s="2">
        <f t="shared" si="137"/>
        <v>4.8183006243189581</v>
      </c>
      <c r="T330" s="19">
        <f>(P330)*IF(N330&lt;Forudsætninger!$B$228,IF(N330&lt;Forudsætninger!$B$227,Forudsætninger!$B$225,Forudsætninger!$C$9),Forudsætninger!$C$11)+O330</f>
        <v>23.137573845109785</v>
      </c>
      <c r="U330" s="2">
        <f>Forudsætninger!$D$68+((K330-(Forudsætninger!$D$84)))*0.01</f>
        <v>7.8628223836596138</v>
      </c>
      <c r="V330" s="2">
        <f>U330+Forudsætninger!$D$69</f>
        <v>7.8628223836596138</v>
      </c>
      <c r="W330">
        <f t="shared" si="138"/>
        <v>1</v>
      </c>
      <c r="X330">
        <f>IF(A330+Forudsætninger!$D$60&gt;248,IF(A330+Forudsætninger!$D$60&lt;365,IF(K330&gt;180,IF(K330&lt;260,1,0),0),0),0)</f>
        <v>0</v>
      </c>
      <c r="Y330" s="22">
        <f>IF(X330=0,0,IF('Vækstfunktion, kry tyr'!A330&lt;Forudsætninger!$D$66,Forudsætninger!$D$67+(('Vækstfunktion, kry tyr'!A330-Forudsætninger!$D$66)/7)*Forudsætninger!$D$64,Forudsætninger!$D$67))</f>
        <v>0</v>
      </c>
      <c r="Z330" s="19">
        <f t="shared" si="152"/>
        <v>5824.9606460197883</v>
      </c>
      <c r="AA330" s="19">
        <f>Forudsætninger!$D$62+Forudsætninger!$C$16</f>
        <v>2055</v>
      </c>
      <c r="AB330" s="19">
        <f>IF(K330&gt;Forudsætninger!$C$37,IF(K330&gt;Forudsætninger!$C$38,IF(K330&gt;Forudsætninger!$C$39,Forudsætninger!$E$39,Forudsætninger!$E$38+Forudsætninger!$F$39*(K330-Forudsætninger!$C$38)),Forudsætninger!$E$37+Forudsætninger!$F$38*(K330-Forudsætninger!$C$37)),Forudsætninger!$E$37)+IF(K330&gt;Forudsætninger!$C$39,Forudsætninger!$G$39,IF(K330&gt;Forudsætninger!$C$38,Forudsætninger!$G$38+Forudsætninger!$H$39*(K330-Forudsætninger!$C$38),IF(K330&gt;Forudsætninger!$C$37,Forudsætninger!$G$37+Forudsætninger!$H$38*(K330-Forudsætninger!$C$37),Forudsætninger!$G$37)))*(U330-Forudsætninger!$H$37)</f>
        <v>37.236282238365959</v>
      </c>
      <c r="AC330" s="19">
        <f>IF(K330&gt;Forudsætninger!$C$42,IF(K330&gt;Forudsætninger!$C$43,IF(K330&gt;Forudsætninger!$C$44,Forudsætninger!$E$44,Forudsætninger!$E$43+Forudsætninger!$F$44*(K330-Forudsætninger!$C$43)),Forudsætninger!$E$42+Forudsætninger!$F$43*(K330-Forudsætninger!$C$42)),Forudsætninger!$E$42)+IF(K330&gt;Forudsætninger!$C$44,Forudsætninger!$G$44,IF(K330&gt;Forudsætninger!$C$43,Forudsætninger!$G$43+Forudsætninger!$H$44*(K330-Forudsætninger!$C$43),IF(K330&gt;Forudsætninger!$C$42,Forudsætninger!$G$42+Forudsætninger!$H$43*(K330-Forudsætninger!$C$42),Forudsætninger!$G$42)))*(V330-Forudsætninger!$H$42)</f>
        <v>32.26360035472127</v>
      </c>
      <c r="AD330" s="19">
        <f t="shared" si="139"/>
        <v>8786.0614044306149</v>
      </c>
      <c r="AE330" s="19">
        <f t="shared" si="140"/>
        <v>32.26360035472127</v>
      </c>
      <c r="AF330">
        <f>IF(G330&lt;=Forudsætninger!$C$97,Forudsætninger!$C$98,(IF(G330&lt;=Forudsætninger!$D$97,Forudsætninger!$D$98,IF(G330&lt;=Forudsætninger!$E$97,Forudsætninger!$E$98,IF(G330&lt;=Forudsætninger!$F$97,Forudsætninger!$F$98,IF(G330&lt;=Forudsætninger!$G$97,Forudsætninger!$G$98,IF(G330&lt;=Forudsætninger!$H$97,Forudsætninger!$H$98,IF(G330&lt;=Forudsætninger!$I$97,Forudsætninger!$I$98,Forudsætninger!$I$98))))))))</f>
        <v>4.4000000000000004</v>
      </c>
      <c r="AG330" s="1">
        <f t="shared" si="149"/>
        <v>4.4000000000000004</v>
      </c>
      <c r="AH330" s="1">
        <f t="shared" si="153"/>
        <v>1127.399999999998</v>
      </c>
      <c r="AI330" s="1">
        <f t="shared" si="141"/>
        <v>3.4371951219512136</v>
      </c>
      <c r="AJ330" s="20">
        <f>+(W330*Forudsætninger!$C$12)</f>
        <v>900</v>
      </c>
      <c r="AK330" s="20">
        <f>Forudsætninger!$C$17</f>
        <v>250</v>
      </c>
      <c r="AL330" s="20">
        <f>IF(A330&lt;92,Forudsætninger!$C$20,Forudsætninger!$C$21)</f>
        <v>1.0566762728146013</v>
      </c>
      <c r="AM330" s="20">
        <f t="shared" si="150"/>
        <v>615.09530033647866</v>
      </c>
      <c r="AN330" s="19">
        <f>IFERROR(AD330+AJ330-AA330-Z330-AK330-AM330-Forudsætninger!$D$75,-99999)</f>
        <v>723.11348437338768</v>
      </c>
      <c r="AO330" s="57">
        <f>IFERROR(AN330/(A330+Forudsætninger!$D$74),-99999)</f>
        <v>2.2046142816261818</v>
      </c>
      <c r="AP330" s="19">
        <f>IFERROR(((365/(A330+Forudsætninger!$D$74))*AN330)/(AI330+Forudsætninger!$D$73),-99999)</f>
        <v>226.8508455635567</v>
      </c>
      <c r="AQ330" s="18">
        <f t="shared" si="154"/>
        <v>328</v>
      </c>
      <c r="AR330" s="18">
        <f t="shared" si="155"/>
        <v>8745.0559463562677</v>
      </c>
      <c r="AS330" s="50">
        <f t="shared" si="156"/>
        <v>11.9</v>
      </c>
      <c r="AT330" s="50">
        <f t="shared" si="157"/>
        <v>-1.4325870721792171</v>
      </c>
      <c r="AU330" s="50">
        <f t="shared" si="158"/>
        <v>-1.1122939919894215E-2</v>
      </c>
      <c r="AV330" s="2">
        <f t="shared" si="159"/>
        <v>-1.3339358178702696</v>
      </c>
      <c r="AW330" s="16">
        <f t="shared" si="151"/>
        <v>4.0799048314325193</v>
      </c>
      <c r="AZ330" s="16"/>
      <c r="BA330" s="2"/>
    </row>
    <row r="331" spans="1:53" x14ac:dyDescent="0.25">
      <c r="A331">
        <v>329</v>
      </c>
      <c r="B331" s="1">
        <f>ROUND((A331+Forudsætninger!$D$60)/30.4,1)</f>
        <v>11.9</v>
      </c>
      <c r="C331" s="1">
        <f>VLOOKUP((A331+Forudsætninger!$D$60),'Model tilvækst, slagteform, fe'!A:C,3,FALSE)</f>
        <v>584.72649863821403</v>
      </c>
      <c r="D331" s="3">
        <f t="shared" si="160"/>
        <v>1161.3255411830323</v>
      </c>
      <c r="E331" s="3">
        <f>(1+Forudsætninger!$D$78)*C331</f>
        <v>491.17025885609974</v>
      </c>
      <c r="F331" s="2">
        <f t="shared" si="142"/>
        <v>0</v>
      </c>
      <c r="G331" s="1">
        <f t="shared" si="135"/>
        <v>491.17025885609974</v>
      </c>
      <c r="H331" s="3">
        <f t="shared" si="143"/>
        <v>975.51345459373806</v>
      </c>
      <c r="I331" s="3">
        <f t="shared" si="144"/>
        <v>1274.0737351249231</v>
      </c>
      <c r="J331" s="1">
        <f>VLOOKUP((A331+Forudsætninger!$D$60),'Model tilvækst, slagteform, fe'!G:K,3,FALSE)*(1+Forudsætninger!$D$79)</f>
        <v>55.562748257171499</v>
      </c>
      <c r="K331" s="17">
        <f t="shared" si="136"/>
        <v>272.90769444231233</v>
      </c>
      <c r="L331" s="17">
        <f t="shared" si="145"/>
        <v>586.52421231619201</v>
      </c>
      <c r="M331" s="3">
        <f>((K331-(('Model tilvækst, slagteform, fe'!$I$9/100)*'Model tilvækst, slagteform, fe'!$C$9))*1000/(A331+Forudsætninger!$D$60))</f>
        <v>691.98107847367214</v>
      </c>
      <c r="N331" s="17">
        <f t="shared" si="146"/>
        <v>2023.5142028549842</v>
      </c>
      <c r="O331" s="19">
        <f>IF( A331&lt;Forudsætninger!$C$14,(G331/100)*Forudsætninger!$C$13,(Forudsætninger!$C$15/1000)*Forudsætninger!$C$13)</f>
        <v>3.1926066825646484</v>
      </c>
      <c r="P331" s="17" cm="1">
        <f t="array" ref="P331">INDEX('Model tilvækst, slagteform, fe'!$O$9:$O$375,MATCH(MIN(ABS('Model tilvækst, slagteform, fe'!$M$9:$M$375-G331)),ABS('Model tilvækst, slagteform, fe'!$M$9:$M$375-G331),0))*(1+Forudsætninger!$D$80)</f>
        <v>8.5261999999999993</v>
      </c>
      <c r="Q331" s="17">
        <f t="shared" si="147"/>
        <v>14.536825285234041</v>
      </c>
      <c r="R331" s="17">
        <f t="shared" si="148"/>
        <v>8.5040174065389298</v>
      </c>
      <c r="S331" s="2">
        <f t="shared" si="137"/>
        <v>4.827427900961009</v>
      </c>
      <c r="T331" s="19">
        <f>(P331)*IF(N331&lt;Forudsætninger!$B$228,IF(N331&lt;Forudsætninger!$B$227,Forudsætninger!$B$225,Forudsætninger!$C$9),Forudsætninger!$C$11)+O331</f>
        <v>23.143914682564645</v>
      </c>
      <c r="U331" s="2">
        <f>Forudsætninger!$D$68+((K331-(Forudsætninger!$D$84)))*0.01</f>
        <v>7.8686876257827754</v>
      </c>
      <c r="V331" s="2">
        <f>U331+Forudsætninger!$D$69</f>
        <v>7.8686876257827754</v>
      </c>
      <c r="W331">
        <f t="shared" si="138"/>
        <v>1</v>
      </c>
      <c r="X331">
        <f>IF(A331+Forudsætninger!$D$60&gt;248,IF(A331+Forudsætninger!$D$60&lt;365,IF(K331&gt;180,IF(K331&lt;260,1,0),0),0),0)</f>
        <v>0</v>
      </c>
      <c r="Y331" s="22">
        <f>IF(X331=0,0,IF('Vækstfunktion, kry tyr'!A331&lt;Forudsætninger!$D$66,Forudsætninger!$D$67+(('Vækstfunktion, kry tyr'!A331-Forudsætninger!$D$66)/7)*Forudsætninger!$D$64,Forudsætninger!$D$67))</f>
        <v>0</v>
      </c>
      <c r="Z331" s="19">
        <f t="shared" si="152"/>
        <v>5848.1045607023534</v>
      </c>
      <c r="AA331" s="19">
        <f>Forudsætninger!$D$62+Forudsætninger!$C$16</f>
        <v>2055</v>
      </c>
      <c r="AB331" s="19">
        <f>IF(K331&gt;Forudsætninger!$C$37,IF(K331&gt;Forudsætninger!$C$38,IF(K331&gt;Forudsætninger!$C$39,Forudsætninger!$E$39,Forudsætninger!$E$38+Forudsætninger!$F$39*(K331-Forudsætninger!$C$38)),Forudsætninger!$E$37+Forudsætninger!$F$38*(K331-Forudsætninger!$C$37)),Forudsætninger!$E$37)+IF(K331&gt;Forudsætninger!$C$39,Forudsætninger!$G$39,IF(K331&gt;Forudsætninger!$C$38,Forudsætninger!$G$38+Forudsætninger!$H$39*(K331-Forudsætninger!$C$38),IF(K331&gt;Forudsætninger!$C$37,Forudsætninger!$G$37+Forudsætninger!$H$38*(K331-Forudsætninger!$C$37),Forudsætninger!$G$37)))*(U331-Forudsætninger!$H$37)</f>
        <v>37.236868762578275</v>
      </c>
      <c r="AC331" s="19">
        <f>IF(K331&gt;Forudsætninger!$C$42,IF(K331&gt;Forudsætninger!$C$43,IF(K331&gt;Forudsætninger!$C$44,Forudsætninger!$E$44,Forudsætninger!$E$43+Forudsætninger!$F$44*(K331-Forudsætninger!$C$43)),Forudsætninger!$E$42+Forudsætninger!$F$43*(K331-Forudsætninger!$C$42)),Forudsætninger!$E$42)+IF(K331&gt;Forudsætninger!$C$44,Forudsætninger!$G$44,IF(K331&gt;Forudsætninger!$C$43,Forudsætninger!$G$43+Forudsætninger!$H$44*(K331-Forudsætninger!$C$43),IF(K331&gt;Forudsætninger!$C$42,Forudsætninger!$G$42+Forudsætninger!$H$43*(K331-Forudsætninger!$C$42),Forudsætninger!$G$42)))*(V331-Forudsætninger!$H$42)</f>
        <v>32.277540203180898</v>
      </c>
      <c r="AD331" s="19">
        <f t="shared" si="139"/>
        <v>8808.7890791191439</v>
      </c>
      <c r="AE331" s="19">
        <f t="shared" si="140"/>
        <v>32.277540203180898</v>
      </c>
      <c r="AF331">
        <f>IF(G331&lt;=Forudsætninger!$C$97,Forudsætninger!$C$98,(IF(G331&lt;=Forudsætninger!$D$97,Forudsætninger!$D$98,IF(G331&lt;=Forudsætninger!$E$97,Forudsætninger!$E$98,IF(G331&lt;=Forudsætninger!$F$97,Forudsætninger!$F$98,IF(G331&lt;=Forudsætninger!$G$97,Forudsætninger!$G$98,IF(G331&lt;=Forudsætninger!$H$97,Forudsætninger!$H$98,IF(G331&lt;=Forudsætninger!$I$97,Forudsætninger!$I$98,Forudsætninger!$I$98))))))))</f>
        <v>4.4000000000000004</v>
      </c>
      <c r="AG331" s="1">
        <f t="shared" si="149"/>
        <v>4.4000000000000004</v>
      </c>
      <c r="AH331" s="1">
        <f t="shared" si="153"/>
        <v>1131.7999999999981</v>
      </c>
      <c r="AI331" s="1">
        <f t="shared" si="141"/>
        <v>3.4401215805471068</v>
      </c>
      <c r="AJ331" s="20">
        <f>+(W331*Forudsætninger!$C$12)</f>
        <v>900</v>
      </c>
      <c r="AK331" s="20">
        <f>Forudsætninger!$C$17</f>
        <v>250</v>
      </c>
      <c r="AL331" s="20">
        <f>IF(A331&lt;92,Forudsætninger!$C$20,Forudsætninger!$C$21)</f>
        <v>1.0566762728146013</v>
      </c>
      <c r="AM331" s="20">
        <f t="shared" si="150"/>
        <v>616.15197660929323</v>
      </c>
      <c r="AN331" s="19">
        <f>IFERROR(AD331+AJ331-AA331-Z331-AK331-AM331-Forudsætninger!$D$75,-99999)</f>
        <v>721.6405681065371</v>
      </c>
      <c r="AO331" s="57">
        <f>IFERROR(AN331/(A331+Forudsætninger!$D$74),-99999)</f>
        <v>2.193436377223517</v>
      </c>
      <c r="AP331" s="19">
        <f>IFERROR(((365/(A331+Forudsætninger!$D$74))*AN331)/(AI331+Forudsætninger!$D$73),-99999)</f>
        <v>225.51460830904924</v>
      </c>
      <c r="AQ331" s="18">
        <f t="shared" si="154"/>
        <v>329</v>
      </c>
      <c r="AR331" s="18">
        <f t="shared" si="155"/>
        <v>8769.2565373116468</v>
      </c>
      <c r="AS331" s="50">
        <f t="shared" si="156"/>
        <v>11.9</v>
      </c>
      <c r="AT331" s="50">
        <f t="shared" si="157"/>
        <v>-1.4729162668505751</v>
      </c>
      <c r="AU331" s="50">
        <f t="shared" si="158"/>
        <v>-1.1177904402664751E-2</v>
      </c>
      <c r="AV331" s="2">
        <f t="shared" si="159"/>
        <v>-1.3362372545074663</v>
      </c>
      <c r="AW331" s="16">
        <f t="shared" si="151"/>
        <v>4.0662387377380869</v>
      </c>
      <c r="AZ331" s="16"/>
      <c r="BA331" s="2"/>
    </row>
    <row r="332" spans="1:53" x14ac:dyDescent="0.25">
      <c r="A332">
        <v>330</v>
      </c>
      <c r="B332" s="1">
        <f>ROUND((A332+Forudsætninger!$D$60)/30.4,1)</f>
        <v>12</v>
      </c>
      <c r="C332" s="1">
        <f>VLOOKUP((A332+Forudsætninger!$D$60),'Model tilvækst, slagteform, fe'!A:C,3,FALSE)</f>
        <v>585.88487083971336</v>
      </c>
      <c r="D332" s="3">
        <f t="shared" si="160"/>
        <v>1158.3722014993327</v>
      </c>
      <c r="E332" s="3">
        <f>(1+Forudsætninger!$D$78)*C332</f>
        <v>492.14329150535923</v>
      </c>
      <c r="F332" s="2">
        <f t="shared" si="142"/>
        <v>0</v>
      </c>
      <c r="G332" s="1">
        <f t="shared" si="135"/>
        <v>492.14329150535923</v>
      </c>
      <c r="H332" s="3">
        <f t="shared" si="143"/>
        <v>973.03264925949406</v>
      </c>
      <c r="I332" s="3">
        <f t="shared" si="144"/>
        <v>1273.1614894101795</v>
      </c>
      <c r="J332" s="1">
        <f>VLOOKUP((A332+Forudsætninger!$D$60),'Model tilvækst, slagteform, fe'!G:K,3,FALSE)*(1+Forudsætninger!$D$79)</f>
        <v>55.571830223014111</v>
      </c>
      <c r="K332" s="17">
        <f t="shared" si="136"/>
        <v>273.49303440931163</v>
      </c>
      <c r="L332" s="17">
        <f t="shared" si="145"/>
        <v>585.33996699929958</v>
      </c>
      <c r="M332" s="3">
        <f>((K332-(('Model tilvækst, slagteform, fe'!$I$9/100)*'Model tilvækst, slagteform, fe'!$C$9))*1000/(A332+Forudsætninger!$D$60))</f>
        <v>691.68810838720412</v>
      </c>
      <c r="N332" s="17">
        <f t="shared" si="146"/>
        <v>2032.0404028549842</v>
      </c>
      <c r="O332" s="19">
        <f>IF( A332&lt;Forudsætninger!$C$14,(G332/100)*Forudsætninger!$C$13,(Forudsætninger!$C$15/1000)*Forudsætninger!$C$13)</f>
        <v>3.198931394784835</v>
      </c>
      <c r="P332" s="17" cm="1">
        <f t="array" ref="P332">INDEX('Model tilvækst, slagteform, fe'!$O$9:$O$375,MATCH(MIN(ABS('Model tilvækst, slagteform, fe'!$M$9:$M$375-G332)),ABS('Model tilvækst, slagteform, fe'!$M$9:$M$375-G332),0))*(1+Forudsætninger!$D$80)</f>
        <v>8.5261999999999993</v>
      </c>
      <c r="Q332" s="17">
        <f t="shared" si="147"/>
        <v>14.566235829938128</v>
      </c>
      <c r="R332" s="17">
        <f t="shared" si="148"/>
        <v>8.5188935587020413</v>
      </c>
      <c r="S332" s="2">
        <f t="shared" si="137"/>
        <v>4.8365413513429001</v>
      </c>
      <c r="T332" s="19">
        <f>(P332)*IF(N332&lt;Forudsætninger!$B$228,IF(N332&lt;Forudsætninger!$B$227,Forudsætninger!$B$225,Forudsætninger!$C$9),Forudsætninger!$C$11)+O332</f>
        <v>23.150239394784833</v>
      </c>
      <c r="U332" s="2">
        <f>Forudsætninger!$D$68+((K332-(Forudsætninger!$D$84)))*0.01</f>
        <v>7.8745410254527686</v>
      </c>
      <c r="V332" s="2">
        <f>U332+Forudsætninger!$D$69</f>
        <v>7.8745410254527686</v>
      </c>
      <c r="W332">
        <f t="shared" si="138"/>
        <v>1</v>
      </c>
      <c r="X332">
        <f>IF(A332+Forudsætninger!$D$60&gt;248,IF(A332+Forudsætninger!$D$60&lt;365,IF(K332&gt;180,IF(K332&lt;260,1,0),0),0),0)</f>
        <v>0</v>
      </c>
      <c r="Y332" s="22">
        <f>IF(X332=0,0,IF('Vækstfunktion, kry tyr'!A332&lt;Forudsætninger!$D$66,Forudsætninger!$D$67+(('Vækstfunktion, kry tyr'!A332-Forudsætninger!$D$66)/7)*Forudsætninger!$D$64,Forudsætninger!$D$67))</f>
        <v>0</v>
      </c>
      <c r="Z332" s="19">
        <f t="shared" si="152"/>
        <v>5871.2548000971383</v>
      </c>
      <c r="AA332" s="19">
        <f>Forudsætninger!$D$62+Forudsætninger!$C$16</f>
        <v>2055</v>
      </c>
      <c r="AB332" s="19">
        <f>IF(K332&gt;Forudsætninger!$C$37,IF(K332&gt;Forudsætninger!$C$38,IF(K332&gt;Forudsætninger!$C$39,Forudsætninger!$E$39,Forudsætninger!$E$38+Forudsætninger!$F$39*(K332-Forudsætninger!$C$38)),Forudsætninger!$E$37+Forudsætninger!$F$38*(K332-Forudsætninger!$C$37)),Forudsætninger!$E$37)+IF(K332&gt;Forudsætninger!$C$39,Forudsætninger!$G$39,IF(K332&gt;Forudsætninger!$C$38,Forudsætninger!$G$38+Forudsætninger!$H$39*(K332-Forudsætninger!$C$38),IF(K332&gt;Forudsætninger!$C$37,Forudsætninger!$G$37+Forudsætninger!$H$38*(K332-Forudsætninger!$C$37),Forudsætninger!$G$37)))*(U332-Forudsætninger!$H$37)</f>
        <v>37.237454102545279</v>
      </c>
      <c r="AC332" s="19">
        <f>IF(K332&gt;Forudsætninger!$C$42,IF(K332&gt;Forudsætninger!$C$43,IF(K332&gt;Forudsætninger!$C$44,Forudsætninger!$E$44,Forudsætninger!$E$43+Forudsætninger!$F$44*(K332-Forudsætninger!$C$43)),Forudsætninger!$E$42+Forudsætninger!$F$43*(K332-Forudsætninger!$C$42)),Forudsætninger!$E$42)+IF(K332&gt;Forudsætninger!$C$44,Forudsætninger!$G$44,IF(K332&gt;Forudsætninger!$C$43,Forudsætninger!$G$43+Forudsætninger!$H$44*(K332-Forudsætninger!$C$43),IF(K332&gt;Forudsætninger!$C$42,Forudsætninger!$G$42+Forudsætninger!$H$43*(K332-Forudsætninger!$C$42),Forudsætninger!$G$42)))*(V332-Forudsætninger!$H$42)</f>
        <v>32.291437615433864</v>
      </c>
      <c r="AD332" s="19">
        <f t="shared" si="139"/>
        <v>8831.4832588839945</v>
      </c>
      <c r="AE332" s="19">
        <f t="shared" si="140"/>
        <v>32.291437615433864</v>
      </c>
      <c r="AF332">
        <f>IF(G332&lt;=Forudsætninger!$C$97,Forudsætninger!$C$98,(IF(G332&lt;=Forudsætninger!$D$97,Forudsætninger!$D$98,IF(G332&lt;=Forudsætninger!$E$97,Forudsætninger!$E$98,IF(G332&lt;=Forudsætninger!$F$97,Forudsætninger!$F$98,IF(G332&lt;=Forudsætninger!$G$97,Forudsætninger!$G$98,IF(G332&lt;=Forudsætninger!$H$97,Forudsætninger!$H$98,IF(G332&lt;=Forudsætninger!$I$97,Forudsætninger!$I$98,Forudsætninger!$I$98))))))))</f>
        <v>4.4000000000000004</v>
      </c>
      <c r="AG332" s="1">
        <f t="shared" si="149"/>
        <v>4.4000000000000004</v>
      </c>
      <c r="AH332" s="1">
        <f t="shared" si="153"/>
        <v>1136.1999999999982</v>
      </c>
      <c r="AI332" s="1">
        <f t="shared" si="141"/>
        <v>3.4430303030302976</v>
      </c>
      <c r="AJ332" s="20">
        <f>+(W332*Forudsætninger!$C$12)</f>
        <v>900</v>
      </c>
      <c r="AK332" s="20">
        <f>Forudsætninger!$C$17</f>
        <v>250</v>
      </c>
      <c r="AL332" s="20">
        <f>IF(A332&lt;92,Forudsætninger!$C$20,Forudsætninger!$C$21)</f>
        <v>1.0566762728146013</v>
      </c>
      <c r="AM332" s="20">
        <f t="shared" si="150"/>
        <v>617.2086528821078</v>
      </c>
      <c r="AN332" s="19">
        <f>IFERROR(AD332+AJ332-AA332-Z332-AK332-AM332-Forudsætninger!$D$75,-99999)</f>
        <v>720.12783220378822</v>
      </c>
      <c r="AO332" s="57">
        <f>IFERROR(AN332/(A332+Forudsætninger!$D$74),-99999)</f>
        <v>2.1822055521326917</v>
      </c>
      <c r="AP332" s="19">
        <f>IFERROR(((365/(A332+Forudsætninger!$D$74))*AN332)/(AI332+Forudsætninger!$D$73),-99999)</f>
        <v>224.17625480117962</v>
      </c>
      <c r="AQ332" s="18">
        <f t="shared" si="154"/>
        <v>330</v>
      </c>
      <c r="AR332" s="18">
        <f t="shared" si="155"/>
        <v>8793.4634529792456</v>
      </c>
      <c r="AS332" s="50">
        <f t="shared" si="156"/>
        <v>12</v>
      </c>
      <c r="AT332" s="50">
        <f t="shared" si="157"/>
        <v>-1.5127359027488865</v>
      </c>
      <c r="AU332" s="50">
        <f t="shared" si="158"/>
        <v>-1.1230825090825292E-2</v>
      </c>
      <c r="AV332" s="2">
        <f t="shared" si="159"/>
        <v>-1.3383535078696127</v>
      </c>
      <c r="AW332" s="16">
        <f t="shared" si="151"/>
        <v>4.0525348032905946</v>
      </c>
      <c r="AZ332" s="16"/>
      <c r="BA332" s="2"/>
    </row>
    <row r="333" spans="1:53" x14ac:dyDescent="0.25">
      <c r="A333">
        <v>331</v>
      </c>
      <c r="B333" s="1">
        <f>ROUND((A333+Forudsætninger!$D$60)/30.4,1)</f>
        <v>12</v>
      </c>
      <c r="C333" s="1">
        <f>VLOOKUP((A333+Forudsætninger!$D$60),'Model tilvækst, slagteform, fe'!A:C,3,FALSE)</f>
        <v>587.04033669214868</v>
      </c>
      <c r="D333" s="3">
        <f t="shared" si="160"/>
        <v>1155.4658524353272</v>
      </c>
      <c r="E333" s="3">
        <f>(1+Forudsætninger!$D$78)*C333</f>
        <v>493.1138828214049</v>
      </c>
      <c r="F333" s="2">
        <f t="shared" si="142"/>
        <v>0</v>
      </c>
      <c r="G333" s="1">
        <f t="shared" si="135"/>
        <v>493.1138828214049</v>
      </c>
      <c r="H333" s="3">
        <f t="shared" si="143"/>
        <v>970.59131604567028</v>
      </c>
      <c r="I333" s="3">
        <f t="shared" si="144"/>
        <v>1272.2473801250903</v>
      </c>
      <c r="J333" s="1">
        <f>VLOOKUP((A333+Forudsætninger!$D$60),'Model tilvækst, slagteform, fe'!G:K,3,FALSE)*(1+Forudsætninger!$D$79)</f>
        <v>55.58091452697699</v>
      </c>
      <c r="K333" s="17">
        <f t="shared" si="136"/>
        <v>274.07720573162254</v>
      </c>
      <c r="L333" s="17">
        <f t="shared" si="145"/>
        <v>584.17132231090818</v>
      </c>
      <c r="M333" s="3">
        <f>((K333-(('Model tilvækst, slagteform, fe'!$I$9/100)*'Model tilvækst, slagteform, fe'!$C$9))*1000/(A333+Forudsætninger!$D$60))</f>
        <v>691.39354185000877</v>
      </c>
      <c r="N333" s="17">
        <f t="shared" si="146"/>
        <v>2040.5666028549842</v>
      </c>
      <c r="O333" s="19">
        <f>IF( A333&lt;Forudsætninger!$C$14,(G333/100)*Forudsætninger!$C$13,(Forudsætninger!$C$15/1000)*Forudsætninger!$C$13)</f>
        <v>3.2052402383391319</v>
      </c>
      <c r="P333" s="17" cm="1">
        <f t="array" ref="P333">INDEX('Model tilvækst, slagteform, fe'!$O$9:$O$375,MATCH(MIN(ABS('Model tilvækst, slagteform, fe'!$M$9:$M$375-G333)),ABS('Model tilvækst, slagteform, fe'!$M$9:$M$375-G333),0))*(1+Forudsætninger!$D$80)</f>
        <v>8.5261999999999993</v>
      </c>
      <c r="Q333" s="17">
        <f t="shared" si="147"/>
        <v>14.595375833020057</v>
      </c>
      <c r="R333" s="17">
        <f t="shared" si="148"/>
        <v>8.5337385869747973</v>
      </c>
      <c r="S333" s="2">
        <f t="shared" si="137"/>
        <v>4.8456407781749427</v>
      </c>
      <c r="T333" s="19">
        <f>(P333)*IF(N333&lt;Forudsætninger!$B$228,IF(N333&lt;Forudsætninger!$B$227,Forudsætninger!$B$225,Forudsætninger!$C$9),Forudsætninger!$C$11)+O333</f>
        <v>23.156548238339131</v>
      </c>
      <c r="U333" s="2">
        <f>Forudsætninger!$D$68+((K333-(Forudsætninger!$D$84)))*0.01</f>
        <v>7.8803827386758778</v>
      </c>
      <c r="V333" s="2">
        <f>U333+Forudsætninger!$D$69</f>
        <v>7.8803827386758778</v>
      </c>
      <c r="W333">
        <f t="shared" si="138"/>
        <v>1</v>
      </c>
      <c r="X333">
        <f>IF(A333+Forudsætninger!$D$60&gt;248,IF(A333+Forudsætninger!$D$60&lt;365,IF(K333&gt;180,IF(K333&lt;260,1,0),0),0),0)</f>
        <v>0</v>
      </c>
      <c r="Y333" s="22">
        <f>IF(X333=0,0,IF('Vækstfunktion, kry tyr'!A333&lt;Forudsætninger!$D$66,Forudsætninger!$D$67+(('Vækstfunktion, kry tyr'!A333-Forudsætninger!$D$66)/7)*Forudsætninger!$D$64,Forudsætninger!$D$67))</f>
        <v>0</v>
      </c>
      <c r="Z333" s="19">
        <f t="shared" si="152"/>
        <v>5894.4113483354777</v>
      </c>
      <c r="AA333" s="19">
        <f>Forudsætninger!$D$62+Forudsætninger!$C$16</f>
        <v>2055</v>
      </c>
      <c r="AB333" s="19">
        <f>IF(K333&gt;Forudsætninger!$C$37,IF(K333&gt;Forudsætninger!$C$38,IF(K333&gt;Forudsætninger!$C$39,Forudsætninger!$E$39,Forudsætninger!$E$38+Forudsætninger!$F$39*(K333-Forudsætninger!$C$38)),Forudsætninger!$E$37+Forudsætninger!$F$38*(K333-Forudsætninger!$C$37)),Forudsætninger!$E$37)+IF(K333&gt;Forudsætninger!$C$39,Forudsætninger!$G$39,IF(K333&gt;Forudsætninger!$C$38,Forudsætninger!$G$38+Forudsætninger!$H$39*(K333-Forudsætninger!$C$38),IF(K333&gt;Forudsætninger!$C$37,Forudsætninger!$G$37+Forudsætninger!$H$38*(K333-Forudsætninger!$C$37),Forudsætninger!$G$37)))*(U333-Forudsætninger!$H$37)</f>
        <v>37.238038273867588</v>
      </c>
      <c r="AC333" s="19">
        <f>IF(K333&gt;Forudsætninger!$C$42,IF(K333&gt;Forudsætninger!$C$43,IF(K333&gt;Forudsætninger!$C$44,Forudsætninger!$E$44,Forudsætninger!$E$43+Forudsætninger!$F$44*(K333-Forudsætninger!$C$43)),Forudsætninger!$E$42+Forudsætninger!$F$43*(K333-Forudsætninger!$C$42)),Forudsætninger!$E$42)+IF(K333&gt;Forudsætninger!$C$44,Forudsætninger!$G$44,IF(K333&gt;Forudsætninger!$C$43,Forudsætninger!$G$43+Forudsætninger!$H$44*(K333-Forudsætninger!$C$43),IF(K333&gt;Forudsætninger!$C$42,Forudsætninger!$G$42+Forudsætninger!$H$43*(K333-Forudsætninger!$C$42),Forudsætninger!$G$42)))*(V333-Forudsætninger!$H$42)</f>
        <v>32.305293047955814</v>
      </c>
      <c r="AD333" s="19">
        <f t="shared" si="139"/>
        <v>8854.1444489249407</v>
      </c>
      <c r="AE333" s="19">
        <f t="shared" si="140"/>
        <v>32.305293047955814</v>
      </c>
      <c r="AF333">
        <f>IF(G333&lt;=Forudsætninger!$C$97,Forudsætninger!$C$98,(IF(G333&lt;=Forudsætninger!$D$97,Forudsætninger!$D$98,IF(G333&lt;=Forudsætninger!$E$97,Forudsætninger!$E$98,IF(G333&lt;=Forudsætninger!$F$97,Forudsætninger!$F$98,IF(G333&lt;=Forudsætninger!$G$97,Forudsætninger!$G$98,IF(G333&lt;=Forudsætninger!$H$97,Forudsætninger!$H$98,IF(G333&lt;=Forudsætninger!$I$97,Forudsætninger!$I$98,Forudsætninger!$I$98))))))))</f>
        <v>4.4000000000000004</v>
      </c>
      <c r="AG333" s="1">
        <f t="shared" si="149"/>
        <v>4.4000000000000004</v>
      </c>
      <c r="AH333" s="1">
        <f t="shared" si="153"/>
        <v>1140.5999999999983</v>
      </c>
      <c r="AI333" s="1">
        <f t="shared" si="141"/>
        <v>3.4459214501510522</v>
      </c>
      <c r="AJ333" s="20">
        <f>+(W333*Forudsætninger!$C$12)</f>
        <v>900</v>
      </c>
      <c r="AK333" s="20">
        <f>Forudsætninger!$C$17</f>
        <v>250</v>
      </c>
      <c r="AL333" s="20">
        <f>IF(A333&lt;92,Forudsætninger!$C$20,Forudsætninger!$C$21)</f>
        <v>1.0566762728146013</v>
      </c>
      <c r="AM333" s="20">
        <f t="shared" si="150"/>
        <v>618.26532915492237</v>
      </c>
      <c r="AN333" s="19">
        <f>IFERROR(AD333+AJ333-AA333-Z333-AK333-AM333-Forudsætninger!$D$75,-99999)</f>
        <v>718.57579773358043</v>
      </c>
      <c r="AO333" s="57">
        <f>IFERROR(AN333/(A333+Forudsætninger!$D$74),-99999)</f>
        <v>2.1709238602222976</v>
      </c>
      <c r="AP333" s="19">
        <f>IFERROR(((365/(A333+Forudsætninger!$D$74))*AN333)/(AI333+Forudsætninger!$D$73),-99999)</f>
        <v>222.83597095416118</v>
      </c>
      <c r="AQ333" s="18">
        <f t="shared" si="154"/>
        <v>331</v>
      </c>
      <c r="AR333" s="18">
        <f t="shared" si="155"/>
        <v>8817.6766774904008</v>
      </c>
      <c r="AS333" s="50">
        <f t="shared" si="156"/>
        <v>12</v>
      </c>
      <c r="AT333" s="50">
        <f t="shared" si="157"/>
        <v>-1.5520344702077864</v>
      </c>
      <c r="AU333" s="50">
        <f t="shared" si="158"/>
        <v>-1.1281691910394187E-2</v>
      </c>
      <c r="AV333" s="2">
        <f t="shared" si="159"/>
        <v>-1.3402838470184406</v>
      </c>
      <c r="AW333" s="16">
        <f t="shared" si="151"/>
        <v>4.0387949452824863</v>
      </c>
      <c r="AZ333" s="16"/>
      <c r="BA333" s="2"/>
    </row>
    <row r="334" spans="1:53" x14ac:dyDescent="0.25">
      <c r="A334">
        <v>332</v>
      </c>
      <c r="B334" s="1">
        <f>ROUND((A334+Forudsætninger!$D$60)/30.4,1)</f>
        <v>12</v>
      </c>
      <c r="C334" s="1">
        <f>VLOOKUP((A334+Forudsætninger!$D$60),'Model tilvækst, slagteform, fe'!A:C,3,FALSE)</f>
        <v>588.19294380707765</v>
      </c>
      <c r="D334" s="3">
        <f t="shared" si="160"/>
        <v>1152.6071149289692</v>
      </c>
      <c r="E334" s="3">
        <f>(1+Forudsætninger!$D$78)*C334</f>
        <v>494.08207279794522</v>
      </c>
      <c r="F334" s="2">
        <f t="shared" si="142"/>
        <v>0</v>
      </c>
      <c r="G334" s="1">
        <f t="shared" si="135"/>
        <v>494.08207279794522</v>
      </c>
      <c r="H334" s="3">
        <f t="shared" si="143"/>
        <v>968.18997654031591</v>
      </c>
      <c r="I334" s="3">
        <f t="shared" si="144"/>
        <v>1271.3315445721241</v>
      </c>
      <c r="J334" s="1">
        <f>VLOOKUP((A334+Forudsætninger!$D$60),'Model tilvækst, slagteform, fe'!G:K,3,FALSE)*(1+Forudsætninger!$D$79)</f>
        <v>55.59</v>
      </c>
      <c r="K334" s="17">
        <f t="shared" si="136"/>
        <v>274.66022426837776</v>
      </c>
      <c r="L334" s="17">
        <f t="shared" si="145"/>
        <v>583.01853675521897</v>
      </c>
      <c r="M334" s="3">
        <f>((K334-(('Model tilvækst, slagteform, fe'!$I$9/100)*'Model tilvækst, slagteform, fe'!$C$9))*1000/(A334+Forudsætninger!$D$60))</f>
        <v>691.09743527871149</v>
      </c>
      <c r="N334" s="17">
        <f t="shared" si="146"/>
        <v>2049.0928028549843</v>
      </c>
      <c r="O334" s="19">
        <f>IF( A334&lt;Forudsætninger!$C$14,(G334/100)*Forudsætninger!$C$13,(Forudsætninger!$C$15/1000)*Forudsætninger!$C$13)</f>
        <v>3.2115334731866443</v>
      </c>
      <c r="P334" s="17" cm="1">
        <f t="array" ref="P334">INDEX('Model tilvækst, slagteform, fe'!$O$9:$O$375,MATCH(MIN(ABS('Model tilvækst, slagteform, fe'!$M$9:$M$375-G334)),ABS('Model tilvækst, slagteform, fe'!$M$9:$M$375-G334),0))*(1+Forudsætninger!$D$80)</f>
        <v>8.5261999999999993</v>
      </c>
      <c r="Q334" s="17">
        <f t="shared" si="147"/>
        <v>14.624234844148248</v>
      </c>
      <c r="R334" s="17">
        <f t="shared" si="148"/>
        <v>8.5485523704484887</v>
      </c>
      <c r="S334" s="2">
        <f t="shared" si="137"/>
        <v>4.8547259760921069</v>
      </c>
      <c r="T334" s="19">
        <f>(P334)*IF(N334&lt;Forudsætninger!$B$228,IF(N334&lt;Forudsætninger!$B$227,Forudsætninger!$B$225,Forudsætninger!$C$9),Forudsætninger!$C$11)+O334</f>
        <v>23.162841473186642</v>
      </c>
      <c r="U334" s="2">
        <f>Forudsætninger!$D$68+((K334-(Forudsætninger!$D$84)))*0.01</f>
        <v>7.8862129240434298</v>
      </c>
      <c r="V334" s="2">
        <f>U334+Forudsætninger!$D$69</f>
        <v>7.8862129240434298</v>
      </c>
      <c r="W334">
        <f t="shared" si="138"/>
        <v>1</v>
      </c>
      <c r="X334">
        <f>IF(A334+Forudsætninger!$D$60&gt;248,IF(A334+Forudsætninger!$D$60&lt;365,IF(K334&gt;180,IF(K334&lt;260,1,0),0),0),0)</f>
        <v>0</v>
      </c>
      <c r="Y334" s="22">
        <f>IF(X334=0,0,IF('Vækstfunktion, kry tyr'!A334&lt;Forudsætninger!$D$66,Forudsætninger!$D$67+(('Vækstfunktion, kry tyr'!A334-Forudsætninger!$D$66)/7)*Forudsætninger!$D$64,Forudsætninger!$D$67))</f>
        <v>0</v>
      </c>
      <c r="Z334" s="19">
        <f t="shared" si="152"/>
        <v>5917.5741898086644</v>
      </c>
      <c r="AA334" s="19">
        <f>Forudsætninger!$D$62+Forudsætninger!$C$16</f>
        <v>2055</v>
      </c>
      <c r="AB334" s="19">
        <f>IF(K334&gt;Forudsætninger!$C$37,IF(K334&gt;Forudsætninger!$C$38,IF(K334&gt;Forudsætninger!$C$39,Forudsætninger!$E$39,Forudsætninger!$E$38+Forudsætninger!$F$39*(K334-Forudsætninger!$C$38)),Forudsætninger!$E$37+Forudsætninger!$F$38*(K334-Forudsætninger!$C$37)),Forudsætninger!$E$37)+IF(K334&gt;Forudsætninger!$C$39,Forudsætninger!$G$39,IF(K334&gt;Forudsætninger!$C$38,Forudsætninger!$G$38+Forudsætninger!$H$39*(K334-Forudsætninger!$C$38),IF(K334&gt;Forudsætninger!$C$37,Forudsætninger!$G$37+Forudsætninger!$H$38*(K334-Forudsætninger!$C$37),Forudsætninger!$G$37)))*(U334-Forudsætninger!$H$37)</f>
        <v>37.238621292404346</v>
      </c>
      <c r="AC334" s="19">
        <f>IF(K334&gt;Forudsætninger!$C$42,IF(K334&gt;Forudsætninger!$C$43,IF(K334&gt;Forudsætninger!$C$44,Forudsætninger!$E$44,Forudsætninger!$E$43+Forudsætninger!$F$44*(K334-Forudsætninger!$C$43)),Forudsætninger!$E$42+Forudsætninger!$F$43*(K334-Forudsætninger!$C$42)),Forudsætninger!$E$42)+IF(K334&gt;Forudsætninger!$C$44,Forudsætninger!$G$44,IF(K334&gt;Forudsætninger!$C$43,Forudsætninger!$G$43+Forudsætninger!$H$44*(K334-Forudsætninger!$C$43),IF(K334&gt;Forudsætninger!$C$42,Forudsætninger!$G$42+Forudsætninger!$H$43*(K334-Forudsætninger!$C$42),Forudsætninger!$G$42)))*(V334-Forudsætninger!$H$42)</f>
        <v>32.319106961653027</v>
      </c>
      <c r="AD334" s="19">
        <f t="shared" si="139"/>
        <v>8876.7731662413098</v>
      </c>
      <c r="AE334" s="19">
        <f t="shared" si="140"/>
        <v>32.319106961653027</v>
      </c>
      <c r="AF334">
        <f>IF(G334&lt;=Forudsætninger!$C$97,Forudsætninger!$C$98,(IF(G334&lt;=Forudsætninger!$D$97,Forudsætninger!$D$98,IF(G334&lt;=Forudsætninger!$E$97,Forudsætninger!$E$98,IF(G334&lt;=Forudsætninger!$F$97,Forudsætninger!$F$98,IF(G334&lt;=Forudsætninger!$G$97,Forudsætninger!$G$98,IF(G334&lt;=Forudsætninger!$H$97,Forudsætninger!$H$98,IF(G334&lt;=Forudsætninger!$I$97,Forudsætninger!$I$98,Forudsætninger!$I$98))))))))</f>
        <v>4.4000000000000004</v>
      </c>
      <c r="AG334" s="1">
        <f t="shared" si="149"/>
        <v>4.4000000000000004</v>
      </c>
      <c r="AH334" s="1">
        <f t="shared" si="153"/>
        <v>1144.9999999999984</v>
      </c>
      <c r="AI334" s="1">
        <f t="shared" si="141"/>
        <v>3.4487951807228869</v>
      </c>
      <c r="AJ334" s="20">
        <f>+(W334*Forudsætninger!$C$12)</f>
        <v>900</v>
      </c>
      <c r="AK334" s="20">
        <f>Forudsætninger!$C$17</f>
        <v>250</v>
      </c>
      <c r="AL334" s="20">
        <f>IF(A334&lt;92,Forudsætninger!$C$20,Forudsætninger!$C$21)</f>
        <v>1.0566762728146013</v>
      </c>
      <c r="AM334" s="20">
        <f t="shared" si="150"/>
        <v>619.32200542773694</v>
      </c>
      <c r="AN334" s="19">
        <f>IFERROR(AD334+AJ334-AA334-Z334-AK334-AM334-Forudsætninger!$D$75,-99999)</f>
        <v>716.98499730394826</v>
      </c>
      <c r="AO334" s="57">
        <f>IFERROR(AN334/(A334+Forudsætninger!$D$74),-99999)</f>
        <v>2.1595933653733383</v>
      </c>
      <c r="AP334" s="19">
        <f>IFERROR(((365/(A334+Forudsætninger!$D$74))*AN334)/(AI334+Forudsætninger!$D$73),-99999)</f>
        <v>221.4939434084412</v>
      </c>
      <c r="AQ334" s="18">
        <f t="shared" si="154"/>
        <v>332</v>
      </c>
      <c r="AR334" s="18">
        <f t="shared" si="155"/>
        <v>8841.8961952364007</v>
      </c>
      <c r="AS334" s="50">
        <f t="shared" si="156"/>
        <v>12</v>
      </c>
      <c r="AT334" s="50">
        <f t="shared" si="157"/>
        <v>-1.5908004296321678</v>
      </c>
      <c r="AU334" s="50">
        <f t="shared" si="158"/>
        <v>-1.1330494848959205E-2</v>
      </c>
      <c r="AV334" s="2">
        <f t="shared" si="159"/>
        <v>-1.3420275457199864</v>
      </c>
      <c r="AW334" s="16">
        <f t="shared" si="151"/>
        <v>4.0250210925653169</v>
      </c>
      <c r="AZ334" s="16"/>
      <c r="BA334" s="2"/>
    </row>
    <row r="335" spans="1:53" x14ac:dyDescent="0.25">
      <c r="A335">
        <v>333</v>
      </c>
      <c r="B335" s="1">
        <f>ROUND((A335+Forudsætninger!$D$60)/30.4,1)</f>
        <v>12.1</v>
      </c>
      <c r="C335" s="1" t="e">
        <f>VLOOKUP((A335+Forudsætninger!$D$60),'Model tilvækst, slagteform, fe'!A:C,3,FALSE)</f>
        <v>#N/A</v>
      </c>
      <c r="D335" s="3" t="e">
        <f t="shared" si="160"/>
        <v>#N/A</v>
      </c>
      <c r="E335" s="3" t="e">
        <f>(1+Forudsætninger!$D$78)*C335</f>
        <v>#N/A</v>
      </c>
      <c r="F335" s="2" t="e">
        <f t="shared" si="142"/>
        <v>#N/A</v>
      </c>
      <c r="G335" s="1" t="e">
        <f t="shared" si="135"/>
        <v>#N/A</v>
      </c>
      <c r="H335" s="3" t="e">
        <f t="shared" si="143"/>
        <v>#N/A</v>
      </c>
      <c r="I335" s="3" t="e">
        <f t="shared" si="144"/>
        <v>#N/A</v>
      </c>
      <c r="J335" s="1" t="e">
        <f>VLOOKUP((A335+Forudsætninger!$D$60),'Model tilvækst, slagteform, fe'!G:K,3,FALSE)*(1+Forudsætninger!$D$79)</f>
        <v>#N/A</v>
      </c>
      <c r="K335" s="17" t="e">
        <f t="shared" si="136"/>
        <v>#N/A</v>
      </c>
      <c r="L335" s="17" t="e">
        <f t="shared" si="145"/>
        <v>#N/A</v>
      </c>
      <c r="M335" s="3" t="e">
        <f>((K335-(('Model tilvækst, slagteform, fe'!$I$9/100)*'Model tilvækst, slagteform, fe'!$C$9))*1000/(A335+Forudsætninger!$D$60))</f>
        <v>#N/A</v>
      </c>
      <c r="N335" s="17" t="e">
        <f t="shared" si="146"/>
        <v>#N/A</v>
      </c>
      <c r="O335" s="19" t="e">
        <f>IF( A335&lt;Forudsætninger!$C$14,(G335/100)*Forudsætninger!$C$13,(Forudsætninger!$C$15/1000)*Forudsætninger!$C$13)</f>
        <v>#N/A</v>
      </c>
      <c r="P335" s="17" t="e" cm="1">
        <f t="array" ref="P335">INDEX('Model tilvækst, slagteform, fe'!$O$9:$O$375,MATCH(MIN(ABS('Model tilvækst, slagteform, fe'!$M$9:$M$375-G335)),ABS('Model tilvækst, slagteform, fe'!$M$9:$M$375-G335),0))*(1+Forudsætninger!$D$80)</f>
        <v>#N/A</v>
      </c>
      <c r="Q335" s="17" t="e">
        <f t="shared" si="147"/>
        <v>#N/A</v>
      </c>
      <c r="R335" s="17" t="e">
        <f t="shared" si="148"/>
        <v>#N/A</v>
      </c>
      <c r="S335" s="2" t="e">
        <f t="shared" si="137"/>
        <v>#N/A</v>
      </c>
      <c r="T335" s="19" t="e">
        <f>(P335)*IF(N335&lt;Forudsætninger!$B$228,IF(N335&lt;Forudsætninger!$B$227,Forudsætninger!$B$225,Forudsætninger!$C$9),Forudsætninger!$C$11)+O335</f>
        <v>#N/A</v>
      </c>
      <c r="U335" s="2" t="e">
        <f>Forudsætninger!$D$68+((K335-(Forudsætninger!$D$84)))*0.01</f>
        <v>#N/A</v>
      </c>
      <c r="V335" s="2" t="e">
        <f>U335+Forudsætninger!$D$69</f>
        <v>#N/A</v>
      </c>
      <c r="W335" t="e">
        <f t="shared" si="138"/>
        <v>#N/A</v>
      </c>
      <c r="X335">
        <f>IF(A335+Forudsætninger!$D$60&gt;248,IF(A335+Forudsætninger!$D$60&lt;365,IF(K335&gt;180,IF(K335&lt;260,1,0),0),0),0)</f>
        <v>0</v>
      </c>
      <c r="Y335" s="22">
        <f>IF(X335=0,0,IF('Vækstfunktion, kry tyr'!A335&lt;Forudsætninger!$D$66,Forudsætninger!$D$67+(('Vækstfunktion, kry tyr'!A335-Forudsætninger!$D$66)/7)*Forudsætninger!$D$64,Forudsætninger!$D$67))</f>
        <v>0</v>
      </c>
      <c r="Z335" s="19" t="e">
        <f t="shared" si="152"/>
        <v>#N/A</v>
      </c>
      <c r="AA335" s="19">
        <f>Forudsætninger!$D$62+Forudsætninger!$C$16</f>
        <v>2055</v>
      </c>
      <c r="AB335" s="19" t="e">
        <f>IF(K335&gt;Forudsætninger!$C$37,IF(K335&gt;Forudsætninger!$C$38,IF(K335&gt;Forudsætninger!$C$39,Forudsætninger!$E$39,Forudsætninger!$E$38+Forudsætninger!$F$39*(K335-Forudsætninger!$C$38)),Forudsætninger!$E$37+Forudsætninger!$F$38*(K335-Forudsætninger!$C$37)),Forudsætninger!$E$37)+IF(K335&gt;Forudsætninger!$C$39,Forudsætninger!$G$39,IF(K335&gt;Forudsætninger!$C$38,Forudsætninger!$G$38+Forudsætninger!$H$39*(K335-Forudsætninger!$C$38),IF(K335&gt;Forudsætninger!$C$37,Forudsætninger!$G$37+Forudsætninger!$H$38*(K335-Forudsætninger!$C$37),Forudsætninger!$G$37)))*(U335-Forudsætninger!$H$37)</f>
        <v>#N/A</v>
      </c>
      <c r="AC335" s="19" t="e">
        <f>IF(K335&gt;Forudsætninger!$C$42,IF(K335&gt;Forudsætninger!$C$43,IF(K335&gt;Forudsætninger!$C$44,Forudsætninger!$E$44,Forudsætninger!$E$43+Forudsætninger!$F$44*(K335-Forudsætninger!$C$43)),Forudsætninger!$E$42+Forudsætninger!$F$43*(K335-Forudsætninger!$C$42)),Forudsætninger!$E$42)+IF(K335&gt;Forudsætninger!$C$44,Forudsætninger!$G$44,IF(K335&gt;Forudsætninger!$C$43,Forudsætninger!$G$43+Forudsætninger!$H$44*(K335-Forudsætninger!$C$43),IF(K335&gt;Forudsætninger!$C$42,Forudsætninger!$G$42+Forudsætninger!$H$43*(K335-Forudsætninger!$C$42),Forudsætninger!$G$42)))*(V335-Forudsætninger!$H$42)</f>
        <v>#N/A</v>
      </c>
      <c r="AD335" s="19" t="e">
        <f t="shared" si="139"/>
        <v>#N/A</v>
      </c>
      <c r="AE335" s="19" t="e">
        <f t="shared" si="140"/>
        <v>#N/A</v>
      </c>
      <c r="AF335" t="e">
        <f>IF(G335&lt;=Forudsætninger!$C$97,Forudsætninger!$C$98,(IF(G335&lt;=Forudsætninger!$D$97,Forudsætninger!$D$98,IF(G335&lt;=Forudsætninger!$E$97,Forudsætninger!$E$98,IF(G335&lt;=Forudsætninger!$F$97,Forudsætninger!$F$98,IF(G335&lt;=Forudsætninger!$G$97,Forudsætninger!$G$98,IF(G335&lt;=Forudsætninger!$H$97,Forudsætninger!$H$98,IF(G335&lt;=Forudsætninger!$I$97,Forudsætninger!$I$98,Forudsætninger!$I$98))))))))</f>
        <v>#N/A</v>
      </c>
      <c r="AG335" s="1" t="e">
        <f t="shared" si="149"/>
        <v>#N/A</v>
      </c>
      <c r="AH335" s="1" t="e">
        <f t="shared" si="153"/>
        <v>#N/A</v>
      </c>
      <c r="AI335" s="1" t="e">
        <f t="shared" si="141"/>
        <v>#N/A</v>
      </c>
      <c r="AJ335" s="20" t="e">
        <f>+(W335*Forudsætninger!$C$12)</f>
        <v>#N/A</v>
      </c>
      <c r="AK335" s="20">
        <f>Forudsætninger!$C$17</f>
        <v>250</v>
      </c>
      <c r="AL335" s="20">
        <f>IF(A335&lt;92,Forudsætninger!$C$20,Forudsætninger!$C$21)</f>
        <v>1.0566762728146013</v>
      </c>
      <c r="AM335" s="20">
        <f t="shared" si="150"/>
        <v>620.37868170055151</v>
      </c>
      <c r="AN335" s="19">
        <f>IFERROR(AD335+AJ335-AA335-Z335-AK335-AM335-Forudsætninger!$D$75,-99999)</f>
        <v>-99999</v>
      </c>
      <c r="AO335" s="57">
        <f>IFERROR(AN335/(A335+Forudsætninger!$D$74),-99999)</f>
        <v>-300.29729729729729</v>
      </c>
      <c r="AP335" s="19">
        <f>IFERROR(((365/(A335+Forudsætninger!$D$74))*AN335)/(AI335+Forudsætninger!$D$73),-99999)</f>
        <v>-99999</v>
      </c>
      <c r="AQ335" s="18">
        <f t="shared" si="154"/>
        <v>333</v>
      </c>
      <c r="AR335" s="18" t="e">
        <f t="shared" si="155"/>
        <v>#N/A</v>
      </c>
      <c r="AS335" s="50">
        <f t="shared" si="156"/>
        <v>12.1</v>
      </c>
      <c r="AT335" s="50">
        <f t="shared" si="157"/>
        <v>-100715.98499730395</v>
      </c>
      <c r="AU335" s="50">
        <f t="shared" si="158"/>
        <v>-302.45689066267062</v>
      </c>
      <c r="AV335" s="2">
        <f t="shared" si="159"/>
        <v>-100220.49394340844</v>
      </c>
      <c r="AW335" s="16">
        <f t="shared" si="151"/>
        <v>-298.4342982531515</v>
      </c>
      <c r="AZ335" s="16"/>
      <c r="BA335" s="2"/>
    </row>
    <row r="336" spans="1:53" x14ac:dyDescent="0.25">
      <c r="A336">
        <v>334</v>
      </c>
      <c r="B336" s="1">
        <f>ROUND((A336+Forudsætninger!$D$60)/30.4,1)</f>
        <v>12.1</v>
      </c>
      <c r="C336" s="1" t="e">
        <f>VLOOKUP((A336+Forudsætninger!$D$60),'Model tilvækst, slagteform, fe'!A:C,3,FALSE)</f>
        <v>#N/A</v>
      </c>
      <c r="D336" s="3" t="e">
        <f t="shared" si="160"/>
        <v>#N/A</v>
      </c>
      <c r="E336" s="3" t="e">
        <f>(1+Forudsætninger!$D$78)*C336</f>
        <v>#N/A</v>
      </c>
      <c r="F336" s="2" t="e">
        <f t="shared" si="142"/>
        <v>#N/A</v>
      </c>
      <c r="G336" s="1" t="e">
        <f t="shared" si="135"/>
        <v>#N/A</v>
      </c>
      <c r="H336" s="3" t="e">
        <f t="shared" si="143"/>
        <v>#N/A</v>
      </c>
      <c r="I336" s="3" t="e">
        <f t="shared" si="144"/>
        <v>#N/A</v>
      </c>
      <c r="J336" s="1" t="e">
        <f>VLOOKUP((A336+Forudsætninger!$D$60),'Model tilvækst, slagteform, fe'!G:K,3,FALSE)*(1+Forudsætninger!$D$79)</f>
        <v>#N/A</v>
      </c>
      <c r="K336" s="17" t="e">
        <f t="shared" si="136"/>
        <v>#N/A</v>
      </c>
      <c r="L336" s="17" t="e">
        <f t="shared" si="145"/>
        <v>#N/A</v>
      </c>
      <c r="M336" s="3" t="e">
        <f>((K336-(('Model tilvækst, slagteform, fe'!$I$9/100)*'Model tilvækst, slagteform, fe'!$C$9))*1000/(A336+Forudsætninger!$D$60))</f>
        <v>#N/A</v>
      </c>
      <c r="N336" s="17" t="e">
        <f t="shared" si="146"/>
        <v>#N/A</v>
      </c>
      <c r="O336" s="19" t="e">
        <f>IF( A336&lt;Forudsætninger!$C$14,(G336/100)*Forudsætninger!$C$13,(Forudsætninger!$C$15/1000)*Forudsætninger!$C$13)</f>
        <v>#N/A</v>
      </c>
      <c r="P336" s="17" t="e" cm="1">
        <f t="array" ref="P336">INDEX('Model tilvækst, slagteform, fe'!$O$9:$O$375,MATCH(MIN(ABS('Model tilvækst, slagteform, fe'!$M$9:$M$375-G336)),ABS('Model tilvækst, slagteform, fe'!$M$9:$M$375-G336),0))*(1+Forudsætninger!$D$80)</f>
        <v>#N/A</v>
      </c>
      <c r="Q336" s="17" t="e">
        <f t="shared" si="147"/>
        <v>#N/A</v>
      </c>
      <c r="R336" s="17" t="e">
        <f t="shared" si="148"/>
        <v>#N/A</v>
      </c>
      <c r="S336" s="2" t="e">
        <f t="shared" si="137"/>
        <v>#N/A</v>
      </c>
      <c r="T336" s="19" t="e">
        <f>(P336)*IF(N336&lt;Forudsætninger!$B$228,IF(N336&lt;Forudsætninger!$B$227,Forudsætninger!$B$225,Forudsætninger!$C$9),Forudsætninger!$C$11)+O336</f>
        <v>#N/A</v>
      </c>
      <c r="U336" s="2" t="e">
        <f>Forudsætninger!$D$68+((K336-(Forudsætninger!$D$84)))*0.01</f>
        <v>#N/A</v>
      </c>
      <c r="V336" s="2" t="e">
        <f>U336+Forudsætninger!$D$69</f>
        <v>#N/A</v>
      </c>
      <c r="W336" t="e">
        <f t="shared" si="138"/>
        <v>#N/A</v>
      </c>
      <c r="X336">
        <f>IF(A336+Forudsætninger!$D$60&gt;248,IF(A336+Forudsætninger!$D$60&lt;365,IF(K336&gt;180,IF(K336&lt;260,1,0),0),0),0)</f>
        <v>0</v>
      </c>
      <c r="Y336" s="22">
        <f>IF(X336=0,0,IF('Vækstfunktion, kry tyr'!A336&lt;Forudsætninger!$D$66,Forudsætninger!$D$67+(('Vækstfunktion, kry tyr'!A336-Forudsætninger!$D$66)/7)*Forudsætninger!$D$64,Forudsætninger!$D$67))</f>
        <v>0</v>
      </c>
      <c r="Z336" s="19" t="e">
        <f t="shared" si="152"/>
        <v>#N/A</v>
      </c>
      <c r="AA336" s="19">
        <f>Forudsætninger!$D$62+Forudsætninger!$C$16</f>
        <v>2055</v>
      </c>
      <c r="AB336" s="19" t="e">
        <f>IF(K336&gt;Forudsætninger!$C$37,IF(K336&gt;Forudsætninger!$C$38,IF(K336&gt;Forudsætninger!$C$39,Forudsætninger!$E$39,Forudsætninger!$E$38+Forudsætninger!$F$39*(K336-Forudsætninger!$C$38)),Forudsætninger!$E$37+Forudsætninger!$F$38*(K336-Forudsætninger!$C$37)),Forudsætninger!$E$37)+IF(K336&gt;Forudsætninger!$C$39,Forudsætninger!$G$39,IF(K336&gt;Forudsætninger!$C$38,Forudsætninger!$G$38+Forudsætninger!$H$39*(K336-Forudsætninger!$C$38),IF(K336&gt;Forudsætninger!$C$37,Forudsætninger!$G$37+Forudsætninger!$H$38*(K336-Forudsætninger!$C$37),Forudsætninger!$G$37)))*(U336-Forudsætninger!$H$37)</f>
        <v>#N/A</v>
      </c>
      <c r="AC336" s="19" t="e">
        <f>IF(K336&gt;Forudsætninger!$C$42,IF(K336&gt;Forudsætninger!$C$43,IF(K336&gt;Forudsætninger!$C$44,Forudsætninger!$E$44,Forudsætninger!$E$43+Forudsætninger!$F$44*(K336-Forudsætninger!$C$43)),Forudsætninger!$E$42+Forudsætninger!$F$43*(K336-Forudsætninger!$C$42)),Forudsætninger!$E$42)+IF(K336&gt;Forudsætninger!$C$44,Forudsætninger!$G$44,IF(K336&gt;Forudsætninger!$C$43,Forudsætninger!$G$43+Forudsætninger!$H$44*(K336-Forudsætninger!$C$43),IF(K336&gt;Forudsætninger!$C$42,Forudsætninger!$G$42+Forudsætninger!$H$43*(K336-Forudsætninger!$C$42),Forudsætninger!$G$42)))*(V336-Forudsætninger!$H$42)</f>
        <v>#N/A</v>
      </c>
      <c r="AD336" s="19" t="e">
        <f t="shared" si="139"/>
        <v>#N/A</v>
      </c>
      <c r="AE336" s="19" t="e">
        <f t="shared" si="140"/>
        <v>#N/A</v>
      </c>
      <c r="AF336" t="e">
        <f>IF(G336&lt;=Forudsætninger!$C$97,Forudsætninger!$C$98,(IF(G336&lt;=Forudsætninger!$D$97,Forudsætninger!$D$98,IF(G336&lt;=Forudsætninger!$E$97,Forudsætninger!$E$98,IF(G336&lt;=Forudsætninger!$F$97,Forudsætninger!$F$98,IF(G336&lt;=Forudsætninger!$G$97,Forudsætninger!$G$98,IF(G336&lt;=Forudsætninger!$H$97,Forudsætninger!$H$98,IF(G336&lt;=Forudsætninger!$I$97,Forudsætninger!$I$98,Forudsætninger!$I$98))))))))</f>
        <v>#N/A</v>
      </c>
      <c r="AG336" s="1" t="e">
        <f t="shared" si="149"/>
        <v>#N/A</v>
      </c>
      <c r="AH336" s="1" t="e">
        <f t="shared" si="153"/>
        <v>#N/A</v>
      </c>
      <c r="AI336" s="1" t="e">
        <f t="shared" si="141"/>
        <v>#N/A</v>
      </c>
      <c r="AJ336" s="20" t="e">
        <f>+(W336*Forudsætninger!$C$12)</f>
        <v>#N/A</v>
      </c>
      <c r="AK336" s="20">
        <f>Forudsætninger!$C$17</f>
        <v>250</v>
      </c>
      <c r="AL336" s="20">
        <f>IF(A336&lt;92,Forudsætninger!$C$20,Forudsætninger!$C$21)</f>
        <v>1.0566762728146013</v>
      </c>
      <c r="AM336" s="20">
        <f t="shared" si="150"/>
        <v>621.43535797336608</v>
      </c>
      <c r="AN336" s="19">
        <f>IFERROR(AD336+AJ336-AA336-Z336-AK336-AM336-Forudsætninger!$D$75,-99999)</f>
        <v>-99999</v>
      </c>
      <c r="AO336" s="57">
        <f>IFERROR(AN336/(A336+Forudsætninger!$D$74),-99999)</f>
        <v>-299.39820359281435</v>
      </c>
      <c r="AP336" s="19">
        <f>IFERROR(((365/(A336+Forudsætninger!$D$74))*AN336)/(AI336+Forudsætninger!$D$73),-99999)</f>
        <v>-99999</v>
      </c>
      <c r="AQ336" s="18">
        <f t="shared" si="154"/>
        <v>334</v>
      </c>
      <c r="AR336" s="18" t="e">
        <f t="shared" si="155"/>
        <v>#N/A</v>
      </c>
      <c r="AS336" s="50">
        <f t="shared" si="156"/>
        <v>12.1</v>
      </c>
      <c r="AT336" s="50">
        <f t="shared" si="157"/>
        <v>0</v>
      </c>
      <c r="AU336" s="50">
        <f t="shared" si="158"/>
        <v>0.89909370448293657</v>
      </c>
      <c r="AV336" s="2">
        <f t="shared" si="159"/>
        <v>0</v>
      </c>
      <c r="AW336" s="16">
        <f t="shared" si="151"/>
        <v>-297.53761868870248</v>
      </c>
      <c r="AZ336" s="16"/>
      <c r="BA336" s="2"/>
    </row>
    <row r="337" spans="1:53" x14ac:dyDescent="0.25">
      <c r="A337">
        <v>335</v>
      </c>
      <c r="B337" s="1">
        <f>ROUND((A337+Forudsætninger!$D$60)/30.4,1)</f>
        <v>12.1</v>
      </c>
      <c r="C337" s="1" t="e">
        <f>VLOOKUP((A337+Forudsætninger!$D$60),'Model tilvækst, slagteform, fe'!A:C,3,FALSE)</f>
        <v>#N/A</v>
      </c>
      <c r="D337" s="3" t="e">
        <f t="shared" si="160"/>
        <v>#N/A</v>
      </c>
      <c r="E337" s="3" t="e">
        <f>(1+Forudsætninger!$D$78)*C337</f>
        <v>#N/A</v>
      </c>
      <c r="F337" s="2" t="e">
        <f t="shared" si="142"/>
        <v>#N/A</v>
      </c>
      <c r="G337" s="1" t="e">
        <f t="shared" si="135"/>
        <v>#N/A</v>
      </c>
      <c r="H337" s="3" t="e">
        <f t="shared" si="143"/>
        <v>#N/A</v>
      </c>
      <c r="I337" s="3" t="e">
        <f t="shared" si="144"/>
        <v>#N/A</v>
      </c>
      <c r="J337" s="1" t="e">
        <f>VLOOKUP((A337+Forudsætninger!$D$60),'Model tilvækst, slagteform, fe'!G:K,3,FALSE)*(1+Forudsætninger!$D$79)</f>
        <v>#N/A</v>
      </c>
      <c r="K337" s="17" t="e">
        <f t="shared" si="136"/>
        <v>#N/A</v>
      </c>
      <c r="L337" s="17" t="e">
        <f t="shared" si="145"/>
        <v>#N/A</v>
      </c>
      <c r="M337" s="3" t="e">
        <f>((K337-(('Model tilvækst, slagteform, fe'!$I$9/100)*'Model tilvækst, slagteform, fe'!$C$9))*1000/(A337+Forudsætninger!$D$60))</f>
        <v>#N/A</v>
      </c>
      <c r="N337" s="17" t="e">
        <f t="shared" si="146"/>
        <v>#N/A</v>
      </c>
      <c r="O337" s="19" t="e">
        <f>IF( A337&lt;Forudsætninger!$C$14,(G337/100)*Forudsætninger!$C$13,(Forudsætninger!$C$15/1000)*Forudsætninger!$C$13)</f>
        <v>#N/A</v>
      </c>
      <c r="P337" s="17" t="e" cm="1">
        <f t="array" ref="P337">INDEX('Model tilvækst, slagteform, fe'!$O$9:$O$375,MATCH(MIN(ABS('Model tilvækst, slagteform, fe'!$M$9:$M$375-G337)),ABS('Model tilvækst, slagteform, fe'!$M$9:$M$375-G337),0))*(1+Forudsætninger!$D$80)</f>
        <v>#N/A</v>
      </c>
      <c r="Q337" s="17" t="e">
        <f t="shared" si="147"/>
        <v>#N/A</v>
      </c>
      <c r="R337" s="17" t="e">
        <f t="shared" si="148"/>
        <v>#N/A</v>
      </c>
      <c r="S337" s="2" t="e">
        <f t="shared" si="137"/>
        <v>#N/A</v>
      </c>
      <c r="T337" s="19" t="e">
        <f>(P337)*IF(N337&lt;Forudsætninger!$B$228,IF(N337&lt;Forudsætninger!$B$227,Forudsætninger!$B$225,Forudsætninger!$C$9),Forudsætninger!$C$11)+O337</f>
        <v>#N/A</v>
      </c>
      <c r="U337" s="2" t="e">
        <f>Forudsætninger!$D$68+((K337-(Forudsætninger!$D$84)))*0.01</f>
        <v>#N/A</v>
      </c>
      <c r="V337" s="2" t="e">
        <f>U337+Forudsætninger!$D$69</f>
        <v>#N/A</v>
      </c>
      <c r="W337" t="e">
        <f t="shared" si="138"/>
        <v>#N/A</v>
      </c>
      <c r="X337">
        <f>IF(A337+Forudsætninger!$D$60&gt;248,IF(A337+Forudsætninger!$D$60&lt;365,IF(K337&gt;180,IF(K337&lt;260,1,0),0),0),0)</f>
        <v>0</v>
      </c>
      <c r="Y337" s="22">
        <f>IF(X337=0,0,IF('Vækstfunktion, kry tyr'!A337&lt;Forudsætninger!$D$66,Forudsætninger!$D$67+(('Vækstfunktion, kry tyr'!A337-Forudsætninger!$D$66)/7)*Forudsætninger!$D$64,Forudsætninger!$D$67))</f>
        <v>0</v>
      </c>
      <c r="Z337" s="19" t="e">
        <f t="shared" si="152"/>
        <v>#N/A</v>
      </c>
      <c r="AA337" s="19">
        <f>Forudsætninger!$D$62+Forudsætninger!$C$16</f>
        <v>2055</v>
      </c>
      <c r="AB337" s="19" t="e">
        <f>IF(K337&gt;Forudsætninger!$C$37,IF(K337&gt;Forudsætninger!$C$38,IF(K337&gt;Forudsætninger!$C$39,Forudsætninger!$E$39,Forudsætninger!$E$38+Forudsætninger!$F$39*(K337-Forudsætninger!$C$38)),Forudsætninger!$E$37+Forudsætninger!$F$38*(K337-Forudsætninger!$C$37)),Forudsætninger!$E$37)+IF(K337&gt;Forudsætninger!$C$39,Forudsætninger!$G$39,IF(K337&gt;Forudsætninger!$C$38,Forudsætninger!$G$38+Forudsætninger!$H$39*(K337-Forudsætninger!$C$38),IF(K337&gt;Forudsætninger!$C$37,Forudsætninger!$G$37+Forudsætninger!$H$38*(K337-Forudsætninger!$C$37),Forudsætninger!$G$37)))*(U337-Forudsætninger!$H$37)</f>
        <v>#N/A</v>
      </c>
      <c r="AC337" s="19" t="e">
        <f>IF(K337&gt;Forudsætninger!$C$42,IF(K337&gt;Forudsætninger!$C$43,IF(K337&gt;Forudsætninger!$C$44,Forudsætninger!$E$44,Forudsætninger!$E$43+Forudsætninger!$F$44*(K337-Forudsætninger!$C$43)),Forudsætninger!$E$42+Forudsætninger!$F$43*(K337-Forudsætninger!$C$42)),Forudsætninger!$E$42)+IF(K337&gt;Forudsætninger!$C$44,Forudsætninger!$G$44,IF(K337&gt;Forudsætninger!$C$43,Forudsætninger!$G$43+Forudsætninger!$H$44*(K337-Forudsætninger!$C$43),IF(K337&gt;Forudsætninger!$C$42,Forudsætninger!$G$42+Forudsætninger!$H$43*(K337-Forudsætninger!$C$42),Forudsætninger!$G$42)))*(V337-Forudsætninger!$H$42)</f>
        <v>#N/A</v>
      </c>
      <c r="AD337" s="19" t="e">
        <f t="shared" si="139"/>
        <v>#N/A</v>
      </c>
      <c r="AE337" s="19" t="e">
        <f t="shared" si="140"/>
        <v>#N/A</v>
      </c>
      <c r="AF337" t="e">
        <f>IF(G337&lt;=Forudsætninger!$C$97,Forudsætninger!$C$98,(IF(G337&lt;=Forudsætninger!$D$97,Forudsætninger!$D$98,IF(G337&lt;=Forudsætninger!$E$97,Forudsætninger!$E$98,IF(G337&lt;=Forudsætninger!$F$97,Forudsætninger!$F$98,IF(G337&lt;=Forudsætninger!$G$97,Forudsætninger!$G$98,IF(G337&lt;=Forudsætninger!$H$97,Forudsætninger!$H$98,IF(G337&lt;=Forudsætninger!$I$97,Forudsætninger!$I$98,Forudsætninger!$I$98))))))))</f>
        <v>#N/A</v>
      </c>
      <c r="AG337" s="1" t="e">
        <f t="shared" si="149"/>
        <v>#N/A</v>
      </c>
      <c r="AH337" s="1" t="e">
        <f t="shared" si="153"/>
        <v>#N/A</v>
      </c>
      <c r="AI337" s="1" t="e">
        <f t="shared" si="141"/>
        <v>#N/A</v>
      </c>
      <c r="AJ337" s="20" t="e">
        <f>+(W337*Forudsætninger!$C$12)</f>
        <v>#N/A</v>
      </c>
      <c r="AK337" s="20">
        <f>Forudsætninger!$C$17</f>
        <v>250</v>
      </c>
      <c r="AL337" s="20">
        <f>IF(A337&lt;92,Forudsætninger!$C$20,Forudsætninger!$C$21)</f>
        <v>1.0566762728146013</v>
      </c>
      <c r="AM337" s="20">
        <f t="shared" si="150"/>
        <v>622.49203424618065</v>
      </c>
      <c r="AN337" s="19">
        <f>IFERROR(AD337+AJ337-AA337-Z337-AK337-AM337-Forudsætninger!$D$75,-99999)</f>
        <v>-99999</v>
      </c>
      <c r="AO337" s="57">
        <f>IFERROR(AN337/(A337+Forudsætninger!$D$74),-99999)</f>
        <v>-298.50447761194027</v>
      </c>
      <c r="AP337" s="19">
        <f>IFERROR(((365/(A337+Forudsætninger!$D$74))*AN337)/(AI337+Forudsætninger!$D$73),-99999)</f>
        <v>-99999</v>
      </c>
      <c r="AQ337" s="18">
        <f t="shared" si="154"/>
        <v>335</v>
      </c>
      <c r="AR337" s="18" t="e">
        <f t="shared" si="155"/>
        <v>#N/A</v>
      </c>
      <c r="AS337" s="50">
        <f t="shared" si="156"/>
        <v>12.1</v>
      </c>
      <c r="AT337" s="50">
        <f t="shared" si="157"/>
        <v>0</v>
      </c>
      <c r="AU337" s="50">
        <f t="shared" si="158"/>
        <v>0.89372598087408051</v>
      </c>
      <c r="AV337" s="2">
        <f t="shared" si="159"/>
        <v>0</v>
      </c>
      <c r="AW337" s="16">
        <f t="shared" si="151"/>
        <v>-296.64629243508602</v>
      </c>
      <c r="AZ337" s="16"/>
      <c r="BA337" s="2"/>
    </row>
    <row r="338" spans="1:53" x14ac:dyDescent="0.25">
      <c r="A338">
        <v>336</v>
      </c>
      <c r="B338" s="1">
        <f>ROUND((A338+Forudsætninger!$D$60)/30.4,1)</f>
        <v>12.2</v>
      </c>
      <c r="C338" s="1" t="e">
        <f>VLOOKUP((A338+Forudsætninger!$D$60),'Model tilvækst, slagteform, fe'!A:C,3,FALSE)</f>
        <v>#N/A</v>
      </c>
      <c r="D338" s="3" t="e">
        <f t="shared" si="160"/>
        <v>#N/A</v>
      </c>
      <c r="E338" s="3" t="e">
        <f>(1+Forudsætninger!$D$78)*C338</f>
        <v>#N/A</v>
      </c>
      <c r="F338" s="2" t="e">
        <f t="shared" si="142"/>
        <v>#N/A</v>
      </c>
      <c r="G338" s="1" t="e">
        <f t="shared" si="135"/>
        <v>#N/A</v>
      </c>
      <c r="H338" s="3" t="e">
        <f t="shared" si="143"/>
        <v>#N/A</v>
      </c>
      <c r="I338" s="3" t="e">
        <f t="shared" si="144"/>
        <v>#N/A</v>
      </c>
      <c r="J338" s="1" t="e">
        <f>VLOOKUP((A338+Forudsætninger!$D$60),'Model tilvækst, slagteform, fe'!G:K,3,FALSE)*(1+Forudsætninger!$D$79)</f>
        <v>#N/A</v>
      </c>
      <c r="K338" s="17" t="e">
        <f t="shared" si="136"/>
        <v>#N/A</v>
      </c>
      <c r="L338" s="17" t="e">
        <f t="shared" si="145"/>
        <v>#N/A</v>
      </c>
      <c r="M338" s="3" t="e">
        <f>((K338-(('Model tilvækst, slagteform, fe'!$I$9/100)*'Model tilvækst, slagteform, fe'!$C$9))*1000/(A338+Forudsætninger!$D$60))</f>
        <v>#N/A</v>
      </c>
      <c r="N338" s="17" t="e">
        <f t="shared" si="146"/>
        <v>#N/A</v>
      </c>
      <c r="O338" s="19" t="e">
        <f>IF( A338&lt;Forudsætninger!$C$14,(G338/100)*Forudsætninger!$C$13,(Forudsætninger!$C$15/1000)*Forudsætninger!$C$13)</f>
        <v>#N/A</v>
      </c>
      <c r="P338" s="17" t="e" cm="1">
        <f t="array" ref="P338">INDEX('Model tilvækst, slagteform, fe'!$O$9:$O$375,MATCH(MIN(ABS('Model tilvækst, slagteform, fe'!$M$9:$M$375-G338)),ABS('Model tilvækst, slagteform, fe'!$M$9:$M$375-G338),0))*(1+Forudsætninger!$D$80)</f>
        <v>#N/A</v>
      </c>
      <c r="Q338" s="17" t="e">
        <f t="shared" si="147"/>
        <v>#N/A</v>
      </c>
      <c r="R338" s="17" t="e">
        <f t="shared" si="148"/>
        <v>#N/A</v>
      </c>
      <c r="S338" s="2" t="e">
        <f t="shared" si="137"/>
        <v>#N/A</v>
      </c>
      <c r="T338" s="19" t="e">
        <f>(P338)*IF(N338&lt;Forudsætninger!$B$228,IF(N338&lt;Forudsætninger!$B$227,Forudsætninger!$B$225,Forudsætninger!$C$9),Forudsætninger!$C$11)+O338</f>
        <v>#N/A</v>
      </c>
      <c r="U338" s="2" t="e">
        <f>Forudsætninger!$D$68+((K338-(Forudsætninger!$D$84)))*0.01</f>
        <v>#N/A</v>
      </c>
      <c r="V338" s="2" t="e">
        <f>U338+Forudsætninger!$D$69</f>
        <v>#N/A</v>
      </c>
      <c r="W338" t="e">
        <f t="shared" si="138"/>
        <v>#N/A</v>
      </c>
      <c r="X338">
        <f>IF(A338+Forudsætninger!$D$60&gt;248,IF(A338+Forudsætninger!$D$60&lt;365,IF(K338&gt;180,IF(K338&lt;260,1,0),0),0),0)</f>
        <v>0</v>
      </c>
      <c r="Y338" s="22">
        <f>IF(X338=0,0,IF('Vækstfunktion, kry tyr'!A338&lt;Forudsætninger!$D$66,Forudsætninger!$D$67+(('Vækstfunktion, kry tyr'!A338-Forudsætninger!$D$66)/7)*Forudsætninger!$D$64,Forudsætninger!$D$67))</f>
        <v>0</v>
      </c>
      <c r="Z338" s="19" t="e">
        <f t="shared" si="152"/>
        <v>#N/A</v>
      </c>
      <c r="AA338" s="19">
        <f>Forudsætninger!$D$62+Forudsætninger!$C$16</f>
        <v>2055</v>
      </c>
      <c r="AB338" s="19" t="e">
        <f>IF(K338&gt;Forudsætninger!$C$37,IF(K338&gt;Forudsætninger!$C$38,IF(K338&gt;Forudsætninger!$C$39,Forudsætninger!$E$39,Forudsætninger!$E$38+Forudsætninger!$F$39*(K338-Forudsætninger!$C$38)),Forudsætninger!$E$37+Forudsætninger!$F$38*(K338-Forudsætninger!$C$37)),Forudsætninger!$E$37)+IF(K338&gt;Forudsætninger!$C$39,Forudsætninger!$G$39,IF(K338&gt;Forudsætninger!$C$38,Forudsætninger!$G$38+Forudsætninger!$H$39*(K338-Forudsætninger!$C$38),IF(K338&gt;Forudsætninger!$C$37,Forudsætninger!$G$37+Forudsætninger!$H$38*(K338-Forudsætninger!$C$37),Forudsætninger!$G$37)))*(U338-Forudsætninger!$H$37)</f>
        <v>#N/A</v>
      </c>
      <c r="AC338" s="19" t="e">
        <f>IF(K338&gt;Forudsætninger!$C$42,IF(K338&gt;Forudsætninger!$C$43,IF(K338&gt;Forudsætninger!$C$44,Forudsætninger!$E$44,Forudsætninger!$E$43+Forudsætninger!$F$44*(K338-Forudsætninger!$C$43)),Forudsætninger!$E$42+Forudsætninger!$F$43*(K338-Forudsætninger!$C$42)),Forudsætninger!$E$42)+IF(K338&gt;Forudsætninger!$C$44,Forudsætninger!$G$44,IF(K338&gt;Forudsætninger!$C$43,Forudsætninger!$G$43+Forudsætninger!$H$44*(K338-Forudsætninger!$C$43),IF(K338&gt;Forudsætninger!$C$42,Forudsætninger!$G$42+Forudsætninger!$H$43*(K338-Forudsætninger!$C$42),Forudsætninger!$G$42)))*(V338-Forudsætninger!$H$42)</f>
        <v>#N/A</v>
      </c>
      <c r="AD338" s="19" t="e">
        <f t="shared" si="139"/>
        <v>#N/A</v>
      </c>
      <c r="AE338" s="19" t="e">
        <f t="shared" si="140"/>
        <v>#N/A</v>
      </c>
      <c r="AF338" t="e">
        <f>IF(G338&lt;=Forudsætninger!$C$97,Forudsætninger!$C$98,(IF(G338&lt;=Forudsætninger!$D$97,Forudsætninger!$D$98,IF(G338&lt;=Forudsætninger!$E$97,Forudsætninger!$E$98,IF(G338&lt;=Forudsætninger!$F$97,Forudsætninger!$F$98,IF(G338&lt;=Forudsætninger!$G$97,Forudsætninger!$G$98,IF(G338&lt;=Forudsætninger!$H$97,Forudsætninger!$H$98,IF(G338&lt;=Forudsætninger!$I$97,Forudsætninger!$I$98,Forudsætninger!$I$98))))))))</f>
        <v>#N/A</v>
      </c>
      <c r="AG338" s="1" t="e">
        <f t="shared" si="149"/>
        <v>#N/A</v>
      </c>
      <c r="AH338" s="1" t="e">
        <f t="shared" si="153"/>
        <v>#N/A</v>
      </c>
      <c r="AI338" s="1" t="e">
        <f t="shared" si="141"/>
        <v>#N/A</v>
      </c>
      <c r="AJ338" s="20" t="e">
        <f>+(W338*Forudsætninger!$C$12)</f>
        <v>#N/A</v>
      </c>
      <c r="AK338" s="20">
        <f>Forudsætninger!$C$17</f>
        <v>250</v>
      </c>
      <c r="AL338" s="20">
        <f>IF(A338&lt;92,Forudsætninger!$C$20,Forudsætninger!$C$21)</f>
        <v>1.0566762728146013</v>
      </c>
      <c r="AM338" s="20">
        <f t="shared" si="150"/>
        <v>623.54871051899522</v>
      </c>
      <c r="AN338" s="19">
        <f>IFERROR(AD338+AJ338-AA338-Z338-AK338-AM338-Forudsætninger!$D$75,-99999)</f>
        <v>-99999</v>
      </c>
      <c r="AO338" s="57">
        <f>IFERROR(AN338/(A338+Forudsætninger!$D$74),-99999)</f>
        <v>-297.61607142857144</v>
      </c>
      <c r="AP338" s="19">
        <f>IFERROR(((365/(A338+Forudsætninger!$D$74))*AN338)/(AI338+Forudsætninger!$D$73),-99999)</f>
        <v>-99999</v>
      </c>
      <c r="AQ338" s="18">
        <f t="shared" si="154"/>
        <v>336</v>
      </c>
      <c r="AR338" s="18" t="e">
        <f t="shared" si="155"/>
        <v>#N/A</v>
      </c>
      <c r="AS338" s="50">
        <f t="shared" si="156"/>
        <v>12.2</v>
      </c>
      <c r="AT338" s="50">
        <f t="shared" si="157"/>
        <v>0</v>
      </c>
      <c r="AU338" s="50">
        <f t="shared" si="158"/>
        <v>0.88840618336882926</v>
      </c>
      <c r="AV338" s="2">
        <f t="shared" si="159"/>
        <v>0</v>
      </c>
      <c r="AW338" s="16">
        <f t="shared" si="151"/>
        <v>-295.76027169488395</v>
      </c>
      <c r="AZ338" s="16"/>
      <c r="BA338" s="2"/>
    </row>
    <row r="339" spans="1:53" x14ac:dyDescent="0.25">
      <c r="A339">
        <v>337</v>
      </c>
      <c r="B339" s="1">
        <f>ROUND((A339+Forudsætninger!$D$60)/30.4,1)</f>
        <v>12.2</v>
      </c>
      <c r="C339" s="1" t="e">
        <f>VLOOKUP((A339+Forudsætninger!$D$60),'Model tilvækst, slagteform, fe'!A:C,3,FALSE)</f>
        <v>#N/A</v>
      </c>
      <c r="D339" s="3" t="e">
        <f t="shared" si="160"/>
        <v>#N/A</v>
      </c>
      <c r="E339" s="3" t="e">
        <f>(1+Forudsætninger!$D$78)*C339</f>
        <v>#N/A</v>
      </c>
      <c r="F339" s="2" t="e">
        <f t="shared" si="142"/>
        <v>#N/A</v>
      </c>
      <c r="G339" s="1" t="e">
        <f t="shared" si="135"/>
        <v>#N/A</v>
      </c>
      <c r="H339" s="3" t="e">
        <f t="shared" si="143"/>
        <v>#N/A</v>
      </c>
      <c r="I339" s="3" t="e">
        <f t="shared" si="144"/>
        <v>#N/A</v>
      </c>
      <c r="J339" s="1" t="e">
        <f>VLOOKUP((A339+Forudsætninger!$D$60),'Model tilvækst, slagteform, fe'!G:K,3,FALSE)*(1+Forudsætninger!$D$79)</f>
        <v>#N/A</v>
      </c>
      <c r="K339" s="17" t="e">
        <f t="shared" si="136"/>
        <v>#N/A</v>
      </c>
      <c r="L339" s="17" t="e">
        <f t="shared" si="145"/>
        <v>#N/A</v>
      </c>
      <c r="M339" s="3" t="e">
        <f>((K339-(('Model tilvækst, slagteform, fe'!$I$9/100)*'Model tilvækst, slagteform, fe'!$C$9))*1000/(A339+Forudsætninger!$D$60))</f>
        <v>#N/A</v>
      </c>
      <c r="N339" s="17" t="e">
        <f t="shared" si="146"/>
        <v>#N/A</v>
      </c>
      <c r="O339" s="19" t="e">
        <f>IF( A339&lt;Forudsætninger!$C$14,(G339/100)*Forudsætninger!$C$13,(Forudsætninger!$C$15/1000)*Forudsætninger!$C$13)</f>
        <v>#N/A</v>
      </c>
      <c r="P339" s="17" t="e" cm="1">
        <f t="array" ref="P339">INDEX('Model tilvækst, slagteform, fe'!$O$9:$O$375,MATCH(MIN(ABS('Model tilvækst, slagteform, fe'!$M$9:$M$375-G339)),ABS('Model tilvækst, slagteform, fe'!$M$9:$M$375-G339),0))*(1+Forudsætninger!$D$80)</f>
        <v>#N/A</v>
      </c>
      <c r="Q339" s="17" t="e">
        <f t="shared" si="147"/>
        <v>#N/A</v>
      </c>
      <c r="R339" s="17" t="e">
        <f t="shared" si="148"/>
        <v>#N/A</v>
      </c>
      <c r="S339" s="2" t="e">
        <f t="shared" si="137"/>
        <v>#N/A</v>
      </c>
      <c r="T339" s="19" t="e">
        <f>(P339)*IF(N339&lt;Forudsætninger!$B$228,IF(N339&lt;Forudsætninger!$B$227,Forudsætninger!$B$225,Forudsætninger!$C$9),Forudsætninger!$C$11)+O339</f>
        <v>#N/A</v>
      </c>
      <c r="U339" s="2" t="e">
        <f>Forudsætninger!$D$68+((K339-(Forudsætninger!$D$84)))*0.01</f>
        <v>#N/A</v>
      </c>
      <c r="V339" s="2" t="e">
        <f>U339+Forudsætninger!$D$69</f>
        <v>#N/A</v>
      </c>
      <c r="W339" t="e">
        <f t="shared" si="138"/>
        <v>#N/A</v>
      </c>
      <c r="X339">
        <f>IF(A339+Forudsætninger!$D$60&gt;248,IF(A339+Forudsætninger!$D$60&lt;365,IF(K339&gt;180,IF(K339&lt;260,1,0),0),0),0)</f>
        <v>0</v>
      </c>
      <c r="Y339" s="22">
        <f>IF(X339=0,0,IF('Vækstfunktion, kry tyr'!A339&lt;Forudsætninger!$D$66,Forudsætninger!$D$67+(('Vækstfunktion, kry tyr'!A339-Forudsætninger!$D$66)/7)*Forudsætninger!$D$64,Forudsætninger!$D$67))</f>
        <v>0</v>
      </c>
      <c r="Z339" s="19" t="e">
        <f t="shared" si="152"/>
        <v>#N/A</v>
      </c>
      <c r="AA339" s="19">
        <f>Forudsætninger!$D$62+Forudsætninger!$C$16</f>
        <v>2055</v>
      </c>
      <c r="AB339" s="19" t="e">
        <f>IF(K339&gt;Forudsætninger!$C$37,IF(K339&gt;Forudsætninger!$C$38,IF(K339&gt;Forudsætninger!$C$39,Forudsætninger!$E$39,Forudsætninger!$E$38+Forudsætninger!$F$39*(K339-Forudsætninger!$C$38)),Forudsætninger!$E$37+Forudsætninger!$F$38*(K339-Forudsætninger!$C$37)),Forudsætninger!$E$37)+IF(K339&gt;Forudsætninger!$C$39,Forudsætninger!$G$39,IF(K339&gt;Forudsætninger!$C$38,Forudsætninger!$G$38+Forudsætninger!$H$39*(K339-Forudsætninger!$C$38),IF(K339&gt;Forudsætninger!$C$37,Forudsætninger!$G$37+Forudsætninger!$H$38*(K339-Forudsætninger!$C$37),Forudsætninger!$G$37)))*(U339-Forudsætninger!$H$37)</f>
        <v>#N/A</v>
      </c>
      <c r="AC339" s="19" t="e">
        <f>IF(K339&gt;Forudsætninger!$C$42,IF(K339&gt;Forudsætninger!$C$43,IF(K339&gt;Forudsætninger!$C$44,Forudsætninger!$E$44,Forudsætninger!$E$43+Forudsætninger!$F$44*(K339-Forudsætninger!$C$43)),Forudsætninger!$E$42+Forudsætninger!$F$43*(K339-Forudsætninger!$C$42)),Forudsætninger!$E$42)+IF(K339&gt;Forudsætninger!$C$44,Forudsætninger!$G$44,IF(K339&gt;Forudsætninger!$C$43,Forudsætninger!$G$43+Forudsætninger!$H$44*(K339-Forudsætninger!$C$43),IF(K339&gt;Forudsætninger!$C$42,Forudsætninger!$G$42+Forudsætninger!$H$43*(K339-Forudsætninger!$C$42),Forudsætninger!$G$42)))*(V339-Forudsætninger!$H$42)</f>
        <v>#N/A</v>
      </c>
      <c r="AD339" s="19" t="e">
        <f t="shared" si="139"/>
        <v>#N/A</v>
      </c>
      <c r="AE339" s="19" t="e">
        <f t="shared" si="140"/>
        <v>#N/A</v>
      </c>
      <c r="AF339" t="e">
        <f>IF(G339&lt;=Forudsætninger!$C$97,Forudsætninger!$C$98,(IF(G339&lt;=Forudsætninger!$D$97,Forudsætninger!$D$98,IF(G339&lt;=Forudsætninger!$E$97,Forudsætninger!$E$98,IF(G339&lt;=Forudsætninger!$F$97,Forudsætninger!$F$98,IF(G339&lt;=Forudsætninger!$G$97,Forudsætninger!$G$98,IF(G339&lt;=Forudsætninger!$H$97,Forudsætninger!$H$98,IF(G339&lt;=Forudsætninger!$I$97,Forudsætninger!$I$98,Forudsætninger!$I$98))))))))</f>
        <v>#N/A</v>
      </c>
      <c r="AG339" s="1" t="e">
        <f t="shared" si="149"/>
        <v>#N/A</v>
      </c>
      <c r="AH339" s="1" t="e">
        <f t="shared" si="153"/>
        <v>#N/A</v>
      </c>
      <c r="AI339" s="1" t="e">
        <f t="shared" si="141"/>
        <v>#N/A</v>
      </c>
      <c r="AJ339" s="20" t="e">
        <f>+(W339*Forudsætninger!$C$12)</f>
        <v>#N/A</v>
      </c>
      <c r="AK339" s="20">
        <f>Forudsætninger!$C$17</f>
        <v>250</v>
      </c>
      <c r="AL339" s="20">
        <f>IF(A339&lt;92,Forudsætninger!$C$20,Forudsætninger!$C$21)</f>
        <v>1.0566762728146013</v>
      </c>
      <c r="AM339" s="20">
        <f t="shared" si="150"/>
        <v>624.60538679180979</v>
      </c>
      <c r="AN339" s="19">
        <f>IFERROR(AD339+AJ339-AA339-Z339-AK339-AM339-Forudsætninger!$D$75,-99999)</f>
        <v>-99999</v>
      </c>
      <c r="AO339" s="57">
        <f>IFERROR(AN339/(A339+Forudsætninger!$D$74),-99999)</f>
        <v>-296.73293768545994</v>
      </c>
      <c r="AP339" s="19">
        <f>IFERROR(((365/(A339+Forudsætninger!$D$74))*AN339)/(AI339+Forudsætninger!$D$73),-99999)</f>
        <v>-99999</v>
      </c>
      <c r="AQ339" s="18">
        <f t="shared" si="154"/>
        <v>337</v>
      </c>
      <c r="AR339" s="18" t="e">
        <f t="shared" si="155"/>
        <v>#N/A</v>
      </c>
      <c r="AS339" s="50">
        <f t="shared" si="156"/>
        <v>12.2</v>
      </c>
      <c r="AT339" s="50">
        <f t="shared" si="157"/>
        <v>0</v>
      </c>
      <c r="AU339" s="50">
        <f t="shared" si="158"/>
        <v>0.88313374311150028</v>
      </c>
      <c r="AV339" s="2">
        <f t="shared" si="159"/>
        <v>0</v>
      </c>
      <c r="AW339" s="16">
        <f t="shared" si="151"/>
        <v>-294.87950923800651</v>
      </c>
      <c r="AZ339" s="16"/>
      <c r="BA339" s="2"/>
    </row>
    <row r="340" spans="1:53" x14ac:dyDescent="0.25">
      <c r="A340">
        <v>338</v>
      </c>
      <c r="B340" s="1">
        <f>ROUND((A340+Forudsætninger!$D$60)/30.4,1)</f>
        <v>12.2</v>
      </c>
      <c r="C340" s="1" t="e">
        <f>VLOOKUP((A340+Forudsætninger!$D$60),'Model tilvækst, slagteform, fe'!A:C,3,FALSE)</f>
        <v>#N/A</v>
      </c>
      <c r="D340" s="3" t="e">
        <f t="shared" si="160"/>
        <v>#N/A</v>
      </c>
      <c r="E340" s="3" t="e">
        <f>(1+Forudsætninger!$D$78)*C340</f>
        <v>#N/A</v>
      </c>
      <c r="F340" s="2" t="e">
        <f t="shared" si="142"/>
        <v>#N/A</v>
      </c>
      <c r="G340" s="1" t="e">
        <f t="shared" si="135"/>
        <v>#N/A</v>
      </c>
      <c r="H340" s="3" t="e">
        <f t="shared" si="143"/>
        <v>#N/A</v>
      </c>
      <c r="I340" s="3" t="e">
        <f t="shared" si="144"/>
        <v>#N/A</v>
      </c>
      <c r="J340" s="1" t="e">
        <f>VLOOKUP((A340+Forudsætninger!$D$60),'Model tilvækst, slagteform, fe'!G:K,3,FALSE)*(1+Forudsætninger!$D$79)</f>
        <v>#N/A</v>
      </c>
      <c r="K340" s="17" t="e">
        <f t="shared" si="136"/>
        <v>#N/A</v>
      </c>
      <c r="L340" s="17" t="e">
        <f t="shared" si="145"/>
        <v>#N/A</v>
      </c>
      <c r="M340" s="3" t="e">
        <f>((K340-(('Model tilvækst, slagteform, fe'!$I$9/100)*'Model tilvækst, slagteform, fe'!$C$9))*1000/(A340+Forudsætninger!$D$60))</f>
        <v>#N/A</v>
      </c>
      <c r="N340" s="17" t="e">
        <f t="shared" si="146"/>
        <v>#N/A</v>
      </c>
      <c r="O340" s="19" t="e">
        <f>IF( A340&lt;Forudsætninger!$C$14,(G340/100)*Forudsætninger!$C$13,(Forudsætninger!$C$15/1000)*Forudsætninger!$C$13)</f>
        <v>#N/A</v>
      </c>
      <c r="P340" s="17" t="e" cm="1">
        <f t="array" ref="P340">INDEX('Model tilvækst, slagteform, fe'!$O$9:$O$375,MATCH(MIN(ABS('Model tilvækst, slagteform, fe'!$M$9:$M$375-G340)),ABS('Model tilvækst, slagteform, fe'!$M$9:$M$375-G340),0))*(1+Forudsætninger!$D$80)</f>
        <v>#N/A</v>
      </c>
      <c r="Q340" s="17" t="e">
        <f t="shared" si="147"/>
        <v>#N/A</v>
      </c>
      <c r="R340" s="17" t="e">
        <f t="shared" si="148"/>
        <v>#N/A</v>
      </c>
      <c r="S340" s="2" t="e">
        <f t="shared" si="137"/>
        <v>#N/A</v>
      </c>
      <c r="T340" s="19" t="e">
        <f>(P340)*IF(N340&lt;Forudsætninger!$B$228,IF(N340&lt;Forudsætninger!$B$227,Forudsætninger!$B$225,Forudsætninger!$C$9),Forudsætninger!$C$11)+O340</f>
        <v>#N/A</v>
      </c>
      <c r="U340" s="2" t="e">
        <f>Forudsætninger!$D$68+((K340-(Forudsætninger!$D$84)))*0.01</f>
        <v>#N/A</v>
      </c>
      <c r="V340" s="2" t="e">
        <f>U340+Forudsætninger!$D$69</f>
        <v>#N/A</v>
      </c>
      <c r="W340" t="e">
        <f t="shared" si="138"/>
        <v>#N/A</v>
      </c>
      <c r="X340">
        <f>IF(A340+Forudsætninger!$D$60&gt;248,IF(A340+Forudsætninger!$D$60&lt;365,IF(K340&gt;180,IF(K340&lt;260,1,0),0),0),0)</f>
        <v>0</v>
      </c>
      <c r="Y340" s="22">
        <f>IF(X340=0,0,IF('Vækstfunktion, kry tyr'!A340&lt;Forudsætninger!$D$66,Forudsætninger!$D$67+(('Vækstfunktion, kry tyr'!A340-Forudsætninger!$D$66)/7)*Forudsætninger!$D$64,Forudsætninger!$D$67))</f>
        <v>0</v>
      </c>
      <c r="Z340" s="19" t="e">
        <f t="shared" si="152"/>
        <v>#N/A</v>
      </c>
      <c r="AA340" s="19">
        <f>Forudsætninger!$D$62+Forudsætninger!$C$16</f>
        <v>2055</v>
      </c>
      <c r="AB340" s="19" t="e">
        <f>IF(K340&gt;Forudsætninger!$C$37,IF(K340&gt;Forudsætninger!$C$38,IF(K340&gt;Forudsætninger!$C$39,Forudsætninger!$E$39,Forudsætninger!$E$38+Forudsætninger!$F$39*(K340-Forudsætninger!$C$38)),Forudsætninger!$E$37+Forudsætninger!$F$38*(K340-Forudsætninger!$C$37)),Forudsætninger!$E$37)+IF(K340&gt;Forudsætninger!$C$39,Forudsætninger!$G$39,IF(K340&gt;Forudsætninger!$C$38,Forudsætninger!$G$38+Forudsætninger!$H$39*(K340-Forudsætninger!$C$38),IF(K340&gt;Forudsætninger!$C$37,Forudsætninger!$G$37+Forudsætninger!$H$38*(K340-Forudsætninger!$C$37),Forudsætninger!$G$37)))*(U340-Forudsætninger!$H$37)</f>
        <v>#N/A</v>
      </c>
      <c r="AC340" s="19" t="e">
        <f>IF(K340&gt;Forudsætninger!$C$42,IF(K340&gt;Forudsætninger!$C$43,IF(K340&gt;Forudsætninger!$C$44,Forudsætninger!$E$44,Forudsætninger!$E$43+Forudsætninger!$F$44*(K340-Forudsætninger!$C$43)),Forudsætninger!$E$42+Forudsætninger!$F$43*(K340-Forudsætninger!$C$42)),Forudsætninger!$E$42)+IF(K340&gt;Forudsætninger!$C$44,Forudsætninger!$G$44,IF(K340&gt;Forudsætninger!$C$43,Forudsætninger!$G$43+Forudsætninger!$H$44*(K340-Forudsætninger!$C$43),IF(K340&gt;Forudsætninger!$C$42,Forudsætninger!$G$42+Forudsætninger!$H$43*(K340-Forudsætninger!$C$42),Forudsætninger!$G$42)))*(V340-Forudsætninger!$H$42)</f>
        <v>#N/A</v>
      </c>
      <c r="AD340" s="19" t="e">
        <f t="shared" si="139"/>
        <v>#N/A</v>
      </c>
      <c r="AE340" s="19" t="e">
        <f t="shared" si="140"/>
        <v>#N/A</v>
      </c>
      <c r="AF340" t="e">
        <f>IF(G340&lt;=Forudsætninger!$C$97,Forudsætninger!$C$98,(IF(G340&lt;=Forudsætninger!$D$97,Forudsætninger!$D$98,IF(G340&lt;=Forudsætninger!$E$97,Forudsætninger!$E$98,IF(G340&lt;=Forudsætninger!$F$97,Forudsætninger!$F$98,IF(G340&lt;=Forudsætninger!$G$97,Forudsætninger!$G$98,IF(G340&lt;=Forudsætninger!$H$97,Forudsætninger!$H$98,IF(G340&lt;=Forudsætninger!$I$97,Forudsætninger!$I$98,Forudsætninger!$I$98))))))))</f>
        <v>#N/A</v>
      </c>
      <c r="AG340" s="1" t="e">
        <f t="shared" si="149"/>
        <v>#N/A</v>
      </c>
      <c r="AH340" s="1" t="e">
        <f t="shared" si="153"/>
        <v>#N/A</v>
      </c>
      <c r="AI340" s="1" t="e">
        <f t="shared" si="141"/>
        <v>#N/A</v>
      </c>
      <c r="AJ340" s="20" t="e">
        <f>+(W340*Forudsætninger!$C$12)</f>
        <v>#N/A</v>
      </c>
      <c r="AK340" s="20">
        <f>Forudsætninger!$C$17</f>
        <v>250</v>
      </c>
      <c r="AL340" s="20">
        <f>IF(A340&lt;92,Forudsætninger!$C$20,Forudsætninger!$C$21)</f>
        <v>1.0566762728146013</v>
      </c>
      <c r="AM340" s="20">
        <f t="shared" si="150"/>
        <v>625.66206306462436</v>
      </c>
      <c r="AN340" s="19">
        <f>IFERROR(AD340+AJ340-AA340-Z340-AK340-AM340-Forudsætninger!$D$75,-99999)</f>
        <v>-99999</v>
      </c>
      <c r="AO340" s="57">
        <f>IFERROR(AN340/(A340+Forudsætninger!$D$74),-99999)</f>
        <v>-295.85502958579883</v>
      </c>
      <c r="AP340" s="19">
        <f>IFERROR(((365/(A340+Forudsætninger!$D$74))*AN340)/(AI340+Forudsætninger!$D$73),-99999)</f>
        <v>-99999</v>
      </c>
      <c r="AQ340" s="18">
        <f t="shared" si="154"/>
        <v>338</v>
      </c>
      <c r="AR340" s="18" t="e">
        <f t="shared" si="155"/>
        <v>#N/A</v>
      </c>
      <c r="AS340" s="50">
        <f t="shared" si="156"/>
        <v>12.2</v>
      </c>
      <c r="AT340" s="50">
        <f t="shared" si="157"/>
        <v>0</v>
      </c>
      <c r="AU340" s="50">
        <f t="shared" si="158"/>
        <v>0.87790809966111283</v>
      </c>
      <c r="AV340" s="2">
        <f t="shared" si="159"/>
        <v>0</v>
      </c>
      <c r="AW340" s="16">
        <f t="shared" si="151"/>
        <v>-294.00395839329991</v>
      </c>
      <c r="AZ340" s="16"/>
      <c r="BA340" s="2"/>
    </row>
    <row r="341" spans="1:53" x14ac:dyDescent="0.25">
      <c r="A341">
        <v>339</v>
      </c>
      <c r="B341" s="1">
        <f>ROUND((A341+Forudsætninger!$D$60)/30.4,1)</f>
        <v>12.3</v>
      </c>
      <c r="C341" s="1" t="e">
        <f>VLOOKUP((A341+Forudsætninger!$D$60),'Model tilvækst, slagteform, fe'!A:C,3,FALSE)</f>
        <v>#N/A</v>
      </c>
      <c r="D341" s="3" t="e">
        <f t="shared" si="160"/>
        <v>#N/A</v>
      </c>
      <c r="E341" s="3" t="e">
        <f>(1+Forudsætninger!$D$78)*C341</f>
        <v>#N/A</v>
      </c>
      <c r="F341" s="2" t="e">
        <f t="shared" si="142"/>
        <v>#N/A</v>
      </c>
      <c r="G341" s="1" t="e">
        <f t="shared" si="135"/>
        <v>#N/A</v>
      </c>
      <c r="H341" s="3" t="e">
        <f t="shared" si="143"/>
        <v>#N/A</v>
      </c>
      <c r="I341" s="3" t="e">
        <f t="shared" si="144"/>
        <v>#N/A</v>
      </c>
      <c r="J341" s="1" t="e">
        <f>VLOOKUP((A341+Forudsætninger!$D$60),'Model tilvækst, slagteform, fe'!G:K,3,FALSE)*(1+Forudsætninger!$D$79)</f>
        <v>#N/A</v>
      </c>
      <c r="K341" s="17" t="e">
        <f t="shared" si="136"/>
        <v>#N/A</v>
      </c>
      <c r="L341" s="17" t="e">
        <f t="shared" si="145"/>
        <v>#N/A</v>
      </c>
      <c r="M341" s="3" t="e">
        <f>((K341-(('Model tilvækst, slagteform, fe'!$I$9/100)*'Model tilvækst, slagteform, fe'!$C$9))*1000/(A341+Forudsætninger!$D$60))</f>
        <v>#N/A</v>
      </c>
      <c r="N341" s="17" t="e">
        <f t="shared" si="146"/>
        <v>#N/A</v>
      </c>
      <c r="O341" s="19" t="e">
        <f>IF( A341&lt;Forudsætninger!$C$14,(G341/100)*Forudsætninger!$C$13,(Forudsætninger!$C$15/1000)*Forudsætninger!$C$13)</f>
        <v>#N/A</v>
      </c>
      <c r="P341" s="17" t="e" cm="1">
        <f t="array" ref="P341">INDEX('Model tilvækst, slagteform, fe'!$O$9:$O$375,MATCH(MIN(ABS('Model tilvækst, slagteform, fe'!$M$9:$M$375-G341)),ABS('Model tilvækst, slagteform, fe'!$M$9:$M$375-G341),0))*(1+Forudsætninger!$D$80)</f>
        <v>#N/A</v>
      </c>
      <c r="Q341" s="17" t="e">
        <f t="shared" si="147"/>
        <v>#N/A</v>
      </c>
      <c r="R341" s="17" t="e">
        <f t="shared" si="148"/>
        <v>#N/A</v>
      </c>
      <c r="S341" s="2" t="e">
        <f t="shared" si="137"/>
        <v>#N/A</v>
      </c>
      <c r="T341" s="19" t="e">
        <f>(P341)*IF(N341&lt;Forudsætninger!$B$228,IF(N341&lt;Forudsætninger!$B$227,Forudsætninger!$B$225,Forudsætninger!$C$9),Forudsætninger!$C$11)+O341</f>
        <v>#N/A</v>
      </c>
      <c r="U341" s="2" t="e">
        <f>Forudsætninger!$D$68+((K341-(Forudsætninger!$D$84)))*0.01</f>
        <v>#N/A</v>
      </c>
      <c r="V341" s="2" t="e">
        <f>U341+Forudsætninger!$D$69</f>
        <v>#N/A</v>
      </c>
      <c r="W341" t="e">
        <f t="shared" si="138"/>
        <v>#N/A</v>
      </c>
      <c r="X341">
        <f>IF(A341+Forudsætninger!$D$60&gt;248,IF(A341+Forudsætninger!$D$60&lt;365,IF(K341&gt;180,IF(K341&lt;260,1,0),0),0),0)</f>
        <v>0</v>
      </c>
      <c r="Y341" s="22">
        <f>IF(X341=0,0,IF('Vækstfunktion, kry tyr'!A341&lt;Forudsætninger!$D$66,Forudsætninger!$D$67+(('Vækstfunktion, kry tyr'!A341-Forudsætninger!$D$66)/7)*Forudsætninger!$D$64,Forudsætninger!$D$67))</f>
        <v>0</v>
      </c>
      <c r="Z341" s="19" t="e">
        <f t="shared" si="152"/>
        <v>#N/A</v>
      </c>
      <c r="AA341" s="19">
        <f>Forudsætninger!$D$62+Forudsætninger!$C$16</f>
        <v>2055</v>
      </c>
      <c r="AB341" s="19" t="e">
        <f>IF(K341&gt;Forudsætninger!$C$37,IF(K341&gt;Forudsætninger!$C$38,IF(K341&gt;Forudsætninger!$C$39,Forudsætninger!$E$39,Forudsætninger!$E$38+Forudsætninger!$F$39*(K341-Forudsætninger!$C$38)),Forudsætninger!$E$37+Forudsætninger!$F$38*(K341-Forudsætninger!$C$37)),Forudsætninger!$E$37)+IF(K341&gt;Forudsætninger!$C$39,Forudsætninger!$G$39,IF(K341&gt;Forudsætninger!$C$38,Forudsætninger!$G$38+Forudsætninger!$H$39*(K341-Forudsætninger!$C$38),IF(K341&gt;Forudsætninger!$C$37,Forudsætninger!$G$37+Forudsætninger!$H$38*(K341-Forudsætninger!$C$37),Forudsætninger!$G$37)))*(U341-Forudsætninger!$H$37)</f>
        <v>#N/A</v>
      </c>
      <c r="AC341" s="19" t="e">
        <f>IF(K341&gt;Forudsætninger!$C$42,IF(K341&gt;Forudsætninger!$C$43,IF(K341&gt;Forudsætninger!$C$44,Forudsætninger!$E$44,Forudsætninger!$E$43+Forudsætninger!$F$44*(K341-Forudsætninger!$C$43)),Forudsætninger!$E$42+Forudsætninger!$F$43*(K341-Forudsætninger!$C$42)),Forudsætninger!$E$42)+IF(K341&gt;Forudsætninger!$C$44,Forudsætninger!$G$44,IF(K341&gt;Forudsætninger!$C$43,Forudsætninger!$G$43+Forudsætninger!$H$44*(K341-Forudsætninger!$C$43),IF(K341&gt;Forudsætninger!$C$42,Forudsætninger!$G$42+Forudsætninger!$H$43*(K341-Forudsætninger!$C$42),Forudsætninger!$G$42)))*(V341-Forudsætninger!$H$42)</f>
        <v>#N/A</v>
      </c>
      <c r="AD341" s="19" t="e">
        <f t="shared" si="139"/>
        <v>#N/A</v>
      </c>
      <c r="AE341" s="19" t="e">
        <f t="shared" si="140"/>
        <v>#N/A</v>
      </c>
      <c r="AF341" t="e">
        <f>IF(G341&lt;=Forudsætninger!$C$97,Forudsætninger!$C$98,(IF(G341&lt;=Forudsætninger!$D$97,Forudsætninger!$D$98,IF(G341&lt;=Forudsætninger!$E$97,Forudsætninger!$E$98,IF(G341&lt;=Forudsætninger!$F$97,Forudsætninger!$F$98,IF(G341&lt;=Forudsætninger!$G$97,Forudsætninger!$G$98,IF(G341&lt;=Forudsætninger!$H$97,Forudsætninger!$H$98,IF(G341&lt;=Forudsætninger!$I$97,Forudsætninger!$I$98,Forudsætninger!$I$98))))))))</f>
        <v>#N/A</v>
      </c>
      <c r="AG341" s="1" t="e">
        <f t="shared" si="149"/>
        <v>#N/A</v>
      </c>
      <c r="AH341" s="1" t="e">
        <f t="shared" si="153"/>
        <v>#N/A</v>
      </c>
      <c r="AI341" s="1" t="e">
        <f t="shared" si="141"/>
        <v>#N/A</v>
      </c>
      <c r="AJ341" s="20" t="e">
        <f>+(W341*Forudsætninger!$C$12)</f>
        <v>#N/A</v>
      </c>
      <c r="AK341" s="20">
        <f>Forudsætninger!$C$17</f>
        <v>250</v>
      </c>
      <c r="AL341" s="20">
        <f>IF(A341&lt;92,Forudsætninger!$C$20,Forudsætninger!$C$21)</f>
        <v>1.0566762728146013</v>
      </c>
      <c r="AM341" s="20">
        <f t="shared" si="150"/>
        <v>626.71873933743893</v>
      </c>
      <c r="AN341" s="19">
        <f>IFERROR(AD341+AJ341-AA341-Z341-AK341-AM341-Forudsætninger!$D$75,-99999)</f>
        <v>-99999</v>
      </c>
      <c r="AO341" s="57">
        <f>IFERROR(AN341/(A341+Forudsætninger!$D$74),-99999)</f>
        <v>-294.98230088495575</v>
      </c>
      <c r="AP341" s="19">
        <f>IFERROR(((365/(A341+Forudsætninger!$D$74))*AN341)/(AI341+Forudsætninger!$D$73),-99999)</f>
        <v>-99999</v>
      </c>
      <c r="AQ341" s="18">
        <f t="shared" si="154"/>
        <v>339</v>
      </c>
      <c r="AR341" s="18" t="e">
        <f t="shared" si="155"/>
        <v>#N/A</v>
      </c>
      <c r="AS341" s="50">
        <f t="shared" si="156"/>
        <v>12.3</v>
      </c>
      <c r="AT341" s="50">
        <f t="shared" si="157"/>
        <v>0</v>
      </c>
      <c r="AU341" s="50">
        <f t="shared" si="158"/>
        <v>0.87272870084308352</v>
      </c>
      <c r="AV341" s="2">
        <f t="shared" si="159"/>
        <v>0</v>
      </c>
      <c r="AW341" s="16">
        <f t="shared" si="151"/>
        <v>-293.13357304030257</v>
      </c>
      <c r="AZ341" s="16"/>
      <c r="BA341" s="2"/>
    </row>
    <row r="342" spans="1:53" x14ac:dyDescent="0.25">
      <c r="A342">
        <v>340</v>
      </c>
      <c r="B342" s="1">
        <f>ROUND((A342+Forudsætninger!$D$60)/30.4,1)</f>
        <v>12.3</v>
      </c>
      <c r="C342" s="1" t="e">
        <f>VLOOKUP((A342+Forudsætninger!$D$60),'Model tilvækst, slagteform, fe'!A:C,3,FALSE)</f>
        <v>#N/A</v>
      </c>
      <c r="D342" s="3" t="e">
        <f t="shared" si="160"/>
        <v>#N/A</v>
      </c>
      <c r="E342" s="3" t="e">
        <f>(1+Forudsætninger!$D$78)*C342</f>
        <v>#N/A</v>
      </c>
      <c r="F342" s="2" t="e">
        <f t="shared" si="142"/>
        <v>#N/A</v>
      </c>
      <c r="G342" s="1" t="e">
        <f t="shared" si="135"/>
        <v>#N/A</v>
      </c>
      <c r="H342" s="3" t="e">
        <f t="shared" si="143"/>
        <v>#N/A</v>
      </c>
      <c r="I342" s="3" t="e">
        <f t="shared" si="144"/>
        <v>#N/A</v>
      </c>
      <c r="J342" s="1" t="e">
        <f>VLOOKUP((A342+Forudsætninger!$D$60),'Model tilvækst, slagteform, fe'!G:K,3,FALSE)*(1+Forudsætninger!$D$79)</f>
        <v>#N/A</v>
      </c>
      <c r="K342" s="17" t="e">
        <f t="shared" si="136"/>
        <v>#N/A</v>
      </c>
      <c r="L342" s="17" t="e">
        <f t="shared" si="145"/>
        <v>#N/A</v>
      </c>
      <c r="M342" s="3" t="e">
        <f>((K342-(('Model tilvækst, slagteform, fe'!$I$9/100)*'Model tilvækst, slagteform, fe'!$C$9))*1000/(A342+Forudsætninger!$D$60))</f>
        <v>#N/A</v>
      </c>
      <c r="N342" s="17" t="e">
        <f t="shared" si="146"/>
        <v>#N/A</v>
      </c>
      <c r="O342" s="19" t="e">
        <f>IF( A342&lt;Forudsætninger!$C$14,(G342/100)*Forudsætninger!$C$13,(Forudsætninger!$C$15/1000)*Forudsætninger!$C$13)</f>
        <v>#N/A</v>
      </c>
      <c r="P342" s="17" t="e" cm="1">
        <f t="array" ref="P342">INDEX('Model tilvækst, slagteform, fe'!$O$9:$O$375,MATCH(MIN(ABS('Model tilvækst, slagteform, fe'!$M$9:$M$375-G342)),ABS('Model tilvækst, slagteform, fe'!$M$9:$M$375-G342),0))*(1+Forudsætninger!$D$80)</f>
        <v>#N/A</v>
      </c>
      <c r="Q342" s="17" t="e">
        <f t="shared" si="147"/>
        <v>#N/A</v>
      </c>
      <c r="R342" s="17" t="e">
        <f t="shared" si="148"/>
        <v>#N/A</v>
      </c>
      <c r="S342" s="2" t="e">
        <f t="shared" si="137"/>
        <v>#N/A</v>
      </c>
      <c r="T342" s="19" t="e">
        <f>(P342)*IF(N342&lt;Forudsætninger!$B$228,IF(N342&lt;Forudsætninger!$B$227,Forudsætninger!$B$225,Forudsætninger!$C$9),Forudsætninger!$C$11)+O342</f>
        <v>#N/A</v>
      </c>
      <c r="U342" s="2" t="e">
        <f>Forudsætninger!$D$68+((K342-(Forudsætninger!$D$84)))*0.01</f>
        <v>#N/A</v>
      </c>
      <c r="V342" s="2" t="e">
        <f>U342+Forudsætninger!$D$69</f>
        <v>#N/A</v>
      </c>
      <c r="W342" t="e">
        <f t="shared" si="138"/>
        <v>#N/A</v>
      </c>
      <c r="X342">
        <f>IF(A342+Forudsætninger!$D$60&gt;248,IF(A342+Forudsætninger!$D$60&lt;365,IF(K342&gt;180,IF(K342&lt;260,1,0),0),0),0)</f>
        <v>0</v>
      </c>
      <c r="Y342" s="22">
        <f>IF(X342=0,0,IF('Vækstfunktion, kry tyr'!A342&lt;Forudsætninger!$D$66,Forudsætninger!$D$67+(('Vækstfunktion, kry tyr'!A342-Forudsætninger!$D$66)/7)*Forudsætninger!$D$64,Forudsætninger!$D$67))</f>
        <v>0</v>
      </c>
      <c r="Z342" s="19" t="e">
        <f t="shared" si="152"/>
        <v>#N/A</v>
      </c>
      <c r="AA342" s="19">
        <f>Forudsætninger!$D$62+Forudsætninger!$C$16</f>
        <v>2055</v>
      </c>
      <c r="AB342" s="19" t="e">
        <f>IF(K342&gt;Forudsætninger!$C$37,IF(K342&gt;Forudsætninger!$C$38,IF(K342&gt;Forudsætninger!$C$39,Forudsætninger!$E$39,Forudsætninger!$E$38+Forudsætninger!$F$39*(K342-Forudsætninger!$C$38)),Forudsætninger!$E$37+Forudsætninger!$F$38*(K342-Forudsætninger!$C$37)),Forudsætninger!$E$37)+IF(K342&gt;Forudsætninger!$C$39,Forudsætninger!$G$39,IF(K342&gt;Forudsætninger!$C$38,Forudsætninger!$G$38+Forudsætninger!$H$39*(K342-Forudsætninger!$C$38),IF(K342&gt;Forudsætninger!$C$37,Forudsætninger!$G$37+Forudsætninger!$H$38*(K342-Forudsætninger!$C$37),Forudsætninger!$G$37)))*(U342-Forudsætninger!$H$37)</f>
        <v>#N/A</v>
      </c>
      <c r="AC342" s="19" t="e">
        <f>IF(K342&gt;Forudsætninger!$C$42,IF(K342&gt;Forudsætninger!$C$43,IF(K342&gt;Forudsætninger!$C$44,Forudsætninger!$E$44,Forudsætninger!$E$43+Forudsætninger!$F$44*(K342-Forudsætninger!$C$43)),Forudsætninger!$E$42+Forudsætninger!$F$43*(K342-Forudsætninger!$C$42)),Forudsætninger!$E$42)+IF(K342&gt;Forudsætninger!$C$44,Forudsætninger!$G$44,IF(K342&gt;Forudsætninger!$C$43,Forudsætninger!$G$43+Forudsætninger!$H$44*(K342-Forudsætninger!$C$43),IF(K342&gt;Forudsætninger!$C$42,Forudsætninger!$G$42+Forudsætninger!$H$43*(K342-Forudsætninger!$C$42),Forudsætninger!$G$42)))*(V342-Forudsætninger!$H$42)</f>
        <v>#N/A</v>
      </c>
      <c r="AD342" s="19" t="e">
        <f t="shared" si="139"/>
        <v>#N/A</v>
      </c>
      <c r="AE342" s="19" t="e">
        <f t="shared" si="140"/>
        <v>#N/A</v>
      </c>
      <c r="AF342" t="e">
        <f>IF(G342&lt;=Forudsætninger!$C$97,Forudsætninger!$C$98,(IF(G342&lt;=Forudsætninger!$D$97,Forudsætninger!$D$98,IF(G342&lt;=Forudsætninger!$E$97,Forudsætninger!$E$98,IF(G342&lt;=Forudsætninger!$F$97,Forudsætninger!$F$98,IF(G342&lt;=Forudsætninger!$G$97,Forudsætninger!$G$98,IF(G342&lt;=Forudsætninger!$H$97,Forudsætninger!$H$98,IF(G342&lt;=Forudsætninger!$I$97,Forudsætninger!$I$98,Forudsætninger!$I$98))))))))</f>
        <v>#N/A</v>
      </c>
      <c r="AG342" s="1" t="e">
        <f t="shared" si="149"/>
        <v>#N/A</v>
      </c>
      <c r="AH342" s="1" t="e">
        <f t="shared" si="153"/>
        <v>#N/A</v>
      </c>
      <c r="AI342" s="1" t="e">
        <f t="shared" si="141"/>
        <v>#N/A</v>
      </c>
      <c r="AJ342" s="20" t="e">
        <f>+(W342*Forudsætninger!$C$12)</f>
        <v>#N/A</v>
      </c>
      <c r="AK342" s="20">
        <f>Forudsætninger!$C$17</f>
        <v>250</v>
      </c>
      <c r="AL342" s="20">
        <f>IF(A342&lt;92,Forudsætninger!$C$20,Forudsætninger!$C$21)</f>
        <v>1.0566762728146013</v>
      </c>
      <c r="AM342" s="20">
        <f t="shared" si="150"/>
        <v>627.7754156102535</v>
      </c>
      <c r="AN342" s="19">
        <f>IFERROR(AD342+AJ342-AA342-Z342-AK342-AM342-Forudsætninger!$D$75,-99999)</f>
        <v>-99999</v>
      </c>
      <c r="AO342" s="57">
        <f>IFERROR(AN342/(A342+Forudsætninger!$D$74),-99999)</f>
        <v>-294.11470588235295</v>
      </c>
      <c r="AP342" s="19">
        <f>IFERROR(((365/(A342+Forudsætninger!$D$74))*AN342)/(AI342+Forudsætninger!$D$73),-99999)</f>
        <v>-99999</v>
      </c>
      <c r="AQ342" s="18">
        <f t="shared" si="154"/>
        <v>340</v>
      </c>
      <c r="AR342" s="18" t="e">
        <f t="shared" si="155"/>
        <v>#N/A</v>
      </c>
      <c r="AS342" s="50">
        <f t="shared" si="156"/>
        <v>12.3</v>
      </c>
      <c r="AT342" s="50">
        <f t="shared" si="157"/>
        <v>0</v>
      </c>
      <c r="AU342" s="50">
        <f t="shared" si="158"/>
        <v>0.86759500260279765</v>
      </c>
      <c r="AV342" s="2">
        <f t="shared" si="159"/>
        <v>0</v>
      </c>
      <c r="AW342" s="16">
        <f t="shared" si="151"/>
        <v>-292.26830760114632</v>
      </c>
      <c r="AZ342" s="16"/>
      <c r="BA342" s="2"/>
    </row>
    <row r="343" spans="1:53" x14ac:dyDescent="0.25">
      <c r="A343">
        <v>341</v>
      </c>
      <c r="B343" s="1">
        <f>ROUND((A343+Forudsætninger!$D$60)/30.4,1)</f>
        <v>12.3</v>
      </c>
      <c r="C343" s="1" t="e">
        <f>VLOOKUP((A343+Forudsætninger!$D$60),'Model tilvækst, slagteform, fe'!A:C,3,FALSE)</f>
        <v>#N/A</v>
      </c>
      <c r="D343" s="3" t="e">
        <f t="shared" si="160"/>
        <v>#N/A</v>
      </c>
      <c r="E343" s="3" t="e">
        <f>(1+Forudsætninger!$D$78)*C343</f>
        <v>#N/A</v>
      </c>
      <c r="F343" s="2" t="e">
        <f t="shared" si="142"/>
        <v>#N/A</v>
      </c>
      <c r="G343" s="1" t="e">
        <f t="shared" si="135"/>
        <v>#N/A</v>
      </c>
      <c r="H343" s="3" t="e">
        <f t="shared" si="143"/>
        <v>#N/A</v>
      </c>
      <c r="I343" s="3" t="e">
        <f t="shared" si="144"/>
        <v>#N/A</v>
      </c>
      <c r="J343" s="1" t="e">
        <f>VLOOKUP((A343+Forudsætninger!$D$60),'Model tilvækst, slagteform, fe'!G:K,3,FALSE)*(1+Forudsætninger!$D$79)</f>
        <v>#N/A</v>
      </c>
      <c r="K343" s="17" t="e">
        <f t="shared" si="136"/>
        <v>#N/A</v>
      </c>
      <c r="L343" s="17" t="e">
        <f t="shared" si="145"/>
        <v>#N/A</v>
      </c>
      <c r="M343" s="3" t="e">
        <f>((K343-(('Model tilvækst, slagteform, fe'!$I$9/100)*'Model tilvækst, slagteform, fe'!$C$9))*1000/(A343+Forudsætninger!$D$60))</f>
        <v>#N/A</v>
      </c>
      <c r="N343" s="17" t="e">
        <f t="shared" si="146"/>
        <v>#N/A</v>
      </c>
      <c r="O343" s="19" t="e">
        <f>IF( A343&lt;Forudsætninger!$C$14,(G343/100)*Forudsætninger!$C$13,(Forudsætninger!$C$15/1000)*Forudsætninger!$C$13)</f>
        <v>#N/A</v>
      </c>
      <c r="P343" s="17" t="e" cm="1">
        <f t="array" ref="P343">INDEX('Model tilvækst, slagteform, fe'!$O$9:$O$375,MATCH(MIN(ABS('Model tilvækst, slagteform, fe'!$M$9:$M$375-G343)),ABS('Model tilvækst, slagteform, fe'!$M$9:$M$375-G343),0))*(1+Forudsætninger!$D$80)</f>
        <v>#N/A</v>
      </c>
      <c r="Q343" s="17" t="e">
        <f t="shared" si="147"/>
        <v>#N/A</v>
      </c>
      <c r="R343" s="17" t="e">
        <f t="shared" si="148"/>
        <v>#N/A</v>
      </c>
      <c r="S343" s="2" t="e">
        <f t="shared" si="137"/>
        <v>#N/A</v>
      </c>
      <c r="T343" s="19" t="e">
        <f>(P343)*IF(N343&lt;Forudsætninger!$B$228,IF(N343&lt;Forudsætninger!$B$227,Forudsætninger!$B$225,Forudsætninger!$C$9),Forudsætninger!$C$11)+O343</f>
        <v>#N/A</v>
      </c>
      <c r="U343" s="2" t="e">
        <f>Forudsætninger!$D$68+((K343-(Forudsætninger!$D$84)))*0.01</f>
        <v>#N/A</v>
      </c>
      <c r="V343" s="2" t="e">
        <f>U343+Forudsætninger!$D$69</f>
        <v>#N/A</v>
      </c>
      <c r="W343" t="e">
        <f t="shared" si="138"/>
        <v>#N/A</v>
      </c>
      <c r="X343">
        <f>IF(A343+Forudsætninger!$D$60&gt;248,IF(A343+Forudsætninger!$D$60&lt;365,IF(K343&gt;180,IF(K343&lt;260,1,0),0),0),0)</f>
        <v>0</v>
      </c>
      <c r="Y343" s="22">
        <f>IF(X343=0,0,IF('Vækstfunktion, kry tyr'!A343&lt;Forudsætninger!$D$66,Forudsætninger!$D$67+(('Vækstfunktion, kry tyr'!A343-Forudsætninger!$D$66)/7)*Forudsætninger!$D$64,Forudsætninger!$D$67))</f>
        <v>0</v>
      </c>
      <c r="Z343" s="19" t="e">
        <f t="shared" si="152"/>
        <v>#N/A</v>
      </c>
      <c r="AA343" s="19">
        <f>Forudsætninger!$D$62+Forudsætninger!$C$16</f>
        <v>2055</v>
      </c>
      <c r="AB343" s="19" t="e">
        <f>IF(K343&gt;Forudsætninger!$C$37,IF(K343&gt;Forudsætninger!$C$38,IF(K343&gt;Forudsætninger!$C$39,Forudsætninger!$E$39,Forudsætninger!$E$38+Forudsætninger!$F$39*(K343-Forudsætninger!$C$38)),Forudsætninger!$E$37+Forudsætninger!$F$38*(K343-Forudsætninger!$C$37)),Forudsætninger!$E$37)+IF(K343&gt;Forudsætninger!$C$39,Forudsætninger!$G$39,IF(K343&gt;Forudsætninger!$C$38,Forudsætninger!$G$38+Forudsætninger!$H$39*(K343-Forudsætninger!$C$38),IF(K343&gt;Forudsætninger!$C$37,Forudsætninger!$G$37+Forudsætninger!$H$38*(K343-Forudsætninger!$C$37),Forudsætninger!$G$37)))*(U343-Forudsætninger!$H$37)</f>
        <v>#N/A</v>
      </c>
      <c r="AC343" s="19" t="e">
        <f>IF(K343&gt;Forudsætninger!$C$42,IF(K343&gt;Forudsætninger!$C$43,IF(K343&gt;Forudsætninger!$C$44,Forudsætninger!$E$44,Forudsætninger!$E$43+Forudsætninger!$F$44*(K343-Forudsætninger!$C$43)),Forudsætninger!$E$42+Forudsætninger!$F$43*(K343-Forudsætninger!$C$42)),Forudsætninger!$E$42)+IF(K343&gt;Forudsætninger!$C$44,Forudsætninger!$G$44,IF(K343&gt;Forudsætninger!$C$43,Forudsætninger!$G$43+Forudsætninger!$H$44*(K343-Forudsætninger!$C$43),IF(K343&gt;Forudsætninger!$C$42,Forudsætninger!$G$42+Forudsætninger!$H$43*(K343-Forudsætninger!$C$42),Forudsætninger!$G$42)))*(V343-Forudsætninger!$H$42)</f>
        <v>#N/A</v>
      </c>
      <c r="AD343" s="19" t="e">
        <f t="shared" si="139"/>
        <v>#N/A</v>
      </c>
      <c r="AE343" s="19" t="e">
        <f t="shared" si="140"/>
        <v>#N/A</v>
      </c>
      <c r="AF343" t="e">
        <f>IF(G343&lt;=Forudsætninger!$C$97,Forudsætninger!$C$98,(IF(G343&lt;=Forudsætninger!$D$97,Forudsætninger!$D$98,IF(G343&lt;=Forudsætninger!$E$97,Forudsætninger!$E$98,IF(G343&lt;=Forudsætninger!$F$97,Forudsætninger!$F$98,IF(G343&lt;=Forudsætninger!$G$97,Forudsætninger!$G$98,IF(G343&lt;=Forudsætninger!$H$97,Forudsætninger!$H$98,IF(G343&lt;=Forudsætninger!$I$97,Forudsætninger!$I$98,Forudsætninger!$I$98))))))))</f>
        <v>#N/A</v>
      </c>
      <c r="AG343" s="1" t="e">
        <f t="shared" si="149"/>
        <v>#N/A</v>
      </c>
      <c r="AH343" s="1" t="e">
        <f t="shared" si="153"/>
        <v>#N/A</v>
      </c>
      <c r="AI343" s="1" t="e">
        <f t="shared" si="141"/>
        <v>#N/A</v>
      </c>
      <c r="AJ343" s="20" t="e">
        <f>+(W343*Forudsætninger!$C$12)</f>
        <v>#N/A</v>
      </c>
      <c r="AK343" s="20">
        <f>Forudsætninger!$C$17</f>
        <v>250</v>
      </c>
      <c r="AL343" s="20">
        <f>IF(A343&lt;92,Forudsætninger!$C$20,Forudsætninger!$C$21)</f>
        <v>1.0566762728146013</v>
      </c>
      <c r="AM343" s="20">
        <f t="shared" si="150"/>
        <v>628.83209188306807</v>
      </c>
      <c r="AN343" s="19">
        <f>IFERROR(AD343+AJ343-AA343-Z343-AK343-AM343-Forudsætninger!$D$75,-99999)</f>
        <v>-99999</v>
      </c>
      <c r="AO343" s="57">
        <f>IFERROR(AN343/(A343+Forudsætninger!$D$74),-99999)</f>
        <v>-293.25219941348973</v>
      </c>
      <c r="AP343" s="19">
        <f>IFERROR(((365/(A343+Forudsætninger!$D$74))*AN343)/(AI343+Forudsætninger!$D$73),-99999)</f>
        <v>-99999</v>
      </c>
      <c r="AQ343" s="18">
        <f t="shared" si="154"/>
        <v>341</v>
      </c>
      <c r="AR343" s="18" t="e">
        <f t="shared" si="155"/>
        <v>#N/A</v>
      </c>
      <c r="AS343" s="50">
        <f t="shared" si="156"/>
        <v>12.3</v>
      </c>
      <c r="AT343" s="50">
        <f t="shared" si="157"/>
        <v>0</v>
      </c>
      <c r="AU343" s="50">
        <f t="shared" si="158"/>
        <v>0.86250646886321647</v>
      </c>
      <c r="AV343" s="2">
        <f t="shared" si="159"/>
        <v>0</v>
      </c>
      <c r="AW343" s="16">
        <f t="shared" si="151"/>
        <v>-291.40811703260096</v>
      </c>
      <c r="AZ343" s="16"/>
      <c r="BA343" s="2"/>
    </row>
    <row r="344" spans="1:53" x14ac:dyDescent="0.25">
      <c r="A344">
        <v>342</v>
      </c>
      <c r="B344" s="1">
        <f>ROUND((A344+Forudsætninger!$D$60)/30.4,1)</f>
        <v>12.4</v>
      </c>
      <c r="C344" s="1" t="e">
        <f>VLOOKUP((A344+Forudsætninger!$D$60),'Model tilvækst, slagteform, fe'!A:C,3,FALSE)</f>
        <v>#N/A</v>
      </c>
      <c r="D344" s="3" t="e">
        <f t="shared" si="160"/>
        <v>#N/A</v>
      </c>
      <c r="E344" s="3" t="e">
        <f>(1+Forudsætninger!$D$78)*C344</f>
        <v>#N/A</v>
      </c>
      <c r="F344" s="2" t="e">
        <f t="shared" si="142"/>
        <v>#N/A</v>
      </c>
      <c r="G344" s="1" t="e">
        <f t="shared" si="135"/>
        <v>#N/A</v>
      </c>
      <c r="H344" s="3" t="e">
        <f t="shared" si="143"/>
        <v>#N/A</v>
      </c>
      <c r="I344" s="3" t="e">
        <f t="shared" si="144"/>
        <v>#N/A</v>
      </c>
      <c r="J344" s="1" t="e">
        <f>VLOOKUP((A344+Forudsætninger!$D$60),'Model tilvækst, slagteform, fe'!G:K,3,FALSE)*(1+Forudsætninger!$D$79)</f>
        <v>#N/A</v>
      </c>
      <c r="K344" s="17" t="e">
        <f t="shared" si="136"/>
        <v>#N/A</v>
      </c>
      <c r="L344" s="17" t="e">
        <f t="shared" si="145"/>
        <v>#N/A</v>
      </c>
      <c r="M344" s="3" t="e">
        <f>((K344-(('Model tilvækst, slagteform, fe'!$I$9/100)*'Model tilvækst, slagteform, fe'!$C$9))*1000/(A344+Forudsætninger!$D$60))</f>
        <v>#N/A</v>
      </c>
      <c r="N344" s="17" t="e">
        <f t="shared" si="146"/>
        <v>#N/A</v>
      </c>
      <c r="O344" s="19" t="e">
        <f>IF( A344&lt;Forudsætninger!$C$14,(G344/100)*Forudsætninger!$C$13,(Forudsætninger!$C$15/1000)*Forudsætninger!$C$13)</f>
        <v>#N/A</v>
      </c>
      <c r="P344" s="17" t="e" cm="1">
        <f t="array" ref="P344">INDEX('Model tilvækst, slagteform, fe'!$O$9:$O$375,MATCH(MIN(ABS('Model tilvækst, slagteform, fe'!$M$9:$M$375-G344)),ABS('Model tilvækst, slagteform, fe'!$M$9:$M$375-G344),0))*(1+Forudsætninger!$D$80)</f>
        <v>#N/A</v>
      </c>
      <c r="Q344" s="17" t="e">
        <f t="shared" si="147"/>
        <v>#N/A</v>
      </c>
      <c r="R344" s="17" t="e">
        <f t="shared" si="148"/>
        <v>#N/A</v>
      </c>
      <c r="S344" s="2" t="e">
        <f t="shared" si="137"/>
        <v>#N/A</v>
      </c>
      <c r="T344" s="19" t="e">
        <f>(P344)*IF(N344&lt;Forudsætninger!$B$228,IF(N344&lt;Forudsætninger!$B$227,Forudsætninger!$B$225,Forudsætninger!$C$9),Forudsætninger!$C$11)+O344</f>
        <v>#N/A</v>
      </c>
      <c r="U344" s="2" t="e">
        <f>Forudsætninger!$D$68+((K344-(Forudsætninger!$D$84)))*0.01</f>
        <v>#N/A</v>
      </c>
      <c r="V344" s="2" t="e">
        <f>U344+Forudsætninger!$D$69</f>
        <v>#N/A</v>
      </c>
      <c r="W344" t="e">
        <f t="shared" si="138"/>
        <v>#N/A</v>
      </c>
      <c r="X344">
        <f>IF(A344+Forudsætninger!$D$60&gt;248,IF(A344+Forudsætninger!$D$60&lt;365,IF(K344&gt;180,IF(K344&lt;260,1,0),0),0),0)</f>
        <v>0</v>
      </c>
      <c r="Y344" s="22">
        <f>IF(X344=0,0,IF('Vækstfunktion, kry tyr'!A344&lt;Forudsætninger!$D$66,Forudsætninger!$D$67+(('Vækstfunktion, kry tyr'!A344-Forudsætninger!$D$66)/7)*Forudsætninger!$D$64,Forudsætninger!$D$67))</f>
        <v>0</v>
      </c>
      <c r="Z344" s="19" t="e">
        <f t="shared" si="152"/>
        <v>#N/A</v>
      </c>
      <c r="AA344" s="19">
        <f>Forudsætninger!$D$62+Forudsætninger!$C$16</f>
        <v>2055</v>
      </c>
      <c r="AB344" s="19" t="e">
        <f>IF(K344&gt;Forudsætninger!$C$37,IF(K344&gt;Forudsætninger!$C$38,IF(K344&gt;Forudsætninger!$C$39,Forudsætninger!$E$39,Forudsætninger!$E$38+Forudsætninger!$F$39*(K344-Forudsætninger!$C$38)),Forudsætninger!$E$37+Forudsætninger!$F$38*(K344-Forudsætninger!$C$37)),Forudsætninger!$E$37)+IF(K344&gt;Forudsætninger!$C$39,Forudsætninger!$G$39,IF(K344&gt;Forudsætninger!$C$38,Forudsætninger!$G$38+Forudsætninger!$H$39*(K344-Forudsætninger!$C$38),IF(K344&gt;Forudsætninger!$C$37,Forudsætninger!$G$37+Forudsætninger!$H$38*(K344-Forudsætninger!$C$37),Forudsætninger!$G$37)))*(U344-Forudsætninger!$H$37)</f>
        <v>#N/A</v>
      </c>
      <c r="AC344" s="19" t="e">
        <f>IF(K344&gt;Forudsætninger!$C$42,IF(K344&gt;Forudsætninger!$C$43,IF(K344&gt;Forudsætninger!$C$44,Forudsætninger!$E$44,Forudsætninger!$E$43+Forudsætninger!$F$44*(K344-Forudsætninger!$C$43)),Forudsætninger!$E$42+Forudsætninger!$F$43*(K344-Forudsætninger!$C$42)),Forudsætninger!$E$42)+IF(K344&gt;Forudsætninger!$C$44,Forudsætninger!$G$44,IF(K344&gt;Forudsætninger!$C$43,Forudsætninger!$G$43+Forudsætninger!$H$44*(K344-Forudsætninger!$C$43),IF(K344&gt;Forudsætninger!$C$42,Forudsætninger!$G$42+Forudsætninger!$H$43*(K344-Forudsætninger!$C$42),Forudsætninger!$G$42)))*(V344-Forudsætninger!$H$42)</f>
        <v>#N/A</v>
      </c>
      <c r="AD344" s="19" t="e">
        <f t="shared" si="139"/>
        <v>#N/A</v>
      </c>
      <c r="AE344" s="19" t="e">
        <f t="shared" si="140"/>
        <v>#N/A</v>
      </c>
      <c r="AF344" t="e">
        <f>IF(G344&lt;=Forudsætninger!$C$97,Forudsætninger!$C$98,(IF(G344&lt;=Forudsætninger!$D$97,Forudsætninger!$D$98,IF(G344&lt;=Forudsætninger!$E$97,Forudsætninger!$E$98,IF(G344&lt;=Forudsætninger!$F$97,Forudsætninger!$F$98,IF(G344&lt;=Forudsætninger!$G$97,Forudsætninger!$G$98,IF(G344&lt;=Forudsætninger!$H$97,Forudsætninger!$H$98,IF(G344&lt;=Forudsætninger!$I$97,Forudsætninger!$I$98,Forudsætninger!$I$98))))))))</f>
        <v>#N/A</v>
      </c>
      <c r="AG344" s="1" t="e">
        <f t="shared" si="149"/>
        <v>#N/A</v>
      </c>
      <c r="AH344" s="1" t="e">
        <f t="shared" si="153"/>
        <v>#N/A</v>
      </c>
      <c r="AI344" s="1" t="e">
        <f t="shared" si="141"/>
        <v>#N/A</v>
      </c>
      <c r="AJ344" s="20" t="e">
        <f>+(W344*Forudsætninger!$C$12)</f>
        <v>#N/A</v>
      </c>
      <c r="AK344" s="20">
        <f>Forudsætninger!$C$17</f>
        <v>250</v>
      </c>
      <c r="AL344" s="20">
        <f>IF(A344&lt;92,Forudsætninger!$C$20,Forudsætninger!$C$21)</f>
        <v>1.0566762728146013</v>
      </c>
      <c r="AM344" s="20">
        <f t="shared" si="150"/>
        <v>629.88876815588264</v>
      </c>
      <c r="AN344" s="19">
        <f>IFERROR(AD344+AJ344-AA344-Z344-AK344-AM344-Forudsætninger!$D$75,-99999)</f>
        <v>-99999</v>
      </c>
      <c r="AO344" s="57">
        <f>IFERROR(AN344/(A344+Forudsætninger!$D$74),-99999)</f>
        <v>-292.39473684210526</v>
      </c>
      <c r="AP344" s="19">
        <f>IFERROR(((365/(A344+Forudsætninger!$D$74))*AN344)/(AI344+Forudsætninger!$D$73),-99999)</f>
        <v>-99999</v>
      </c>
      <c r="AQ344" s="18">
        <f t="shared" si="154"/>
        <v>342</v>
      </c>
      <c r="AR344" s="18" t="e">
        <f t="shared" si="155"/>
        <v>#N/A</v>
      </c>
      <c r="AS344" s="50">
        <f t="shared" si="156"/>
        <v>12.4</v>
      </c>
      <c r="AT344" s="50">
        <f t="shared" si="157"/>
        <v>0</v>
      </c>
      <c r="AU344" s="50">
        <f t="shared" si="158"/>
        <v>0.8574625713844739</v>
      </c>
      <c r="AV344" s="2">
        <f t="shared" si="159"/>
        <v>0</v>
      </c>
      <c r="AW344" s="16">
        <f t="shared" si="151"/>
        <v>-290.55295681825766</v>
      </c>
      <c r="AZ344" s="16"/>
      <c r="BA344" s="2"/>
    </row>
    <row r="345" spans="1:53" x14ac:dyDescent="0.25">
      <c r="A345">
        <v>343</v>
      </c>
      <c r="B345" s="1">
        <f>ROUND((A345+Forudsætninger!$D$60)/30.4,1)</f>
        <v>12.4</v>
      </c>
      <c r="C345" s="1" t="e">
        <f>VLOOKUP((A345+Forudsætninger!$D$60),'Model tilvækst, slagteform, fe'!A:C,3,FALSE)</f>
        <v>#N/A</v>
      </c>
      <c r="D345" s="3" t="e">
        <f t="shared" si="160"/>
        <v>#N/A</v>
      </c>
      <c r="E345" s="3" t="e">
        <f>(1+Forudsætninger!$D$78)*C345</f>
        <v>#N/A</v>
      </c>
      <c r="F345" s="2" t="e">
        <f t="shared" si="142"/>
        <v>#N/A</v>
      </c>
      <c r="G345" s="1" t="e">
        <f t="shared" si="135"/>
        <v>#N/A</v>
      </c>
      <c r="H345" s="3" t="e">
        <f t="shared" si="143"/>
        <v>#N/A</v>
      </c>
      <c r="I345" s="3" t="e">
        <f t="shared" si="144"/>
        <v>#N/A</v>
      </c>
      <c r="J345" s="1" t="e">
        <f>VLOOKUP((A345+Forudsætninger!$D$60),'Model tilvækst, slagteform, fe'!G:K,3,FALSE)*(1+Forudsætninger!$D$79)</f>
        <v>#N/A</v>
      </c>
      <c r="K345" s="17" t="e">
        <f t="shared" si="136"/>
        <v>#N/A</v>
      </c>
      <c r="L345" s="17" t="e">
        <f t="shared" si="145"/>
        <v>#N/A</v>
      </c>
      <c r="M345" s="3" t="e">
        <f>((K345-(('Model tilvækst, slagteform, fe'!$I$9/100)*'Model tilvækst, slagteform, fe'!$C$9))*1000/(A345+Forudsætninger!$D$60))</f>
        <v>#N/A</v>
      </c>
      <c r="N345" s="17" t="e">
        <f t="shared" si="146"/>
        <v>#N/A</v>
      </c>
      <c r="O345" s="19" t="e">
        <f>IF( A345&lt;Forudsætninger!$C$14,(G345/100)*Forudsætninger!$C$13,(Forudsætninger!$C$15/1000)*Forudsætninger!$C$13)</f>
        <v>#N/A</v>
      </c>
      <c r="P345" s="17" t="e" cm="1">
        <f t="array" ref="P345">INDEX('Model tilvækst, slagteform, fe'!$O$9:$O$375,MATCH(MIN(ABS('Model tilvækst, slagteform, fe'!$M$9:$M$375-G345)),ABS('Model tilvækst, slagteform, fe'!$M$9:$M$375-G345),0))*(1+Forudsætninger!$D$80)</f>
        <v>#N/A</v>
      </c>
      <c r="Q345" s="17" t="e">
        <f t="shared" si="147"/>
        <v>#N/A</v>
      </c>
      <c r="R345" s="17" t="e">
        <f t="shared" si="148"/>
        <v>#N/A</v>
      </c>
      <c r="S345" s="2" t="e">
        <f t="shared" si="137"/>
        <v>#N/A</v>
      </c>
      <c r="T345" s="19" t="e">
        <f>(P345)*IF(N345&lt;Forudsætninger!$B$228,IF(N345&lt;Forudsætninger!$B$227,Forudsætninger!$B$225,Forudsætninger!$C$9),Forudsætninger!$C$11)+O345</f>
        <v>#N/A</v>
      </c>
      <c r="U345" s="2" t="e">
        <f>Forudsætninger!$D$68+((K345-(Forudsætninger!$D$84)))*0.01</f>
        <v>#N/A</v>
      </c>
      <c r="V345" s="2" t="e">
        <f>U345+Forudsætninger!$D$69</f>
        <v>#N/A</v>
      </c>
      <c r="W345" t="e">
        <f t="shared" si="138"/>
        <v>#N/A</v>
      </c>
      <c r="X345">
        <f>IF(A345+Forudsætninger!$D$60&gt;248,IF(A345+Forudsætninger!$D$60&lt;365,IF(K345&gt;180,IF(K345&lt;260,1,0),0),0),0)</f>
        <v>0</v>
      </c>
      <c r="Y345" s="22">
        <f>IF(X345=0,0,IF('Vækstfunktion, kry tyr'!A345&lt;Forudsætninger!$D$66,Forudsætninger!$D$67+(('Vækstfunktion, kry tyr'!A345-Forudsætninger!$D$66)/7)*Forudsætninger!$D$64,Forudsætninger!$D$67))</f>
        <v>0</v>
      </c>
      <c r="Z345" s="19" t="e">
        <f t="shared" si="152"/>
        <v>#N/A</v>
      </c>
      <c r="AA345" s="19">
        <f>Forudsætninger!$D$62+Forudsætninger!$C$16</f>
        <v>2055</v>
      </c>
      <c r="AB345" s="19" t="e">
        <f>IF(K345&gt;Forudsætninger!$C$37,IF(K345&gt;Forudsætninger!$C$38,IF(K345&gt;Forudsætninger!$C$39,Forudsætninger!$E$39,Forudsætninger!$E$38+Forudsætninger!$F$39*(K345-Forudsætninger!$C$38)),Forudsætninger!$E$37+Forudsætninger!$F$38*(K345-Forudsætninger!$C$37)),Forudsætninger!$E$37)+IF(K345&gt;Forudsætninger!$C$39,Forudsætninger!$G$39,IF(K345&gt;Forudsætninger!$C$38,Forudsætninger!$G$38+Forudsætninger!$H$39*(K345-Forudsætninger!$C$38),IF(K345&gt;Forudsætninger!$C$37,Forudsætninger!$G$37+Forudsætninger!$H$38*(K345-Forudsætninger!$C$37),Forudsætninger!$G$37)))*(U345-Forudsætninger!$H$37)</f>
        <v>#N/A</v>
      </c>
      <c r="AC345" s="19" t="e">
        <f>IF(K345&gt;Forudsætninger!$C$42,IF(K345&gt;Forudsætninger!$C$43,IF(K345&gt;Forudsætninger!$C$44,Forudsætninger!$E$44,Forudsætninger!$E$43+Forudsætninger!$F$44*(K345-Forudsætninger!$C$43)),Forudsætninger!$E$42+Forudsætninger!$F$43*(K345-Forudsætninger!$C$42)),Forudsætninger!$E$42)+IF(K345&gt;Forudsætninger!$C$44,Forudsætninger!$G$44,IF(K345&gt;Forudsætninger!$C$43,Forudsætninger!$G$43+Forudsætninger!$H$44*(K345-Forudsætninger!$C$43),IF(K345&gt;Forudsætninger!$C$42,Forudsætninger!$G$42+Forudsætninger!$H$43*(K345-Forudsætninger!$C$42),Forudsætninger!$G$42)))*(V345-Forudsætninger!$H$42)</f>
        <v>#N/A</v>
      </c>
      <c r="AD345" s="19" t="e">
        <f t="shared" si="139"/>
        <v>#N/A</v>
      </c>
      <c r="AE345" s="19" t="e">
        <f t="shared" si="140"/>
        <v>#N/A</v>
      </c>
      <c r="AF345" t="e">
        <f>IF(G345&lt;=Forudsætninger!$C$97,Forudsætninger!$C$98,(IF(G345&lt;=Forudsætninger!$D$97,Forudsætninger!$D$98,IF(G345&lt;=Forudsætninger!$E$97,Forudsætninger!$E$98,IF(G345&lt;=Forudsætninger!$F$97,Forudsætninger!$F$98,IF(G345&lt;=Forudsætninger!$G$97,Forudsætninger!$G$98,IF(G345&lt;=Forudsætninger!$H$97,Forudsætninger!$H$98,IF(G345&lt;=Forudsætninger!$I$97,Forudsætninger!$I$98,Forudsætninger!$I$98))))))))</f>
        <v>#N/A</v>
      </c>
      <c r="AG345" s="1" t="e">
        <f t="shared" si="149"/>
        <v>#N/A</v>
      </c>
      <c r="AH345" s="1" t="e">
        <f t="shared" si="153"/>
        <v>#N/A</v>
      </c>
      <c r="AI345" s="1" t="e">
        <f t="shared" si="141"/>
        <v>#N/A</v>
      </c>
      <c r="AJ345" s="20" t="e">
        <f>+(W345*Forudsætninger!$C$12)</f>
        <v>#N/A</v>
      </c>
      <c r="AK345" s="20">
        <f>Forudsætninger!$C$17</f>
        <v>250</v>
      </c>
      <c r="AL345" s="20">
        <f>IF(A345&lt;92,Forudsætninger!$C$20,Forudsætninger!$C$21)</f>
        <v>1.0566762728146013</v>
      </c>
      <c r="AM345" s="20">
        <f t="shared" si="150"/>
        <v>630.94544442869721</v>
      </c>
      <c r="AN345" s="19">
        <f>IFERROR(AD345+AJ345-AA345-Z345-AK345-AM345-Forudsætninger!$D$75,-99999)</f>
        <v>-99999</v>
      </c>
      <c r="AO345" s="57">
        <f>IFERROR(AN345/(A345+Forudsætninger!$D$74),-99999)</f>
        <v>-291.54227405247815</v>
      </c>
      <c r="AP345" s="19">
        <f>IFERROR(((365/(A345+Forudsætninger!$D$74))*AN345)/(AI345+Forudsætninger!$D$73),-99999)</f>
        <v>-99999</v>
      </c>
      <c r="AQ345" s="18">
        <f t="shared" si="154"/>
        <v>343</v>
      </c>
      <c r="AR345" s="18" t="e">
        <f t="shared" si="155"/>
        <v>#N/A</v>
      </c>
      <c r="AS345" s="50">
        <f t="shared" si="156"/>
        <v>12.4</v>
      </c>
      <c r="AT345" s="50">
        <f t="shared" si="157"/>
        <v>0</v>
      </c>
      <c r="AU345" s="50">
        <f t="shared" si="158"/>
        <v>0.85246278962711131</v>
      </c>
      <c r="AV345" s="2">
        <f t="shared" si="159"/>
        <v>0</v>
      </c>
      <c r="AW345" s="16">
        <f t="shared" si="151"/>
        <v>-289.70278296084928</v>
      </c>
      <c r="AZ345" s="16"/>
      <c r="BA345" s="2"/>
    </row>
    <row r="346" spans="1:53" x14ac:dyDescent="0.25">
      <c r="A346">
        <v>344</v>
      </c>
      <c r="B346" s="1">
        <f>ROUND((A346+Forudsætninger!$D$60)/30.4,1)</f>
        <v>12.4</v>
      </c>
      <c r="C346" s="1" t="e">
        <f>VLOOKUP((A346+Forudsætninger!$D$60),'Model tilvækst, slagteform, fe'!A:C,3,FALSE)</f>
        <v>#N/A</v>
      </c>
      <c r="D346" s="3" t="e">
        <f t="shared" si="160"/>
        <v>#N/A</v>
      </c>
      <c r="E346" s="3" t="e">
        <f>(1+Forudsætninger!$D$78)*C346</f>
        <v>#N/A</v>
      </c>
      <c r="F346" s="2" t="e">
        <f t="shared" si="142"/>
        <v>#N/A</v>
      </c>
      <c r="G346" s="1" t="e">
        <f t="shared" si="135"/>
        <v>#N/A</v>
      </c>
      <c r="H346" s="3" t="e">
        <f t="shared" si="143"/>
        <v>#N/A</v>
      </c>
      <c r="I346" s="3" t="e">
        <f t="shared" si="144"/>
        <v>#N/A</v>
      </c>
      <c r="J346" s="1" t="e">
        <f>VLOOKUP((A346+Forudsætninger!$D$60),'Model tilvækst, slagteform, fe'!G:K,3,FALSE)*(1+Forudsætninger!$D$79)</f>
        <v>#N/A</v>
      </c>
      <c r="K346" s="17" t="e">
        <f t="shared" si="136"/>
        <v>#N/A</v>
      </c>
      <c r="L346" s="17" t="e">
        <f t="shared" si="145"/>
        <v>#N/A</v>
      </c>
      <c r="M346" s="3" t="e">
        <f>((K346-(('Model tilvækst, slagteform, fe'!$I$9/100)*'Model tilvækst, slagteform, fe'!$C$9))*1000/(A346+Forudsætninger!$D$60))</f>
        <v>#N/A</v>
      </c>
      <c r="N346" s="17" t="e">
        <f t="shared" si="146"/>
        <v>#N/A</v>
      </c>
      <c r="O346" s="19" t="e">
        <f>IF( A346&lt;Forudsætninger!$C$14,(G346/100)*Forudsætninger!$C$13,(Forudsætninger!$C$15/1000)*Forudsætninger!$C$13)</f>
        <v>#N/A</v>
      </c>
      <c r="P346" s="17" t="e" cm="1">
        <f t="array" ref="P346">INDEX('Model tilvækst, slagteform, fe'!$O$9:$O$375,MATCH(MIN(ABS('Model tilvækst, slagteform, fe'!$M$9:$M$375-G346)),ABS('Model tilvækst, slagteform, fe'!$M$9:$M$375-G346),0))*(1+Forudsætninger!$D$80)</f>
        <v>#N/A</v>
      </c>
      <c r="Q346" s="17" t="e">
        <f t="shared" si="147"/>
        <v>#N/A</v>
      </c>
      <c r="R346" s="17" t="e">
        <f t="shared" si="148"/>
        <v>#N/A</v>
      </c>
      <c r="S346" s="2" t="e">
        <f t="shared" si="137"/>
        <v>#N/A</v>
      </c>
      <c r="T346" s="19" t="e">
        <f>(P346)*IF(N346&lt;Forudsætninger!$B$228,IF(N346&lt;Forudsætninger!$B$227,Forudsætninger!$B$225,Forudsætninger!$C$9),Forudsætninger!$C$11)+O346</f>
        <v>#N/A</v>
      </c>
      <c r="U346" s="2" t="e">
        <f>Forudsætninger!$D$68+((K346-(Forudsætninger!$D$84)))*0.01</f>
        <v>#N/A</v>
      </c>
      <c r="V346" s="2" t="e">
        <f>U346+Forudsætninger!$D$69</f>
        <v>#N/A</v>
      </c>
      <c r="W346" t="e">
        <f t="shared" si="138"/>
        <v>#N/A</v>
      </c>
      <c r="X346">
        <f>IF(A346+Forudsætninger!$D$60&gt;248,IF(A346+Forudsætninger!$D$60&lt;365,IF(K346&gt;180,IF(K346&lt;260,1,0),0),0),0)</f>
        <v>0</v>
      </c>
      <c r="Y346" s="22">
        <f>IF(X346=0,0,IF('Vækstfunktion, kry tyr'!A346&lt;Forudsætninger!$D$66,Forudsætninger!$D$67+(('Vækstfunktion, kry tyr'!A346-Forudsætninger!$D$66)/7)*Forudsætninger!$D$64,Forudsætninger!$D$67))</f>
        <v>0</v>
      </c>
      <c r="Z346" s="19" t="e">
        <f t="shared" si="152"/>
        <v>#N/A</v>
      </c>
      <c r="AA346" s="19">
        <f>Forudsætninger!$D$62+Forudsætninger!$C$16</f>
        <v>2055</v>
      </c>
      <c r="AB346" s="19" t="e">
        <f>IF(K346&gt;Forudsætninger!$C$37,IF(K346&gt;Forudsætninger!$C$38,IF(K346&gt;Forudsætninger!$C$39,Forudsætninger!$E$39,Forudsætninger!$E$38+Forudsætninger!$F$39*(K346-Forudsætninger!$C$38)),Forudsætninger!$E$37+Forudsætninger!$F$38*(K346-Forudsætninger!$C$37)),Forudsætninger!$E$37)+IF(K346&gt;Forudsætninger!$C$39,Forudsætninger!$G$39,IF(K346&gt;Forudsætninger!$C$38,Forudsætninger!$G$38+Forudsætninger!$H$39*(K346-Forudsætninger!$C$38),IF(K346&gt;Forudsætninger!$C$37,Forudsætninger!$G$37+Forudsætninger!$H$38*(K346-Forudsætninger!$C$37),Forudsætninger!$G$37)))*(U346-Forudsætninger!$H$37)</f>
        <v>#N/A</v>
      </c>
      <c r="AC346" s="19" t="e">
        <f>IF(K346&gt;Forudsætninger!$C$42,IF(K346&gt;Forudsætninger!$C$43,IF(K346&gt;Forudsætninger!$C$44,Forudsætninger!$E$44,Forudsætninger!$E$43+Forudsætninger!$F$44*(K346-Forudsætninger!$C$43)),Forudsætninger!$E$42+Forudsætninger!$F$43*(K346-Forudsætninger!$C$42)),Forudsætninger!$E$42)+IF(K346&gt;Forudsætninger!$C$44,Forudsætninger!$G$44,IF(K346&gt;Forudsætninger!$C$43,Forudsætninger!$G$43+Forudsætninger!$H$44*(K346-Forudsætninger!$C$43),IF(K346&gt;Forudsætninger!$C$42,Forudsætninger!$G$42+Forudsætninger!$H$43*(K346-Forudsætninger!$C$42),Forudsætninger!$G$42)))*(V346-Forudsætninger!$H$42)</f>
        <v>#N/A</v>
      </c>
      <c r="AD346" s="19" t="e">
        <f t="shared" si="139"/>
        <v>#N/A</v>
      </c>
      <c r="AE346" s="19" t="e">
        <f t="shared" si="140"/>
        <v>#N/A</v>
      </c>
      <c r="AF346" t="e">
        <f>IF(G346&lt;=Forudsætninger!$C$97,Forudsætninger!$C$98,(IF(G346&lt;=Forudsætninger!$D$97,Forudsætninger!$D$98,IF(G346&lt;=Forudsætninger!$E$97,Forudsætninger!$E$98,IF(G346&lt;=Forudsætninger!$F$97,Forudsætninger!$F$98,IF(G346&lt;=Forudsætninger!$G$97,Forudsætninger!$G$98,IF(G346&lt;=Forudsætninger!$H$97,Forudsætninger!$H$98,IF(G346&lt;=Forudsætninger!$I$97,Forudsætninger!$I$98,Forudsætninger!$I$98))))))))</f>
        <v>#N/A</v>
      </c>
      <c r="AG346" s="1" t="e">
        <f t="shared" si="149"/>
        <v>#N/A</v>
      </c>
      <c r="AH346" s="1" t="e">
        <f t="shared" si="153"/>
        <v>#N/A</v>
      </c>
      <c r="AI346" s="1" t="e">
        <f t="shared" si="141"/>
        <v>#N/A</v>
      </c>
      <c r="AJ346" s="20" t="e">
        <f>+(W346*Forudsætninger!$C$12)</f>
        <v>#N/A</v>
      </c>
      <c r="AK346" s="20">
        <f>Forudsætninger!$C$17</f>
        <v>250</v>
      </c>
      <c r="AL346" s="20">
        <f>IF(A346&lt;92,Forudsætninger!$C$20,Forudsætninger!$C$21)</f>
        <v>1.0566762728146013</v>
      </c>
      <c r="AM346" s="20">
        <f t="shared" si="150"/>
        <v>632.00212070151179</v>
      </c>
      <c r="AN346" s="19">
        <f>IFERROR(AD346+AJ346-AA346-Z346-AK346-AM346-Forudsætninger!$D$75,-99999)</f>
        <v>-99999</v>
      </c>
      <c r="AO346" s="57">
        <f>IFERROR(AN346/(A346+Forudsætninger!$D$74),-99999)</f>
        <v>-290.69476744186045</v>
      </c>
      <c r="AP346" s="19">
        <f>IFERROR(((365/(A346+Forudsætninger!$D$74))*AN346)/(AI346+Forudsætninger!$D$73),-99999)</f>
        <v>-99999</v>
      </c>
      <c r="AQ346" s="18">
        <f t="shared" si="154"/>
        <v>344</v>
      </c>
      <c r="AR346" s="18" t="e">
        <f t="shared" si="155"/>
        <v>#N/A</v>
      </c>
      <c r="AS346" s="50">
        <f t="shared" si="156"/>
        <v>12.4</v>
      </c>
      <c r="AT346" s="50">
        <f t="shared" si="157"/>
        <v>0</v>
      </c>
      <c r="AU346" s="50">
        <f t="shared" si="158"/>
        <v>0.84750661061769961</v>
      </c>
      <c r="AV346" s="2">
        <f t="shared" si="159"/>
        <v>0</v>
      </c>
      <c r="AW346" s="16">
        <f t="shared" si="151"/>
        <v>-288.8575519747049</v>
      </c>
      <c r="AZ346" s="16"/>
      <c r="BA346" s="2"/>
    </row>
    <row r="347" spans="1:53" x14ac:dyDescent="0.25">
      <c r="A347">
        <v>345</v>
      </c>
      <c r="B347" s="1">
        <f>ROUND((A347+Forudsætninger!$D$60)/30.4,1)</f>
        <v>12.5</v>
      </c>
      <c r="C347" s="1" t="e">
        <f>VLOOKUP((A347+Forudsætninger!$D$60),'Model tilvækst, slagteform, fe'!A:C,3,FALSE)</f>
        <v>#N/A</v>
      </c>
      <c r="D347" s="3" t="e">
        <f t="shared" si="160"/>
        <v>#N/A</v>
      </c>
      <c r="E347" s="3" t="e">
        <f>(1+Forudsætninger!$D$78)*C347</f>
        <v>#N/A</v>
      </c>
      <c r="F347" s="2" t="e">
        <f t="shared" si="142"/>
        <v>#N/A</v>
      </c>
      <c r="G347" s="1" t="e">
        <f t="shared" si="135"/>
        <v>#N/A</v>
      </c>
      <c r="H347" s="3" t="e">
        <f t="shared" si="143"/>
        <v>#N/A</v>
      </c>
      <c r="I347" s="3" t="e">
        <f t="shared" si="144"/>
        <v>#N/A</v>
      </c>
      <c r="J347" s="1" t="e">
        <f>VLOOKUP((A347+Forudsætninger!$D$60),'Model tilvækst, slagteform, fe'!G:K,3,FALSE)*(1+Forudsætninger!$D$79)</f>
        <v>#N/A</v>
      </c>
      <c r="K347" s="17" t="e">
        <f t="shared" si="136"/>
        <v>#N/A</v>
      </c>
      <c r="L347" s="17" t="e">
        <f t="shared" si="145"/>
        <v>#N/A</v>
      </c>
      <c r="M347" s="3" t="e">
        <f>((K347-(('Model tilvækst, slagteform, fe'!$I$9/100)*'Model tilvækst, slagteform, fe'!$C$9))*1000/(A347+Forudsætninger!$D$60))</f>
        <v>#N/A</v>
      </c>
      <c r="N347" s="17" t="e">
        <f t="shared" si="146"/>
        <v>#N/A</v>
      </c>
      <c r="O347" s="19" t="e">
        <f>IF( A347&lt;Forudsætninger!$C$14,(G347/100)*Forudsætninger!$C$13,(Forudsætninger!$C$15/1000)*Forudsætninger!$C$13)</f>
        <v>#N/A</v>
      </c>
      <c r="P347" s="17" t="e" cm="1">
        <f t="array" ref="P347">INDEX('Model tilvækst, slagteform, fe'!$O$9:$O$375,MATCH(MIN(ABS('Model tilvækst, slagteform, fe'!$M$9:$M$375-G347)),ABS('Model tilvækst, slagteform, fe'!$M$9:$M$375-G347),0))*(1+Forudsætninger!$D$80)</f>
        <v>#N/A</v>
      </c>
      <c r="Q347" s="17" t="e">
        <f t="shared" si="147"/>
        <v>#N/A</v>
      </c>
      <c r="R347" s="17" t="e">
        <f t="shared" si="148"/>
        <v>#N/A</v>
      </c>
      <c r="S347" s="2" t="e">
        <f t="shared" si="137"/>
        <v>#N/A</v>
      </c>
      <c r="T347" s="19" t="e">
        <f>(P347)*IF(N347&lt;Forudsætninger!$B$228,IF(N347&lt;Forudsætninger!$B$227,Forudsætninger!$B$225,Forudsætninger!$C$9),Forudsætninger!$C$11)+O347</f>
        <v>#N/A</v>
      </c>
      <c r="U347" s="2" t="e">
        <f>Forudsætninger!$D$68+((K347-(Forudsætninger!$D$84)))*0.01</f>
        <v>#N/A</v>
      </c>
      <c r="V347" s="2" t="e">
        <f>U347+Forudsætninger!$D$69</f>
        <v>#N/A</v>
      </c>
      <c r="W347" t="e">
        <f t="shared" si="138"/>
        <v>#N/A</v>
      </c>
      <c r="X347">
        <f>IF(A347+Forudsætninger!$D$60&gt;248,IF(A347+Forudsætninger!$D$60&lt;365,IF(K347&gt;180,IF(K347&lt;260,1,0),0),0),0)</f>
        <v>0</v>
      </c>
      <c r="Y347" s="22">
        <f>IF(X347=0,0,IF('Vækstfunktion, kry tyr'!A347&lt;Forudsætninger!$D$66,Forudsætninger!$D$67+(('Vækstfunktion, kry tyr'!A347-Forudsætninger!$D$66)/7)*Forudsætninger!$D$64,Forudsætninger!$D$67))</f>
        <v>0</v>
      </c>
      <c r="Z347" s="19" t="e">
        <f t="shared" si="152"/>
        <v>#N/A</v>
      </c>
      <c r="AA347" s="19">
        <f>Forudsætninger!$D$62+Forudsætninger!$C$16</f>
        <v>2055</v>
      </c>
      <c r="AB347" s="19" t="e">
        <f>IF(K347&gt;Forudsætninger!$C$37,IF(K347&gt;Forudsætninger!$C$38,IF(K347&gt;Forudsætninger!$C$39,Forudsætninger!$E$39,Forudsætninger!$E$38+Forudsætninger!$F$39*(K347-Forudsætninger!$C$38)),Forudsætninger!$E$37+Forudsætninger!$F$38*(K347-Forudsætninger!$C$37)),Forudsætninger!$E$37)+IF(K347&gt;Forudsætninger!$C$39,Forudsætninger!$G$39,IF(K347&gt;Forudsætninger!$C$38,Forudsætninger!$G$38+Forudsætninger!$H$39*(K347-Forudsætninger!$C$38),IF(K347&gt;Forudsætninger!$C$37,Forudsætninger!$G$37+Forudsætninger!$H$38*(K347-Forudsætninger!$C$37),Forudsætninger!$G$37)))*(U347-Forudsætninger!$H$37)</f>
        <v>#N/A</v>
      </c>
      <c r="AC347" s="19" t="e">
        <f>IF(K347&gt;Forudsætninger!$C$42,IF(K347&gt;Forudsætninger!$C$43,IF(K347&gt;Forudsætninger!$C$44,Forudsætninger!$E$44,Forudsætninger!$E$43+Forudsætninger!$F$44*(K347-Forudsætninger!$C$43)),Forudsætninger!$E$42+Forudsætninger!$F$43*(K347-Forudsætninger!$C$42)),Forudsætninger!$E$42)+IF(K347&gt;Forudsætninger!$C$44,Forudsætninger!$G$44,IF(K347&gt;Forudsætninger!$C$43,Forudsætninger!$G$43+Forudsætninger!$H$44*(K347-Forudsætninger!$C$43),IF(K347&gt;Forudsætninger!$C$42,Forudsætninger!$G$42+Forudsætninger!$H$43*(K347-Forudsætninger!$C$42),Forudsætninger!$G$42)))*(V347-Forudsætninger!$H$42)</f>
        <v>#N/A</v>
      </c>
      <c r="AD347" s="19" t="e">
        <f t="shared" si="139"/>
        <v>#N/A</v>
      </c>
      <c r="AE347" s="19" t="e">
        <f t="shared" si="140"/>
        <v>#N/A</v>
      </c>
      <c r="AF347" t="e">
        <f>IF(G347&lt;=Forudsætninger!$C$97,Forudsætninger!$C$98,(IF(G347&lt;=Forudsætninger!$D$97,Forudsætninger!$D$98,IF(G347&lt;=Forudsætninger!$E$97,Forudsætninger!$E$98,IF(G347&lt;=Forudsætninger!$F$97,Forudsætninger!$F$98,IF(G347&lt;=Forudsætninger!$G$97,Forudsætninger!$G$98,IF(G347&lt;=Forudsætninger!$H$97,Forudsætninger!$H$98,IF(G347&lt;=Forudsætninger!$I$97,Forudsætninger!$I$98,Forudsætninger!$I$98))))))))</f>
        <v>#N/A</v>
      </c>
      <c r="AG347" s="1" t="e">
        <f t="shared" si="149"/>
        <v>#N/A</v>
      </c>
      <c r="AH347" s="1" t="e">
        <f t="shared" si="153"/>
        <v>#N/A</v>
      </c>
      <c r="AI347" s="1" t="e">
        <f t="shared" si="141"/>
        <v>#N/A</v>
      </c>
      <c r="AJ347" s="20" t="e">
        <f>+(W347*Forudsætninger!$C$12)</f>
        <v>#N/A</v>
      </c>
      <c r="AK347" s="20">
        <f>Forudsætninger!$C$17</f>
        <v>250</v>
      </c>
      <c r="AL347" s="20">
        <f>IF(A347&lt;92,Forudsætninger!$C$20,Forudsætninger!$C$21)</f>
        <v>1.0566762728146013</v>
      </c>
      <c r="AM347" s="20">
        <f t="shared" si="150"/>
        <v>633.05879697432636</v>
      </c>
      <c r="AN347" s="19">
        <f>IFERROR(AD347+AJ347-AA347-Z347-AK347-AM347-Forudsætninger!$D$75,-99999)</f>
        <v>-99999</v>
      </c>
      <c r="AO347" s="57">
        <f>IFERROR(AN347/(A347+Forudsætninger!$D$74),-99999)</f>
        <v>-289.85217391304349</v>
      </c>
      <c r="AP347" s="19">
        <f>IFERROR(((365/(A347+Forudsætninger!$D$74))*AN347)/(AI347+Forudsætninger!$D$73),-99999)</f>
        <v>-99999</v>
      </c>
      <c r="AQ347" s="18">
        <f t="shared" si="154"/>
        <v>345</v>
      </c>
      <c r="AR347" s="18" t="e">
        <f t="shared" si="155"/>
        <v>#N/A</v>
      </c>
      <c r="AS347" s="50">
        <f t="shared" si="156"/>
        <v>12.5</v>
      </c>
      <c r="AT347" s="50">
        <f t="shared" si="157"/>
        <v>0</v>
      </c>
      <c r="AU347" s="50">
        <f t="shared" si="158"/>
        <v>0.84259352881696259</v>
      </c>
      <c r="AV347" s="2">
        <f t="shared" si="159"/>
        <v>0</v>
      </c>
      <c r="AW347" s="16">
        <f t="shared" si="151"/>
        <v>-288.01722087833531</v>
      </c>
      <c r="AZ347" s="16"/>
      <c r="BA347" s="2"/>
    </row>
    <row r="348" spans="1:53" x14ac:dyDescent="0.25">
      <c r="A348">
        <v>346</v>
      </c>
      <c r="B348" s="1">
        <f>ROUND((A348+Forudsætninger!$D$60)/30.4,1)</f>
        <v>12.5</v>
      </c>
      <c r="C348" s="1" t="e">
        <f>VLOOKUP((A348+Forudsætninger!$D$60),'Model tilvækst, slagteform, fe'!A:C,3,FALSE)</f>
        <v>#N/A</v>
      </c>
      <c r="D348" s="3" t="e">
        <f t="shared" si="160"/>
        <v>#N/A</v>
      </c>
      <c r="E348" s="3" t="e">
        <f>(1+Forudsætninger!$D$78)*C348</f>
        <v>#N/A</v>
      </c>
      <c r="F348" s="2" t="e">
        <f t="shared" si="142"/>
        <v>#N/A</v>
      </c>
      <c r="G348" s="1" t="e">
        <f t="shared" si="135"/>
        <v>#N/A</v>
      </c>
      <c r="H348" s="3" t="e">
        <f t="shared" si="143"/>
        <v>#N/A</v>
      </c>
      <c r="I348" s="3" t="e">
        <f t="shared" si="144"/>
        <v>#N/A</v>
      </c>
      <c r="J348" s="1" t="e">
        <f>VLOOKUP((A348+Forudsætninger!$D$60),'Model tilvækst, slagteform, fe'!G:K,3,FALSE)*(1+Forudsætninger!$D$79)</f>
        <v>#N/A</v>
      </c>
      <c r="K348" s="17" t="e">
        <f t="shared" si="136"/>
        <v>#N/A</v>
      </c>
      <c r="L348" s="17" t="e">
        <f t="shared" si="145"/>
        <v>#N/A</v>
      </c>
      <c r="M348" s="3" t="e">
        <f>((K348-(('Model tilvækst, slagteform, fe'!$I$9/100)*'Model tilvækst, slagteform, fe'!$C$9))*1000/(A348+Forudsætninger!$D$60))</f>
        <v>#N/A</v>
      </c>
      <c r="N348" s="17" t="e">
        <f t="shared" si="146"/>
        <v>#N/A</v>
      </c>
      <c r="O348" s="19" t="e">
        <f>IF( A348&lt;Forudsætninger!$C$14,(G348/100)*Forudsætninger!$C$13,(Forudsætninger!$C$15/1000)*Forudsætninger!$C$13)</f>
        <v>#N/A</v>
      </c>
      <c r="P348" s="17" t="e" cm="1">
        <f t="array" ref="P348">INDEX('Model tilvækst, slagteform, fe'!$O$9:$O$375,MATCH(MIN(ABS('Model tilvækst, slagteform, fe'!$M$9:$M$375-G348)),ABS('Model tilvækst, slagteform, fe'!$M$9:$M$375-G348),0))*(1+Forudsætninger!$D$80)</f>
        <v>#N/A</v>
      </c>
      <c r="Q348" s="17" t="e">
        <f t="shared" si="147"/>
        <v>#N/A</v>
      </c>
      <c r="R348" s="17" t="e">
        <f t="shared" si="148"/>
        <v>#N/A</v>
      </c>
      <c r="S348" s="2" t="e">
        <f t="shared" si="137"/>
        <v>#N/A</v>
      </c>
      <c r="T348" s="19" t="e">
        <f>(P348)*IF(N348&lt;Forudsætninger!$B$228,IF(N348&lt;Forudsætninger!$B$227,Forudsætninger!$B$225,Forudsætninger!$C$9),Forudsætninger!$C$11)+O348</f>
        <v>#N/A</v>
      </c>
      <c r="U348" s="2" t="e">
        <f>Forudsætninger!$D$68+((K348-(Forudsætninger!$D$84)))*0.01</f>
        <v>#N/A</v>
      </c>
      <c r="V348" s="2" t="e">
        <f>U348+Forudsætninger!$D$69</f>
        <v>#N/A</v>
      </c>
      <c r="W348" t="e">
        <f t="shared" si="138"/>
        <v>#N/A</v>
      </c>
      <c r="X348">
        <f>IF(A348+Forudsætninger!$D$60&gt;248,IF(A348+Forudsætninger!$D$60&lt;365,IF(K348&gt;180,IF(K348&lt;260,1,0),0),0),0)</f>
        <v>0</v>
      </c>
      <c r="Y348" s="22">
        <f>IF(X348=0,0,IF('Vækstfunktion, kry tyr'!A348&lt;Forudsætninger!$D$66,Forudsætninger!$D$67+(('Vækstfunktion, kry tyr'!A348-Forudsætninger!$D$66)/7)*Forudsætninger!$D$64,Forudsætninger!$D$67))</f>
        <v>0</v>
      </c>
      <c r="Z348" s="19" t="e">
        <f t="shared" si="152"/>
        <v>#N/A</v>
      </c>
      <c r="AA348" s="19">
        <f>Forudsætninger!$D$62+Forudsætninger!$C$16</f>
        <v>2055</v>
      </c>
      <c r="AB348" s="19" t="e">
        <f>IF(K348&gt;Forudsætninger!$C$37,IF(K348&gt;Forudsætninger!$C$38,IF(K348&gt;Forudsætninger!$C$39,Forudsætninger!$E$39,Forudsætninger!$E$38+Forudsætninger!$F$39*(K348-Forudsætninger!$C$38)),Forudsætninger!$E$37+Forudsætninger!$F$38*(K348-Forudsætninger!$C$37)),Forudsætninger!$E$37)+IF(K348&gt;Forudsætninger!$C$39,Forudsætninger!$G$39,IF(K348&gt;Forudsætninger!$C$38,Forudsætninger!$G$38+Forudsætninger!$H$39*(K348-Forudsætninger!$C$38),IF(K348&gt;Forudsætninger!$C$37,Forudsætninger!$G$37+Forudsætninger!$H$38*(K348-Forudsætninger!$C$37),Forudsætninger!$G$37)))*(U348-Forudsætninger!$H$37)</f>
        <v>#N/A</v>
      </c>
      <c r="AC348" s="19" t="e">
        <f>IF(K348&gt;Forudsætninger!$C$42,IF(K348&gt;Forudsætninger!$C$43,IF(K348&gt;Forudsætninger!$C$44,Forudsætninger!$E$44,Forudsætninger!$E$43+Forudsætninger!$F$44*(K348-Forudsætninger!$C$43)),Forudsætninger!$E$42+Forudsætninger!$F$43*(K348-Forudsætninger!$C$42)),Forudsætninger!$E$42)+IF(K348&gt;Forudsætninger!$C$44,Forudsætninger!$G$44,IF(K348&gt;Forudsætninger!$C$43,Forudsætninger!$G$43+Forudsætninger!$H$44*(K348-Forudsætninger!$C$43),IF(K348&gt;Forudsætninger!$C$42,Forudsætninger!$G$42+Forudsætninger!$H$43*(K348-Forudsætninger!$C$42),Forudsætninger!$G$42)))*(V348-Forudsætninger!$H$42)</f>
        <v>#N/A</v>
      </c>
      <c r="AD348" s="19" t="e">
        <f t="shared" si="139"/>
        <v>#N/A</v>
      </c>
      <c r="AE348" s="19" t="e">
        <f t="shared" si="140"/>
        <v>#N/A</v>
      </c>
      <c r="AF348" t="e">
        <f>IF(G348&lt;=Forudsætninger!$C$97,Forudsætninger!$C$98,(IF(G348&lt;=Forudsætninger!$D$97,Forudsætninger!$D$98,IF(G348&lt;=Forudsætninger!$E$97,Forudsætninger!$E$98,IF(G348&lt;=Forudsætninger!$F$97,Forudsætninger!$F$98,IF(G348&lt;=Forudsætninger!$G$97,Forudsætninger!$G$98,IF(G348&lt;=Forudsætninger!$H$97,Forudsætninger!$H$98,IF(G348&lt;=Forudsætninger!$I$97,Forudsætninger!$I$98,Forudsætninger!$I$98))))))))</f>
        <v>#N/A</v>
      </c>
      <c r="AG348" s="1" t="e">
        <f t="shared" si="149"/>
        <v>#N/A</v>
      </c>
      <c r="AH348" s="1" t="e">
        <f t="shared" si="153"/>
        <v>#N/A</v>
      </c>
      <c r="AI348" s="1" t="e">
        <f t="shared" si="141"/>
        <v>#N/A</v>
      </c>
      <c r="AJ348" s="20" t="e">
        <f>+(W348*Forudsætninger!$C$12)</f>
        <v>#N/A</v>
      </c>
      <c r="AK348" s="20">
        <f>Forudsætninger!$C$17</f>
        <v>250</v>
      </c>
      <c r="AL348" s="20">
        <f>IF(A348&lt;92,Forudsætninger!$C$20,Forudsætninger!$C$21)</f>
        <v>1.0566762728146013</v>
      </c>
      <c r="AM348" s="20">
        <f t="shared" si="150"/>
        <v>634.11547324714093</v>
      </c>
      <c r="AN348" s="19">
        <f>IFERROR(AD348+AJ348-AA348-Z348-AK348-AM348-Forudsætninger!$D$75,-99999)</f>
        <v>-99999</v>
      </c>
      <c r="AO348" s="57">
        <f>IFERROR(AN348/(A348+Forudsætninger!$D$74),-99999)</f>
        <v>-289.01445086705201</v>
      </c>
      <c r="AP348" s="19">
        <f>IFERROR(((365/(A348+Forudsætninger!$D$74))*AN348)/(AI348+Forudsætninger!$D$73),-99999)</f>
        <v>-99999</v>
      </c>
      <c r="AQ348" s="18">
        <f t="shared" si="154"/>
        <v>346</v>
      </c>
      <c r="AR348" s="18" t="e">
        <f t="shared" si="155"/>
        <v>#N/A</v>
      </c>
      <c r="AS348" s="50">
        <f t="shared" si="156"/>
        <v>12.5</v>
      </c>
      <c r="AT348" s="50">
        <f t="shared" si="157"/>
        <v>0</v>
      </c>
      <c r="AU348" s="50">
        <f t="shared" si="158"/>
        <v>0.83772304599148129</v>
      </c>
      <c r="AV348" s="2">
        <f t="shared" si="159"/>
        <v>0</v>
      </c>
      <c r="AW348" s="16">
        <f t="shared" si="151"/>
        <v>-287.18174718714698</v>
      </c>
      <c r="AZ348" s="16"/>
      <c r="BA348" s="2"/>
    </row>
    <row r="349" spans="1:53" x14ac:dyDescent="0.25">
      <c r="A349">
        <v>347</v>
      </c>
      <c r="B349" s="1">
        <f>ROUND((A349+Forudsætninger!$D$60)/30.4,1)</f>
        <v>12.5</v>
      </c>
      <c r="C349" s="1" t="e">
        <f>VLOOKUP((A349+Forudsætninger!$D$60),'Model tilvækst, slagteform, fe'!A:C,3,FALSE)</f>
        <v>#N/A</v>
      </c>
      <c r="D349" s="3" t="e">
        <f t="shared" si="160"/>
        <v>#N/A</v>
      </c>
      <c r="E349" s="3" t="e">
        <f>(1+Forudsætninger!$D$78)*C349</f>
        <v>#N/A</v>
      </c>
      <c r="F349" s="2" t="e">
        <f t="shared" si="142"/>
        <v>#N/A</v>
      </c>
      <c r="G349" s="1" t="e">
        <f t="shared" si="135"/>
        <v>#N/A</v>
      </c>
      <c r="H349" s="3" t="e">
        <f t="shared" si="143"/>
        <v>#N/A</v>
      </c>
      <c r="I349" s="3" t="e">
        <f t="shared" si="144"/>
        <v>#N/A</v>
      </c>
      <c r="J349" s="1" t="e">
        <f>VLOOKUP((A349+Forudsætninger!$D$60),'Model tilvækst, slagteform, fe'!G:K,3,FALSE)*(1+Forudsætninger!$D$79)</f>
        <v>#N/A</v>
      </c>
      <c r="K349" s="17" t="e">
        <f t="shared" si="136"/>
        <v>#N/A</v>
      </c>
      <c r="L349" s="17" t="e">
        <f t="shared" si="145"/>
        <v>#N/A</v>
      </c>
      <c r="M349" s="3" t="e">
        <f>((K349-(('Model tilvækst, slagteform, fe'!$I$9/100)*'Model tilvækst, slagteform, fe'!$C$9))*1000/(A349+Forudsætninger!$D$60))</f>
        <v>#N/A</v>
      </c>
      <c r="N349" s="17" t="e">
        <f t="shared" si="146"/>
        <v>#N/A</v>
      </c>
      <c r="O349" s="19" t="e">
        <f>IF( A349&lt;Forudsætninger!$C$14,(G349/100)*Forudsætninger!$C$13,(Forudsætninger!$C$15/1000)*Forudsætninger!$C$13)</f>
        <v>#N/A</v>
      </c>
      <c r="P349" s="17" t="e" cm="1">
        <f t="array" ref="P349">INDEX('Model tilvækst, slagteform, fe'!$O$9:$O$375,MATCH(MIN(ABS('Model tilvækst, slagteform, fe'!$M$9:$M$375-G349)),ABS('Model tilvækst, slagteform, fe'!$M$9:$M$375-G349),0))*(1+Forudsætninger!$D$80)</f>
        <v>#N/A</v>
      </c>
      <c r="Q349" s="17" t="e">
        <f t="shared" si="147"/>
        <v>#N/A</v>
      </c>
      <c r="R349" s="17" t="e">
        <f t="shared" si="148"/>
        <v>#N/A</v>
      </c>
      <c r="S349" s="2" t="e">
        <f t="shared" si="137"/>
        <v>#N/A</v>
      </c>
      <c r="T349" s="19" t="e">
        <f>(P349)*IF(N349&lt;Forudsætninger!$B$228,IF(N349&lt;Forudsætninger!$B$227,Forudsætninger!$B$225,Forudsætninger!$C$9),Forudsætninger!$C$11)+O349</f>
        <v>#N/A</v>
      </c>
      <c r="U349" s="2" t="e">
        <f>Forudsætninger!$D$68+((K349-(Forudsætninger!$D$84)))*0.01</f>
        <v>#N/A</v>
      </c>
      <c r="V349" s="2" t="e">
        <f>U349+Forudsætninger!$D$69</f>
        <v>#N/A</v>
      </c>
      <c r="W349" t="e">
        <f t="shared" si="138"/>
        <v>#N/A</v>
      </c>
      <c r="X349">
        <f>IF(A349+Forudsætninger!$D$60&gt;248,IF(A349+Forudsætninger!$D$60&lt;365,IF(K349&gt;180,IF(K349&lt;260,1,0),0),0),0)</f>
        <v>0</v>
      </c>
      <c r="Y349" s="22">
        <f>IF(X349=0,0,IF('Vækstfunktion, kry tyr'!A349&lt;Forudsætninger!$D$66,Forudsætninger!$D$67+(('Vækstfunktion, kry tyr'!A349-Forudsætninger!$D$66)/7)*Forudsætninger!$D$64,Forudsætninger!$D$67))</f>
        <v>0</v>
      </c>
      <c r="Z349" s="19" t="e">
        <f t="shared" si="152"/>
        <v>#N/A</v>
      </c>
      <c r="AA349" s="19">
        <f>Forudsætninger!$D$62+Forudsætninger!$C$16</f>
        <v>2055</v>
      </c>
      <c r="AB349" s="19" t="e">
        <f>IF(K349&gt;Forudsætninger!$C$37,IF(K349&gt;Forudsætninger!$C$38,IF(K349&gt;Forudsætninger!$C$39,Forudsætninger!$E$39,Forudsætninger!$E$38+Forudsætninger!$F$39*(K349-Forudsætninger!$C$38)),Forudsætninger!$E$37+Forudsætninger!$F$38*(K349-Forudsætninger!$C$37)),Forudsætninger!$E$37)+IF(K349&gt;Forudsætninger!$C$39,Forudsætninger!$G$39,IF(K349&gt;Forudsætninger!$C$38,Forudsætninger!$G$38+Forudsætninger!$H$39*(K349-Forudsætninger!$C$38),IF(K349&gt;Forudsætninger!$C$37,Forudsætninger!$G$37+Forudsætninger!$H$38*(K349-Forudsætninger!$C$37),Forudsætninger!$G$37)))*(U349-Forudsætninger!$H$37)</f>
        <v>#N/A</v>
      </c>
      <c r="AC349" s="19" t="e">
        <f>IF(K349&gt;Forudsætninger!$C$42,IF(K349&gt;Forudsætninger!$C$43,IF(K349&gt;Forudsætninger!$C$44,Forudsætninger!$E$44,Forudsætninger!$E$43+Forudsætninger!$F$44*(K349-Forudsætninger!$C$43)),Forudsætninger!$E$42+Forudsætninger!$F$43*(K349-Forudsætninger!$C$42)),Forudsætninger!$E$42)+IF(K349&gt;Forudsætninger!$C$44,Forudsætninger!$G$44,IF(K349&gt;Forudsætninger!$C$43,Forudsætninger!$G$43+Forudsætninger!$H$44*(K349-Forudsætninger!$C$43),IF(K349&gt;Forudsætninger!$C$42,Forudsætninger!$G$42+Forudsætninger!$H$43*(K349-Forudsætninger!$C$42),Forudsætninger!$G$42)))*(V349-Forudsætninger!$H$42)</f>
        <v>#N/A</v>
      </c>
      <c r="AD349" s="19" t="e">
        <f t="shared" si="139"/>
        <v>#N/A</v>
      </c>
      <c r="AE349" s="19" t="e">
        <f t="shared" si="140"/>
        <v>#N/A</v>
      </c>
      <c r="AF349" t="e">
        <f>IF(G349&lt;=Forudsætninger!$C$97,Forudsætninger!$C$98,(IF(G349&lt;=Forudsætninger!$D$97,Forudsætninger!$D$98,IF(G349&lt;=Forudsætninger!$E$97,Forudsætninger!$E$98,IF(G349&lt;=Forudsætninger!$F$97,Forudsætninger!$F$98,IF(G349&lt;=Forudsætninger!$G$97,Forudsætninger!$G$98,IF(G349&lt;=Forudsætninger!$H$97,Forudsætninger!$H$98,IF(G349&lt;=Forudsætninger!$I$97,Forudsætninger!$I$98,Forudsætninger!$I$98))))))))</f>
        <v>#N/A</v>
      </c>
      <c r="AG349" s="1" t="e">
        <f t="shared" si="149"/>
        <v>#N/A</v>
      </c>
      <c r="AH349" s="1" t="e">
        <f t="shared" si="153"/>
        <v>#N/A</v>
      </c>
      <c r="AI349" s="1" t="e">
        <f t="shared" si="141"/>
        <v>#N/A</v>
      </c>
      <c r="AJ349" s="20" t="e">
        <f>+(W349*Forudsætninger!$C$12)</f>
        <v>#N/A</v>
      </c>
      <c r="AK349" s="20">
        <f>Forudsætninger!$C$17</f>
        <v>250</v>
      </c>
      <c r="AL349" s="20">
        <f>IF(A349&lt;92,Forudsætninger!$C$20,Forudsætninger!$C$21)</f>
        <v>1.0566762728146013</v>
      </c>
      <c r="AM349" s="20">
        <f t="shared" si="150"/>
        <v>635.1721495199555</v>
      </c>
      <c r="AN349" s="19">
        <f>IFERROR(AD349+AJ349-AA349-Z349-AK349-AM349-Forudsætninger!$D$75,-99999)</f>
        <v>-99999</v>
      </c>
      <c r="AO349" s="57">
        <f>IFERROR(AN349/(A349+Forudsætninger!$D$74),-99999)</f>
        <v>-288.18155619596541</v>
      </c>
      <c r="AP349" s="19">
        <f>IFERROR(((365/(A349+Forudsætninger!$D$74))*AN349)/(AI349+Forudsætninger!$D$73),-99999)</f>
        <v>-99999</v>
      </c>
      <c r="AQ349" s="18">
        <f t="shared" si="154"/>
        <v>347</v>
      </c>
      <c r="AR349" s="18" t="e">
        <f t="shared" si="155"/>
        <v>#N/A</v>
      </c>
      <c r="AS349" s="50">
        <f t="shared" si="156"/>
        <v>12.5</v>
      </c>
      <c r="AT349" s="50">
        <f t="shared" si="157"/>
        <v>0</v>
      </c>
      <c r="AU349" s="50">
        <f t="shared" si="158"/>
        <v>0.8328946710865921</v>
      </c>
      <c r="AV349" s="2">
        <f t="shared" si="159"/>
        <v>0</v>
      </c>
      <c r="AW349" s="16">
        <f t="shared" si="151"/>
        <v>-286.35108890628254</v>
      </c>
      <c r="AZ349" s="16"/>
      <c r="BA349" s="2"/>
    </row>
    <row r="350" spans="1:53" x14ac:dyDescent="0.25">
      <c r="A350">
        <v>348</v>
      </c>
      <c r="B350" s="1">
        <f>ROUND((A350+Forudsætninger!$D$60)/30.4,1)</f>
        <v>12.6</v>
      </c>
      <c r="C350" s="1" t="e">
        <f>VLOOKUP((A350+Forudsætninger!$D$60),'Model tilvækst, slagteform, fe'!A:C,3,FALSE)</f>
        <v>#N/A</v>
      </c>
      <c r="D350" s="3" t="e">
        <f t="shared" si="160"/>
        <v>#N/A</v>
      </c>
      <c r="E350" s="3" t="e">
        <f>(1+Forudsætninger!$D$78)*C350</f>
        <v>#N/A</v>
      </c>
      <c r="F350" s="2" t="e">
        <f t="shared" si="142"/>
        <v>#N/A</v>
      </c>
      <c r="G350" s="1" t="e">
        <f t="shared" si="135"/>
        <v>#N/A</v>
      </c>
      <c r="H350" s="3" t="e">
        <f t="shared" si="143"/>
        <v>#N/A</v>
      </c>
      <c r="I350" s="3" t="e">
        <f t="shared" si="144"/>
        <v>#N/A</v>
      </c>
      <c r="J350" s="1" t="e">
        <f>VLOOKUP((A350+Forudsætninger!$D$60),'Model tilvækst, slagteform, fe'!G:K,3,FALSE)*(1+Forudsætninger!$D$79)</f>
        <v>#N/A</v>
      </c>
      <c r="K350" s="17" t="e">
        <f t="shared" si="136"/>
        <v>#N/A</v>
      </c>
      <c r="L350" s="17" t="e">
        <f t="shared" si="145"/>
        <v>#N/A</v>
      </c>
      <c r="M350" s="3" t="e">
        <f>((K350-(('Model tilvækst, slagteform, fe'!$I$9/100)*'Model tilvækst, slagteform, fe'!$C$9))*1000/(A350+Forudsætninger!$D$60))</f>
        <v>#N/A</v>
      </c>
      <c r="N350" s="17" t="e">
        <f t="shared" si="146"/>
        <v>#N/A</v>
      </c>
      <c r="O350" s="19" t="e">
        <f>IF( A350&lt;Forudsætninger!$C$14,(G350/100)*Forudsætninger!$C$13,(Forudsætninger!$C$15/1000)*Forudsætninger!$C$13)</f>
        <v>#N/A</v>
      </c>
      <c r="P350" s="17" t="e" cm="1">
        <f t="array" ref="P350">INDEX('Model tilvækst, slagteform, fe'!$O$9:$O$375,MATCH(MIN(ABS('Model tilvækst, slagteform, fe'!$M$9:$M$375-G350)),ABS('Model tilvækst, slagteform, fe'!$M$9:$M$375-G350),0))*(1+Forudsætninger!$D$80)</f>
        <v>#N/A</v>
      </c>
      <c r="Q350" s="17" t="e">
        <f t="shared" si="147"/>
        <v>#N/A</v>
      </c>
      <c r="R350" s="17" t="e">
        <f t="shared" si="148"/>
        <v>#N/A</v>
      </c>
      <c r="S350" s="2" t="e">
        <f t="shared" si="137"/>
        <v>#N/A</v>
      </c>
      <c r="T350" s="19" t="e">
        <f>(P350)*IF(N350&lt;Forudsætninger!$B$228,IF(N350&lt;Forudsætninger!$B$227,Forudsætninger!$B$225,Forudsætninger!$C$9),Forudsætninger!$C$11)+O350</f>
        <v>#N/A</v>
      </c>
      <c r="U350" s="2" t="e">
        <f>Forudsætninger!$D$68+((K350-(Forudsætninger!$D$84)))*0.01</f>
        <v>#N/A</v>
      </c>
      <c r="V350" s="2" t="e">
        <f>U350+Forudsætninger!$D$69</f>
        <v>#N/A</v>
      </c>
      <c r="W350" t="e">
        <f t="shared" si="138"/>
        <v>#N/A</v>
      </c>
      <c r="X350">
        <f>IF(A350+Forudsætninger!$D$60&gt;248,IF(A350+Forudsætninger!$D$60&lt;365,IF(K350&gt;180,IF(K350&lt;260,1,0),0),0),0)</f>
        <v>0</v>
      </c>
      <c r="Y350" s="22">
        <f>IF(X350=0,0,IF('Vækstfunktion, kry tyr'!A350&lt;Forudsætninger!$D$66,Forudsætninger!$D$67+(('Vækstfunktion, kry tyr'!A350-Forudsætninger!$D$66)/7)*Forudsætninger!$D$64,Forudsætninger!$D$67))</f>
        <v>0</v>
      </c>
      <c r="Z350" s="19" t="e">
        <f>Z349+T350</f>
        <v>#N/A</v>
      </c>
      <c r="AA350" s="19">
        <f>Forudsætninger!$D$62+Forudsætninger!$C$16</f>
        <v>2055</v>
      </c>
      <c r="AB350" s="19" t="e">
        <f>IF(K350&gt;Forudsætninger!$C$37,IF(K350&gt;Forudsætninger!$C$38,IF(K350&gt;Forudsætninger!$C$39,Forudsætninger!$E$39,Forudsætninger!$E$38+Forudsætninger!$F$39*(K350-Forudsætninger!$C$38)),Forudsætninger!$E$37+Forudsætninger!$F$38*(K350-Forudsætninger!$C$37)),Forudsætninger!$E$37)+IF(K350&gt;Forudsætninger!$C$39,Forudsætninger!$G$39,IF(K350&gt;Forudsætninger!$C$38,Forudsætninger!$G$38+Forudsætninger!$H$39*(K350-Forudsætninger!$C$38),IF(K350&gt;Forudsætninger!$C$37,Forudsætninger!$G$37+Forudsætninger!$H$38*(K350-Forudsætninger!$C$37),Forudsætninger!$G$37)))*(U350-Forudsætninger!$H$37)</f>
        <v>#N/A</v>
      </c>
      <c r="AC350" s="19" t="e">
        <f>IF(K350&gt;Forudsætninger!$C$42,IF(K350&gt;Forudsætninger!$C$43,IF(K350&gt;Forudsætninger!$C$44,Forudsætninger!$E$44,Forudsætninger!$E$43+Forudsætninger!$F$44*(K350-Forudsætninger!$C$43)),Forudsætninger!$E$42+Forudsætninger!$F$43*(K350-Forudsætninger!$C$42)),Forudsætninger!$E$42)+IF(K350&gt;Forudsætninger!$C$44,Forudsætninger!$G$44,IF(K350&gt;Forudsætninger!$C$43,Forudsætninger!$G$43+Forudsætninger!$H$44*(K350-Forudsætninger!$C$43),IF(K350&gt;Forudsætninger!$C$42,Forudsætninger!$G$42+Forudsætninger!$H$43*(K350-Forudsætninger!$C$42),Forudsætninger!$G$42)))*(V350-Forudsætninger!$H$42)</f>
        <v>#N/A</v>
      </c>
      <c r="AD350" s="19" t="e">
        <f t="shared" si="139"/>
        <v>#N/A</v>
      </c>
      <c r="AE350" s="19" t="e">
        <f t="shared" si="140"/>
        <v>#N/A</v>
      </c>
      <c r="AF350" t="e">
        <f>IF(G350&lt;=Forudsætninger!$C$97,Forudsætninger!$C$98,(IF(G350&lt;=Forudsætninger!$D$97,Forudsætninger!$D$98,IF(G350&lt;=Forudsætninger!$E$97,Forudsætninger!$E$98,IF(G350&lt;=Forudsætninger!$F$97,Forudsætninger!$F$98,IF(G350&lt;=Forudsætninger!$G$97,Forudsætninger!$G$98,IF(G350&lt;=Forudsætninger!$H$97,Forudsætninger!$H$98,IF(G350&lt;=Forudsætninger!$I$97,Forudsætninger!$I$98,Forudsætninger!$I$98))))))))</f>
        <v>#N/A</v>
      </c>
      <c r="AG350" s="1" t="e">
        <f t="shared" si="149"/>
        <v>#N/A</v>
      </c>
      <c r="AH350" s="1" t="e">
        <f t="shared" si="153"/>
        <v>#N/A</v>
      </c>
      <c r="AI350" s="1" t="e">
        <f t="shared" si="141"/>
        <v>#N/A</v>
      </c>
      <c r="AJ350" s="20" t="e">
        <f>+(W350*Forudsætninger!$C$12)</f>
        <v>#N/A</v>
      </c>
      <c r="AK350" s="20">
        <f>Forudsætninger!$C$17</f>
        <v>250</v>
      </c>
      <c r="AL350" s="20">
        <f>IF(A350&lt;92,Forudsætninger!$C$20,Forudsætninger!$C$21)</f>
        <v>1.0566762728146013</v>
      </c>
      <c r="AM350" s="20">
        <f t="shared" si="150"/>
        <v>636.22882579277007</v>
      </c>
      <c r="AN350" s="19">
        <f>IFERROR(AD350+AJ350-AA350-Z350-AK350-AM350-Forudsætninger!$D$75,-99999)</f>
        <v>-99999</v>
      </c>
      <c r="AO350" s="57">
        <f>IFERROR(AN350/(A350+Forudsætninger!$D$74),-99999)</f>
        <v>-287.35344827586209</v>
      </c>
      <c r="AP350" s="19">
        <f>IFERROR(((365/(A350+Forudsætninger!$D$74))*AN350)/(AI350+Forudsætninger!$D$73),-99999)</f>
        <v>-99999</v>
      </c>
      <c r="AQ350" s="18">
        <f t="shared" si="154"/>
        <v>348</v>
      </c>
      <c r="AR350" s="18" t="e">
        <f t="shared" si="155"/>
        <v>#N/A</v>
      </c>
      <c r="AS350" s="50">
        <f t="shared" si="156"/>
        <v>12.6</v>
      </c>
      <c r="AT350" s="50">
        <f t="shared" si="157"/>
        <v>0</v>
      </c>
      <c r="AU350" s="50">
        <f t="shared" si="158"/>
        <v>0.82810792010332079</v>
      </c>
      <c r="AV350" s="2">
        <f t="shared" si="159"/>
        <v>0</v>
      </c>
      <c r="AW350" s="16">
        <f t="shared" si="151"/>
        <v>-285.52520452358397</v>
      </c>
      <c r="AZ350" s="16"/>
      <c r="BA350" s="2"/>
    </row>
    <row r="351" spans="1:53" x14ac:dyDescent="0.25">
      <c r="A351">
        <v>349</v>
      </c>
      <c r="B351" s="1">
        <f>ROUND((A351+Forudsætninger!$D$60)/30.4,1)</f>
        <v>12.6</v>
      </c>
      <c r="C351" s="1" t="e">
        <f>VLOOKUP((A351+Forudsætninger!$D$60),'Model tilvækst, slagteform, fe'!A:C,3,FALSE)</f>
        <v>#N/A</v>
      </c>
      <c r="D351" s="3" t="e">
        <f t="shared" si="160"/>
        <v>#N/A</v>
      </c>
      <c r="E351" s="3" t="e">
        <f>(1+Forudsætninger!$D$78)*C351</f>
        <v>#N/A</v>
      </c>
      <c r="F351" s="2" t="e">
        <f t="shared" si="142"/>
        <v>#N/A</v>
      </c>
      <c r="G351" s="1" t="e">
        <f t="shared" si="135"/>
        <v>#N/A</v>
      </c>
      <c r="H351" s="3" t="e">
        <f t="shared" si="143"/>
        <v>#N/A</v>
      </c>
      <c r="I351" s="3" t="e">
        <f t="shared" si="144"/>
        <v>#N/A</v>
      </c>
      <c r="J351" s="1" t="e">
        <f>VLOOKUP((A351+Forudsætninger!$D$60),'Model tilvækst, slagteform, fe'!G:K,3,FALSE)*(1+Forudsætninger!$D$79)</f>
        <v>#N/A</v>
      </c>
      <c r="K351" s="17" t="e">
        <f t="shared" si="136"/>
        <v>#N/A</v>
      </c>
      <c r="L351" s="17" t="e">
        <f t="shared" si="145"/>
        <v>#N/A</v>
      </c>
      <c r="M351" s="3" t="e">
        <f>((K351-(('Model tilvækst, slagteform, fe'!$I$9/100)*'Model tilvækst, slagteform, fe'!$C$9))*1000/(A351+Forudsætninger!$D$60))</f>
        <v>#N/A</v>
      </c>
      <c r="N351" s="17" t="e">
        <f t="shared" si="146"/>
        <v>#N/A</v>
      </c>
      <c r="O351" s="19" t="e">
        <f>IF( A351&lt;Forudsætninger!$C$14,(G351/100)*Forudsætninger!$C$13,(Forudsætninger!$C$15/1000)*Forudsætninger!$C$13)</f>
        <v>#N/A</v>
      </c>
      <c r="P351" s="17" t="e" cm="1">
        <f t="array" ref="P351">INDEX('Model tilvækst, slagteform, fe'!$O$9:$O$375,MATCH(MIN(ABS('Model tilvækst, slagteform, fe'!$M$9:$M$375-G351)),ABS('Model tilvækst, slagteform, fe'!$M$9:$M$375-G351),0))*(1+Forudsætninger!$D$80)</f>
        <v>#N/A</v>
      </c>
      <c r="Q351" s="17" t="e">
        <f t="shared" si="147"/>
        <v>#N/A</v>
      </c>
      <c r="R351" s="17" t="e">
        <f t="shared" si="148"/>
        <v>#N/A</v>
      </c>
      <c r="S351" s="2" t="e">
        <f t="shared" si="137"/>
        <v>#N/A</v>
      </c>
      <c r="T351" s="19" t="e">
        <f>(P351)*IF(N351&lt;Forudsætninger!$B$228,IF(N351&lt;Forudsætninger!$B$227,Forudsætninger!$B$225,Forudsætninger!$C$9),Forudsætninger!$C$11)+O351</f>
        <v>#N/A</v>
      </c>
      <c r="U351" s="2" t="e">
        <f>Forudsætninger!$D$68+((K351-(Forudsætninger!$D$84)))*0.01</f>
        <v>#N/A</v>
      </c>
      <c r="V351" s="2" t="e">
        <f>U351+Forudsætninger!$D$69</f>
        <v>#N/A</v>
      </c>
      <c r="W351" t="e">
        <f t="shared" si="138"/>
        <v>#N/A</v>
      </c>
      <c r="X351">
        <f>IF(A351+Forudsætninger!$D$60&gt;248,IF(A351+Forudsætninger!$D$60&lt;365,IF(K351&gt;180,IF(K351&lt;260,1,0),0),0),0)</f>
        <v>0</v>
      </c>
      <c r="Y351" s="22">
        <f>IF(X351=0,0,IF('Vækstfunktion, kry tyr'!A351&lt;Forudsætninger!$D$66,Forudsætninger!$D$67+(('Vækstfunktion, kry tyr'!A351-Forudsætninger!$D$66)/7)*Forudsætninger!$D$64,Forudsætninger!$D$67))</f>
        <v>0</v>
      </c>
      <c r="Z351" s="19" t="e">
        <f t="shared" si="152"/>
        <v>#N/A</v>
      </c>
      <c r="AA351" s="19">
        <f>Forudsætninger!$D$62+Forudsætninger!$C$16</f>
        <v>2055</v>
      </c>
      <c r="AB351" s="19" t="e">
        <f>IF(K351&gt;Forudsætninger!$C$37,IF(K351&gt;Forudsætninger!$C$38,IF(K351&gt;Forudsætninger!$C$39,Forudsætninger!$E$39,Forudsætninger!$E$38+Forudsætninger!$F$39*(K351-Forudsætninger!$C$38)),Forudsætninger!$E$37+Forudsætninger!$F$38*(K351-Forudsætninger!$C$37)),Forudsætninger!$E$37)+IF(K351&gt;Forudsætninger!$C$39,Forudsætninger!$G$39,IF(K351&gt;Forudsætninger!$C$38,Forudsætninger!$G$38+Forudsætninger!$H$39*(K351-Forudsætninger!$C$38),IF(K351&gt;Forudsætninger!$C$37,Forudsætninger!$G$37+Forudsætninger!$H$38*(K351-Forudsætninger!$C$37),Forudsætninger!$G$37)))*(U351-Forudsætninger!$H$37)</f>
        <v>#N/A</v>
      </c>
      <c r="AC351" s="19" t="e">
        <f>IF(K351&gt;Forudsætninger!$C$42,IF(K351&gt;Forudsætninger!$C$43,IF(K351&gt;Forudsætninger!$C$44,Forudsætninger!$E$44,Forudsætninger!$E$43+Forudsætninger!$F$44*(K351-Forudsætninger!$C$43)),Forudsætninger!$E$42+Forudsætninger!$F$43*(K351-Forudsætninger!$C$42)),Forudsætninger!$E$42)+IF(K351&gt;Forudsætninger!$C$44,Forudsætninger!$G$44,IF(K351&gt;Forudsætninger!$C$43,Forudsætninger!$G$43+Forudsætninger!$H$44*(K351-Forudsætninger!$C$43),IF(K351&gt;Forudsætninger!$C$42,Forudsætninger!$G$42+Forudsætninger!$H$43*(K351-Forudsætninger!$C$42),Forudsætninger!$G$42)))*(V351-Forudsætninger!$H$42)</f>
        <v>#N/A</v>
      </c>
      <c r="AD351" s="19" t="e">
        <f t="shared" si="139"/>
        <v>#N/A</v>
      </c>
      <c r="AE351" s="19" t="e">
        <f t="shared" si="140"/>
        <v>#N/A</v>
      </c>
      <c r="AF351" t="e">
        <f>IF(G351&lt;=Forudsætninger!$C$97,Forudsætninger!$C$98,(IF(G351&lt;=Forudsætninger!$D$97,Forudsætninger!$D$98,IF(G351&lt;=Forudsætninger!$E$97,Forudsætninger!$E$98,IF(G351&lt;=Forudsætninger!$F$97,Forudsætninger!$F$98,IF(G351&lt;=Forudsætninger!$G$97,Forudsætninger!$G$98,IF(G351&lt;=Forudsætninger!$H$97,Forudsætninger!$H$98,IF(G351&lt;=Forudsætninger!$I$97,Forudsætninger!$I$98,Forudsætninger!$I$98))))))))</f>
        <v>#N/A</v>
      </c>
      <c r="AG351" s="1" t="e">
        <f t="shared" si="149"/>
        <v>#N/A</v>
      </c>
      <c r="AH351" s="1" t="e">
        <f t="shared" si="153"/>
        <v>#N/A</v>
      </c>
      <c r="AI351" s="1" t="e">
        <f t="shared" si="141"/>
        <v>#N/A</v>
      </c>
      <c r="AJ351" s="20" t="e">
        <f>+(W351*Forudsætninger!$C$12)</f>
        <v>#N/A</v>
      </c>
      <c r="AK351" s="20">
        <f>Forudsætninger!$C$17</f>
        <v>250</v>
      </c>
      <c r="AL351" s="20">
        <f>IF(A351&lt;92,Forudsætninger!$C$20,Forudsætninger!$C$21)</f>
        <v>1.0566762728146013</v>
      </c>
      <c r="AM351" s="20">
        <f t="shared" si="150"/>
        <v>637.28550206558464</v>
      </c>
      <c r="AN351" s="19">
        <f>IFERROR(AD351+AJ351-AA351-Z351-AK351-AM351-Forudsætninger!$D$75,-99999)</f>
        <v>-99999</v>
      </c>
      <c r="AO351" s="57">
        <f>IFERROR(AN351/(A351+Forudsætninger!$D$74),-99999)</f>
        <v>-286.53008595988541</v>
      </c>
      <c r="AP351" s="19">
        <f>IFERROR(((365/(A351+Forudsætninger!$D$74))*AN351)/(AI351+Forudsætninger!$D$73),-99999)</f>
        <v>-99999</v>
      </c>
      <c r="AQ351" s="18">
        <f t="shared" si="154"/>
        <v>349</v>
      </c>
      <c r="AR351" s="18" t="e">
        <f t="shared" si="155"/>
        <v>#N/A</v>
      </c>
      <c r="AS351" s="50">
        <f t="shared" si="156"/>
        <v>12.6</v>
      </c>
      <c r="AT351" s="50">
        <f t="shared" si="157"/>
        <v>0</v>
      </c>
      <c r="AU351" s="50">
        <f t="shared" si="158"/>
        <v>0.82336231597668075</v>
      </c>
      <c r="AV351" s="2">
        <f t="shared" si="159"/>
        <v>0</v>
      </c>
      <c r="AW351" s="16">
        <f t="shared" si="151"/>
        <v>-284.70405300267743</v>
      </c>
      <c r="AZ351" s="16"/>
      <c r="BA351" s="2"/>
    </row>
    <row r="352" spans="1:53" x14ac:dyDescent="0.25">
      <c r="A352">
        <v>350</v>
      </c>
      <c r="B352" s="1">
        <f>ROUND((A352+Forudsætninger!$D$60)/30.4,1)</f>
        <v>12.6</v>
      </c>
      <c r="C352" s="1" t="e">
        <f>VLOOKUP((A352+Forudsætninger!$D$60),'Model tilvækst, slagteform, fe'!A:C,3,FALSE)</f>
        <v>#N/A</v>
      </c>
      <c r="D352" s="3" t="e">
        <f t="shared" si="160"/>
        <v>#N/A</v>
      </c>
      <c r="E352" s="3" t="e">
        <f>(1+Forudsætninger!$D$78)*C352</f>
        <v>#N/A</v>
      </c>
      <c r="F352" s="2" t="e">
        <f t="shared" si="142"/>
        <v>#N/A</v>
      </c>
      <c r="G352" s="1" t="e">
        <f t="shared" si="135"/>
        <v>#N/A</v>
      </c>
      <c r="H352" s="3" t="e">
        <f t="shared" si="143"/>
        <v>#N/A</v>
      </c>
      <c r="I352" s="3" t="e">
        <f t="shared" si="144"/>
        <v>#N/A</v>
      </c>
      <c r="J352" s="1" t="e">
        <f>VLOOKUP((A352+Forudsætninger!$D$60),'Model tilvækst, slagteform, fe'!G:K,3,FALSE)*(1+Forudsætninger!$D$79)</f>
        <v>#N/A</v>
      </c>
      <c r="K352" s="17" t="e">
        <f t="shared" si="136"/>
        <v>#N/A</v>
      </c>
      <c r="L352" s="17" t="e">
        <f t="shared" si="145"/>
        <v>#N/A</v>
      </c>
      <c r="M352" s="3" t="e">
        <f>((K352-(('Model tilvækst, slagteform, fe'!$I$9/100)*'Model tilvækst, slagteform, fe'!$C$9))*1000/(A352+Forudsætninger!$D$60))</f>
        <v>#N/A</v>
      </c>
      <c r="N352" s="17" t="e">
        <f t="shared" si="146"/>
        <v>#N/A</v>
      </c>
      <c r="O352" s="19" t="e">
        <f>IF( A352&lt;Forudsætninger!$C$14,(G352/100)*Forudsætninger!$C$13,(Forudsætninger!$C$15/1000)*Forudsætninger!$C$13)</f>
        <v>#N/A</v>
      </c>
      <c r="P352" s="17" t="e" cm="1">
        <f t="array" ref="P352">INDEX('Model tilvækst, slagteform, fe'!$O$9:$O$375,MATCH(MIN(ABS('Model tilvækst, slagteform, fe'!$M$9:$M$375-G352)),ABS('Model tilvækst, slagteform, fe'!$M$9:$M$375-G352),0))*(1+Forudsætninger!$D$80)</f>
        <v>#N/A</v>
      </c>
      <c r="Q352" s="17" t="e">
        <f t="shared" si="147"/>
        <v>#N/A</v>
      </c>
      <c r="R352" s="17" t="e">
        <f t="shared" si="148"/>
        <v>#N/A</v>
      </c>
      <c r="S352" s="2" t="e">
        <f t="shared" si="137"/>
        <v>#N/A</v>
      </c>
      <c r="T352" s="19" t="e">
        <f>(P352)*IF(N352&lt;Forudsætninger!$B$228,IF(N352&lt;Forudsætninger!$B$227,Forudsætninger!$B$225,Forudsætninger!$C$9),Forudsætninger!$C$11)+O352</f>
        <v>#N/A</v>
      </c>
      <c r="U352" s="2" t="e">
        <f>Forudsætninger!$D$68+((K352-(Forudsætninger!$D$84)))*0.01</f>
        <v>#N/A</v>
      </c>
      <c r="V352" s="2" t="e">
        <f>U352+Forudsætninger!$D$69</f>
        <v>#N/A</v>
      </c>
      <c r="W352" t="e">
        <f t="shared" si="138"/>
        <v>#N/A</v>
      </c>
      <c r="X352">
        <f>IF(A352+Forudsætninger!$D$60&gt;248,IF(A352+Forudsætninger!$D$60&lt;365,IF(K352&gt;180,IF(K352&lt;260,1,0),0),0),0)</f>
        <v>0</v>
      </c>
      <c r="Y352" s="22">
        <f>IF(X352=0,0,IF('Vækstfunktion, kry tyr'!A352&lt;Forudsætninger!$D$66,Forudsætninger!$D$67+(('Vækstfunktion, kry tyr'!A352-Forudsætninger!$D$66)/7)*Forudsætninger!$D$64,Forudsætninger!$D$67))</f>
        <v>0</v>
      </c>
      <c r="Z352" s="19" t="e">
        <f t="shared" si="152"/>
        <v>#N/A</v>
      </c>
      <c r="AA352" s="19">
        <f>Forudsætninger!$D$62+Forudsætninger!$C$16</f>
        <v>2055</v>
      </c>
      <c r="AB352" s="19" t="e">
        <f>IF(K352&gt;Forudsætninger!$C$37,IF(K352&gt;Forudsætninger!$C$38,IF(K352&gt;Forudsætninger!$C$39,Forudsætninger!$E$39,Forudsætninger!$E$38+Forudsætninger!$F$39*(K352-Forudsætninger!$C$38)),Forudsætninger!$E$37+Forudsætninger!$F$38*(K352-Forudsætninger!$C$37)),Forudsætninger!$E$37)+IF(K352&gt;Forudsætninger!$C$39,Forudsætninger!$G$39,IF(K352&gt;Forudsætninger!$C$38,Forudsætninger!$G$38+Forudsætninger!$H$39*(K352-Forudsætninger!$C$38),IF(K352&gt;Forudsætninger!$C$37,Forudsætninger!$G$37+Forudsætninger!$H$38*(K352-Forudsætninger!$C$37),Forudsætninger!$G$37)))*(U352-Forudsætninger!$H$37)</f>
        <v>#N/A</v>
      </c>
      <c r="AC352" s="19" t="e">
        <f>IF(K352&gt;Forudsætninger!$C$42,IF(K352&gt;Forudsætninger!$C$43,IF(K352&gt;Forudsætninger!$C$44,Forudsætninger!$E$44,Forudsætninger!$E$43+Forudsætninger!$F$44*(K352-Forudsætninger!$C$43)),Forudsætninger!$E$42+Forudsætninger!$F$43*(K352-Forudsætninger!$C$42)),Forudsætninger!$E$42)+IF(K352&gt;Forudsætninger!$C$44,Forudsætninger!$G$44,IF(K352&gt;Forudsætninger!$C$43,Forudsætninger!$G$43+Forudsætninger!$H$44*(K352-Forudsætninger!$C$43),IF(K352&gt;Forudsætninger!$C$42,Forudsætninger!$G$42+Forudsætninger!$H$43*(K352-Forudsætninger!$C$42),Forudsætninger!$G$42)))*(V352-Forudsætninger!$H$42)</f>
        <v>#N/A</v>
      </c>
      <c r="AD352" s="19" t="e">
        <f t="shared" si="139"/>
        <v>#N/A</v>
      </c>
      <c r="AE352" s="19" t="e">
        <f t="shared" si="140"/>
        <v>#N/A</v>
      </c>
      <c r="AF352" t="e">
        <f>IF(G352&lt;=Forudsætninger!$C$97,Forudsætninger!$C$98,(IF(G352&lt;=Forudsætninger!$D$97,Forudsætninger!$D$98,IF(G352&lt;=Forudsætninger!$E$97,Forudsætninger!$E$98,IF(G352&lt;=Forudsætninger!$F$97,Forudsætninger!$F$98,IF(G352&lt;=Forudsætninger!$G$97,Forudsætninger!$G$98,IF(G352&lt;=Forudsætninger!$H$97,Forudsætninger!$H$98,IF(G352&lt;=Forudsætninger!$I$97,Forudsætninger!$I$98,Forudsætninger!$I$98))))))))</f>
        <v>#N/A</v>
      </c>
      <c r="AG352" s="1" t="e">
        <f t="shared" si="149"/>
        <v>#N/A</v>
      </c>
      <c r="AH352" s="1" t="e">
        <f t="shared" si="153"/>
        <v>#N/A</v>
      </c>
      <c r="AI352" s="1" t="e">
        <f t="shared" si="141"/>
        <v>#N/A</v>
      </c>
      <c r="AJ352" s="20" t="e">
        <f>+(W352*Forudsætninger!$C$12)</f>
        <v>#N/A</v>
      </c>
      <c r="AK352" s="20">
        <f>Forudsætninger!$C$17</f>
        <v>250</v>
      </c>
      <c r="AL352" s="20">
        <f>IF(A352&lt;92,Forudsætninger!$C$20,Forudsætninger!$C$21)</f>
        <v>1.0566762728146013</v>
      </c>
      <c r="AM352" s="20">
        <f t="shared" si="150"/>
        <v>638.34217833839921</v>
      </c>
      <c r="AN352" s="19">
        <f>IFERROR(AD352+AJ352-AA352-Z352-AK352-AM352-Forudsætninger!$D$75,-99999)</f>
        <v>-99999</v>
      </c>
      <c r="AO352" s="57">
        <f>IFERROR(AN352/(A352+Forudsætninger!$D$74),-99999)</f>
        <v>-285.7114285714286</v>
      </c>
      <c r="AP352" s="19">
        <f>IFERROR(((365/(A352+Forudsætninger!$D$74))*AN352)/(AI352+Forudsætninger!$D$73),-99999)</f>
        <v>-99999</v>
      </c>
      <c r="AQ352" s="18">
        <f t="shared" si="154"/>
        <v>350</v>
      </c>
      <c r="AR352" s="18" t="e">
        <f t="shared" si="155"/>
        <v>#N/A</v>
      </c>
      <c r="AS352" s="50">
        <f t="shared" si="156"/>
        <v>12.6</v>
      </c>
      <c r="AT352" s="50">
        <f t="shared" si="157"/>
        <v>0</v>
      </c>
      <c r="AU352" s="50">
        <f t="shared" si="158"/>
        <v>0.81865738845681335</v>
      </c>
      <c r="AV352" s="2">
        <f t="shared" si="159"/>
        <v>0</v>
      </c>
      <c r="AW352" s="16">
        <f t="shared" si="151"/>
        <v>-283.887593776176</v>
      </c>
      <c r="AZ352" s="16"/>
      <c r="BA352" s="2"/>
    </row>
    <row r="353" spans="1:53" x14ac:dyDescent="0.25">
      <c r="A353">
        <v>351</v>
      </c>
      <c r="B353" s="1">
        <f>ROUND((A353+Forudsætninger!$D$60)/30.4,1)</f>
        <v>12.7</v>
      </c>
      <c r="C353" s="1" t="e">
        <f>VLOOKUP((A353+Forudsætninger!$D$60),'Model tilvækst, slagteform, fe'!A:C,3,FALSE)</f>
        <v>#N/A</v>
      </c>
      <c r="D353" s="3" t="e">
        <f t="shared" si="160"/>
        <v>#N/A</v>
      </c>
      <c r="E353" s="3" t="e">
        <f>(1+Forudsætninger!$D$78)*C353</f>
        <v>#N/A</v>
      </c>
      <c r="F353" s="2" t="e">
        <f t="shared" si="142"/>
        <v>#N/A</v>
      </c>
      <c r="G353" s="1" t="e">
        <f t="shared" si="135"/>
        <v>#N/A</v>
      </c>
      <c r="H353" s="3" t="e">
        <f t="shared" si="143"/>
        <v>#N/A</v>
      </c>
      <c r="I353" s="3" t="e">
        <f t="shared" si="144"/>
        <v>#N/A</v>
      </c>
      <c r="J353" s="1" t="e">
        <f>VLOOKUP((A353+Forudsætninger!$D$60),'Model tilvækst, slagteform, fe'!G:K,3,FALSE)*(1+Forudsætninger!$D$79)</f>
        <v>#N/A</v>
      </c>
      <c r="K353" s="17" t="e">
        <f t="shared" si="136"/>
        <v>#N/A</v>
      </c>
      <c r="L353" s="17" t="e">
        <f t="shared" si="145"/>
        <v>#N/A</v>
      </c>
      <c r="M353" s="3" t="e">
        <f>((K353-(('Model tilvækst, slagteform, fe'!$I$9/100)*'Model tilvækst, slagteform, fe'!$C$9))*1000/(A353+Forudsætninger!$D$60))</f>
        <v>#N/A</v>
      </c>
      <c r="N353" s="17" t="e">
        <f t="shared" si="146"/>
        <v>#N/A</v>
      </c>
      <c r="O353" s="19" t="e">
        <f>IF( A353&lt;Forudsætninger!$C$14,(G353/100)*Forudsætninger!$C$13,(Forudsætninger!$C$15/1000)*Forudsætninger!$C$13)</f>
        <v>#N/A</v>
      </c>
      <c r="P353" s="17" t="e" cm="1">
        <f t="array" ref="P353">INDEX('Model tilvækst, slagteform, fe'!$O$9:$O$375,MATCH(MIN(ABS('Model tilvækst, slagteform, fe'!$M$9:$M$375-G353)),ABS('Model tilvækst, slagteform, fe'!$M$9:$M$375-G353),0))*(1+Forudsætninger!$D$80)</f>
        <v>#N/A</v>
      </c>
      <c r="Q353" s="17" t="e">
        <f t="shared" si="147"/>
        <v>#N/A</v>
      </c>
      <c r="R353" s="17" t="e">
        <f t="shared" si="148"/>
        <v>#N/A</v>
      </c>
      <c r="S353" s="2" t="e">
        <f t="shared" si="137"/>
        <v>#N/A</v>
      </c>
      <c r="T353" s="19" t="e">
        <f>(P353)*IF(N353&lt;Forudsætninger!$B$228,IF(N353&lt;Forudsætninger!$B$227,Forudsætninger!$B$225,Forudsætninger!$C$9),Forudsætninger!$C$11)+O353</f>
        <v>#N/A</v>
      </c>
      <c r="U353" s="2" t="e">
        <f>Forudsætninger!$D$68+((K353-(Forudsætninger!$D$84)))*0.01</f>
        <v>#N/A</v>
      </c>
      <c r="V353" s="2" t="e">
        <f>U353+Forudsætninger!$D$69</f>
        <v>#N/A</v>
      </c>
      <c r="W353" t="e">
        <f t="shared" si="138"/>
        <v>#N/A</v>
      </c>
      <c r="X353">
        <f>IF(A353+Forudsætninger!$D$60&gt;248,IF(A353+Forudsætninger!$D$60&lt;365,IF(K353&gt;180,IF(K353&lt;260,1,0),0),0),0)</f>
        <v>0</v>
      </c>
      <c r="Y353" s="22">
        <f>IF(X353=0,0,IF('Vækstfunktion, kry tyr'!A353&lt;Forudsætninger!$D$66,Forudsætninger!$D$67+(('Vækstfunktion, kry tyr'!A353-Forudsætninger!$D$66)/7)*Forudsætninger!$D$64,Forudsætninger!$D$67))</f>
        <v>0</v>
      </c>
      <c r="Z353" s="19" t="e">
        <f t="shared" si="152"/>
        <v>#N/A</v>
      </c>
      <c r="AA353" s="19">
        <f>Forudsætninger!$D$62+Forudsætninger!$C$16</f>
        <v>2055</v>
      </c>
      <c r="AB353" s="19" t="e">
        <f>IF(K353&gt;Forudsætninger!$C$37,IF(K353&gt;Forudsætninger!$C$38,IF(K353&gt;Forudsætninger!$C$39,Forudsætninger!$E$39,Forudsætninger!$E$38+Forudsætninger!$F$39*(K353-Forudsætninger!$C$38)),Forudsætninger!$E$37+Forudsætninger!$F$38*(K353-Forudsætninger!$C$37)),Forudsætninger!$E$37)+IF(K353&gt;Forudsætninger!$C$39,Forudsætninger!$G$39,IF(K353&gt;Forudsætninger!$C$38,Forudsætninger!$G$38+Forudsætninger!$H$39*(K353-Forudsætninger!$C$38),IF(K353&gt;Forudsætninger!$C$37,Forudsætninger!$G$37+Forudsætninger!$H$38*(K353-Forudsætninger!$C$37),Forudsætninger!$G$37)))*(U353-Forudsætninger!$H$37)</f>
        <v>#N/A</v>
      </c>
      <c r="AC353" s="19" t="e">
        <f>IF(K353&gt;Forudsætninger!$C$42,IF(K353&gt;Forudsætninger!$C$43,IF(K353&gt;Forudsætninger!$C$44,Forudsætninger!$E$44,Forudsætninger!$E$43+Forudsætninger!$F$44*(K353-Forudsætninger!$C$43)),Forudsætninger!$E$42+Forudsætninger!$F$43*(K353-Forudsætninger!$C$42)),Forudsætninger!$E$42)+IF(K353&gt;Forudsætninger!$C$44,Forudsætninger!$G$44,IF(K353&gt;Forudsætninger!$C$43,Forudsætninger!$G$43+Forudsætninger!$H$44*(K353-Forudsætninger!$C$43),IF(K353&gt;Forudsætninger!$C$42,Forudsætninger!$G$42+Forudsætninger!$H$43*(K353-Forudsætninger!$C$42),Forudsætninger!$G$42)))*(V353-Forudsætninger!$H$42)</f>
        <v>#N/A</v>
      </c>
      <c r="AD353" s="19" t="e">
        <f t="shared" si="139"/>
        <v>#N/A</v>
      </c>
      <c r="AE353" s="19" t="e">
        <f t="shared" si="140"/>
        <v>#N/A</v>
      </c>
      <c r="AF353" t="e">
        <f>IF(G353&lt;=Forudsætninger!$C$97,Forudsætninger!$C$98,(IF(G353&lt;=Forudsætninger!$D$97,Forudsætninger!$D$98,IF(G353&lt;=Forudsætninger!$E$97,Forudsætninger!$E$98,IF(G353&lt;=Forudsætninger!$F$97,Forudsætninger!$F$98,IF(G353&lt;=Forudsætninger!$G$97,Forudsætninger!$G$98,IF(G353&lt;=Forudsætninger!$H$97,Forudsætninger!$H$98,IF(G353&lt;=Forudsætninger!$I$97,Forudsætninger!$I$98,Forudsætninger!$I$98))))))))</f>
        <v>#N/A</v>
      </c>
      <c r="AG353" s="1" t="e">
        <f t="shared" si="149"/>
        <v>#N/A</v>
      </c>
      <c r="AH353" s="1" t="e">
        <f t="shared" si="153"/>
        <v>#N/A</v>
      </c>
      <c r="AI353" s="1" t="e">
        <f t="shared" si="141"/>
        <v>#N/A</v>
      </c>
      <c r="AJ353" s="20" t="e">
        <f>+(W353*Forudsætninger!$C$12)</f>
        <v>#N/A</v>
      </c>
      <c r="AK353" s="20">
        <f>Forudsætninger!$C$17</f>
        <v>250</v>
      </c>
      <c r="AL353" s="20">
        <f>IF(A353&lt;92,Forudsætninger!$C$20,Forudsætninger!$C$21)</f>
        <v>1.0566762728146013</v>
      </c>
      <c r="AM353" s="20">
        <f t="shared" si="150"/>
        <v>639.39885461121378</v>
      </c>
      <c r="AN353" s="19">
        <f>IFERROR(AD353+AJ353-AA353-Z353-AK353-AM353-Forudsætninger!$D$75,-99999)</f>
        <v>-99999</v>
      </c>
      <c r="AO353" s="57">
        <f>IFERROR(AN353/(A353+Forudsætninger!$D$74),-99999)</f>
        <v>-284.89743589743591</v>
      </c>
      <c r="AP353" s="19">
        <f>IFERROR(((365/(A353+Forudsætninger!$D$74))*AN353)/(AI353+Forudsætninger!$D$73),-99999)</f>
        <v>-99999</v>
      </c>
      <c r="AQ353" s="18">
        <f t="shared" si="154"/>
        <v>351</v>
      </c>
      <c r="AR353" s="18" t="e">
        <f t="shared" si="155"/>
        <v>#N/A</v>
      </c>
      <c r="AS353" s="50">
        <f t="shared" si="156"/>
        <v>12.7</v>
      </c>
      <c r="AT353" s="50">
        <f t="shared" si="157"/>
        <v>0</v>
      </c>
      <c r="AU353" s="50">
        <f t="shared" si="158"/>
        <v>0.81399267399268638</v>
      </c>
      <c r="AV353" s="2">
        <f t="shared" si="159"/>
        <v>0</v>
      </c>
      <c r="AW353" s="16">
        <f t="shared" si="151"/>
        <v>-283.0757867389994</v>
      </c>
      <c r="AZ353" s="16"/>
      <c r="BA353" s="2"/>
    </row>
    <row r="354" spans="1:53" x14ac:dyDescent="0.25">
      <c r="A354">
        <v>352</v>
      </c>
      <c r="B354" s="1">
        <f>ROUND((A354+Forudsætninger!$D$60)/30.4,1)</f>
        <v>12.7</v>
      </c>
      <c r="C354" s="1" t="e">
        <f>VLOOKUP((A354+Forudsætninger!$D$60),'Model tilvækst, slagteform, fe'!A:C,3,FALSE)</f>
        <v>#N/A</v>
      </c>
      <c r="D354" s="3" t="e">
        <f t="shared" si="160"/>
        <v>#N/A</v>
      </c>
      <c r="E354" s="3" t="e">
        <f>(1+Forudsætninger!$D$78)*C354</f>
        <v>#N/A</v>
      </c>
      <c r="F354" s="2" t="e">
        <f t="shared" si="142"/>
        <v>#N/A</v>
      </c>
      <c r="G354" s="1" t="e">
        <f t="shared" si="135"/>
        <v>#N/A</v>
      </c>
      <c r="H354" s="3" t="e">
        <f t="shared" si="143"/>
        <v>#N/A</v>
      </c>
      <c r="I354" s="3" t="e">
        <f t="shared" si="144"/>
        <v>#N/A</v>
      </c>
      <c r="J354" s="1" t="e">
        <f>VLOOKUP((A354+Forudsætninger!$D$60),'Model tilvækst, slagteform, fe'!G:K,3,FALSE)*(1+Forudsætninger!$D$79)</f>
        <v>#N/A</v>
      </c>
      <c r="K354" s="17" t="e">
        <f t="shared" si="136"/>
        <v>#N/A</v>
      </c>
      <c r="L354" s="17" t="e">
        <f t="shared" si="145"/>
        <v>#N/A</v>
      </c>
      <c r="M354" s="3" t="e">
        <f>((K354-(('Model tilvækst, slagteform, fe'!$I$9/100)*'Model tilvækst, slagteform, fe'!$C$9))*1000/(A354+Forudsætninger!$D$60))</f>
        <v>#N/A</v>
      </c>
      <c r="N354" s="17" t="e">
        <f t="shared" si="146"/>
        <v>#N/A</v>
      </c>
      <c r="O354" s="19" t="e">
        <f>IF( A354&lt;Forudsætninger!$C$14,(G354/100)*Forudsætninger!$C$13,(Forudsætninger!$C$15/1000)*Forudsætninger!$C$13)</f>
        <v>#N/A</v>
      </c>
      <c r="P354" s="17" t="e" cm="1">
        <f t="array" ref="P354">INDEX('Model tilvækst, slagteform, fe'!$O$9:$O$375,MATCH(MIN(ABS('Model tilvækst, slagteform, fe'!$M$9:$M$375-G354)),ABS('Model tilvækst, slagteform, fe'!$M$9:$M$375-G354),0))*(1+Forudsætninger!$D$80)</f>
        <v>#N/A</v>
      </c>
      <c r="Q354" s="17" t="e">
        <f t="shared" si="147"/>
        <v>#N/A</v>
      </c>
      <c r="R354" s="17" t="e">
        <f t="shared" si="148"/>
        <v>#N/A</v>
      </c>
      <c r="S354" s="2" t="e">
        <f t="shared" si="137"/>
        <v>#N/A</v>
      </c>
      <c r="T354" s="19" t="e">
        <f>(P354)*IF(N354&lt;Forudsætninger!$B$228,IF(N354&lt;Forudsætninger!$B$227,Forudsætninger!$B$225,Forudsætninger!$C$9),Forudsætninger!$C$11)+O354</f>
        <v>#N/A</v>
      </c>
      <c r="U354" s="2" t="e">
        <f>Forudsætninger!$D$68+((K354-(Forudsætninger!$D$84)))*0.01</f>
        <v>#N/A</v>
      </c>
      <c r="V354" s="2" t="e">
        <f>U354+Forudsætninger!$D$69</f>
        <v>#N/A</v>
      </c>
      <c r="W354" t="e">
        <f t="shared" si="138"/>
        <v>#N/A</v>
      </c>
      <c r="X354">
        <f>IF(A354+Forudsætninger!$D$60&gt;248,IF(A354+Forudsætninger!$D$60&lt;365,IF(K354&gt;180,IF(K354&lt;260,1,0),0),0),0)</f>
        <v>0</v>
      </c>
      <c r="Y354" s="22">
        <f>IF(X354=0,0,IF('Vækstfunktion, kry tyr'!A354&lt;Forudsætninger!$D$66,Forudsætninger!$D$67+(('Vækstfunktion, kry tyr'!A354-Forudsætninger!$D$66)/7)*Forudsætninger!$D$64,Forudsætninger!$D$67))</f>
        <v>0</v>
      </c>
      <c r="Z354" s="19" t="e">
        <f t="shared" si="152"/>
        <v>#N/A</v>
      </c>
      <c r="AA354" s="19">
        <f>Forudsætninger!$D$62+Forudsætninger!$C$16</f>
        <v>2055</v>
      </c>
      <c r="AB354" s="19" t="e">
        <f>IF(K354&gt;Forudsætninger!$C$37,IF(K354&gt;Forudsætninger!$C$38,IF(K354&gt;Forudsætninger!$C$39,Forudsætninger!$E$39,Forudsætninger!$E$38+Forudsætninger!$F$39*(K354-Forudsætninger!$C$38)),Forudsætninger!$E$37+Forudsætninger!$F$38*(K354-Forudsætninger!$C$37)),Forudsætninger!$E$37)+IF(K354&gt;Forudsætninger!$C$39,Forudsætninger!$G$39,IF(K354&gt;Forudsætninger!$C$38,Forudsætninger!$G$38+Forudsætninger!$H$39*(K354-Forudsætninger!$C$38),IF(K354&gt;Forudsætninger!$C$37,Forudsætninger!$G$37+Forudsætninger!$H$38*(K354-Forudsætninger!$C$37),Forudsætninger!$G$37)))*(U354-Forudsætninger!$H$37)</f>
        <v>#N/A</v>
      </c>
      <c r="AC354" s="19" t="e">
        <f>IF(K354&gt;Forudsætninger!$C$42,IF(K354&gt;Forudsætninger!$C$43,IF(K354&gt;Forudsætninger!$C$44,Forudsætninger!$E$44,Forudsætninger!$E$43+Forudsætninger!$F$44*(K354-Forudsætninger!$C$43)),Forudsætninger!$E$42+Forudsætninger!$F$43*(K354-Forudsætninger!$C$42)),Forudsætninger!$E$42)+IF(K354&gt;Forudsætninger!$C$44,Forudsætninger!$G$44,IF(K354&gt;Forudsætninger!$C$43,Forudsætninger!$G$43+Forudsætninger!$H$44*(K354-Forudsætninger!$C$43),IF(K354&gt;Forudsætninger!$C$42,Forudsætninger!$G$42+Forudsætninger!$H$43*(K354-Forudsætninger!$C$42),Forudsætninger!$G$42)))*(V354-Forudsætninger!$H$42)</f>
        <v>#N/A</v>
      </c>
      <c r="AD354" s="19" t="e">
        <f t="shared" si="139"/>
        <v>#N/A</v>
      </c>
      <c r="AE354" s="19" t="e">
        <f t="shared" si="140"/>
        <v>#N/A</v>
      </c>
      <c r="AF354" t="e">
        <f>IF(G354&lt;=Forudsætninger!$C$97,Forudsætninger!$C$98,(IF(G354&lt;=Forudsætninger!$D$97,Forudsætninger!$D$98,IF(G354&lt;=Forudsætninger!$E$97,Forudsætninger!$E$98,IF(G354&lt;=Forudsætninger!$F$97,Forudsætninger!$F$98,IF(G354&lt;=Forudsætninger!$G$97,Forudsætninger!$G$98,IF(G354&lt;=Forudsætninger!$H$97,Forudsætninger!$H$98,IF(G354&lt;=Forudsætninger!$I$97,Forudsætninger!$I$98,Forudsætninger!$I$98))))))))</f>
        <v>#N/A</v>
      </c>
      <c r="AG354" s="1" t="e">
        <f t="shared" si="149"/>
        <v>#N/A</v>
      </c>
      <c r="AH354" s="1" t="e">
        <f t="shared" si="153"/>
        <v>#N/A</v>
      </c>
      <c r="AI354" s="1" t="e">
        <f t="shared" si="141"/>
        <v>#N/A</v>
      </c>
      <c r="AJ354" s="20" t="e">
        <f>+(W354*Forudsætninger!$C$12)</f>
        <v>#N/A</v>
      </c>
      <c r="AK354" s="20">
        <f>Forudsætninger!$C$17</f>
        <v>250</v>
      </c>
      <c r="AL354" s="20">
        <f>IF(A354&lt;92,Forudsætninger!$C$20,Forudsætninger!$C$21)</f>
        <v>1.0566762728146013</v>
      </c>
      <c r="AM354" s="20">
        <f t="shared" si="150"/>
        <v>640.45553088402835</v>
      </c>
      <c r="AN354" s="19">
        <f>IFERROR(AD354+AJ354-AA354-Z354-AK354-AM354-Forudsætninger!$D$75,-99999)</f>
        <v>-99999</v>
      </c>
      <c r="AO354" s="57">
        <f>IFERROR(AN354/(A354+Forudsætninger!$D$74),-99999)</f>
        <v>-284.08806818181819</v>
      </c>
      <c r="AP354" s="19">
        <f>IFERROR(((365/(A354+Forudsætninger!$D$74))*AN354)/(AI354+Forudsætninger!$D$73),-99999)</f>
        <v>-99999</v>
      </c>
      <c r="AQ354" s="18">
        <f t="shared" si="154"/>
        <v>352</v>
      </c>
      <c r="AR354" s="18" t="e">
        <f t="shared" si="155"/>
        <v>#N/A</v>
      </c>
      <c r="AS354" s="50">
        <f t="shared" si="156"/>
        <v>12.7</v>
      </c>
      <c r="AT354" s="50">
        <f t="shared" si="157"/>
        <v>0</v>
      </c>
      <c r="AU354" s="50">
        <f t="shared" si="158"/>
        <v>0.80936771561772503</v>
      </c>
      <c r="AV354" s="2">
        <f t="shared" si="159"/>
        <v>0</v>
      </c>
      <c r="AW354" s="16">
        <f t="shared" si="151"/>
        <v>-282.26859224180674</v>
      </c>
      <c r="AZ354" s="16"/>
      <c r="BA354" s="2"/>
    </row>
    <row r="355" spans="1:53" x14ac:dyDescent="0.25">
      <c r="A355">
        <v>353</v>
      </c>
      <c r="B355" s="1">
        <f>ROUND((A355+Forudsætninger!$D$60)/30.4,1)</f>
        <v>12.7</v>
      </c>
      <c r="C355" s="1" t="e">
        <f>VLOOKUP((A355+Forudsætninger!$D$60),'Model tilvækst, slagteform, fe'!A:C,3,FALSE)</f>
        <v>#N/A</v>
      </c>
      <c r="D355" s="3" t="e">
        <f t="shared" si="160"/>
        <v>#N/A</v>
      </c>
      <c r="E355" s="3" t="e">
        <f>(1+Forudsætninger!$D$78)*C355</f>
        <v>#N/A</v>
      </c>
      <c r="F355" s="2" t="e">
        <f t="shared" si="142"/>
        <v>#N/A</v>
      </c>
      <c r="G355" s="1" t="e">
        <f t="shared" si="135"/>
        <v>#N/A</v>
      </c>
      <c r="H355" s="3" t="e">
        <f>(G355-G354)*1000</f>
        <v>#N/A</v>
      </c>
      <c r="I355" s="3" t="e">
        <f t="shared" si="144"/>
        <v>#N/A</v>
      </c>
      <c r="J355" s="1" t="e">
        <f>VLOOKUP((A355+Forudsætninger!$D$60),'Model tilvækst, slagteform, fe'!G:K,3,FALSE)*(1+Forudsætninger!$D$79)</f>
        <v>#N/A</v>
      </c>
      <c r="K355" s="17" t="e">
        <f t="shared" si="136"/>
        <v>#N/A</v>
      </c>
      <c r="L355" s="17" t="e">
        <f t="shared" si="145"/>
        <v>#N/A</v>
      </c>
      <c r="M355" s="3" t="e">
        <f>((K355-(('Model tilvækst, slagteform, fe'!$I$9/100)*'Model tilvækst, slagteform, fe'!$C$9))*1000/(A355+Forudsætninger!$D$60))</f>
        <v>#N/A</v>
      </c>
      <c r="N355" s="17" t="e">
        <f t="shared" si="146"/>
        <v>#N/A</v>
      </c>
      <c r="O355" s="19" t="e">
        <f>IF( A355&lt;Forudsætninger!$C$14,(G355/100)*Forudsætninger!$C$13,(Forudsætninger!$C$15/1000)*Forudsætninger!$C$13)</f>
        <v>#N/A</v>
      </c>
      <c r="P355" s="17" t="e" cm="1">
        <f t="array" ref="P355">INDEX('Model tilvækst, slagteform, fe'!$O$9:$O$375,MATCH(MIN(ABS('Model tilvækst, slagteform, fe'!$M$9:$M$375-G355)),ABS('Model tilvækst, slagteform, fe'!$M$9:$M$375-G355),0))*(1+Forudsætninger!$D$80)</f>
        <v>#N/A</v>
      </c>
      <c r="Q355" s="17" t="e">
        <f t="shared" si="147"/>
        <v>#N/A</v>
      </c>
      <c r="R355" s="17" t="e">
        <f t="shared" si="148"/>
        <v>#N/A</v>
      </c>
      <c r="S355" s="2" t="e">
        <f t="shared" si="137"/>
        <v>#N/A</v>
      </c>
      <c r="T355" s="19" t="e">
        <f>(P355)*IF(N355&lt;Forudsætninger!$B$228,IF(N355&lt;Forudsætninger!$B$227,Forudsætninger!$B$225,Forudsætninger!$C$9),Forudsætninger!$C$11)+O355</f>
        <v>#N/A</v>
      </c>
      <c r="U355" s="2" t="e">
        <f>Forudsætninger!$D$68+((K355-(Forudsætninger!$D$84)))*0.01</f>
        <v>#N/A</v>
      </c>
      <c r="V355" s="2" t="e">
        <f>U355+Forudsætninger!$D$69</f>
        <v>#N/A</v>
      </c>
      <c r="W355" t="e">
        <f t="shared" si="138"/>
        <v>#N/A</v>
      </c>
      <c r="X355">
        <f>IF(A355+Forudsætninger!$D$60&gt;248,IF(A355+Forudsætninger!$D$60&lt;365,IF(K355&gt;180,IF(K355&lt;260,1,0),0),0),0)</f>
        <v>0</v>
      </c>
      <c r="Y355" s="22">
        <f>IF(X355=0,0,IF('Vækstfunktion, kry tyr'!A355&lt;Forudsætninger!$D$66,Forudsætninger!$D$67+(('Vækstfunktion, kry tyr'!A355-Forudsætninger!$D$66)/7)*Forudsætninger!$D$64,Forudsætninger!$D$67))</f>
        <v>0</v>
      </c>
      <c r="Z355" s="19" t="e">
        <f t="shared" si="152"/>
        <v>#N/A</v>
      </c>
      <c r="AA355" s="19">
        <f>Forudsætninger!$D$62+Forudsætninger!$C$16</f>
        <v>2055</v>
      </c>
      <c r="AB355" s="19" t="e">
        <f>IF(K355&gt;Forudsætninger!$C$37,IF(K355&gt;Forudsætninger!$C$38,IF(K355&gt;Forudsætninger!$C$39,Forudsætninger!$E$39,Forudsætninger!$E$38+Forudsætninger!$F$39*(K355-Forudsætninger!$C$38)),Forudsætninger!$E$37+Forudsætninger!$F$38*(K355-Forudsætninger!$C$37)),Forudsætninger!$E$37)+IF(K355&gt;Forudsætninger!$C$39,Forudsætninger!$G$39,IF(K355&gt;Forudsætninger!$C$38,Forudsætninger!$G$38+Forudsætninger!$H$39*(K355-Forudsætninger!$C$38),IF(K355&gt;Forudsætninger!$C$37,Forudsætninger!$G$37+Forudsætninger!$H$38*(K355-Forudsætninger!$C$37),Forudsætninger!$G$37)))*(U355-Forudsætninger!$H$37)</f>
        <v>#N/A</v>
      </c>
      <c r="AC355" s="19" t="e">
        <f>IF(K355&gt;Forudsætninger!$C$42,IF(K355&gt;Forudsætninger!$C$43,IF(K355&gt;Forudsætninger!$C$44,Forudsætninger!$E$44,Forudsætninger!$E$43+Forudsætninger!$F$44*(K355-Forudsætninger!$C$43)),Forudsætninger!$E$42+Forudsætninger!$F$43*(K355-Forudsætninger!$C$42)),Forudsætninger!$E$42)+IF(K355&gt;Forudsætninger!$C$44,Forudsætninger!$G$44,IF(K355&gt;Forudsætninger!$C$43,Forudsætninger!$G$43+Forudsætninger!$H$44*(K355-Forudsætninger!$C$43),IF(K355&gt;Forudsætninger!$C$42,Forudsætninger!$G$42+Forudsætninger!$H$43*(K355-Forudsætninger!$C$42),Forudsætninger!$G$42)))*(V355-Forudsætninger!$H$42)</f>
        <v>#N/A</v>
      </c>
      <c r="AD355" s="19" t="e">
        <f t="shared" si="139"/>
        <v>#N/A</v>
      </c>
      <c r="AE355" s="19" t="e">
        <f t="shared" si="140"/>
        <v>#N/A</v>
      </c>
      <c r="AF355" t="e">
        <f>IF(G355&lt;=Forudsætninger!$C$97,Forudsætninger!$C$98,(IF(G355&lt;=Forudsætninger!$D$97,Forudsætninger!$D$98,IF(G355&lt;=Forudsætninger!$E$97,Forudsætninger!$E$98,IF(G355&lt;=Forudsætninger!$F$97,Forudsætninger!$F$98,IF(G355&lt;=Forudsætninger!$G$97,Forudsætninger!$G$98,IF(G355&lt;=Forudsætninger!$H$97,Forudsætninger!$H$98,IF(G355&lt;=Forudsætninger!$I$97,Forudsætninger!$I$98,Forudsætninger!$I$98))))))))</f>
        <v>#N/A</v>
      </c>
      <c r="AG355" s="1" t="e">
        <f t="shared" si="149"/>
        <v>#N/A</v>
      </c>
      <c r="AH355" s="1" t="e">
        <f t="shared" si="153"/>
        <v>#N/A</v>
      </c>
      <c r="AI355" s="1" t="e">
        <f t="shared" si="141"/>
        <v>#N/A</v>
      </c>
      <c r="AJ355" s="20" t="e">
        <f>+(W355*Forudsætninger!$C$12)</f>
        <v>#N/A</v>
      </c>
      <c r="AK355" s="20">
        <f>Forudsætninger!$C$17</f>
        <v>250</v>
      </c>
      <c r="AL355" s="20">
        <f>IF(A355&lt;92,Forudsætninger!$C$20,Forudsætninger!$C$21)</f>
        <v>1.0566762728146013</v>
      </c>
      <c r="AM355" s="20">
        <f t="shared" si="150"/>
        <v>641.51220715684292</v>
      </c>
      <c r="AN355" s="19">
        <f>IFERROR(AD355+AJ355-AA355-Z355-AK355-AM355-Forudsætninger!$D$75,-99999)</f>
        <v>-99999</v>
      </c>
      <c r="AO355" s="57">
        <f>IFERROR(AN355/(A355+Forudsætninger!$D$74),-99999)</f>
        <v>-283.28328611898019</v>
      </c>
      <c r="AP355" s="19">
        <f>IFERROR(((365/(A355+Forudsætninger!$D$74))*AN355)/(AI355+Forudsætninger!$D$73),-99999)</f>
        <v>-99999</v>
      </c>
      <c r="AQ355" s="18">
        <f t="shared" si="154"/>
        <v>353</v>
      </c>
      <c r="AR355" s="18" t="e">
        <f t="shared" si="155"/>
        <v>#N/A</v>
      </c>
      <c r="AS355" s="50">
        <f t="shared" si="156"/>
        <v>12.7</v>
      </c>
      <c r="AT355" s="50">
        <f t="shared" si="157"/>
        <v>0</v>
      </c>
      <c r="AU355" s="50">
        <f t="shared" si="158"/>
        <v>0.80478206283800091</v>
      </c>
      <c r="AV355" s="2">
        <f t="shared" si="159"/>
        <v>0</v>
      </c>
      <c r="AW355" s="16">
        <f t="shared" si="151"/>
        <v>-281.46597108454154</v>
      </c>
      <c r="AZ355" s="16"/>
      <c r="BA355" s="2"/>
    </row>
    <row r="356" spans="1:53" x14ac:dyDescent="0.25">
      <c r="A356">
        <v>354</v>
      </c>
      <c r="B356" s="1">
        <f>ROUND((A356+Forudsætninger!$D$60)/30.4,1)</f>
        <v>12.8</v>
      </c>
      <c r="C356" s="1" t="e">
        <f>VLOOKUP((A356+Forudsætninger!$D$60),'Model tilvækst, slagteform, fe'!A:C,3,FALSE)</f>
        <v>#N/A</v>
      </c>
      <c r="D356" s="3" t="e">
        <f t="shared" si="160"/>
        <v>#N/A</v>
      </c>
      <c r="E356" s="3" t="e">
        <f>(1+Forudsætninger!$D$78)*C356</f>
        <v>#N/A</v>
      </c>
      <c r="F356" s="2" t="e">
        <f t="shared" si="142"/>
        <v>#N/A</v>
      </c>
      <c r="G356" s="1" t="e">
        <f t="shared" si="135"/>
        <v>#N/A</v>
      </c>
      <c r="H356" s="3" t="e">
        <f t="shared" si="143"/>
        <v>#N/A</v>
      </c>
      <c r="I356" s="3" t="e">
        <f t="shared" si="144"/>
        <v>#N/A</v>
      </c>
      <c r="J356" s="1" t="e">
        <f>VLOOKUP((A356+Forudsætninger!$D$60),'Model tilvækst, slagteform, fe'!G:K,3,FALSE)*(1+Forudsætninger!$D$79)</f>
        <v>#N/A</v>
      </c>
      <c r="K356" s="17" t="e">
        <f t="shared" si="136"/>
        <v>#N/A</v>
      </c>
      <c r="L356" s="17" t="e">
        <f t="shared" si="145"/>
        <v>#N/A</v>
      </c>
      <c r="M356" s="3" t="e">
        <f>((K356-(('Model tilvækst, slagteform, fe'!$I$9/100)*'Model tilvækst, slagteform, fe'!$C$9))*1000/(A356+Forudsætninger!$D$60))</f>
        <v>#N/A</v>
      </c>
      <c r="N356" s="17" t="e">
        <f t="shared" si="146"/>
        <v>#N/A</v>
      </c>
      <c r="O356" s="19" t="e">
        <f>IF( A356&lt;Forudsætninger!$C$14,(G356/100)*Forudsætninger!$C$13,(Forudsætninger!$C$15/1000)*Forudsætninger!$C$13)</f>
        <v>#N/A</v>
      </c>
      <c r="P356" s="17" t="e" cm="1">
        <f t="array" ref="P356">INDEX('Model tilvækst, slagteform, fe'!$O$9:$O$375,MATCH(MIN(ABS('Model tilvækst, slagteform, fe'!$M$9:$M$375-G356)),ABS('Model tilvækst, slagteform, fe'!$M$9:$M$375-G356),0))*(1+Forudsætninger!$D$80)</f>
        <v>#N/A</v>
      </c>
      <c r="Q356" s="17" t="e">
        <f t="shared" si="147"/>
        <v>#N/A</v>
      </c>
      <c r="R356" s="17" t="e">
        <f t="shared" si="148"/>
        <v>#N/A</v>
      </c>
      <c r="S356" s="2" t="e">
        <f t="shared" si="137"/>
        <v>#N/A</v>
      </c>
      <c r="T356" s="19" t="e">
        <f>(P356)*IF(N356&lt;Forudsætninger!$B$228,IF(N356&lt;Forudsætninger!$B$227,Forudsætninger!$B$225,Forudsætninger!$C$9),Forudsætninger!$C$11)+O356</f>
        <v>#N/A</v>
      </c>
      <c r="U356" s="2" t="e">
        <f>Forudsætninger!$D$68+((K356-(Forudsætninger!$D$84)))*0.01</f>
        <v>#N/A</v>
      </c>
      <c r="V356" s="2" t="e">
        <f>U356+Forudsætninger!$D$69</f>
        <v>#N/A</v>
      </c>
      <c r="W356" t="e">
        <f t="shared" si="138"/>
        <v>#N/A</v>
      </c>
      <c r="X356">
        <f>IF(A356+Forudsætninger!$D$60&gt;248,IF(A356+Forudsætninger!$D$60&lt;365,IF(K356&gt;180,IF(K356&lt;260,1,0),0),0),0)</f>
        <v>0</v>
      </c>
      <c r="Y356" s="22">
        <f>IF(X356=0,0,IF('Vækstfunktion, kry tyr'!A356&lt;Forudsætninger!$D$66,Forudsætninger!$D$67+(('Vækstfunktion, kry tyr'!A356-Forudsætninger!$D$66)/7)*Forudsætninger!$D$64,Forudsætninger!$D$67))</f>
        <v>0</v>
      </c>
      <c r="Z356" s="19" t="e">
        <f t="shared" si="152"/>
        <v>#N/A</v>
      </c>
      <c r="AA356" s="19">
        <f>Forudsætninger!$D$62+Forudsætninger!$C$16</f>
        <v>2055</v>
      </c>
      <c r="AB356" s="19" t="e">
        <f>IF(K356&gt;Forudsætninger!$C$37,IF(K356&gt;Forudsætninger!$C$38,IF(K356&gt;Forudsætninger!$C$39,Forudsætninger!$E$39,Forudsætninger!$E$38+Forudsætninger!$F$39*(K356-Forudsætninger!$C$38)),Forudsætninger!$E$37+Forudsætninger!$F$38*(K356-Forudsætninger!$C$37)),Forudsætninger!$E$37)+IF(K356&gt;Forudsætninger!$C$39,Forudsætninger!$G$39,IF(K356&gt;Forudsætninger!$C$38,Forudsætninger!$G$38+Forudsætninger!$H$39*(K356-Forudsætninger!$C$38),IF(K356&gt;Forudsætninger!$C$37,Forudsætninger!$G$37+Forudsætninger!$H$38*(K356-Forudsætninger!$C$37),Forudsætninger!$G$37)))*(U356-Forudsætninger!$H$37)</f>
        <v>#N/A</v>
      </c>
      <c r="AC356" s="19" t="e">
        <f>IF(K356&gt;Forudsætninger!$C$42,IF(K356&gt;Forudsætninger!$C$43,IF(K356&gt;Forudsætninger!$C$44,Forudsætninger!$E$44,Forudsætninger!$E$43+Forudsætninger!$F$44*(K356-Forudsætninger!$C$43)),Forudsætninger!$E$42+Forudsætninger!$F$43*(K356-Forudsætninger!$C$42)),Forudsætninger!$E$42)+IF(K356&gt;Forudsætninger!$C$44,Forudsætninger!$G$44,IF(K356&gt;Forudsætninger!$C$43,Forudsætninger!$G$43+Forudsætninger!$H$44*(K356-Forudsætninger!$C$43),IF(K356&gt;Forudsætninger!$C$42,Forudsætninger!$G$42+Forudsætninger!$H$43*(K356-Forudsætninger!$C$42),Forudsætninger!$G$42)))*(V356-Forudsætninger!$H$42)</f>
        <v>#N/A</v>
      </c>
      <c r="AD356" s="19" t="e">
        <f t="shared" si="139"/>
        <v>#N/A</v>
      </c>
      <c r="AE356" s="19" t="e">
        <f t="shared" si="140"/>
        <v>#N/A</v>
      </c>
      <c r="AF356" t="e">
        <f>IF(G356&lt;=Forudsætninger!$C$97,Forudsætninger!$C$98,(IF(G356&lt;=Forudsætninger!$D$97,Forudsætninger!$D$98,IF(G356&lt;=Forudsætninger!$E$97,Forudsætninger!$E$98,IF(G356&lt;=Forudsætninger!$F$97,Forudsætninger!$F$98,IF(G356&lt;=Forudsætninger!$G$97,Forudsætninger!$G$98,IF(G356&lt;=Forudsætninger!$H$97,Forudsætninger!$H$98,IF(G356&lt;=Forudsætninger!$I$97,Forudsætninger!$I$98,Forudsætninger!$I$98))))))))</f>
        <v>#N/A</v>
      </c>
      <c r="AG356" s="1" t="e">
        <f t="shared" si="149"/>
        <v>#N/A</v>
      </c>
      <c r="AH356" s="1" t="e">
        <f t="shared" si="153"/>
        <v>#N/A</v>
      </c>
      <c r="AI356" s="1" t="e">
        <f t="shared" si="141"/>
        <v>#N/A</v>
      </c>
      <c r="AJ356" s="20" t="e">
        <f>+(W356*Forudsætninger!$C$12)</f>
        <v>#N/A</v>
      </c>
      <c r="AK356" s="20">
        <f>Forudsætninger!$C$17</f>
        <v>250</v>
      </c>
      <c r="AL356" s="20">
        <f>IF(A356&lt;92,Forudsætninger!$C$20,Forudsætninger!$C$21)</f>
        <v>1.0566762728146013</v>
      </c>
      <c r="AM356" s="20">
        <f t="shared" si="150"/>
        <v>642.56888342965749</v>
      </c>
      <c r="AN356" s="19">
        <f>IFERROR(AD356+AJ356-AA356-Z356-AK356-AM356-Forudsætninger!$D$75,-99999)</f>
        <v>-99999</v>
      </c>
      <c r="AO356" s="57">
        <f>IFERROR(AN356/(A356+Forudsætninger!$D$74),-99999)</f>
        <v>-282.4830508474576</v>
      </c>
      <c r="AP356" s="19">
        <f>IFERROR(((365/(A356+Forudsætninger!$D$74))*AN356)/(AI356+Forudsætninger!$D$73),-99999)</f>
        <v>-99999</v>
      </c>
      <c r="AQ356" s="18">
        <f t="shared" si="154"/>
        <v>354</v>
      </c>
      <c r="AR356" s="18" t="e">
        <f t="shared" si="155"/>
        <v>#N/A</v>
      </c>
      <c r="AS356" s="50">
        <f t="shared" si="156"/>
        <v>12.8</v>
      </c>
      <c r="AT356" s="50">
        <f t="shared" si="157"/>
        <v>0</v>
      </c>
      <c r="AU356" s="50">
        <f t="shared" si="158"/>
        <v>0.80023527152258112</v>
      </c>
      <c r="AV356" s="2">
        <f t="shared" si="159"/>
        <v>0</v>
      </c>
      <c r="AW356" s="16">
        <f t="shared" si="151"/>
        <v>-280.66788451008568</v>
      </c>
      <c r="AZ356" s="16"/>
      <c r="BA356" s="2"/>
    </row>
    <row r="357" spans="1:53" x14ac:dyDescent="0.25">
      <c r="A357">
        <v>355</v>
      </c>
      <c r="B357" s="1">
        <f>ROUND((A357+Forudsætninger!$D$60)/30.4,1)</f>
        <v>12.8</v>
      </c>
      <c r="C357" s="1" t="e">
        <f>VLOOKUP((A357+Forudsætninger!$D$60),'Model tilvækst, slagteform, fe'!A:C,3,FALSE)</f>
        <v>#N/A</v>
      </c>
      <c r="D357" s="3" t="e">
        <f t="shared" si="160"/>
        <v>#N/A</v>
      </c>
      <c r="E357" s="3" t="e">
        <f>(1+Forudsætninger!$D$78)*C357</f>
        <v>#N/A</v>
      </c>
      <c r="F357" s="2" t="e">
        <f t="shared" si="142"/>
        <v>#N/A</v>
      </c>
      <c r="G357" s="1" t="e">
        <f t="shared" si="135"/>
        <v>#N/A</v>
      </c>
      <c r="H357" s="3" t="e">
        <f t="shared" si="143"/>
        <v>#N/A</v>
      </c>
      <c r="I357" s="3" t="e">
        <f t="shared" si="144"/>
        <v>#N/A</v>
      </c>
      <c r="J357" s="1" t="e">
        <f>VLOOKUP((A357+Forudsætninger!$D$60),'Model tilvækst, slagteform, fe'!G:K,3,FALSE)*(1+Forudsætninger!$D$79)</f>
        <v>#N/A</v>
      </c>
      <c r="K357" s="17" t="e">
        <f t="shared" si="136"/>
        <v>#N/A</v>
      </c>
      <c r="L357" s="17" t="e">
        <f t="shared" si="145"/>
        <v>#N/A</v>
      </c>
      <c r="M357" s="3" t="e">
        <f>((K357-(('Model tilvækst, slagteform, fe'!$I$9/100)*'Model tilvækst, slagteform, fe'!$C$9))*1000/(A357+Forudsætninger!$D$60))</f>
        <v>#N/A</v>
      </c>
      <c r="N357" s="17" t="e">
        <f t="shared" si="146"/>
        <v>#N/A</v>
      </c>
      <c r="O357" s="19" t="e">
        <f>IF( A357&lt;Forudsætninger!$C$14,(G357/100)*Forudsætninger!$C$13,(Forudsætninger!$C$15/1000)*Forudsætninger!$C$13)</f>
        <v>#N/A</v>
      </c>
      <c r="P357" s="17" t="e" cm="1">
        <f t="array" ref="P357">INDEX('Model tilvækst, slagteform, fe'!$O$9:$O$375,MATCH(MIN(ABS('Model tilvækst, slagteform, fe'!$M$9:$M$375-G357)),ABS('Model tilvækst, slagteform, fe'!$M$9:$M$375-G357),0))*(1+Forudsætninger!$D$80)</f>
        <v>#N/A</v>
      </c>
      <c r="Q357" s="17" t="e">
        <f t="shared" si="147"/>
        <v>#N/A</v>
      </c>
      <c r="R357" s="17" t="e">
        <f t="shared" si="148"/>
        <v>#N/A</v>
      </c>
      <c r="S357" s="2" t="e">
        <f t="shared" si="137"/>
        <v>#N/A</v>
      </c>
      <c r="T357" s="19" t="e">
        <f>(P357)*IF(N357&lt;Forudsætninger!$B$228,IF(N357&lt;Forudsætninger!$B$227,Forudsætninger!$B$225,Forudsætninger!$C$9),Forudsætninger!$C$11)+O357</f>
        <v>#N/A</v>
      </c>
      <c r="U357" s="2" t="e">
        <f>Forudsætninger!$D$68+((K357-(Forudsætninger!$D$84)))*0.01</f>
        <v>#N/A</v>
      </c>
      <c r="V357" s="2" t="e">
        <f>U357+Forudsætninger!$D$69</f>
        <v>#N/A</v>
      </c>
      <c r="W357" t="e">
        <f t="shared" si="138"/>
        <v>#N/A</v>
      </c>
      <c r="X357">
        <f>IF(A357+Forudsætninger!$D$60&gt;248,IF(A357+Forudsætninger!$D$60&lt;365,IF(K357&gt;180,IF(K357&lt;260,1,0),0),0),0)</f>
        <v>0</v>
      </c>
      <c r="Y357" s="22">
        <f>IF(X357=0,0,IF('Vækstfunktion, kry tyr'!A357&lt;Forudsætninger!$D$66,Forudsætninger!$D$67+(('Vækstfunktion, kry tyr'!A357-Forudsætninger!$D$66)/7)*Forudsætninger!$D$64,Forudsætninger!$D$67))</f>
        <v>0</v>
      </c>
      <c r="Z357" s="19" t="e">
        <f t="shared" si="152"/>
        <v>#N/A</v>
      </c>
      <c r="AA357" s="19">
        <f>Forudsætninger!$D$62+Forudsætninger!$C$16</f>
        <v>2055</v>
      </c>
      <c r="AB357" s="19" t="e">
        <f>IF(K357&gt;Forudsætninger!$C$37,IF(K357&gt;Forudsætninger!$C$38,IF(K357&gt;Forudsætninger!$C$39,Forudsætninger!$E$39,Forudsætninger!$E$38+Forudsætninger!$F$39*(K357-Forudsætninger!$C$38)),Forudsætninger!$E$37+Forudsætninger!$F$38*(K357-Forudsætninger!$C$37)),Forudsætninger!$E$37)+IF(K357&gt;Forudsætninger!$C$39,Forudsætninger!$G$39,IF(K357&gt;Forudsætninger!$C$38,Forudsætninger!$G$38+Forudsætninger!$H$39*(K357-Forudsætninger!$C$38),IF(K357&gt;Forudsætninger!$C$37,Forudsætninger!$G$37+Forudsætninger!$H$38*(K357-Forudsætninger!$C$37),Forudsætninger!$G$37)))*(U357-Forudsætninger!$H$37)</f>
        <v>#N/A</v>
      </c>
      <c r="AC357" s="19" t="e">
        <f>IF(K357&gt;Forudsætninger!$C$42,IF(K357&gt;Forudsætninger!$C$43,IF(K357&gt;Forudsætninger!$C$44,Forudsætninger!$E$44,Forudsætninger!$E$43+Forudsætninger!$F$44*(K357-Forudsætninger!$C$43)),Forudsætninger!$E$42+Forudsætninger!$F$43*(K357-Forudsætninger!$C$42)),Forudsætninger!$E$42)+IF(K357&gt;Forudsætninger!$C$44,Forudsætninger!$G$44,IF(K357&gt;Forudsætninger!$C$43,Forudsætninger!$G$43+Forudsætninger!$H$44*(K357-Forudsætninger!$C$43),IF(K357&gt;Forudsætninger!$C$42,Forudsætninger!$G$42+Forudsætninger!$H$43*(K357-Forudsætninger!$C$42),Forudsætninger!$G$42)))*(V357-Forudsætninger!$H$42)</f>
        <v>#N/A</v>
      </c>
      <c r="AD357" s="19" t="e">
        <f t="shared" si="139"/>
        <v>#N/A</v>
      </c>
      <c r="AE357" s="19" t="e">
        <f t="shared" si="140"/>
        <v>#N/A</v>
      </c>
      <c r="AF357" t="e">
        <f>IF(G357&lt;=Forudsætninger!$C$97,Forudsætninger!$C$98,(IF(G357&lt;=Forudsætninger!$D$97,Forudsætninger!$D$98,IF(G357&lt;=Forudsætninger!$E$97,Forudsætninger!$E$98,IF(G357&lt;=Forudsætninger!$F$97,Forudsætninger!$F$98,IF(G357&lt;=Forudsætninger!$G$97,Forudsætninger!$G$98,IF(G357&lt;=Forudsætninger!$H$97,Forudsætninger!$H$98,IF(G357&lt;=Forudsætninger!$I$97,Forudsætninger!$I$98,Forudsætninger!$I$98))))))))</f>
        <v>#N/A</v>
      </c>
      <c r="AG357" s="1" t="e">
        <f t="shared" si="149"/>
        <v>#N/A</v>
      </c>
      <c r="AH357" s="1" t="e">
        <f t="shared" si="153"/>
        <v>#N/A</v>
      </c>
      <c r="AI357" s="1" t="e">
        <f t="shared" si="141"/>
        <v>#N/A</v>
      </c>
      <c r="AJ357" s="20" t="e">
        <f>+(W357*Forudsætninger!$C$12)</f>
        <v>#N/A</v>
      </c>
      <c r="AK357" s="20">
        <f>Forudsætninger!$C$17</f>
        <v>250</v>
      </c>
      <c r="AL357" s="20">
        <f>IF(A357&lt;92,Forudsætninger!$C$20,Forudsætninger!$C$21)</f>
        <v>1.0566762728146013</v>
      </c>
      <c r="AM357" s="20">
        <f t="shared" si="150"/>
        <v>643.62555970247206</v>
      </c>
      <c r="AN357" s="19">
        <f>IFERROR(AD357+AJ357-AA357-Z357-AK357-AM357-Forudsætninger!$D$75,-99999)</f>
        <v>-99999</v>
      </c>
      <c r="AO357" s="57">
        <f>IFERROR(AN357/(A357+Forudsætninger!$D$74),-99999)</f>
        <v>-281.68732394366197</v>
      </c>
      <c r="AP357" s="19">
        <f>IFERROR(((365/(A357+Forudsætninger!$D$74))*AN357)/(AI357+Forudsætninger!$D$73),-99999)</f>
        <v>-99999</v>
      </c>
      <c r="AQ357" s="18">
        <f t="shared" si="154"/>
        <v>355</v>
      </c>
      <c r="AR357" s="18" t="e">
        <f t="shared" si="155"/>
        <v>#N/A</v>
      </c>
      <c r="AS357" s="50">
        <f t="shared" si="156"/>
        <v>12.8</v>
      </c>
      <c r="AT357" s="50">
        <f t="shared" si="157"/>
        <v>0</v>
      </c>
      <c r="AU357" s="50">
        <f t="shared" si="158"/>
        <v>0.79572690379563937</v>
      </c>
      <c r="AV357" s="2">
        <f t="shared" si="159"/>
        <v>0</v>
      </c>
      <c r="AW357" s="16">
        <f t="shared" si="151"/>
        <v>-279.87429419802123</v>
      </c>
      <c r="AZ357" s="16"/>
      <c r="BA357" s="2"/>
    </row>
    <row r="358" spans="1:53" x14ac:dyDescent="0.25">
      <c r="A358">
        <v>356</v>
      </c>
      <c r="B358" s="1">
        <f>ROUND((A358+Forudsætninger!$D$60)/30.4,1)</f>
        <v>12.8</v>
      </c>
      <c r="C358" s="1" t="e">
        <f>VLOOKUP((A358+Forudsætninger!$D$60),'Model tilvækst, slagteform, fe'!A:C,3,FALSE)</f>
        <v>#N/A</v>
      </c>
      <c r="D358" s="3" t="e">
        <f t="shared" si="160"/>
        <v>#N/A</v>
      </c>
      <c r="E358" s="3" t="e">
        <f>(1+Forudsætninger!$D$78)*C358</f>
        <v>#N/A</v>
      </c>
      <c r="F358" s="2" t="e">
        <f t="shared" si="142"/>
        <v>#N/A</v>
      </c>
      <c r="G358" s="1" t="e">
        <f t="shared" si="135"/>
        <v>#N/A</v>
      </c>
      <c r="H358" s="3" t="e">
        <f t="shared" si="143"/>
        <v>#N/A</v>
      </c>
      <c r="I358" s="3" t="e">
        <f t="shared" si="144"/>
        <v>#N/A</v>
      </c>
      <c r="J358" s="1" t="e">
        <f>VLOOKUP((A358+Forudsætninger!$D$60),'Model tilvækst, slagteform, fe'!G:K,3,FALSE)*(1+Forudsætninger!$D$79)</f>
        <v>#N/A</v>
      </c>
      <c r="K358" s="17" t="e">
        <f t="shared" si="136"/>
        <v>#N/A</v>
      </c>
      <c r="L358" s="17" t="e">
        <f t="shared" si="145"/>
        <v>#N/A</v>
      </c>
      <c r="M358" s="3" t="e">
        <f>((K358-(('Model tilvækst, slagteform, fe'!$I$9/100)*'Model tilvækst, slagteform, fe'!$C$9))*1000/(A358+Forudsætninger!$D$60))</f>
        <v>#N/A</v>
      </c>
      <c r="N358" s="17" t="e">
        <f t="shared" si="146"/>
        <v>#N/A</v>
      </c>
      <c r="O358" s="19" t="e">
        <f>IF( A358&lt;Forudsætninger!$C$14,(G358/100)*Forudsætninger!$C$13,(Forudsætninger!$C$15/1000)*Forudsætninger!$C$13)</f>
        <v>#N/A</v>
      </c>
      <c r="P358" s="17" t="e" cm="1">
        <f t="array" ref="P358">INDEX('Model tilvækst, slagteform, fe'!$O$9:$O$375,MATCH(MIN(ABS('Model tilvækst, slagteform, fe'!$M$9:$M$375-G358)),ABS('Model tilvækst, slagteform, fe'!$M$9:$M$375-G358),0))*(1+Forudsætninger!$D$80)</f>
        <v>#N/A</v>
      </c>
      <c r="Q358" s="17" t="e">
        <f t="shared" si="147"/>
        <v>#N/A</v>
      </c>
      <c r="R358" s="17" t="e">
        <f t="shared" si="148"/>
        <v>#N/A</v>
      </c>
      <c r="S358" s="2" t="e">
        <f t="shared" si="137"/>
        <v>#N/A</v>
      </c>
      <c r="T358" s="19" t="e">
        <f>(P358)*IF(N358&lt;Forudsætninger!$B$228,IF(N358&lt;Forudsætninger!$B$227,Forudsætninger!$B$225,Forudsætninger!$C$9),Forudsætninger!$C$11)+O358</f>
        <v>#N/A</v>
      </c>
      <c r="U358" s="2" t="e">
        <f>Forudsætninger!$D$68+((K358-(Forudsætninger!$D$84)))*0.01</f>
        <v>#N/A</v>
      </c>
      <c r="V358" s="2" t="e">
        <f>U358+Forudsætninger!$D$69</f>
        <v>#N/A</v>
      </c>
      <c r="W358" t="e">
        <f t="shared" si="138"/>
        <v>#N/A</v>
      </c>
      <c r="X358">
        <f>IF(A358+Forudsætninger!$D$60&gt;248,IF(A358+Forudsætninger!$D$60&lt;365,IF(K358&gt;180,IF(K358&lt;260,1,0),0),0),0)</f>
        <v>0</v>
      </c>
      <c r="Y358" s="22">
        <f>IF(X358=0,0,IF('Vækstfunktion, kry tyr'!A358&lt;Forudsætninger!$D$66,Forudsætninger!$D$67+(('Vækstfunktion, kry tyr'!A358-Forudsætninger!$D$66)/7)*Forudsætninger!$D$64,Forudsætninger!$D$67))</f>
        <v>0</v>
      </c>
      <c r="Z358" s="19" t="e">
        <f t="shared" si="152"/>
        <v>#N/A</v>
      </c>
      <c r="AA358" s="19">
        <f>Forudsætninger!$D$62+Forudsætninger!$C$16</f>
        <v>2055</v>
      </c>
      <c r="AB358" s="19" t="e">
        <f>IF(K358&gt;Forudsætninger!$C$37,IF(K358&gt;Forudsætninger!$C$38,IF(K358&gt;Forudsætninger!$C$39,Forudsætninger!$E$39,Forudsætninger!$E$38+Forudsætninger!$F$39*(K358-Forudsætninger!$C$38)),Forudsætninger!$E$37+Forudsætninger!$F$38*(K358-Forudsætninger!$C$37)),Forudsætninger!$E$37)+IF(K358&gt;Forudsætninger!$C$39,Forudsætninger!$G$39,IF(K358&gt;Forudsætninger!$C$38,Forudsætninger!$G$38+Forudsætninger!$H$39*(K358-Forudsætninger!$C$38),IF(K358&gt;Forudsætninger!$C$37,Forudsætninger!$G$37+Forudsætninger!$H$38*(K358-Forudsætninger!$C$37),Forudsætninger!$G$37)))*(U358-Forudsætninger!$H$37)</f>
        <v>#N/A</v>
      </c>
      <c r="AC358" s="19" t="e">
        <f>IF(K358&gt;Forudsætninger!$C$42,IF(K358&gt;Forudsætninger!$C$43,IF(K358&gt;Forudsætninger!$C$44,Forudsætninger!$E$44,Forudsætninger!$E$43+Forudsætninger!$F$44*(K358-Forudsætninger!$C$43)),Forudsætninger!$E$42+Forudsætninger!$F$43*(K358-Forudsætninger!$C$42)),Forudsætninger!$E$42)+IF(K358&gt;Forudsætninger!$C$44,Forudsætninger!$G$44,IF(K358&gt;Forudsætninger!$C$43,Forudsætninger!$G$43+Forudsætninger!$H$44*(K358-Forudsætninger!$C$43),IF(K358&gt;Forudsætninger!$C$42,Forudsætninger!$G$42+Forudsætninger!$H$43*(K358-Forudsætninger!$C$42),Forudsætninger!$G$42)))*(V358-Forudsætninger!$H$42)</f>
        <v>#N/A</v>
      </c>
      <c r="AD358" s="19" t="e">
        <f t="shared" si="139"/>
        <v>#N/A</v>
      </c>
      <c r="AE358" s="19" t="e">
        <f t="shared" si="140"/>
        <v>#N/A</v>
      </c>
      <c r="AF358" t="e">
        <f>IF(G358&lt;=Forudsætninger!$C$97,Forudsætninger!$C$98,(IF(G358&lt;=Forudsætninger!$D$97,Forudsætninger!$D$98,IF(G358&lt;=Forudsætninger!$E$97,Forudsætninger!$E$98,IF(G358&lt;=Forudsætninger!$F$97,Forudsætninger!$F$98,IF(G358&lt;=Forudsætninger!$G$97,Forudsætninger!$G$98,IF(G358&lt;=Forudsætninger!$H$97,Forudsætninger!$H$98,IF(G358&lt;=Forudsætninger!$I$97,Forudsætninger!$I$98,Forudsætninger!$I$98))))))))</f>
        <v>#N/A</v>
      </c>
      <c r="AG358" s="1" t="e">
        <f t="shared" si="149"/>
        <v>#N/A</v>
      </c>
      <c r="AH358" s="1" t="e">
        <f t="shared" si="153"/>
        <v>#N/A</v>
      </c>
      <c r="AI358" s="1" t="e">
        <f t="shared" si="141"/>
        <v>#N/A</v>
      </c>
      <c r="AJ358" s="20" t="e">
        <f>+(W358*Forudsætninger!$C$12)</f>
        <v>#N/A</v>
      </c>
      <c r="AK358" s="20">
        <f>Forudsætninger!$C$17</f>
        <v>250</v>
      </c>
      <c r="AL358" s="20">
        <f>IF(A358&lt;92,Forudsætninger!$C$20,Forudsætninger!$C$21)</f>
        <v>1.0566762728146013</v>
      </c>
      <c r="AM358" s="20">
        <f t="shared" si="150"/>
        <v>644.68223597528663</v>
      </c>
      <c r="AN358" s="19">
        <f>IFERROR(AD358+AJ358-AA358-Z358-AK358-AM358-Forudsætninger!$D$75,-99999)</f>
        <v>-99999</v>
      </c>
      <c r="AO358" s="57">
        <f>IFERROR(AN358/(A358+Forudsætninger!$D$74),-99999)</f>
        <v>-280.89606741573033</v>
      </c>
      <c r="AP358" s="19">
        <f>IFERROR(((365/(A358+Forudsætninger!$D$74))*AN358)/(AI358+Forudsætninger!$D$73),-99999)</f>
        <v>-99999</v>
      </c>
      <c r="AQ358" s="18">
        <f t="shared" si="154"/>
        <v>356</v>
      </c>
      <c r="AR358" s="18" t="e">
        <f t="shared" si="155"/>
        <v>#N/A</v>
      </c>
      <c r="AS358" s="50">
        <f t="shared" si="156"/>
        <v>12.8</v>
      </c>
      <c r="AT358" s="50">
        <f t="shared" si="157"/>
        <v>0</v>
      </c>
      <c r="AU358" s="50">
        <f t="shared" si="158"/>
        <v>0.79125652793163681</v>
      </c>
      <c r="AV358" s="2">
        <f t="shared" si="159"/>
        <v>0</v>
      </c>
      <c r="AW358" s="16">
        <f t="shared" si="151"/>
        <v>-279.08516225849638</v>
      </c>
      <c r="AZ358" s="16"/>
      <c r="BA358" s="2"/>
    </row>
    <row r="359" spans="1:53" x14ac:dyDescent="0.25">
      <c r="A359">
        <v>357</v>
      </c>
      <c r="B359" s="1">
        <f>ROUND((A359+Forudsætninger!$D$60)/30.4,1)</f>
        <v>12.9</v>
      </c>
      <c r="C359" s="1" t="e">
        <f>VLOOKUP((A359+Forudsætninger!$D$60),'Model tilvækst, slagteform, fe'!A:C,3,FALSE)</f>
        <v>#N/A</v>
      </c>
      <c r="D359" s="3" t="e">
        <f t="shared" si="160"/>
        <v>#N/A</v>
      </c>
      <c r="E359" s="3" t="e">
        <f>(1+Forudsætninger!$D$78)*C359</f>
        <v>#N/A</v>
      </c>
      <c r="F359" s="2" t="e">
        <f t="shared" si="142"/>
        <v>#N/A</v>
      </c>
      <c r="G359" s="1" t="e">
        <f t="shared" si="135"/>
        <v>#N/A</v>
      </c>
      <c r="H359" s="3" t="e">
        <f t="shared" si="143"/>
        <v>#N/A</v>
      </c>
      <c r="I359" s="3" t="e">
        <f t="shared" si="144"/>
        <v>#N/A</v>
      </c>
      <c r="J359" s="1" t="e">
        <f>VLOOKUP((A359+Forudsætninger!$D$60),'Model tilvækst, slagteform, fe'!G:K,3,FALSE)*(1+Forudsætninger!$D$79)</f>
        <v>#N/A</v>
      </c>
      <c r="K359" s="17" t="e">
        <f t="shared" si="136"/>
        <v>#N/A</v>
      </c>
      <c r="L359" s="17" t="e">
        <f t="shared" si="145"/>
        <v>#N/A</v>
      </c>
      <c r="M359" s="3" t="e">
        <f>((K359-(('Model tilvækst, slagteform, fe'!$I$9/100)*'Model tilvækst, slagteform, fe'!$C$9))*1000/(A359+Forudsætninger!$D$60))</f>
        <v>#N/A</v>
      </c>
      <c r="N359" s="17" t="e">
        <f t="shared" si="146"/>
        <v>#N/A</v>
      </c>
      <c r="O359" s="19" t="e">
        <f>IF( A359&lt;Forudsætninger!$C$14,(G359/100)*Forudsætninger!$C$13,(Forudsætninger!$C$15/1000)*Forudsætninger!$C$13)</f>
        <v>#N/A</v>
      </c>
      <c r="P359" s="17" t="e" cm="1">
        <f t="array" ref="P359">INDEX('Model tilvækst, slagteform, fe'!$O$9:$O$375,MATCH(MIN(ABS('Model tilvækst, slagteform, fe'!$M$9:$M$375-G359)),ABS('Model tilvækst, slagteform, fe'!$M$9:$M$375-G359),0))*(1+Forudsætninger!$D$80)</f>
        <v>#N/A</v>
      </c>
      <c r="Q359" s="17" t="e">
        <f t="shared" si="147"/>
        <v>#N/A</v>
      </c>
      <c r="R359" s="17" t="e">
        <f t="shared" si="148"/>
        <v>#N/A</v>
      </c>
      <c r="S359" s="2" t="e">
        <f t="shared" si="137"/>
        <v>#N/A</v>
      </c>
      <c r="T359" s="19" t="e">
        <f>(P359)*IF(N359&lt;Forudsætninger!$B$228,IF(N359&lt;Forudsætninger!$B$227,Forudsætninger!$B$225,Forudsætninger!$C$9),Forudsætninger!$C$11)+O359</f>
        <v>#N/A</v>
      </c>
      <c r="U359" s="2" t="e">
        <f>Forudsætninger!$D$68+((K359-(Forudsætninger!$D$84)))*0.01</f>
        <v>#N/A</v>
      </c>
      <c r="V359" s="2" t="e">
        <f>U359+Forudsætninger!$D$69</f>
        <v>#N/A</v>
      </c>
      <c r="W359" t="e">
        <f t="shared" si="138"/>
        <v>#N/A</v>
      </c>
      <c r="X359">
        <f>IF(A359+Forudsætninger!$D$60&gt;248,IF(A359+Forudsætninger!$D$60&lt;365,IF(K359&gt;180,IF(K359&lt;260,1,0),0),0),0)</f>
        <v>0</v>
      </c>
      <c r="Y359" s="22">
        <f>IF(X359=0,0,IF('Vækstfunktion, kry tyr'!A359&lt;Forudsætninger!$D$66,Forudsætninger!$D$67+(('Vækstfunktion, kry tyr'!A359-Forudsætninger!$D$66)/7)*Forudsætninger!$D$64,Forudsætninger!$D$67))</f>
        <v>0</v>
      </c>
      <c r="Z359" s="19" t="e">
        <f t="shared" si="152"/>
        <v>#N/A</v>
      </c>
      <c r="AA359" s="19">
        <f>Forudsætninger!$D$62+Forudsætninger!$C$16</f>
        <v>2055</v>
      </c>
      <c r="AB359" s="19" t="e">
        <f>IF(K359&gt;Forudsætninger!$C$37,IF(K359&gt;Forudsætninger!$C$38,IF(K359&gt;Forudsætninger!$C$39,Forudsætninger!$E$39,Forudsætninger!$E$38+Forudsætninger!$F$39*(K359-Forudsætninger!$C$38)),Forudsætninger!$E$37+Forudsætninger!$F$38*(K359-Forudsætninger!$C$37)),Forudsætninger!$E$37)+IF(K359&gt;Forudsætninger!$C$39,Forudsætninger!$G$39,IF(K359&gt;Forudsætninger!$C$38,Forudsætninger!$G$38+Forudsætninger!$H$39*(K359-Forudsætninger!$C$38),IF(K359&gt;Forudsætninger!$C$37,Forudsætninger!$G$37+Forudsætninger!$H$38*(K359-Forudsætninger!$C$37),Forudsætninger!$G$37)))*(U359-Forudsætninger!$H$37)</f>
        <v>#N/A</v>
      </c>
      <c r="AC359" s="19" t="e">
        <f>IF(K359&gt;Forudsætninger!$C$42,IF(K359&gt;Forudsætninger!$C$43,IF(K359&gt;Forudsætninger!$C$44,Forudsætninger!$E$44,Forudsætninger!$E$43+Forudsætninger!$F$44*(K359-Forudsætninger!$C$43)),Forudsætninger!$E$42+Forudsætninger!$F$43*(K359-Forudsætninger!$C$42)),Forudsætninger!$E$42)+IF(K359&gt;Forudsætninger!$C$44,Forudsætninger!$G$44,IF(K359&gt;Forudsætninger!$C$43,Forudsætninger!$G$43+Forudsætninger!$H$44*(K359-Forudsætninger!$C$43),IF(K359&gt;Forudsætninger!$C$42,Forudsætninger!$G$42+Forudsætninger!$H$43*(K359-Forudsætninger!$C$42),Forudsætninger!$G$42)))*(V359-Forudsætninger!$H$42)</f>
        <v>#N/A</v>
      </c>
      <c r="AD359" s="19" t="e">
        <f t="shared" si="139"/>
        <v>#N/A</v>
      </c>
      <c r="AE359" s="19" t="e">
        <f t="shared" si="140"/>
        <v>#N/A</v>
      </c>
      <c r="AF359" t="e">
        <f>IF(G359&lt;=Forudsætninger!$C$97,Forudsætninger!$C$98,(IF(G359&lt;=Forudsætninger!$D$97,Forudsætninger!$D$98,IF(G359&lt;=Forudsætninger!$E$97,Forudsætninger!$E$98,IF(G359&lt;=Forudsætninger!$F$97,Forudsætninger!$F$98,IF(G359&lt;=Forudsætninger!$G$97,Forudsætninger!$G$98,IF(G359&lt;=Forudsætninger!$H$97,Forudsætninger!$H$98,IF(G359&lt;=Forudsætninger!$I$97,Forudsætninger!$I$98,Forudsætninger!$I$98))))))))</f>
        <v>#N/A</v>
      </c>
      <c r="AG359" s="1" t="e">
        <f t="shared" si="149"/>
        <v>#N/A</v>
      </c>
      <c r="AH359" s="1" t="e">
        <f t="shared" si="153"/>
        <v>#N/A</v>
      </c>
      <c r="AI359" s="1" t="e">
        <f t="shared" si="141"/>
        <v>#N/A</v>
      </c>
      <c r="AJ359" s="20" t="e">
        <f>+(W359*Forudsætninger!$C$12)</f>
        <v>#N/A</v>
      </c>
      <c r="AK359" s="20">
        <f>Forudsætninger!$C$17</f>
        <v>250</v>
      </c>
      <c r="AL359" s="20">
        <f>IF(A359&lt;92,Forudsætninger!$C$20,Forudsætninger!$C$21)</f>
        <v>1.0566762728146013</v>
      </c>
      <c r="AM359" s="20">
        <f t="shared" si="150"/>
        <v>645.7389122481012</v>
      </c>
      <c r="AN359" s="19">
        <f>IFERROR(AD359+AJ359-AA359-Z359-AK359-AM359-Forudsætninger!$D$75,-99999)</f>
        <v>-99999</v>
      </c>
      <c r="AO359" s="57">
        <f>IFERROR(AN359/(A359+Forudsætninger!$D$74),-99999)</f>
        <v>-280.10924369747897</v>
      </c>
      <c r="AP359" s="19">
        <f>IFERROR(((365/(A359+Forudsætninger!$D$74))*AN359)/(AI359+Forudsætninger!$D$73),-99999)</f>
        <v>-99999</v>
      </c>
      <c r="AQ359" s="18">
        <f t="shared" si="154"/>
        <v>357</v>
      </c>
      <c r="AR359" s="18" t="e">
        <f t="shared" si="155"/>
        <v>#N/A</v>
      </c>
      <c r="AS359" s="50">
        <f t="shared" si="156"/>
        <v>12.9</v>
      </c>
      <c r="AT359" s="50">
        <f t="shared" si="157"/>
        <v>0</v>
      </c>
      <c r="AU359" s="50">
        <f t="shared" si="158"/>
        <v>0.78682371825135533</v>
      </c>
      <c r="AV359" s="2">
        <f t="shared" si="159"/>
        <v>0</v>
      </c>
      <c r="AW359" s="16">
        <f t="shared" si="151"/>
        <v>-278.30045122619583</v>
      </c>
      <c r="AZ359" s="16"/>
      <c r="BA359" s="2"/>
    </row>
    <row r="360" spans="1:53" x14ac:dyDescent="0.25">
      <c r="A360">
        <v>358</v>
      </c>
      <c r="B360" s="1">
        <f>ROUND((A360+Forudsætninger!$D$60)/30.4,1)</f>
        <v>12.9</v>
      </c>
      <c r="C360" s="1" t="e">
        <f>VLOOKUP((A360+Forudsætninger!$D$60),'Model tilvækst, slagteform, fe'!A:C,3,FALSE)</f>
        <v>#N/A</v>
      </c>
      <c r="D360" s="3" t="e">
        <f t="shared" si="160"/>
        <v>#N/A</v>
      </c>
      <c r="E360" s="3" t="e">
        <f>(1+Forudsætninger!$D$78)*C360</f>
        <v>#N/A</v>
      </c>
      <c r="F360" s="2" t="e">
        <f t="shared" si="142"/>
        <v>#N/A</v>
      </c>
      <c r="G360" s="1" t="e">
        <f t="shared" si="135"/>
        <v>#N/A</v>
      </c>
      <c r="H360" s="3" t="e">
        <f t="shared" si="143"/>
        <v>#N/A</v>
      </c>
      <c r="I360" s="3" t="e">
        <f t="shared" si="144"/>
        <v>#N/A</v>
      </c>
      <c r="J360" s="1" t="e">
        <f>VLOOKUP((A360+Forudsætninger!$D$60),'Model tilvækst, slagteform, fe'!G:K,3,FALSE)*(1+Forudsætninger!$D$79)</f>
        <v>#N/A</v>
      </c>
      <c r="K360" s="17" t="e">
        <f t="shared" si="136"/>
        <v>#N/A</v>
      </c>
      <c r="L360" s="17" t="e">
        <f t="shared" si="145"/>
        <v>#N/A</v>
      </c>
      <c r="M360" s="3" t="e">
        <f>((K360-(('Model tilvækst, slagteform, fe'!$I$9/100)*'Model tilvækst, slagteform, fe'!$C$9))*1000/(A360+Forudsætninger!$D$60))</f>
        <v>#N/A</v>
      </c>
      <c r="N360" s="17" t="e">
        <f t="shared" si="146"/>
        <v>#N/A</v>
      </c>
      <c r="O360" s="19" t="e">
        <f>IF( A360&lt;Forudsætninger!$C$14,(G360/100)*Forudsætninger!$C$13,(Forudsætninger!$C$15/1000)*Forudsætninger!$C$13)</f>
        <v>#N/A</v>
      </c>
      <c r="P360" s="17" t="e" cm="1">
        <f t="array" ref="P360">INDEX('Model tilvækst, slagteform, fe'!$O$9:$O$375,MATCH(MIN(ABS('Model tilvækst, slagteform, fe'!$M$9:$M$375-G360)),ABS('Model tilvækst, slagteform, fe'!$M$9:$M$375-G360),0))*(1+Forudsætninger!$D$80)</f>
        <v>#N/A</v>
      </c>
      <c r="Q360" s="17" t="e">
        <f t="shared" si="147"/>
        <v>#N/A</v>
      </c>
      <c r="R360" s="17" t="e">
        <f t="shared" si="148"/>
        <v>#N/A</v>
      </c>
      <c r="S360" s="2" t="e">
        <f t="shared" si="137"/>
        <v>#N/A</v>
      </c>
      <c r="T360" s="19" t="e">
        <f>(P360)*IF(N360&lt;Forudsætninger!$B$228,IF(N360&lt;Forudsætninger!$B$227,Forudsætninger!$B$225,Forudsætninger!$C$9),Forudsætninger!$C$11)+O360</f>
        <v>#N/A</v>
      </c>
      <c r="U360" s="2" t="e">
        <f>Forudsætninger!$D$68+((K360-(Forudsætninger!$D$84)))*0.01</f>
        <v>#N/A</v>
      </c>
      <c r="V360" s="2" t="e">
        <f>U360+Forudsætninger!$D$69</f>
        <v>#N/A</v>
      </c>
      <c r="W360" t="e">
        <f t="shared" si="138"/>
        <v>#N/A</v>
      </c>
      <c r="X360">
        <f>IF(A360+Forudsætninger!$D$60&gt;248,IF(A360+Forudsætninger!$D$60&lt;365,IF(K360&gt;180,IF(K360&lt;260,1,0),0),0),0)</f>
        <v>0</v>
      </c>
      <c r="Y360" s="22">
        <f>IF(X360=0,0,IF('Vækstfunktion, kry tyr'!A360&lt;Forudsætninger!$D$66,Forudsætninger!$D$67+(('Vækstfunktion, kry tyr'!A360-Forudsætninger!$D$66)/7)*Forudsætninger!$D$64,Forudsætninger!$D$67))</f>
        <v>0</v>
      </c>
      <c r="Z360" s="19" t="e">
        <f t="shared" si="152"/>
        <v>#N/A</v>
      </c>
      <c r="AA360" s="19">
        <f>Forudsætninger!$D$62+Forudsætninger!$C$16</f>
        <v>2055</v>
      </c>
      <c r="AB360" s="19" t="e">
        <f>IF(K360&gt;Forudsætninger!$C$37,IF(K360&gt;Forudsætninger!$C$38,IF(K360&gt;Forudsætninger!$C$39,Forudsætninger!$E$39,Forudsætninger!$E$38+Forudsætninger!$F$39*(K360-Forudsætninger!$C$38)),Forudsætninger!$E$37+Forudsætninger!$F$38*(K360-Forudsætninger!$C$37)),Forudsætninger!$E$37)+IF(K360&gt;Forudsætninger!$C$39,Forudsætninger!$G$39,IF(K360&gt;Forudsætninger!$C$38,Forudsætninger!$G$38+Forudsætninger!$H$39*(K360-Forudsætninger!$C$38),IF(K360&gt;Forudsætninger!$C$37,Forudsætninger!$G$37+Forudsætninger!$H$38*(K360-Forudsætninger!$C$37),Forudsætninger!$G$37)))*(U360-Forudsætninger!$H$37)</f>
        <v>#N/A</v>
      </c>
      <c r="AC360" s="19" t="e">
        <f>IF(K360&gt;Forudsætninger!$C$42,IF(K360&gt;Forudsætninger!$C$43,IF(K360&gt;Forudsætninger!$C$44,Forudsætninger!$E$44,Forudsætninger!$E$43+Forudsætninger!$F$44*(K360-Forudsætninger!$C$43)),Forudsætninger!$E$42+Forudsætninger!$F$43*(K360-Forudsætninger!$C$42)),Forudsætninger!$E$42)+IF(K360&gt;Forudsætninger!$C$44,Forudsætninger!$G$44,IF(K360&gt;Forudsætninger!$C$43,Forudsætninger!$G$43+Forudsætninger!$H$44*(K360-Forudsætninger!$C$43),IF(K360&gt;Forudsætninger!$C$42,Forudsætninger!$G$42+Forudsætninger!$H$43*(K360-Forudsætninger!$C$42),Forudsætninger!$G$42)))*(V360-Forudsætninger!$H$42)</f>
        <v>#N/A</v>
      </c>
      <c r="AD360" s="19" t="e">
        <f t="shared" si="139"/>
        <v>#N/A</v>
      </c>
      <c r="AE360" s="19" t="e">
        <f t="shared" si="140"/>
        <v>#N/A</v>
      </c>
      <c r="AF360" t="e">
        <f>IF(G360&lt;=Forudsætninger!$C$97,Forudsætninger!$C$98,(IF(G360&lt;=Forudsætninger!$D$97,Forudsætninger!$D$98,IF(G360&lt;=Forudsætninger!$E$97,Forudsætninger!$E$98,IF(G360&lt;=Forudsætninger!$F$97,Forudsætninger!$F$98,IF(G360&lt;=Forudsætninger!$G$97,Forudsætninger!$G$98,IF(G360&lt;=Forudsætninger!$H$97,Forudsætninger!$H$98,IF(G360&lt;=Forudsætninger!$I$97,Forudsætninger!$I$98,Forudsætninger!$I$98))))))))</f>
        <v>#N/A</v>
      </c>
      <c r="AG360" s="1" t="e">
        <f t="shared" si="149"/>
        <v>#N/A</v>
      </c>
      <c r="AH360" s="1" t="e">
        <f t="shared" si="153"/>
        <v>#N/A</v>
      </c>
      <c r="AI360" s="1" t="e">
        <f t="shared" si="141"/>
        <v>#N/A</v>
      </c>
      <c r="AJ360" s="20" t="e">
        <f>+(W360*Forudsætninger!$C$12)</f>
        <v>#N/A</v>
      </c>
      <c r="AK360" s="20">
        <f>Forudsætninger!$C$17</f>
        <v>250</v>
      </c>
      <c r="AL360" s="20">
        <f>IF(A360&lt;92,Forudsætninger!$C$20,Forudsætninger!$C$21)</f>
        <v>1.0566762728146013</v>
      </c>
      <c r="AM360" s="20">
        <f t="shared" si="150"/>
        <v>646.79558852091577</v>
      </c>
      <c r="AN360" s="19">
        <f>IFERROR(AD360+AJ360-AA360-Z360-AK360-AM360-Forudsætninger!$D$75,-99999)</f>
        <v>-99999</v>
      </c>
      <c r="AO360" s="57">
        <f>IFERROR(AN360/(A360+Forudsætninger!$D$74),-99999)</f>
        <v>-279.32681564245809</v>
      </c>
      <c r="AP360" s="19">
        <f>IFERROR(((365/(A360+Forudsætninger!$D$74))*AN360)/(AI360+Forudsætninger!$D$73),-99999)</f>
        <v>-99999</v>
      </c>
      <c r="AQ360" s="18">
        <f t="shared" si="154"/>
        <v>358</v>
      </c>
      <c r="AR360" s="18" t="e">
        <f t="shared" si="155"/>
        <v>#N/A</v>
      </c>
      <c r="AS360" s="50">
        <f t="shared" si="156"/>
        <v>12.9</v>
      </c>
      <c r="AT360" s="50">
        <f t="shared" si="157"/>
        <v>0</v>
      </c>
      <c r="AU360" s="50">
        <f t="shared" si="158"/>
        <v>0.78242805502088686</v>
      </c>
      <c r="AV360" s="2">
        <f t="shared" si="159"/>
        <v>0</v>
      </c>
      <c r="AW360" s="16">
        <f t="shared" si="151"/>
        <v>-277.52012405441087</v>
      </c>
      <c r="AZ360" s="16"/>
      <c r="BA360" s="2"/>
    </row>
    <row r="361" spans="1:53" x14ac:dyDescent="0.25">
      <c r="A361">
        <v>359</v>
      </c>
      <c r="B361" s="1">
        <f>ROUND((A361+Forudsætninger!$D$60)/30.4,1)</f>
        <v>12.9</v>
      </c>
      <c r="C361" s="1" t="e">
        <f>VLOOKUP((A361+Forudsætninger!$D$60),'Model tilvækst, slagteform, fe'!A:C,3,FALSE)</f>
        <v>#N/A</v>
      </c>
      <c r="D361" s="3" t="e">
        <f t="shared" si="160"/>
        <v>#N/A</v>
      </c>
      <c r="E361" s="3" t="e">
        <f>(1+Forudsætninger!$D$78)*C361</f>
        <v>#N/A</v>
      </c>
      <c r="F361" s="2" t="e">
        <f t="shared" si="142"/>
        <v>#N/A</v>
      </c>
      <c r="G361" s="1" t="e">
        <f t="shared" si="135"/>
        <v>#N/A</v>
      </c>
      <c r="H361" s="3" t="e">
        <f t="shared" si="143"/>
        <v>#N/A</v>
      </c>
      <c r="I361" s="3" t="e">
        <f t="shared" si="144"/>
        <v>#N/A</v>
      </c>
      <c r="J361" s="1" t="e">
        <f>VLOOKUP((A361+Forudsætninger!$D$60),'Model tilvækst, slagteform, fe'!G:K,3,FALSE)*(1+Forudsætninger!$D$79)</f>
        <v>#N/A</v>
      </c>
      <c r="K361" s="17" t="e">
        <f t="shared" si="136"/>
        <v>#N/A</v>
      </c>
      <c r="L361" s="17" t="e">
        <f t="shared" si="145"/>
        <v>#N/A</v>
      </c>
      <c r="M361" s="3" t="e">
        <f>((K361-(('Model tilvækst, slagteform, fe'!$I$9/100)*'Model tilvækst, slagteform, fe'!$C$9))*1000/(A361+Forudsætninger!$D$60))</f>
        <v>#N/A</v>
      </c>
      <c r="N361" s="17" t="e">
        <f t="shared" si="146"/>
        <v>#N/A</v>
      </c>
      <c r="O361" s="19" t="e">
        <f>IF( A361&lt;Forudsætninger!$C$14,(G361/100)*Forudsætninger!$C$13,(Forudsætninger!$C$15/1000)*Forudsætninger!$C$13)</f>
        <v>#N/A</v>
      </c>
      <c r="P361" s="17" t="e" cm="1">
        <f t="array" ref="P361">INDEX('Model tilvækst, slagteform, fe'!$O$9:$O$375,MATCH(MIN(ABS('Model tilvækst, slagteform, fe'!$M$9:$M$375-G361)),ABS('Model tilvækst, slagteform, fe'!$M$9:$M$375-G361),0))*(1+Forudsætninger!$D$80)</f>
        <v>#N/A</v>
      </c>
      <c r="Q361" s="17" t="e">
        <f t="shared" si="147"/>
        <v>#N/A</v>
      </c>
      <c r="R361" s="17" t="e">
        <f t="shared" si="148"/>
        <v>#N/A</v>
      </c>
      <c r="S361" s="2" t="e">
        <f t="shared" si="137"/>
        <v>#N/A</v>
      </c>
      <c r="T361" s="19" t="e">
        <f>(P361)*IF(N361&lt;Forudsætninger!$B$228,IF(N361&lt;Forudsætninger!$B$227,Forudsætninger!$B$225,Forudsætninger!$C$9),Forudsætninger!$C$11)+O361</f>
        <v>#N/A</v>
      </c>
      <c r="U361" s="2" t="e">
        <f>Forudsætninger!$D$68+((K361-(Forudsætninger!$D$84)))*0.01</f>
        <v>#N/A</v>
      </c>
      <c r="V361" s="2" t="e">
        <f>U361+Forudsætninger!$D$69</f>
        <v>#N/A</v>
      </c>
      <c r="W361" t="e">
        <f t="shared" si="138"/>
        <v>#N/A</v>
      </c>
      <c r="X361">
        <f>IF(A361+Forudsætninger!$D$60&gt;248,IF(A361+Forudsætninger!$D$60&lt;365,IF(K361&gt;180,IF(K361&lt;260,1,0),0),0),0)</f>
        <v>0</v>
      </c>
      <c r="Y361" s="22">
        <f>IF(X361=0,0,IF('Vækstfunktion, kry tyr'!A361&lt;Forudsætninger!$D$66,Forudsætninger!$D$67+(('Vækstfunktion, kry tyr'!A361-Forudsætninger!$D$66)/7)*Forudsætninger!$D$64,Forudsætninger!$D$67))</f>
        <v>0</v>
      </c>
      <c r="Z361" s="19" t="e">
        <f t="shared" si="152"/>
        <v>#N/A</v>
      </c>
      <c r="AA361" s="19">
        <f>Forudsætninger!$D$62+Forudsætninger!$C$16</f>
        <v>2055</v>
      </c>
      <c r="AB361" s="19" t="e">
        <f>IF(K361&gt;Forudsætninger!$C$37,IF(K361&gt;Forudsætninger!$C$38,IF(K361&gt;Forudsætninger!$C$39,Forudsætninger!$E$39,Forudsætninger!$E$38+Forudsætninger!$F$39*(K361-Forudsætninger!$C$38)),Forudsætninger!$E$37+Forudsætninger!$F$38*(K361-Forudsætninger!$C$37)),Forudsætninger!$E$37)+IF(K361&gt;Forudsætninger!$C$39,Forudsætninger!$G$39,IF(K361&gt;Forudsætninger!$C$38,Forudsætninger!$G$38+Forudsætninger!$H$39*(K361-Forudsætninger!$C$38),IF(K361&gt;Forudsætninger!$C$37,Forudsætninger!$G$37+Forudsætninger!$H$38*(K361-Forudsætninger!$C$37),Forudsætninger!$G$37)))*(U361-Forudsætninger!$H$37)</f>
        <v>#N/A</v>
      </c>
      <c r="AC361" s="19" t="e">
        <f>IF(K361&gt;Forudsætninger!$C$42,IF(K361&gt;Forudsætninger!$C$43,IF(K361&gt;Forudsætninger!$C$44,Forudsætninger!$E$44,Forudsætninger!$E$43+Forudsætninger!$F$44*(K361-Forudsætninger!$C$43)),Forudsætninger!$E$42+Forudsætninger!$F$43*(K361-Forudsætninger!$C$42)),Forudsætninger!$E$42)+IF(K361&gt;Forudsætninger!$C$44,Forudsætninger!$G$44,IF(K361&gt;Forudsætninger!$C$43,Forudsætninger!$G$43+Forudsætninger!$H$44*(K361-Forudsætninger!$C$43),IF(K361&gt;Forudsætninger!$C$42,Forudsætninger!$G$42+Forudsætninger!$H$43*(K361-Forudsætninger!$C$42),Forudsætninger!$G$42)))*(V361-Forudsætninger!$H$42)</f>
        <v>#N/A</v>
      </c>
      <c r="AD361" s="19" t="e">
        <f t="shared" si="139"/>
        <v>#N/A</v>
      </c>
      <c r="AE361" s="19" t="e">
        <f t="shared" si="140"/>
        <v>#N/A</v>
      </c>
      <c r="AF361" t="e">
        <f>IF(G361&lt;=Forudsætninger!$C$97,Forudsætninger!$C$98,(IF(G361&lt;=Forudsætninger!$D$97,Forudsætninger!$D$98,IF(G361&lt;=Forudsætninger!$E$97,Forudsætninger!$E$98,IF(G361&lt;=Forudsætninger!$F$97,Forudsætninger!$F$98,IF(G361&lt;=Forudsætninger!$G$97,Forudsætninger!$G$98,IF(G361&lt;=Forudsætninger!$H$97,Forudsætninger!$H$98,IF(G361&lt;=Forudsætninger!$I$97,Forudsætninger!$I$98,Forudsætninger!$I$98))))))))</f>
        <v>#N/A</v>
      </c>
      <c r="AG361" s="1" t="e">
        <f t="shared" si="149"/>
        <v>#N/A</v>
      </c>
      <c r="AH361" s="1" t="e">
        <f t="shared" si="153"/>
        <v>#N/A</v>
      </c>
      <c r="AI361" s="1" t="e">
        <f t="shared" si="141"/>
        <v>#N/A</v>
      </c>
      <c r="AJ361" s="20" t="e">
        <f>+(W361*Forudsætninger!$C$12)</f>
        <v>#N/A</v>
      </c>
      <c r="AK361" s="20">
        <f>Forudsætninger!$C$17</f>
        <v>250</v>
      </c>
      <c r="AL361" s="20">
        <f>IF(A361&lt;92,Forudsætninger!$C$20,Forudsætninger!$C$21)</f>
        <v>1.0566762728146013</v>
      </c>
      <c r="AM361" s="20">
        <f t="shared" si="150"/>
        <v>647.85226479373034</v>
      </c>
      <c r="AN361" s="19">
        <f>IFERROR(AD361+AJ361-AA361-Z361-AK361-AM361-Forudsætninger!$D$75,-99999)</f>
        <v>-99999</v>
      </c>
      <c r="AO361" s="57">
        <f>IFERROR(AN361/(A361+Forudsætninger!$D$74),-99999)</f>
        <v>-278.54874651810587</v>
      </c>
      <c r="AP361" s="19">
        <f>IFERROR(((365/(A361+Forudsætninger!$D$74))*AN361)/(AI361+Forudsætninger!$D$73),-99999)</f>
        <v>-99999</v>
      </c>
      <c r="AQ361" s="18">
        <f t="shared" si="154"/>
        <v>359</v>
      </c>
      <c r="AR361" s="18" t="e">
        <f t="shared" si="155"/>
        <v>#N/A</v>
      </c>
      <c r="AS361" s="50">
        <f t="shared" si="156"/>
        <v>12.9</v>
      </c>
      <c r="AT361" s="50">
        <f t="shared" si="157"/>
        <v>0</v>
      </c>
      <c r="AU361" s="50">
        <f t="shared" si="158"/>
        <v>0.7780691243522142</v>
      </c>
      <c r="AV361" s="2">
        <f t="shared" si="159"/>
        <v>0</v>
      </c>
      <c r="AW361" s="16">
        <f t="shared" si="151"/>
        <v>-276.74414410920963</v>
      </c>
      <c r="AZ361" s="16"/>
      <c r="BA361" s="2"/>
    </row>
    <row r="362" spans="1:53" x14ac:dyDescent="0.25">
      <c r="A362">
        <v>360</v>
      </c>
      <c r="B362" s="1">
        <f>ROUND((A362+Forudsætninger!$D$60)/30.4,1)</f>
        <v>13</v>
      </c>
      <c r="C362" s="1" t="e">
        <f>VLOOKUP((A362+Forudsætninger!$D$60),'Model tilvækst, slagteform, fe'!A:C,3,FALSE)</f>
        <v>#N/A</v>
      </c>
      <c r="D362" s="3" t="e">
        <f t="shared" si="160"/>
        <v>#N/A</v>
      </c>
      <c r="E362" s="3" t="e">
        <f>(1+Forudsætninger!$D$78)*C362</f>
        <v>#N/A</v>
      </c>
      <c r="F362" s="2" t="e">
        <f t="shared" si="142"/>
        <v>#N/A</v>
      </c>
      <c r="G362" s="1" t="e">
        <f t="shared" si="135"/>
        <v>#N/A</v>
      </c>
      <c r="H362" s="3" t="e">
        <f t="shared" si="143"/>
        <v>#N/A</v>
      </c>
      <c r="I362" s="3" t="e">
        <f t="shared" si="144"/>
        <v>#N/A</v>
      </c>
      <c r="J362" s="1" t="e">
        <f>VLOOKUP((A362+Forudsætninger!$D$60),'Model tilvækst, slagteform, fe'!G:K,3,FALSE)*(1+Forudsætninger!$D$79)</f>
        <v>#N/A</v>
      </c>
      <c r="K362" s="17" t="e">
        <f t="shared" si="136"/>
        <v>#N/A</v>
      </c>
      <c r="L362" s="17" t="e">
        <f t="shared" si="145"/>
        <v>#N/A</v>
      </c>
      <c r="M362" s="3" t="e">
        <f>((K362-(('Model tilvækst, slagteform, fe'!$I$9/100)*'Model tilvækst, slagteform, fe'!$C$9))*1000/(A362+Forudsætninger!$D$60))</f>
        <v>#N/A</v>
      </c>
      <c r="N362" s="17" t="e">
        <f t="shared" si="146"/>
        <v>#N/A</v>
      </c>
      <c r="O362" s="19" t="e">
        <f>IF( A362&lt;Forudsætninger!$C$14,(G362/100)*Forudsætninger!$C$13,(Forudsætninger!$C$15/1000)*Forudsætninger!$C$13)</f>
        <v>#N/A</v>
      </c>
      <c r="P362" s="17" t="e" cm="1">
        <f t="array" ref="P362">INDEX('Model tilvækst, slagteform, fe'!$O$9:$O$375,MATCH(MIN(ABS('Model tilvækst, slagteform, fe'!$M$9:$M$375-G362)),ABS('Model tilvækst, slagteform, fe'!$M$9:$M$375-G362),0))*(1+Forudsætninger!$D$80)</f>
        <v>#N/A</v>
      </c>
      <c r="Q362" s="17" t="e">
        <f t="shared" si="147"/>
        <v>#N/A</v>
      </c>
      <c r="R362" s="17" t="e">
        <f t="shared" si="148"/>
        <v>#N/A</v>
      </c>
      <c r="S362" s="2" t="e">
        <f t="shared" si="137"/>
        <v>#N/A</v>
      </c>
      <c r="T362" s="19" t="e">
        <f>(P362)*IF(N362&lt;Forudsætninger!$B$228,IF(N362&lt;Forudsætninger!$B$227,Forudsætninger!$B$225,Forudsætninger!$C$9),Forudsætninger!$C$11)+O362</f>
        <v>#N/A</v>
      </c>
      <c r="U362" s="2" t="e">
        <f>Forudsætninger!$D$68+((K362-(Forudsætninger!$D$84)))*0.01</f>
        <v>#N/A</v>
      </c>
      <c r="V362" s="2" t="e">
        <f>U362+Forudsætninger!$D$69</f>
        <v>#N/A</v>
      </c>
      <c r="W362" t="e">
        <f t="shared" si="138"/>
        <v>#N/A</v>
      </c>
      <c r="X362">
        <f>IF(A362+Forudsætninger!$D$60&gt;248,IF(A362+Forudsætninger!$D$60&lt;365,IF(K362&gt;180,IF(K362&lt;260,1,0),0),0),0)</f>
        <v>0</v>
      </c>
      <c r="Y362" s="22">
        <f>IF(X362=0,0,IF('Vækstfunktion, kry tyr'!A362&lt;Forudsætninger!$D$66,Forudsætninger!$D$67+(('Vækstfunktion, kry tyr'!A362-Forudsætninger!$D$66)/7)*Forudsætninger!$D$64,Forudsætninger!$D$67))</f>
        <v>0</v>
      </c>
      <c r="Z362" s="19" t="e">
        <f t="shared" si="152"/>
        <v>#N/A</v>
      </c>
      <c r="AA362" s="19">
        <f>Forudsætninger!$D$62+Forudsætninger!$C$16</f>
        <v>2055</v>
      </c>
      <c r="AB362" s="19" t="e">
        <f>IF(K362&gt;Forudsætninger!$C$37,IF(K362&gt;Forudsætninger!$C$38,IF(K362&gt;Forudsætninger!$C$39,Forudsætninger!$E$39,Forudsætninger!$E$38+Forudsætninger!$F$39*(K362-Forudsætninger!$C$38)),Forudsætninger!$E$37+Forudsætninger!$F$38*(K362-Forudsætninger!$C$37)),Forudsætninger!$E$37)+IF(K362&gt;Forudsætninger!$C$39,Forudsætninger!$G$39,IF(K362&gt;Forudsætninger!$C$38,Forudsætninger!$G$38+Forudsætninger!$H$39*(K362-Forudsætninger!$C$38),IF(K362&gt;Forudsætninger!$C$37,Forudsætninger!$G$37+Forudsætninger!$H$38*(K362-Forudsætninger!$C$37),Forudsætninger!$G$37)))*(U362-Forudsætninger!$H$37)</f>
        <v>#N/A</v>
      </c>
      <c r="AC362" s="19" t="e">
        <f>IF(K362&gt;Forudsætninger!$C$42,IF(K362&gt;Forudsætninger!$C$43,IF(K362&gt;Forudsætninger!$C$44,Forudsætninger!$E$44,Forudsætninger!$E$43+Forudsætninger!$F$44*(K362-Forudsætninger!$C$43)),Forudsætninger!$E$42+Forudsætninger!$F$43*(K362-Forudsætninger!$C$42)),Forudsætninger!$E$42)+IF(K362&gt;Forudsætninger!$C$44,Forudsætninger!$G$44,IF(K362&gt;Forudsætninger!$C$43,Forudsætninger!$G$43+Forudsætninger!$H$44*(K362-Forudsætninger!$C$43),IF(K362&gt;Forudsætninger!$C$42,Forudsætninger!$G$42+Forudsætninger!$H$43*(K362-Forudsætninger!$C$42),Forudsætninger!$G$42)))*(V362-Forudsætninger!$H$42)</f>
        <v>#N/A</v>
      </c>
      <c r="AD362" s="19" t="e">
        <f t="shared" si="139"/>
        <v>#N/A</v>
      </c>
      <c r="AE362" s="19" t="e">
        <f t="shared" si="140"/>
        <v>#N/A</v>
      </c>
      <c r="AF362" t="e">
        <f>IF(G362&lt;=Forudsætninger!$C$97,Forudsætninger!$C$98,(IF(G362&lt;=Forudsætninger!$D$97,Forudsætninger!$D$98,IF(G362&lt;=Forudsætninger!$E$97,Forudsætninger!$E$98,IF(G362&lt;=Forudsætninger!$F$97,Forudsætninger!$F$98,IF(G362&lt;=Forudsætninger!$G$97,Forudsætninger!$G$98,IF(G362&lt;=Forudsætninger!$H$97,Forudsætninger!$H$98,IF(G362&lt;=Forudsætninger!$I$97,Forudsætninger!$I$98,Forudsætninger!$I$98))))))))</f>
        <v>#N/A</v>
      </c>
      <c r="AG362" s="1" t="e">
        <f t="shared" si="149"/>
        <v>#N/A</v>
      </c>
      <c r="AH362" s="1" t="e">
        <f t="shared" si="153"/>
        <v>#N/A</v>
      </c>
      <c r="AI362" s="1" t="e">
        <f t="shared" si="141"/>
        <v>#N/A</v>
      </c>
      <c r="AJ362" s="20" t="e">
        <f>+(W362*Forudsætninger!$C$12)</f>
        <v>#N/A</v>
      </c>
      <c r="AK362" s="20">
        <f>Forudsætninger!$C$17</f>
        <v>250</v>
      </c>
      <c r="AL362" s="20">
        <f>IF(A362&lt;92,Forudsætninger!$C$20,Forudsætninger!$C$21)</f>
        <v>1.0566762728146013</v>
      </c>
      <c r="AM362" s="20">
        <f t="shared" si="150"/>
        <v>648.90894106654491</v>
      </c>
      <c r="AN362" s="19">
        <f>IFERROR(AD362+AJ362-AA362-Z362-AK362-AM362-Forudsætninger!$D$75,-99999)</f>
        <v>-99999</v>
      </c>
      <c r="AO362" s="57">
        <f>IFERROR(AN362/(A362+Forudsætninger!$D$74),-99999)</f>
        <v>-277.77499999999998</v>
      </c>
      <c r="AP362" s="19">
        <f>IFERROR(((365/(A362+Forudsætninger!$D$74))*AN362)/(AI362+Forudsætninger!$D$73),-99999)</f>
        <v>-99999</v>
      </c>
      <c r="AQ362" s="18">
        <f t="shared" si="154"/>
        <v>360</v>
      </c>
      <c r="AR362" s="18" t="e">
        <f t="shared" si="155"/>
        <v>#N/A</v>
      </c>
      <c r="AS362" s="50">
        <f t="shared" si="156"/>
        <v>13</v>
      </c>
      <c r="AT362" s="50">
        <f t="shared" si="157"/>
        <v>0</v>
      </c>
      <c r="AU362" s="50">
        <f t="shared" si="158"/>
        <v>0.77374651810589512</v>
      </c>
      <c r="AV362" s="2">
        <f t="shared" si="159"/>
        <v>0</v>
      </c>
      <c r="AW362" s="16">
        <f t="shared" si="151"/>
        <v>-275.97247516370402</v>
      </c>
      <c r="AZ362" s="16"/>
      <c r="BA362" s="2"/>
    </row>
    <row r="363" spans="1:53" x14ac:dyDescent="0.25">
      <c r="A363">
        <v>361</v>
      </c>
      <c r="B363" s="1">
        <f>ROUND((A363+Forudsætninger!$D$60)/30.4,1)</f>
        <v>13</v>
      </c>
      <c r="C363" s="1" t="e">
        <f>VLOOKUP((A363+Forudsætninger!$D$60),'Model tilvækst, slagteform, fe'!A:C,3,FALSE)</f>
        <v>#N/A</v>
      </c>
      <c r="D363" s="3" t="e">
        <f t="shared" si="160"/>
        <v>#N/A</v>
      </c>
      <c r="E363" s="3" t="e">
        <f>(1+Forudsætninger!$D$78)*C363</f>
        <v>#N/A</v>
      </c>
      <c r="F363" s="2" t="e">
        <f t="shared" si="142"/>
        <v>#N/A</v>
      </c>
      <c r="G363" s="1" t="e">
        <f t="shared" si="135"/>
        <v>#N/A</v>
      </c>
      <c r="H363" s="3" t="e">
        <f t="shared" si="143"/>
        <v>#N/A</v>
      </c>
      <c r="I363" s="3" t="e">
        <f t="shared" si="144"/>
        <v>#N/A</v>
      </c>
      <c r="J363" s="1" t="e">
        <f>VLOOKUP((A363+Forudsætninger!$D$60),'Model tilvækst, slagteform, fe'!G:K,3,FALSE)*(1+Forudsætninger!$D$79)</f>
        <v>#N/A</v>
      </c>
      <c r="K363" s="17" t="e">
        <f t="shared" si="136"/>
        <v>#N/A</v>
      </c>
      <c r="L363" s="17" t="e">
        <f t="shared" si="145"/>
        <v>#N/A</v>
      </c>
      <c r="M363" s="3" t="e">
        <f>((K363-(('Model tilvækst, slagteform, fe'!$I$9/100)*'Model tilvækst, slagteform, fe'!$C$9))*1000/(A363+Forudsætninger!$D$60))</f>
        <v>#N/A</v>
      </c>
      <c r="N363" s="17" t="e">
        <f t="shared" si="146"/>
        <v>#N/A</v>
      </c>
      <c r="O363" s="19" t="e">
        <f>IF( A363&lt;Forudsætninger!$C$14,(G363/100)*Forudsætninger!$C$13,(Forudsætninger!$C$15/1000)*Forudsætninger!$C$13)</f>
        <v>#N/A</v>
      </c>
      <c r="P363" s="17" t="e" cm="1">
        <f t="array" ref="P363">INDEX('Model tilvækst, slagteform, fe'!$O$9:$O$375,MATCH(MIN(ABS('Model tilvækst, slagteform, fe'!$M$9:$M$375-G363)),ABS('Model tilvækst, slagteform, fe'!$M$9:$M$375-G363),0))*(1+Forudsætninger!$D$80)</f>
        <v>#N/A</v>
      </c>
      <c r="Q363" s="17" t="e">
        <f t="shared" si="147"/>
        <v>#N/A</v>
      </c>
      <c r="R363" s="17" t="e">
        <f t="shared" si="148"/>
        <v>#N/A</v>
      </c>
      <c r="S363" s="2" t="e">
        <f t="shared" si="137"/>
        <v>#N/A</v>
      </c>
      <c r="T363" s="19" t="e">
        <f>(P363)*IF(N363&lt;Forudsætninger!$B$228,IF(N363&lt;Forudsætninger!$B$227,Forudsætninger!$B$225,Forudsætninger!$C$9),Forudsætninger!$C$11)+O363</f>
        <v>#N/A</v>
      </c>
      <c r="U363" s="2" t="e">
        <f>Forudsætninger!$D$68+((K363-(Forudsætninger!$D$84)))*0.01</f>
        <v>#N/A</v>
      </c>
      <c r="V363" s="2" t="e">
        <f>U363+Forudsætninger!$D$69</f>
        <v>#N/A</v>
      </c>
      <c r="W363" t="e">
        <f t="shared" si="138"/>
        <v>#N/A</v>
      </c>
      <c r="X363">
        <f>IF(A363+Forudsætninger!$D$60&gt;248,IF(A363+Forudsætninger!$D$60&lt;365,IF(K363&gt;180,IF(K363&lt;260,1,0),0),0),0)</f>
        <v>0</v>
      </c>
      <c r="Y363" s="22">
        <f>IF(X363=0,0,IF('Vækstfunktion, kry tyr'!A363&lt;Forudsætninger!$D$66,Forudsætninger!$D$67+(('Vækstfunktion, kry tyr'!A363-Forudsætninger!$D$66)/7)*Forudsætninger!$D$64,Forudsætninger!$D$67))</f>
        <v>0</v>
      </c>
      <c r="Z363" s="19" t="e">
        <f t="shared" si="152"/>
        <v>#N/A</v>
      </c>
      <c r="AA363" s="19">
        <f>Forudsætninger!$D$62+Forudsætninger!$C$16</f>
        <v>2055</v>
      </c>
      <c r="AB363" s="19" t="e">
        <f>IF(K363&gt;Forudsætninger!$C$37,IF(K363&gt;Forudsætninger!$C$38,IF(K363&gt;Forudsætninger!$C$39,Forudsætninger!$E$39,Forudsætninger!$E$38+Forudsætninger!$F$39*(K363-Forudsætninger!$C$38)),Forudsætninger!$E$37+Forudsætninger!$F$38*(K363-Forudsætninger!$C$37)),Forudsætninger!$E$37)+IF(K363&gt;Forudsætninger!$C$39,Forudsætninger!$G$39,IF(K363&gt;Forudsætninger!$C$38,Forudsætninger!$G$38+Forudsætninger!$H$39*(K363-Forudsætninger!$C$38),IF(K363&gt;Forudsætninger!$C$37,Forudsætninger!$G$37+Forudsætninger!$H$38*(K363-Forudsætninger!$C$37),Forudsætninger!$G$37)))*(U363-Forudsætninger!$H$37)</f>
        <v>#N/A</v>
      </c>
      <c r="AC363" s="19" t="e">
        <f>IF(K363&gt;Forudsætninger!$C$42,IF(K363&gt;Forudsætninger!$C$43,IF(K363&gt;Forudsætninger!$C$44,Forudsætninger!$E$44,Forudsætninger!$E$43+Forudsætninger!$F$44*(K363-Forudsætninger!$C$43)),Forudsætninger!$E$42+Forudsætninger!$F$43*(K363-Forudsætninger!$C$42)),Forudsætninger!$E$42)+IF(K363&gt;Forudsætninger!$C$44,Forudsætninger!$G$44,IF(K363&gt;Forudsætninger!$C$43,Forudsætninger!$G$43+Forudsætninger!$H$44*(K363-Forudsætninger!$C$43),IF(K363&gt;Forudsætninger!$C$42,Forudsætninger!$G$42+Forudsætninger!$H$43*(K363-Forudsætninger!$C$42),Forudsætninger!$G$42)))*(V363-Forudsætninger!$H$42)</f>
        <v>#N/A</v>
      </c>
      <c r="AD363" s="19" t="e">
        <f t="shared" si="139"/>
        <v>#N/A</v>
      </c>
      <c r="AE363" s="19" t="e">
        <f t="shared" si="140"/>
        <v>#N/A</v>
      </c>
      <c r="AF363" t="e">
        <f>IF(G363&lt;=Forudsætninger!$C$97,Forudsætninger!$C$98,(IF(G363&lt;=Forudsætninger!$D$97,Forudsætninger!$D$98,IF(G363&lt;=Forudsætninger!$E$97,Forudsætninger!$E$98,IF(G363&lt;=Forudsætninger!$F$97,Forudsætninger!$F$98,IF(G363&lt;=Forudsætninger!$G$97,Forudsætninger!$G$98,IF(G363&lt;=Forudsætninger!$H$97,Forudsætninger!$H$98,IF(G363&lt;=Forudsætninger!$I$97,Forudsætninger!$I$98,Forudsætninger!$I$98))))))))</f>
        <v>#N/A</v>
      </c>
      <c r="AG363" s="1" t="e">
        <f t="shared" si="149"/>
        <v>#N/A</v>
      </c>
      <c r="AH363" s="1" t="e">
        <f t="shared" si="153"/>
        <v>#N/A</v>
      </c>
      <c r="AI363" s="1" t="e">
        <f t="shared" si="141"/>
        <v>#N/A</v>
      </c>
      <c r="AJ363" s="20" t="e">
        <f>+(W363*Forudsætninger!$C$12)</f>
        <v>#N/A</v>
      </c>
      <c r="AK363" s="20">
        <f>Forudsætninger!$C$17</f>
        <v>250</v>
      </c>
      <c r="AL363" s="20">
        <f>IF(A363&lt;92,Forudsætninger!$C$20,Forudsætninger!$C$21)</f>
        <v>1.0566762728146013</v>
      </c>
      <c r="AM363" s="20">
        <f t="shared" si="150"/>
        <v>649.96561733935948</v>
      </c>
      <c r="AN363" s="19">
        <f>IFERROR(AD363+AJ363-AA363-Z363-AK363-AM363-Forudsætninger!$D$75,-99999)</f>
        <v>-99999</v>
      </c>
      <c r="AO363" s="57">
        <f>IFERROR(AN363/(A363+Forudsætninger!$D$74),-99999)</f>
        <v>-277.00554016620498</v>
      </c>
      <c r="AP363" s="19">
        <f>IFERROR(((365/(A363+Forudsætninger!$D$74))*AN363)/(AI363+Forudsætninger!$D$73),-99999)</f>
        <v>-99999</v>
      </c>
      <c r="AQ363" s="18">
        <f t="shared" si="154"/>
        <v>361</v>
      </c>
      <c r="AR363" s="18" t="e">
        <f t="shared" si="155"/>
        <v>#N/A</v>
      </c>
      <c r="AS363" s="50">
        <f t="shared" si="156"/>
        <v>13</v>
      </c>
      <c r="AT363" s="50">
        <f t="shared" si="157"/>
        <v>0</v>
      </c>
      <c r="AU363" s="50">
        <f t="shared" si="158"/>
        <v>0.76945983379499694</v>
      </c>
      <c r="AV363" s="2">
        <f t="shared" si="159"/>
        <v>0</v>
      </c>
      <c r="AW363" s="16">
        <f t="shared" si="151"/>
        <v>-275.20508139241173</v>
      </c>
      <c r="AZ363" s="16"/>
      <c r="BA363" s="2"/>
    </row>
    <row r="364" spans="1:53" x14ac:dyDescent="0.25">
      <c r="A364">
        <v>362</v>
      </c>
      <c r="B364" s="1">
        <f>ROUND((A364+Forudsætninger!$D$60)/30.4,1)</f>
        <v>13</v>
      </c>
      <c r="C364" s="1" t="e">
        <f>VLOOKUP((A364+Forudsætninger!$D$60),'Model tilvækst, slagteform, fe'!A:C,3,FALSE)</f>
        <v>#N/A</v>
      </c>
      <c r="D364" s="3" t="e">
        <f t="shared" si="160"/>
        <v>#N/A</v>
      </c>
      <c r="E364" s="3" t="e">
        <f>(1+Forudsætninger!$D$78)*C364</f>
        <v>#N/A</v>
      </c>
      <c r="F364" s="2" t="e">
        <f t="shared" si="142"/>
        <v>#N/A</v>
      </c>
      <c r="G364" s="1" t="e">
        <f t="shared" si="135"/>
        <v>#N/A</v>
      </c>
      <c r="H364" s="3" t="e">
        <f t="shared" si="143"/>
        <v>#N/A</v>
      </c>
      <c r="I364" s="3" t="e">
        <f t="shared" si="144"/>
        <v>#N/A</v>
      </c>
      <c r="J364" s="1" t="e">
        <f>VLOOKUP((A364+Forudsætninger!$D$60),'Model tilvækst, slagteform, fe'!G:K,3,FALSE)*(1+Forudsætninger!$D$79)</f>
        <v>#N/A</v>
      </c>
      <c r="K364" s="17" t="e">
        <f t="shared" si="136"/>
        <v>#N/A</v>
      </c>
      <c r="L364" s="17" t="e">
        <f t="shared" si="145"/>
        <v>#N/A</v>
      </c>
      <c r="M364" s="3" t="e">
        <f>((K364-(('Model tilvækst, slagteform, fe'!$I$9/100)*'Model tilvækst, slagteform, fe'!$C$9))*1000/(A364+Forudsætninger!$D$60))</f>
        <v>#N/A</v>
      </c>
      <c r="N364" s="17" t="e">
        <f t="shared" si="146"/>
        <v>#N/A</v>
      </c>
      <c r="O364" s="19" t="e">
        <f>IF( A364&lt;Forudsætninger!$C$14,(G364/100)*Forudsætninger!$C$13,(Forudsætninger!$C$15/1000)*Forudsætninger!$C$13)</f>
        <v>#N/A</v>
      </c>
      <c r="P364" s="17" t="e" cm="1">
        <f t="array" ref="P364">INDEX('Model tilvækst, slagteform, fe'!$O$9:$O$375,MATCH(MIN(ABS('Model tilvækst, slagteform, fe'!$M$9:$M$375-G364)),ABS('Model tilvækst, slagteform, fe'!$M$9:$M$375-G364),0))*(1+Forudsætninger!$D$80)</f>
        <v>#N/A</v>
      </c>
      <c r="Q364" s="17" t="e">
        <f t="shared" si="147"/>
        <v>#N/A</v>
      </c>
      <c r="R364" s="17" t="e">
        <f t="shared" si="148"/>
        <v>#N/A</v>
      </c>
      <c r="S364" s="2" t="e">
        <f t="shared" si="137"/>
        <v>#N/A</v>
      </c>
      <c r="T364" s="19" t="e">
        <f>(P364)*IF(N364&lt;Forudsætninger!$B$228,IF(N364&lt;Forudsætninger!$B$227,Forudsætninger!$B$225,Forudsætninger!$C$9),Forudsætninger!$C$11)+O364</f>
        <v>#N/A</v>
      </c>
      <c r="U364" s="2" t="e">
        <f>Forudsætninger!$D$68+((K364-(Forudsætninger!$D$84)))*0.01</f>
        <v>#N/A</v>
      </c>
      <c r="V364" s="2" t="e">
        <f>U364+Forudsætninger!$D$69</f>
        <v>#N/A</v>
      </c>
      <c r="W364" t="e">
        <f t="shared" si="138"/>
        <v>#N/A</v>
      </c>
      <c r="X364">
        <f>IF(A364+Forudsætninger!$D$60&gt;248,IF(A364+Forudsætninger!$D$60&lt;365,IF(K364&gt;180,IF(K364&lt;260,1,0),0),0),0)</f>
        <v>0</v>
      </c>
      <c r="Y364" s="22">
        <f>IF(X364=0,0,IF('Vækstfunktion, kry tyr'!A364&lt;Forudsætninger!$D$66,Forudsætninger!$D$67+(('Vækstfunktion, kry tyr'!A364-Forudsætninger!$D$66)/7)*Forudsætninger!$D$64,Forudsætninger!$D$67))</f>
        <v>0</v>
      </c>
      <c r="Z364" s="19" t="e">
        <f t="shared" si="152"/>
        <v>#N/A</v>
      </c>
      <c r="AA364" s="19">
        <f>Forudsætninger!$D$62+Forudsætninger!$C$16</f>
        <v>2055</v>
      </c>
      <c r="AB364" s="19" t="e">
        <f>IF(K364&gt;Forudsætninger!$C$37,IF(K364&gt;Forudsætninger!$C$38,IF(K364&gt;Forudsætninger!$C$39,Forudsætninger!$E$39,Forudsætninger!$E$38+Forudsætninger!$F$39*(K364-Forudsætninger!$C$38)),Forudsætninger!$E$37+Forudsætninger!$F$38*(K364-Forudsætninger!$C$37)),Forudsætninger!$E$37)+IF(K364&gt;Forudsætninger!$C$39,Forudsætninger!$G$39,IF(K364&gt;Forudsætninger!$C$38,Forudsætninger!$G$38+Forudsætninger!$H$39*(K364-Forudsætninger!$C$38),IF(K364&gt;Forudsætninger!$C$37,Forudsætninger!$G$37+Forudsætninger!$H$38*(K364-Forudsætninger!$C$37),Forudsætninger!$G$37)))*(U364-Forudsætninger!$H$37)</f>
        <v>#N/A</v>
      </c>
      <c r="AC364" s="19" t="e">
        <f>IF(K364&gt;Forudsætninger!$C$42,IF(K364&gt;Forudsætninger!$C$43,IF(K364&gt;Forudsætninger!$C$44,Forudsætninger!$E$44,Forudsætninger!$E$43+Forudsætninger!$F$44*(K364-Forudsætninger!$C$43)),Forudsætninger!$E$42+Forudsætninger!$F$43*(K364-Forudsætninger!$C$42)),Forudsætninger!$E$42)+IF(K364&gt;Forudsætninger!$C$44,Forudsætninger!$G$44,IF(K364&gt;Forudsætninger!$C$43,Forudsætninger!$G$43+Forudsætninger!$H$44*(K364-Forudsætninger!$C$43),IF(K364&gt;Forudsætninger!$C$42,Forudsætninger!$G$42+Forudsætninger!$H$43*(K364-Forudsætninger!$C$42),Forudsætninger!$G$42)))*(V364-Forudsætninger!$H$42)</f>
        <v>#N/A</v>
      </c>
      <c r="AD364" s="19" t="e">
        <f t="shared" si="139"/>
        <v>#N/A</v>
      </c>
      <c r="AE364" s="19" t="e">
        <f t="shared" si="140"/>
        <v>#N/A</v>
      </c>
      <c r="AF364" t="e">
        <f>IF(G364&lt;=Forudsætninger!$C$97,Forudsætninger!$C$98,(IF(G364&lt;=Forudsætninger!$D$97,Forudsætninger!$D$98,IF(G364&lt;=Forudsætninger!$E$97,Forudsætninger!$E$98,IF(G364&lt;=Forudsætninger!$F$97,Forudsætninger!$F$98,IF(G364&lt;=Forudsætninger!$G$97,Forudsætninger!$G$98,IF(G364&lt;=Forudsætninger!$H$97,Forudsætninger!$H$98,IF(G364&lt;=Forudsætninger!$I$97,Forudsætninger!$I$98,Forudsætninger!$I$98))))))))</f>
        <v>#N/A</v>
      </c>
      <c r="AG364" s="1" t="e">
        <f t="shared" si="149"/>
        <v>#N/A</v>
      </c>
      <c r="AH364" s="1" t="e">
        <f t="shared" si="153"/>
        <v>#N/A</v>
      </c>
      <c r="AI364" s="1" t="e">
        <f t="shared" si="141"/>
        <v>#N/A</v>
      </c>
      <c r="AJ364" s="20" t="e">
        <f>+(W364*Forudsætninger!$C$12)</f>
        <v>#N/A</v>
      </c>
      <c r="AK364" s="20">
        <f>Forudsætninger!$C$17</f>
        <v>250</v>
      </c>
      <c r="AL364" s="20">
        <f>IF(A364&lt;92,Forudsætninger!$C$20,Forudsætninger!$C$21)</f>
        <v>1.0566762728146013</v>
      </c>
      <c r="AM364" s="20">
        <f t="shared" si="150"/>
        <v>651.02229361217405</v>
      </c>
      <c r="AN364" s="19">
        <f>IFERROR(AD364+AJ364-AA364-Z364-AK364-AM364-Forudsætninger!$D$75,-99999)</f>
        <v>-99999</v>
      </c>
      <c r="AO364" s="57">
        <f>IFERROR(AN364/(A364+Forudsætninger!$D$74),-99999)</f>
        <v>-276.24033149171271</v>
      </c>
      <c r="AP364" s="19">
        <f>IFERROR(((365/(A364+Forudsætninger!$D$74))*AN364)/(AI364+Forudsætninger!$D$73),-99999)</f>
        <v>-99999</v>
      </c>
      <c r="AQ364" s="18">
        <f t="shared" si="154"/>
        <v>362</v>
      </c>
      <c r="AR364" s="18" t="e">
        <f t="shared" si="155"/>
        <v>#N/A</v>
      </c>
      <c r="AS364" s="50">
        <f t="shared" si="156"/>
        <v>13</v>
      </c>
      <c r="AT364" s="50">
        <f t="shared" si="157"/>
        <v>0</v>
      </c>
      <c r="AU364" s="50">
        <f t="shared" si="158"/>
        <v>0.76520867449227126</v>
      </c>
      <c r="AV364" s="2">
        <f t="shared" si="159"/>
        <v>0</v>
      </c>
      <c r="AW364" s="16">
        <f t="shared" si="151"/>
        <v>-274.44192736571222</v>
      </c>
      <c r="AZ364" s="16"/>
      <c r="BA364" s="2"/>
    </row>
    <row r="365" spans="1:53" x14ac:dyDescent="0.25">
      <c r="A365">
        <v>363</v>
      </c>
      <c r="B365" s="1">
        <f>ROUND((A365+Forudsætninger!$D$60)/30.4,1)</f>
        <v>13.1</v>
      </c>
      <c r="C365" s="1" t="e">
        <f>VLOOKUP((A365+Forudsætninger!$D$60),'Model tilvækst, slagteform, fe'!A:C,3,FALSE)</f>
        <v>#N/A</v>
      </c>
      <c r="D365" s="3" t="e">
        <f t="shared" si="160"/>
        <v>#N/A</v>
      </c>
      <c r="E365" s="3" t="e">
        <f>(1+Forudsætninger!$D$78)*C365</f>
        <v>#N/A</v>
      </c>
      <c r="F365" s="2" t="e">
        <f t="shared" si="142"/>
        <v>#N/A</v>
      </c>
      <c r="G365" s="1" t="e">
        <f t="shared" si="135"/>
        <v>#N/A</v>
      </c>
      <c r="H365" s="3" t="e">
        <f t="shared" si="143"/>
        <v>#N/A</v>
      </c>
      <c r="I365" s="3" t="e">
        <f t="shared" si="144"/>
        <v>#N/A</v>
      </c>
      <c r="J365" s="1" t="e">
        <f>VLOOKUP((A365+Forudsætninger!$D$60),'Model tilvækst, slagteform, fe'!G:K,3,FALSE)*(1+Forudsætninger!$D$79)</f>
        <v>#N/A</v>
      </c>
      <c r="K365" s="17" t="e">
        <f t="shared" si="136"/>
        <v>#N/A</v>
      </c>
      <c r="L365" s="17" t="e">
        <f t="shared" si="145"/>
        <v>#N/A</v>
      </c>
      <c r="M365" s="3" t="e">
        <f>((K365-(('Model tilvækst, slagteform, fe'!$I$9/100)*'Model tilvækst, slagteform, fe'!$C$9))*1000/(A365+Forudsætninger!$D$60))</f>
        <v>#N/A</v>
      </c>
      <c r="N365" s="17" t="e">
        <f t="shared" si="146"/>
        <v>#N/A</v>
      </c>
      <c r="O365" s="19" t="e">
        <f>IF( A365&lt;Forudsætninger!$C$14,(G365/100)*Forudsætninger!$C$13,(Forudsætninger!$C$15/1000)*Forudsætninger!$C$13)</f>
        <v>#N/A</v>
      </c>
      <c r="P365" s="17" t="e" cm="1">
        <f t="array" ref="P365">INDEX('Model tilvækst, slagteform, fe'!$O$9:$O$375,MATCH(MIN(ABS('Model tilvækst, slagteform, fe'!$M$9:$M$375-G365)),ABS('Model tilvækst, slagteform, fe'!$M$9:$M$375-G365),0))*(1+Forudsætninger!$D$80)</f>
        <v>#N/A</v>
      </c>
      <c r="Q365" s="17" t="e">
        <f t="shared" si="147"/>
        <v>#N/A</v>
      </c>
      <c r="R365" s="17" t="e">
        <f t="shared" si="148"/>
        <v>#N/A</v>
      </c>
      <c r="S365" s="2" t="e">
        <f t="shared" si="137"/>
        <v>#N/A</v>
      </c>
      <c r="T365" s="19" t="e">
        <f>(P365)*IF(N365&lt;Forudsætninger!$B$228,IF(N365&lt;Forudsætninger!$B$227,Forudsætninger!$B$225,Forudsætninger!$C$9),Forudsætninger!$C$11)+O365</f>
        <v>#N/A</v>
      </c>
      <c r="U365" s="2" t="e">
        <f>Forudsætninger!$D$68+((K365-(Forudsætninger!$D$84)))*0.01</f>
        <v>#N/A</v>
      </c>
      <c r="V365" s="2" t="e">
        <f>U365+Forudsætninger!$D$69</f>
        <v>#N/A</v>
      </c>
      <c r="W365" t="e">
        <f t="shared" si="138"/>
        <v>#N/A</v>
      </c>
      <c r="X365">
        <f>IF(A365+Forudsætninger!$D$60&gt;248,IF(A365+Forudsætninger!$D$60&lt;365,IF(K365&gt;180,IF(K365&lt;260,1,0),0),0),0)</f>
        <v>0</v>
      </c>
      <c r="Y365" s="22">
        <f>IF(X365=0,0,IF('Vækstfunktion, kry tyr'!A365&lt;Forudsætninger!$D$66,Forudsætninger!$D$67+(('Vækstfunktion, kry tyr'!A365-Forudsætninger!$D$66)/7)*Forudsætninger!$D$64,Forudsætninger!$D$67))</f>
        <v>0</v>
      </c>
      <c r="Z365" s="19" t="e">
        <f t="shared" si="152"/>
        <v>#N/A</v>
      </c>
      <c r="AA365" s="19">
        <f>Forudsætninger!$D$62+Forudsætninger!$C$16</f>
        <v>2055</v>
      </c>
      <c r="AB365" s="19" t="e">
        <f>IF(K365&gt;Forudsætninger!$C$37,IF(K365&gt;Forudsætninger!$C$38,IF(K365&gt;Forudsætninger!$C$39,Forudsætninger!$E$39,Forudsætninger!$E$38+Forudsætninger!$F$39*(K365-Forudsætninger!$C$38)),Forudsætninger!$E$37+Forudsætninger!$F$38*(K365-Forudsætninger!$C$37)),Forudsætninger!$E$37)+IF(K365&gt;Forudsætninger!$C$39,Forudsætninger!$G$39,IF(K365&gt;Forudsætninger!$C$38,Forudsætninger!$G$38+Forudsætninger!$H$39*(K365-Forudsætninger!$C$38),IF(K365&gt;Forudsætninger!$C$37,Forudsætninger!$G$37+Forudsætninger!$H$38*(K365-Forudsætninger!$C$37),Forudsætninger!$G$37)))*(U365-Forudsætninger!$H$37)</f>
        <v>#N/A</v>
      </c>
      <c r="AC365" s="19" t="e">
        <f>IF(K365&gt;Forudsætninger!$C$42,IF(K365&gt;Forudsætninger!$C$43,IF(K365&gt;Forudsætninger!$C$44,Forudsætninger!$E$44,Forudsætninger!$E$43+Forudsætninger!$F$44*(K365-Forudsætninger!$C$43)),Forudsætninger!$E$42+Forudsætninger!$F$43*(K365-Forudsætninger!$C$42)),Forudsætninger!$E$42)+IF(K365&gt;Forudsætninger!$C$44,Forudsætninger!$G$44,IF(K365&gt;Forudsætninger!$C$43,Forudsætninger!$G$43+Forudsætninger!$H$44*(K365-Forudsætninger!$C$43),IF(K365&gt;Forudsætninger!$C$42,Forudsætninger!$G$42+Forudsætninger!$H$43*(K365-Forudsætninger!$C$42),Forudsætninger!$G$42)))*(V365-Forudsætninger!$H$42)</f>
        <v>#N/A</v>
      </c>
      <c r="AD365" s="19" t="e">
        <f t="shared" si="139"/>
        <v>#N/A</v>
      </c>
      <c r="AE365" s="19" t="e">
        <f t="shared" si="140"/>
        <v>#N/A</v>
      </c>
      <c r="AF365" t="e">
        <f>IF(G365&lt;=Forudsætninger!$C$97,Forudsætninger!$C$98,(IF(G365&lt;=Forudsætninger!$D$97,Forudsætninger!$D$98,IF(G365&lt;=Forudsætninger!$E$97,Forudsætninger!$E$98,IF(G365&lt;=Forudsætninger!$F$97,Forudsætninger!$F$98,IF(G365&lt;=Forudsætninger!$G$97,Forudsætninger!$G$98,IF(G365&lt;=Forudsætninger!$H$97,Forudsætninger!$H$98,IF(G365&lt;=Forudsætninger!$I$97,Forudsætninger!$I$98,Forudsætninger!$I$98))))))))</f>
        <v>#N/A</v>
      </c>
      <c r="AG365" s="1" t="e">
        <f t="shared" si="149"/>
        <v>#N/A</v>
      </c>
      <c r="AH365" s="1" t="e">
        <f t="shared" si="153"/>
        <v>#N/A</v>
      </c>
      <c r="AI365" s="1" t="e">
        <f t="shared" si="141"/>
        <v>#N/A</v>
      </c>
      <c r="AJ365" s="20" t="e">
        <f>+(W365*Forudsætninger!$C$12)</f>
        <v>#N/A</v>
      </c>
      <c r="AK365" s="20">
        <f>Forudsætninger!$C$17</f>
        <v>250</v>
      </c>
      <c r="AL365" s="20">
        <f>IF(A365&lt;92,Forudsætninger!$C$20,Forudsætninger!$C$21)</f>
        <v>1.0566762728146013</v>
      </c>
      <c r="AM365" s="20">
        <f t="shared" si="150"/>
        <v>652.07896988498862</v>
      </c>
      <c r="AN365" s="19">
        <f>IFERROR(AD365+AJ365-AA365-Z365-AK365-AM365-Forudsætninger!$D$75,-99999)</f>
        <v>-99999</v>
      </c>
      <c r="AO365" s="57">
        <f>IFERROR(AN365/(A365+Forudsætninger!$D$74),-99999)</f>
        <v>-275.47933884297521</v>
      </c>
      <c r="AP365" s="19">
        <f>IFERROR(((365/(A365+Forudsætninger!$D$74))*AN365)/(AI365+Forudsætninger!$D$73),-99999)</f>
        <v>-99999</v>
      </c>
      <c r="AQ365" s="18">
        <f t="shared" si="154"/>
        <v>363</v>
      </c>
      <c r="AR365" s="18" t="e">
        <f t="shared" si="155"/>
        <v>#N/A</v>
      </c>
      <c r="AS365" s="50">
        <f t="shared" si="156"/>
        <v>13.1</v>
      </c>
      <c r="AT365" s="50">
        <f t="shared" si="157"/>
        <v>0</v>
      </c>
      <c r="AU365" s="50">
        <f t="shared" si="158"/>
        <v>0.76099264873749917</v>
      </c>
      <c r="AV365" s="2">
        <f t="shared" si="159"/>
        <v>0</v>
      </c>
      <c r="AW365" s="16">
        <f t="shared" si="151"/>
        <v>-273.68297804439396</v>
      </c>
      <c r="AZ365" s="16"/>
      <c r="BA365" s="2"/>
    </row>
    <row r="366" spans="1:53" x14ac:dyDescent="0.25">
      <c r="A366">
        <v>364</v>
      </c>
      <c r="B366" s="1">
        <f>ROUND((A366+Forudsætninger!$D$60)/30.4,1)</f>
        <v>13.1</v>
      </c>
      <c r="C366" s="1" t="e">
        <f>VLOOKUP((A366+Forudsætninger!$D$60),'Model tilvækst, slagteform, fe'!A:C,3,FALSE)</f>
        <v>#N/A</v>
      </c>
      <c r="D366" s="3" t="e">
        <f t="shared" si="160"/>
        <v>#N/A</v>
      </c>
      <c r="E366" s="3" t="e">
        <f>(1+Forudsætninger!$D$78)*C366</f>
        <v>#N/A</v>
      </c>
      <c r="F366" s="2" t="e">
        <f t="shared" si="142"/>
        <v>#N/A</v>
      </c>
      <c r="G366" s="1" t="e">
        <f t="shared" si="135"/>
        <v>#N/A</v>
      </c>
      <c r="H366" s="3" t="e">
        <f t="shared" si="143"/>
        <v>#N/A</v>
      </c>
      <c r="I366" s="3" t="e">
        <f t="shared" si="144"/>
        <v>#N/A</v>
      </c>
      <c r="J366" s="1" t="e">
        <f>VLOOKUP((A366+Forudsætninger!$D$60),'Model tilvækst, slagteform, fe'!G:K,3,FALSE)*(1+Forudsætninger!$D$79)</f>
        <v>#N/A</v>
      </c>
      <c r="K366" s="17" t="e">
        <f t="shared" si="136"/>
        <v>#N/A</v>
      </c>
      <c r="L366" s="17" t="e">
        <f t="shared" si="145"/>
        <v>#N/A</v>
      </c>
      <c r="M366" s="3" t="e">
        <f>((K366-(('Model tilvækst, slagteform, fe'!$I$9/100)*'Model tilvækst, slagteform, fe'!$C$9))*1000/(A366+Forudsætninger!$D$60))</f>
        <v>#N/A</v>
      </c>
      <c r="N366" s="17" t="e">
        <f t="shared" si="146"/>
        <v>#N/A</v>
      </c>
      <c r="O366" s="19" t="e">
        <f>IF( A366&lt;Forudsætninger!$C$14,(G366/100)*Forudsætninger!$C$13,(Forudsætninger!$C$15/1000)*Forudsætninger!$C$13)</f>
        <v>#N/A</v>
      </c>
      <c r="P366" s="17" t="e" cm="1">
        <f t="array" ref="P366">INDEX('Model tilvækst, slagteform, fe'!$O$9:$O$375,MATCH(MIN(ABS('Model tilvækst, slagteform, fe'!$M$9:$M$375-G366)),ABS('Model tilvækst, slagteform, fe'!$M$9:$M$375-G366),0))*(1+Forudsætninger!$D$80)</f>
        <v>#N/A</v>
      </c>
      <c r="Q366" s="17" t="e">
        <f t="shared" si="147"/>
        <v>#N/A</v>
      </c>
      <c r="R366" s="17" t="e">
        <f t="shared" si="148"/>
        <v>#N/A</v>
      </c>
      <c r="S366" s="2" t="e">
        <f t="shared" si="137"/>
        <v>#N/A</v>
      </c>
      <c r="T366" s="19" t="e">
        <f>(P366)*IF(N366&lt;Forudsætninger!$B$228,IF(N366&lt;Forudsætninger!$B$227,Forudsætninger!$B$225,Forudsætninger!$C$9),Forudsætninger!$C$11)+O366</f>
        <v>#N/A</v>
      </c>
      <c r="U366" s="2" t="e">
        <f>Forudsætninger!$D$68+((K366-(Forudsætninger!$D$84)))*0.01</f>
        <v>#N/A</v>
      </c>
      <c r="V366" s="2" t="e">
        <f>U366+Forudsætninger!$D$69</f>
        <v>#N/A</v>
      </c>
      <c r="W366" t="e">
        <f t="shared" si="138"/>
        <v>#N/A</v>
      </c>
      <c r="X366">
        <f>IF(A366+Forudsætninger!$D$60&gt;248,IF(A366+Forudsætninger!$D$60&lt;365,IF(K366&gt;180,IF(K366&lt;260,1,0),0),0),0)</f>
        <v>0</v>
      </c>
      <c r="Y366" s="22">
        <f>IF(X366=0,0,IF('Vækstfunktion, kry tyr'!A366&lt;Forudsætninger!$D$66,Forudsætninger!$D$67+(('Vækstfunktion, kry tyr'!A366-Forudsætninger!$D$66)/7)*Forudsætninger!$D$64,Forudsætninger!$D$67))</f>
        <v>0</v>
      </c>
      <c r="Z366" s="19" t="e">
        <f t="shared" si="152"/>
        <v>#N/A</v>
      </c>
      <c r="AA366" s="19">
        <f>Forudsætninger!$D$62+Forudsætninger!$C$16</f>
        <v>2055</v>
      </c>
      <c r="AB366" s="19" t="e">
        <f>IF(K366&gt;Forudsætninger!$C$37,IF(K366&gt;Forudsætninger!$C$38,IF(K366&gt;Forudsætninger!$C$39,Forudsætninger!$E$39,Forudsætninger!$E$38+Forudsætninger!$F$39*(K366-Forudsætninger!$C$38)),Forudsætninger!$E$37+Forudsætninger!$F$38*(K366-Forudsætninger!$C$37)),Forudsætninger!$E$37)+IF(K366&gt;Forudsætninger!$C$39,Forudsætninger!$G$39,IF(K366&gt;Forudsætninger!$C$38,Forudsætninger!$G$38+Forudsætninger!$H$39*(K366-Forudsætninger!$C$38),IF(K366&gt;Forudsætninger!$C$37,Forudsætninger!$G$37+Forudsætninger!$H$38*(K366-Forudsætninger!$C$37),Forudsætninger!$G$37)))*(U366-Forudsætninger!$H$37)</f>
        <v>#N/A</v>
      </c>
      <c r="AC366" s="19" t="e">
        <f>IF(K366&gt;Forudsætninger!$C$42,IF(K366&gt;Forudsætninger!$C$43,IF(K366&gt;Forudsætninger!$C$44,Forudsætninger!$E$44,Forudsætninger!$E$43+Forudsætninger!$F$44*(K366-Forudsætninger!$C$43)),Forudsætninger!$E$42+Forudsætninger!$F$43*(K366-Forudsætninger!$C$42)),Forudsætninger!$E$42)+IF(K366&gt;Forudsætninger!$C$44,Forudsætninger!$G$44,IF(K366&gt;Forudsætninger!$C$43,Forudsætninger!$G$43+Forudsætninger!$H$44*(K366-Forudsætninger!$C$43),IF(K366&gt;Forudsætninger!$C$42,Forudsætninger!$G$42+Forudsætninger!$H$43*(K366-Forudsætninger!$C$42),Forudsætninger!$G$42)))*(V366-Forudsætninger!$H$42)</f>
        <v>#N/A</v>
      </c>
      <c r="AD366" s="19" t="e">
        <f t="shared" si="139"/>
        <v>#N/A</v>
      </c>
      <c r="AE366" s="19" t="e">
        <f t="shared" si="140"/>
        <v>#N/A</v>
      </c>
      <c r="AF366" t="e">
        <f>IF(G366&lt;=Forudsætninger!$C$97,Forudsætninger!$C$98,(IF(G366&lt;=Forudsætninger!$D$97,Forudsætninger!$D$98,IF(G366&lt;=Forudsætninger!$E$97,Forudsætninger!$E$98,IF(G366&lt;=Forudsætninger!$F$97,Forudsætninger!$F$98,IF(G366&lt;=Forudsætninger!$G$97,Forudsætninger!$G$98,IF(G366&lt;=Forudsætninger!$H$97,Forudsætninger!$H$98,IF(G366&lt;=Forudsætninger!$I$97,Forudsætninger!$I$98,Forudsætninger!$I$98))))))))</f>
        <v>#N/A</v>
      </c>
      <c r="AG366" s="1" t="e">
        <f t="shared" si="149"/>
        <v>#N/A</v>
      </c>
      <c r="AH366" s="1" t="e">
        <f t="shared" si="153"/>
        <v>#N/A</v>
      </c>
      <c r="AI366" s="1" t="e">
        <f t="shared" si="141"/>
        <v>#N/A</v>
      </c>
      <c r="AJ366" s="20" t="e">
        <f>+(W366*Forudsætninger!$C$12)</f>
        <v>#N/A</v>
      </c>
      <c r="AK366" s="20">
        <f>Forudsætninger!$C$17</f>
        <v>250</v>
      </c>
      <c r="AL366" s="20">
        <f>IF(A366&lt;92,Forudsætninger!$C$20,Forudsætninger!$C$21)</f>
        <v>1.0566762728146013</v>
      </c>
      <c r="AM366" s="20">
        <f t="shared" si="150"/>
        <v>653.13564615780319</v>
      </c>
      <c r="AN366" s="19">
        <f>IFERROR(AD366+AJ366-AA366-Z366-AK366-AM366-Forudsætninger!$D$75,-99999)</f>
        <v>-99999</v>
      </c>
      <c r="AO366" s="57">
        <f>IFERROR(AN366/(A366+Forudsætninger!$D$74),-99999)</f>
        <v>-274.72252747252747</v>
      </c>
      <c r="AP366" s="19">
        <f>IFERROR(((365/(A366+Forudsætninger!$D$74))*AN366)/(AI366+Forudsætninger!$D$73),-99999)</f>
        <v>-99999</v>
      </c>
      <c r="AQ366" s="18">
        <f t="shared" si="154"/>
        <v>364</v>
      </c>
      <c r="AR366" s="18" t="e">
        <f t="shared" si="155"/>
        <v>#N/A</v>
      </c>
      <c r="AS366" s="50">
        <f t="shared" si="156"/>
        <v>13.1</v>
      </c>
      <c r="AT366" s="50">
        <f t="shared" si="157"/>
        <v>0</v>
      </c>
      <c r="AU366" s="50">
        <f t="shared" si="158"/>
        <v>0.7568113704477355</v>
      </c>
      <c r="AV366" s="2">
        <f t="shared" si="159"/>
        <v>0</v>
      </c>
      <c r="AW366" s="16">
        <f t="shared" si="151"/>
        <v>-272.92819877429179</v>
      </c>
      <c r="AZ366" s="16"/>
      <c r="BA366" s="2"/>
    </row>
    <row r="367" spans="1:53" x14ac:dyDescent="0.25">
      <c r="A367">
        <v>365</v>
      </c>
      <c r="B367" s="1">
        <f>ROUND((A367+Forudsætninger!$D$60)/30.4,1)</f>
        <v>13.1</v>
      </c>
      <c r="C367" s="1" t="e">
        <f>VLOOKUP((A367+Forudsætninger!$D$60),'Model tilvækst, slagteform, fe'!A:C,3,FALSE)</f>
        <v>#N/A</v>
      </c>
      <c r="D367" s="3" t="e">
        <f t="shared" si="160"/>
        <v>#N/A</v>
      </c>
      <c r="E367" s="3" t="e">
        <f>(1+Forudsætninger!$D$78)*C367</f>
        <v>#N/A</v>
      </c>
      <c r="F367" s="2" t="e">
        <f t="shared" si="142"/>
        <v>#N/A</v>
      </c>
      <c r="G367" s="1" t="e">
        <f t="shared" si="135"/>
        <v>#N/A</v>
      </c>
      <c r="H367" s="3" t="e">
        <f t="shared" si="143"/>
        <v>#N/A</v>
      </c>
      <c r="I367" s="3" t="e">
        <f t="shared" si="144"/>
        <v>#N/A</v>
      </c>
      <c r="J367" s="1" t="e">
        <f>VLOOKUP((A367+Forudsætninger!$D$60),'Model tilvækst, slagteform, fe'!G:K,3,FALSE)*(1+Forudsætninger!$D$79)</f>
        <v>#N/A</v>
      </c>
      <c r="K367" s="17" t="e">
        <f t="shared" si="136"/>
        <v>#N/A</v>
      </c>
      <c r="L367" s="17" t="e">
        <f t="shared" si="145"/>
        <v>#N/A</v>
      </c>
      <c r="M367" s="3" t="e">
        <f>((K367-(('Model tilvækst, slagteform, fe'!$I$9/100)*'Model tilvækst, slagteform, fe'!$C$9))*1000/(A367+Forudsætninger!$D$60))</f>
        <v>#N/A</v>
      </c>
      <c r="N367" s="17" t="e">
        <f t="shared" si="146"/>
        <v>#N/A</v>
      </c>
      <c r="O367" s="19" t="e">
        <f>IF( A367&lt;Forudsætninger!$C$14,(G367/100)*Forudsætninger!$C$13,(Forudsætninger!$C$15/1000)*Forudsætninger!$C$13)</f>
        <v>#N/A</v>
      </c>
      <c r="P367" s="17" t="e" cm="1">
        <f t="array" ref="P367">INDEX('Model tilvækst, slagteform, fe'!$O$9:$O$375,MATCH(MIN(ABS('Model tilvækst, slagteform, fe'!$M$9:$M$375-G367)),ABS('Model tilvækst, slagteform, fe'!$M$9:$M$375-G367),0))*(1+Forudsætninger!$D$80)</f>
        <v>#N/A</v>
      </c>
      <c r="Q367" s="17" t="e">
        <f t="shared" si="147"/>
        <v>#N/A</v>
      </c>
      <c r="R367" s="17" t="e">
        <f t="shared" si="148"/>
        <v>#N/A</v>
      </c>
      <c r="S367" s="2" t="e">
        <f t="shared" si="137"/>
        <v>#N/A</v>
      </c>
      <c r="T367" s="19" t="e">
        <f>(P367)*IF(N367&lt;Forudsætninger!$B$228,IF(N367&lt;Forudsætninger!$B$227,Forudsætninger!$B$225,Forudsætninger!$C$9),Forudsætninger!$C$11)+O367</f>
        <v>#N/A</v>
      </c>
      <c r="U367" s="2" t="e">
        <f>Forudsætninger!$D$68+((K367-(Forudsætninger!$D$84)))*0.01</f>
        <v>#N/A</v>
      </c>
      <c r="V367" s="2" t="e">
        <f>U367+Forudsætninger!$D$69</f>
        <v>#N/A</v>
      </c>
      <c r="W367" t="e">
        <f t="shared" si="138"/>
        <v>#N/A</v>
      </c>
      <c r="X367">
        <f>IF(A367+Forudsætninger!$D$60&gt;248,IF(A367+Forudsætninger!$D$60&lt;365,IF(K367&gt;180,IF(K367&lt;260,1,0),0),0),0)</f>
        <v>0</v>
      </c>
      <c r="Y367" s="22">
        <f>IF(X367=0,0,IF('Vækstfunktion, kry tyr'!A367&lt;Forudsætninger!$D$66,Forudsætninger!$D$67+(('Vækstfunktion, kry tyr'!A367-Forudsætninger!$D$66)/7)*Forudsætninger!$D$64,Forudsætninger!$D$67))</f>
        <v>0</v>
      </c>
      <c r="Z367" s="19" t="e">
        <f t="shared" si="152"/>
        <v>#N/A</v>
      </c>
      <c r="AA367" s="19">
        <f>Forudsætninger!$D$62+Forudsætninger!$C$16</f>
        <v>2055</v>
      </c>
      <c r="AB367" s="19" t="e">
        <f>IF(K367&gt;Forudsætninger!$C$37,IF(K367&gt;Forudsætninger!$C$38,IF(K367&gt;Forudsætninger!$C$39,Forudsætninger!$E$39,Forudsætninger!$E$38+Forudsætninger!$F$39*(K367-Forudsætninger!$C$38)),Forudsætninger!$E$37+Forudsætninger!$F$38*(K367-Forudsætninger!$C$37)),Forudsætninger!$E$37)+IF(K367&gt;Forudsætninger!$C$39,Forudsætninger!$G$39,IF(K367&gt;Forudsætninger!$C$38,Forudsætninger!$G$38+Forudsætninger!$H$39*(K367-Forudsætninger!$C$38),IF(K367&gt;Forudsætninger!$C$37,Forudsætninger!$G$37+Forudsætninger!$H$38*(K367-Forudsætninger!$C$37),Forudsætninger!$G$37)))*(U367-Forudsætninger!$H$37)</f>
        <v>#N/A</v>
      </c>
      <c r="AC367" s="19" t="e">
        <f>IF(K367&gt;Forudsætninger!$C$42,IF(K367&gt;Forudsætninger!$C$43,IF(K367&gt;Forudsætninger!$C$44,Forudsætninger!$E$44,Forudsætninger!$E$43+Forudsætninger!$F$44*(K367-Forudsætninger!$C$43)),Forudsætninger!$E$42+Forudsætninger!$F$43*(K367-Forudsætninger!$C$42)),Forudsætninger!$E$42)+IF(K367&gt;Forudsætninger!$C$44,Forudsætninger!$G$44,IF(K367&gt;Forudsætninger!$C$43,Forudsætninger!$G$43+Forudsætninger!$H$44*(K367-Forudsætninger!$C$43),IF(K367&gt;Forudsætninger!$C$42,Forudsætninger!$G$42+Forudsætninger!$H$43*(K367-Forudsætninger!$C$42),Forudsætninger!$G$42)))*(V367-Forudsætninger!$H$42)</f>
        <v>#N/A</v>
      </c>
      <c r="AD367" s="19" t="e">
        <f t="shared" si="139"/>
        <v>#N/A</v>
      </c>
      <c r="AE367" s="19" t="e">
        <f t="shared" si="140"/>
        <v>#N/A</v>
      </c>
      <c r="AF367" t="e">
        <f>IF(G367&lt;=Forudsætninger!$C$97,Forudsætninger!$C$98,(IF(G367&lt;=Forudsætninger!$D$97,Forudsætninger!$D$98,IF(G367&lt;=Forudsætninger!$E$97,Forudsætninger!$E$98,IF(G367&lt;=Forudsætninger!$F$97,Forudsætninger!$F$98,IF(G367&lt;=Forudsætninger!$G$97,Forudsætninger!$G$98,IF(G367&lt;=Forudsætninger!$H$97,Forudsætninger!$H$98,IF(G367&lt;=Forudsætninger!$I$97,Forudsætninger!$I$98,Forudsætninger!$I$98))))))))</f>
        <v>#N/A</v>
      </c>
      <c r="AG367" s="1" t="e">
        <f t="shared" si="149"/>
        <v>#N/A</v>
      </c>
      <c r="AH367" s="1" t="e">
        <f t="shared" si="153"/>
        <v>#N/A</v>
      </c>
      <c r="AI367" s="1" t="e">
        <f t="shared" si="141"/>
        <v>#N/A</v>
      </c>
      <c r="AJ367" s="20" t="e">
        <f>+(W367*Forudsætninger!$C$12)</f>
        <v>#N/A</v>
      </c>
      <c r="AK367" s="20">
        <f>Forudsætninger!$C$17</f>
        <v>250</v>
      </c>
      <c r="AL367" s="20">
        <f>IF(A367&lt;92,Forudsætninger!$C$20,Forudsætninger!$C$21)</f>
        <v>1.0566762728146013</v>
      </c>
      <c r="AM367" s="20">
        <f t="shared" si="150"/>
        <v>654.19232243061776</v>
      </c>
      <c r="AN367" s="19">
        <f>IFERROR(AD367+AJ367-AA367-Z367-AK367-AM367-Forudsætninger!$D$75,-99999)</f>
        <v>-99999</v>
      </c>
      <c r="AO367" s="57">
        <f>IFERROR(AN367/(A367+Forudsætninger!$D$74),-99999)</f>
        <v>-273.96986301369861</v>
      </c>
      <c r="AP367" s="19">
        <f>IFERROR(((365/(A367+Forudsætninger!$D$74))*AN367)/(AI367+Forudsætninger!$D$73),-99999)</f>
        <v>-99999</v>
      </c>
      <c r="AQ367" s="18">
        <f t="shared" si="154"/>
        <v>365</v>
      </c>
      <c r="AR367" s="18" t="e">
        <f t="shared" si="155"/>
        <v>#N/A</v>
      </c>
      <c r="AS367" s="50">
        <f t="shared" si="156"/>
        <v>13.1</v>
      </c>
      <c r="AT367" s="50">
        <f t="shared" si="157"/>
        <v>0</v>
      </c>
      <c r="AU367" s="50">
        <f t="shared" si="158"/>
        <v>0.75266445882886046</v>
      </c>
      <c r="AV367" s="2">
        <f t="shared" si="159"/>
        <v>0</v>
      </c>
      <c r="AW367" s="16">
        <f t="shared" si="151"/>
        <v>-272.17755528101202</v>
      </c>
      <c r="AZ367" s="16"/>
      <c r="BA367" s="2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4E14-5F91-4C95-89B0-1384EC7E840A}">
  <dimension ref="A1:BG368"/>
  <sheetViews>
    <sheetView workbookViewId="0"/>
  </sheetViews>
  <sheetFormatPr defaultRowHeight="15" x14ac:dyDescent="0.25"/>
  <cols>
    <col min="1" max="1" width="17" customWidth="1"/>
    <col min="2" max="2" width="12.85546875" style="1" customWidth="1"/>
    <col min="3" max="3" width="24" style="1" customWidth="1"/>
    <col min="4" max="6" width="22" style="3" customWidth="1"/>
    <col min="7" max="7" width="16.28515625" style="1" customWidth="1"/>
    <col min="8" max="8" width="19.28515625" style="1" customWidth="1"/>
    <col min="9" max="10" width="14.85546875" style="3" customWidth="1"/>
    <col min="11" max="11" width="11.42578125" style="17" customWidth="1"/>
    <col min="12" max="12" width="18.140625" style="17" customWidth="1"/>
    <col min="13" max="13" width="18.85546875" style="3" customWidth="1"/>
    <col min="14" max="14" width="22.7109375" style="17" customWidth="1"/>
    <col min="15" max="15" width="19.140625" style="19" customWidth="1"/>
    <col min="16" max="16" width="20.85546875" style="17" bestFit="1" customWidth="1"/>
    <col min="17" max="17" width="20.85546875" style="17" customWidth="1"/>
    <col min="18" max="19" width="27.42578125" style="17" customWidth="1"/>
    <col min="20" max="20" width="24.7109375" style="19" customWidth="1"/>
    <col min="22" max="22" width="12.28515625" style="2" customWidth="1"/>
    <col min="23" max="23" width="14.42578125" customWidth="1"/>
    <col min="24" max="24" width="21.85546875" bestFit="1" customWidth="1"/>
    <col min="25" max="25" width="16.85546875" style="22" customWidth="1"/>
    <col min="26" max="26" width="21" style="19" customWidth="1"/>
    <col min="27" max="27" width="22.85546875" style="19" customWidth="1"/>
    <col min="28" max="28" width="15.28515625" style="19" customWidth="1"/>
    <col min="29" max="29" width="15.85546875" style="19" bestFit="1" customWidth="1"/>
    <col min="30" max="30" width="11.5703125" style="19" customWidth="1"/>
    <col min="31" max="31" width="9.140625" style="19"/>
    <col min="32" max="33" width="11.85546875" customWidth="1"/>
    <col min="34" max="34" width="12.140625" style="1" bestFit="1" customWidth="1"/>
    <col min="35" max="35" width="12.42578125" style="1" customWidth="1"/>
    <col min="36" max="39" width="18.42578125" style="3" customWidth="1"/>
    <col min="40" max="40" width="9.140625" style="2"/>
    <col min="41" max="41" width="24" style="2" bestFit="1" customWidth="1"/>
    <col min="42" max="42" width="24.28515625" style="2" customWidth="1"/>
    <col min="43" max="43" width="18.5703125" style="18" customWidth="1"/>
    <col min="44" max="46" width="15.7109375" style="18" customWidth="1"/>
    <col min="47" max="47" width="16" customWidth="1"/>
    <col min="49" max="49" width="9.140625" style="5"/>
    <col min="50" max="50" width="19.5703125" style="3" bestFit="1" customWidth="1"/>
    <col min="54" max="54" width="19.5703125" style="3" bestFit="1" customWidth="1"/>
    <col min="55" max="55" width="9.140625" style="5"/>
    <col min="56" max="57" width="9.140625" style="2"/>
    <col min="58" max="58" width="19.5703125" style="2" bestFit="1" customWidth="1"/>
  </cols>
  <sheetData>
    <row r="1" spans="1:59" x14ac:dyDescent="0.25">
      <c r="A1" t="s">
        <v>53</v>
      </c>
      <c r="B1" s="1" t="s">
        <v>21</v>
      </c>
      <c r="C1" s="1" t="s">
        <v>11</v>
      </c>
      <c r="D1" s="3" t="s">
        <v>12</v>
      </c>
      <c r="E1" s="1" t="s">
        <v>140</v>
      </c>
      <c r="F1" s="3" t="s">
        <v>141</v>
      </c>
      <c r="G1" s="1" t="s">
        <v>22</v>
      </c>
      <c r="H1" s="1" t="s">
        <v>97</v>
      </c>
      <c r="I1" s="1" t="s">
        <v>121</v>
      </c>
      <c r="J1" s="1" t="s">
        <v>98</v>
      </c>
      <c r="K1" s="17" t="s">
        <v>0</v>
      </c>
      <c r="L1" s="17" t="s">
        <v>99</v>
      </c>
      <c r="M1" s="17" t="s">
        <v>100</v>
      </c>
      <c r="N1" s="17" t="s">
        <v>101</v>
      </c>
      <c r="O1" s="19" t="s">
        <v>23</v>
      </c>
      <c r="P1" s="17" t="s">
        <v>102</v>
      </c>
      <c r="Q1" s="17" t="s">
        <v>103</v>
      </c>
      <c r="R1" s="17" t="s">
        <v>104</v>
      </c>
      <c r="S1" s="17" t="s">
        <v>105</v>
      </c>
      <c r="T1" s="19" t="s">
        <v>106</v>
      </c>
      <c r="U1" s="2" t="s">
        <v>4</v>
      </c>
      <c r="V1" s="17" t="s">
        <v>107</v>
      </c>
      <c r="W1" t="s">
        <v>1</v>
      </c>
      <c r="X1" t="s">
        <v>26</v>
      </c>
      <c r="Y1" s="22" t="s">
        <v>25</v>
      </c>
      <c r="Z1" s="19" t="s">
        <v>27</v>
      </c>
      <c r="AA1" s="19" t="s">
        <v>28</v>
      </c>
      <c r="AB1" s="19" t="s">
        <v>108</v>
      </c>
      <c r="AC1" s="19" t="s">
        <v>108</v>
      </c>
      <c r="AD1" s="19" t="s">
        <v>5</v>
      </c>
      <c r="AE1" s="19" t="s">
        <v>14</v>
      </c>
      <c r="AF1" s="23" t="s">
        <v>109</v>
      </c>
      <c r="AG1" s="7" t="s">
        <v>6</v>
      </c>
      <c r="AH1" s="21" t="s">
        <v>110</v>
      </c>
      <c r="AI1" s="21" t="s">
        <v>111</v>
      </c>
      <c r="AJ1" s="20" t="s">
        <v>7</v>
      </c>
      <c r="AK1" s="20" t="s">
        <v>112</v>
      </c>
      <c r="AL1" s="20" t="s">
        <v>113</v>
      </c>
      <c r="AM1" s="20" t="s">
        <v>114</v>
      </c>
      <c r="AN1" s="19" t="s">
        <v>115</v>
      </c>
      <c r="AO1" s="30" t="s">
        <v>116</v>
      </c>
      <c r="AP1" s="30" t="s">
        <v>117</v>
      </c>
      <c r="AQ1" s="18" t="s">
        <v>15</v>
      </c>
      <c r="AR1" s="18" t="s">
        <v>118</v>
      </c>
      <c r="AS1" s="18" t="s">
        <v>88</v>
      </c>
      <c r="AT1" s="50" t="s">
        <v>119</v>
      </c>
      <c r="AU1" s="50" t="s">
        <v>119</v>
      </c>
      <c r="AV1" s="50" t="s">
        <v>119</v>
      </c>
      <c r="AW1" s="50" t="s">
        <v>166</v>
      </c>
      <c r="AX1" s="5"/>
      <c r="AY1" s="3"/>
      <c r="BB1"/>
      <c r="BC1" s="3"/>
      <c r="BD1"/>
      <c r="BE1"/>
      <c r="BF1"/>
      <c r="BG1" s="2"/>
    </row>
    <row r="2" spans="1:59" x14ac:dyDescent="0.25">
      <c r="A2" s="6">
        <v>0</v>
      </c>
      <c r="B2" s="1" t="s">
        <v>120</v>
      </c>
      <c r="C2" s="1">
        <f>VLOOKUP((A2+Forudsætninger!$E$60),'Model tilvækst, slagteform, fe'!A:D,4,FALSE)</f>
        <v>62.368673151292406</v>
      </c>
      <c r="D2" s="3" t="s">
        <v>123</v>
      </c>
      <c r="E2" s="3">
        <f>(1+Forudsætninger!$E$78)*C2</f>
        <v>57.379179299189019</v>
      </c>
      <c r="F2" s="2">
        <f>(Forudsætninger!$E$61-$E$2)</f>
        <v>10.620820700810981</v>
      </c>
      <c r="G2" s="1">
        <f>E2+F2</f>
        <v>68</v>
      </c>
      <c r="H2" s="1" t="s">
        <v>123</v>
      </c>
      <c r="I2" s="1" t="s">
        <v>122</v>
      </c>
      <c r="J2" s="1">
        <f>VLOOKUP((A2+Forudsætninger!$E$60),'Model tilvækst, slagteform, fe'!G:K,4,FALSE)*(1+Forudsætninger!$E$79)</f>
        <v>48.4804032558392</v>
      </c>
      <c r="K2" s="17">
        <f>G2*(J2/100)</f>
        <v>32.966674213970656</v>
      </c>
      <c r="L2" s="17" t="s">
        <v>124</v>
      </c>
      <c r="M2" s="17" t="s">
        <v>125</v>
      </c>
      <c r="N2" s="17">
        <v>0</v>
      </c>
      <c r="O2" s="19" t="s">
        <v>126</v>
      </c>
      <c r="P2" s="17" t="s">
        <v>24</v>
      </c>
      <c r="Q2" s="17" t="s">
        <v>127</v>
      </c>
      <c r="T2" s="19" t="s">
        <v>128</v>
      </c>
      <c r="U2" s="2" t="s">
        <v>84</v>
      </c>
      <c r="V2" s="17" t="s">
        <v>30</v>
      </c>
      <c r="W2" t="s">
        <v>8</v>
      </c>
      <c r="X2" s="2" t="s">
        <v>9</v>
      </c>
      <c r="Y2" s="22" t="s">
        <v>10</v>
      </c>
      <c r="Z2" s="19">
        <v>0</v>
      </c>
      <c r="AA2" s="19" t="s">
        <v>129</v>
      </c>
      <c r="AB2" s="19" t="s">
        <v>31</v>
      </c>
      <c r="AC2" s="19" t="s">
        <v>30</v>
      </c>
      <c r="AD2" s="19" t="s">
        <v>130</v>
      </c>
      <c r="AE2" s="19" t="s">
        <v>131</v>
      </c>
      <c r="AF2" s="1" t="s">
        <v>132</v>
      </c>
      <c r="AG2" s="1" t="s">
        <v>132</v>
      </c>
      <c r="AH2" s="1" t="s">
        <v>133</v>
      </c>
      <c r="AI2" s="1" t="s">
        <v>134</v>
      </c>
      <c r="AJ2" s="4" t="str">
        <f>"Sl. præmie "&amp;Forudsætninger!C12&amp;" kr. pr. dyr"</f>
        <v>Sl. præmie 900 kr. pr. dyr</v>
      </c>
      <c r="AK2" s="4"/>
      <c r="AL2" s="4"/>
      <c r="AM2" s="4">
        <v>0</v>
      </c>
      <c r="AN2" s="11"/>
      <c r="AO2" s="11"/>
      <c r="AP2" s="11"/>
      <c r="AQ2" s="18" t="s">
        <v>29</v>
      </c>
      <c r="AR2" s="18" t="s">
        <v>135</v>
      </c>
      <c r="AS2" s="18" t="str">
        <f t="shared" ref="AS2:AS65" si="0">B2</f>
        <v>Mdr.</v>
      </c>
      <c r="AT2" s="50" t="s">
        <v>136</v>
      </c>
      <c r="AU2" s="50" t="s">
        <v>137</v>
      </c>
      <c r="AV2" s="18" t="s">
        <v>138</v>
      </c>
      <c r="AW2" s="8" t="s">
        <v>163</v>
      </c>
      <c r="AX2" s="13"/>
      <c r="AY2" s="9"/>
      <c r="AZ2" s="9"/>
      <c r="BA2" s="9"/>
      <c r="BB2" s="14"/>
      <c r="BC2" s="10"/>
      <c r="BD2" s="10"/>
      <c r="BE2" s="10"/>
      <c r="BF2" s="15"/>
    </row>
    <row r="3" spans="1:59" x14ac:dyDescent="0.25">
      <c r="A3">
        <v>1</v>
      </c>
      <c r="B3" s="1">
        <f>ROUND((A3+Forudsætninger!$E$60)/30.4,1)</f>
        <v>1.2</v>
      </c>
      <c r="C3" s="1">
        <f>VLOOKUP((A3+Forudsætninger!$E$60),'Model tilvækst, slagteform, fe'!A:D,4,FALSE)</f>
        <v>63.173532572308353</v>
      </c>
      <c r="D3" s="3">
        <f>(C3-C2)*1000</f>
        <v>804.85942101594787</v>
      </c>
      <c r="E3" s="3">
        <f>(1+Forudsætninger!$E$78)*C3</f>
        <v>58.119649966523689</v>
      </c>
      <c r="F3" s="2">
        <f>MAX(F2-((D3/1000)/10),0)</f>
        <v>10.540334758709387</v>
      </c>
      <c r="G3" s="1">
        <f t="shared" ref="G3:G66" si="1">E3+F3</f>
        <v>68.659984725233073</v>
      </c>
      <c r="H3" s="3">
        <f>(G3-G2)*1000</f>
        <v>659.98472523307328</v>
      </c>
      <c r="I3" s="3">
        <f t="shared" ref="I3:I66" si="2">(G3-$G$2)*1000/A3</f>
        <v>659.98472523307328</v>
      </c>
      <c r="J3" s="1">
        <f>VLOOKUP((A3+Forudsætninger!$E$60),'Model tilvækst, slagteform, fe'!G:K,4,FALSE)*(1+Forudsætninger!$E$79)</f>
        <v>48.503294173059103</v>
      </c>
      <c r="K3" s="17">
        <f t="shared" ref="K3:K66" si="3">G3*(J3/100)</f>
        <v>33.302354370457245</v>
      </c>
      <c r="L3" s="17">
        <f>(K3-K2)*1000</f>
        <v>335.680156486589</v>
      </c>
      <c r="M3" s="3">
        <f>((K3-(('Model tilvækst, slagteform, fe'!$J$9/100)*'Model tilvækst, slagteform, fe'!$D$9))*1000/(A3+Forudsætninger!$E$60))</f>
        <v>353.18773609767544</v>
      </c>
      <c r="N3" s="17">
        <f>N2+P3</f>
        <v>1.9339282849854025</v>
      </c>
      <c r="O3" s="19">
        <f>IF( A3&lt;Forudsætninger!$C$14,(G3/100)*Forudsætninger!$C$13,(Forudsætninger!$C$15/1000)*Forudsætninger!$C$13)</f>
        <v>0.44628990071401498</v>
      </c>
      <c r="P3" s="17" cm="1">
        <f t="array" ref="P3">INDEX('Model tilvækst, slagteform, fe'!$P$9:$P$375,MATCH(MIN(ABS('Model tilvækst, slagteform, fe'!$M$9:$M$375-G3)),ABS('Model tilvækst, slagteform, fe'!$M$9:$M$375-G3),0))*(1+Forudsætninger!$E$80)</f>
        <v>1.9339282849854025</v>
      </c>
      <c r="Q3" s="17">
        <f>P3/(L3/1000)</f>
        <v>5.7612231393924125</v>
      </c>
      <c r="R3" s="17">
        <f>N3/(K3-$K$2)</f>
        <v>5.7612231393924125</v>
      </c>
      <c r="S3" s="17">
        <f>N3/(G3-$G$2)</f>
        <v>2.9302621879656936</v>
      </c>
      <c r="T3" s="19">
        <f>(P3)*IF(N3&lt;Forudsætninger!$B$228,IF(N3&lt;Forudsætninger!$B$227,Forudsætninger!$B$225,Forudsætninger!$C$9),Forudsætninger!$C$11)+O3</f>
        <v>31.273437349412948</v>
      </c>
      <c r="U3" s="5">
        <f>Forudsætninger!$E$68+((K3-(Forudsætninger!$E$84)))*0.01</f>
        <v>5.0495872532762416</v>
      </c>
      <c r="V3" s="2">
        <f>U3+Forudsætninger!$E$69</f>
        <v>5.0495872532762416</v>
      </c>
      <c r="W3">
        <f t="shared" ref="W3:W66" si="4">IF(K3&gt;130,1,0)</f>
        <v>0</v>
      </c>
      <c r="X3">
        <f>IF(A3+Forudsætninger!$E$60&gt;248,IF(A3+Forudsætninger!$E$60&lt;365,IF(K3&gt;180,IF(K3&lt;260,1,0),0),0),0)</f>
        <v>0</v>
      </c>
      <c r="Y3" s="22">
        <f>IF(X3=0,0,IF('Vækstfunktion, kry kvie'!A3&lt;Forudsætninger!$E$66,Forudsætninger!$E$67+(('Vækstfunktion, kry kvie'!A3-Forudsætninger!$E$66)/7)*Forudsætninger!$E$64,Forudsætninger!$E$67))</f>
        <v>0</v>
      </c>
      <c r="Z3" s="19">
        <f>Z2+T3</f>
        <v>31.273437349412948</v>
      </c>
      <c r="AA3" s="19">
        <f>Forudsætninger!$E$62+Forudsætninger!$C$16</f>
        <v>1575</v>
      </c>
      <c r="AB3" s="19">
        <f>IF(K3&gt;Forudsætninger!$C$48,IF(K3&gt;Forudsætninger!$C$49,IF(K3&gt;Forudsætninger!$C$50,Forudsætninger!$E$50,Forudsætninger!$E$49+Forudsætninger!$F$50*(K3-Forudsætninger!$C$49)),Forudsætninger!$E$48+Forudsætninger!$F$49*(K3-Forudsætninger!$C$48)),Forudsætninger!$E$48)+IF(K3&gt;Forudsætninger!$C$50,Forudsætninger!$G$50,IF(K3&gt;Forudsætninger!$C$49,Forudsætninger!$G$49+Forudsætninger!$H$50*(K3-Forudsætninger!$C$49),IF(K3&gt;Forudsætninger!$C$48,Forudsætninger!$G$48+Forudsætninger!$H$49*(K3-Forudsætninger!$C$48),Forudsætninger!$G$48)))*(U3-Forudsætninger!$H$48)</f>
        <v>35.104958725327627</v>
      </c>
      <c r="AC3" s="19">
        <f>IF(K3&gt;Forudsætninger!$C$52,IF(K3&gt;Forudsætninger!$C$53,IF(K3&gt;Forudsætninger!$C$54,Forudsætninger!$E$54,Forudsætninger!$E$53+Forudsætninger!$F$54*(K3-Forudsætninger!$C$53)),Forudsætninger!$E$52+Forudsætninger!$F$53*(K3-Forudsætninger!$C$52)),Forudsætninger!$E$52)+IF(K3&gt;Forudsætninger!$C$54,Forudsætninger!$G$54,IF(K3&gt;Forudsætninger!$C$53,Forudsætninger!$G$53+Forudsætninger!$H$54*(K3-Forudsætninger!$C$53),IF(K3&gt;Forudsætninger!$C$52,Forudsætninger!$G$52+Forudsætninger!$H$53*(K3-Forudsætninger!$C$52),Forudsætninger!$G$52)))*(V3-Forudsætninger!$H$52)</f>
        <v>29.912396813319059</v>
      </c>
      <c r="AD3" s="19">
        <f t="shared" ref="AD3:AD66" si="5">(K3*(Y3*AB3+((1-Y3)*AC3)))</f>
        <v>996.15323874688738</v>
      </c>
      <c r="AE3" s="19">
        <f t="shared" ref="AE3:AE66" si="6">AD3/K3</f>
        <v>29.912396813319059</v>
      </c>
      <c r="AF3" s="1">
        <f>IF(G3&lt;=Forudsætninger!$C$97,Forudsætninger!$C$98,(IF(G3&lt;=Forudsætninger!$D$97,Forudsætninger!$D$98,IF(G3&lt;=Forudsætninger!$E$97,Forudsætninger!$E$98,IF(G3&lt;=Forudsætninger!$F$97,Forudsætninger!$F$98,IF(G3&lt;=Forudsætninger!$G$97,Forudsætninger!$G$98,IF(G3&lt;=Forudsætninger!$H$97,Forudsætninger!$H$98,IF(G3&lt;=Forudsætninger!$I$97,Forudsætninger!$I$98,Forudsætninger!$I$98))))))))</f>
        <v>1.8</v>
      </c>
      <c r="AG3" s="1">
        <f>IF(AF3&lt;=3.2,IF(AF3&lt;=2.2,2.2,3.2),4.4)</f>
        <v>2.2000000000000002</v>
      </c>
      <c r="AH3" s="1">
        <f>AG3</f>
        <v>2.2000000000000002</v>
      </c>
      <c r="AI3" s="1">
        <f t="shared" ref="AI3:AI66" si="7">AH3/A3</f>
        <v>2.2000000000000002</v>
      </c>
      <c r="AJ3" s="20">
        <f>+(W3*Forudsætninger!$C$12)</f>
        <v>0</v>
      </c>
      <c r="AK3" s="20">
        <f>Forudsætninger!$C$17</f>
        <v>250</v>
      </c>
      <c r="AL3" s="20">
        <f>IF(A3&lt;92,Forudsætninger!$C$20,Forudsætninger!$C$21)</f>
        <v>4.0072859744990899</v>
      </c>
      <c r="AM3" s="20">
        <f>AL3+AM2</f>
        <v>4.0072859744990899</v>
      </c>
      <c r="AN3" s="19">
        <f>IFERROR(AD3+AJ3-AA3-Z3-AK3-AM3-Forudsætninger!$E$75,-999999)</f>
        <v>-1055.3442459136404</v>
      </c>
      <c r="AO3" s="19">
        <f>IFERROR(AN3/(A3+Forudsætninger!$E$74),-999999)</f>
        <v>-1055.3442459136404</v>
      </c>
      <c r="AP3" s="19">
        <f>IFERROR(((365/(A3+Forudsætninger!$E$74))*AN3)/(AI3+Forudsætninger!$E$73),-999999)</f>
        <v>-166753.52803397347</v>
      </c>
      <c r="AQ3" s="18">
        <f t="shared" ref="AQ3:AQ66" si="8">A3</f>
        <v>1</v>
      </c>
      <c r="AR3" s="18">
        <f>AA3+Z3+AK3+AM3</f>
        <v>1860.2807233239121</v>
      </c>
      <c r="AS3" s="18">
        <f t="shared" si="0"/>
        <v>1.2</v>
      </c>
      <c r="AT3" s="50"/>
      <c r="AU3" s="50"/>
      <c r="AV3" s="2"/>
      <c r="AW3" s="16">
        <f>((AN3+AM3)/A3)</f>
        <v>-1051.3369599391413</v>
      </c>
      <c r="AZ3" s="16"/>
      <c r="BA3" s="2"/>
    </row>
    <row r="4" spans="1:59" x14ac:dyDescent="0.25">
      <c r="A4">
        <v>2</v>
      </c>
      <c r="B4" s="1">
        <f>ROUND((A4+Forudsætninger!$E$60)/30.4,1)</f>
        <v>1.3</v>
      </c>
      <c r="C4" s="1">
        <f>VLOOKUP((A4+Forudsætninger!$E$60),'Model tilvækst, slagteform, fe'!A:D,4,FALSE)</f>
        <v>63.992351081501759</v>
      </c>
      <c r="D4" s="3">
        <f>(C4-C3)*1000</f>
        <v>818.81850919340593</v>
      </c>
      <c r="E4" s="3">
        <f>(1+Forudsætninger!$E$78)*C4</f>
        <v>58.87296299498162</v>
      </c>
      <c r="F4" s="2">
        <f t="shared" ref="F4:F30" si="9">MAX(F3-((D4/1000)/10),0)</f>
        <v>10.458452907790045</v>
      </c>
      <c r="G4" s="1">
        <f t="shared" si="1"/>
        <v>69.331415902771667</v>
      </c>
      <c r="H4" s="3">
        <f t="shared" ref="H4:H67" si="10">(G4-G3)*1000</f>
        <v>671.43117753859372</v>
      </c>
      <c r="I4" s="3">
        <f t="shared" si="2"/>
        <v>665.70795138583344</v>
      </c>
      <c r="J4" s="1">
        <f>VLOOKUP((A4+Forudsætninger!$E$60),'Model tilvækst, slagteform, fe'!G:K,4,FALSE)*(1+Forudsætninger!$E$79)</f>
        <v>48.526445939020462</v>
      </c>
      <c r="K4" s="17">
        <f t="shared" si="3"/>
        <v>33.644072056815929</v>
      </c>
      <c r="L4" s="17">
        <f t="shared" ref="L4:L67" si="11">(K4-K3)*1000</f>
        <v>341.7176863586846</v>
      </c>
      <c r="M4" s="3">
        <f>((K4-(('Model tilvækst, slagteform, fe'!$J$9/100)*'Model tilvækst, slagteform, fe'!$D$9))*1000/(A4+Forudsætninger!$E$60))</f>
        <v>352.88589268349148</v>
      </c>
      <c r="N4" s="17">
        <f t="shared" ref="N4:N67" si="12">N3+P4</f>
        <v>3.867856569970805</v>
      </c>
      <c r="O4" s="19">
        <f>IF( A4&lt;Forudsætninger!$C$14,(G4/100)*Forudsætninger!$C$13,(Forudsætninger!$C$15/1000)*Forudsætninger!$C$13)</f>
        <v>0.45065420336801582</v>
      </c>
      <c r="P4" s="17" cm="1">
        <f t="array" ref="P4">INDEX('Model tilvækst, slagteform, fe'!$P$9:$P$375,MATCH(MIN(ABS('Model tilvækst, slagteform, fe'!$M$9:$M$375-G4)),ABS('Model tilvækst, slagteform, fe'!$M$9:$M$375-G4),0))*(1+Forudsætninger!$E$80)</f>
        <v>1.9339282849854025</v>
      </c>
      <c r="Q4" s="17">
        <f t="shared" ref="Q4:Q67" si="13">P4/(L4/1000)</f>
        <v>5.6594328072192646</v>
      </c>
      <c r="R4" s="17">
        <f t="shared" ref="R4:R67" si="14">N4/(K4-$K$2)</f>
        <v>5.7098743534887122</v>
      </c>
      <c r="S4" s="17">
        <f t="shared" ref="S4:S67" si="15">N4/(G4-$G$2)</f>
        <v>2.905070130166628</v>
      </c>
      <c r="T4" s="19">
        <f>(P4)*IF(N4&lt;Forudsætninger!$B$228,IF(N4&lt;Forudsætninger!$B$227,Forudsætninger!$B$225,Forudsætninger!$C$9),Forudsætninger!$C$11)+O4</f>
        <v>31.277801652066948</v>
      </c>
      <c r="U4" s="5">
        <f>Forudsætninger!$E$68+((K4-(Forudsætninger!$E$84)))*0.01</f>
        <v>5.0530044301398283</v>
      </c>
      <c r="V4" s="2">
        <f>U4+Forudsætninger!$E$69</f>
        <v>5.0530044301398283</v>
      </c>
      <c r="W4">
        <f t="shared" si="4"/>
        <v>0</v>
      </c>
      <c r="X4">
        <f>IF(A4+Forudsætninger!$E$60&gt;248,IF(A4+Forudsætninger!$E$60&lt;365,IF(K4&gt;180,IF(K4&lt;260,1,0),0),0),0)</f>
        <v>0</v>
      </c>
      <c r="Y4" s="22">
        <f>IF(X4=0,0,IF('Vækstfunktion, kry kvie'!A4&lt;Forudsætninger!$E$66,Forudsætninger!$E$67+(('Vækstfunktion, kry kvie'!A4-Forudsætninger!$E$66)/7)*Forudsætninger!$E$64,Forudsætninger!$E$67))</f>
        <v>0</v>
      </c>
      <c r="Z4" s="19">
        <f>Z3+T4</f>
        <v>62.5512390014799</v>
      </c>
      <c r="AA4" s="19">
        <f>Forudsætninger!$E$62+Forudsætninger!$C$16</f>
        <v>1575</v>
      </c>
      <c r="AB4" s="19">
        <f>IF(K4&gt;Forudsætninger!$C$48,IF(K4&gt;Forudsætninger!$C$49,IF(K4&gt;Forudsætninger!$C$50,Forudsætninger!$E$50,Forudsætninger!$E$49+Forudsætninger!$F$50*(K4-Forudsætninger!$C$49)),Forudsætninger!$E$48+Forudsætninger!$F$49*(K4-Forudsætninger!$C$48)),Forudsætninger!$E$48)+IF(K4&gt;Forudsætninger!$C$50,Forudsætninger!$G$50,IF(K4&gt;Forudsætninger!$C$49,Forudsætninger!$G$49+Forudsætninger!$H$50*(K4-Forudsætninger!$C$49),IF(K4&gt;Forudsætninger!$C$48,Forudsætninger!$G$48+Forudsætninger!$H$49*(K4-Forudsætninger!$C$48),Forudsætninger!$G$48)))*(U4-Forudsætninger!$H$48)</f>
        <v>35.105300443013981</v>
      </c>
      <c r="AC4" s="19">
        <f>IF(K4&gt;Forudsætninger!$C$52,IF(K4&gt;Forudsætninger!$C$53,IF(K4&gt;Forudsætninger!$C$54,Forudsætninger!$E$54,Forudsætninger!$E$53+Forudsætninger!$F$54*(K4-Forudsætninger!$C$53)),Forudsætninger!$E$52+Forudsætninger!$F$53*(K4-Forudsætninger!$C$52)),Forudsætninger!$E$52)+IF(K4&gt;Forudsætninger!$C$54,Forudsætninger!$G$54,IF(K4&gt;Forudsætninger!$C$53,Forudsætninger!$G$53+Forudsætninger!$H$54*(K4-Forudsætninger!$C$53),IF(K4&gt;Forudsætninger!$C$52,Forudsætninger!$G$52+Forudsætninger!$H$53*(K4-Forudsætninger!$C$52),Forudsætninger!$G$52)))*(V4-Forudsætninger!$H$52)</f>
        <v>29.913251107534954</v>
      </c>
      <c r="AD4" s="19">
        <f t="shared" si="5"/>
        <v>1006.4035757155349</v>
      </c>
      <c r="AE4" s="19">
        <f t="shared" si="6"/>
        <v>29.913251107534954</v>
      </c>
      <c r="AF4">
        <f>IF(G4&lt;=Forudsætninger!$C$97,Forudsætninger!$C$98,(IF(G4&lt;=Forudsætninger!$D$97,Forudsætninger!$D$98,IF(G4&lt;=Forudsætninger!$E$97,Forudsætninger!$E$98,IF(G4&lt;=Forudsætninger!$F$97,Forudsætninger!$F$98,IF(G4&lt;=Forudsætninger!$G$97,Forudsætninger!$G$98,IF(G4&lt;=Forudsætninger!$H$97,Forudsætninger!$H$98,IF(G4&lt;=Forudsætninger!$I$97,Forudsætninger!$I$98,Forudsætninger!$I$98))))))))</f>
        <v>1.8</v>
      </c>
      <c r="AG4" s="1">
        <f t="shared" ref="AG4:AG67" si="16">IF(AF4&lt;=3.2,IF(AF4&lt;=2.2,2.2,3.2),4.4)</f>
        <v>2.2000000000000002</v>
      </c>
      <c r="AH4" s="1">
        <f>AH3+AG4</f>
        <v>4.4000000000000004</v>
      </c>
      <c r="AI4" s="1">
        <f t="shared" si="7"/>
        <v>2.2000000000000002</v>
      </c>
      <c r="AJ4" s="20">
        <f>+(W4*Forudsætninger!$C$12)</f>
        <v>0</v>
      </c>
      <c r="AK4" s="20">
        <f>Forudsætninger!$C$17</f>
        <v>250</v>
      </c>
      <c r="AL4" s="20">
        <f>IF(A4&lt;92,Forudsætninger!$C$20,Forudsætninger!$C$21)</f>
        <v>4.0072859744990899</v>
      </c>
      <c r="AM4" s="20">
        <f t="shared" ref="AM4:AM67" si="17">AL4+AM3</f>
        <v>8.0145719489981797</v>
      </c>
      <c r="AN4" s="19">
        <f>IFERROR(AD4+AJ4-AA4-Z4-AK4-AM4-Forudsætninger!$E$75,-999999)</f>
        <v>-1080.3789965715589</v>
      </c>
      <c r="AO4" s="19">
        <f>IFERROR(AN4/(A4+Forudsætninger!$E$74),-999999)</f>
        <v>-540.18949828577945</v>
      </c>
      <c r="AP4" s="19">
        <f>IFERROR(((365/(A4+Forudsætninger!$E$74))*AN4)/(AI4+Forudsætninger!$E$73),-999999)</f>
        <v>-85354.617694506276</v>
      </c>
      <c r="AQ4" s="18">
        <f t="shared" si="8"/>
        <v>2</v>
      </c>
      <c r="AR4" s="18">
        <f t="shared" ref="AR4" si="18">AA4+Z4+AK4+AM4</f>
        <v>1895.565810950478</v>
      </c>
      <c r="AS4" s="18">
        <f t="shared" si="0"/>
        <v>1.3</v>
      </c>
      <c r="AT4" s="50">
        <f>AN4-AN3</f>
        <v>-25.034750657918494</v>
      </c>
      <c r="AU4" s="50">
        <f>AO4-AO3</f>
        <v>515.15474762786096</v>
      </c>
      <c r="AV4" s="2">
        <f>AP4-AP3</f>
        <v>81398.910339467198</v>
      </c>
      <c r="AW4" s="16">
        <f t="shared" ref="AW4:AW67" si="19">((AN4+AM4)/A4)</f>
        <v>-536.18221231128041</v>
      </c>
      <c r="AZ4" s="16"/>
      <c r="BA4" s="2"/>
    </row>
    <row r="5" spans="1:59" x14ac:dyDescent="0.25">
      <c r="A5">
        <v>3</v>
      </c>
      <c r="B5" s="1">
        <f>ROUND((A5+Forudsætninger!$E$60)/30.4,1)</f>
        <v>1.3</v>
      </c>
      <c r="C5" s="1">
        <f>VLOOKUP((A5+Forudsætninger!$E$60),'Model tilvækst, slagteform, fe'!A:D,4,FALSE)</f>
        <v>64.824980594647812</v>
      </c>
      <c r="D5" s="3">
        <f>(C5-C4)*1000</f>
        <v>832.62951314605266</v>
      </c>
      <c r="E5" s="3">
        <f>(1+Forudsætninger!$E$78)*C5</f>
        <v>59.638982147075993</v>
      </c>
      <c r="F5" s="2">
        <f t="shared" si="9"/>
        <v>10.37518995647544</v>
      </c>
      <c r="G5" s="1">
        <f t="shared" si="1"/>
        <v>70.014172103551431</v>
      </c>
      <c r="H5" s="3">
        <f t="shared" si="10"/>
        <v>682.75620077976384</v>
      </c>
      <c r="I5" s="3">
        <f t="shared" si="2"/>
        <v>671.39070118381028</v>
      </c>
      <c r="J5" s="1">
        <f>VLOOKUP((A5+Forudsætninger!$E$60),'Model tilvækst, slagteform, fe'!G:K,4,FALSE)*(1+Forudsætninger!$E$79)</f>
        <v>48.549839888154281</v>
      </c>
      <c r="K5" s="17">
        <f t="shared" si="3"/>
        <v>33.991768455291002</v>
      </c>
      <c r="L5" s="17">
        <f t="shared" si="11"/>
        <v>347.6963984750725</v>
      </c>
      <c r="M5" s="3">
        <f>((K5-(('Model tilvækst, slagteform, fe'!$J$9/100)*'Model tilvækst, slagteform, fe'!$D$9))*1000/(A5+Forudsætninger!$E$60))</f>
        <v>352.7528287294295</v>
      </c>
      <c r="N5" s="17">
        <f t="shared" si="12"/>
        <v>5.8407555209878641</v>
      </c>
      <c r="O5" s="19">
        <f>IF( A5&lt;Forudsætninger!$C$14,(G5/100)*Forudsætninger!$C$13,(Forudsætninger!$C$15/1000)*Forudsætninger!$C$13)</f>
        <v>0.4550921186730843</v>
      </c>
      <c r="P5" s="17" cm="1">
        <f t="array" ref="P5">INDEX('Model tilvækst, slagteform, fe'!$P$9:$P$375,MATCH(MIN(ABS('Model tilvækst, slagteform, fe'!$M$9:$M$375-G5)),ABS('Model tilvækst, slagteform, fe'!$M$9:$M$375-G5),0))*(1+Forudsætninger!$E$80)</f>
        <v>1.9728989510170596</v>
      </c>
      <c r="Q5" s="17">
        <f t="shared" si="13"/>
        <v>5.6742001345708593</v>
      </c>
      <c r="R5" s="17">
        <f t="shared" si="14"/>
        <v>5.697774200218733</v>
      </c>
      <c r="S5" s="17">
        <f t="shared" si="15"/>
        <v>2.8998294190895209</v>
      </c>
      <c r="T5" s="19">
        <f>(P5)*IF(N5&lt;Forudsætninger!$B$228,IF(N5&lt;Forudsætninger!$B$227,Forudsætninger!$B$225,Forudsætninger!$C$9),Forudsætninger!$C$11)+O5</f>
        <v>31.903438645568947</v>
      </c>
      <c r="U5" s="5">
        <f>Forudsætninger!$E$68+((K5-(Forudsætninger!$E$84)))*0.01</f>
        <v>5.056481394124579</v>
      </c>
      <c r="V5" s="2">
        <f>U5+Forudsætninger!$E$69</f>
        <v>5.056481394124579</v>
      </c>
      <c r="W5">
        <f t="shared" si="4"/>
        <v>0</v>
      </c>
      <c r="X5">
        <f>IF(A5+Forudsætninger!$E$60&gt;248,IF(A5+Forudsætninger!$E$60&lt;365,IF(K5&gt;180,IF(K5&lt;260,1,0),0),0),0)</f>
        <v>0</v>
      </c>
      <c r="Y5" s="22">
        <f>IF(X5=0,0,IF('Vækstfunktion, kry kvie'!A5&lt;Forudsætninger!$E$66,Forudsætninger!$E$67+(('Vækstfunktion, kry kvie'!A5-Forudsætninger!$E$66)/7)*Forudsætninger!$E$64,Forudsætninger!$E$67))</f>
        <v>0</v>
      </c>
      <c r="Z5" s="19">
        <f t="shared" ref="Z5:Z68" si="20">Z4+T5</f>
        <v>94.45467764704884</v>
      </c>
      <c r="AA5" s="19">
        <f>Forudsætninger!$E$62+Forudsætninger!$C$16</f>
        <v>1575</v>
      </c>
      <c r="AB5" s="19">
        <f>IF(K5&gt;Forudsætninger!$C$48,IF(K5&gt;Forudsætninger!$C$49,IF(K5&gt;Forudsætninger!$C$50,Forudsætninger!$E$50,Forudsætninger!$E$49+Forudsætninger!$F$50*(K5-Forudsætninger!$C$49)),Forudsætninger!$E$48+Forudsætninger!$F$49*(K5-Forudsætninger!$C$48)),Forudsætninger!$E$48)+IF(K5&gt;Forudsætninger!$C$50,Forudsætninger!$G$50,IF(K5&gt;Forudsætninger!$C$49,Forudsætninger!$G$49+Forudsætninger!$H$50*(K5-Forudsætninger!$C$49),IF(K5&gt;Forudsætninger!$C$48,Forudsætninger!$G$48+Forudsætninger!$H$49*(K5-Forudsætninger!$C$48),Forudsætninger!$G$48)))*(U5-Forudsætninger!$H$48)</f>
        <v>35.105648139412459</v>
      </c>
      <c r="AC5" s="19">
        <f>IF(K5&gt;Forudsætninger!$C$52,IF(K5&gt;Forudsætninger!$C$53,IF(K5&gt;Forudsætninger!$C$54,Forudsætninger!$E$54,Forudsætninger!$E$53+Forudsætninger!$F$54*(K5-Forudsætninger!$C$53)),Forudsætninger!$E$52+Forudsætninger!$F$53*(K5-Forudsætninger!$C$52)),Forudsætninger!$E$52)+IF(K5&gt;Forudsætninger!$C$54,Forudsætninger!$G$54,IF(K5&gt;Forudsætninger!$C$53,Forudsætninger!$G$53+Forudsætninger!$H$54*(K5-Forudsætninger!$C$53),IF(K5&gt;Forudsætninger!$C$52,Forudsætninger!$G$52+Forudsætninger!$H$53*(K5-Forudsætninger!$C$52),Forudsætninger!$G$52)))*(V5-Forudsætninger!$H$52)</f>
        <v>29.914120348531142</v>
      </c>
      <c r="AD5" s="19">
        <f t="shared" si="5"/>
        <v>1016.8338524309795</v>
      </c>
      <c r="AE5" s="19">
        <f t="shared" si="6"/>
        <v>29.914120348531142</v>
      </c>
      <c r="AF5">
        <f>IF(G5&lt;=Forudsætninger!$C$97,Forudsætninger!$C$98,(IF(G5&lt;=Forudsætninger!$D$97,Forudsætninger!$D$98,IF(G5&lt;=Forudsætninger!$E$97,Forudsætninger!$E$98,IF(G5&lt;=Forudsætninger!$F$97,Forudsætninger!$F$98,IF(G5&lt;=Forudsætninger!$G$97,Forudsætninger!$G$98,IF(G5&lt;=Forudsætninger!$H$97,Forudsætninger!$H$98,IF(G5&lt;=Forudsætninger!$I$97,Forudsætninger!$I$98,Forudsætninger!$I$98))))))))</f>
        <v>1.8</v>
      </c>
      <c r="AG5" s="1">
        <f t="shared" si="16"/>
        <v>2.2000000000000002</v>
      </c>
      <c r="AH5" s="1">
        <f t="shared" ref="AH5:AH68" si="21">AH4+AG5</f>
        <v>6.6000000000000005</v>
      </c>
      <c r="AI5" s="1">
        <f t="shared" si="7"/>
        <v>2.2000000000000002</v>
      </c>
      <c r="AJ5" s="20">
        <f>+(W5*Forudsætninger!$C$12)</f>
        <v>0</v>
      </c>
      <c r="AK5" s="20">
        <f>Forudsætninger!$C$17</f>
        <v>250</v>
      </c>
      <c r="AL5" s="20">
        <f>IF(A5&lt;92,Forudsætninger!$C$20,Forudsætninger!$C$21)</f>
        <v>4.0072859744990899</v>
      </c>
      <c r="AM5" s="20">
        <f t="shared" si="17"/>
        <v>12.021857923497269</v>
      </c>
      <c r="AN5" s="19">
        <f>IFERROR(AD5+AJ5-AA5-Z5-AK5-AM5-Forudsætninger!$E$75,-999999)</f>
        <v>-1105.8594444761823</v>
      </c>
      <c r="AO5" s="19">
        <f>IFERROR(AN5/(A5+Forudsætninger!$E$74),-999999)</f>
        <v>-368.61981482539409</v>
      </c>
      <c r="AP5" s="19">
        <f>IFERROR(((365/(A5+Forudsætninger!$E$74))*AN5)/(AI5+Forudsætninger!$E$73),-999999)</f>
        <v>-58245.122255960538</v>
      </c>
      <c r="AQ5" s="18">
        <f t="shared" si="8"/>
        <v>3</v>
      </c>
      <c r="AR5" s="18">
        <f t="shared" ref="AR5:AR68" si="22">AA5+Z5+AK5+AM5</f>
        <v>1931.476535570546</v>
      </c>
      <c r="AS5" s="18">
        <f t="shared" si="0"/>
        <v>1.3</v>
      </c>
      <c r="AT5" s="50">
        <f t="shared" ref="AT5:AT68" si="23">AN5-AN4</f>
        <v>-25.480447904623361</v>
      </c>
      <c r="AU5" s="50">
        <f t="shared" ref="AU5:AU68" si="24">AO5-AO4</f>
        <v>171.56968346038536</v>
      </c>
      <c r="AV5" s="2">
        <f t="shared" ref="AV5:AV68" si="25">AP5-AP4</f>
        <v>27109.495438545739</v>
      </c>
      <c r="AW5" s="16">
        <f t="shared" si="19"/>
        <v>-364.61252885089499</v>
      </c>
      <c r="AZ5" s="16"/>
      <c r="BA5" s="2"/>
    </row>
    <row r="6" spans="1:59" x14ac:dyDescent="0.25">
      <c r="A6">
        <v>4</v>
      </c>
      <c r="B6" s="1">
        <f>ROUND((A6+Forudsætninger!$E$60)/30.4,1)</f>
        <v>1.3</v>
      </c>
      <c r="C6" s="1">
        <f>VLOOKUP((A6+Forudsætninger!$E$60),'Model tilvækst, slagteform, fe'!A:D,4,FALSE)</f>
        <v>65.671273612542251</v>
      </c>
      <c r="D6" s="3">
        <f t="shared" ref="D6:D69" si="26">(C6-C5)*1000</f>
        <v>846.293017894439</v>
      </c>
      <c r="E6" s="3">
        <f>(1+Forudsætninger!$E$78)*C6</f>
        <v>60.41757172353887</v>
      </c>
      <c r="F6" s="2">
        <f t="shared" si="9"/>
        <v>10.290560654685995</v>
      </c>
      <c r="G6" s="1">
        <f t="shared" si="1"/>
        <v>70.70813237822486</v>
      </c>
      <c r="H6" s="3">
        <f t="shared" si="10"/>
        <v>693.96027467342947</v>
      </c>
      <c r="I6" s="3">
        <f t="shared" si="2"/>
        <v>677.03309455621502</v>
      </c>
      <c r="J6" s="1">
        <f>VLOOKUP((A6+Forudsætninger!$E$60),'Model tilvækst, slagteform, fe'!G:K,4,FALSE)*(1+Forudsætninger!$E$79)</f>
        <v>48.573457354891495</v>
      </c>
      <c r="K6" s="17">
        <f t="shared" si="3"/>
        <v>34.345384527177281</v>
      </c>
      <c r="L6" s="17">
        <f t="shared" si="11"/>
        <v>353.61607188627886</v>
      </c>
      <c r="M6" s="3">
        <f>((K6-(('Model tilvækst, slagteform, fe'!$J$9/100)*'Model tilvækst, slagteform, fe'!$D$9))*1000/(A6+Forudsætninger!$E$60))</f>
        <v>352.7744098083507</v>
      </c>
      <c r="N6" s="17">
        <f t="shared" si="12"/>
        <v>7.8525456195311385</v>
      </c>
      <c r="O6" s="19">
        <f>IF( A6&lt;Forudsætninger!$C$14,(G6/100)*Forudsætninger!$C$13,(Forudsætninger!$C$15/1000)*Forudsætninger!$C$13)</f>
        <v>0.4596028604584616</v>
      </c>
      <c r="P6" s="17" cm="1">
        <f t="array" ref="P6">INDEX('Model tilvækst, slagteform, fe'!$P$9:$P$375,MATCH(MIN(ABS('Model tilvækst, slagteform, fe'!$M$9:$M$375-G6)),ABS('Model tilvækst, slagteform, fe'!$M$9:$M$375-G6),0))*(1+Forudsætninger!$E$80)</f>
        <v>2.0117900985432748</v>
      </c>
      <c r="Q6" s="17">
        <f t="shared" si="13"/>
        <v>5.6891930499987469</v>
      </c>
      <c r="R6" s="17">
        <f t="shared" si="14"/>
        <v>5.6955732791086264</v>
      </c>
      <c r="S6" s="17">
        <f t="shared" si="15"/>
        <v>2.8996166076188503</v>
      </c>
      <c r="T6" s="19">
        <f>(P6)*IF(N6&lt;Forudsætninger!$B$228,IF(N6&lt;Forudsætninger!$B$227,Forudsætninger!$B$225,Forudsætninger!$C$9),Forudsætninger!$C$11)+O6</f>
        <v>32.527880926981602</v>
      </c>
      <c r="U6" s="5">
        <f>Forudsætninger!$E$68+((K6-(Forudsætninger!$E$84)))*0.01</f>
        <v>5.0600175548434425</v>
      </c>
      <c r="V6" s="2">
        <f>U6+Forudsætninger!$E$69</f>
        <v>5.0600175548434425</v>
      </c>
      <c r="W6">
        <f t="shared" si="4"/>
        <v>0</v>
      </c>
      <c r="X6">
        <f>IF(A6+Forudsætninger!$E$60&gt;248,IF(A6+Forudsætninger!$E$60&lt;365,IF(K6&gt;180,IF(K6&lt;260,1,0),0),0),0)</f>
        <v>0</v>
      </c>
      <c r="Y6" s="22">
        <f>IF(X6=0,0,IF('Vækstfunktion, kry kvie'!A6&lt;Forudsætninger!$E$66,Forudsætninger!$E$67+(('Vækstfunktion, kry kvie'!A6-Forudsætninger!$E$66)/7)*Forudsætninger!$E$64,Forudsætninger!$E$67))</f>
        <v>0</v>
      </c>
      <c r="Z6" s="19">
        <f t="shared" si="20"/>
        <v>126.98255857403043</v>
      </c>
      <c r="AA6" s="19">
        <f>Forudsætninger!$E$62+Forudsætninger!$C$16</f>
        <v>1575</v>
      </c>
      <c r="AB6" s="19">
        <f>IF(K6&gt;Forudsætninger!$C$48,IF(K6&gt;Forudsætninger!$C$49,IF(K6&gt;Forudsætninger!$C$50,Forudsætninger!$E$50,Forudsætninger!$E$49+Forudsætninger!$F$50*(K6-Forudsætninger!$C$49)),Forudsætninger!$E$48+Forudsætninger!$F$49*(K6-Forudsætninger!$C$48)),Forudsætninger!$E$48)+IF(K6&gt;Forudsætninger!$C$50,Forudsætninger!$G$50,IF(K6&gt;Forudsætninger!$C$49,Forudsætninger!$G$49+Forudsætninger!$H$50*(K6-Forudsætninger!$C$49),IF(K6&gt;Forudsætninger!$C$48,Forudsætninger!$G$48+Forudsætninger!$H$49*(K6-Forudsætninger!$C$48),Forudsætninger!$G$48)))*(U6-Forudsætninger!$H$48)</f>
        <v>35.106001755484343</v>
      </c>
      <c r="AC6" s="19">
        <f>IF(K6&gt;Forudsætninger!$C$52,IF(K6&gt;Forudsætninger!$C$53,IF(K6&gt;Forudsætninger!$C$54,Forudsætninger!$E$54,Forudsætninger!$E$53+Forudsætninger!$F$54*(K6-Forudsætninger!$C$53)),Forudsætninger!$E$52+Forudsætninger!$F$53*(K6-Forudsætninger!$C$52)),Forudsætninger!$E$52)+IF(K6&gt;Forudsætninger!$C$54,Forudsætninger!$G$54,IF(K6&gt;Forudsætninger!$C$53,Forudsætninger!$G$53+Forudsætninger!$H$54*(K6-Forudsætninger!$C$53),IF(K6&gt;Forudsætninger!$C$52,Forudsætninger!$G$52+Forudsætninger!$H$53*(K6-Forudsætninger!$C$52),Forudsætninger!$G$52)))*(V6-Forudsætninger!$H$52)</f>
        <v>29.915004388710859</v>
      </c>
      <c r="AD6" s="19">
        <f t="shared" si="5"/>
        <v>1027.4423288624703</v>
      </c>
      <c r="AE6" s="19">
        <f t="shared" si="6"/>
        <v>29.915004388710855</v>
      </c>
      <c r="AF6">
        <f>IF(G6&lt;=Forudsætninger!$C$97,Forudsætninger!$C$98,(IF(G6&lt;=Forudsætninger!$D$97,Forudsætninger!$D$98,IF(G6&lt;=Forudsætninger!$E$97,Forudsætninger!$E$98,IF(G6&lt;=Forudsætninger!$F$97,Forudsætninger!$F$98,IF(G6&lt;=Forudsætninger!$G$97,Forudsætninger!$G$98,IF(G6&lt;=Forudsætninger!$H$97,Forudsætninger!$H$98,IF(G6&lt;=Forudsætninger!$I$97,Forudsætninger!$I$98,Forudsætninger!$I$98))))))))</f>
        <v>1.8</v>
      </c>
      <c r="AG6" s="1">
        <f t="shared" si="16"/>
        <v>2.2000000000000002</v>
      </c>
      <c r="AH6" s="1">
        <f t="shared" si="21"/>
        <v>8.8000000000000007</v>
      </c>
      <c r="AI6" s="1">
        <f t="shared" si="7"/>
        <v>2.2000000000000002</v>
      </c>
      <c r="AJ6" s="20">
        <f>+(W6*Forudsætninger!$C$12)</f>
        <v>0</v>
      </c>
      <c r="AK6" s="20">
        <f>Forudsætninger!$C$17</f>
        <v>250</v>
      </c>
      <c r="AL6" s="20">
        <f>IF(A6&lt;92,Forudsætninger!$C$20,Forudsætninger!$C$21)</f>
        <v>4.0072859744990899</v>
      </c>
      <c r="AM6" s="20">
        <f t="shared" si="17"/>
        <v>16.029143897996359</v>
      </c>
      <c r="AN6" s="19">
        <f>IFERROR(AD6+AJ6-AA6-Z6-AK6-AM6-Forudsætninger!$E$75,-999999)</f>
        <v>-1131.7861349461723</v>
      </c>
      <c r="AO6" s="19">
        <f>IFERROR(AN6/(A6+Forudsætninger!$E$74),-999999)</f>
        <v>-282.94653373654307</v>
      </c>
      <c r="AP6" s="19">
        <f>IFERROR(((365/(A6+Forudsætninger!$E$74))*AN6)/(AI6+Forudsætninger!$E$73),-999999)</f>
        <v>-44708.002083912652</v>
      </c>
      <c r="AQ6" s="18">
        <f t="shared" si="8"/>
        <v>4</v>
      </c>
      <c r="AR6" s="18">
        <f t="shared" si="22"/>
        <v>1968.0117024720269</v>
      </c>
      <c r="AS6" s="18">
        <f t="shared" si="0"/>
        <v>1.3</v>
      </c>
      <c r="AT6" s="50">
        <f t="shared" si="23"/>
        <v>-25.926690469990035</v>
      </c>
      <c r="AU6" s="50">
        <f t="shared" si="24"/>
        <v>85.673281088851013</v>
      </c>
      <c r="AV6" s="2">
        <f t="shared" si="25"/>
        <v>13537.120172047886</v>
      </c>
      <c r="AW6" s="16">
        <f t="shared" si="19"/>
        <v>-278.93924776204398</v>
      </c>
      <c r="AZ6" s="16"/>
      <c r="BA6" s="2"/>
    </row>
    <row r="7" spans="1:59" x14ac:dyDescent="0.25">
      <c r="A7">
        <v>5</v>
      </c>
      <c r="B7" s="1">
        <f>ROUND((A7+Forudsætninger!$E$60)/30.4,1)</f>
        <v>1.3</v>
      </c>
      <c r="C7" s="1">
        <f>VLOOKUP((A7+Forudsætninger!$E$60),'Model tilvækst, slagteform, fe'!A:D,4,FALSE)</f>
        <v>66.531083221001424</v>
      </c>
      <c r="D7" s="3">
        <f t="shared" si="26"/>
        <v>859.80960845917309</v>
      </c>
      <c r="E7" s="3">
        <f>(1+Forudsætninger!$E$78)*C7</f>
        <v>61.208596563321315</v>
      </c>
      <c r="F7" s="2">
        <f t="shared" si="9"/>
        <v>10.204579693840078</v>
      </c>
      <c r="G7" s="1">
        <f t="shared" si="1"/>
        <v>71.413176257161396</v>
      </c>
      <c r="H7" s="3">
        <f t="shared" si="10"/>
        <v>705.04387893653586</v>
      </c>
      <c r="I7" s="3">
        <f t="shared" si="2"/>
        <v>682.63525143227923</v>
      </c>
      <c r="J7" s="1">
        <f>VLOOKUP((A7+Forudsætninger!$E$60),'Model tilvækst, slagteform, fe'!G:K,4,FALSE)*(1+Forudsætninger!$E$79)</f>
        <v>48.597279673663095</v>
      </c>
      <c r="K7" s="17">
        <f t="shared" si="3"/>
        <v>34.704860989538695</v>
      </c>
      <c r="L7" s="17">
        <f t="shared" si="11"/>
        <v>359.47646236141395</v>
      </c>
      <c r="M7" s="3">
        <f>((K7-(('Model tilvækst, slagteform, fe'!$J$9/100)*'Model tilvækst, slagteform, fe'!$D$9))*1000/(A7+Forudsætninger!$E$60))</f>
        <v>352.93787450476685</v>
      </c>
      <c r="N7" s="17">
        <f t="shared" si="12"/>
        <v>9.8643357180744129</v>
      </c>
      <c r="O7" s="19">
        <f>IF( A7&lt;Forudsætninger!$C$14,(G7/100)*Forudsætninger!$C$13,(Forudsætninger!$C$15/1000)*Forudsætninger!$C$13)</f>
        <v>0.46418564567154907</v>
      </c>
      <c r="P7" s="17" cm="1">
        <f t="array" ref="P7">INDEX('Model tilvækst, slagteform, fe'!$P$9:$P$375,MATCH(MIN(ABS('Model tilvækst, slagteform, fe'!$M$9:$M$375-G7)),ABS('Model tilvækst, slagteform, fe'!$M$9:$M$375-G7),0))*(1+Forudsætninger!$E$80)</f>
        <v>2.0117900985432748</v>
      </c>
      <c r="Q7" s="17">
        <f t="shared" si="13"/>
        <v>5.5964445775608018</v>
      </c>
      <c r="R7" s="17">
        <f t="shared" si="14"/>
        <v>5.675072355127516</v>
      </c>
      <c r="S7" s="17">
        <f t="shared" si="15"/>
        <v>2.8900751015648374</v>
      </c>
      <c r="T7" s="19">
        <f>(P7)*IF(N7&lt;Forudsætninger!$B$228,IF(N7&lt;Forudsætninger!$B$227,Forudsætninger!$B$225,Forudsætninger!$C$9),Forudsætninger!$C$11)+O7</f>
        <v>32.532463712194691</v>
      </c>
      <c r="U7" s="5">
        <f>Forudsætninger!$E$68+((K7-(Forudsætninger!$E$84)))*0.01</f>
        <v>5.0636123194670564</v>
      </c>
      <c r="V7" s="2">
        <f>U7+Forudsætninger!$E$69</f>
        <v>5.0636123194670564</v>
      </c>
      <c r="W7">
        <f t="shared" si="4"/>
        <v>0</v>
      </c>
      <c r="X7">
        <f>IF(A7+Forudsætninger!$E$60&gt;248,IF(A7+Forudsætninger!$E$60&lt;365,IF(K7&gt;180,IF(K7&lt;260,1,0),0),0),0)</f>
        <v>0</v>
      </c>
      <c r="Y7" s="22">
        <f>IF(X7=0,0,IF('Vækstfunktion, kry kvie'!A7&lt;Forudsætninger!$E$66,Forudsætninger!$E$67+(('Vækstfunktion, kry kvie'!A7-Forudsætninger!$E$66)/7)*Forudsætninger!$E$64,Forudsætninger!$E$67))</f>
        <v>0</v>
      </c>
      <c r="Z7" s="19">
        <f t="shared" si="20"/>
        <v>159.51502228622513</v>
      </c>
      <c r="AA7" s="19">
        <f>Forudsætninger!$E$62+Forudsætninger!$C$16</f>
        <v>1575</v>
      </c>
      <c r="AB7" s="19">
        <f>IF(K7&gt;Forudsætninger!$C$48,IF(K7&gt;Forudsætninger!$C$49,IF(K7&gt;Forudsætninger!$C$50,Forudsætninger!$E$50,Forudsætninger!$E$49+Forudsætninger!$F$50*(K7-Forudsætninger!$C$49)),Forudsætninger!$E$48+Forudsætninger!$F$49*(K7-Forudsætninger!$C$48)),Forudsætninger!$E$48)+IF(K7&gt;Forudsætninger!$C$50,Forudsætninger!$G$50,IF(K7&gt;Forudsætninger!$C$49,Forudsætninger!$G$49+Forudsætninger!$H$50*(K7-Forudsætninger!$C$49),IF(K7&gt;Forudsætninger!$C$48,Forudsætninger!$G$48+Forudsætninger!$H$49*(K7-Forudsætninger!$C$48),Forudsætninger!$G$48)))*(U7-Forudsætninger!$H$48)</f>
        <v>35.106361231946707</v>
      </c>
      <c r="AC7" s="19">
        <f>IF(K7&gt;Forudsætninger!$C$52,IF(K7&gt;Forudsætninger!$C$53,IF(K7&gt;Forudsætninger!$C$54,Forudsætninger!$E$54,Forudsætninger!$E$53+Forudsætninger!$F$54*(K7-Forudsætninger!$C$53)),Forudsætninger!$E$52+Forudsætninger!$F$53*(K7-Forudsætninger!$C$52)),Forudsætninger!$E$52)+IF(K7&gt;Forudsætninger!$C$54,Forudsætninger!$G$54,IF(K7&gt;Forudsætninger!$C$53,Forudsætninger!$G$53+Forudsætninger!$H$54*(K7-Forudsætninger!$C$53),IF(K7&gt;Forudsætninger!$C$52,Forudsætninger!$G$52+Forudsætninger!$H$53*(K7-Forudsætninger!$C$52),Forudsætninger!$G$52)))*(V7-Forudsætninger!$H$52)</f>
        <v>29.915903079866762</v>
      </c>
      <c r="AD7" s="19">
        <f t="shared" si="5"/>
        <v>1038.2272577632884</v>
      </c>
      <c r="AE7" s="19">
        <f t="shared" si="6"/>
        <v>29.915903079866762</v>
      </c>
      <c r="AF7">
        <f>IF(G7&lt;=Forudsætninger!$C$97,Forudsætninger!$C$98,(IF(G7&lt;=Forudsætninger!$D$97,Forudsætninger!$D$98,IF(G7&lt;=Forudsætninger!$E$97,Forudsætninger!$E$98,IF(G7&lt;=Forudsætninger!$F$97,Forudsætninger!$F$98,IF(G7&lt;=Forudsætninger!$G$97,Forudsætninger!$G$98,IF(G7&lt;=Forudsætninger!$H$97,Forudsætninger!$H$98,IF(G7&lt;=Forudsætninger!$I$97,Forudsætninger!$I$98,Forudsætninger!$I$98))))))))</f>
        <v>1.8</v>
      </c>
      <c r="AG7" s="1">
        <f t="shared" si="16"/>
        <v>2.2000000000000002</v>
      </c>
      <c r="AH7" s="1">
        <f t="shared" si="21"/>
        <v>11</v>
      </c>
      <c r="AI7" s="1">
        <f t="shared" si="7"/>
        <v>2.2000000000000002</v>
      </c>
      <c r="AJ7" s="20">
        <f>+(W7*Forudsætninger!$C$12)</f>
        <v>0</v>
      </c>
      <c r="AK7" s="20">
        <f>Forudsætninger!$C$17</f>
        <v>250</v>
      </c>
      <c r="AL7" s="20">
        <f>IF(A7&lt;92,Forudsætninger!$C$20,Forudsætninger!$C$21)</f>
        <v>4.0072859744990899</v>
      </c>
      <c r="AM7" s="20">
        <f t="shared" si="17"/>
        <v>20.03642987249545</v>
      </c>
      <c r="AN7" s="19">
        <f>IFERROR(AD7+AJ7-AA7-Z7-AK7-AM7-Forudsætninger!$E$75,-999999)</f>
        <v>-1157.5409557320479</v>
      </c>
      <c r="AO7" s="19">
        <f>IFERROR(AN7/(A7+Forudsætninger!$E$74),-999999)</f>
        <v>-231.50819114640959</v>
      </c>
      <c r="AP7" s="19">
        <f>IFERROR(((365/(A7+Forudsætninger!$E$74))*AN7)/(AI7+Forudsætninger!$E$73),-999999)</f>
        <v>-36580.298601056056</v>
      </c>
      <c r="AQ7" s="18">
        <f t="shared" si="8"/>
        <v>5</v>
      </c>
      <c r="AR7" s="18">
        <f t="shared" si="22"/>
        <v>2004.5514521587206</v>
      </c>
      <c r="AS7" s="18">
        <f t="shared" si="0"/>
        <v>1.3</v>
      </c>
      <c r="AT7" s="50">
        <f t="shared" si="23"/>
        <v>-25.754820785875609</v>
      </c>
      <c r="AU7" s="50">
        <f t="shared" si="24"/>
        <v>51.438342590133487</v>
      </c>
      <c r="AV7" s="2">
        <f t="shared" si="25"/>
        <v>8127.7034828565957</v>
      </c>
      <c r="AW7" s="16">
        <f t="shared" si="19"/>
        <v>-227.50090517191046</v>
      </c>
      <c r="AZ7" s="16"/>
      <c r="BA7" s="2"/>
    </row>
    <row r="8" spans="1:59" x14ac:dyDescent="0.25">
      <c r="A8">
        <v>6</v>
      </c>
      <c r="B8" s="1">
        <f>ROUND((A8+Forudsætninger!$E$60)/30.4,1)</f>
        <v>1.4</v>
      </c>
      <c r="C8" s="1">
        <f>VLOOKUP((A8+Forudsætninger!$E$60),'Model tilvækst, slagteform, fe'!A:D,4,FALSE)</f>
        <v>67.404263090862358</v>
      </c>
      <c r="D8" s="3">
        <f t="shared" si="26"/>
        <v>873.17986986093388</v>
      </c>
      <c r="E8" s="3">
        <f>(1+Forudsætninger!$E$78)*C8</f>
        <v>62.011922043593373</v>
      </c>
      <c r="F8" s="2">
        <f t="shared" si="9"/>
        <v>10.117261706853984</v>
      </c>
      <c r="G8" s="1">
        <f t="shared" si="1"/>
        <v>72.129183750447353</v>
      </c>
      <c r="H8" s="3">
        <f t="shared" si="10"/>
        <v>716.00749328595725</v>
      </c>
      <c r="I8" s="3">
        <f t="shared" si="2"/>
        <v>688.19729174122551</v>
      </c>
      <c r="J8" s="1">
        <f>VLOOKUP((A8+Forudsætninger!$E$60),'Model tilvækst, slagteform, fe'!G:K,4,FALSE)*(1+Forudsætninger!$E$79)</f>
        <v>48.621288178900045</v>
      </c>
      <c r="K8" s="17">
        <f t="shared" si="3"/>
        <v>35.070138292393352</v>
      </c>
      <c r="L8" s="17">
        <f t="shared" si="11"/>
        <v>365.27730285465765</v>
      </c>
      <c r="M8" s="3">
        <f>((K8-(('Model tilvækst, slagteform, fe'!$J$9/100)*'Model tilvækst, slagteform, fe'!$D$9))*1000/(A8+Forudsætninger!$E$60))</f>
        <v>353.2316704178595</v>
      </c>
      <c r="N8" s="17">
        <f t="shared" si="12"/>
        <v>11.914932768079318</v>
      </c>
      <c r="O8" s="19">
        <f>IF( A8&lt;Forudsætninger!$C$14,(G8/100)*Forudsætninger!$C$13,(Forudsætninger!$C$15/1000)*Forudsætninger!$C$13)</f>
        <v>0.46883969437790785</v>
      </c>
      <c r="P8" s="17" cm="1">
        <f t="array" ref="P8">INDEX('Model tilvækst, slagteform, fe'!$P$9:$P$375,MATCH(MIN(ABS('Model tilvækst, slagteform, fe'!$M$9:$M$375-G8)),ABS('Model tilvækst, slagteform, fe'!$M$9:$M$375-G8),0))*(1+Forudsætninger!$E$80)</f>
        <v>2.050597050004904</v>
      </c>
      <c r="Q8" s="17">
        <f t="shared" si="13"/>
        <v>5.6138091088041904</v>
      </c>
      <c r="R8" s="17">
        <f t="shared" si="14"/>
        <v>5.6644336788550476</v>
      </c>
      <c r="S8" s="17">
        <f t="shared" si="15"/>
        <v>2.8855419105019147</v>
      </c>
      <c r="T8" s="19">
        <f>(P8)*IF(N8&lt;Forudsætninger!$B$228,IF(N8&lt;Forudsætninger!$B$227,Forudsætninger!$B$225,Forudsætninger!$C$9),Forudsætninger!$C$11)+O8</f>
        <v>33.155707200866331</v>
      </c>
      <c r="U8" s="5">
        <f>Forudsætninger!$E$68+((K8-(Forudsætninger!$E$84)))*0.01</f>
        <v>5.0672650924956031</v>
      </c>
      <c r="V8" s="2">
        <f>U8+Forudsætninger!$E$69</f>
        <v>5.0672650924956031</v>
      </c>
      <c r="W8">
        <f t="shared" si="4"/>
        <v>0</v>
      </c>
      <c r="X8">
        <f>IF(A8+Forudsætninger!$E$60&gt;248,IF(A8+Forudsætninger!$E$60&lt;365,IF(K8&gt;180,IF(K8&lt;260,1,0),0),0),0)</f>
        <v>0</v>
      </c>
      <c r="Y8" s="22">
        <f>IF(X8=0,0,IF('Vækstfunktion, kry kvie'!A8&lt;Forudsætninger!$E$66,Forudsætninger!$E$67+(('Vækstfunktion, kry kvie'!A8-Forudsætninger!$E$66)/7)*Forudsætninger!$E$64,Forudsætninger!$E$67))</f>
        <v>0</v>
      </c>
      <c r="Z8" s="19">
        <f>Z7+T8</f>
        <v>192.67072948709148</v>
      </c>
      <c r="AA8" s="19">
        <f>Forudsætninger!$E$62+Forudsætninger!$C$16</f>
        <v>1575</v>
      </c>
      <c r="AB8" s="19">
        <f>IF(K8&gt;Forudsætninger!$C$48,IF(K8&gt;Forudsætninger!$C$49,IF(K8&gt;Forudsætninger!$C$50,Forudsætninger!$E$50,Forudsætninger!$E$49+Forudsætninger!$F$50*(K8-Forudsætninger!$C$49)),Forudsætninger!$E$48+Forudsætninger!$F$49*(K8-Forudsætninger!$C$48)),Forudsætninger!$E$48)+IF(K8&gt;Forudsætninger!$C$50,Forudsætninger!$G$50,IF(K8&gt;Forudsætninger!$C$49,Forudsætninger!$G$49+Forudsætninger!$H$50*(K8-Forudsætninger!$C$49),IF(K8&gt;Forudsætninger!$C$48,Forudsætninger!$G$48+Forudsætninger!$H$49*(K8-Forudsætninger!$C$48),Forudsætninger!$G$48)))*(U8-Forudsætninger!$H$48)</f>
        <v>35.106726509249562</v>
      </c>
      <c r="AC8" s="19">
        <f>IF(K8&gt;Forudsætninger!$C$52,IF(K8&gt;Forudsætninger!$C$53,IF(K8&gt;Forudsætninger!$C$54,Forudsætninger!$E$54,Forudsætninger!$E$53+Forudsætninger!$F$54*(K8-Forudsætninger!$C$53)),Forudsætninger!$E$52+Forudsætninger!$F$53*(K8-Forudsætninger!$C$52)),Forudsætninger!$E$52)+IF(K8&gt;Forudsætninger!$C$54,Forudsætninger!$G$54,IF(K8&gt;Forudsætninger!$C$53,Forudsætninger!$G$53+Forudsætninger!$H$54*(K8-Forudsætninger!$C$53),IF(K8&gt;Forudsætninger!$C$52,Forudsætninger!$G$52+Forudsætninger!$H$53*(K8-Forudsætninger!$C$52),Forudsætninger!$G$52)))*(V8-Forudsætninger!$H$52)</f>
        <v>29.916816273123899</v>
      </c>
      <c r="AD8" s="19">
        <f t="shared" si="5"/>
        <v>1049.186883966579</v>
      </c>
      <c r="AE8" s="19">
        <f t="shared" si="6"/>
        <v>29.916816273123899</v>
      </c>
      <c r="AF8">
        <f>IF(G8&lt;=Forudsætninger!$C$97,Forudsætninger!$C$98,(IF(G8&lt;=Forudsætninger!$D$97,Forudsætninger!$D$98,IF(G8&lt;=Forudsætninger!$E$97,Forudsætninger!$E$98,IF(G8&lt;=Forudsætninger!$F$97,Forudsætninger!$F$98,IF(G8&lt;=Forudsætninger!$G$97,Forudsætninger!$G$98,IF(G8&lt;=Forudsætninger!$H$97,Forudsætninger!$H$98,IF(G8&lt;=Forudsætninger!$I$97,Forudsætninger!$I$98,Forudsætninger!$I$98))))))))</f>
        <v>1.8</v>
      </c>
      <c r="AG8" s="1">
        <f t="shared" si="16"/>
        <v>2.2000000000000002</v>
      </c>
      <c r="AH8" s="1">
        <f t="shared" si="21"/>
        <v>13.2</v>
      </c>
      <c r="AI8" s="1">
        <f t="shared" si="7"/>
        <v>2.1999999999999997</v>
      </c>
      <c r="AJ8" s="20">
        <f>+(W8*Forudsætninger!$C$12)</f>
        <v>0</v>
      </c>
      <c r="AK8" s="20">
        <f>Forudsætninger!$C$17</f>
        <v>250</v>
      </c>
      <c r="AL8" s="20">
        <f>IF(A8&lt;92,Forudsætninger!$C$20,Forudsætninger!$C$21)</f>
        <v>4.0072859744990899</v>
      </c>
      <c r="AM8" s="20">
        <f t="shared" si="17"/>
        <v>24.043715846994541</v>
      </c>
      <c r="AN8" s="19">
        <f>IFERROR(AD8+AJ8-AA8-Z8-AK8-AM8-Forudsætninger!$E$75,-999999)</f>
        <v>-1183.7443227041229</v>
      </c>
      <c r="AO8" s="19">
        <f>IFERROR(AN8/(A8+Forudsætninger!$E$74),-999999)</f>
        <v>-197.29072045068713</v>
      </c>
      <c r="AP8" s="19">
        <f>IFERROR(((365/(A8+Forudsætninger!$E$74))*AN8)/(AI8+Forudsætninger!$E$73),-999999)</f>
        <v>-31173.64197597438</v>
      </c>
      <c r="AQ8" s="18">
        <f t="shared" si="8"/>
        <v>6</v>
      </c>
      <c r="AR8" s="18">
        <f t="shared" si="22"/>
        <v>2041.7144453340859</v>
      </c>
      <c r="AS8" s="18">
        <f t="shared" si="0"/>
        <v>1.4</v>
      </c>
      <c r="AT8" s="50">
        <f t="shared" si="23"/>
        <v>-26.203366972074946</v>
      </c>
      <c r="AU8" s="50">
        <f t="shared" si="24"/>
        <v>34.217470695722454</v>
      </c>
      <c r="AV8" s="2">
        <f t="shared" si="25"/>
        <v>5406.6566250816759</v>
      </c>
      <c r="AW8" s="16">
        <f t="shared" si="19"/>
        <v>-193.28343447618806</v>
      </c>
      <c r="AZ8" s="16"/>
      <c r="BA8" s="2"/>
    </row>
    <row r="9" spans="1:59" x14ac:dyDescent="0.25">
      <c r="A9">
        <v>7</v>
      </c>
      <c r="B9" s="1">
        <f>ROUND((A9+Forudsætninger!$E$60)/30.4,1)</f>
        <v>1.4</v>
      </c>
      <c r="C9" s="1">
        <f>VLOOKUP((A9+Forudsætninger!$E$60),'Model tilvækst, slagteform, fe'!A:D,4,FALSE)</f>
        <v>68.290667477982609</v>
      </c>
      <c r="D9" s="3">
        <f t="shared" si="26"/>
        <v>886.40438712025116</v>
      </c>
      <c r="E9" s="3">
        <f>(1+Forudsætninger!$E$78)*C9</f>
        <v>62.827414079744003</v>
      </c>
      <c r="F9" s="2">
        <f t="shared" si="9"/>
        <v>10.02862126814196</v>
      </c>
      <c r="G9" s="1">
        <f t="shared" si="1"/>
        <v>72.856035347885964</v>
      </c>
      <c r="H9" s="3">
        <f t="shared" si="10"/>
        <v>726.8515974386105</v>
      </c>
      <c r="I9" s="3">
        <f t="shared" si="2"/>
        <v>693.71933541228066</v>
      </c>
      <c r="J9" s="1">
        <f>VLOOKUP((A9+Forudsætninger!$E$60),'Model tilvækst, slagteform, fe'!G:K,4,FALSE)*(1+Forudsætninger!$E$79)</f>
        <v>48.645464205033285</v>
      </c>
      <c r="K9" s="17">
        <f t="shared" si="3"/>
        <v>35.441156596362262</v>
      </c>
      <c r="L9" s="17">
        <f t="shared" si="11"/>
        <v>371.01830396890989</v>
      </c>
      <c r="M9" s="3">
        <f>((K9-(('Model tilvækst, slagteform, fe'!$J$9/100)*'Model tilvækst, slagteform, fe'!$D$9))*1000/(A9+Forudsætninger!$E$60))</f>
        <v>353.64531305858162</v>
      </c>
      <c r="N9" s="17">
        <f t="shared" si="12"/>
        <v>13.965529818084221</v>
      </c>
      <c r="O9" s="19">
        <f>IF( A9&lt;Forudsætninger!$C$14,(G9/100)*Forudsætninger!$C$13,(Forudsætninger!$C$15/1000)*Forudsætninger!$C$13)</f>
        <v>0.47356422976125878</v>
      </c>
      <c r="P9" s="17" cm="1">
        <f t="array" ref="P9">INDEX('Model tilvækst, slagteform, fe'!$P$9:$P$375,MATCH(MIN(ABS('Model tilvækst, slagteform, fe'!$M$9:$M$375-G9)),ABS('Model tilvækst, slagteform, fe'!$M$9:$M$375-G9),0))*(1+Forudsætninger!$E$80)</f>
        <v>2.050597050004904</v>
      </c>
      <c r="Q9" s="17">
        <f t="shared" si="13"/>
        <v>5.5269430862816336</v>
      </c>
      <c r="R9" s="17">
        <f t="shared" si="14"/>
        <v>5.643818649695306</v>
      </c>
      <c r="S9" s="17">
        <f t="shared" si="15"/>
        <v>2.8759118947031559</v>
      </c>
      <c r="T9" s="19">
        <f>(P9)*IF(N9&lt;Forudsætninger!$B$228,IF(N9&lt;Forudsætninger!$B$227,Forudsætninger!$B$225,Forudsætninger!$C$9),Forudsætninger!$C$11)+O9</f>
        <v>33.160431736249684</v>
      </c>
      <c r="U9" s="5">
        <f>Forudsætninger!$E$68+((K9-(Forudsætninger!$E$84)))*0.01</f>
        <v>5.0709752755352921</v>
      </c>
      <c r="V9" s="2">
        <f>U9+Forudsætninger!$E$69</f>
        <v>5.0709752755352921</v>
      </c>
      <c r="W9">
        <f t="shared" si="4"/>
        <v>0</v>
      </c>
      <c r="X9">
        <f>IF(A9+Forudsætninger!$E$60&gt;248,IF(A9+Forudsætninger!$E$60&lt;365,IF(K9&gt;180,IF(K9&lt;260,1,0),0),0),0)</f>
        <v>0</v>
      </c>
      <c r="Y9" s="22">
        <f>IF(X9=0,0,IF('Vækstfunktion, kry kvie'!A9&lt;Forudsætninger!$E$66,Forudsætninger!$E$67+(('Vækstfunktion, kry kvie'!A9-Forudsætninger!$E$66)/7)*Forudsætninger!$E$64,Forudsætninger!$E$67))</f>
        <v>0</v>
      </c>
      <c r="Z9" s="19">
        <f t="shared" si="20"/>
        <v>225.83116122334116</v>
      </c>
      <c r="AA9" s="19">
        <f>Forudsætninger!$E$62+Forudsætninger!$C$16</f>
        <v>1575</v>
      </c>
      <c r="AB9" s="19">
        <f>IF(K9&gt;Forudsætninger!$C$48,IF(K9&gt;Forudsætninger!$C$49,IF(K9&gt;Forudsætninger!$C$50,Forudsætninger!$E$50,Forudsætninger!$E$49+Forudsætninger!$F$50*(K9-Forudsætninger!$C$49)),Forudsætninger!$E$48+Forudsætninger!$F$49*(K9-Forudsætninger!$C$48)),Forudsætninger!$E$48)+IF(K9&gt;Forudsætninger!$C$50,Forudsætninger!$G$50,IF(K9&gt;Forudsætninger!$C$49,Forudsætninger!$G$49+Forudsætninger!$H$50*(K9-Forudsætninger!$C$49),IF(K9&gt;Forudsætninger!$C$48,Forudsætninger!$G$48+Forudsætninger!$H$49*(K9-Forudsætninger!$C$48),Forudsætninger!$G$48)))*(U9-Forudsætninger!$H$48)</f>
        <v>35.107097527553528</v>
      </c>
      <c r="AC9" s="19">
        <f>IF(K9&gt;Forudsætninger!$C$52,IF(K9&gt;Forudsætninger!$C$53,IF(K9&gt;Forudsætninger!$C$54,Forudsætninger!$E$54,Forudsætninger!$E$53+Forudsætninger!$F$54*(K9-Forudsætninger!$C$53)),Forudsætninger!$E$52+Forudsætninger!$F$53*(K9-Forudsætninger!$C$52)),Forudsætninger!$E$52)+IF(K9&gt;Forudsætninger!$C$54,Forudsætninger!$G$54,IF(K9&gt;Forudsætninger!$C$53,Forudsætninger!$G$53+Forudsætninger!$H$54*(K9-Forudsætninger!$C$53),IF(K9&gt;Forudsætninger!$C$52,Forudsætninger!$G$52+Forudsætninger!$H$53*(K9-Forudsætninger!$C$52),Forudsætninger!$G$52)))*(V9-Forudsætninger!$H$52)</f>
        <v>29.917743818883821</v>
      </c>
      <c r="AD9" s="19">
        <f t="shared" si="5"/>
        <v>1060.3194436949107</v>
      </c>
      <c r="AE9" s="19">
        <f t="shared" si="6"/>
        <v>29.917743818883821</v>
      </c>
      <c r="AF9">
        <f>IF(G9&lt;=Forudsætninger!$C$97,Forudsætninger!$C$98,(IF(G9&lt;=Forudsætninger!$D$97,Forudsætninger!$D$98,IF(G9&lt;=Forudsætninger!$E$97,Forudsætninger!$E$98,IF(G9&lt;=Forudsætninger!$F$97,Forudsætninger!$F$98,IF(G9&lt;=Forudsætninger!$G$97,Forudsætninger!$G$98,IF(G9&lt;=Forudsætninger!$H$97,Forudsætninger!$H$98,IF(G9&lt;=Forudsætninger!$I$97,Forudsætninger!$I$98,Forudsætninger!$I$98))))))))</f>
        <v>1.8</v>
      </c>
      <c r="AG9" s="1">
        <f t="shared" si="16"/>
        <v>2.2000000000000002</v>
      </c>
      <c r="AH9" s="1">
        <f t="shared" si="21"/>
        <v>15.399999999999999</v>
      </c>
      <c r="AI9" s="1">
        <f t="shared" si="7"/>
        <v>2.1999999999999997</v>
      </c>
      <c r="AJ9" s="20">
        <f>+(W9*Forudsætninger!$C$12)</f>
        <v>0</v>
      </c>
      <c r="AK9" s="20">
        <f>Forudsætninger!$C$17</f>
        <v>250</v>
      </c>
      <c r="AL9" s="20">
        <f>IF(A9&lt;92,Forudsætninger!$C$20,Forudsætninger!$C$21)</f>
        <v>4.0072859744990899</v>
      </c>
      <c r="AM9" s="20">
        <f t="shared" si="17"/>
        <v>28.051001821493632</v>
      </c>
      <c r="AN9" s="19">
        <f>IFERROR(AD9+AJ9-AA9-Z9-AK9-AM9-Forudsætninger!$E$75,-999999)</f>
        <v>-1209.77948068654</v>
      </c>
      <c r="AO9" s="19">
        <f>IFERROR(AN9/(A9+Forudsætninger!$E$74),-999999)</f>
        <v>-172.82564009807714</v>
      </c>
      <c r="AP9" s="19">
        <f>IFERROR(((365/(A9+Forudsætninger!$E$74))*AN9)/(AI9+Forudsætninger!$E$73),-999999)</f>
        <v>-27307.947461384487</v>
      </c>
      <c r="AQ9" s="18">
        <f t="shared" si="8"/>
        <v>7</v>
      </c>
      <c r="AR9" s="18">
        <f t="shared" si="22"/>
        <v>2078.8821630448347</v>
      </c>
      <c r="AS9" s="18">
        <f t="shared" si="0"/>
        <v>1.4</v>
      </c>
      <c r="AT9" s="50">
        <f t="shared" si="23"/>
        <v>-26.035157982417104</v>
      </c>
      <c r="AU9" s="50">
        <f t="shared" si="24"/>
        <v>24.465080352609988</v>
      </c>
      <c r="AV9" s="2">
        <f t="shared" si="25"/>
        <v>3865.6945145898935</v>
      </c>
      <c r="AW9" s="16">
        <f t="shared" si="19"/>
        <v>-168.81835412357805</v>
      </c>
      <c r="AZ9" s="16"/>
      <c r="BA9" s="2"/>
    </row>
    <row r="10" spans="1:59" x14ac:dyDescent="0.25">
      <c r="A10">
        <v>8</v>
      </c>
      <c r="B10" s="1">
        <f>ROUND((A10+Forudsætninger!$E$60)/30.4,1)</f>
        <v>1.4</v>
      </c>
      <c r="C10" s="1">
        <f>VLOOKUP((A10+Forudsætninger!$E$60),'Model tilvækst, slagteform, fe'!A:D,4,FALSE)</f>
        <v>69.190151223240349</v>
      </c>
      <c r="D10" s="3">
        <f t="shared" si="26"/>
        <v>899.48374525774</v>
      </c>
      <c r="E10" s="3">
        <f>(1+Forudsætninger!$E$78)*C10</f>
        <v>63.654939125381127</v>
      </c>
      <c r="F10" s="2">
        <f t="shared" si="9"/>
        <v>9.9386728936161859</v>
      </c>
      <c r="G10" s="1">
        <f t="shared" si="1"/>
        <v>73.593612018997305</v>
      </c>
      <c r="H10" s="3">
        <f t="shared" si="10"/>
        <v>737.5766711113414</v>
      </c>
      <c r="I10" s="3">
        <f t="shared" si="2"/>
        <v>699.20150237466316</v>
      </c>
      <c r="J10" s="1">
        <f>VLOOKUP((A10+Forudsætninger!$E$60),'Model tilvækst, slagteform, fe'!G:K,4,FALSE)*(1+Forudsætninger!$E$79)</f>
        <v>48.669789086493786</v>
      </c>
      <c r="K10" s="17">
        <f t="shared" si="3"/>
        <v>35.817855750778527</v>
      </c>
      <c r="L10" s="17">
        <f t="shared" si="11"/>
        <v>376.699154416265</v>
      </c>
      <c r="M10" s="3">
        <f>((K10-(('Model tilvækst, slagteform, fe'!$J$9/100)*'Model tilvækst, slagteform, fe'!$D$9))*1000/(A10+Forudsætninger!$E$60))</f>
        <v>354.16926399852895</v>
      </c>
      <c r="N10" s="17">
        <f t="shared" si="12"/>
        <v>16.054844945927023</v>
      </c>
      <c r="O10" s="19">
        <f>IF( A10&lt;Forudsætninger!$C$14,(G10/100)*Forudsætninger!$C$13,(Forudsætninger!$C$15/1000)*Forudsætninger!$C$13)</f>
        <v>0.47835847812348248</v>
      </c>
      <c r="P10" s="17" cm="1">
        <f t="array" ref="P10">INDEX('Model tilvækst, slagteform, fe'!$P$9:$P$375,MATCH(MIN(ABS('Model tilvækst, slagteform, fe'!$M$9:$M$375-G10)),ABS('Model tilvækst, slagteform, fe'!$M$9:$M$375-G10),0))*(1+Forudsætninger!$E$80)</f>
        <v>2.089315127842803</v>
      </c>
      <c r="Q10" s="17">
        <f t="shared" si="13"/>
        <v>5.5463759431061552</v>
      </c>
      <c r="R10" s="17">
        <f t="shared" si="14"/>
        <v>5.6309444834234306</v>
      </c>
      <c r="S10" s="17">
        <f t="shared" si="15"/>
        <v>2.8702106780736232</v>
      </c>
      <c r="T10" s="19">
        <f>(P10)*IF(N10&lt;Forudsætninger!$B$228,IF(N10&lt;Forudsætninger!$B$227,Forudsætninger!$B$225,Forudsætninger!$C$9),Forudsætninger!$C$11)+O10</f>
        <v>33.782398763822862</v>
      </c>
      <c r="U10" s="5">
        <f>Forudsætninger!$E$68+((K10-(Forudsætninger!$E$84)))*0.01</f>
        <v>5.0747422670794542</v>
      </c>
      <c r="V10" s="2">
        <f>U10+Forudsætninger!$E$69</f>
        <v>5.0747422670794542</v>
      </c>
      <c r="W10">
        <f t="shared" si="4"/>
        <v>0</v>
      </c>
      <c r="X10">
        <f>IF(A10+Forudsætninger!$E$60&gt;248,IF(A10+Forudsætninger!$E$60&lt;365,IF(K10&gt;180,IF(K10&lt;260,1,0),0),0),0)</f>
        <v>0</v>
      </c>
      <c r="Y10" s="22">
        <f>IF(X10=0,0,IF('Vækstfunktion, kry kvie'!A10&lt;Forudsætninger!$E$66,Forudsætninger!$E$67+(('Vækstfunktion, kry kvie'!A10-Forudsætninger!$E$66)/7)*Forudsætninger!$E$64,Forudsætninger!$E$67))</f>
        <v>0</v>
      </c>
      <c r="Z10" s="19">
        <f t="shared" si="20"/>
        <v>259.61355998716402</v>
      </c>
      <c r="AA10" s="19">
        <f>Forudsætninger!$E$62+Forudsætninger!$C$16</f>
        <v>1575</v>
      </c>
      <c r="AB10" s="19">
        <f>IF(K10&gt;Forudsætninger!$C$48,IF(K10&gt;Forudsætninger!$C$49,IF(K10&gt;Forudsætninger!$C$50,Forudsætninger!$E$50,Forudsætninger!$E$49+Forudsætninger!$F$50*(K10-Forudsætninger!$C$49)),Forudsætninger!$E$48+Forudsætninger!$F$49*(K10-Forudsætninger!$C$48)),Forudsætninger!$E$48)+IF(K10&gt;Forudsætninger!$C$50,Forudsætninger!$G$50,IF(K10&gt;Forudsætninger!$C$49,Forudsætninger!$G$49+Forudsætninger!$H$50*(K10-Forudsætninger!$C$49),IF(K10&gt;Forudsætninger!$C$48,Forudsætninger!$G$48+Forudsætninger!$H$49*(K10-Forudsætninger!$C$48),Forudsætninger!$G$48)))*(U10-Forudsætninger!$H$48)</f>
        <v>35.10747422670795</v>
      </c>
      <c r="AC10" s="19">
        <f>IF(K10&gt;Forudsætninger!$C$52,IF(K10&gt;Forudsætninger!$C$53,IF(K10&gt;Forudsætninger!$C$54,Forudsætninger!$E$54,Forudsætninger!$E$53+Forudsætninger!$F$54*(K10-Forudsætninger!$C$53)),Forudsætninger!$E$52+Forudsætninger!$F$53*(K10-Forudsætninger!$C$52)),Forudsætninger!$E$52)+IF(K10&gt;Forudsætninger!$C$54,Forudsætninger!$G$54,IF(K10&gt;Forudsætninger!$C$53,Forudsætninger!$G$53+Forudsætninger!$H$54*(K10-Forudsætninger!$C$53),IF(K10&gt;Forudsætninger!$C$52,Forudsætninger!$G$52+Forudsætninger!$H$53*(K10-Forudsætninger!$C$52),Forudsætninger!$G$52)))*(V10-Forudsætninger!$H$52)</f>
        <v>29.918685566769863</v>
      </c>
      <c r="AD10" s="19">
        <f t="shared" si="5"/>
        <v>1071.6231638834624</v>
      </c>
      <c r="AE10" s="19">
        <f t="shared" si="6"/>
        <v>29.918685566769863</v>
      </c>
      <c r="AF10">
        <f>IF(G10&lt;=Forudsætninger!$C$97,Forudsætninger!$C$98,(IF(G10&lt;=Forudsætninger!$D$97,Forudsætninger!$D$98,IF(G10&lt;=Forudsætninger!$E$97,Forudsætninger!$E$98,IF(G10&lt;=Forudsætninger!$F$97,Forudsætninger!$F$98,IF(G10&lt;=Forudsætninger!$G$97,Forudsætninger!$G$98,IF(G10&lt;=Forudsætninger!$H$97,Forudsætninger!$H$98,IF(G10&lt;=Forudsætninger!$I$97,Forudsætninger!$I$98,Forudsætninger!$I$98))))))))</f>
        <v>1.8</v>
      </c>
      <c r="AG10" s="1">
        <f t="shared" si="16"/>
        <v>2.2000000000000002</v>
      </c>
      <c r="AH10" s="1">
        <f t="shared" si="21"/>
        <v>17.599999999999998</v>
      </c>
      <c r="AI10" s="1">
        <f t="shared" si="7"/>
        <v>2.1999999999999997</v>
      </c>
      <c r="AJ10" s="20">
        <f>+(W10*Forudsætninger!$C$12)</f>
        <v>0</v>
      </c>
      <c r="AK10" s="20">
        <f>Forudsætninger!$C$17</f>
        <v>250</v>
      </c>
      <c r="AL10" s="20">
        <f>IF(A10&lt;92,Forudsætninger!$C$20,Forudsætninger!$C$21)</f>
        <v>4.0072859744990899</v>
      </c>
      <c r="AM10" s="20">
        <f t="shared" si="17"/>
        <v>32.058287795992719</v>
      </c>
      <c r="AN10" s="19">
        <f>IFERROR(AD10+AJ10-AA10-Z10-AK10-AM10-Forudsætninger!$E$75,-999999)</f>
        <v>-1236.2654452363101</v>
      </c>
      <c r="AO10" s="19">
        <f>IFERROR(AN10/(A10+Forudsætninger!$E$74),-999999)</f>
        <v>-154.53318065453877</v>
      </c>
      <c r="AP10" s="19">
        <f>IFERROR(((365/(A10+Forudsætninger!$E$74))*AN10)/(AI10+Forudsætninger!$E$73),-999999)</f>
        <v>-24417.580493033183</v>
      </c>
      <c r="AQ10" s="18">
        <f t="shared" si="8"/>
        <v>8</v>
      </c>
      <c r="AR10" s="18">
        <f t="shared" si="22"/>
        <v>2116.6718477831569</v>
      </c>
      <c r="AS10" s="18">
        <f t="shared" si="0"/>
        <v>1.4</v>
      </c>
      <c r="AT10" s="50">
        <f t="shared" si="23"/>
        <v>-26.485964549770188</v>
      </c>
      <c r="AU10" s="50">
        <f t="shared" si="24"/>
        <v>18.292459443538377</v>
      </c>
      <c r="AV10" s="2">
        <f t="shared" si="25"/>
        <v>2890.3669683513035</v>
      </c>
      <c r="AW10" s="16">
        <f t="shared" si="19"/>
        <v>-150.52589468003967</v>
      </c>
      <c r="AZ10" s="16"/>
      <c r="BA10" s="2"/>
    </row>
    <row r="11" spans="1:59" x14ac:dyDescent="0.25">
      <c r="A11">
        <v>9</v>
      </c>
      <c r="B11" s="1">
        <f>ROUND((A11+Forudsætninger!$E$60)/30.4,1)</f>
        <v>1.5</v>
      </c>
      <c r="C11" s="1">
        <f>VLOOKUP((A11+Forudsætninger!$E$60),'Model tilvækst, slagteform, fe'!A:D,4,FALSE)</f>
        <v>70.102569752534365</v>
      </c>
      <c r="D11" s="3">
        <f t="shared" si="26"/>
        <v>912.41852929401546</v>
      </c>
      <c r="E11" s="3">
        <f>(1+Forudsætninger!$E$78)*C11</f>
        <v>64.494364172331615</v>
      </c>
      <c r="F11" s="2">
        <f t="shared" si="9"/>
        <v>9.847431040686784</v>
      </c>
      <c r="G11" s="1">
        <f t="shared" si="1"/>
        <v>74.341795213018401</v>
      </c>
      <c r="H11" s="3">
        <f t="shared" si="10"/>
        <v>748.18319402109523</v>
      </c>
      <c r="I11" s="3">
        <f t="shared" si="2"/>
        <v>704.64391255760006</v>
      </c>
      <c r="J11" s="1">
        <f>VLOOKUP((A11+Forudsætninger!$E$60),'Model tilvækst, slagteform, fe'!G:K,4,FALSE)*(1+Forudsætninger!$E$79)</f>
        <v>48.694244157712532</v>
      </c>
      <c r="K11" s="17">
        <f t="shared" si="3"/>
        <v>36.200175272253823</v>
      </c>
      <c r="L11" s="17">
        <f t="shared" si="11"/>
        <v>382.31952147529569</v>
      </c>
      <c r="M11" s="3">
        <f>((K11-(('Model tilvækst, slagteform, fe'!$J$9/100)*'Model tilvækst, slagteform, fe'!$D$9))*1000/(A11+Forudsætninger!$E$60))</f>
        <v>354.79482527579046</v>
      </c>
      <c r="N11" s="17">
        <f t="shared" si="12"/>
        <v>18.182784600424853</v>
      </c>
      <c r="O11" s="19">
        <f>IF( A11&lt;Forudsætninger!$C$14,(G11/100)*Forudsætninger!$C$13,(Forudsætninger!$C$15/1000)*Forudsætninger!$C$13)</f>
        <v>0.48322166888461965</v>
      </c>
      <c r="P11" s="17" cm="1">
        <f t="array" ref="P11">INDEX('Model tilvækst, slagteform, fe'!$P$9:$P$375,MATCH(MIN(ABS('Model tilvækst, slagteform, fe'!$M$9:$M$375-G11)),ABS('Model tilvækst, slagteform, fe'!$M$9:$M$375-G11),0))*(1+Forudsætninger!$E$80)</f>
        <v>2.1279396544978302</v>
      </c>
      <c r="Q11" s="17">
        <f t="shared" si="13"/>
        <v>5.5658671215284281</v>
      </c>
      <c r="R11" s="17">
        <f t="shared" si="14"/>
        <v>5.6232499302409487</v>
      </c>
      <c r="S11" s="17">
        <f t="shared" si="15"/>
        <v>2.867135249510949</v>
      </c>
      <c r="T11" s="19">
        <f>(P11)*IF(N11&lt;Forudsætninger!$B$228,IF(N11&lt;Forudsætninger!$B$227,Forudsætninger!$B$225,Forudsætninger!$C$9),Forudsætninger!$C$11)+O11</f>
        <v>34.402943511948315</v>
      </c>
      <c r="U11" s="5">
        <f>Forudsætninger!$E$68+((K11-(Forudsætninger!$E$84)))*0.01</f>
        <v>5.0785654622942076</v>
      </c>
      <c r="V11" s="2">
        <f>U11+Forudsætninger!$E$69</f>
        <v>5.0785654622942076</v>
      </c>
      <c r="W11">
        <f t="shared" si="4"/>
        <v>0</v>
      </c>
      <c r="X11">
        <f>IF(A11+Forudsætninger!$E$60&gt;248,IF(A11+Forudsætninger!$E$60&lt;365,IF(K11&gt;180,IF(K11&lt;260,1,0),0),0),0)</f>
        <v>0</v>
      </c>
      <c r="Y11" s="22">
        <f>IF(X11=0,0,IF('Vækstfunktion, kry kvie'!A11&lt;Forudsætninger!$E$66,Forudsætninger!$E$67+(('Vækstfunktion, kry kvie'!A11-Forudsætninger!$E$66)/7)*Forudsætninger!$E$64,Forudsætninger!$E$67))</f>
        <v>0</v>
      </c>
      <c r="Z11" s="19">
        <f t="shared" si="20"/>
        <v>294.01650349911233</v>
      </c>
      <c r="AA11" s="19">
        <f>Forudsætninger!$E$62+Forudsætninger!$C$16</f>
        <v>1575</v>
      </c>
      <c r="AB11" s="19">
        <f>IF(K11&gt;Forudsætninger!$C$48,IF(K11&gt;Forudsætninger!$C$49,IF(K11&gt;Forudsætninger!$C$50,Forudsætninger!$E$50,Forudsætninger!$E$49+Forudsætninger!$F$50*(K11-Forudsætninger!$C$49)),Forudsætninger!$E$48+Forudsætninger!$F$49*(K11-Forudsætninger!$C$48)),Forudsætninger!$E$48)+IF(K11&gt;Forudsætninger!$C$50,Forudsætninger!$G$50,IF(K11&gt;Forudsætninger!$C$49,Forudsætninger!$G$49+Forudsætninger!$H$50*(K11-Forudsætninger!$C$49),IF(K11&gt;Forudsætninger!$C$48,Forudsætninger!$G$48+Forudsætninger!$H$49*(K11-Forudsætninger!$C$48),Forudsætninger!$G$48)))*(U11-Forudsætninger!$H$48)</f>
        <v>35.107856546229421</v>
      </c>
      <c r="AC11" s="19">
        <f>IF(K11&gt;Forudsætninger!$C$52,IF(K11&gt;Forudsætninger!$C$53,IF(K11&gt;Forudsætninger!$C$54,Forudsætninger!$E$54,Forudsætninger!$E$53+Forudsætninger!$F$54*(K11-Forudsætninger!$C$53)),Forudsætninger!$E$52+Forudsætninger!$F$53*(K11-Forudsætninger!$C$52)),Forudsætninger!$E$52)+IF(K11&gt;Forudsætninger!$C$54,Forudsætninger!$G$54,IF(K11&gt;Forudsætninger!$C$53,Forudsætninger!$G$53+Forudsætninger!$H$54*(K11-Forudsætninger!$C$53),IF(K11&gt;Forudsætninger!$C$52,Forudsætninger!$G$52+Forudsætninger!$H$53*(K11-Forudsætninger!$C$52),Forudsætninger!$G$52)))*(V11-Forudsætninger!$H$52)</f>
        <v>29.91964136557355</v>
      </c>
      <c r="AD11" s="19">
        <f t="shared" si="5"/>
        <v>1083.0962615167382</v>
      </c>
      <c r="AE11" s="19">
        <f t="shared" si="6"/>
        <v>29.91964136557355</v>
      </c>
      <c r="AF11">
        <f>IF(G11&lt;=Forudsætninger!$C$97,Forudsætninger!$C$98,(IF(G11&lt;=Forudsætninger!$D$97,Forudsætninger!$D$98,IF(G11&lt;=Forudsætninger!$E$97,Forudsætninger!$E$98,IF(G11&lt;=Forudsætninger!$F$97,Forudsætninger!$F$98,IF(G11&lt;=Forudsætninger!$G$97,Forudsætninger!$G$98,IF(G11&lt;=Forudsætninger!$H$97,Forudsætninger!$H$98,IF(G11&lt;=Forudsætninger!$I$97,Forudsætninger!$I$98,Forudsætninger!$I$98))))))))</f>
        <v>1.8</v>
      </c>
      <c r="AG11" s="1">
        <f t="shared" si="16"/>
        <v>2.2000000000000002</v>
      </c>
      <c r="AH11" s="1">
        <f t="shared" si="21"/>
        <v>19.799999999999997</v>
      </c>
      <c r="AI11" s="1">
        <f t="shared" si="7"/>
        <v>2.1999999999999997</v>
      </c>
      <c r="AJ11" s="20">
        <f>+(W11*Forudsætninger!$C$12)</f>
        <v>0</v>
      </c>
      <c r="AK11" s="20">
        <f>Forudsætninger!$C$17</f>
        <v>250</v>
      </c>
      <c r="AL11" s="20">
        <f>IF(A11&lt;92,Forudsætninger!$C$20,Forudsætninger!$C$21)</f>
        <v>4.0072859744990899</v>
      </c>
      <c r="AM11" s="20">
        <f t="shared" si="17"/>
        <v>36.06557377049181</v>
      </c>
      <c r="AN11" s="19">
        <f>IFERROR(AD11+AJ11-AA11-Z11-AK11-AM11-Forudsætninger!$E$75,-999999)</f>
        <v>-1263.2025770894816</v>
      </c>
      <c r="AO11" s="19">
        <f>IFERROR(AN11/(A11+Forudsætninger!$E$74),-999999)</f>
        <v>-140.35584189883127</v>
      </c>
      <c r="AP11" s="19">
        <f>IFERROR(((365/(A11+Forudsætninger!$E$74))*AN11)/(AI11+Forudsætninger!$E$73),-999999)</f>
        <v>-22177.438222109711</v>
      </c>
      <c r="AQ11" s="18">
        <f t="shared" si="8"/>
        <v>9</v>
      </c>
      <c r="AR11" s="18">
        <f t="shared" si="22"/>
        <v>2155.0820772696043</v>
      </c>
      <c r="AS11" s="18">
        <f t="shared" si="0"/>
        <v>1.5</v>
      </c>
      <c r="AT11" s="50">
        <f t="shared" si="23"/>
        <v>-26.937131853171422</v>
      </c>
      <c r="AU11" s="50">
        <f t="shared" si="24"/>
        <v>14.177338755707495</v>
      </c>
      <c r="AV11" s="2">
        <f t="shared" si="25"/>
        <v>2240.1422709234721</v>
      </c>
      <c r="AW11" s="16">
        <f t="shared" si="19"/>
        <v>-136.3485559243322</v>
      </c>
      <c r="AZ11" s="16"/>
      <c r="BA11" s="2"/>
    </row>
    <row r="12" spans="1:59" x14ac:dyDescent="0.25">
      <c r="A12">
        <v>10</v>
      </c>
      <c r="B12" s="1">
        <f>ROUND((A12+Forudsætninger!$E$60)/30.4,1)</f>
        <v>1.5</v>
      </c>
      <c r="C12" s="1">
        <f>VLOOKUP((A12+Forudsætninger!$E$60),'Model tilvækst, slagteform, fe'!A:D,4,FALSE)</f>
        <v>71.027779076784086</v>
      </c>
      <c r="D12" s="3">
        <f t="shared" si="26"/>
        <v>925.20932424972102</v>
      </c>
      <c r="E12" s="3">
        <f>(1+Forudsætninger!$E$78)*C12</f>
        <v>65.345556750641364</v>
      </c>
      <c r="F12" s="2">
        <f t="shared" si="9"/>
        <v>9.7549101082618126</v>
      </c>
      <c r="G12" s="1">
        <f t="shared" si="1"/>
        <v>75.100466858903175</v>
      </c>
      <c r="H12" s="3">
        <f t="shared" si="10"/>
        <v>758.67164588477465</v>
      </c>
      <c r="I12" s="3">
        <f t="shared" si="2"/>
        <v>710.04668589031758</v>
      </c>
      <c r="J12" s="1">
        <f>VLOOKUP((A12+Forudsætninger!$E$60),'Model tilvækst, slagteform, fe'!G:K,4,FALSE)*(1+Forudsætninger!$E$79)</f>
        <v>48.718810753120479</v>
      </c>
      <c r="K12" s="17">
        <f t="shared" si="3"/>
        <v>36.588054323698998</v>
      </c>
      <c r="L12" s="17">
        <f t="shared" si="11"/>
        <v>387.87905144517509</v>
      </c>
      <c r="M12" s="3">
        <f>((K12-(('Model tilvækst, slagteform, fe'!$J$9/100)*'Model tilvækst, slagteform, fe'!$D$9))*1000/(A12+Forudsætninger!$E$60))</f>
        <v>355.51404758382051</v>
      </c>
      <c r="N12" s="17">
        <f t="shared" si="12"/>
        <v>20.310724254922683</v>
      </c>
      <c r="O12" s="19">
        <f>IF( A12&lt;Forudsætninger!$C$14,(G12/100)*Forudsætninger!$C$13,(Forudsætninger!$C$15/1000)*Forudsætninger!$C$13)</f>
        <v>0.48815303458287063</v>
      </c>
      <c r="P12" s="17" cm="1">
        <f t="array" ref="P12">INDEX('Model tilvækst, slagteform, fe'!$P$9:$P$375,MATCH(MIN(ABS('Model tilvækst, slagteform, fe'!$M$9:$M$375-G12)),ABS('Model tilvækst, slagteform, fe'!$M$9:$M$375-G12),0))*(1+Forudsætninger!$E$80)</f>
        <v>2.1279396544978302</v>
      </c>
      <c r="Q12" s="17">
        <f t="shared" si="13"/>
        <v>5.4860906939146847</v>
      </c>
      <c r="R12" s="17">
        <f t="shared" si="14"/>
        <v>5.6085590685055955</v>
      </c>
      <c r="S12" s="17">
        <f t="shared" si="15"/>
        <v>2.8604772979758861</v>
      </c>
      <c r="T12" s="19">
        <f>(P12)*IF(N12&lt;Forudsætninger!$B$228,IF(N12&lt;Forudsætninger!$B$227,Forudsætninger!$B$225,Forudsætninger!$C$9),Forudsætninger!$C$11)+O12</f>
        <v>34.40787487764657</v>
      </c>
      <c r="U12" s="5">
        <f>Forudsætninger!$E$68+((K12-(Forudsætninger!$E$84)))*0.01</f>
        <v>5.0824442528086591</v>
      </c>
      <c r="V12" s="2">
        <f>U12+Forudsætninger!$E$69</f>
        <v>5.0824442528086591</v>
      </c>
      <c r="W12">
        <f t="shared" si="4"/>
        <v>0</v>
      </c>
      <c r="X12">
        <f>IF(A12+Forudsætninger!$E$60&gt;248,IF(A12+Forudsætninger!$E$60&lt;365,IF(K12&gt;180,IF(K12&lt;260,1,0),0),0),0)</f>
        <v>0</v>
      </c>
      <c r="Y12" s="22">
        <f>IF(X12=0,0,IF('Vækstfunktion, kry kvie'!A12&lt;Forudsætninger!$E$66,Forudsætninger!$E$67+(('Vækstfunktion, kry kvie'!A12-Forudsætninger!$E$66)/7)*Forudsætninger!$E$64,Forudsætninger!$E$67))</f>
        <v>0</v>
      </c>
      <c r="Z12" s="19">
        <f t="shared" si="20"/>
        <v>328.42437837675891</v>
      </c>
      <c r="AA12" s="19">
        <f>Forudsætninger!$E$62+Forudsætninger!$C$16</f>
        <v>1575</v>
      </c>
      <c r="AB12" s="19">
        <f>IF(K12&gt;Forudsætninger!$C$48,IF(K12&gt;Forudsætninger!$C$49,IF(K12&gt;Forudsætninger!$C$50,Forudsætninger!$E$50,Forudsætninger!$E$49+Forudsætninger!$F$50*(K12-Forudsætninger!$C$49)),Forudsætninger!$E$48+Forudsætninger!$F$49*(K12-Forudsætninger!$C$48)),Forudsætninger!$E$48)+IF(K12&gt;Forudsætninger!$C$50,Forudsætninger!$G$50,IF(K12&gt;Forudsætninger!$C$49,Forudsætninger!$G$49+Forudsætninger!$H$50*(K12-Forudsætninger!$C$49),IF(K12&gt;Forudsætninger!$C$48,Forudsætninger!$G$48+Forudsætninger!$H$49*(K12-Forudsætninger!$C$48),Forudsætninger!$G$48)))*(U12-Forudsætninger!$H$48)</f>
        <v>35.108244425280866</v>
      </c>
      <c r="AC12" s="19">
        <f>IF(K12&gt;Forudsætninger!$C$52,IF(K12&gt;Forudsætninger!$C$53,IF(K12&gt;Forudsætninger!$C$54,Forudsætninger!$E$54,Forudsætninger!$E$53+Forudsætninger!$F$54*(K12-Forudsætninger!$C$53)),Forudsætninger!$E$52+Forudsætninger!$F$53*(K12-Forudsætninger!$C$52)),Forudsætninger!$E$52)+IF(K12&gt;Forudsætninger!$C$54,Forudsætninger!$G$54,IF(K12&gt;Forudsætninger!$C$53,Forudsætninger!$G$53+Forudsætninger!$H$54*(K12-Forudsætninger!$C$53),IF(K12&gt;Forudsætninger!$C$52,Forudsætninger!$G$52+Forudsætninger!$H$53*(K12-Forudsætninger!$C$52),Forudsætninger!$G$52)))*(V12-Forudsætninger!$H$52)</f>
        <v>29.920611063202163</v>
      </c>
      <c r="AD12" s="19">
        <f t="shared" si="5"/>
        <v>1094.73694297871</v>
      </c>
      <c r="AE12" s="19">
        <f t="shared" si="6"/>
        <v>29.920611063202163</v>
      </c>
      <c r="AF12">
        <f>IF(G12&lt;=Forudsætninger!$C$97,Forudsætninger!$C$98,(IF(G12&lt;=Forudsætninger!$D$97,Forudsætninger!$D$98,IF(G12&lt;=Forudsætninger!$E$97,Forudsætninger!$E$98,IF(G12&lt;=Forudsætninger!$F$97,Forudsætninger!$F$98,IF(G12&lt;=Forudsætninger!$G$97,Forudsætninger!$G$98,IF(G12&lt;=Forudsætninger!$H$97,Forudsætninger!$H$98,IF(G12&lt;=Forudsætninger!$I$97,Forudsætninger!$I$98,Forudsætninger!$I$98))))))))</f>
        <v>1.8</v>
      </c>
      <c r="AG12" s="1">
        <f t="shared" si="16"/>
        <v>2.2000000000000002</v>
      </c>
      <c r="AH12" s="1">
        <f t="shared" si="21"/>
        <v>21.999999999999996</v>
      </c>
      <c r="AI12" s="1">
        <f t="shared" si="7"/>
        <v>2.1999999999999997</v>
      </c>
      <c r="AJ12" s="20">
        <f>+(W12*Forudsætninger!$C$12)</f>
        <v>0</v>
      </c>
      <c r="AK12" s="20">
        <f>Forudsætninger!$C$17</f>
        <v>250</v>
      </c>
      <c r="AL12" s="20">
        <f>IF(A12&lt;92,Forudsætninger!$C$20,Forudsætninger!$C$21)</f>
        <v>4.0072859744990899</v>
      </c>
      <c r="AM12" s="20">
        <f t="shared" si="17"/>
        <v>40.0728597449909</v>
      </c>
      <c r="AN12" s="19">
        <f>IFERROR(AD12+AJ12-AA12-Z12-AK12-AM12-Forudsætninger!$E$75,-999999)</f>
        <v>-1289.9770564796554</v>
      </c>
      <c r="AO12" s="19">
        <f>IFERROR(AN12/(A12+Forudsætninger!$E$74),-999999)</f>
        <v>-128.99770564796555</v>
      </c>
      <c r="AP12" s="19">
        <f>IFERROR(((365/(A12+Forudsætninger!$E$74))*AN12)/(AI12+Forudsætninger!$E$73),-999999)</f>
        <v>-20382.754355630921</v>
      </c>
      <c r="AQ12" s="18">
        <f t="shared" si="8"/>
        <v>10</v>
      </c>
      <c r="AR12" s="18">
        <f t="shared" si="22"/>
        <v>2193.4972381217499</v>
      </c>
      <c r="AS12" s="18">
        <f t="shared" si="0"/>
        <v>1.5</v>
      </c>
      <c r="AT12" s="50">
        <f t="shared" si="23"/>
        <v>-26.774479390173838</v>
      </c>
      <c r="AU12" s="50">
        <f t="shared" si="24"/>
        <v>11.358136250865726</v>
      </c>
      <c r="AV12" s="2">
        <f t="shared" si="25"/>
        <v>1794.6838664787902</v>
      </c>
      <c r="AW12" s="16">
        <f t="shared" si="19"/>
        <v>-124.99041967346645</v>
      </c>
      <c r="AZ12" s="16"/>
      <c r="BA12" s="2"/>
    </row>
    <row r="13" spans="1:59" x14ac:dyDescent="0.25">
      <c r="A13">
        <v>11</v>
      </c>
      <c r="B13" s="1">
        <f>ROUND((A13+Forudsætninger!$E$60)/30.4,1)</f>
        <v>1.5</v>
      </c>
      <c r="C13" s="1">
        <f>VLOOKUP((A13+Forudsætninger!$E$60),'Model tilvækst, slagteform, fe'!A:D,4,FALSE)</f>
        <v>71.965635791929444</v>
      </c>
      <c r="D13" s="3">
        <f t="shared" si="26"/>
        <v>937.85671514535807</v>
      </c>
      <c r="E13" s="3">
        <f>(1+Forudsætninger!$E$78)*C13</f>
        <v>66.208384928575086</v>
      </c>
      <c r="F13" s="2">
        <f t="shared" si="9"/>
        <v>9.6611244367472775</v>
      </c>
      <c r="G13" s="1">
        <f t="shared" si="1"/>
        <v>75.869509365322358</v>
      </c>
      <c r="H13" s="3">
        <f t="shared" si="10"/>
        <v>769.04250641918281</v>
      </c>
      <c r="I13" s="3">
        <f t="shared" si="2"/>
        <v>715.4099423020325</v>
      </c>
      <c r="J13" s="1">
        <f>VLOOKUP((A13+Forudsætninger!$E$60),'Model tilvækst, slagteform, fe'!G:K,4,FALSE)*(1+Forudsætninger!$E$79)</f>
        <v>48.743470207148604</v>
      </c>
      <c r="K13" s="17">
        <f t="shared" si="3"/>
        <v>36.98143169379572</v>
      </c>
      <c r="L13" s="17">
        <f t="shared" si="11"/>
        <v>393.37737009672225</v>
      </c>
      <c r="M13" s="3">
        <f>((K13-(('Model tilvækst, slagteform, fe'!$J$9/100)*'Model tilvækst, slagteform, fe'!$D$9))*1000/(A13+Forudsætninger!$E$60))</f>
        <v>356.319650190478</v>
      </c>
      <c r="N13" s="17">
        <f t="shared" si="12"/>
        <v>22.477190207333525</v>
      </c>
      <c r="O13" s="19">
        <f>IF( A13&lt;Forudsætninger!$C$14,(G13/100)*Forudsætninger!$C$13,(Forudsætninger!$C$15/1000)*Forudsætninger!$C$13)</f>
        <v>0.49315181087459536</v>
      </c>
      <c r="P13" s="17" cm="1">
        <f t="array" ref="P13">INDEX('Model tilvækst, slagteform, fe'!$P$9:$P$375,MATCH(MIN(ABS('Model tilvækst, slagteform, fe'!$M$9:$M$375-G13)),ABS('Model tilvækst, slagteform, fe'!$M$9:$M$375-G13),0))*(1+Forudsætninger!$E$80)</f>
        <v>2.1664659524108409</v>
      </c>
      <c r="Q13" s="17">
        <f t="shared" si="13"/>
        <v>5.5073476948563611</v>
      </c>
      <c r="R13" s="17">
        <f t="shared" si="14"/>
        <v>5.5986420899109763</v>
      </c>
      <c r="S13" s="17">
        <f t="shared" si="15"/>
        <v>2.8562378115186084</v>
      </c>
      <c r="T13" s="19">
        <f>(P13)*IF(N13&lt;Forudsætninger!$B$228,IF(N13&lt;Forudsætninger!$B$227,Forudsætninger!$B$225,Forudsætninger!$C$9),Forudsætninger!$C$11)+O13</f>
        <v>35.026989428363635</v>
      </c>
      <c r="U13" s="5">
        <f>Forudsætninger!$E$68+((K13-(Forudsætninger!$E$84)))*0.01</f>
        <v>5.0863780265096263</v>
      </c>
      <c r="V13" s="2">
        <f>U13+Forudsætninger!$E$69</f>
        <v>5.0863780265096263</v>
      </c>
      <c r="W13">
        <f t="shared" si="4"/>
        <v>0</v>
      </c>
      <c r="X13">
        <f>IF(A13+Forudsætninger!$E$60&gt;248,IF(A13+Forudsætninger!$E$60&lt;365,IF(K13&gt;180,IF(K13&lt;260,1,0),0),0),0)</f>
        <v>0</v>
      </c>
      <c r="Y13" s="22">
        <f>IF(X13=0,0,IF('Vækstfunktion, kry kvie'!A13&lt;Forudsætninger!$E$66,Forudsætninger!$E$67+(('Vækstfunktion, kry kvie'!A13-Forudsætninger!$E$66)/7)*Forudsætninger!$E$64,Forudsætninger!$E$67))</f>
        <v>0</v>
      </c>
      <c r="Z13" s="19">
        <f t="shared" si="20"/>
        <v>363.45136780512257</v>
      </c>
      <c r="AA13" s="19">
        <f>Forudsætninger!$E$62+Forudsætninger!$C$16</f>
        <v>1575</v>
      </c>
      <c r="AB13" s="19">
        <f>IF(K13&gt;Forudsætninger!$C$48,IF(K13&gt;Forudsætninger!$C$49,IF(K13&gt;Forudsætninger!$C$50,Forudsætninger!$E$50,Forudsætninger!$E$49+Forudsætninger!$F$50*(K13-Forudsætninger!$C$49)),Forudsætninger!$E$48+Forudsætninger!$F$49*(K13-Forudsætninger!$C$48)),Forudsætninger!$E$48)+IF(K13&gt;Forudsætninger!$C$50,Forudsætninger!$G$50,IF(K13&gt;Forudsætninger!$C$49,Forudsætninger!$G$49+Forudsætninger!$H$50*(K13-Forudsætninger!$C$49),IF(K13&gt;Forudsætninger!$C$48,Forudsætninger!$G$48+Forudsætninger!$H$49*(K13-Forudsætninger!$C$48),Forudsætninger!$G$48)))*(U13-Forudsætninger!$H$48)</f>
        <v>35.108637802650961</v>
      </c>
      <c r="AC13" s="19">
        <f>IF(K13&gt;Forudsætninger!$C$52,IF(K13&gt;Forudsætninger!$C$53,IF(K13&gt;Forudsætninger!$C$54,Forudsætninger!$E$54,Forudsætninger!$E$53+Forudsætninger!$F$54*(K13-Forudsætninger!$C$53)),Forudsætninger!$E$52+Forudsætninger!$F$53*(K13-Forudsætninger!$C$52)),Forudsætninger!$E$52)+IF(K13&gt;Forudsætninger!$C$54,Forudsætninger!$G$54,IF(K13&gt;Forudsætninger!$C$53,Forudsætninger!$G$53+Forudsætninger!$H$54*(K13-Forudsætninger!$C$53),IF(K13&gt;Forudsætninger!$C$52,Forudsætninger!$G$52+Forudsætninger!$H$53*(K13-Forudsætninger!$C$52),Forudsætninger!$G$52)))*(V13-Forudsætninger!$H$52)</f>
        <v>29.921594506627404</v>
      </c>
      <c r="AD13" s="19">
        <f t="shared" si="5"/>
        <v>1106.5434034162945</v>
      </c>
      <c r="AE13" s="19">
        <f t="shared" si="6"/>
        <v>29.9215945066274</v>
      </c>
      <c r="AF13">
        <f>IF(G13&lt;=Forudsætninger!$C$97,Forudsætninger!$C$98,(IF(G13&lt;=Forudsætninger!$D$97,Forudsætninger!$D$98,IF(G13&lt;=Forudsætninger!$E$97,Forudsætninger!$E$98,IF(G13&lt;=Forudsætninger!$F$97,Forudsætninger!$F$98,IF(G13&lt;=Forudsætninger!$G$97,Forudsætninger!$G$98,IF(G13&lt;=Forudsætninger!$H$97,Forudsætninger!$H$98,IF(G13&lt;=Forudsætninger!$I$97,Forudsætninger!$I$98,Forudsætninger!$I$98))))))))</f>
        <v>1.8</v>
      </c>
      <c r="AG13" s="1">
        <f t="shared" si="16"/>
        <v>2.2000000000000002</v>
      </c>
      <c r="AH13" s="1">
        <f t="shared" si="21"/>
        <v>24.199999999999996</v>
      </c>
      <c r="AI13" s="1">
        <f t="shared" si="7"/>
        <v>2.1999999999999997</v>
      </c>
      <c r="AJ13" s="20">
        <f>+(W13*Forudsætninger!$C$12)</f>
        <v>0</v>
      </c>
      <c r="AK13" s="20">
        <f>Forudsætninger!$C$17</f>
        <v>250</v>
      </c>
      <c r="AL13" s="20">
        <f>IF(A13&lt;92,Forudsætninger!$C$20,Forudsætninger!$C$21)</f>
        <v>4.0072859744990899</v>
      </c>
      <c r="AM13" s="20">
        <f t="shared" si="17"/>
        <v>44.080145719489991</v>
      </c>
      <c r="AN13" s="19">
        <f>IFERROR(AD13+AJ13-AA13-Z13-AK13-AM13-Forudsætninger!$E$75,-999999)</f>
        <v>-1317.2048714449338</v>
      </c>
      <c r="AO13" s="19">
        <f>IFERROR(AN13/(A13+Forudsætninger!$E$74),-999999)</f>
        <v>-119.74589740408489</v>
      </c>
      <c r="AP13" s="19">
        <f>IFERROR(((365/(A13+Forudsætninger!$E$74))*AN13)/(AI13+Forudsætninger!$E$73),-999999)</f>
        <v>-18920.888550861899</v>
      </c>
      <c r="AQ13" s="18">
        <f t="shared" si="8"/>
        <v>11</v>
      </c>
      <c r="AR13" s="18">
        <f t="shared" si="22"/>
        <v>2232.5315135246124</v>
      </c>
      <c r="AS13" s="18">
        <f t="shared" si="0"/>
        <v>1.5</v>
      </c>
      <c r="AT13" s="50">
        <f t="shared" si="23"/>
        <v>-27.227814965278412</v>
      </c>
      <c r="AU13" s="50">
        <f t="shared" si="24"/>
        <v>9.2518082438806601</v>
      </c>
      <c r="AV13" s="2">
        <f t="shared" si="25"/>
        <v>1461.8658047690224</v>
      </c>
      <c r="AW13" s="16">
        <f t="shared" si="19"/>
        <v>-115.7386114295858</v>
      </c>
      <c r="AZ13" s="16"/>
      <c r="BA13" s="2"/>
    </row>
    <row r="14" spans="1:59" x14ac:dyDescent="0.25">
      <c r="A14">
        <v>12</v>
      </c>
      <c r="B14" s="1">
        <f>ROUND((A14+Forudsætninger!$E$60)/30.4,1)</f>
        <v>1.6</v>
      </c>
      <c r="C14" s="1">
        <f>VLOOKUP((A14+Forudsætninger!$E$60),'Model tilvækst, slagteform, fe'!A:D,4,FALSE)</f>
        <v>72.915997078931085</v>
      </c>
      <c r="D14" s="3">
        <f t="shared" si="26"/>
        <v>950.36128700164113</v>
      </c>
      <c r="E14" s="3">
        <f>(1+Forudsætninger!$E$78)*C14</f>
        <v>67.082717312616595</v>
      </c>
      <c r="F14" s="2">
        <f t="shared" si="9"/>
        <v>9.5660883080471137</v>
      </c>
      <c r="G14" s="1">
        <f t="shared" si="1"/>
        <v>76.648805620663708</v>
      </c>
      <c r="H14" s="3">
        <f t="shared" si="10"/>
        <v>779.29625534135027</v>
      </c>
      <c r="I14" s="3">
        <f t="shared" si="2"/>
        <v>720.73380172197574</v>
      </c>
      <c r="J14" s="1">
        <f>VLOOKUP((A14+Forudsætninger!$E$60),'Model tilvækst, slagteform, fe'!G:K,4,FALSE)*(1+Forudsætninger!$E$79)</f>
        <v>48.768203854227828</v>
      </c>
      <c r="K14" s="17">
        <f t="shared" si="3"/>
        <v>37.380245776916112</v>
      </c>
      <c r="L14" s="17">
        <f t="shared" si="11"/>
        <v>398.81408312039213</v>
      </c>
      <c r="M14" s="3">
        <f>((K14-(('Model tilvækst, slagteform, fe'!$J$9/100)*'Model tilvækst, slagteform, fe'!$D$9))*1000/(A14+Forudsætninger!$E$60))</f>
        <v>357.2049508765179</v>
      </c>
      <c r="N14" s="17">
        <f t="shared" si="12"/>
        <v>24.682079551356214</v>
      </c>
      <c r="O14" s="19">
        <f>IF( A14&lt;Forudsætninger!$C$14,(G14/100)*Forudsætninger!$C$13,(Forudsætninger!$C$15/1000)*Forudsætninger!$C$13)</f>
        <v>0.4982172365343141</v>
      </c>
      <c r="P14" s="17" cm="1">
        <f t="array" ref="P14">INDEX('Model tilvækst, slagteform, fe'!$P$9:$P$375,MATCH(MIN(ABS('Model tilvækst, slagteform, fe'!$M$9:$M$375-G14)),ABS('Model tilvækst, slagteform, fe'!$M$9:$M$375-G14),0))*(1+Forudsætninger!$E$80)</f>
        <v>2.2048893440226904</v>
      </c>
      <c r="Q14" s="17">
        <f t="shared" si="13"/>
        <v>5.5286145533559026</v>
      </c>
      <c r="R14" s="17">
        <f t="shared" si="14"/>
        <v>5.5923143421026333</v>
      </c>
      <c r="S14" s="17">
        <f t="shared" si="15"/>
        <v>2.8538136517238684</v>
      </c>
      <c r="T14" s="19">
        <f>(P14)*IF(N14&lt;Forudsætninger!$B$228,IF(N14&lt;Forudsætninger!$B$227,Forudsætninger!$B$225,Forudsætninger!$C$9),Forudsætninger!$C$11)+O14</f>
        <v>35.644530284417371</v>
      </c>
      <c r="U14" s="5">
        <f>Forudsætninger!$E$68+((K14-(Forudsætninger!$E$84)))*0.01</f>
        <v>5.0903661673408305</v>
      </c>
      <c r="V14" s="2">
        <f>U14+Forudsætninger!$E$69</f>
        <v>5.0903661673408305</v>
      </c>
      <c r="W14">
        <f t="shared" si="4"/>
        <v>0</v>
      </c>
      <c r="X14">
        <f>IF(A14+Forudsætninger!$E$60&gt;248,IF(A14+Forudsætninger!$E$60&lt;365,IF(K14&gt;180,IF(K14&lt;260,1,0),0),0),0)</f>
        <v>0</v>
      </c>
      <c r="Y14" s="22">
        <f>IF(X14=0,0,IF('Vækstfunktion, kry kvie'!A14&lt;Forudsætninger!$E$66,Forudsætninger!$E$67+(('Vækstfunktion, kry kvie'!A14-Forudsætninger!$E$66)/7)*Forudsætninger!$E$64,Forudsætninger!$E$67))</f>
        <v>0</v>
      </c>
      <c r="Z14" s="19">
        <f t="shared" si="20"/>
        <v>399.09589808953996</v>
      </c>
      <c r="AA14" s="19">
        <f>Forudsætninger!$E$62+Forudsætninger!$C$16</f>
        <v>1575</v>
      </c>
      <c r="AB14" s="19">
        <f>IF(K14&gt;Forudsætninger!$C$48,IF(K14&gt;Forudsætninger!$C$49,IF(K14&gt;Forudsætninger!$C$50,Forudsætninger!$E$50,Forudsætninger!$E$49+Forudsætninger!$F$50*(K14-Forudsætninger!$C$49)),Forudsætninger!$E$48+Forudsætninger!$F$49*(K14-Forudsætninger!$C$48)),Forudsætninger!$E$48)+IF(K14&gt;Forudsætninger!$C$50,Forudsætninger!$G$50,IF(K14&gt;Forudsætninger!$C$49,Forudsætninger!$G$49+Forudsætninger!$H$50*(K14-Forudsætninger!$C$49),IF(K14&gt;Forudsætninger!$C$48,Forudsætninger!$G$48+Forudsætninger!$H$49*(K14-Forudsætninger!$C$48),Forudsætninger!$G$48)))*(U14-Forudsætninger!$H$48)</f>
        <v>35.109036616734087</v>
      </c>
      <c r="AC14" s="19">
        <f>IF(K14&gt;Forudsætninger!$C$52,IF(K14&gt;Forudsætninger!$C$53,IF(K14&gt;Forudsætninger!$C$54,Forudsætninger!$E$54,Forudsætninger!$E$53+Forudsætninger!$F$54*(K14-Forudsætninger!$C$53)),Forudsætninger!$E$52+Forudsætninger!$F$53*(K14-Forudsætninger!$C$52)),Forudsætninger!$E$52)+IF(K14&gt;Forudsætninger!$C$54,Forudsætninger!$G$54,IF(K14&gt;Forudsætninger!$C$53,Forudsætninger!$G$53+Forudsætninger!$H$54*(K14-Forudsætninger!$C$53),IF(K14&gt;Forudsætninger!$C$52,Forudsætninger!$G$52+Forudsætninger!$H$53*(K14-Forudsætninger!$C$52),Forudsætninger!$G$52)))*(V14-Forudsætninger!$H$52)</f>
        <v>29.922591541835207</v>
      </c>
      <c r="AD14" s="19">
        <f t="shared" si="5"/>
        <v>1118.5138261160712</v>
      </c>
      <c r="AE14" s="19">
        <f t="shared" si="6"/>
        <v>29.922591541835203</v>
      </c>
      <c r="AF14">
        <f>IF(G14&lt;=Forudsætninger!$C$97,Forudsætninger!$C$98,(IF(G14&lt;=Forudsætninger!$D$97,Forudsætninger!$D$98,IF(G14&lt;=Forudsætninger!$E$97,Forudsætninger!$E$98,IF(G14&lt;=Forudsætninger!$F$97,Forudsætninger!$F$98,IF(G14&lt;=Forudsætninger!$G$97,Forudsætninger!$G$98,IF(G14&lt;=Forudsætninger!$H$97,Forudsætninger!$H$98,IF(G14&lt;=Forudsætninger!$I$97,Forudsætninger!$I$98,Forudsætninger!$I$98))))))))</f>
        <v>1.8</v>
      </c>
      <c r="AG14" s="1">
        <f t="shared" si="16"/>
        <v>2.2000000000000002</v>
      </c>
      <c r="AH14" s="1">
        <f t="shared" si="21"/>
        <v>26.399999999999995</v>
      </c>
      <c r="AI14" s="1">
        <f t="shared" si="7"/>
        <v>2.1999999999999997</v>
      </c>
      <c r="AJ14" s="20">
        <f>+(W14*Forudsætninger!$C$12)</f>
        <v>0</v>
      </c>
      <c r="AK14" s="20">
        <f>Forudsætninger!$C$17</f>
        <v>250</v>
      </c>
      <c r="AL14" s="20">
        <f>IF(A14&lt;92,Forudsætninger!$C$20,Forudsætninger!$C$21)</f>
        <v>4.0072859744990899</v>
      </c>
      <c r="AM14" s="20">
        <f t="shared" si="17"/>
        <v>48.087431693989082</v>
      </c>
      <c r="AN14" s="19">
        <f>IFERROR(AD14+AJ14-AA14-Z14-AK14-AM14-Forudsætninger!$E$75,-999999)</f>
        <v>-1344.8862650040737</v>
      </c>
      <c r="AO14" s="19">
        <f>IFERROR(AN14/(A14+Forudsætninger!$E$74),-999999)</f>
        <v>-112.07385541700614</v>
      </c>
      <c r="AP14" s="19">
        <f>IFERROR(((365/(A14+Forudsætninger!$E$74))*AN14)/(AI14+Forudsætninger!$E$73),-999999)</f>
        <v>-17708.639492297512</v>
      </c>
      <c r="AQ14" s="18">
        <f t="shared" si="8"/>
        <v>12</v>
      </c>
      <c r="AR14" s="18">
        <f t="shared" si="22"/>
        <v>2272.1833297835292</v>
      </c>
      <c r="AS14" s="18">
        <f t="shared" si="0"/>
        <v>1.6</v>
      </c>
      <c r="AT14" s="50">
        <f t="shared" si="23"/>
        <v>-27.681393559139906</v>
      </c>
      <c r="AU14" s="50">
        <f t="shared" si="24"/>
        <v>7.6720419870787424</v>
      </c>
      <c r="AV14" s="2">
        <f t="shared" si="25"/>
        <v>1212.2490585643864</v>
      </c>
      <c r="AW14" s="16">
        <f t="shared" si="19"/>
        <v>-108.06656944250705</v>
      </c>
      <c r="AZ14" s="16"/>
      <c r="BA14" s="2"/>
    </row>
    <row r="15" spans="1:59" x14ac:dyDescent="0.25">
      <c r="A15">
        <v>13</v>
      </c>
      <c r="B15" s="1">
        <f>ROUND((A15+Forudsætninger!$E$60)/30.4,1)</f>
        <v>1.6</v>
      </c>
      <c r="C15" s="1">
        <f>VLOOKUP((A15+Forudsætninger!$E$60),'Model tilvækst, slagteform, fe'!A:D,4,FALSE)</f>
        <v>73.878720703770199</v>
      </c>
      <c r="D15" s="3">
        <f t="shared" si="26"/>
        <v>962.72362483911422</v>
      </c>
      <c r="E15" s="3">
        <f>(1+Forudsætninger!$E$78)*C15</f>
        <v>67.96842304746859</v>
      </c>
      <c r="F15" s="2">
        <f t="shared" si="9"/>
        <v>9.4698159455632016</v>
      </c>
      <c r="G15" s="1">
        <f t="shared" si="1"/>
        <v>77.438238993031788</v>
      </c>
      <c r="H15" s="3">
        <f t="shared" si="10"/>
        <v>789.4333723680802</v>
      </c>
      <c r="I15" s="3">
        <f t="shared" si="2"/>
        <v>726.01838407936827</v>
      </c>
      <c r="J15" s="1">
        <f>VLOOKUP((A15+Forudsætninger!$E$60),'Model tilvækst, slagteform, fe'!G:K,4,FALSE)*(1+Forudsætninger!$E$79)</f>
        <v>48.792993028789184</v>
      </c>
      <c r="K15" s="17">
        <f t="shared" si="3"/>
        <v>37.78443455348711</v>
      </c>
      <c r="L15" s="17">
        <f t="shared" si="11"/>
        <v>404.18877657099728</v>
      </c>
      <c r="M15" s="3">
        <f>((K15-(('Model tilvækst, slagteform, fe'!$J$9/100)*'Model tilvækst, slagteform, fe'!$D$9))*1000/(A15+Forudsætninger!$E$60))</f>
        <v>358.16380446211957</v>
      </c>
      <c r="N15" s="17">
        <f t="shared" si="12"/>
        <v>26.886968895378903</v>
      </c>
      <c r="O15" s="19">
        <f>IF( A15&lt;Forudsætninger!$C$14,(G15/100)*Forudsætninger!$C$13,(Forudsætninger!$C$15/1000)*Forudsætninger!$C$13)</f>
        <v>0.50334855345470664</v>
      </c>
      <c r="P15" s="17" cm="1">
        <f t="array" ref="P15">INDEX('Model tilvækst, slagteform, fe'!$P$9:$P$375,MATCH(MIN(ABS('Model tilvækst, slagteform, fe'!$M$9:$M$375-G15)),ABS('Model tilvækst, slagteform, fe'!$M$9:$M$375-G15),0))*(1+Forudsætninger!$E$80)</f>
        <v>2.2048893440226904</v>
      </c>
      <c r="Q15" s="17">
        <f t="shared" si="13"/>
        <v>5.455097894425065</v>
      </c>
      <c r="R15" s="17">
        <f t="shared" si="14"/>
        <v>5.5808024892490771</v>
      </c>
      <c r="S15" s="17">
        <f t="shared" si="15"/>
        <v>2.848727280081532</v>
      </c>
      <c r="T15" s="19">
        <f>(P15)*IF(N15&lt;Forudsætninger!$B$228,IF(N15&lt;Forudsætninger!$B$227,Forudsætninger!$B$225,Forudsætninger!$C$9),Forudsætninger!$C$11)+O15</f>
        <v>35.649661601337762</v>
      </c>
      <c r="U15" s="5">
        <f>Forudsætninger!$E$68+((K15-(Forudsætninger!$E$84)))*0.01</f>
        <v>5.0944080551065403</v>
      </c>
      <c r="V15" s="2">
        <f>U15+Forudsætninger!$E$69</f>
        <v>5.0944080551065403</v>
      </c>
      <c r="W15">
        <f t="shared" si="4"/>
        <v>0</v>
      </c>
      <c r="X15">
        <f>IF(A15+Forudsætninger!$E$60&gt;248,IF(A15+Forudsætninger!$E$60&lt;365,IF(K15&gt;180,IF(K15&lt;260,1,0),0),0),0)</f>
        <v>0</v>
      </c>
      <c r="Y15" s="22">
        <f>IF(X15=0,0,IF('Vækstfunktion, kry kvie'!A15&lt;Forudsætninger!$E$66,Forudsætninger!$E$67+(('Vækstfunktion, kry kvie'!A15-Forudsætninger!$E$66)/7)*Forudsætninger!$E$64,Forudsætninger!$E$67))</f>
        <v>0</v>
      </c>
      <c r="Z15" s="19">
        <f t="shared" si="20"/>
        <v>434.74555969087771</v>
      </c>
      <c r="AA15" s="19">
        <f>Forudsætninger!$E$62+Forudsætninger!$C$16</f>
        <v>1575</v>
      </c>
      <c r="AB15" s="19">
        <f>IF(K15&gt;Forudsætninger!$C$48,IF(K15&gt;Forudsætninger!$C$49,IF(K15&gt;Forudsætninger!$C$50,Forudsætninger!$E$50,Forudsætninger!$E$49+Forudsætninger!$F$50*(K15-Forudsætninger!$C$49)),Forudsætninger!$E$48+Forudsætninger!$F$49*(K15-Forudsætninger!$C$48)),Forudsætninger!$E$48)+IF(K15&gt;Forudsætninger!$C$50,Forudsætninger!$G$50,IF(K15&gt;Forudsætninger!$C$49,Forudsætninger!$G$49+Forudsætninger!$H$50*(K15-Forudsætninger!$C$49),IF(K15&gt;Forudsætninger!$C$48,Forudsætninger!$G$48+Forudsætninger!$H$49*(K15-Forudsætninger!$C$48),Forudsætninger!$G$48)))*(U15-Forudsætninger!$H$48)</f>
        <v>35.109440805510658</v>
      </c>
      <c r="AC15" s="19">
        <f>IF(K15&gt;Forudsætninger!$C$52,IF(K15&gt;Forudsætninger!$C$53,IF(K15&gt;Forudsætninger!$C$54,Forudsætninger!$E$54,Forudsætninger!$E$53+Forudsætninger!$F$54*(K15-Forudsætninger!$C$53)),Forudsætninger!$E$52+Forudsætninger!$F$53*(K15-Forudsætninger!$C$52)),Forudsætninger!$E$52)+IF(K15&gt;Forudsætninger!$C$54,Forudsætninger!$G$54,IF(K15&gt;Forudsætninger!$C$53,Forudsætninger!$G$53+Forudsætninger!$H$54*(K15-Forudsætninger!$C$53),IF(K15&gt;Forudsætninger!$C$52,Forudsætninger!$G$52+Forudsætninger!$H$53*(K15-Forudsætninger!$C$52),Forudsætninger!$G$52)))*(V15-Forudsætninger!$H$52)</f>
        <v>29.923602013776634</v>
      </c>
      <c r="AD15" s="19">
        <f t="shared" si="5"/>
        <v>1130.6463818941384</v>
      </c>
      <c r="AE15" s="19">
        <f t="shared" si="6"/>
        <v>29.923602013776634</v>
      </c>
      <c r="AF15">
        <f>IF(G15&lt;=Forudsætninger!$C$97,Forudsætninger!$C$98,(IF(G15&lt;=Forudsætninger!$D$97,Forudsætninger!$D$98,IF(G15&lt;=Forudsætninger!$E$97,Forudsætninger!$E$98,IF(G15&lt;=Forudsætninger!$F$97,Forudsætninger!$F$98,IF(G15&lt;=Forudsætninger!$G$97,Forudsætninger!$G$98,IF(G15&lt;=Forudsætninger!$H$97,Forudsætninger!$H$98,IF(G15&lt;=Forudsætninger!$I$97,Forudsætninger!$I$98,Forudsætninger!$I$98))))))))</f>
        <v>1.8</v>
      </c>
      <c r="AG15" s="1">
        <f t="shared" si="16"/>
        <v>2.2000000000000002</v>
      </c>
      <c r="AH15" s="1">
        <f t="shared" si="21"/>
        <v>28.599999999999994</v>
      </c>
      <c r="AI15" s="1">
        <f t="shared" si="7"/>
        <v>2.1999999999999997</v>
      </c>
      <c r="AJ15" s="20">
        <f>+(W15*Forudsætninger!$C$12)</f>
        <v>0</v>
      </c>
      <c r="AK15" s="20">
        <f>Forudsætninger!$C$17</f>
        <v>250</v>
      </c>
      <c r="AL15" s="20">
        <f>IF(A15&lt;92,Forudsætninger!$C$20,Forudsætninger!$C$21)</f>
        <v>4.0072859744990899</v>
      </c>
      <c r="AM15" s="20">
        <f t="shared" si="17"/>
        <v>52.094717668488173</v>
      </c>
      <c r="AN15" s="19">
        <f>IFERROR(AD15+AJ15-AA15-Z15-AK15-AM15-Forudsætninger!$E$75,-999999)</f>
        <v>-1372.4106568018431</v>
      </c>
      <c r="AO15" s="19">
        <f>IFERROR(AN15/(A15+Forudsætninger!$E$74),-999999)</f>
        <v>-105.5700505232187</v>
      </c>
      <c r="AP15" s="19">
        <f>IFERROR(((365/(A15+Forudsætninger!$E$74))*AN15)/(AI15+Forudsætninger!$E$73),-999999)</f>
        <v>-16680.982009080013</v>
      </c>
      <c r="AQ15" s="18">
        <f t="shared" si="8"/>
        <v>13</v>
      </c>
      <c r="AR15" s="18">
        <f t="shared" si="22"/>
        <v>2311.8402773593657</v>
      </c>
      <c r="AS15" s="18">
        <f t="shared" si="0"/>
        <v>1.6</v>
      </c>
      <c r="AT15" s="50">
        <f t="shared" si="23"/>
        <v>-27.52439179776934</v>
      </c>
      <c r="AU15" s="50">
        <f t="shared" si="24"/>
        <v>6.5038048937874464</v>
      </c>
      <c r="AV15" s="2">
        <f t="shared" si="25"/>
        <v>1027.6574832174992</v>
      </c>
      <c r="AW15" s="16">
        <f t="shared" si="19"/>
        <v>-101.56276454871961</v>
      </c>
      <c r="AZ15" s="16"/>
      <c r="BA15" s="2"/>
    </row>
    <row r="16" spans="1:59" x14ac:dyDescent="0.25">
      <c r="A16">
        <v>14</v>
      </c>
      <c r="B16" s="1">
        <f>ROUND((A16+Forudsætninger!$E$60)/30.4,1)</f>
        <v>1.6</v>
      </c>
      <c r="C16" s="1">
        <f>VLOOKUP((A16+Forudsætninger!$E$60),'Model tilvækst, slagteform, fe'!A:D,4,FALSE)</f>
        <v>74.853665017448591</v>
      </c>
      <c r="D16" s="3">
        <f t="shared" si="26"/>
        <v>974.9443136783924</v>
      </c>
      <c r="E16" s="3">
        <f>(1+Forudsætninger!$E$78)*C16</f>
        <v>68.865371816052701</v>
      </c>
      <c r="F16" s="2">
        <f t="shared" si="9"/>
        <v>9.3723215141953631</v>
      </c>
      <c r="G16" s="1">
        <f t="shared" si="1"/>
        <v>78.237693330248064</v>
      </c>
      <c r="H16" s="3">
        <f t="shared" si="10"/>
        <v>799.45433721627523</v>
      </c>
      <c r="I16" s="3">
        <f t="shared" si="2"/>
        <v>731.26380930343305</v>
      </c>
      <c r="J16" s="1">
        <f>VLOOKUP((A16+Forudsætninger!$E$60),'Model tilvækst, slagteform, fe'!G:K,4,FALSE)*(1+Forudsætninger!$E$79)</f>
        <v>48.817819065263585</v>
      </c>
      <c r="K16" s="17">
        <f t="shared" si="3"/>
        <v>38.193935570796292</v>
      </c>
      <c r="L16" s="17">
        <f t="shared" si="11"/>
        <v>409.5010173091822</v>
      </c>
      <c r="M16" s="3">
        <f>((K16-(('Model tilvækst, slagteform, fe'!$J$9/100)*'Model tilvækst, slagteform, fe'!$D$9))*1000/(A16+Forudsætninger!$E$60))</f>
        <v>359.19054871906076</v>
      </c>
      <c r="N16" s="17">
        <f t="shared" si="12"/>
        <v>29.13017404715314</v>
      </c>
      <c r="O16" s="19">
        <f>IF( A16&lt;Forudsætninger!$C$14,(G16/100)*Forudsætninger!$C$13,(Forudsætninger!$C$15/1000)*Forudsætninger!$C$13)</f>
        <v>0.5085450066466124</v>
      </c>
      <c r="P16" s="17" cm="1">
        <f t="array" ref="P16">INDEX('Model tilvækst, slagteform, fe'!$P$9:$P$375,MATCH(MIN(ABS('Model tilvækst, slagteform, fe'!$M$9:$M$375-G16)),ABS('Model tilvækst, slagteform, fe'!$M$9:$M$375-G16),0))*(1+Forudsætninger!$E$80)</f>
        <v>2.2432051517742355</v>
      </c>
      <c r="Q16" s="17">
        <f t="shared" si="13"/>
        <v>5.4778988499571097</v>
      </c>
      <c r="R16" s="17">
        <f t="shared" si="14"/>
        <v>5.5727410700663818</v>
      </c>
      <c r="S16" s="17">
        <f t="shared" si="15"/>
        <v>2.8453845126504977</v>
      </c>
      <c r="T16" s="19">
        <f>(P16)*IF(N16&lt;Forudsætninger!$B$228,IF(N16&lt;Forudsætninger!$B$227,Forudsætninger!$B$225,Forudsætninger!$C$9),Forudsætninger!$C$11)+O16</f>
        <v>36.265618579800019</v>
      </c>
      <c r="U16" s="5">
        <f>Forudsætninger!$E$68+((K16-(Forudsætninger!$E$84)))*0.01</f>
        <v>5.0985030652796324</v>
      </c>
      <c r="V16" s="2">
        <f>U16+Forudsætninger!$E$69</f>
        <v>5.0985030652796324</v>
      </c>
      <c r="W16">
        <f t="shared" si="4"/>
        <v>0</v>
      </c>
      <c r="X16">
        <f>IF(A16+Forudsætninger!$E$60&gt;248,IF(A16+Forudsætninger!$E$60&lt;365,IF(K16&gt;180,IF(K16&lt;260,1,0),0),0),0)</f>
        <v>0</v>
      </c>
      <c r="Y16" s="22">
        <f>IF(X16=0,0,IF('Vækstfunktion, kry kvie'!A16&lt;Forudsætninger!$E$66,Forudsætninger!$E$67+(('Vækstfunktion, kry kvie'!A16-Forudsætninger!$E$66)/7)*Forudsætninger!$E$64,Forudsætninger!$E$67))</f>
        <v>0</v>
      </c>
      <c r="Z16" s="19">
        <f t="shared" si="20"/>
        <v>471.01117827067776</v>
      </c>
      <c r="AA16" s="19">
        <f>Forudsætninger!$E$62+Forudsætninger!$C$16</f>
        <v>1575</v>
      </c>
      <c r="AB16" s="19">
        <f>IF(K16&gt;Forudsætninger!$C$48,IF(K16&gt;Forudsætninger!$C$49,IF(K16&gt;Forudsætninger!$C$50,Forudsætninger!$E$50,Forudsætninger!$E$49+Forudsætninger!$F$50*(K16-Forudsætninger!$C$49)),Forudsætninger!$E$48+Forudsætninger!$F$49*(K16-Forudsætninger!$C$48)),Forudsætninger!$E$48)+IF(K16&gt;Forudsætninger!$C$50,Forudsætninger!$G$50,IF(K16&gt;Forudsætninger!$C$49,Forudsætninger!$G$49+Forudsætninger!$H$50*(K16-Forudsætninger!$C$49),IF(K16&gt;Forudsætninger!$C$48,Forudsætninger!$G$48+Forudsætninger!$H$49*(K16-Forudsætninger!$C$48),Forudsætninger!$G$48)))*(U16-Forudsætninger!$H$48)</f>
        <v>35.109850306527967</v>
      </c>
      <c r="AC16" s="19">
        <f>IF(K16&gt;Forudsætninger!$C$52,IF(K16&gt;Forudsætninger!$C$53,IF(K16&gt;Forudsætninger!$C$54,Forudsætninger!$E$54,Forudsætninger!$E$53+Forudsætninger!$F$54*(K16-Forudsætninger!$C$53)),Forudsætninger!$E$52+Forudsætninger!$F$53*(K16-Forudsætninger!$C$52)),Forudsætninger!$E$52)+IF(K16&gt;Forudsætninger!$C$54,Forudsætninger!$G$54,IF(K16&gt;Forudsætninger!$C$53,Forudsætninger!$G$53+Forudsætninger!$H$54*(K16-Forudsætninger!$C$53),IF(K16&gt;Forudsætninger!$C$52,Forudsætninger!$G$52+Forudsætninger!$H$53*(K16-Forudsætninger!$C$52),Forudsætninger!$G$52)))*(V16-Forudsætninger!$H$52)</f>
        <v>29.924625766319906</v>
      </c>
      <c r="AD16" s="19">
        <f t="shared" si="5"/>
        <v>1142.9392284990131</v>
      </c>
      <c r="AE16" s="19">
        <f t="shared" si="6"/>
        <v>29.924625766319906</v>
      </c>
      <c r="AF16">
        <f>IF(G16&lt;=Forudsætninger!$C$97,Forudsætninger!$C$98,(IF(G16&lt;=Forudsætninger!$D$97,Forudsætninger!$D$98,IF(G16&lt;=Forudsætninger!$E$97,Forudsætninger!$E$98,IF(G16&lt;=Forudsætninger!$F$97,Forudsætninger!$F$98,IF(G16&lt;=Forudsætninger!$G$97,Forudsætninger!$G$98,IF(G16&lt;=Forudsætninger!$H$97,Forudsætninger!$H$98,IF(G16&lt;=Forudsætninger!$I$97,Forudsætninger!$I$98,Forudsætninger!$I$98))))))))</f>
        <v>1.8</v>
      </c>
      <c r="AG16" s="1">
        <f t="shared" si="16"/>
        <v>2.2000000000000002</v>
      </c>
      <c r="AH16" s="1">
        <f t="shared" si="21"/>
        <v>30.799999999999994</v>
      </c>
      <c r="AI16" s="1">
        <f t="shared" si="7"/>
        <v>2.1999999999999997</v>
      </c>
      <c r="AJ16" s="20">
        <f>+(W16*Forudsætninger!$C$12)</f>
        <v>0</v>
      </c>
      <c r="AK16" s="20">
        <f>Forudsætninger!$C$17</f>
        <v>250</v>
      </c>
      <c r="AL16" s="20">
        <f>IF(A16&lt;92,Forudsætninger!$C$20,Forudsætninger!$C$21)</f>
        <v>4.0072859744990899</v>
      </c>
      <c r="AM16" s="20">
        <f t="shared" si="17"/>
        <v>56.102003642987263</v>
      </c>
      <c r="AN16" s="19">
        <f>IFERROR(AD16+AJ16-AA16-Z16-AK16-AM16-Forudsætninger!$E$75,-999999)</f>
        <v>-1400.3907147512675</v>
      </c>
      <c r="AO16" s="19">
        <f>IFERROR(AN16/(A16+Forudsætninger!$E$74),-999999)</f>
        <v>-100.02790819651911</v>
      </c>
      <c r="AP16" s="19">
        <f>IFERROR(((365/(A16+Forudsætninger!$E$74))*AN16)/(AI16+Forudsætninger!$E$73),-999999)</f>
        <v>-15805.275537545229</v>
      </c>
      <c r="AQ16" s="18">
        <f t="shared" si="8"/>
        <v>14</v>
      </c>
      <c r="AR16" s="18">
        <f t="shared" si="22"/>
        <v>2352.1131819136649</v>
      </c>
      <c r="AS16" s="18">
        <f t="shared" si="0"/>
        <v>1.6</v>
      </c>
      <c r="AT16" s="50">
        <f t="shared" si="23"/>
        <v>-27.980057949424463</v>
      </c>
      <c r="AU16" s="50">
        <f t="shared" si="24"/>
        <v>5.5421423266995902</v>
      </c>
      <c r="AV16" s="2">
        <f t="shared" si="25"/>
        <v>875.70647153478421</v>
      </c>
      <c r="AW16" s="16">
        <f t="shared" si="19"/>
        <v>-96.020622222020023</v>
      </c>
      <c r="AZ16" s="16"/>
      <c r="BA16" s="2"/>
    </row>
    <row r="17" spans="1:53" x14ac:dyDescent="0.25">
      <c r="A17">
        <v>15</v>
      </c>
      <c r="B17" s="1">
        <f>ROUND((A17+Forudsætninger!$E$60)/30.4,1)</f>
        <v>1.7</v>
      </c>
      <c r="C17" s="1">
        <f>VLOOKUP((A17+Forudsætninger!$E$60),'Model tilvækst, slagteform, fe'!A:D,4,FALSE)</f>
        <v>75.840688955988711</v>
      </c>
      <c r="D17" s="3">
        <f>(C17-C16)*1000</f>
        <v>987.02393854011916</v>
      </c>
      <c r="E17" s="3">
        <f>(1+Forudsætninger!$E$78)*C17</f>
        <v>69.773433839509622</v>
      </c>
      <c r="F17" s="2">
        <f t="shared" si="9"/>
        <v>9.2736191203413512</v>
      </c>
      <c r="G17" s="1">
        <f t="shared" si="1"/>
        <v>79.047052959850973</v>
      </c>
      <c r="H17" s="3">
        <f t="shared" si="10"/>
        <v>809.35962960290908</v>
      </c>
      <c r="I17" s="3">
        <f t="shared" si="2"/>
        <v>736.47019732339822</v>
      </c>
      <c r="J17" s="1">
        <f>VLOOKUP((A17+Forudsætninger!$E$60),'Model tilvækst, slagteform, fe'!G:K,4,FALSE)*(1+Forudsætninger!$E$79)</f>
        <v>48.842663298082002</v>
      </c>
      <c r="K17" s="17">
        <f t="shared" si="3"/>
        <v>38.608685924236575</v>
      </c>
      <c r="L17" s="17">
        <f t="shared" si="11"/>
        <v>414.75035344028299</v>
      </c>
      <c r="M17" s="3">
        <f>((K17-(('Model tilvækst, slagteform, fe'!$J$9/100)*'Model tilvækst, slagteform, fe'!$D$9))*1000/(A17+Forudsætninger!$E$60))</f>
        <v>360.27995665477096</v>
      </c>
      <c r="N17" s="17">
        <f t="shared" si="12"/>
        <v>31.411582745259476</v>
      </c>
      <c r="O17" s="19">
        <f>IF( A17&lt;Forudsætninger!$C$14,(G17/100)*Forudsætninger!$C$13,(Forudsætninger!$C$15/1000)*Forudsætninger!$C$13)</f>
        <v>0.51380584423903131</v>
      </c>
      <c r="P17" s="17" cm="1">
        <f t="array" ref="P17">INDEX('Model tilvækst, slagteform, fe'!$P$9:$P$375,MATCH(MIN(ABS('Model tilvækst, slagteform, fe'!$M$9:$M$375-G17)),ABS('Model tilvækst, slagteform, fe'!$M$9:$M$375-G17),0))*(1+Forudsætninger!$E$80)</f>
        <v>2.2814086981063353</v>
      </c>
      <c r="Q17" s="17">
        <f t="shared" si="13"/>
        <v>5.5006793344054845</v>
      </c>
      <c r="R17" s="17">
        <f t="shared" si="14"/>
        <v>5.5674437343163516</v>
      </c>
      <c r="S17" s="17">
        <f t="shared" si="15"/>
        <v>2.8434355170940746</v>
      </c>
      <c r="T17" s="19">
        <f>(P17)*IF(N17&lt;Forudsætninger!$B$228,IF(N17&lt;Forudsætninger!$B$227,Forudsætninger!$B$225,Forudsætninger!$C$9),Forudsætninger!$C$11)+O17</f>
        <v>36.879850476446848</v>
      </c>
      <c r="U17" s="5">
        <f>Forudsætninger!$E$68+((K17-(Forudsætninger!$E$84)))*0.01</f>
        <v>5.1026505688140347</v>
      </c>
      <c r="V17" s="2">
        <f>U17+Forudsætninger!$E$69</f>
        <v>5.1026505688140347</v>
      </c>
      <c r="W17">
        <f t="shared" si="4"/>
        <v>0</v>
      </c>
      <c r="X17">
        <f>IF(A17+Forudsætninger!$E$60&gt;248,IF(A17+Forudsætninger!$E$60&lt;365,IF(K17&gt;180,IF(K17&lt;260,1,0),0),0),0)</f>
        <v>0</v>
      </c>
      <c r="Y17" s="22">
        <f>IF(X17=0,0,IF('Vækstfunktion, kry kvie'!A17&lt;Forudsætninger!$E$66,Forudsætninger!$E$67+(('Vækstfunktion, kry kvie'!A17-Forudsætninger!$E$66)/7)*Forudsætninger!$E$64,Forudsætninger!$E$67))</f>
        <v>0</v>
      </c>
      <c r="Z17" s="19">
        <f t="shared" si="20"/>
        <v>507.89102874712461</v>
      </c>
      <c r="AA17" s="19">
        <f>Forudsætninger!$E$62+Forudsætninger!$C$16</f>
        <v>1575</v>
      </c>
      <c r="AB17" s="19">
        <f>IF(K17&gt;Forudsætninger!$C$48,IF(K17&gt;Forudsætninger!$C$49,IF(K17&gt;Forudsætninger!$C$50,Forudsætninger!$E$50,Forudsætninger!$E$49+Forudsætninger!$F$50*(K17-Forudsætninger!$C$49)),Forudsætninger!$E$48+Forudsætninger!$F$49*(K17-Forudsætninger!$C$48)),Forudsætninger!$E$48)+IF(K17&gt;Forudsætninger!$C$50,Forudsætninger!$G$50,IF(K17&gt;Forudsætninger!$C$49,Forudsætninger!$G$49+Forudsætninger!$H$50*(K17-Forudsætninger!$C$49),IF(K17&gt;Forudsætninger!$C$48,Forudsætninger!$G$48+Forudsætninger!$H$49*(K17-Forudsætninger!$C$48),Forudsætninger!$G$48)))*(U17-Forudsætninger!$H$48)</f>
        <v>35.110265056881403</v>
      </c>
      <c r="AC17" s="19">
        <f>IF(K17&gt;Forudsætninger!$C$52,IF(K17&gt;Forudsætninger!$C$53,IF(K17&gt;Forudsætninger!$C$54,Forudsætninger!$E$54,Forudsætninger!$E$53+Forudsætninger!$F$54*(K17-Forudsætninger!$C$53)),Forudsætninger!$E$52+Forudsætninger!$F$53*(K17-Forudsætninger!$C$52)),Forudsætninger!$E$52)+IF(K17&gt;Forudsætninger!$C$54,Forudsætninger!$G$54,IF(K17&gt;Forudsætninger!$C$53,Forudsætninger!$G$53+Forudsætninger!$H$54*(K17-Forudsætninger!$C$53),IF(K17&gt;Forudsætninger!$C$52,Forudsætninger!$G$52+Forudsætninger!$H$53*(K17-Forudsætninger!$C$52),Forudsætninger!$G$52)))*(V17-Forudsætninger!$H$52)</f>
        <v>29.925662642203505</v>
      </c>
      <c r="AD17" s="19">
        <f t="shared" si="5"/>
        <v>1155.3905100274949</v>
      </c>
      <c r="AE17" s="19">
        <f t="shared" si="6"/>
        <v>29.925662642203509</v>
      </c>
      <c r="AF17">
        <f>IF(G17&lt;=Forudsætninger!$C$97,Forudsætninger!$C$98,(IF(G17&lt;=Forudsætninger!$D$97,Forudsætninger!$D$98,IF(G17&lt;=Forudsætninger!$E$97,Forudsætninger!$E$98,IF(G17&lt;=Forudsætninger!$F$97,Forudsætninger!$F$98,IF(G17&lt;=Forudsætninger!$G$97,Forudsætninger!$G$98,IF(G17&lt;=Forudsætninger!$H$97,Forudsætninger!$H$98,IF(G17&lt;=Forudsætninger!$I$97,Forudsætninger!$I$98,Forudsætninger!$I$98))))))))</f>
        <v>1.8</v>
      </c>
      <c r="AG17" s="1">
        <f t="shared" si="16"/>
        <v>2.2000000000000002</v>
      </c>
      <c r="AH17" s="1">
        <f t="shared" si="21"/>
        <v>32.999999999999993</v>
      </c>
      <c r="AI17" s="1">
        <f t="shared" si="7"/>
        <v>2.1999999999999997</v>
      </c>
      <c r="AJ17" s="20">
        <f>+(W17*Forudsætninger!$C$12)</f>
        <v>0</v>
      </c>
      <c r="AK17" s="20">
        <f>Forudsætninger!$C$17</f>
        <v>250</v>
      </c>
      <c r="AL17" s="20">
        <f>IF(A17&lt;92,Forudsætninger!$C$20,Forudsætninger!$C$21)</f>
        <v>4.0072859744990899</v>
      </c>
      <c r="AM17" s="20">
        <f t="shared" si="17"/>
        <v>60.109289617486354</v>
      </c>
      <c r="AN17" s="19">
        <f>IFERROR(AD17+AJ17-AA17-Z17-AK17-AM17-Forudsætninger!$E$75,-999999)</f>
        <v>-1428.8265696737319</v>
      </c>
      <c r="AO17" s="19">
        <f>IFERROR(AN17/(A17+Forudsætninger!$E$74),-999999)</f>
        <v>-95.255104644915463</v>
      </c>
      <c r="AP17" s="19">
        <f>IFERROR(((365/(A17+Forudsætninger!$E$74))*AN17)/(AI17+Forudsætninger!$E$73),-999999)</f>
        <v>-15051.131253417381</v>
      </c>
      <c r="AQ17" s="18">
        <f t="shared" si="8"/>
        <v>15</v>
      </c>
      <c r="AR17" s="18">
        <f t="shared" si="22"/>
        <v>2393.0003183646108</v>
      </c>
      <c r="AS17" s="18">
        <f t="shared" si="0"/>
        <v>1.7</v>
      </c>
      <c r="AT17" s="50">
        <f t="shared" si="23"/>
        <v>-28.435854922464387</v>
      </c>
      <c r="AU17" s="50">
        <f t="shared" si="24"/>
        <v>4.7728035516036442</v>
      </c>
      <c r="AV17" s="2">
        <f t="shared" si="25"/>
        <v>754.14428412784764</v>
      </c>
      <c r="AW17" s="16">
        <f t="shared" si="19"/>
        <v>-91.247818670416365</v>
      </c>
      <c r="AZ17" s="16"/>
      <c r="BA17" s="2"/>
    </row>
    <row r="18" spans="1:53" x14ac:dyDescent="0.25">
      <c r="A18">
        <v>16</v>
      </c>
      <c r="B18" s="1">
        <f>ROUND((A18+Forudsætninger!$E$60)/30.4,1)</f>
        <v>1.7</v>
      </c>
      <c r="C18" s="1">
        <f>VLOOKUP((A18+Forudsætninger!$E$60),'Model tilvækst, slagteform, fe'!A:D,4,FALSE)</f>
        <v>76.839652040433535</v>
      </c>
      <c r="D18" s="3">
        <f t="shared" si="26"/>
        <v>998.96308444482429</v>
      </c>
      <c r="E18" s="3">
        <f>(1+Forudsætninger!$E$78)*C18</f>
        <v>70.692479877198849</v>
      </c>
      <c r="F18" s="2">
        <f t="shared" si="9"/>
        <v>9.1737228118968694</v>
      </c>
      <c r="G18" s="1">
        <f t="shared" si="1"/>
        <v>79.866202689095715</v>
      </c>
      <c r="H18" s="3">
        <f t="shared" si="10"/>
        <v>819.14972924474228</v>
      </c>
      <c r="I18" s="3">
        <f t="shared" si="2"/>
        <v>741.63766806848218</v>
      </c>
      <c r="J18" s="1">
        <f>VLOOKUP((A18+Forudsætninger!$E$60),'Model tilvækst, slagteform, fe'!G:K,4,FALSE)*(1+Forudsætninger!$E$79)</f>
        <v>48.867507061675425</v>
      </c>
      <c r="K18" s="17">
        <f t="shared" si="3"/>
        <v>39.028622238985854</v>
      </c>
      <c r="L18" s="17">
        <f t="shared" si="11"/>
        <v>419.93631474927895</v>
      </c>
      <c r="M18" s="3">
        <f>((K18-(('Model tilvækst, slagteform, fe'!$J$9/100)*'Model tilvækst, slagteform, fe'!$D$9))*1000/(A18+Forudsætninger!$E$60))</f>
        <v>361.42719431043463</v>
      </c>
      <c r="N18" s="17">
        <f t="shared" si="12"/>
        <v>33.692991443365813</v>
      </c>
      <c r="O18" s="19">
        <f>IF( A18&lt;Forudsætninger!$C$14,(G18/100)*Forudsætninger!$C$13,(Forudsætninger!$C$15/1000)*Forudsætninger!$C$13)</f>
        <v>0.51913031747912219</v>
      </c>
      <c r="P18" s="17" cm="1">
        <f t="array" ref="P18">INDEX('Model tilvækst, slagteform, fe'!$P$9:$P$375,MATCH(MIN(ABS('Model tilvækst, slagteform, fe'!$M$9:$M$375-G18)),ABS('Model tilvækst, slagteform, fe'!$M$9:$M$375-G18),0))*(1+Forudsætninger!$E$80)</f>
        <v>2.2814086981063353</v>
      </c>
      <c r="Q18" s="17">
        <f t="shared" si="13"/>
        <v>5.432749247867358</v>
      </c>
      <c r="R18" s="17">
        <f t="shared" si="14"/>
        <v>5.5581128878585755</v>
      </c>
      <c r="S18" s="17">
        <f t="shared" si="15"/>
        <v>2.8394080504226955</v>
      </c>
      <c r="T18" s="19">
        <f>(P18)*IF(N18&lt;Forudsætninger!$B$228,IF(N18&lt;Forudsætninger!$B$227,Forudsætninger!$B$225,Forudsætninger!$C$9),Forudsætninger!$C$11)+O18</f>
        <v>36.885174949686942</v>
      </c>
      <c r="U18" s="5">
        <f>Forudsætninger!$E$68+((K18-(Forudsætninger!$E$84)))*0.01</f>
        <v>5.1068499319615279</v>
      </c>
      <c r="V18" s="2">
        <f>U18+Forudsætninger!$E$69</f>
        <v>5.1068499319615279</v>
      </c>
      <c r="W18">
        <f t="shared" si="4"/>
        <v>0</v>
      </c>
      <c r="X18">
        <f>IF(A18+Forudsætninger!$E$60&gt;248,IF(A18+Forudsætninger!$E$60&lt;365,IF(K18&gt;180,IF(K18&lt;260,1,0),0),0),0)</f>
        <v>0</v>
      </c>
      <c r="Y18" s="22">
        <f>IF(X18=0,0,IF('Vækstfunktion, kry kvie'!A18&lt;Forudsætninger!$E$66,Forudsætninger!$E$67+(('Vækstfunktion, kry kvie'!A18-Forudsætninger!$E$66)/7)*Forudsætninger!$E$64,Forudsætninger!$E$67))</f>
        <v>0</v>
      </c>
      <c r="Z18" s="19">
        <f t="shared" si="20"/>
        <v>544.77620369681154</v>
      </c>
      <c r="AA18" s="19">
        <f>Forudsætninger!$E$62+Forudsætninger!$C$16</f>
        <v>1575</v>
      </c>
      <c r="AB18" s="19">
        <f>IF(K18&gt;Forudsætninger!$C$48,IF(K18&gt;Forudsætninger!$C$49,IF(K18&gt;Forudsætninger!$C$50,Forudsætninger!$E$50,Forudsætninger!$E$49+Forudsætninger!$F$50*(K18-Forudsætninger!$C$49)),Forudsætninger!$E$48+Forudsætninger!$F$49*(K18-Forudsætninger!$C$48)),Forudsætninger!$E$48)+IF(K18&gt;Forudsætninger!$C$50,Forudsætninger!$G$50,IF(K18&gt;Forudsætninger!$C$49,Forudsætninger!$G$49+Forudsætninger!$H$50*(K18-Forudsætninger!$C$49),IF(K18&gt;Forudsætninger!$C$48,Forudsætninger!$G$48+Forudsætninger!$H$49*(K18-Forudsætninger!$C$48),Forudsætninger!$G$48)))*(U18-Forudsætninger!$H$48)</f>
        <v>35.110684993196152</v>
      </c>
      <c r="AC18" s="19">
        <f>IF(K18&gt;Forudsætninger!$C$52,IF(K18&gt;Forudsætninger!$C$53,IF(K18&gt;Forudsætninger!$C$54,Forudsætninger!$E$54,Forudsætninger!$E$53+Forudsætninger!$F$54*(K18-Forudsætninger!$C$53)),Forudsætninger!$E$52+Forudsætninger!$F$53*(K18-Forudsætninger!$C$52)),Forudsætninger!$E$52)+IF(K18&gt;Forudsætninger!$C$54,Forudsætninger!$G$54,IF(K18&gt;Forudsætninger!$C$53,Forudsætninger!$G$53+Forudsætninger!$H$54*(K18-Forudsætninger!$C$53),IF(K18&gt;Forudsætninger!$C$52,Forudsætninger!$G$52+Forudsætninger!$H$53*(K18-Forudsætninger!$C$52),Forudsætninger!$G$52)))*(V18-Forudsætninger!$H$52)</f>
        <v>29.926712482990382</v>
      </c>
      <c r="AD18" s="19">
        <f t="shared" si="5"/>
        <v>1167.998356353374</v>
      </c>
      <c r="AE18" s="19">
        <f t="shared" si="6"/>
        <v>29.926712482990382</v>
      </c>
      <c r="AF18">
        <f>IF(G18&lt;=Forudsætninger!$C$97,Forudsætninger!$C$98,(IF(G18&lt;=Forudsætninger!$D$97,Forudsætninger!$D$98,IF(G18&lt;=Forudsætninger!$E$97,Forudsætninger!$E$98,IF(G18&lt;=Forudsætninger!$F$97,Forudsætninger!$F$98,IF(G18&lt;=Forudsætninger!$G$97,Forudsætninger!$G$98,IF(G18&lt;=Forudsætninger!$H$97,Forudsætninger!$H$98,IF(G18&lt;=Forudsætninger!$I$97,Forudsætninger!$I$98,Forudsætninger!$I$98))))))))</f>
        <v>1.8</v>
      </c>
      <c r="AG18" s="1">
        <f t="shared" si="16"/>
        <v>2.2000000000000002</v>
      </c>
      <c r="AH18" s="1">
        <f t="shared" si="21"/>
        <v>35.199999999999996</v>
      </c>
      <c r="AI18" s="1">
        <f t="shared" si="7"/>
        <v>2.1999999999999997</v>
      </c>
      <c r="AJ18" s="20">
        <f>+(W18*Forudsætninger!$C$12)</f>
        <v>0</v>
      </c>
      <c r="AK18" s="20">
        <f>Forudsætninger!$C$17</f>
        <v>250</v>
      </c>
      <c r="AL18" s="20">
        <f>IF(A18&lt;92,Forudsætninger!$C$20,Forudsætninger!$C$21)</f>
        <v>4.0072859744990899</v>
      </c>
      <c r="AM18" s="20">
        <f t="shared" si="17"/>
        <v>64.116575591985438</v>
      </c>
      <c r="AN18" s="19">
        <f>IFERROR(AD18+AJ18-AA18-Z18-AK18-AM18-Forudsætninger!$E$75,-999999)</f>
        <v>-1457.1111842720386</v>
      </c>
      <c r="AO18" s="19">
        <f>IFERROR(AN18/(A18+Forudsætninger!$E$74),-999999)</f>
        <v>-91.069449017002412</v>
      </c>
      <c r="AP18" s="19">
        <f>IFERROR(((365/(A18+Forudsætninger!$E$74))*AN18)/(AI18+Forudsætninger!$E$73),-999999)</f>
        <v>-14389.761424764454</v>
      </c>
      <c r="AQ18" s="18">
        <f t="shared" si="8"/>
        <v>16</v>
      </c>
      <c r="AR18" s="18">
        <f t="shared" si="22"/>
        <v>2433.8927792887971</v>
      </c>
      <c r="AS18" s="18">
        <f t="shared" si="0"/>
        <v>1.7</v>
      </c>
      <c r="AT18" s="50">
        <f t="shared" si="23"/>
        <v>-28.284614598306689</v>
      </c>
      <c r="AU18" s="50">
        <f t="shared" si="24"/>
        <v>4.1856556279130501</v>
      </c>
      <c r="AV18" s="2">
        <f t="shared" si="25"/>
        <v>661.36982865292703</v>
      </c>
      <c r="AW18" s="16">
        <f t="shared" si="19"/>
        <v>-87.062163042503329</v>
      </c>
      <c r="AZ18" s="16"/>
      <c r="BA18" s="2"/>
    </row>
    <row r="19" spans="1:53" x14ac:dyDescent="0.25">
      <c r="A19">
        <v>17</v>
      </c>
      <c r="B19" s="1">
        <f>ROUND((A19+Forudsætninger!$E$60)/30.4,1)</f>
        <v>1.7</v>
      </c>
      <c r="C19" s="1">
        <f>VLOOKUP((A19+Forudsætninger!$E$60),'Model tilvækst, slagteform, fe'!A:D,4,FALSE)</f>
        <v>77.8504143768467</v>
      </c>
      <c r="D19" s="3">
        <f t="shared" si="26"/>
        <v>1010.7623364131655</v>
      </c>
      <c r="E19" s="3">
        <f>(1+Forudsætninger!$E$78)*C19</f>
        <v>71.622381226698963</v>
      </c>
      <c r="F19" s="2">
        <f t="shared" si="9"/>
        <v>9.0726465782555525</v>
      </c>
      <c r="G19" s="1">
        <f t="shared" si="1"/>
        <v>80.69502780495452</v>
      </c>
      <c r="H19" s="3">
        <f t="shared" si="10"/>
        <v>828.82511585880536</v>
      </c>
      <c r="I19" s="3">
        <f t="shared" si="2"/>
        <v>746.76634146791287</v>
      </c>
      <c r="J19" s="1">
        <f>VLOOKUP((A19+Forudsætninger!$E$60),'Model tilvækst, slagteform, fe'!G:K,4,FALSE)*(1+Forudsætninger!$E$79)</f>
        <v>48.892331690474791</v>
      </c>
      <c r="K19" s="17">
        <f t="shared" si="3"/>
        <v>39.453680652119218</v>
      </c>
      <c r="L19" s="17">
        <f t="shared" si="11"/>
        <v>425.0584131333639</v>
      </c>
      <c r="M19" s="3">
        <f>((K19-(('Model tilvækst, slagteform, fe'!$J$9/100)*'Model tilvækst, slagteform, fe'!$D$9))*1000/(A19+Forudsætninger!$E$60))</f>
        <v>362.62778334482948</v>
      </c>
      <c r="N19" s="17">
        <f t="shared" si="12"/>
        <v>36.012486748825658</v>
      </c>
      <c r="O19" s="19">
        <f>IF( A19&lt;Forudsætninger!$C$14,(G19/100)*Forudsætninger!$C$13,(Forudsætninger!$C$15/1000)*Forudsætninger!$C$13)</f>
        <v>0.52451768073220439</v>
      </c>
      <c r="P19" s="17" cm="1">
        <f t="array" ref="P19">INDEX('Model tilvækst, slagteform, fe'!$P$9:$P$375,MATCH(MIN(ABS('Model tilvækst, slagteform, fe'!$M$9:$M$375-G19)),ABS('Model tilvækst, slagteform, fe'!$M$9:$M$375-G19),0))*(1+Forudsætninger!$E$80)</f>
        <v>2.3194953054598435</v>
      </c>
      <c r="Q19" s="17">
        <f t="shared" si="13"/>
        <v>5.4568860038822287</v>
      </c>
      <c r="R19" s="17">
        <f t="shared" si="14"/>
        <v>5.5514800381643958</v>
      </c>
      <c r="S19" s="17">
        <f t="shared" si="15"/>
        <v>2.8367394937702284</v>
      </c>
      <c r="T19" s="19">
        <f>(P19)*IF(N19&lt;Forudsætninger!$B$228,IF(N19&lt;Forudsætninger!$B$227,Forudsætninger!$B$225,Forudsætninger!$C$9),Forudsætninger!$C$11)+O19</f>
        <v>37.497669344686116</v>
      </c>
      <c r="U19" s="5">
        <f>Forudsætninger!$E$68+((K19-(Forudsætninger!$E$84)))*0.01</f>
        <v>5.1111005160928613</v>
      </c>
      <c r="V19" s="2">
        <f>U19+Forudsætninger!$E$69</f>
        <v>5.1111005160928613</v>
      </c>
      <c r="W19">
        <f t="shared" si="4"/>
        <v>0</v>
      </c>
      <c r="X19">
        <f>IF(A19+Forudsætninger!$E$60&gt;248,IF(A19+Forudsætninger!$E$60&lt;365,IF(K19&gt;180,IF(K19&lt;260,1,0),0),0),0)</f>
        <v>0</v>
      </c>
      <c r="Y19" s="22">
        <f>IF(X19=0,0,IF('Vækstfunktion, kry kvie'!A19&lt;Forudsætninger!$E$66,Forudsætninger!$E$67+(('Vækstfunktion, kry kvie'!A19-Forudsætninger!$E$66)/7)*Forudsætninger!$E$64,Forudsætninger!$E$67))</f>
        <v>0</v>
      </c>
      <c r="Z19" s="19">
        <f t="shared" si="20"/>
        <v>582.27387304149761</v>
      </c>
      <c r="AA19" s="19">
        <f>Forudsætninger!$E$62+Forudsætninger!$C$16</f>
        <v>1575</v>
      </c>
      <c r="AB19" s="19">
        <f>IF(K19&gt;Forudsætninger!$C$48,IF(K19&gt;Forudsætninger!$C$49,IF(K19&gt;Forudsætninger!$C$50,Forudsætninger!$E$50,Forudsætninger!$E$49+Forudsætninger!$F$50*(K19-Forudsætninger!$C$49)),Forudsætninger!$E$48+Forudsætninger!$F$49*(K19-Forudsætninger!$C$48)),Forudsætninger!$E$48)+IF(K19&gt;Forudsætninger!$C$50,Forudsætninger!$G$50,IF(K19&gt;Forudsætninger!$C$49,Forudsætninger!$G$49+Forudsætninger!$H$50*(K19-Forudsætninger!$C$49),IF(K19&gt;Forudsætninger!$C$48,Forudsætninger!$G$48+Forudsætninger!$H$49*(K19-Forudsætninger!$C$48),Forudsætninger!$G$48)))*(U19-Forudsætninger!$H$48)</f>
        <v>35.111110051609288</v>
      </c>
      <c r="AC19" s="19">
        <f>IF(K19&gt;Forudsætninger!$C$52,IF(K19&gt;Forudsætninger!$C$53,IF(K19&gt;Forudsætninger!$C$54,Forudsætninger!$E$54,Forudsætninger!$E$53+Forudsætninger!$F$54*(K19-Forudsætninger!$C$53)),Forudsætninger!$E$52+Forudsætninger!$F$53*(K19-Forudsætninger!$C$52)),Forudsætninger!$E$52)+IF(K19&gt;Forudsætninger!$C$54,Forudsætninger!$G$54,IF(K19&gt;Forudsætninger!$C$53,Forudsætninger!$G$53+Forudsætninger!$H$54*(K19-Forudsætninger!$C$53),IF(K19&gt;Forudsætninger!$C$52,Forudsætninger!$G$52+Forudsætninger!$H$53*(K19-Forudsætninger!$C$52),Forudsætninger!$G$52)))*(V19-Forudsætninger!$H$52)</f>
        <v>29.927775129023214</v>
      </c>
      <c r="AD19" s="19">
        <f t="shared" si="5"/>
        <v>1180.7608825689179</v>
      </c>
      <c r="AE19" s="19">
        <f t="shared" si="6"/>
        <v>29.927775129023214</v>
      </c>
      <c r="AF19">
        <f>IF(G19&lt;=Forudsætninger!$C$97,Forudsætninger!$C$98,(IF(G19&lt;=Forudsætninger!$D$97,Forudsætninger!$D$98,IF(G19&lt;=Forudsætninger!$E$97,Forudsætninger!$E$98,IF(G19&lt;=Forudsætninger!$F$97,Forudsætninger!$F$98,IF(G19&lt;=Forudsætninger!$G$97,Forudsætninger!$G$98,IF(G19&lt;=Forudsætninger!$H$97,Forudsætninger!$H$98,IF(G19&lt;=Forudsætninger!$I$97,Forudsætninger!$I$98,Forudsætninger!$I$98))))))))</f>
        <v>1.8</v>
      </c>
      <c r="AG19" s="1">
        <f t="shared" si="16"/>
        <v>2.2000000000000002</v>
      </c>
      <c r="AH19" s="1">
        <f t="shared" si="21"/>
        <v>37.4</v>
      </c>
      <c r="AI19" s="1">
        <f t="shared" si="7"/>
        <v>2.1999999999999997</v>
      </c>
      <c r="AJ19" s="20">
        <f>+(W19*Forudsætninger!$C$12)</f>
        <v>0</v>
      </c>
      <c r="AK19" s="20">
        <f>Forudsætninger!$C$17</f>
        <v>250</v>
      </c>
      <c r="AL19" s="20">
        <f>IF(A19&lt;92,Forudsætninger!$C$20,Forudsætninger!$C$21)</f>
        <v>4.0072859744990899</v>
      </c>
      <c r="AM19" s="20">
        <f t="shared" si="17"/>
        <v>68.123861566484521</v>
      </c>
      <c r="AN19" s="19">
        <f>IFERROR(AD19+AJ19-AA19-Z19-AK19-AM19-Forudsætninger!$E$75,-999999)</f>
        <v>-1485.85361337568</v>
      </c>
      <c r="AO19" s="19">
        <f>IFERROR(AN19/(A19+Forudsætninger!$E$74),-999999)</f>
        <v>-87.403153727981177</v>
      </c>
      <c r="AP19" s="19">
        <f>IFERROR(((365/(A19+Forudsætninger!$E$74))*AN19)/(AI19+Forudsætninger!$E$73),-999999)</f>
        <v>-13810.455026282742</v>
      </c>
      <c r="AQ19" s="18">
        <f t="shared" si="8"/>
        <v>17</v>
      </c>
      <c r="AR19" s="18">
        <f t="shared" si="22"/>
        <v>2475.3977346079823</v>
      </c>
      <c r="AS19" s="18">
        <f t="shared" si="0"/>
        <v>1.7</v>
      </c>
      <c r="AT19" s="50">
        <f t="shared" si="23"/>
        <v>-28.742429103641371</v>
      </c>
      <c r="AU19" s="50">
        <f t="shared" si="24"/>
        <v>3.6662952890212352</v>
      </c>
      <c r="AV19" s="2">
        <f t="shared" si="25"/>
        <v>579.30639848171268</v>
      </c>
      <c r="AW19" s="16">
        <f t="shared" si="19"/>
        <v>-83.395867753482094</v>
      </c>
      <c r="AZ19" s="16"/>
      <c r="BA19" s="2"/>
    </row>
    <row r="20" spans="1:53" x14ac:dyDescent="0.25">
      <c r="A20">
        <v>18</v>
      </c>
      <c r="B20" s="1">
        <f>ROUND((A20+Forudsætninger!$E$60)/30.4,1)</f>
        <v>1.8</v>
      </c>
      <c r="C20" s="1">
        <f>VLOOKUP((A20+Forudsætninger!$E$60),'Model tilvækst, slagteform, fe'!A:D,4,FALSE)</f>
        <v>78.87283665631243</v>
      </c>
      <c r="D20" s="3">
        <f t="shared" si="26"/>
        <v>1022.4222794657294</v>
      </c>
      <c r="E20" s="3">
        <f>(1+Forudsætninger!$E$78)*C20</f>
        <v>72.56300972380744</v>
      </c>
      <c r="F20" s="2">
        <f t="shared" si="9"/>
        <v>8.9704043503089803</v>
      </c>
      <c r="G20" s="1">
        <f t="shared" si="1"/>
        <v>81.533414074116422</v>
      </c>
      <c r="H20" s="3">
        <f t="shared" si="10"/>
        <v>838.38626916190151</v>
      </c>
      <c r="I20" s="3">
        <f t="shared" si="2"/>
        <v>751.85633745091241</v>
      </c>
      <c r="J20" s="1">
        <f>VLOOKUP((A20+Forudsætninger!$E$60),'Model tilvækst, slagteform, fe'!G:K,4,FALSE)*(1+Forudsætninger!$E$79)</f>
        <v>48.917118518911089</v>
      </c>
      <c r="K20" s="17">
        <f t="shared" si="3"/>
        <v>39.883796795150069</v>
      </c>
      <c r="L20" s="17">
        <f t="shared" si="11"/>
        <v>430.11614303085111</v>
      </c>
      <c r="M20" s="3">
        <f>((K20-(('Model tilvækst, slagteform, fe'!$J$9/100)*'Model tilvækst, slagteform, fe'!$D$9))*1000/(A20+Forudsætninger!$E$60))</f>
        <v>363.8775677834596</v>
      </c>
      <c r="N20" s="17">
        <f t="shared" si="12"/>
        <v>38.36994704510127</v>
      </c>
      <c r="O20" s="19">
        <f>IF( A20&lt;Forudsætninger!$C$14,(G20/100)*Forudsætninger!$C$13,(Forudsætninger!$C$15/1000)*Forudsætninger!$C$13)</f>
        <v>0.52996719148175675</v>
      </c>
      <c r="P20" s="17" cm="1">
        <f t="array" ref="P20">INDEX('Model tilvækst, slagteform, fe'!$P$9:$P$375,MATCH(MIN(ABS('Model tilvækst, slagteform, fe'!$M$9:$M$375-G20)),ABS('Model tilvækst, slagteform, fe'!$M$9:$M$375-G20),0))*(1+Forudsætninger!$E$80)</f>
        <v>2.3574602962756153</v>
      </c>
      <c r="Q20" s="17">
        <f t="shared" si="13"/>
        <v>5.4809853907448458</v>
      </c>
      <c r="R20" s="17">
        <f t="shared" si="14"/>
        <v>5.5470965845683988</v>
      </c>
      <c r="S20" s="17">
        <f t="shared" si="15"/>
        <v>2.8352008469530547</v>
      </c>
      <c r="T20" s="19">
        <f>(P20)*IF(N20&lt;Forudsætninger!$B$228,IF(N20&lt;Forudsætninger!$B$227,Forudsætninger!$B$225,Forudsætninger!$C$9),Forudsætninger!$C$11)+O20</f>
        <v>6.4471925351335502</v>
      </c>
      <c r="U20" s="5">
        <f>Forudsætninger!$E$68+((K20-(Forudsætninger!$E$84)))*0.01</f>
        <v>5.1154016775231703</v>
      </c>
      <c r="V20" s="2">
        <f>U20+Forudsætninger!$E$69</f>
        <v>5.1154016775231703</v>
      </c>
      <c r="W20">
        <f t="shared" si="4"/>
        <v>0</v>
      </c>
      <c r="X20">
        <f>IF(A20+Forudsætninger!$E$60&gt;248,IF(A20+Forudsætninger!$E$60&lt;365,IF(K20&gt;180,IF(K20&lt;260,1,0),0),0),0)</f>
        <v>0</v>
      </c>
      <c r="Y20" s="22">
        <f>IF(X20=0,0,IF('Vækstfunktion, kry kvie'!A20&lt;Forudsætninger!$E$66,Forudsætninger!$E$67+(('Vækstfunktion, kry kvie'!A20-Forudsætninger!$E$66)/7)*Forudsætninger!$E$64,Forudsætninger!$E$67))</f>
        <v>0</v>
      </c>
      <c r="Z20" s="19">
        <f t="shared" si="20"/>
        <v>588.72106557663119</v>
      </c>
      <c r="AA20" s="19">
        <f>Forudsætninger!$E$62+Forudsætninger!$C$16</f>
        <v>1575</v>
      </c>
      <c r="AB20" s="19">
        <f>IF(K20&gt;Forudsætninger!$C$48,IF(K20&gt;Forudsætninger!$C$49,IF(K20&gt;Forudsætninger!$C$50,Forudsætninger!$E$50,Forudsætninger!$E$49+Forudsætninger!$F$50*(K20-Forudsætninger!$C$49)),Forudsætninger!$E$48+Forudsætninger!$F$49*(K20-Forudsætninger!$C$48)),Forudsætninger!$E$48)+IF(K20&gt;Forudsætninger!$C$50,Forudsætninger!$G$50,IF(K20&gt;Forudsætninger!$C$49,Forudsætninger!$G$49+Forudsætninger!$H$50*(K20-Forudsætninger!$C$49),IF(K20&gt;Forudsætninger!$C$48,Forudsætninger!$G$48+Forudsætninger!$H$49*(K20-Forudsætninger!$C$48),Forudsætninger!$G$48)))*(U20-Forudsætninger!$H$48)</f>
        <v>35.111540167752317</v>
      </c>
      <c r="AC20" s="19">
        <f>IF(K20&gt;Forudsætninger!$C$52,IF(K20&gt;Forudsætninger!$C$53,IF(K20&gt;Forudsætninger!$C$54,Forudsætninger!$E$54,Forudsætninger!$E$53+Forudsætninger!$F$54*(K20-Forudsætninger!$C$53)),Forudsætninger!$E$52+Forudsætninger!$F$53*(K20-Forudsætninger!$C$52)),Forudsætninger!$E$52)+IF(K20&gt;Forudsætninger!$C$54,Forudsætninger!$G$54,IF(K20&gt;Forudsætninger!$C$53,Forudsætninger!$G$53+Forudsætninger!$H$54*(K20-Forudsætninger!$C$53),IF(K20&gt;Forudsætninger!$C$52,Forudsætninger!$G$52+Forudsætninger!$H$53*(K20-Forudsætninger!$C$52),Forudsætninger!$G$52)))*(V20-Forudsætninger!$H$52)</f>
        <v>29.92885041938079</v>
      </c>
      <c r="AD20" s="19">
        <f t="shared" si="5"/>
        <v>1193.6761884390253</v>
      </c>
      <c r="AE20" s="19">
        <f t="shared" si="6"/>
        <v>29.928850419380787</v>
      </c>
      <c r="AF20">
        <f>IF(G20&lt;=Forudsætninger!$C$97,Forudsætninger!$C$98,(IF(G20&lt;=Forudsætninger!$D$97,Forudsætninger!$D$98,IF(G20&lt;=Forudsætninger!$E$97,Forudsætninger!$E$98,IF(G20&lt;=Forudsætninger!$F$97,Forudsætninger!$F$98,IF(G20&lt;=Forudsætninger!$G$97,Forudsætninger!$G$98,IF(G20&lt;=Forudsætninger!$H$97,Forudsætninger!$H$98,IF(G20&lt;=Forudsætninger!$I$97,Forudsætninger!$I$98,Forudsætninger!$I$98))))))))</f>
        <v>1.8</v>
      </c>
      <c r="AG20" s="1">
        <f t="shared" si="16"/>
        <v>2.2000000000000002</v>
      </c>
      <c r="AH20" s="1">
        <f t="shared" si="21"/>
        <v>39.6</v>
      </c>
      <c r="AI20" s="1">
        <f t="shared" si="7"/>
        <v>2.2000000000000002</v>
      </c>
      <c r="AJ20" s="20">
        <f>+(W20*Forudsætninger!$C$12)</f>
        <v>0</v>
      </c>
      <c r="AK20" s="20">
        <f>Forudsætninger!$C$17</f>
        <v>250</v>
      </c>
      <c r="AL20" s="20">
        <f>IF(A20&lt;92,Forudsætninger!$C$20,Forudsætninger!$C$21)</f>
        <v>4.0072859744990899</v>
      </c>
      <c r="AM20" s="20">
        <f t="shared" si="17"/>
        <v>72.131147540983605</v>
      </c>
      <c r="AN20" s="19">
        <f>IFERROR(AD20+AJ20-AA20-Z20-AK20-AM20-Forudsætninger!$E$75,-999999)</f>
        <v>-1483.3927860152053</v>
      </c>
      <c r="AO20" s="19">
        <f>IFERROR(AN20/(A20+Forudsætninger!$E$74),-999999)</f>
        <v>-82.410710334178077</v>
      </c>
      <c r="AP20" s="19">
        <f>IFERROR(((365/(A20+Forudsætninger!$E$74))*AN20)/(AI20+Forudsætninger!$E$73),-999999)</f>
        <v>-13021.605745443721</v>
      </c>
      <c r="AQ20" s="18">
        <f t="shared" si="8"/>
        <v>18</v>
      </c>
      <c r="AR20" s="18">
        <f t="shared" si="22"/>
        <v>2485.8522131176146</v>
      </c>
      <c r="AS20" s="18">
        <f t="shared" si="0"/>
        <v>1.8</v>
      </c>
      <c r="AT20" s="50">
        <f t="shared" si="23"/>
        <v>2.4608273604746955</v>
      </c>
      <c r="AU20" s="50">
        <f t="shared" si="24"/>
        <v>4.9924433938031001</v>
      </c>
      <c r="AV20" s="2">
        <f t="shared" si="25"/>
        <v>788.84928083902014</v>
      </c>
      <c r="AW20" s="16">
        <f t="shared" si="19"/>
        <v>-78.403424359678979</v>
      </c>
      <c r="AZ20" s="16"/>
      <c r="BA20" s="2"/>
    </row>
    <row r="21" spans="1:53" x14ac:dyDescent="0.25">
      <c r="A21">
        <v>19</v>
      </c>
      <c r="B21" s="1">
        <f>ROUND((A21+Forudsætninger!$E$60)/30.4,1)</f>
        <v>1.8</v>
      </c>
      <c r="C21" s="1">
        <f>VLOOKUP((A21+Forudsætninger!$E$60),'Model tilvækst, slagteform, fe'!A:D,4,FALSE)</f>
        <v>79.906780154935561</v>
      </c>
      <c r="D21" s="3">
        <f t="shared" si="26"/>
        <v>1033.9434986231311</v>
      </c>
      <c r="E21" s="3">
        <f>(1+Forudsætninger!$E$78)*C21</f>
        <v>73.514237742540715</v>
      </c>
      <c r="F21" s="2">
        <f t="shared" si="9"/>
        <v>8.8670100004466672</v>
      </c>
      <c r="G21" s="1">
        <f t="shared" si="1"/>
        <v>82.381247742987384</v>
      </c>
      <c r="H21" s="3">
        <f t="shared" si="10"/>
        <v>847.83366887096179</v>
      </c>
      <c r="I21" s="3">
        <f t="shared" si="2"/>
        <v>756.90777594670442</v>
      </c>
      <c r="J21" s="1">
        <f>VLOOKUP((A21+Forudsætninger!$E$60),'Model tilvækst, slagteform, fe'!G:K,4,FALSE)*(1+Forudsætninger!$E$79)</f>
        <v>48.941848881415268</v>
      </c>
      <c r="K21" s="17">
        <f t="shared" si="3"/>
        <v>40.318905776997212</v>
      </c>
      <c r="L21" s="17">
        <f t="shared" si="11"/>
        <v>435.10898184714364</v>
      </c>
      <c r="M21" s="3">
        <f>((K21-(('Model tilvækst, slagteform, fe'!$J$9/100)*'Model tilvækst, slagteform, fe'!$D$9))*1000/(A21+Forudsætninger!$E$60))</f>
        <v>365.17268440279923</v>
      </c>
      <c r="N21" s="17">
        <f t="shared" si="12"/>
        <v>40.765246038095782</v>
      </c>
      <c r="O21" s="19">
        <f>IF( A21&lt;Forudsætninger!$C$14,(G21/100)*Forudsætninger!$C$13,(Forudsætninger!$C$15/1000)*Forudsætninger!$C$13)</f>
        <v>0.53547811032941806</v>
      </c>
      <c r="P21" s="17" cm="1">
        <f t="array" ref="P21">INDEX('Model tilvækst, slagteform, fe'!$P$9:$P$375,MATCH(MIN(ABS('Model tilvækst, slagteform, fe'!$M$9:$M$375-G21)),ABS('Model tilvækst, slagteform, fe'!$M$9:$M$375-G21),0))*(1+Forudsætninger!$E$80)</f>
        <v>2.3952989929945097</v>
      </c>
      <c r="Q21" s="17">
        <f t="shared" si="13"/>
        <v>5.5050552687418257</v>
      </c>
      <c r="R21" s="17">
        <f t="shared" si="14"/>
        <v>5.5446085570942909</v>
      </c>
      <c r="S21" s="17">
        <f t="shared" si="15"/>
        <v>2.8346112080555614</v>
      </c>
      <c r="T21" s="19">
        <f>(P21)*IF(N21&lt;Forudsætninger!$B$228,IF(N21&lt;Forudsætninger!$B$227,Forudsætninger!$B$225,Forudsætninger!$C$9),Forudsætninger!$C$11)+O21</f>
        <v>6.547678582745637</v>
      </c>
      <c r="U21" s="5">
        <f>Forudsætninger!$E$68+((K21-(Forudsætninger!$E$84)))*0.01</f>
        <v>5.119752767341641</v>
      </c>
      <c r="V21" s="2">
        <f>U21+Forudsætninger!$E$69</f>
        <v>5.119752767341641</v>
      </c>
      <c r="W21">
        <f t="shared" si="4"/>
        <v>0</v>
      </c>
      <c r="X21">
        <f>IF(A21+Forudsætninger!$E$60&gt;248,IF(A21+Forudsætninger!$E$60&lt;365,IF(K21&gt;180,IF(K21&lt;260,1,0),0),0),0)</f>
        <v>0</v>
      </c>
      <c r="Y21" s="22">
        <f>IF(X21=0,0,IF('Vækstfunktion, kry kvie'!A21&lt;Forudsætninger!$E$66,Forudsætninger!$E$67+(('Vækstfunktion, kry kvie'!A21-Forudsætninger!$E$66)/7)*Forudsætninger!$E$64,Forudsætninger!$E$67))</f>
        <v>0</v>
      </c>
      <c r="Z21" s="19">
        <f t="shared" si="20"/>
        <v>595.26874415937687</v>
      </c>
      <c r="AA21" s="19">
        <f>Forudsætninger!$E$62+Forudsætninger!$C$16</f>
        <v>1575</v>
      </c>
      <c r="AB21" s="19">
        <f>IF(K21&gt;Forudsætninger!$C$48,IF(K21&gt;Forudsætninger!$C$49,IF(K21&gt;Forudsætninger!$C$50,Forudsætninger!$E$50,Forudsætninger!$E$49+Forudsætninger!$F$50*(K21-Forudsætninger!$C$49)),Forudsætninger!$E$48+Forudsætninger!$F$49*(K21-Forudsætninger!$C$48)),Forudsætninger!$E$48)+IF(K21&gt;Forudsætninger!$C$50,Forudsætninger!$G$50,IF(K21&gt;Forudsætninger!$C$49,Forudsætninger!$G$49+Forudsætninger!$H$50*(K21-Forudsætninger!$C$49),IF(K21&gt;Forudsætninger!$C$48,Forudsætninger!$G$48+Forudsætninger!$H$49*(K21-Forudsætninger!$C$48),Forudsætninger!$G$48)))*(U21-Forudsætninger!$H$48)</f>
        <v>35.111975276734164</v>
      </c>
      <c r="AC21" s="19">
        <f>IF(K21&gt;Forudsætninger!$C$52,IF(K21&gt;Forudsætninger!$C$53,IF(K21&gt;Forudsætninger!$C$54,Forudsætninger!$E$54,Forudsætninger!$E$53+Forudsætninger!$F$54*(K21-Forudsætninger!$C$53)),Forudsætninger!$E$52+Forudsætninger!$F$53*(K21-Forudsætninger!$C$52)),Forudsætninger!$E$52)+IF(K21&gt;Forudsætninger!$C$54,Forudsætninger!$G$54,IF(K21&gt;Forudsætninger!$C$53,Forudsætninger!$G$53+Forudsætninger!$H$54*(K21-Forudsætninger!$C$53),IF(K21&gt;Forudsætninger!$C$52,Forudsætninger!$G$52+Forudsætninger!$H$53*(K21-Forudsætninger!$C$52),Forudsætninger!$G$52)))*(V21-Forudsætninger!$H$52)</f>
        <v>29.929938191835408</v>
      </c>
      <c r="AD21" s="19">
        <f t="shared" si="5"/>
        <v>1206.742357867962</v>
      </c>
      <c r="AE21" s="19">
        <f t="shared" si="6"/>
        <v>29.929938191835404</v>
      </c>
      <c r="AF21">
        <f>IF(G21&lt;=Forudsætninger!$C$97,Forudsætninger!$C$98,(IF(G21&lt;=Forudsætninger!$D$97,Forudsætninger!$D$98,IF(G21&lt;=Forudsætninger!$E$97,Forudsætninger!$E$98,IF(G21&lt;=Forudsætninger!$F$97,Forudsætninger!$F$98,IF(G21&lt;=Forudsætninger!$G$97,Forudsætninger!$G$98,IF(G21&lt;=Forudsætninger!$H$97,Forudsætninger!$H$98,IF(G21&lt;=Forudsætninger!$I$97,Forudsætninger!$I$98,Forudsætninger!$I$98))))))))</f>
        <v>1.8</v>
      </c>
      <c r="AG21" s="1">
        <f t="shared" si="16"/>
        <v>2.2000000000000002</v>
      </c>
      <c r="AH21" s="1">
        <f t="shared" si="21"/>
        <v>41.800000000000004</v>
      </c>
      <c r="AI21" s="1">
        <f t="shared" si="7"/>
        <v>2.2000000000000002</v>
      </c>
      <c r="AJ21" s="20">
        <f>+(W21*Forudsætninger!$C$12)</f>
        <v>0</v>
      </c>
      <c r="AK21" s="20">
        <f>Forudsætninger!$C$17</f>
        <v>250</v>
      </c>
      <c r="AL21" s="20">
        <f>IF(A21&lt;92,Forudsætninger!$C$20,Forudsætninger!$C$21)</f>
        <v>4.0072859744990899</v>
      </c>
      <c r="AM21" s="20">
        <f t="shared" si="17"/>
        <v>76.138433515482689</v>
      </c>
      <c r="AN21" s="19">
        <f>IFERROR(AD21+AJ21-AA21-Z21-AK21-AM21-Forudsætninger!$E$75,-999999)</f>
        <v>-1480.8815811435131</v>
      </c>
      <c r="AO21" s="19">
        <f>IFERROR(AN21/(A21+Forudsætninger!$E$74),-999999)</f>
        <v>-77.941135849658579</v>
      </c>
      <c r="AP21" s="19">
        <f>IFERROR(((365/(A21+Forudsætninger!$E$74))*AN21)/(AI21+Forudsætninger!$E$73),-999999)</f>
        <v>-12315.374279275058</v>
      </c>
      <c r="AQ21" s="18">
        <f t="shared" si="8"/>
        <v>19</v>
      </c>
      <c r="AR21" s="18">
        <f t="shared" si="22"/>
        <v>2496.4071776748597</v>
      </c>
      <c r="AS21" s="18">
        <f t="shared" si="0"/>
        <v>1.8</v>
      </c>
      <c r="AT21" s="50">
        <f t="shared" si="23"/>
        <v>2.5112048716921436</v>
      </c>
      <c r="AU21" s="50">
        <f t="shared" si="24"/>
        <v>4.469574484519498</v>
      </c>
      <c r="AV21" s="2">
        <f t="shared" si="25"/>
        <v>706.23146616866325</v>
      </c>
      <c r="AW21" s="16">
        <f t="shared" si="19"/>
        <v>-73.933849875159495</v>
      </c>
      <c r="AZ21" s="16"/>
      <c r="BA21" s="2"/>
    </row>
    <row r="22" spans="1:53" x14ac:dyDescent="0.25">
      <c r="A22">
        <v>20</v>
      </c>
      <c r="B22" s="1">
        <f>ROUND((A22+Forudsætninger!$E$60)/30.4,1)</f>
        <v>1.8</v>
      </c>
      <c r="C22" s="1">
        <f>VLOOKUP((A22+Forudsætninger!$E$60),'Model tilvækst, slagteform, fe'!A:D,4,FALSE)</f>
        <v>80.952106733841546</v>
      </c>
      <c r="D22" s="3">
        <f t="shared" si="26"/>
        <v>1045.3265789059856</v>
      </c>
      <c r="E22" s="3">
        <f>(1+Forudsætninger!$E$78)*C22</f>
        <v>74.475938195134219</v>
      </c>
      <c r="F22" s="2">
        <f t="shared" si="9"/>
        <v>8.7624773425560694</v>
      </c>
      <c r="G22" s="1">
        <f t="shared" si="1"/>
        <v>83.238415537690287</v>
      </c>
      <c r="H22" s="3">
        <f t="shared" si="10"/>
        <v>857.16779470290305</v>
      </c>
      <c r="I22" s="3">
        <f t="shared" si="2"/>
        <v>761.92077688451434</v>
      </c>
      <c r="J22" s="1">
        <f>VLOOKUP((A22+Forudsætninger!$E$60),'Model tilvækst, slagteform, fe'!G:K,4,FALSE)*(1+Forudsætninger!$E$79)</f>
        <v>48.966504112418299</v>
      </c>
      <c r="K22" s="17">
        <f t="shared" si="3"/>
        <v>40.758942167374947</v>
      </c>
      <c r="L22" s="17">
        <f t="shared" si="11"/>
        <v>440.03639037773468</v>
      </c>
      <c r="M22" s="3">
        <f>((K22-(('Model tilvækst, slagteform, fe'!$J$9/100)*'Model tilvækst, slagteform, fe'!$D$9))*1000/(A22+Forudsætninger!$E$60))</f>
        <v>366.50953629520882</v>
      </c>
      <c r="N22" s="17">
        <f t="shared" si="12"/>
        <v>43.160545031090294</v>
      </c>
      <c r="O22" s="19">
        <f>IF( A22&lt;Forudsætninger!$C$14,(G22/100)*Forudsætninger!$C$13,(Forudsætninger!$C$15/1000)*Forudsætninger!$C$13)</f>
        <v>0.54104970099498695</v>
      </c>
      <c r="P22" s="17" cm="1">
        <f t="array" ref="P22">INDEX('Model tilvækst, slagteform, fe'!$P$9:$P$375,MATCH(MIN(ABS('Model tilvækst, slagteform, fe'!$M$9:$M$375-G22)),ABS('Model tilvækst, slagteform, fe'!$M$9:$M$375-G22),0))*(1+Forudsætninger!$E$80)</f>
        <v>2.3952989929945097</v>
      </c>
      <c r="Q22" s="17">
        <f t="shared" si="13"/>
        <v>5.443411148196958</v>
      </c>
      <c r="R22" s="17">
        <f t="shared" si="14"/>
        <v>5.5388938482581676</v>
      </c>
      <c r="S22" s="17">
        <f t="shared" si="15"/>
        <v>2.8323512326027704</v>
      </c>
      <c r="T22" s="19">
        <f>(P22)*IF(N22&lt;Forudsætninger!$B$228,IF(N22&lt;Forudsætninger!$B$227,Forudsætninger!$B$225,Forudsætninger!$C$9),Forudsætninger!$C$11)+O22</f>
        <v>6.5532501734112056</v>
      </c>
      <c r="U22" s="5">
        <f>Forudsætninger!$E$68+((K22-(Forudsætninger!$E$84)))*0.01</f>
        <v>5.1241531312454187</v>
      </c>
      <c r="V22" s="2">
        <f>U22+Forudsætninger!$E$69</f>
        <v>5.1241531312454187</v>
      </c>
      <c r="W22">
        <f t="shared" si="4"/>
        <v>0</v>
      </c>
      <c r="X22">
        <f>IF(A22+Forudsætninger!$E$60&gt;248,IF(A22+Forudsætninger!$E$60&lt;365,IF(K22&gt;180,IF(K22&lt;260,1,0),0),0),0)</f>
        <v>0</v>
      </c>
      <c r="Y22" s="22">
        <f>IF(X22=0,0,IF('Vækstfunktion, kry kvie'!A22&lt;Forudsætninger!$E$66,Forudsætninger!$E$67+(('Vækstfunktion, kry kvie'!A22-Forudsætninger!$E$66)/7)*Forudsætninger!$E$64,Forudsætninger!$E$67))</f>
        <v>0</v>
      </c>
      <c r="Z22" s="19">
        <f t="shared" si="20"/>
        <v>601.82199433278811</v>
      </c>
      <c r="AA22" s="19">
        <f>Forudsætninger!$E$62+Forudsætninger!$C$16</f>
        <v>1575</v>
      </c>
      <c r="AB22" s="19">
        <f>IF(K22&gt;Forudsætninger!$C$48,IF(K22&gt;Forudsætninger!$C$49,IF(K22&gt;Forudsætninger!$C$50,Forudsætninger!$E$50,Forudsætninger!$E$49+Forudsætninger!$F$50*(K22-Forudsætninger!$C$49)),Forudsætninger!$E$48+Forudsætninger!$F$49*(K22-Forudsætninger!$C$48)),Forudsætninger!$E$48)+IF(K22&gt;Forudsætninger!$C$50,Forudsætninger!$G$50,IF(K22&gt;Forudsætninger!$C$49,Forudsætninger!$G$49+Forudsætninger!$H$50*(K22-Forudsætninger!$C$49),IF(K22&gt;Forudsætninger!$C$48,Forudsætninger!$G$48+Forudsætninger!$H$49*(K22-Forudsætninger!$C$48),Forudsætninger!$G$48)))*(U22-Forudsætninger!$H$48)</f>
        <v>35.112415313124544</v>
      </c>
      <c r="AC22" s="19">
        <f>IF(K22&gt;Forudsætninger!$C$52,IF(K22&gt;Forudsætninger!$C$53,IF(K22&gt;Forudsætninger!$C$54,Forudsætninger!$E$54,Forudsætninger!$E$53+Forudsætninger!$F$54*(K22-Forudsætninger!$C$53)),Forudsætninger!$E$52+Forudsætninger!$F$53*(K22-Forudsætninger!$C$52)),Forudsætninger!$E$52)+IF(K22&gt;Forudsætninger!$C$54,Forudsætninger!$G$54,IF(K22&gt;Forudsætninger!$C$53,Forudsætninger!$G$53+Forudsætninger!$H$54*(K22-Forudsætninger!$C$53),IF(K22&gt;Forudsætninger!$C$52,Forudsætninger!$G$52+Forudsætninger!$H$53*(K22-Forudsætninger!$C$52),Forudsætninger!$G$52)))*(V22-Forudsætninger!$H$52)</f>
        <v>29.931038282811354</v>
      </c>
      <c r="AD22" s="19">
        <f t="shared" si="5"/>
        <v>1219.9574583785936</v>
      </c>
      <c r="AE22" s="19">
        <f t="shared" si="6"/>
        <v>29.931038282811357</v>
      </c>
      <c r="AF22">
        <f>IF(G22&lt;=Forudsætninger!$C$97,Forudsætninger!$C$98,(IF(G22&lt;=Forudsætninger!$D$97,Forudsætninger!$D$98,IF(G22&lt;=Forudsætninger!$E$97,Forudsætninger!$E$98,IF(G22&lt;=Forudsætninger!$F$97,Forudsætninger!$F$98,IF(G22&lt;=Forudsætninger!$G$97,Forudsætninger!$G$98,IF(G22&lt;=Forudsætninger!$H$97,Forudsætninger!$H$98,IF(G22&lt;=Forudsætninger!$I$97,Forudsætninger!$I$98,Forudsætninger!$I$98))))))))</f>
        <v>1.8</v>
      </c>
      <c r="AG22" s="1">
        <f t="shared" si="16"/>
        <v>2.2000000000000002</v>
      </c>
      <c r="AH22" s="1">
        <f t="shared" si="21"/>
        <v>44.000000000000007</v>
      </c>
      <c r="AI22" s="1">
        <f t="shared" si="7"/>
        <v>2.2000000000000002</v>
      </c>
      <c r="AJ22" s="20">
        <f>+(W22*Forudsætninger!$C$12)</f>
        <v>0</v>
      </c>
      <c r="AK22" s="20">
        <f>Forudsætninger!$C$17</f>
        <v>250</v>
      </c>
      <c r="AL22" s="20">
        <f>IF(A22&lt;92,Forudsætninger!$C$20,Forudsætninger!$C$21)</f>
        <v>4.0072859744990899</v>
      </c>
      <c r="AM22" s="20">
        <f t="shared" si="17"/>
        <v>80.145719489981772</v>
      </c>
      <c r="AN22" s="19">
        <f>IFERROR(AD22+AJ22-AA22-Z22-AK22-AM22-Forudsætninger!$E$75,-999999)</f>
        <v>-1478.2270167807919</v>
      </c>
      <c r="AO22" s="19">
        <f>IFERROR(AN22/(A22+Forudsætninger!$E$74),-999999)</f>
        <v>-73.911350839039599</v>
      </c>
      <c r="AP22" s="19">
        <f>IFERROR(((365/(A22+Forudsætninger!$E$74))*AN22)/(AI22+Forudsætninger!$E$73),-999999)</f>
        <v>-11678.633357683746</v>
      </c>
      <c r="AQ22" s="18">
        <f t="shared" si="8"/>
        <v>20</v>
      </c>
      <c r="AR22" s="18">
        <f t="shared" si="22"/>
        <v>2506.9677138227698</v>
      </c>
      <c r="AS22" s="18">
        <f t="shared" si="0"/>
        <v>1.8</v>
      </c>
      <c r="AT22" s="50">
        <f t="shared" si="23"/>
        <v>2.654564362721203</v>
      </c>
      <c r="AU22" s="50">
        <f t="shared" si="24"/>
        <v>4.0297850106189799</v>
      </c>
      <c r="AV22" s="2">
        <f t="shared" si="25"/>
        <v>636.74092159131214</v>
      </c>
      <c r="AW22" s="16">
        <f t="shared" si="19"/>
        <v>-69.904064864540516</v>
      </c>
      <c r="AZ22" s="16"/>
      <c r="BA22" s="2"/>
    </row>
    <row r="23" spans="1:53" x14ac:dyDescent="0.25">
      <c r="A23">
        <v>21</v>
      </c>
      <c r="B23" s="1">
        <f>ROUND((A23+Forudsætninger!$E$60)/30.4,1)</f>
        <v>1.9</v>
      </c>
      <c r="C23" s="1">
        <f>VLOOKUP((A23+Forudsætninger!$E$60),'Model tilvækst, slagteform, fe'!A:D,4,FALSE)</f>
        <v>82.008678839176383</v>
      </c>
      <c r="D23" s="3">
        <f t="shared" si="26"/>
        <v>1056.572105334837</v>
      </c>
      <c r="E23" s="3">
        <f>(1+Forudsætninger!$E$78)*C23</f>
        <v>75.44798453204227</v>
      </c>
      <c r="F23" s="2">
        <f t="shared" si="9"/>
        <v>8.6568201320225864</v>
      </c>
      <c r="G23" s="1">
        <f t="shared" si="1"/>
        <v>84.104804664064858</v>
      </c>
      <c r="H23" s="3">
        <f t="shared" si="10"/>
        <v>866.38912637457111</v>
      </c>
      <c r="I23" s="3">
        <f t="shared" si="2"/>
        <v>766.89546019356465</v>
      </c>
      <c r="J23" s="1">
        <f>VLOOKUP((A23+Forudsætninger!$E$60),'Model tilvækst, slagteform, fe'!G:K,4,FALSE)*(1+Forudsætninger!$E$79)</f>
        <v>48.991065546351152</v>
      </c>
      <c r="K23" s="17">
        <f t="shared" si="3"/>
        <v>41.203839980602616</v>
      </c>
      <c r="L23" s="17">
        <f t="shared" si="11"/>
        <v>444.8978132276693</v>
      </c>
      <c r="M23" s="3">
        <f>((K23-(('Model tilvækst, slagteform, fe'!$J$9/100)*'Model tilvækst, slagteform, fe'!$D$9))*1000/(A23+Forudsætninger!$E$60))</f>
        <v>367.88476922384848</v>
      </c>
      <c r="N23" s="17">
        <f t="shared" si="12"/>
        <v>45.593551749147679</v>
      </c>
      <c r="O23" s="19">
        <f>IF( A23&lt;Forudsætninger!$C$14,(G23/100)*Forudsætninger!$C$13,(Forudsætninger!$C$15/1000)*Forudsætninger!$C$13)</f>
        <v>0.54668123031642157</v>
      </c>
      <c r="P23" s="17" cm="1">
        <f t="array" ref="P23">INDEX('Model tilvækst, slagteform, fe'!$P$9:$P$375,MATCH(MIN(ABS('Model tilvækst, slagteform, fe'!$M$9:$M$375-G23)),ABS('Model tilvækst, slagteform, fe'!$M$9:$M$375-G23),0))*(1+Forudsætninger!$E$80)</f>
        <v>2.4330067180573813</v>
      </c>
      <c r="Q23" s="17">
        <f t="shared" si="13"/>
        <v>5.4686866190828614</v>
      </c>
      <c r="R23" s="17">
        <f t="shared" si="14"/>
        <v>5.5351018834467522</v>
      </c>
      <c r="S23" s="17">
        <f t="shared" si="15"/>
        <v>2.8310527634577252</v>
      </c>
      <c r="T23" s="19">
        <f>(P23)*IF(N23&lt;Forudsætninger!$B$228,IF(N23&lt;Forudsætninger!$B$227,Forudsætninger!$B$225,Forudsætninger!$C$9),Forudsætninger!$C$11)+O23</f>
        <v>6.6535280926404479</v>
      </c>
      <c r="U23" s="5">
        <f>Forudsætninger!$E$68+((K23-(Forudsætninger!$E$84)))*0.01</f>
        <v>5.1286021093776952</v>
      </c>
      <c r="V23" s="2">
        <f>U23+Forudsætninger!$E$69</f>
        <v>5.1286021093776952</v>
      </c>
      <c r="W23">
        <f t="shared" si="4"/>
        <v>0</v>
      </c>
      <c r="X23">
        <f>IF(A23+Forudsætninger!$E$60&gt;248,IF(A23+Forudsætninger!$E$60&lt;365,IF(K23&gt;180,IF(K23&lt;260,1,0),0),0),0)</f>
        <v>0</v>
      </c>
      <c r="Y23" s="22">
        <f>IF(X23=0,0,IF('Vækstfunktion, kry kvie'!A23&lt;Forudsætninger!$E$66,Forudsætninger!$E$67+(('Vækstfunktion, kry kvie'!A23-Forudsætninger!$E$66)/7)*Forudsætninger!$E$64,Forudsætninger!$E$67))</f>
        <v>0</v>
      </c>
      <c r="Z23" s="19">
        <f t="shared" si="20"/>
        <v>608.47552242542861</v>
      </c>
      <c r="AA23" s="19">
        <f>Forudsætninger!$E$62+Forudsætninger!$C$16</f>
        <v>1575</v>
      </c>
      <c r="AB23" s="19">
        <f>IF(K23&gt;Forudsætninger!$C$48,IF(K23&gt;Forudsætninger!$C$49,IF(K23&gt;Forudsætninger!$C$50,Forudsætninger!$E$50,Forudsætninger!$E$49+Forudsætninger!$F$50*(K23-Forudsætninger!$C$49)),Forudsætninger!$E$48+Forudsætninger!$F$49*(K23-Forudsætninger!$C$48)),Forudsætninger!$E$48)+IF(K23&gt;Forudsætninger!$C$50,Forudsætninger!$G$50,IF(K23&gt;Forudsætninger!$C$49,Forudsætninger!$G$49+Forudsætninger!$H$50*(K23-Forudsætninger!$C$49),IF(K23&gt;Forudsætninger!$C$48,Forudsætninger!$G$48+Forudsætninger!$H$49*(K23-Forudsætninger!$C$48),Forudsætninger!$G$48)))*(U23-Forudsætninger!$H$48)</f>
        <v>35.112860210937768</v>
      </c>
      <c r="AC23" s="19">
        <f>IF(K23&gt;Forudsætninger!$C$52,IF(K23&gt;Forudsætninger!$C$53,IF(K23&gt;Forudsætninger!$C$54,Forudsætninger!$E$54,Forudsætninger!$E$53+Forudsætninger!$F$54*(K23-Forudsætninger!$C$53)),Forudsætninger!$E$52+Forudsætninger!$F$53*(K23-Forudsætninger!$C$52)),Forudsætninger!$E$52)+IF(K23&gt;Forudsætninger!$C$54,Forudsætninger!$G$54,IF(K23&gt;Forudsætninger!$C$53,Forudsætninger!$G$53+Forudsætninger!$H$54*(K23-Forudsætninger!$C$53),IF(K23&gt;Forudsætninger!$C$52,Forudsætninger!$G$52+Forudsætninger!$H$53*(K23-Forudsætninger!$C$52),Forudsætninger!$G$52)))*(V23-Forudsætninger!$H$52)</f>
        <v>29.932150527344422</v>
      </c>
      <c r="AD23" s="19">
        <f t="shared" si="5"/>
        <v>1233.3195406040097</v>
      </c>
      <c r="AE23" s="19">
        <f t="shared" si="6"/>
        <v>29.932150527344419</v>
      </c>
      <c r="AF23">
        <f>IF(G23&lt;=Forudsætninger!$C$97,Forudsætninger!$C$98,(IF(G23&lt;=Forudsætninger!$D$97,Forudsætninger!$D$98,IF(G23&lt;=Forudsætninger!$E$97,Forudsætninger!$E$98,IF(G23&lt;=Forudsætninger!$F$97,Forudsætninger!$F$98,IF(G23&lt;=Forudsætninger!$G$97,Forudsætninger!$G$98,IF(G23&lt;=Forudsætninger!$H$97,Forudsætninger!$H$98,IF(G23&lt;=Forudsætninger!$I$97,Forudsætninger!$I$98,Forudsætninger!$I$98))))))))</f>
        <v>1.8</v>
      </c>
      <c r="AG23" s="1">
        <f t="shared" si="16"/>
        <v>2.2000000000000002</v>
      </c>
      <c r="AH23" s="1">
        <f t="shared" si="21"/>
        <v>46.20000000000001</v>
      </c>
      <c r="AI23" s="1">
        <f t="shared" si="7"/>
        <v>2.2000000000000006</v>
      </c>
      <c r="AJ23" s="20">
        <f>+(W23*Forudsætninger!$C$12)</f>
        <v>0</v>
      </c>
      <c r="AK23" s="20">
        <f>Forudsætninger!$C$17</f>
        <v>250</v>
      </c>
      <c r="AL23" s="20">
        <f>IF(A23&lt;92,Forudsætninger!$C$20,Forudsætninger!$C$21)</f>
        <v>4.0072859744990899</v>
      </c>
      <c r="AM23" s="20">
        <f t="shared" si="17"/>
        <v>84.153005464480856</v>
      </c>
      <c r="AN23" s="19">
        <f>IFERROR(AD23+AJ23-AA23-Z23-AK23-AM23-Forudsætninger!$E$75,-999999)</f>
        <v>-1475.5257486225155</v>
      </c>
      <c r="AO23" s="19">
        <f>IFERROR(AN23/(A23+Forudsætninger!$E$74),-999999)</f>
        <v>-70.263130886786456</v>
      </c>
      <c r="AP23" s="19">
        <f>IFERROR(((365/(A23+Forudsætninger!$E$74))*AN23)/(AI23+Forudsætninger!$E$73),-999999)</f>
        <v>-11102.183018907814</v>
      </c>
      <c r="AQ23" s="18">
        <f t="shared" si="8"/>
        <v>21</v>
      </c>
      <c r="AR23" s="18">
        <f t="shared" si="22"/>
        <v>2517.6285278899095</v>
      </c>
      <c r="AS23" s="18">
        <f t="shared" si="0"/>
        <v>1.9</v>
      </c>
      <c r="AT23" s="50">
        <f t="shared" si="23"/>
        <v>2.7012681582764344</v>
      </c>
      <c r="AU23" s="50">
        <f t="shared" si="24"/>
        <v>3.6482199522531431</v>
      </c>
      <c r="AV23" s="2">
        <f t="shared" si="25"/>
        <v>576.45033877593232</v>
      </c>
      <c r="AW23" s="16">
        <f t="shared" si="19"/>
        <v>-66.255844912287358</v>
      </c>
      <c r="AZ23" s="16"/>
      <c r="BA23" s="2"/>
    </row>
    <row r="24" spans="1:53" x14ac:dyDescent="0.25">
      <c r="A24">
        <v>22</v>
      </c>
      <c r="B24" s="1">
        <f>ROUND((A24+Forudsætninger!$E$60)/30.4,1)</f>
        <v>1.9</v>
      </c>
      <c r="C24" s="1">
        <f>VLOOKUP((A24+Forudsætninger!$E$60),'Model tilvækst, slagteform, fe'!A:D,4,FALSE)</f>
        <v>83.076359502106769</v>
      </c>
      <c r="D24" s="3">
        <f t="shared" si="26"/>
        <v>1067.6806629303856</v>
      </c>
      <c r="E24" s="3">
        <f>(1+Forudsætninger!$E$78)*C24</f>
        <v>76.430250741938224</v>
      </c>
      <c r="F24" s="2">
        <f t="shared" si="9"/>
        <v>8.5500520657295471</v>
      </c>
      <c r="G24" s="1">
        <f t="shared" si="1"/>
        <v>84.980302807667769</v>
      </c>
      <c r="H24" s="3">
        <f t="shared" si="10"/>
        <v>875.49814360291123</v>
      </c>
      <c r="I24" s="3">
        <f t="shared" si="2"/>
        <v>771.83194580308043</v>
      </c>
      <c r="J24" s="1">
        <f>VLOOKUP((A24+Forudsætninger!$E$60),'Model tilvækst, slagteform, fe'!G:K,4,FALSE)*(1+Forudsætninger!$E$79)</f>
        <v>49.015514517644789</v>
      </c>
      <c r="K24" s="17">
        <f t="shared" si="3"/>
        <v>41.653532659830894</v>
      </c>
      <c r="L24" s="17">
        <f t="shared" si="11"/>
        <v>449.69267922827783</v>
      </c>
      <c r="M24" s="3">
        <f>((K24-(('Model tilvækst, slagteform, fe'!$J$9/100)*'Model tilvækst, slagteform, fe'!$D$9))*1000/(A24+Forudsætninger!$E$60))</f>
        <v>369.2952504308214</v>
      </c>
      <c r="N24" s="17">
        <f t="shared" si="12"/>
        <v>48.064130543052769</v>
      </c>
      <c r="O24" s="19">
        <f>IF( A24&lt;Forudsætninger!$C$14,(G24/100)*Forudsætninger!$C$13,(Forudsætninger!$C$15/1000)*Forudsætninger!$C$13)</f>
        <v>0.55237196824984058</v>
      </c>
      <c r="P24" s="17" cm="1">
        <f t="array" ref="P24">INDEX('Model tilvækst, slagteform, fe'!$P$9:$P$375,MATCH(MIN(ABS('Model tilvækst, slagteform, fe'!$M$9:$M$375-G24)),ABS('Model tilvækst, slagteform, fe'!$M$9:$M$375-G24),0))*(1+Forudsætninger!$E$80)</f>
        <v>2.4705787939050881</v>
      </c>
      <c r="Q24" s="17">
        <f t="shared" si="13"/>
        <v>5.4939270929312736</v>
      </c>
      <c r="R24" s="17">
        <f t="shared" si="14"/>
        <v>5.5329703876961354</v>
      </c>
      <c r="S24" s="17">
        <f t="shared" si="15"/>
        <v>2.8305814735735173</v>
      </c>
      <c r="T24" s="19">
        <f>(P24)*IF(N24&lt;Forudsætninger!$B$228,IF(N24&lt;Forudsætninger!$B$227,Forudsætninger!$B$225,Forudsætninger!$C$9),Forudsætninger!$C$11)+O24</f>
        <v>6.7535247409516108</v>
      </c>
      <c r="U24" s="5">
        <f>Forudsætninger!$E$68+((K24-(Forudsætninger!$E$84)))*0.01</f>
        <v>5.1330990361699778</v>
      </c>
      <c r="V24" s="2">
        <f>U24+Forudsætninger!$E$69</f>
        <v>5.1330990361699778</v>
      </c>
      <c r="W24">
        <f t="shared" si="4"/>
        <v>0</v>
      </c>
      <c r="X24">
        <f>IF(A24+Forudsætninger!$E$60&gt;248,IF(A24+Forudsætninger!$E$60&lt;365,IF(K24&gt;180,IF(K24&lt;260,1,0),0),0),0)</f>
        <v>0</v>
      </c>
      <c r="Y24" s="22">
        <f>IF(X24=0,0,IF('Vækstfunktion, kry kvie'!A24&lt;Forudsætninger!$E$66,Forudsætninger!$E$67+(('Vækstfunktion, kry kvie'!A24-Forudsætninger!$E$66)/7)*Forudsætninger!$E$64,Forudsætninger!$E$67))</f>
        <v>0</v>
      </c>
      <c r="Z24" s="19">
        <f t="shared" si="20"/>
        <v>615.22904716638027</v>
      </c>
      <c r="AA24" s="19">
        <f>Forudsætninger!$E$62+Forudsætninger!$C$16</f>
        <v>1575</v>
      </c>
      <c r="AB24" s="19">
        <f>IF(K24&gt;Forudsætninger!$C$48,IF(K24&gt;Forudsætninger!$C$49,IF(K24&gt;Forudsætninger!$C$50,Forudsætninger!$E$50,Forudsætninger!$E$49+Forudsætninger!$F$50*(K24-Forudsætninger!$C$49)),Forudsætninger!$E$48+Forudsætninger!$F$49*(K24-Forudsætninger!$C$48)),Forudsætninger!$E$48)+IF(K24&gt;Forudsætninger!$C$50,Forudsætninger!$G$50,IF(K24&gt;Forudsætninger!$C$49,Forudsætninger!$G$49+Forudsætninger!$H$50*(K24-Forudsætninger!$C$49),IF(K24&gt;Forudsætninger!$C$48,Forudsætninger!$G$48+Forudsætninger!$H$49*(K24-Forudsætninger!$C$48),Forudsætninger!$G$48)))*(U24-Forudsætninger!$H$48)</f>
        <v>35.113309903617001</v>
      </c>
      <c r="AC24" s="19">
        <f>IF(K24&gt;Forudsætninger!$C$52,IF(K24&gt;Forudsætninger!$C$53,IF(K24&gt;Forudsætninger!$C$54,Forudsætninger!$E$54,Forudsætninger!$E$53+Forudsætninger!$F$54*(K24-Forudsætninger!$C$53)),Forudsætninger!$E$52+Forudsætninger!$F$53*(K24-Forudsætninger!$C$52)),Forudsætninger!$E$52)+IF(K24&gt;Forudsætninger!$C$54,Forudsætninger!$G$54,IF(K24&gt;Forudsætninger!$C$53,Forudsætninger!$G$53+Forudsætninger!$H$54*(K24-Forudsætninger!$C$53),IF(K24&gt;Forudsætninger!$C$52,Forudsætninger!$G$52+Forudsætninger!$H$53*(K24-Forudsætninger!$C$52),Forudsætninger!$G$52)))*(V24-Forudsætninger!$H$52)</f>
        <v>29.933274759042494</v>
      </c>
      <c r="AD24" s="19">
        <f t="shared" si="5"/>
        <v>1246.8266377914683</v>
      </c>
      <c r="AE24" s="19">
        <f t="shared" si="6"/>
        <v>29.933274759042497</v>
      </c>
      <c r="AF24">
        <f>IF(G24&lt;=Forudsætninger!$C$97,Forudsætninger!$C$98,(IF(G24&lt;=Forudsætninger!$D$97,Forudsætninger!$D$98,IF(G24&lt;=Forudsætninger!$E$97,Forudsætninger!$E$98,IF(G24&lt;=Forudsætninger!$F$97,Forudsætninger!$F$98,IF(G24&lt;=Forudsætninger!$G$97,Forudsætninger!$G$98,IF(G24&lt;=Forudsætninger!$H$97,Forudsætninger!$H$98,IF(G24&lt;=Forudsætninger!$I$97,Forudsætninger!$I$98,Forudsætninger!$I$98))))))))</f>
        <v>1.8</v>
      </c>
      <c r="AG24" s="1">
        <f t="shared" si="16"/>
        <v>2.2000000000000002</v>
      </c>
      <c r="AH24" s="1">
        <f t="shared" si="21"/>
        <v>48.400000000000013</v>
      </c>
      <c r="AI24" s="1">
        <f t="shared" si="7"/>
        <v>2.2000000000000006</v>
      </c>
      <c r="AJ24" s="20">
        <f>+(W24*Forudsætninger!$C$12)</f>
        <v>0</v>
      </c>
      <c r="AK24" s="20">
        <f>Forudsætninger!$C$17</f>
        <v>250</v>
      </c>
      <c r="AL24" s="20">
        <f>IF(A24&lt;92,Forudsætninger!$C$20,Forudsætninger!$C$21)</f>
        <v>4.0072859744990899</v>
      </c>
      <c r="AM24" s="20">
        <f t="shared" si="17"/>
        <v>88.160291438979939</v>
      </c>
      <c r="AN24" s="19">
        <f>IFERROR(AD24+AJ24-AA24-Z24-AK24-AM24-Forudsætninger!$E$75,-999999)</f>
        <v>-1472.7794621505077</v>
      </c>
      <c r="AO24" s="19">
        <f>IFERROR(AN24/(A24+Forudsætninger!$E$74),-999999)</f>
        <v>-66.944521006841256</v>
      </c>
      <c r="AP24" s="19">
        <f>IFERROR(((365/(A24+Forudsætninger!$E$74))*AN24)/(AI24+Forudsætninger!$E$73),-999999)</f>
        <v>-10577.8139253234</v>
      </c>
      <c r="AQ24" s="18">
        <f t="shared" si="8"/>
        <v>22</v>
      </c>
      <c r="AR24" s="18">
        <f t="shared" si="22"/>
        <v>2528.3893386053601</v>
      </c>
      <c r="AS24" s="18">
        <f t="shared" si="0"/>
        <v>1.9</v>
      </c>
      <c r="AT24" s="50">
        <f t="shared" si="23"/>
        <v>2.746286472007796</v>
      </c>
      <c r="AU24" s="50">
        <f t="shared" si="24"/>
        <v>3.3186098799451997</v>
      </c>
      <c r="AV24" s="2">
        <f t="shared" si="25"/>
        <v>524.36909358441335</v>
      </c>
      <c r="AW24" s="16">
        <f t="shared" si="19"/>
        <v>-62.937235032342166</v>
      </c>
      <c r="AZ24" s="16"/>
      <c r="BA24" s="2"/>
    </row>
    <row r="25" spans="1:53" x14ac:dyDescent="0.25">
      <c r="A25">
        <v>23</v>
      </c>
      <c r="B25" s="1">
        <f>ROUND((A25+Forudsætninger!$E$60)/30.4,1)</f>
        <v>1.9</v>
      </c>
      <c r="C25" s="1">
        <f>VLOOKUP((A25+Forudsætninger!$E$60),'Model tilvækst, slagteform, fe'!A:D,4,FALSE)</f>
        <v>84.155012338819901</v>
      </c>
      <c r="D25" s="3">
        <f t="shared" si="26"/>
        <v>1078.6528367131325</v>
      </c>
      <c r="E25" s="3">
        <f>(1+Forudsætninger!$E$78)*C25</f>
        <v>77.422611351714309</v>
      </c>
      <c r="F25" s="2">
        <f t="shared" si="9"/>
        <v>8.4421867820582346</v>
      </c>
      <c r="G25" s="1">
        <f t="shared" si="1"/>
        <v>85.864798133772538</v>
      </c>
      <c r="H25" s="3">
        <f t="shared" si="10"/>
        <v>884.49532610476922</v>
      </c>
      <c r="I25" s="3">
        <f t="shared" si="2"/>
        <v>776.73035364228429</v>
      </c>
      <c r="J25" s="1">
        <f>VLOOKUP((A25+Forudsætninger!$E$60),'Model tilvækst, slagteform, fe'!G:K,4,FALSE)*(1+Forudsætninger!$E$79)</f>
        <v>49.039832360730159</v>
      </c>
      <c r="K25" s="17">
        <f t="shared" si="3"/>
        <v>42.107953061681407</v>
      </c>
      <c r="L25" s="17">
        <f t="shared" si="11"/>
        <v>454.42040185051269</v>
      </c>
      <c r="M25" s="3">
        <f>((K25-(('Model tilvækst, slagteform, fe'!$J$9/100)*'Model tilvækst, slagteform, fe'!$D$9))*1000/(A25+Forudsætninger!$E$60))</f>
        <v>370.73804960742632</v>
      </c>
      <c r="N25" s="17">
        <f t="shared" si="12"/>
        <v>50.572141086031252</v>
      </c>
      <c r="O25" s="19">
        <f>IF( A25&lt;Forudsætninger!$C$14,(G25/100)*Forudsætninger!$C$13,(Forudsætninger!$C$15/1000)*Forudsætninger!$C$13)</f>
        <v>0.55812118786952147</v>
      </c>
      <c r="P25" s="17" cm="1">
        <f t="array" ref="P25">INDEX('Model tilvækst, slagteform, fe'!$P$9:$P$375,MATCH(MIN(ABS('Model tilvækst, slagteform, fe'!$M$9:$M$375-G25)),ABS('Model tilvækst, slagteform, fe'!$M$9:$M$375-G25),0))*(1+Forudsætninger!$E$80)</f>
        <v>2.5080105429784849</v>
      </c>
      <c r="Q25" s="17">
        <f t="shared" si="13"/>
        <v>5.5191415983200649</v>
      </c>
      <c r="R25" s="17">
        <f t="shared" si="14"/>
        <v>5.5322829473357578</v>
      </c>
      <c r="S25" s="17">
        <f t="shared" si="15"/>
        <v>2.8308263383299619</v>
      </c>
      <c r="T25" s="19">
        <f>(P25)*IF(N25&lt;Forudsætninger!$B$228,IF(N25&lt;Forudsætninger!$B$227,Forudsætninger!$B$225,Forudsætninger!$C$9),Forudsætninger!$C$11)+O25</f>
        <v>6.8532276507455183</v>
      </c>
      <c r="U25" s="5">
        <f>Forudsætninger!$E$68+((K25-(Forudsætninger!$E$84)))*0.01</f>
        <v>5.1376432401884831</v>
      </c>
      <c r="V25" s="2">
        <f>U25+Forudsætninger!$E$69</f>
        <v>5.1376432401884831</v>
      </c>
      <c r="W25">
        <f t="shared" si="4"/>
        <v>0</v>
      </c>
      <c r="X25">
        <f>IF(A25+Forudsætninger!$E$60&gt;248,IF(A25+Forudsætninger!$E$60&lt;365,IF(K25&gt;180,IF(K25&lt;260,1,0),0),0),0)</f>
        <v>0</v>
      </c>
      <c r="Y25" s="22">
        <f>IF(X25=0,0,IF('Vækstfunktion, kry kvie'!A25&lt;Forudsætninger!$E$66,Forudsætninger!$E$67+(('Vækstfunktion, kry kvie'!A25-Forudsætninger!$E$66)/7)*Forudsætninger!$E$64,Forudsætninger!$E$67))</f>
        <v>0</v>
      </c>
      <c r="Z25" s="19">
        <f>Z24+T25</f>
        <v>622.08227481712584</v>
      </c>
      <c r="AA25" s="19">
        <f>Forudsætninger!$E$62+Forudsætninger!$C$16</f>
        <v>1575</v>
      </c>
      <c r="AB25" s="19">
        <f>IF(K25&gt;Forudsætninger!$C$48,IF(K25&gt;Forudsætninger!$C$49,IF(K25&gt;Forudsætninger!$C$50,Forudsætninger!$E$50,Forudsætninger!$E$49+Forudsætninger!$F$50*(K25-Forudsætninger!$C$49)),Forudsætninger!$E$48+Forudsætninger!$F$49*(K25-Forudsætninger!$C$48)),Forudsætninger!$E$48)+IF(K25&gt;Forudsætninger!$C$50,Forudsætninger!$G$50,IF(K25&gt;Forudsætninger!$C$49,Forudsætninger!$G$49+Forudsætninger!$H$50*(K25-Forudsætninger!$C$49),IF(K25&gt;Forudsætninger!$C$48,Forudsætninger!$G$48+Forudsætninger!$H$49*(K25-Forudsætninger!$C$48),Forudsætninger!$G$48)))*(U25-Forudsætninger!$H$48)</f>
        <v>35.113764324018852</v>
      </c>
      <c r="AC25" s="19">
        <f>IF(K25&gt;Forudsætninger!$C$52,IF(K25&gt;Forudsætninger!$C$53,IF(K25&gt;Forudsætninger!$C$54,Forudsætninger!$E$54,Forudsætninger!$E$53+Forudsætninger!$F$54*(K25-Forudsætninger!$C$53)),Forudsætninger!$E$52+Forudsætninger!$F$53*(K25-Forudsætninger!$C$52)),Forudsætninger!$E$52)+IF(K25&gt;Forudsætninger!$C$54,Forudsætninger!$G$54,IF(K25&gt;Forudsætninger!$C$53,Forudsætninger!$G$53+Forudsætninger!$H$54*(K25-Forudsætninger!$C$53),IF(K25&gt;Forudsætninger!$C$52,Forudsætninger!$G$52+Forudsætninger!$H$53*(K25-Forudsætninger!$C$52),Forudsætninger!$G$52)))*(V25-Forudsætninger!$H$52)</f>
        <v>29.934410810047119</v>
      </c>
      <c r="AD25" s="19">
        <f t="shared" si="5"/>
        <v>1260.4767653185527</v>
      </c>
      <c r="AE25" s="19">
        <f t="shared" si="6"/>
        <v>29.934410810047122</v>
      </c>
      <c r="AF25">
        <f>IF(G25&lt;=Forudsætninger!$C$97,Forudsætninger!$C$98,(IF(G25&lt;=Forudsætninger!$D$97,Forudsætninger!$D$98,IF(G25&lt;=Forudsætninger!$E$97,Forudsætninger!$E$98,IF(G25&lt;=Forudsætninger!$F$97,Forudsætninger!$F$98,IF(G25&lt;=Forudsætninger!$G$97,Forudsætninger!$G$98,IF(G25&lt;=Forudsætninger!$H$97,Forudsætninger!$H$98,IF(G25&lt;=Forudsætninger!$I$97,Forudsætninger!$I$98,Forudsætninger!$I$98))))))))</f>
        <v>1.8</v>
      </c>
      <c r="AG25" s="1">
        <f t="shared" si="16"/>
        <v>2.2000000000000002</v>
      </c>
      <c r="AH25" s="1">
        <f t="shared" si="21"/>
        <v>50.600000000000016</v>
      </c>
      <c r="AI25" s="1">
        <f t="shared" si="7"/>
        <v>2.2000000000000006</v>
      </c>
      <c r="AJ25" s="20">
        <f>+(W25*Forudsætninger!$C$12)</f>
        <v>0</v>
      </c>
      <c r="AK25" s="20">
        <f>Forudsætninger!$C$17</f>
        <v>250</v>
      </c>
      <c r="AL25" s="20">
        <f>IF(A25&lt;92,Forudsætninger!$C$20,Forudsætninger!$C$21)</f>
        <v>4.0072859744990899</v>
      </c>
      <c r="AM25" s="20">
        <f t="shared" si="17"/>
        <v>92.167577413479023</v>
      </c>
      <c r="AN25" s="19">
        <f>IFERROR(AD25+AJ25-AA25-Z25-AK25-AM25-Forudsætninger!$E$75,-999999)</f>
        <v>-1469.9898482486678</v>
      </c>
      <c r="AO25" s="19">
        <f>IFERROR(AN25/(A25+Forudsætninger!$E$74),-999999)</f>
        <v>-63.912602097768165</v>
      </c>
      <c r="AP25" s="19">
        <f>IFERROR(((365/(A25+Forudsætninger!$E$74))*AN25)/(AI25+Forudsætninger!$E$73),-999999)</f>
        <v>-10098.744487309687</v>
      </c>
      <c r="AQ25" s="18">
        <f t="shared" si="8"/>
        <v>23</v>
      </c>
      <c r="AR25" s="18">
        <f t="shared" si="22"/>
        <v>2539.249852230605</v>
      </c>
      <c r="AS25" s="18">
        <f t="shared" si="0"/>
        <v>1.9</v>
      </c>
      <c r="AT25" s="50">
        <f t="shared" si="23"/>
        <v>2.7896139018398571</v>
      </c>
      <c r="AU25" s="50">
        <f t="shared" si="24"/>
        <v>3.0319189090730916</v>
      </c>
      <c r="AV25" s="2">
        <f t="shared" si="25"/>
        <v>479.06943801371381</v>
      </c>
      <c r="AW25" s="16">
        <f t="shared" si="19"/>
        <v>-59.905316123269081</v>
      </c>
      <c r="AZ25" s="16"/>
      <c r="BA25" s="2"/>
    </row>
    <row r="26" spans="1:53" x14ac:dyDescent="0.25">
      <c r="A26">
        <v>24</v>
      </c>
      <c r="B26" s="1">
        <f>ROUND((A26+Forudsætninger!$E$60)/30.4,1)</f>
        <v>2</v>
      </c>
      <c r="C26" s="1">
        <f>VLOOKUP((A26+Forudsætninger!$E$60),'Model tilvækst, slagteform, fe'!A:D,4,FALSE)</f>
        <v>85.244501550523665</v>
      </c>
      <c r="D26" s="3">
        <f t="shared" si="26"/>
        <v>1089.4892117037643</v>
      </c>
      <c r="E26" s="3">
        <f>(1+Forudsætninger!$E$78)*C26</f>
        <v>78.42494142648178</v>
      </c>
      <c r="F26" s="2">
        <f t="shared" si="9"/>
        <v>8.3332378608878575</v>
      </c>
      <c r="G26" s="1">
        <f t="shared" si="1"/>
        <v>86.758179287369643</v>
      </c>
      <c r="H26" s="3">
        <f t="shared" si="10"/>
        <v>893.38115359710457</v>
      </c>
      <c r="I26" s="3">
        <f t="shared" si="2"/>
        <v>781.59080364040176</v>
      </c>
      <c r="J26" s="1">
        <f>VLOOKUP((A26+Forudsætninger!$E$60),'Model tilvækst, slagteform, fe'!G:K,4,FALSE)*(1+Forudsætninger!$E$79)</f>
        <v>49.06400041003824</v>
      </c>
      <c r="K26" s="17">
        <f t="shared" si="3"/>
        <v>42.567033441296751</v>
      </c>
      <c r="L26" s="17">
        <f t="shared" si="11"/>
        <v>459.08037961534376</v>
      </c>
      <c r="M26" s="3">
        <f>((K26-(('Model tilvækst, slagteform, fe'!$J$9/100)*'Model tilvækst, slagteform, fe'!$D$9))*1000/(A26+Forudsætninger!$E$60))</f>
        <v>372.21042177422498</v>
      </c>
      <c r="N26" s="17">
        <f t="shared" si="12"/>
        <v>53.080151629009734</v>
      </c>
      <c r="O26" s="19">
        <f>IF( A26&lt;Forudsætninger!$C$14,(G26/100)*Forudsætninger!$C$13,(Forudsætninger!$C$15/1000)*Forudsætninger!$C$13)</f>
        <v>0.56392816536790269</v>
      </c>
      <c r="P26" s="17" cm="1">
        <f t="array" ref="P26">INDEX('Model tilvækst, slagteform, fe'!$P$9:$P$375,MATCH(MIN(ABS('Model tilvækst, slagteform, fe'!$M$9:$M$375-G26)),ABS('Model tilvækst, slagteform, fe'!$M$9:$M$375-G26),0))*(1+Forudsætninger!$E$80)</f>
        <v>2.5080105429784849</v>
      </c>
      <c r="Q26" s="17">
        <f t="shared" si="13"/>
        <v>5.4631185612417319</v>
      </c>
      <c r="R26" s="17">
        <f t="shared" si="14"/>
        <v>5.5289755697812248</v>
      </c>
      <c r="S26" s="17">
        <f t="shared" si="15"/>
        <v>2.8297070209127355</v>
      </c>
      <c r="T26" s="19">
        <f>(P26)*IF(N26&lt;Forudsætninger!$B$228,IF(N26&lt;Forudsætninger!$B$227,Forudsætninger!$B$225,Forudsætninger!$C$9),Forudsætninger!$C$11)+O26</f>
        <v>6.859034628243899</v>
      </c>
      <c r="U26" s="5">
        <f>Forudsætninger!$E$68+((K26-(Forudsætninger!$E$84)))*0.01</f>
        <v>5.1422340439846366</v>
      </c>
      <c r="V26" s="2">
        <f>U26+Forudsætninger!$E$69</f>
        <v>5.1422340439846366</v>
      </c>
      <c r="W26">
        <f t="shared" si="4"/>
        <v>0</v>
      </c>
      <c r="X26">
        <f>IF(A26+Forudsætninger!$E$60&gt;248,IF(A26+Forudsætninger!$E$60&lt;365,IF(K26&gt;180,IF(K26&lt;260,1,0),0),0),0)</f>
        <v>0</v>
      </c>
      <c r="Y26" s="22">
        <f>IF(X26=0,0,IF('Vækstfunktion, kry kvie'!A26&lt;Forudsætninger!$E$66,Forudsætninger!$E$67+(('Vækstfunktion, kry kvie'!A26-Forudsætninger!$E$66)/7)*Forudsætninger!$E$64,Forudsætninger!$E$67))</f>
        <v>0</v>
      </c>
      <c r="Z26" s="19">
        <f t="shared" si="20"/>
        <v>628.94130944536971</v>
      </c>
      <c r="AA26" s="19">
        <f>Forudsætninger!$E$62+Forudsætninger!$C$16</f>
        <v>1575</v>
      </c>
      <c r="AB26" s="19">
        <f>IF(K26&gt;Forudsætninger!$C$48,IF(K26&gt;Forudsætninger!$C$49,IF(K26&gt;Forudsætninger!$C$50,Forudsætninger!$E$50,Forudsætninger!$E$49+Forudsætninger!$F$50*(K26-Forudsætninger!$C$49)),Forudsætninger!$E$48+Forudsætninger!$F$49*(K26-Forudsætninger!$C$48)),Forudsætninger!$E$48)+IF(K26&gt;Forudsætninger!$C$50,Forudsætninger!$G$50,IF(K26&gt;Forudsætninger!$C$49,Forudsætninger!$G$49+Forudsætninger!$H$50*(K26-Forudsætninger!$C$49),IF(K26&gt;Forudsætninger!$C$48,Forudsætninger!$G$48+Forudsætninger!$H$49*(K26-Forudsætninger!$C$48),Forudsætninger!$G$48)))*(U26-Forudsætninger!$H$48)</f>
        <v>35.114223404398466</v>
      </c>
      <c r="AC26" s="19">
        <f>IF(K26&gt;Forudsætninger!$C$52,IF(K26&gt;Forudsætninger!$C$53,IF(K26&gt;Forudsætninger!$C$54,Forudsætninger!$E$54,Forudsætninger!$E$53+Forudsætninger!$F$54*(K26-Forudsætninger!$C$53)),Forudsætninger!$E$52+Forudsætninger!$F$53*(K26-Forudsætninger!$C$52)),Forudsætninger!$E$52)+IF(K26&gt;Forudsætninger!$C$54,Forudsætninger!$G$54,IF(K26&gt;Forudsætninger!$C$53,Forudsætninger!$G$53+Forudsætninger!$H$54*(K26-Forudsætninger!$C$53),IF(K26&gt;Forudsætninger!$C$52,Forudsætninger!$G$52+Forudsætninger!$H$53*(K26-Forudsætninger!$C$52),Forudsætninger!$G$52)))*(V26-Forudsætninger!$H$52)</f>
        <v>29.935558510996159</v>
      </c>
      <c r="AD26" s="19">
        <f t="shared" si="5"/>
        <v>1274.267920221469</v>
      </c>
      <c r="AE26" s="19">
        <f t="shared" si="6"/>
        <v>29.935558510996159</v>
      </c>
      <c r="AF26">
        <f>IF(G26&lt;=Forudsætninger!$C$97,Forudsætninger!$C$98,(IF(G26&lt;=Forudsætninger!$D$97,Forudsætninger!$D$98,IF(G26&lt;=Forudsætninger!$E$97,Forudsætninger!$E$98,IF(G26&lt;=Forudsætninger!$F$97,Forudsætninger!$F$98,IF(G26&lt;=Forudsætninger!$G$97,Forudsætninger!$G$98,IF(G26&lt;=Forudsætninger!$H$97,Forudsætninger!$H$98,IF(G26&lt;=Forudsætninger!$I$97,Forudsætninger!$I$98,Forudsætninger!$I$98))))))))</f>
        <v>1.8</v>
      </c>
      <c r="AG26" s="1">
        <f t="shared" si="16"/>
        <v>2.2000000000000002</v>
      </c>
      <c r="AH26" s="1">
        <f t="shared" si="21"/>
        <v>52.800000000000018</v>
      </c>
      <c r="AI26" s="1">
        <f t="shared" si="7"/>
        <v>2.2000000000000006</v>
      </c>
      <c r="AJ26" s="20">
        <f>+(W26*Forudsætninger!$C$12)</f>
        <v>0</v>
      </c>
      <c r="AK26" s="20">
        <f>Forudsætninger!$C$17</f>
        <v>250</v>
      </c>
      <c r="AL26" s="20">
        <f>IF(A26&lt;92,Forudsætninger!$C$20,Forudsætninger!$C$21)</f>
        <v>4.0072859744990899</v>
      </c>
      <c r="AM26" s="20">
        <f t="shared" si="17"/>
        <v>96.174863387978107</v>
      </c>
      <c r="AN26" s="19">
        <f>IFERROR(AD26+AJ26-AA26-Z26-AK26-AM26-Forudsætninger!$E$75,-999999)</f>
        <v>-1467.0650139484947</v>
      </c>
      <c r="AO26" s="19">
        <f>IFERROR(AN26/(A26+Forudsætninger!$E$74),-999999)</f>
        <v>-61.127708914520611</v>
      </c>
      <c r="AP26" s="19">
        <f>IFERROR(((365/(A26+Forudsætninger!$E$74))*AN26)/(AI26+Forudsætninger!$E$73),-999999)</f>
        <v>-9658.7072527272794</v>
      </c>
      <c r="AQ26" s="18">
        <f t="shared" si="8"/>
        <v>24</v>
      </c>
      <c r="AR26" s="18">
        <f t="shared" si="22"/>
        <v>2550.1161728333477</v>
      </c>
      <c r="AS26" s="18">
        <f t="shared" si="0"/>
        <v>2</v>
      </c>
      <c r="AT26" s="50">
        <f t="shared" si="23"/>
        <v>2.9248343001731882</v>
      </c>
      <c r="AU26" s="50">
        <f t="shared" si="24"/>
        <v>2.7848931832475543</v>
      </c>
      <c r="AV26" s="2">
        <f t="shared" si="25"/>
        <v>440.03723458240711</v>
      </c>
      <c r="AW26" s="16">
        <f t="shared" si="19"/>
        <v>-57.12042294002152</v>
      </c>
      <c r="AZ26" s="16"/>
      <c r="BA26" s="2"/>
    </row>
    <row r="27" spans="1:53" x14ac:dyDescent="0.25">
      <c r="A27">
        <v>25</v>
      </c>
      <c r="B27" s="1">
        <f>ROUND((A27+Forudsætninger!$E$60)/30.4,1)</f>
        <v>2</v>
      </c>
      <c r="C27" s="1">
        <f>VLOOKUP((A27+Forudsætninger!$E$60),'Model tilvækst, slagteform, fe'!A:D,4,FALSE)</f>
        <v>86.344691923446533</v>
      </c>
      <c r="D27" s="3">
        <f t="shared" si="26"/>
        <v>1100.1903729228673</v>
      </c>
      <c r="E27" s="3">
        <f>(1+Forudsætninger!$E$78)*C27</f>
        <v>79.437116569570819</v>
      </c>
      <c r="F27" s="2">
        <f t="shared" si="9"/>
        <v>8.2232188235955714</v>
      </c>
      <c r="G27" s="1">
        <f t="shared" si="1"/>
        <v>87.660335393166392</v>
      </c>
      <c r="H27" s="3">
        <f t="shared" si="10"/>
        <v>902.15610579674888</v>
      </c>
      <c r="I27" s="3">
        <f t="shared" si="2"/>
        <v>786.41341572665567</v>
      </c>
      <c r="J27" s="1">
        <f>VLOOKUP((A27+Forudsætninger!$E$60),'Model tilvækst, slagteform, fe'!G:K,4,FALSE)*(1+Forudsætninger!$E$79)</f>
        <v>49.088000000000008</v>
      </c>
      <c r="K27" s="17">
        <f t="shared" si="3"/>
        <v>43.030705437797529</v>
      </c>
      <c r="L27" s="17">
        <f t="shared" si="11"/>
        <v>463.6719965007785</v>
      </c>
      <c r="M27" s="3">
        <f>((K27-(('Model tilvækst, slagteform, fe'!$J$9/100)*'Model tilvækst, slagteform, fe'!$D$9))*1000/(A27+Forudsætninger!$E$60))</f>
        <v>373.70979185170944</v>
      </c>
      <c r="N27" s="17">
        <f t="shared" si="12"/>
        <v>55.62544891672816</v>
      </c>
      <c r="O27" s="19">
        <f>IF( A27&lt;Forudsætninger!$C$14,(G27/100)*Forudsætninger!$C$13,(Forudsætninger!$C$15/1000)*Forudsætninger!$C$13)</f>
        <v>0.56979218005558152</v>
      </c>
      <c r="P27" s="17" cm="1">
        <f t="array" ref="P27">INDEX('Model tilvækst, slagteform, fe'!$P$9:$P$375,MATCH(MIN(ABS('Model tilvækst, slagteform, fe'!$M$9:$M$375-G27)),ABS('Model tilvækst, slagteform, fe'!$M$9:$M$375-G27),0))*(1+Forudsætninger!$E$80)</f>
        <v>2.5452972877184283</v>
      </c>
      <c r="Q27" s="17">
        <f t="shared" si="13"/>
        <v>5.4894350034661947</v>
      </c>
      <c r="R27" s="17">
        <f t="shared" si="14"/>
        <v>5.5271538491487746</v>
      </c>
      <c r="S27" s="17">
        <f t="shared" si="15"/>
        <v>2.8293234985229523</v>
      </c>
      <c r="T27" s="19">
        <f>(P27)*IF(N27&lt;Forudsætninger!$B$228,IF(N27&lt;Forudsætninger!$B$227,Forudsætninger!$B$225,Forudsætninger!$C$9),Forudsætninger!$C$11)+O27</f>
        <v>6.9584883722288362</v>
      </c>
      <c r="U27" s="5">
        <f>Forudsætninger!$E$68+((K27-(Forudsætninger!$E$84)))*0.01</f>
        <v>5.1468707639496447</v>
      </c>
      <c r="V27" s="2">
        <f>U27+Forudsætninger!$E$69</f>
        <v>5.1468707639496447</v>
      </c>
      <c r="W27">
        <f t="shared" si="4"/>
        <v>0</v>
      </c>
      <c r="X27">
        <f>IF(A27+Forudsætninger!$E$60&gt;248,IF(A27+Forudsætninger!$E$60&lt;365,IF(K27&gt;180,IF(K27&lt;260,1,0),0),0),0)</f>
        <v>0</v>
      </c>
      <c r="Y27" s="22">
        <f>IF(X27=0,0,IF('Vækstfunktion, kry kvie'!A27&lt;Forudsætninger!$E$66,Forudsætninger!$E$67+(('Vækstfunktion, kry kvie'!A27-Forudsætninger!$E$66)/7)*Forudsætninger!$E$64,Forudsætninger!$E$67))</f>
        <v>0</v>
      </c>
      <c r="Z27" s="19">
        <f t="shared" si="20"/>
        <v>635.8997978175986</v>
      </c>
      <c r="AA27" s="19">
        <f>Forudsætninger!$E$62+Forudsætninger!$C$16</f>
        <v>1575</v>
      </c>
      <c r="AB27" s="19">
        <f>IF(K27&gt;Forudsætninger!$C$48,IF(K27&gt;Forudsætninger!$C$49,IF(K27&gt;Forudsætninger!$C$50,Forudsætninger!$E$50,Forudsætninger!$E$49+Forudsætninger!$F$50*(K27-Forudsætninger!$C$49)),Forudsætninger!$E$48+Forudsætninger!$F$49*(K27-Forudsætninger!$C$48)),Forudsætninger!$E$48)+IF(K27&gt;Forudsætninger!$C$50,Forudsætninger!$G$50,IF(K27&gt;Forudsætninger!$C$49,Forudsætninger!$G$49+Forudsætninger!$H$50*(K27-Forudsætninger!$C$49),IF(K27&gt;Forudsætninger!$C$48,Forudsætninger!$G$48+Forudsætninger!$H$49*(K27-Forudsætninger!$C$48),Forudsætninger!$G$48)))*(U27-Forudsætninger!$H$48)</f>
        <v>35.114687076394965</v>
      </c>
      <c r="AC27" s="19">
        <f>IF(K27&gt;Forudsætninger!$C$52,IF(K27&gt;Forudsætninger!$C$53,IF(K27&gt;Forudsætninger!$C$54,Forudsætninger!$E$54,Forudsætninger!$E$53+Forudsætninger!$F$54*(K27-Forudsætninger!$C$53)),Forudsætninger!$E$52+Forudsætninger!$F$53*(K27-Forudsætninger!$C$52)),Forudsætninger!$E$52)+IF(K27&gt;Forudsætninger!$C$54,Forudsætninger!$G$54,IF(K27&gt;Forudsætninger!$C$53,Forudsætninger!$G$53+Forudsætninger!$H$54*(K27-Forudsætninger!$C$53),IF(K27&gt;Forudsætninger!$C$52,Forudsætninger!$G$52+Forudsætninger!$H$53*(K27-Forudsætninger!$C$52),Forudsætninger!$G$52)))*(V27-Forudsætninger!$H$52)</f>
        <v>29.936717690987411</v>
      </c>
      <c r="AD27" s="19">
        <f t="shared" si="5"/>
        <v>1288.1980807353814</v>
      </c>
      <c r="AE27" s="19">
        <f t="shared" si="6"/>
        <v>29.936717690987408</v>
      </c>
      <c r="AF27">
        <f>IF(G27&lt;=Forudsætninger!$C$97,Forudsætninger!$C$98,(IF(G27&lt;=Forudsætninger!$D$97,Forudsætninger!$D$98,IF(G27&lt;=Forudsætninger!$E$97,Forudsætninger!$E$98,IF(G27&lt;=Forudsætninger!$F$97,Forudsætninger!$F$98,IF(G27&lt;=Forudsætninger!$G$97,Forudsætninger!$G$98,IF(G27&lt;=Forudsætninger!$H$97,Forudsætninger!$H$98,IF(G27&lt;=Forudsætninger!$I$97,Forudsætninger!$I$98,Forudsætninger!$I$98))))))))</f>
        <v>1.8</v>
      </c>
      <c r="AG27" s="1">
        <f t="shared" si="16"/>
        <v>2.2000000000000002</v>
      </c>
      <c r="AH27" s="1">
        <f t="shared" si="21"/>
        <v>55.000000000000021</v>
      </c>
      <c r="AI27" s="1">
        <f t="shared" si="7"/>
        <v>2.2000000000000011</v>
      </c>
      <c r="AJ27" s="20">
        <f>+(W27*Forudsætninger!$C$12)</f>
        <v>0</v>
      </c>
      <c r="AK27" s="20">
        <f>Forudsætninger!$C$17</f>
        <v>250</v>
      </c>
      <c r="AL27" s="20">
        <f>IF(A27&lt;92,Forudsætninger!$C$20,Forudsætninger!$C$21)</f>
        <v>4.0072859744990899</v>
      </c>
      <c r="AM27" s="20">
        <f t="shared" si="17"/>
        <v>100.18214936247719</v>
      </c>
      <c r="AN27" s="19">
        <f>IFERROR(AD27+AJ27-AA27-Z27-AK27-AM27-Forudsætninger!$E$75,-999999)</f>
        <v>-1464.1006277813103</v>
      </c>
      <c r="AO27" s="19">
        <f>IFERROR(AN27/(A27+Forudsætninger!$E$74),-999999)</f>
        <v>-58.564025111252413</v>
      </c>
      <c r="AP27" s="19">
        <f>IFERROR(((365/(A27+Forudsætninger!$E$74))*AN27)/(AI27+Forudsætninger!$E$73),-999999)</f>
        <v>-9253.6230154143395</v>
      </c>
      <c r="AQ27" s="18">
        <f t="shared" si="8"/>
        <v>25</v>
      </c>
      <c r="AR27" s="18">
        <f t="shared" si="22"/>
        <v>2561.0819471800755</v>
      </c>
      <c r="AS27" s="18">
        <f t="shared" si="0"/>
        <v>2</v>
      </c>
      <c r="AT27" s="50">
        <f t="shared" si="23"/>
        <v>2.9643861671843297</v>
      </c>
      <c r="AU27" s="50">
        <f t="shared" si="24"/>
        <v>2.5636838032681979</v>
      </c>
      <c r="AV27" s="2">
        <f t="shared" si="25"/>
        <v>405.08423731293988</v>
      </c>
      <c r="AW27" s="16">
        <f t="shared" si="19"/>
        <v>-54.556739136753322</v>
      </c>
      <c r="AZ27" s="16"/>
      <c r="BA27" s="2"/>
    </row>
    <row r="28" spans="1:53" x14ac:dyDescent="0.25">
      <c r="A28">
        <v>26</v>
      </c>
      <c r="B28" s="1">
        <f>ROUND((A28+Forudsætninger!$E$60)/30.4,1)</f>
        <v>2</v>
      </c>
      <c r="C28" s="1">
        <f>VLOOKUP((A28+Forudsætninger!$E$60),'Model tilvækst, slagteform, fe'!A:D,4,FALSE)</f>
        <v>87.455448828837547</v>
      </c>
      <c r="D28" s="3">
        <f t="shared" si="26"/>
        <v>1110.756905391014</v>
      </c>
      <c r="E28" s="3">
        <f>(1+Forudsætninger!$E$78)*C28</f>
        <v>80.459012922530547</v>
      </c>
      <c r="F28" s="2">
        <f t="shared" si="9"/>
        <v>8.1121431330564704</v>
      </c>
      <c r="G28" s="1">
        <f t="shared" si="1"/>
        <v>88.571156055587011</v>
      </c>
      <c r="H28" s="3">
        <f t="shared" si="10"/>
        <v>910.82066242061899</v>
      </c>
      <c r="I28" s="3">
        <f t="shared" si="2"/>
        <v>791.19830983026964</v>
      </c>
      <c r="J28" s="1">
        <f>VLOOKUP((A28+Forudsætninger!$E$60),'Model tilvækst, slagteform, fe'!G:K,4,FALSE)*(1+Forudsætninger!$E$79)</f>
        <v>49.111816182582452</v>
      </c>
      <c r="K28" s="17">
        <f t="shared" si="3"/>
        <v>43.498903352808142</v>
      </c>
      <c r="L28" s="17">
        <f t="shared" si="11"/>
        <v>468.19791501061303</v>
      </c>
      <c r="M28" s="3">
        <f>((K28-(('Model tilvækst, slagteform, fe'!$J$9/100)*'Model tilvækst, slagteform, fe'!$D$9))*1000/(A28+Forudsætninger!$E$60))</f>
        <v>375.23379383814341</v>
      </c>
      <c r="N28" s="17">
        <f t="shared" si="12"/>
        <v>58.207883267293937</v>
      </c>
      <c r="O28" s="19">
        <f>IF( A28&lt;Forudsætninger!$C$14,(G28/100)*Forudsætninger!$C$13,(Forudsætninger!$C$15/1000)*Forudsætninger!$C$13)</f>
        <v>0.57571251436131554</v>
      </c>
      <c r="P28" s="17" cm="1">
        <f t="array" ref="P28">INDEX('Model tilvækst, slagteform, fe'!$P$9:$P$375,MATCH(MIN(ABS('Model tilvækst, slagteform, fe'!$M$9:$M$375-G28)),ABS('Model tilvækst, slagteform, fe'!$M$9:$M$375-G28),0))*(1+Forudsætninger!$E$80)</f>
        <v>2.582434350565777</v>
      </c>
      <c r="Q28" s="17">
        <f t="shared" si="13"/>
        <v>5.5156895572831388</v>
      </c>
      <c r="R28" s="17">
        <f t="shared" si="14"/>
        <v>5.5266442174765231</v>
      </c>
      <c r="S28" s="17">
        <f t="shared" si="15"/>
        <v>2.8295873654356436</v>
      </c>
      <c r="T28" s="19">
        <f>(P28)*IF(N28&lt;Forudsætninger!$B$228,IF(N28&lt;Forudsætninger!$B$227,Forudsætninger!$B$225,Forudsætninger!$C$9),Forudsætninger!$C$11)+O28</f>
        <v>7.0576227342814155</v>
      </c>
      <c r="U28" s="5">
        <f>Forudsætninger!$E$68+((K28-(Forudsætninger!$E$84)))*0.01</f>
        <v>5.1515527430997503</v>
      </c>
      <c r="V28" s="2">
        <f>U28+Forudsætninger!$E$69</f>
        <v>5.1515527430997503</v>
      </c>
      <c r="W28">
        <f t="shared" si="4"/>
        <v>0</v>
      </c>
      <c r="X28">
        <f>IF(A28+Forudsætninger!$E$60&gt;248,IF(A28+Forudsætninger!$E$60&lt;365,IF(K28&gt;180,IF(K28&lt;260,1,0),0),0),0)</f>
        <v>0</v>
      </c>
      <c r="Y28" s="22">
        <f>IF(X28=0,0,IF('Vækstfunktion, kry kvie'!A28&lt;Forudsætninger!$E$66,Forudsætninger!$E$67+(('Vækstfunktion, kry kvie'!A28-Forudsætninger!$E$66)/7)*Forudsætninger!$E$64,Forudsætninger!$E$67))</f>
        <v>0</v>
      </c>
      <c r="Z28" s="19">
        <f t="shared" si="20"/>
        <v>642.95742055187998</v>
      </c>
      <c r="AA28" s="19">
        <f>Forudsætninger!$E$62+Forudsætninger!$C$16</f>
        <v>1575</v>
      </c>
      <c r="AB28" s="19">
        <f>IF(K28&gt;Forudsætninger!$C$48,IF(K28&gt;Forudsætninger!$C$49,IF(K28&gt;Forudsætninger!$C$50,Forudsætninger!$E$50,Forudsætninger!$E$49+Forudsætninger!$F$50*(K28-Forudsætninger!$C$49)),Forudsætninger!$E$48+Forudsætninger!$F$49*(K28-Forudsætninger!$C$48)),Forudsætninger!$E$48)+IF(K28&gt;Forudsætninger!$C$50,Forudsætninger!$G$50,IF(K28&gt;Forudsætninger!$C$49,Forudsætninger!$G$49+Forudsætninger!$H$50*(K28-Forudsætninger!$C$49),IF(K28&gt;Forudsætninger!$C$48,Forudsætninger!$G$48+Forudsætninger!$H$49*(K28-Forudsætninger!$C$48),Forudsætninger!$G$48)))*(U28-Forudsætninger!$H$48)</f>
        <v>35.115155274309977</v>
      </c>
      <c r="AC28" s="19">
        <f>IF(K28&gt;Forudsætninger!$C$52,IF(K28&gt;Forudsætninger!$C$53,IF(K28&gt;Forudsætninger!$C$54,Forudsætninger!$E$54,Forudsætninger!$E$53+Forudsætninger!$F$54*(K28-Forudsætninger!$C$53)),Forudsætninger!$E$52+Forudsætninger!$F$53*(K28-Forudsætninger!$C$52)),Forudsætninger!$E$52)+IF(K28&gt;Forudsætninger!$C$54,Forudsætninger!$G$54,IF(K28&gt;Forudsætninger!$C$53,Forudsætninger!$G$53+Forudsætninger!$H$54*(K28-Forudsætninger!$C$53),IF(K28&gt;Forudsætninger!$C$52,Forudsætninger!$G$52+Forudsætninger!$H$53*(K28-Forudsætninger!$C$52),Forudsætninger!$G$52)))*(V28-Forudsætninger!$H$52)</f>
        <v>29.937888185774938</v>
      </c>
      <c r="AD28" s="19">
        <f t="shared" si="5"/>
        <v>1302.2653047802007</v>
      </c>
      <c r="AE28" s="19">
        <f t="shared" si="6"/>
        <v>29.937888185774938</v>
      </c>
      <c r="AF28">
        <f>IF(G28&lt;=Forudsætninger!$C$97,Forudsætninger!$C$98,(IF(G28&lt;=Forudsætninger!$D$97,Forudsætninger!$D$98,IF(G28&lt;=Forudsætninger!$E$97,Forudsætninger!$E$98,IF(G28&lt;=Forudsætninger!$F$97,Forudsætninger!$F$98,IF(G28&lt;=Forudsætninger!$G$97,Forudsætninger!$G$98,IF(G28&lt;=Forudsætninger!$H$97,Forudsætninger!$H$98,IF(G28&lt;=Forudsætninger!$I$97,Forudsætninger!$I$98,Forudsætninger!$I$98))))))))</f>
        <v>1.8</v>
      </c>
      <c r="AG28" s="1">
        <f t="shared" si="16"/>
        <v>2.2000000000000002</v>
      </c>
      <c r="AH28" s="1">
        <f t="shared" si="21"/>
        <v>57.200000000000024</v>
      </c>
      <c r="AI28" s="1">
        <f t="shared" si="7"/>
        <v>2.2000000000000011</v>
      </c>
      <c r="AJ28" s="20">
        <f>+(W28*Forudsætninger!$C$12)</f>
        <v>0</v>
      </c>
      <c r="AK28" s="20">
        <f>Forudsætninger!$C$17</f>
        <v>250</v>
      </c>
      <c r="AL28" s="20">
        <f>IF(A28&lt;92,Forudsætninger!$C$20,Forudsætninger!$C$21)</f>
        <v>4.0072859744990899</v>
      </c>
      <c r="AM28" s="20">
        <f t="shared" si="17"/>
        <v>104.18943533697627</v>
      </c>
      <c r="AN28" s="19">
        <f>IFERROR(AD28+AJ28-AA28-Z28-AK28-AM28-Forudsætninger!$E$75,-999999)</f>
        <v>-1461.0983124452712</v>
      </c>
      <c r="AO28" s="19">
        <f>IFERROR(AN28/(A28+Forudsætninger!$E$74),-999999)</f>
        <v>-56.196088940202735</v>
      </c>
      <c r="AP28" s="19">
        <f>IFERROR(((365/(A28+Forudsætninger!$E$74))*AN28)/(AI28+Forudsætninger!$E$73),-999999)</f>
        <v>-8879.4685987766188</v>
      </c>
      <c r="AQ28" s="18">
        <f t="shared" si="8"/>
        <v>26</v>
      </c>
      <c r="AR28" s="18">
        <f t="shared" si="22"/>
        <v>2572.1468558888564</v>
      </c>
      <c r="AS28" s="18">
        <f t="shared" si="0"/>
        <v>2</v>
      </c>
      <c r="AT28" s="50">
        <f t="shared" si="23"/>
        <v>3.0023153360391461</v>
      </c>
      <c r="AU28" s="50">
        <f t="shared" si="24"/>
        <v>2.3679361710496778</v>
      </c>
      <c r="AV28" s="2">
        <f t="shared" si="25"/>
        <v>374.15441663772071</v>
      </c>
      <c r="AW28" s="16">
        <f t="shared" si="19"/>
        <v>-52.188802965703651</v>
      </c>
      <c r="AZ28" s="16"/>
      <c r="BA28" s="2"/>
    </row>
    <row r="29" spans="1:53" x14ac:dyDescent="0.25">
      <c r="A29">
        <v>27</v>
      </c>
      <c r="B29" s="1">
        <f>ROUND((A29+Forudsætninger!$E$60)/30.4,1)</f>
        <v>2.1</v>
      </c>
      <c r="C29" s="1">
        <f>VLOOKUP((A29+Forudsætninger!$E$60),'Model tilvækst, slagteform, fe'!A:D,4,FALSE)</f>
        <v>88.576638222966366</v>
      </c>
      <c r="D29" s="3">
        <f t="shared" si="26"/>
        <v>1121.1893941288195</v>
      </c>
      <c r="E29" s="3">
        <f>(1+Forudsætninger!$E$78)*C29</f>
        <v>81.49050716512906</v>
      </c>
      <c r="F29" s="2">
        <f t="shared" si="9"/>
        <v>8.0000241936435881</v>
      </c>
      <c r="G29" s="1">
        <f t="shared" si="1"/>
        <v>89.490531358772643</v>
      </c>
      <c r="H29" s="3">
        <f t="shared" si="10"/>
        <v>919.37530318563176</v>
      </c>
      <c r="I29" s="3">
        <f t="shared" si="2"/>
        <v>795.94560588046818</v>
      </c>
      <c r="J29" s="1">
        <f>VLOOKUP((A29+Forudsætninger!$E$60),'Model tilvækst, slagteform, fe'!G:K,4,FALSE)*(1+Forudsætninger!$E$79)</f>
        <v>49.135448879896749</v>
      </c>
      <c r="K29" s="17">
        <f t="shared" si="3"/>
        <v>43.971574288137703</v>
      </c>
      <c r="L29" s="17">
        <f t="shared" si="11"/>
        <v>472.67093532956039</v>
      </c>
      <c r="M29" s="3">
        <f>((K29-(('Model tilvækst, slagteform, fe'!$J$9/100)*'Model tilvækst, slagteform, fe'!$D$9))*1000/(A29+Forudsætninger!$E$60))</f>
        <v>376.78041513165795</v>
      </c>
      <c r="N29" s="17">
        <f t="shared" si="12"/>
        <v>60.827300321255322</v>
      </c>
      <c r="O29" s="19">
        <f>IF( A29&lt;Forudsætninger!$C$14,(G29/100)*Forudsætninger!$C$13,(Forudsætninger!$C$15/1000)*Forudsætninger!$C$13)</f>
        <v>0.58168845383202217</v>
      </c>
      <c r="P29" s="17" cm="1">
        <f t="array" ref="P29">INDEX('Model tilvækst, slagteform, fe'!$P$9:$P$375,MATCH(MIN(ABS('Model tilvækst, slagteform, fe'!$M$9:$M$375-G29)),ABS('Model tilvækst, slagteform, fe'!$M$9:$M$375-G29),0))*(1+Forudsætninger!$E$80)</f>
        <v>2.6194170539613828</v>
      </c>
      <c r="Q29" s="17">
        <f t="shared" si="13"/>
        <v>5.5417349749568299</v>
      </c>
      <c r="R29" s="17">
        <f t="shared" si="14"/>
        <v>5.5272923798773608</v>
      </c>
      <c r="S29" s="17">
        <f t="shared" si="15"/>
        <v>2.8304232829694569</v>
      </c>
      <c r="T29" s="19">
        <f>(P29)*IF(N29&lt;Forudsætninger!$B$228,IF(N29&lt;Forudsætninger!$B$227,Forudsætninger!$B$225,Forudsætninger!$C$9),Forudsætninger!$C$11)+O29</f>
        <v>7.1564252592750925</v>
      </c>
      <c r="U29" s="5">
        <f>Forudsætninger!$E$68+((K29-(Forudsætninger!$E$84)))*0.01</f>
        <v>5.1562794524530462</v>
      </c>
      <c r="V29" s="2">
        <f>U29+Forudsætninger!$E$69</f>
        <v>5.1562794524530462</v>
      </c>
      <c r="W29">
        <f t="shared" si="4"/>
        <v>0</v>
      </c>
      <c r="X29">
        <f>IF(A29+Forudsætninger!$E$60&gt;248,IF(A29+Forudsætninger!$E$60&lt;365,IF(K29&gt;180,IF(K29&lt;260,1,0),0),0),0)</f>
        <v>0</v>
      </c>
      <c r="Y29" s="22">
        <f>IF(X29=0,0,IF('Vækstfunktion, kry kvie'!A29&lt;Forudsætninger!$E$66,Forudsætninger!$E$67+(('Vækstfunktion, kry kvie'!A29-Forudsætninger!$E$66)/7)*Forudsætninger!$E$64,Forudsætninger!$E$67))</f>
        <v>0</v>
      </c>
      <c r="Z29" s="19">
        <f t="shared" si="20"/>
        <v>650.1138458111551</v>
      </c>
      <c r="AA29" s="19">
        <f>Forudsætninger!$E$62+Forudsætninger!$C$16</f>
        <v>1575</v>
      </c>
      <c r="AB29" s="19">
        <f>IF(K29&gt;Forudsætninger!$C$48,IF(K29&gt;Forudsætninger!$C$49,IF(K29&gt;Forudsætninger!$C$50,Forudsætninger!$E$50,Forudsætninger!$E$49+Forudsætninger!$F$50*(K29-Forudsætninger!$C$49)),Forudsætninger!$E$48+Forudsætninger!$F$49*(K29-Forudsætninger!$C$48)),Forudsætninger!$E$48)+IF(K29&gt;Forudsætninger!$C$50,Forudsætninger!$G$50,IF(K29&gt;Forudsætninger!$C$49,Forudsætninger!$G$49+Forudsætninger!$H$50*(K29-Forudsætninger!$C$49),IF(K29&gt;Forudsætninger!$C$48,Forudsætninger!$G$48+Forudsætninger!$H$49*(K29-Forudsætninger!$C$48),Forudsætninger!$G$48)))*(U29-Forudsætninger!$H$48)</f>
        <v>35.115627945245308</v>
      </c>
      <c r="AC29" s="19">
        <f>IF(K29&gt;Forudsætninger!$C$52,IF(K29&gt;Forudsætninger!$C$53,IF(K29&gt;Forudsætninger!$C$54,Forudsætninger!$E$54,Forudsætninger!$E$53+Forudsætninger!$F$54*(K29-Forudsætninger!$C$53)),Forudsætninger!$E$52+Forudsætninger!$F$53*(K29-Forudsætninger!$C$52)),Forudsætninger!$E$52)+IF(K29&gt;Forudsætninger!$C$54,Forudsætninger!$G$54,IF(K29&gt;Forudsætninger!$C$53,Forudsætninger!$G$53+Forudsætninger!$H$54*(K29-Forudsætninger!$C$53),IF(K29&gt;Forudsætninger!$C$52,Forudsætninger!$G$52+Forudsætninger!$H$53*(K29-Forudsætninger!$C$52),Forudsætninger!$G$52)))*(V29-Forudsætninger!$H$52)</f>
        <v>29.939069863113261</v>
      </c>
      <c r="AD29" s="19">
        <f t="shared" si="5"/>
        <v>1316.4680346036293</v>
      </c>
      <c r="AE29" s="19">
        <f t="shared" si="6"/>
        <v>29.939069863113261</v>
      </c>
      <c r="AF29">
        <f>IF(G29&lt;=Forudsætninger!$C$97,Forudsætninger!$C$98,(IF(G29&lt;=Forudsætninger!$D$97,Forudsætninger!$D$98,IF(G29&lt;=Forudsætninger!$E$97,Forudsætninger!$E$98,IF(G29&lt;=Forudsætninger!$F$97,Forudsætninger!$F$98,IF(G29&lt;=Forudsætninger!$G$97,Forudsætninger!$G$98,IF(G29&lt;=Forudsætninger!$H$97,Forudsætninger!$H$98,IF(G29&lt;=Forudsætninger!$I$97,Forudsætninger!$I$98,Forudsætninger!$I$98))))))))</f>
        <v>1.8</v>
      </c>
      <c r="AG29" s="1">
        <f t="shared" si="16"/>
        <v>2.2000000000000002</v>
      </c>
      <c r="AH29" s="1">
        <f t="shared" si="21"/>
        <v>59.400000000000027</v>
      </c>
      <c r="AI29" s="1">
        <f t="shared" si="7"/>
        <v>2.2000000000000011</v>
      </c>
      <c r="AJ29" s="20">
        <f>+(W29*Forudsætninger!$C$12)</f>
        <v>0</v>
      </c>
      <c r="AK29" s="20">
        <f>Forudsætninger!$C$17</f>
        <v>250</v>
      </c>
      <c r="AL29" s="20">
        <f>IF(A29&lt;92,Forudsætninger!$C$20,Forudsætninger!$C$21)</f>
        <v>4.0072859744990899</v>
      </c>
      <c r="AM29" s="20">
        <f t="shared" si="17"/>
        <v>108.19672131147536</v>
      </c>
      <c r="AN29" s="19">
        <f>IFERROR(AD29+AJ29-AA29-Z29-AK29-AM29-Forudsætninger!$E$75,-999999)</f>
        <v>-1458.0592938556167</v>
      </c>
      <c r="AO29" s="19">
        <f>IFERROR(AN29/(A29+Forudsætninger!$E$74),-999999)</f>
        <v>-54.002196068726548</v>
      </c>
      <c r="AP29" s="19">
        <f>IFERROR(((365/(A29+Forudsætninger!$E$74))*AN29)/(AI29+Forudsætninger!$E$73),-999999)</f>
        <v>-8532.8145303399051</v>
      </c>
      <c r="AQ29" s="18">
        <f t="shared" si="8"/>
        <v>27</v>
      </c>
      <c r="AR29" s="18">
        <f t="shared" si="22"/>
        <v>2583.3105671226303</v>
      </c>
      <c r="AS29" s="18">
        <f t="shared" si="0"/>
        <v>2.1</v>
      </c>
      <c r="AT29" s="50">
        <f t="shared" si="23"/>
        <v>3.0390185896544608</v>
      </c>
      <c r="AU29" s="50">
        <f t="shared" si="24"/>
        <v>2.1938928714761872</v>
      </c>
      <c r="AV29" s="2">
        <f t="shared" si="25"/>
        <v>346.65406843671371</v>
      </c>
      <c r="AW29" s="16">
        <f t="shared" si="19"/>
        <v>-49.994910094227457</v>
      </c>
      <c r="AZ29" s="16"/>
      <c r="BA29" s="2"/>
    </row>
    <row r="30" spans="1:53" x14ac:dyDescent="0.25">
      <c r="A30">
        <v>28</v>
      </c>
      <c r="B30" s="1">
        <f>ROUND((A30+Forudsætninger!$E$60)/30.4,1)</f>
        <v>2.1</v>
      </c>
      <c r="C30" s="1">
        <f>VLOOKUP((A30+Forudsætninger!$E$60),'Model tilvækst, slagteform, fe'!A:D,4,FALSE)</f>
        <v>89.708126647123279</v>
      </c>
      <c r="D30" s="3">
        <f t="shared" si="26"/>
        <v>1131.4884241569132</v>
      </c>
      <c r="E30" s="3">
        <f>(1+Forudsætninger!$E$78)*C30</f>
        <v>82.531476515353418</v>
      </c>
      <c r="F30" s="2">
        <f t="shared" si="9"/>
        <v>7.8868753512278964</v>
      </c>
      <c r="G30" s="1">
        <f t="shared" si="1"/>
        <v>90.418351866581318</v>
      </c>
      <c r="H30" s="3">
        <f t="shared" si="10"/>
        <v>927.82050780867564</v>
      </c>
      <c r="I30" s="3">
        <f t="shared" si="2"/>
        <v>800.6554238064756</v>
      </c>
      <c r="J30" s="1">
        <f>VLOOKUP((A30+Forudsætninger!$E$60),'Model tilvækst, slagteform, fe'!G:K,4,FALSE)*(1+Forudsætninger!$E$79)</f>
        <v>49.158901731590127</v>
      </c>
      <c r="K30" s="17">
        <f t="shared" si="3"/>
        <v>44.4486687414161</v>
      </c>
      <c r="L30" s="17">
        <f t="shared" si="11"/>
        <v>477.09445327839717</v>
      </c>
      <c r="M30" s="3">
        <f>((K30-(('Model tilvækst, slagteform, fe'!$J$9/100)*'Model tilvækst, slagteform, fe'!$D$9))*1000/(A30+Forudsætninger!$E$60))</f>
        <v>378.34782197770073</v>
      </c>
      <c r="N30" s="17">
        <f t="shared" si="12"/>
        <v>63.483541041601427</v>
      </c>
      <c r="O30" s="19">
        <f>IF( A30&lt;Forudsætninger!$C$14,(G30/100)*Forudsætninger!$C$13,(Forudsætninger!$C$15/1000)*Forudsætninger!$C$13)</f>
        <v>0.58771928713277855</v>
      </c>
      <c r="P30" s="17" cm="1">
        <f t="array" ref="P30">INDEX('Model tilvækst, slagteform, fe'!$P$9:$P$375,MATCH(MIN(ABS('Model tilvækst, slagteform, fe'!$M$9:$M$375-G30)),ABS('Model tilvækst, slagteform, fe'!$M$9:$M$375-G30),0))*(1+Forudsætninger!$E$80)</f>
        <v>2.6562407203461063</v>
      </c>
      <c r="Q30" s="17">
        <f t="shared" si="13"/>
        <v>5.5675363695668869</v>
      </c>
      <c r="R30" s="17">
        <f t="shared" si="14"/>
        <v>5.5289645792685702</v>
      </c>
      <c r="S30" s="17">
        <f t="shared" si="15"/>
        <v>2.8317666445513927</v>
      </c>
      <c r="T30" s="19">
        <f>(P30)*IF(N30&lt;Forudsætninger!$B$228,IF(N30&lt;Forudsætninger!$B$227,Forudsætninger!$B$225,Forudsætninger!$C$9),Forudsætninger!$C$11)+O30</f>
        <v>7.2548834952015051</v>
      </c>
      <c r="U30" s="5">
        <f>Forudsætninger!$E$68+((K30-(Forudsætninger!$E$84)))*0.01</f>
        <v>5.1610503969858303</v>
      </c>
      <c r="V30" s="2">
        <f>U30+Forudsætninger!$E$69</f>
        <v>5.1610503969858303</v>
      </c>
      <c r="W30">
        <f t="shared" si="4"/>
        <v>0</v>
      </c>
      <c r="X30">
        <f>IF(A30+Forudsætninger!$E$60&gt;248,IF(A30+Forudsætninger!$E$60&lt;365,IF(K30&gt;180,IF(K30&lt;260,1,0),0),0),0)</f>
        <v>0</v>
      </c>
      <c r="Y30" s="22">
        <f>IF(X30=0,0,IF('Vækstfunktion, kry kvie'!A30&lt;Forudsætninger!$E$66,Forudsætninger!$E$67+(('Vækstfunktion, kry kvie'!A30-Forudsætninger!$E$66)/7)*Forudsætninger!$E$64,Forudsætninger!$E$67))</f>
        <v>0</v>
      </c>
      <c r="Z30" s="19">
        <f t="shared" si="20"/>
        <v>657.36872930635661</v>
      </c>
      <c r="AA30" s="19">
        <f>Forudsætninger!$E$62+Forudsætninger!$C$16</f>
        <v>1575</v>
      </c>
      <c r="AB30" s="19">
        <f>IF(K30&gt;Forudsætninger!$C$48,IF(K30&gt;Forudsætninger!$C$49,IF(K30&gt;Forudsætninger!$C$50,Forudsætninger!$E$50,Forudsætninger!$E$49+Forudsætninger!$F$50*(K30-Forudsætninger!$C$49)),Forudsætninger!$E$48+Forudsætninger!$F$49*(K30-Forudsætninger!$C$48)),Forudsætninger!$E$48)+IF(K30&gt;Forudsætninger!$C$50,Forudsætninger!$G$50,IF(K30&gt;Forudsætninger!$C$49,Forudsætninger!$G$49+Forudsætninger!$H$50*(K30-Forudsætninger!$C$49),IF(K30&gt;Forudsætninger!$C$48,Forudsætninger!$G$48+Forudsætninger!$H$49*(K30-Forudsætninger!$C$48),Forudsætninger!$G$48)))*(U30-Forudsætninger!$H$48)</f>
        <v>35.116105039698581</v>
      </c>
      <c r="AC30" s="19">
        <f>IF(K30&gt;Forudsætninger!$C$52,IF(K30&gt;Forudsætninger!$C$53,IF(K30&gt;Forudsætninger!$C$54,Forudsætninger!$E$54,Forudsætninger!$E$53+Forudsætninger!$F$54*(K30-Forudsætninger!$C$53)),Forudsætninger!$E$52+Forudsætninger!$F$53*(K30-Forudsætninger!$C$52)),Forudsætninger!$E$52)+IF(K30&gt;Forudsætninger!$C$54,Forudsætninger!$G$54,IF(K30&gt;Forudsætninger!$C$53,Forudsætninger!$G$53+Forudsætninger!$H$54*(K30-Forudsætninger!$C$53),IF(K30&gt;Forudsætninger!$C$52,Forudsætninger!$G$52+Forudsætninger!$H$53*(K30-Forudsætninger!$C$52),Forudsætninger!$G$52)))*(V30-Forudsætninger!$H$52)</f>
        <v>29.940262599246456</v>
      </c>
      <c r="AD30" s="19">
        <f t="shared" si="5"/>
        <v>1330.8048143049155</v>
      </c>
      <c r="AE30" s="19">
        <f t="shared" si="6"/>
        <v>29.940262599246456</v>
      </c>
      <c r="AF30">
        <f>IF(G30&lt;=Forudsætninger!$C$97,Forudsætninger!$C$98,(IF(G30&lt;=Forudsætninger!$D$97,Forudsætninger!$D$98,IF(G30&lt;=Forudsætninger!$E$97,Forudsætninger!$E$98,IF(G30&lt;=Forudsætninger!$F$97,Forudsætninger!$F$98,IF(G30&lt;=Forudsætninger!$G$97,Forudsætninger!$G$98,IF(G30&lt;=Forudsætninger!$H$97,Forudsætninger!$H$98,IF(G30&lt;=Forudsætninger!$I$97,Forudsætninger!$I$98,Forudsætninger!$I$98))))))))</f>
        <v>1.8</v>
      </c>
      <c r="AG30" s="1">
        <f t="shared" si="16"/>
        <v>2.2000000000000002</v>
      </c>
      <c r="AH30" s="1">
        <f t="shared" si="21"/>
        <v>61.60000000000003</v>
      </c>
      <c r="AI30" s="1">
        <f t="shared" si="7"/>
        <v>2.2000000000000011</v>
      </c>
      <c r="AJ30" s="20">
        <f>+(W30*Forudsætninger!$C$12)</f>
        <v>0</v>
      </c>
      <c r="AK30" s="20">
        <f>Forudsætninger!$C$17</f>
        <v>250</v>
      </c>
      <c r="AL30" s="20">
        <f>IF(A30&lt;92,Forudsætninger!$C$20,Forudsætninger!$C$21)</f>
        <v>4.0072859744990899</v>
      </c>
      <c r="AM30" s="20">
        <f t="shared" si="17"/>
        <v>112.20400728597444</v>
      </c>
      <c r="AN30" s="19">
        <f>IFERROR(AD30+AJ30-AA30-Z30-AK30-AM30-Forudsætninger!$E$75,-999999)</f>
        <v>-1454.9846836240315</v>
      </c>
      <c r="AO30" s="19">
        <f>IFERROR(AN30/(A30+Forudsætninger!$E$74),-999999)</f>
        <v>-51.963738700858265</v>
      </c>
      <c r="AP30" s="19">
        <f>IFERROR(((365/(A30+Forudsætninger!$E$74))*AN30)/(AI30+Forudsætninger!$E$73),-999999)</f>
        <v>-8210.720617235178</v>
      </c>
      <c r="AQ30" s="18">
        <f t="shared" si="8"/>
        <v>28</v>
      </c>
      <c r="AR30" s="18">
        <f t="shared" si="22"/>
        <v>2594.5727365923312</v>
      </c>
      <c r="AS30" s="18">
        <f t="shared" si="0"/>
        <v>2.1</v>
      </c>
      <c r="AT30" s="50">
        <f t="shared" si="23"/>
        <v>3.0746102315852113</v>
      </c>
      <c r="AU30" s="50">
        <f t="shared" si="24"/>
        <v>2.0384573678682827</v>
      </c>
      <c r="AV30" s="2">
        <f t="shared" si="25"/>
        <v>322.09391310472711</v>
      </c>
      <c r="AW30" s="16">
        <f t="shared" si="19"/>
        <v>-47.956452726359181</v>
      </c>
      <c r="AZ30" s="16"/>
      <c r="BA30" s="2"/>
    </row>
    <row r="31" spans="1:53" x14ac:dyDescent="0.25">
      <c r="A31">
        <v>29</v>
      </c>
      <c r="B31" s="1">
        <f>ROUND((A31+Forudsætninger!$E$60)/30.4,1)</f>
        <v>2.1</v>
      </c>
      <c r="C31" s="1">
        <f>VLOOKUP((A31+Forudsætninger!$E$60),'Model tilvækst, slagteform, fe'!A:D,4,FALSE)</f>
        <v>90.849781227619161</v>
      </c>
      <c r="D31" s="3">
        <f t="shared" si="26"/>
        <v>1141.6545804958814</v>
      </c>
      <c r="E31" s="3">
        <f>(1+Forudsætninger!$E$78)*C31</f>
        <v>83.581798729409627</v>
      </c>
      <c r="F31" s="2">
        <f t="shared" ref="F31:F50" si="27">MAX(F30-((D31/1000)/15),0)</f>
        <v>7.8107650458615039</v>
      </c>
      <c r="G31" s="1">
        <f t="shared" si="1"/>
        <v>91.392563775271128</v>
      </c>
      <c r="H31" s="3">
        <f t="shared" si="10"/>
        <v>974.21190868981</v>
      </c>
      <c r="I31" s="3">
        <f t="shared" si="2"/>
        <v>806.64013018176297</v>
      </c>
      <c r="J31" s="1">
        <f>VLOOKUP((A31+Forudsætninger!$E$60),'Model tilvækst, slagteform, fe'!G:K,4,FALSE)*(1+Forudsætninger!$E$79)</f>
        <v>49.182178377309775</v>
      </c>
      <c r="K31" s="17">
        <f t="shared" si="3"/>
        <v>44.948853739550444</v>
      </c>
      <c r="L31" s="17">
        <f t="shared" si="11"/>
        <v>500.18499813434403</v>
      </c>
      <c r="M31" s="3">
        <f>((K31-(('Model tilvækst, slagteform, fe'!$J$9/100)*'Model tilvækst, slagteform, fe'!$D$9))*1000/(A31+Forudsætninger!$E$60))</f>
        <v>380.22224007241834</v>
      </c>
      <c r="N31" s="17">
        <f t="shared" si="12"/>
        <v>66.139781761947532</v>
      </c>
      <c r="O31" s="19">
        <f>IF( A31&lt;Forudsætninger!$C$14,(G31/100)*Forudsætninger!$C$13,(Forudsætninger!$C$15/1000)*Forudsætninger!$C$13)</f>
        <v>0.59405166453926239</v>
      </c>
      <c r="P31" s="17" cm="1">
        <f t="array" ref="P31">INDEX('Model tilvækst, slagteform, fe'!$P$9:$P$375,MATCH(MIN(ABS('Model tilvækst, slagteform, fe'!$M$9:$M$375-G31)),ABS('Model tilvækst, slagteform, fe'!$M$9:$M$375-G31),0))*(1+Forudsætninger!$E$80)</f>
        <v>2.6562407203461063</v>
      </c>
      <c r="Q31" s="17">
        <f t="shared" si="13"/>
        <v>5.3105165693767367</v>
      </c>
      <c r="R31" s="17">
        <f t="shared" si="14"/>
        <v>5.5198456692082649</v>
      </c>
      <c r="S31" s="17">
        <f t="shared" si="15"/>
        <v>2.8273849073296349</v>
      </c>
      <c r="T31" s="19">
        <f>(P31)*IF(N31&lt;Forudsætninger!$B$228,IF(N31&lt;Forudsætninger!$B$227,Forudsætninger!$B$225,Forudsætninger!$C$9),Forudsætninger!$C$11)+O31</f>
        <v>7.2612158726079885</v>
      </c>
      <c r="U31" s="5">
        <f>Forudsætninger!$E$68+((K31-(Forudsætninger!$E$84)))*0.01</f>
        <v>5.1660522469671735</v>
      </c>
      <c r="V31" s="2">
        <f>U31+Forudsætninger!$E$69</f>
        <v>5.1660522469671735</v>
      </c>
      <c r="W31">
        <f t="shared" si="4"/>
        <v>0</v>
      </c>
      <c r="X31">
        <f>IF(A31+Forudsætninger!$E$60&gt;248,IF(A31+Forudsætninger!$E$60&lt;365,IF(K31&gt;180,IF(K31&lt;260,1,0),0),0),0)</f>
        <v>0</v>
      </c>
      <c r="Y31" s="22">
        <f>IF(X31=0,0,IF('Vækstfunktion, kry kvie'!A31&lt;Forudsætninger!$E$66,Forudsætninger!$E$67+(('Vækstfunktion, kry kvie'!A31-Forudsætninger!$E$66)/7)*Forudsætninger!$E$64,Forudsætninger!$E$67))</f>
        <v>0</v>
      </c>
      <c r="Z31" s="19">
        <f t="shared" si="20"/>
        <v>664.62994517896459</v>
      </c>
      <c r="AA31" s="19">
        <f>Forudsætninger!$E$62+Forudsætninger!$C$16</f>
        <v>1575</v>
      </c>
      <c r="AB31" s="19">
        <f>IF(K31&gt;Forudsætninger!$C$48,IF(K31&gt;Forudsætninger!$C$49,IF(K31&gt;Forudsætninger!$C$50,Forudsætninger!$E$50,Forudsætninger!$E$49+Forudsætninger!$F$50*(K31-Forudsætninger!$C$49)),Forudsætninger!$E$48+Forudsætninger!$F$49*(K31-Forudsætninger!$C$48)),Forudsætninger!$E$48)+IF(K31&gt;Forudsætninger!$C$50,Forudsætninger!$G$50,IF(K31&gt;Forudsætninger!$C$49,Forudsætninger!$G$49+Forudsætninger!$H$50*(K31-Forudsætninger!$C$49),IF(K31&gt;Forudsætninger!$C$48,Forudsætninger!$G$48+Forudsætninger!$H$49*(K31-Forudsætninger!$C$48),Forudsætninger!$G$48)))*(U31-Forudsætninger!$H$48)</f>
        <v>35.11660522469672</v>
      </c>
      <c r="AC31" s="19">
        <f>IF(K31&gt;Forudsætninger!$C$52,IF(K31&gt;Forudsætninger!$C$53,IF(K31&gt;Forudsætninger!$C$54,Forudsætninger!$E$54,Forudsætninger!$E$53+Forudsætninger!$F$54*(K31-Forudsætninger!$C$53)),Forudsætninger!$E$52+Forudsætninger!$F$53*(K31-Forudsætninger!$C$52)),Forudsætninger!$E$52)+IF(K31&gt;Forudsætninger!$C$54,Forudsætninger!$G$54,IF(K31&gt;Forudsætninger!$C$53,Forudsætninger!$G$53+Forudsætninger!$H$54*(K31-Forudsætninger!$C$53),IF(K31&gt;Forudsætninger!$C$52,Forudsætninger!$G$52+Forudsætninger!$H$53*(K31-Forudsætninger!$C$52),Forudsætninger!$G$52)))*(V31-Forudsætninger!$H$52)</f>
        <v>29.941513061741791</v>
      </c>
      <c r="AD31" s="19">
        <f t="shared" si="5"/>
        <v>1345.836691353071</v>
      </c>
      <c r="AE31" s="19">
        <f t="shared" si="6"/>
        <v>29.941513061741794</v>
      </c>
      <c r="AF31">
        <f>IF(G31&lt;=Forudsætninger!$C$97,Forudsætninger!$C$98,(IF(G31&lt;=Forudsætninger!$D$97,Forudsætninger!$D$98,IF(G31&lt;=Forudsætninger!$E$97,Forudsætninger!$E$98,IF(G31&lt;=Forudsætninger!$F$97,Forudsætninger!$F$98,IF(G31&lt;=Forudsætninger!$G$97,Forudsætninger!$G$98,IF(G31&lt;=Forudsætninger!$H$97,Forudsætninger!$H$98,IF(G31&lt;=Forudsætninger!$I$97,Forudsætninger!$I$98,Forudsætninger!$I$98))))))))</f>
        <v>1.8</v>
      </c>
      <c r="AG31" s="1">
        <f t="shared" si="16"/>
        <v>2.2000000000000002</v>
      </c>
      <c r="AH31" s="1">
        <f t="shared" si="21"/>
        <v>63.800000000000033</v>
      </c>
      <c r="AI31" s="1">
        <f t="shared" si="7"/>
        <v>2.2000000000000011</v>
      </c>
      <c r="AJ31" s="20">
        <f>+(W31*Forudsætninger!$C$12)</f>
        <v>0</v>
      </c>
      <c r="AK31" s="20">
        <f>Forudsætninger!$C$17</f>
        <v>250</v>
      </c>
      <c r="AL31" s="20">
        <f>IF(A31&lt;92,Forudsætninger!$C$20,Forudsætninger!$C$21)</f>
        <v>4.0072859744990899</v>
      </c>
      <c r="AM31" s="20">
        <f t="shared" si="17"/>
        <v>116.21129326047352</v>
      </c>
      <c r="AN31" s="19">
        <f>IFERROR(AD31+AJ31-AA31-Z31-AK31-AM31-Forudsætninger!$E$75,-999999)</f>
        <v>-1451.2213084229827</v>
      </c>
      <c r="AO31" s="19">
        <f>IFERROR(AN31/(A31+Forudsætninger!$E$74),-999999)</f>
        <v>-50.042114083551127</v>
      </c>
      <c r="AP31" s="19">
        <f>IFERROR(((365/(A31+Forudsætninger!$E$74))*AN31)/(AI31+Forudsætninger!$E$73),-999999)</f>
        <v>-7907.0872902580759</v>
      </c>
      <c r="AQ31" s="18">
        <f t="shared" si="8"/>
        <v>29</v>
      </c>
      <c r="AR31" s="18">
        <f t="shared" si="22"/>
        <v>2605.8412384394383</v>
      </c>
      <c r="AS31" s="18">
        <f t="shared" si="0"/>
        <v>2.1</v>
      </c>
      <c r="AT31" s="50">
        <f t="shared" si="23"/>
        <v>3.7633752010488024</v>
      </c>
      <c r="AU31" s="50">
        <f t="shared" si="24"/>
        <v>1.9216246173071383</v>
      </c>
      <c r="AV31" s="2">
        <f t="shared" si="25"/>
        <v>303.63332697710212</v>
      </c>
      <c r="AW31" s="16">
        <f t="shared" si="19"/>
        <v>-46.034828109052043</v>
      </c>
      <c r="AZ31" s="16"/>
      <c r="BA31" s="2"/>
    </row>
    <row r="32" spans="1:53" x14ac:dyDescent="0.25">
      <c r="A32">
        <v>30</v>
      </c>
      <c r="B32" s="1">
        <f>ROUND((A32+Forudsætninger!$E$60)/30.4,1)</f>
        <v>2.2000000000000002</v>
      </c>
      <c r="C32" s="1">
        <f>VLOOKUP((A32+Forudsætninger!$E$60),'Model tilvækst, slagteform, fe'!A:D,4,FALSE)</f>
        <v>92.001469675785472</v>
      </c>
      <c r="D32" s="3">
        <f t="shared" si="26"/>
        <v>1151.6884481663112</v>
      </c>
      <c r="E32" s="3">
        <f>(1+Forudsætninger!$E$78)*C32</f>
        <v>84.641352101722632</v>
      </c>
      <c r="F32" s="2">
        <f t="shared" si="27"/>
        <v>7.7339858159837496</v>
      </c>
      <c r="G32" s="1">
        <f t="shared" si="1"/>
        <v>92.375337917706375</v>
      </c>
      <c r="H32" s="3">
        <f t="shared" si="10"/>
        <v>982.77414243524674</v>
      </c>
      <c r="I32" s="3">
        <f t="shared" si="2"/>
        <v>812.51126392354593</v>
      </c>
      <c r="J32" s="1">
        <f>VLOOKUP((A32+Forudsætninger!$E$60),'Model tilvækst, slagteform, fe'!G:K,4,FALSE)*(1+Forudsætninger!$E$79)</f>
        <v>49.205282456702918</v>
      </c>
      <c r="K32" s="17">
        <f t="shared" si="3"/>
        <v>45.453545942741215</v>
      </c>
      <c r="L32" s="17">
        <f t="shared" si="11"/>
        <v>504.69220319077124</v>
      </c>
      <c r="M32" s="3">
        <f>((K32-(('Model tilvækst, slagteform, fe'!$J$9/100)*'Model tilvækst, slagteform, fe'!$D$9))*1000/(A32+Forudsætninger!$E$60))</f>
        <v>382.10814860451455</v>
      </c>
      <c r="N32" s="17">
        <f t="shared" si="12"/>
        <v>68.832682434108335</v>
      </c>
      <c r="O32" s="19">
        <f>IF( A32&lt;Forudsætninger!$C$14,(G32/100)*Forudsætninger!$C$13,(Forudsætninger!$C$15/1000)*Forudsætninger!$C$13)</f>
        <v>0.60043969646509143</v>
      </c>
      <c r="P32" s="17" cm="1">
        <f t="array" ref="P32">INDEX('Model tilvækst, slagteform, fe'!$P$9:$P$375,MATCH(MIN(ABS('Model tilvækst, slagteform, fe'!$M$9:$M$375-G32)),ABS('Model tilvækst, slagteform, fe'!$M$9:$M$375-G32),0))*(1+Forudsætninger!$E$80)</f>
        <v>2.6929006721608015</v>
      </c>
      <c r="Q32" s="17">
        <f t="shared" si="13"/>
        <v>5.3357286978790475</v>
      </c>
      <c r="R32" s="17">
        <f t="shared" si="14"/>
        <v>5.5124040615804031</v>
      </c>
      <c r="S32" s="17">
        <f t="shared" si="15"/>
        <v>2.8238657723020903</v>
      </c>
      <c r="T32" s="19">
        <f>(P32)*IF(N32&lt;Forudsætninger!$B$228,IF(N32&lt;Forudsætninger!$B$227,Forudsætninger!$B$225,Forudsætninger!$C$9),Forudsætninger!$C$11)+O32</f>
        <v>7.3596203835887026</v>
      </c>
      <c r="U32" s="5">
        <f>Forudsætninger!$E$68+((K32-(Forudsætninger!$E$84)))*0.01</f>
        <v>5.1710991689990813</v>
      </c>
      <c r="V32" s="2">
        <f>U32+Forudsætninger!$E$69</f>
        <v>5.1710991689990813</v>
      </c>
      <c r="W32">
        <f t="shared" si="4"/>
        <v>0</v>
      </c>
      <c r="X32">
        <f>IF(A32+Forudsætninger!$E$60&gt;248,IF(A32+Forudsætninger!$E$60&lt;365,IF(K32&gt;180,IF(K32&lt;260,1,0),0),0),0)</f>
        <v>0</v>
      </c>
      <c r="Y32" s="22">
        <f>IF(X32=0,0,IF('Vækstfunktion, kry kvie'!A32&lt;Forudsætninger!$E$66,Forudsætninger!$E$67+(('Vækstfunktion, kry kvie'!A32-Forudsætninger!$E$66)/7)*Forudsætninger!$E$64,Forudsætninger!$E$67))</f>
        <v>0</v>
      </c>
      <c r="Z32" s="19">
        <f t="shared" si="20"/>
        <v>671.98956556255325</v>
      </c>
      <c r="AA32" s="19">
        <f>Forudsætninger!$E$62+Forudsætninger!$C$16</f>
        <v>1575</v>
      </c>
      <c r="AB32" s="19">
        <f>IF(K32&gt;Forudsætninger!$C$48,IF(K32&gt;Forudsætninger!$C$49,IF(K32&gt;Forudsætninger!$C$50,Forudsætninger!$E$50,Forudsætninger!$E$49+Forudsætninger!$F$50*(K32-Forudsætninger!$C$49)),Forudsætninger!$E$48+Forudsætninger!$F$49*(K32-Forudsætninger!$C$48)),Forudsætninger!$E$48)+IF(K32&gt;Forudsætninger!$C$50,Forudsætninger!$G$50,IF(K32&gt;Forudsætninger!$C$49,Forudsætninger!$G$49+Forudsætninger!$H$50*(K32-Forudsætninger!$C$49),IF(K32&gt;Forudsætninger!$C$48,Forudsætninger!$G$48+Forudsætninger!$H$49*(K32-Forudsætninger!$C$48),Forudsætninger!$G$48)))*(U32-Forudsætninger!$H$48)</f>
        <v>35.117109916899906</v>
      </c>
      <c r="AC32" s="19">
        <f>IF(K32&gt;Forudsætninger!$C$52,IF(K32&gt;Forudsætninger!$C$53,IF(K32&gt;Forudsætninger!$C$54,Forudsætninger!$E$54,Forudsætninger!$E$53+Forudsætninger!$F$54*(K32-Forudsætninger!$C$53)),Forudsætninger!$E$52+Forudsætninger!$F$53*(K32-Forudsætninger!$C$52)),Forudsætninger!$E$52)+IF(K32&gt;Forudsætninger!$C$54,Forudsætninger!$G$54,IF(K32&gt;Forudsætninger!$C$53,Forudsætninger!$G$53+Forudsætninger!$H$54*(K32-Forudsætninger!$C$53),IF(K32&gt;Forudsætninger!$C$52,Forudsætninger!$G$52+Forudsætninger!$H$53*(K32-Forudsætninger!$C$52),Forudsætninger!$G$52)))*(V32-Forudsætninger!$H$52)</f>
        <v>29.942774792249768</v>
      </c>
      <c r="AD32" s="19">
        <f t="shared" si="5"/>
        <v>1361.0052896726784</v>
      </c>
      <c r="AE32" s="19">
        <f t="shared" si="6"/>
        <v>29.942774792249768</v>
      </c>
      <c r="AF32">
        <f>IF(G32&lt;=Forudsætninger!$C$97,Forudsætninger!$C$98,(IF(G32&lt;=Forudsætninger!$D$97,Forudsætninger!$D$98,IF(G32&lt;=Forudsætninger!$E$97,Forudsætninger!$E$98,IF(G32&lt;=Forudsætninger!$F$97,Forudsætninger!$F$98,IF(G32&lt;=Forudsætninger!$G$97,Forudsætninger!$G$98,IF(G32&lt;=Forudsætninger!$H$97,Forudsætninger!$H$98,IF(G32&lt;=Forudsætninger!$I$97,Forudsætninger!$I$98,Forudsætninger!$I$98))))))))</f>
        <v>1.8</v>
      </c>
      <c r="AG32" s="1">
        <f t="shared" si="16"/>
        <v>2.2000000000000002</v>
      </c>
      <c r="AH32" s="1">
        <f t="shared" si="21"/>
        <v>66.000000000000028</v>
      </c>
      <c r="AI32" s="1">
        <f t="shared" si="7"/>
        <v>2.2000000000000011</v>
      </c>
      <c r="AJ32" s="20">
        <f>+(W32*Forudsætninger!$C$12)</f>
        <v>0</v>
      </c>
      <c r="AK32" s="20">
        <f>Forudsætninger!$C$17</f>
        <v>250</v>
      </c>
      <c r="AL32" s="20">
        <f>IF(A32&lt;92,Forudsætninger!$C$20,Forudsætninger!$C$21)</f>
        <v>4.0072859744990899</v>
      </c>
      <c r="AM32" s="20">
        <f t="shared" si="17"/>
        <v>120.21857923497261</v>
      </c>
      <c r="AN32" s="19">
        <f>IFERROR(AD32+AJ32-AA32-Z32-AK32-AM32-Forudsætninger!$E$75,-999999)</f>
        <v>-1447.4196164614632</v>
      </c>
      <c r="AO32" s="19">
        <f>IFERROR(AN32/(A32+Forudsætninger!$E$74),-999999)</f>
        <v>-48.247320548715443</v>
      </c>
      <c r="AP32" s="19">
        <f>IFERROR(((365/(A32+Forudsætninger!$E$74))*AN32)/(AI32+Forudsætninger!$E$73),-999999)</f>
        <v>-7623.4943724160721</v>
      </c>
      <c r="AQ32" s="18">
        <f t="shared" si="8"/>
        <v>30</v>
      </c>
      <c r="AR32" s="18">
        <f t="shared" si="22"/>
        <v>2617.2081447975261</v>
      </c>
      <c r="AS32" s="18">
        <f t="shared" si="0"/>
        <v>2.2000000000000002</v>
      </c>
      <c r="AT32" s="50">
        <f t="shared" si="23"/>
        <v>3.8016919615195093</v>
      </c>
      <c r="AU32" s="50">
        <f t="shared" si="24"/>
        <v>1.7947935348356836</v>
      </c>
      <c r="AV32" s="2">
        <f t="shared" si="25"/>
        <v>283.59291784200377</v>
      </c>
      <c r="AW32" s="16">
        <f t="shared" si="19"/>
        <v>-44.240034574216352</v>
      </c>
      <c r="AZ32" s="16"/>
      <c r="BA32" s="2"/>
    </row>
    <row r="33" spans="1:53" x14ac:dyDescent="0.25">
      <c r="A33">
        <v>31</v>
      </c>
      <c r="B33" s="1">
        <f>ROUND((A33+Forudsætninger!$E$60)/30.4,1)</f>
        <v>2.2000000000000002</v>
      </c>
      <c r="C33" s="1">
        <f>VLOOKUP((A33+Forudsætninger!$E$60),'Model tilvækst, slagteform, fe'!A:D,4,FALSE)</f>
        <v>93.163060287974346</v>
      </c>
      <c r="D33" s="3">
        <f t="shared" si="26"/>
        <v>1161.5906121888743</v>
      </c>
      <c r="E33" s="3">
        <f>(1+Forudsætninger!$E$78)*C33</f>
        <v>85.710015464936404</v>
      </c>
      <c r="F33" s="2">
        <f t="shared" si="27"/>
        <v>7.6565464418378246</v>
      </c>
      <c r="G33" s="1">
        <f t="shared" si="1"/>
        <v>93.366561906774223</v>
      </c>
      <c r="H33" s="3">
        <f t="shared" si="10"/>
        <v>991.22398906784781</v>
      </c>
      <c r="I33" s="3">
        <f t="shared" si="2"/>
        <v>818.27619054110392</v>
      </c>
      <c r="J33" s="1">
        <f>VLOOKUP((A33+Forudsætninger!$E$60),'Model tilvækst, slagteform, fe'!G:K,4,FALSE)*(1+Forudsætninger!$E$79)</f>
        <v>49.22821760941676</v>
      </c>
      <c r="K33" s="17">
        <f t="shared" si="3"/>
        <v>45.962694269897625</v>
      </c>
      <c r="L33" s="17">
        <f t="shared" si="11"/>
        <v>509.14832715641012</v>
      </c>
      <c r="M33" s="3">
        <f>((K33-(('Model tilvækst, slagteform, fe'!$J$9/100)*'Model tilvækst, slagteform, fe'!$D$9))*1000/(A33+Forudsætninger!$E$60))</f>
        <v>384.00427067245329</v>
      </c>
      <c r="N33" s="17">
        <f t="shared" si="12"/>
        <v>71.562074665954654</v>
      </c>
      <c r="O33" s="19">
        <f>IF( A33&lt;Forudsætninger!$C$14,(G33/100)*Forudsætninger!$C$13,(Forudsætninger!$C$15/1000)*Forudsætninger!$C$13)</f>
        <v>0.6068826523940325</v>
      </c>
      <c r="P33" s="17" cm="1">
        <f t="array" ref="P33">INDEX('Model tilvækst, slagteform, fe'!$P$9:$P$375,MATCH(MIN(ABS('Model tilvækst, slagteform, fe'!$M$9:$M$375-G33)),ABS('Model tilvækst, slagteform, fe'!$M$9:$M$375-G33),0))*(1+Forudsætninger!$E$80)</f>
        <v>2.7293922318463251</v>
      </c>
      <c r="Q33" s="17">
        <f t="shared" si="13"/>
        <v>5.3607015603683932</v>
      </c>
      <c r="R33" s="17">
        <f t="shared" si="14"/>
        <v>5.506460774759887</v>
      </c>
      <c r="S33" s="17">
        <f t="shared" si="15"/>
        <v>2.8211184049677529</v>
      </c>
      <c r="T33" s="19">
        <f>(P33)*IF(N33&lt;Forudsætninger!$B$228,IF(N33&lt;Forudsætninger!$B$227,Forudsætninger!$B$225,Forudsætninger!$C$9),Forudsætninger!$C$11)+O33</f>
        <v>7.4576571543283077</v>
      </c>
      <c r="U33" s="5">
        <f>Forudsætninger!$E$68+((K33-(Forudsætninger!$E$84)))*0.01</f>
        <v>5.1761906522706456</v>
      </c>
      <c r="V33" s="2">
        <f>U33+Forudsætninger!$E$69</f>
        <v>5.1761906522706456</v>
      </c>
      <c r="W33">
        <f t="shared" si="4"/>
        <v>0</v>
      </c>
      <c r="X33">
        <f>IF(A33+Forudsætninger!$E$60&gt;248,IF(A33+Forudsætninger!$E$60&lt;365,IF(K33&gt;180,IF(K33&lt;260,1,0),0),0),0)</f>
        <v>0</v>
      </c>
      <c r="Y33" s="22">
        <f>IF(X33=0,0,IF('Vækstfunktion, kry kvie'!A33&lt;Forudsætninger!$E$66,Forudsætninger!$E$67+(('Vækstfunktion, kry kvie'!A33-Forudsætninger!$E$66)/7)*Forudsætninger!$E$64,Forudsætninger!$E$67))</f>
        <v>0</v>
      </c>
      <c r="Z33" s="19">
        <f t="shared" si="20"/>
        <v>679.44722271688158</v>
      </c>
      <c r="AA33" s="19">
        <f>Forudsætninger!$E$62+Forudsætninger!$C$16</f>
        <v>1575</v>
      </c>
      <c r="AB33" s="19">
        <f>IF(K33&gt;Forudsætninger!$C$48,IF(K33&gt;Forudsætninger!$C$49,IF(K33&gt;Forudsætninger!$C$50,Forudsætninger!$E$50,Forudsætninger!$E$49+Forudsætninger!$F$50*(K33-Forudsætninger!$C$49)),Forudsætninger!$E$48+Forudsætninger!$F$49*(K33-Forudsætninger!$C$48)),Forudsætninger!$E$48)+IF(K33&gt;Forudsætninger!$C$50,Forudsætninger!$G$50,IF(K33&gt;Forudsætninger!$C$49,Forudsætninger!$G$49+Forudsætninger!$H$50*(K33-Forudsætninger!$C$49),IF(K33&gt;Forudsætninger!$C$48,Forudsætninger!$G$48+Forudsætninger!$H$49*(K33-Forudsætninger!$C$48),Forudsætninger!$G$48)))*(U33-Forudsætninger!$H$48)</f>
        <v>35.117619065227068</v>
      </c>
      <c r="AC33" s="19">
        <f>IF(K33&gt;Forudsætninger!$C$52,IF(K33&gt;Forudsætninger!$C$53,IF(K33&gt;Forudsætninger!$C$54,Forudsætninger!$E$54,Forudsætninger!$E$53+Forudsætninger!$F$54*(K33-Forudsætninger!$C$53)),Forudsætninger!$E$52+Forudsætninger!$F$53*(K33-Forudsætninger!$C$52)),Forudsætninger!$E$52)+IF(K33&gt;Forudsætninger!$C$54,Forudsætninger!$G$54,IF(K33&gt;Forudsætninger!$C$53,Forudsætninger!$G$53+Forudsætninger!$H$54*(K33-Forudsætninger!$C$53),IF(K33&gt;Forudsætninger!$C$52,Forudsætninger!$G$52+Forudsætninger!$H$53*(K33-Forudsætninger!$C$52),Forudsætninger!$G$52)))*(V33-Forudsætninger!$H$52)</f>
        <v>29.944047663067661</v>
      </c>
      <c r="AD33" s="19">
        <f t="shared" si="5"/>
        <v>1376.3091079408214</v>
      </c>
      <c r="AE33" s="19">
        <f t="shared" si="6"/>
        <v>29.944047663067661</v>
      </c>
      <c r="AF33">
        <f>IF(G33&lt;=Forudsætninger!$C$97,Forudsætninger!$C$98,(IF(G33&lt;=Forudsætninger!$D$97,Forudsætninger!$D$98,IF(G33&lt;=Forudsætninger!$E$97,Forudsætninger!$E$98,IF(G33&lt;=Forudsætninger!$F$97,Forudsætninger!$F$98,IF(G33&lt;=Forudsætninger!$G$97,Forudsætninger!$G$98,IF(G33&lt;=Forudsætninger!$H$97,Forudsætninger!$H$98,IF(G33&lt;=Forudsætninger!$I$97,Forudsætninger!$I$98,Forudsætninger!$I$98))))))))</f>
        <v>1.8</v>
      </c>
      <c r="AG33" s="1">
        <f t="shared" si="16"/>
        <v>2.2000000000000002</v>
      </c>
      <c r="AH33" s="1">
        <f t="shared" si="21"/>
        <v>68.200000000000031</v>
      </c>
      <c r="AI33" s="1">
        <f t="shared" si="7"/>
        <v>2.2000000000000011</v>
      </c>
      <c r="AJ33" s="20">
        <f>+(W33*Forudsætninger!$C$12)</f>
        <v>0</v>
      </c>
      <c r="AK33" s="20">
        <f>Forudsætninger!$C$17</f>
        <v>250</v>
      </c>
      <c r="AL33" s="20">
        <f>IF(A33&lt;92,Forudsætninger!$C$20,Forudsætninger!$C$21)</f>
        <v>4.0072859744990899</v>
      </c>
      <c r="AM33" s="20">
        <f t="shared" si="17"/>
        <v>124.22586520947169</v>
      </c>
      <c r="AN33" s="19">
        <f>IFERROR(AD33+AJ33-AA33-Z33-AK33-AM33-Forudsætninger!$E$75,-999999)</f>
        <v>-1443.5807413221478</v>
      </c>
      <c r="AO33" s="19">
        <f>IFERROR(AN33/(A33+Forudsætninger!$E$74),-999999)</f>
        <v>-46.567120687811219</v>
      </c>
      <c r="AP33" s="19">
        <f>IFERROR(((365/(A33+Forudsætninger!$E$74))*AN33)/(AI33+Forudsætninger!$E$73),-999999)</f>
        <v>-7358.0082472082631</v>
      </c>
      <c r="AQ33" s="18">
        <f t="shared" si="8"/>
        <v>31</v>
      </c>
      <c r="AR33" s="18">
        <f t="shared" si="22"/>
        <v>2628.6730879263532</v>
      </c>
      <c r="AS33" s="18">
        <f t="shared" si="0"/>
        <v>2.2000000000000002</v>
      </c>
      <c r="AT33" s="50">
        <f t="shared" si="23"/>
        <v>3.8388751393154052</v>
      </c>
      <c r="AU33" s="50">
        <f t="shared" si="24"/>
        <v>1.6801998609042244</v>
      </c>
      <c r="AV33" s="2">
        <f t="shared" si="25"/>
        <v>265.48612520780898</v>
      </c>
      <c r="AW33" s="16">
        <f t="shared" si="19"/>
        <v>-42.559834713312128</v>
      </c>
      <c r="AZ33" s="16"/>
      <c r="BA33" s="2"/>
    </row>
    <row r="34" spans="1:53" x14ac:dyDescent="0.25">
      <c r="A34">
        <v>32</v>
      </c>
      <c r="B34" s="1">
        <f>ROUND((A34+Forudsætninger!$E$60)/30.4,1)</f>
        <v>2.2000000000000002</v>
      </c>
      <c r="C34" s="1">
        <f>VLOOKUP((A34+Forudsætninger!$E$60),'Model tilvækst, slagteform, fe'!A:D,4,FALSE)</f>
        <v>94.334421945558418</v>
      </c>
      <c r="D34" s="3">
        <f t="shared" si="26"/>
        <v>1171.3616575840717</v>
      </c>
      <c r="E34" s="3">
        <f>(1+Forudsætninger!$E$78)*C34</f>
        <v>86.787668189913745</v>
      </c>
      <c r="F34" s="2">
        <f t="shared" si="27"/>
        <v>7.5784556646655528</v>
      </c>
      <c r="G34" s="1">
        <f t="shared" si="1"/>
        <v>94.3661238545793</v>
      </c>
      <c r="H34" s="3">
        <f t="shared" si="10"/>
        <v>999.56194780507701</v>
      </c>
      <c r="I34" s="3">
        <f t="shared" si="2"/>
        <v>823.94137045560308</v>
      </c>
      <c r="J34" s="1">
        <f>VLOOKUP((A34+Forudsætninger!$E$60),'Model tilvækst, slagteform, fe'!G:K,4,FALSE)*(1+Forudsætninger!$E$79)</f>
        <v>49.250987475098526</v>
      </c>
      <c r="K34" s="17">
        <f t="shared" si="3"/>
        <v>46.476247840354816</v>
      </c>
      <c r="L34" s="17">
        <f t="shared" si="11"/>
        <v>513.55357045719074</v>
      </c>
      <c r="M34" s="3">
        <f>((K34-(('Model tilvækst, slagteform, fe'!$J$9/100)*'Model tilvækst, slagteform, fe'!$D$9))*1000/(A34+Forudsætninger!$E$60))</f>
        <v>385.90940743399358</v>
      </c>
      <c r="N34" s="17">
        <f t="shared" si="12"/>
        <v>74.327785387798187</v>
      </c>
      <c r="O34" s="19">
        <f>IF( A34&lt;Forudsætninger!$C$14,(G34/100)*Forudsætninger!$C$13,(Forudsætninger!$C$15/1000)*Forudsætninger!$C$13)</f>
        <v>0.61337980505476541</v>
      </c>
      <c r="P34" s="17" cm="1">
        <f t="array" ref="P34">INDEX('Model tilvækst, slagteform, fe'!$P$9:$P$375,MATCH(MIN(ABS('Model tilvækst, slagteform, fe'!$M$9:$M$375-G34)),ABS('Model tilvækst, slagteform, fe'!$M$9:$M$375-G34),0))*(1+Forudsætninger!$E$80)</f>
        <v>2.7657107218435333</v>
      </c>
      <c r="Q34" s="17">
        <f t="shared" si="13"/>
        <v>5.3854376270451416</v>
      </c>
      <c r="R34" s="17">
        <f t="shared" si="14"/>
        <v>5.501860195101659</v>
      </c>
      <c r="S34" s="17">
        <f t="shared" si="15"/>
        <v>2.8190638031493904</v>
      </c>
      <c r="T34" s="19">
        <f>(P34)*IF(N34&lt;Forudsætninger!$B$228,IF(N34&lt;Forudsætninger!$B$227,Forudsætninger!$B$225,Forudsætninger!$C$9),Forudsætninger!$C$11)+O34</f>
        <v>7.5553137168820328</v>
      </c>
      <c r="U34" s="5">
        <f>Forudsætninger!$E$68+((K34-(Forudsætninger!$E$84)))*0.01</f>
        <v>5.1813261879752179</v>
      </c>
      <c r="V34" s="2">
        <f>U34+Forudsætninger!$E$69</f>
        <v>5.1813261879752179</v>
      </c>
      <c r="W34">
        <f t="shared" si="4"/>
        <v>0</v>
      </c>
      <c r="X34">
        <f>IF(A34+Forudsætninger!$E$60&gt;248,IF(A34+Forudsætninger!$E$60&lt;365,IF(K34&gt;180,IF(K34&lt;260,1,0),0),0),0)</f>
        <v>0</v>
      </c>
      <c r="Y34" s="22">
        <f>IF(X34=0,0,IF('Vækstfunktion, kry kvie'!A34&lt;Forudsætninger!$E$66,Forudsætninger!$E$67+(('Vækstfunktion, kry kvie'!A34-Forudsætninger!$E$66)/7)*Forudsætninger!$E$64,Forudsætninger!$E$67))</f>
        <v>0</v>
      </c>
      <c r="Z34" s="19">
        <f t="shared" si="20"/>
        <v>687.00253643376357</v>
      </c>
      <c r="AA34" s="19">
        <f>Forudsætninger!$E$62+Forudsætninger!$C$16</f>
        <v>1575</v>
      </c>
      <c r="AB34" s="19">
        <f>IF(K34&gt;Forudsætninger!$C$48,IF(K34&gt;Forudsætninger!$C$49,IF(K34&gt;Forudsætninger!$C$50,Forudsætninger!$E$50,Forudsætninger!$E$49+Forudsætninger!$F$50*(K34-Forudsætninger!$C$49)),Forudsætninger!$E$48+Forudsætninger!$F$49*(K34-Forudsætninger!$C$48)),Forudsætninger!$E$48)+IF(K34&gt;Forudsætninger!$C$50,Forudsætninger!$G$50,IF(K34&gt;Forudsætninger!$C$49,Forudsætninger!$G$49+Forudsætninger!$H$50*(K34-Forudsætninger!$C$49),IF(K34&gt;Forudsætninger!$C$48,Forudsætninger!$G$48+Forudsætninger!$H$49*(K34-Forudsætninger!$C$48),Forudsætninger!$G$48)))*(U34-Forudsætninger!$H$48)</f>
        <v>35.118132618797524</v>
      </c>
      <c r="AC34" s="19">
        <f>IF(K34&gt;Forudsætninger!$C$52,IF(K34&gt;Forudsætninger!$C$53,IF(K34&gt;Forudsætninger!$C$54,Forudsætninger!$E$54,Forudsætninger!$E$53+Forudsætninger!$F$54*(K34-Forudsætninger!$C$53)),Forudsætninger!$E$52+Forudsætninger!$F$53*(K34-Forudsætninger!$C$52)),Forudsætninger!$E$52)+IF(K34&gt;Forudsætninger!$C$54,Forudsætninger!$G$54,IF(K34&gt;Forudsætninger!$C$53,Forudsætninger!$G$53+Forudsætninger!$H$54*(K34-Forudsætninger!$C$53),IF(K34&gt;Forudsætninger!$C$52,Forudsætninger!$G$52+Forudsætninger!$H$53*(K34-Forudsætninger!$C$52),Forudsætninger!$G$52)))*(V34-Forudsætninger!$H$52)</f>
        <v>29.945331546993803</v>
      </c>
      <c r="AD34" s="19">
        <f t="shared" si="5"/>
        <v>1391.7466506396797</v>
      </c>
      <c r="AE34" s="19">
        <f t="shared" si="6"/>
        <v>29.945331546993803</v>
      </c>
      <c r="AF34">
        <f>IF(G34&lt;=Forudsætninger!$C$97,Forudsætninger!$C$98,(IF(G34&lt;=Forudsætninger!$D$97,Forudsætninger!$D$98,IF(G34&lt;=Forudsætninger!$E$97,Forudsætninger!$E$98,IF(G34&lt;=Forudsætninger!$F$97,Forudsætninger!$F$98,IF(G34&lt;=Forudsætninger!$G$97,Forudsætninger!$G$98,IF(G34&lt;=Forudsætninger!$H$97,Forudsætninger!$H$98,IF(G34&lt;=Forudsætninger!$I$97,Forudsætninger!$I$98,Forudsætninger!$I$98))))))))</f>
        <v>1.8</v>
      </c>
      <c r="AG34" s="1">
        <f t="shared" si="16"/>
        <v>2.2000000000000002</v>
      </c>
      <c r="AH34" s="1">
        <f t="shared" si="21"/>
        <v>70.400000000000034</v>
      </c>
      <c r="AI34" s="1">
        <f t="shared" si="7"/>
        <v>2.2000000000000011</v>
      </c>
      <c r="AJ34" s="20">
        <f>+(W34*Forudsætninger!$C$12)</f>
        <v>0</v>
      </c>
      <c r="AK34" s="20">
        <f>Forudsætninger!$C$17</f>
        <v>250</v>
      </c>
      <c r="AL34" s="20">
        <f>IF(A34&lt;92,Forudsætninger!$C$20,Forudsætninger!$C$21)</f>
        <v>4.0072859744990899</v>
      </c>
      <c r="AM34" s="20">
        <f t="shared" si="17"/>
        <v>128.23315118397079</v>
      </c>
      <c r="AN34" s="19">
        <f>IFERROR(AD34+AJ34-AA34-Z34-AK34-AM34-Forudsætninger!$E$75,-999999)</f>
        <v>-1439.7057983146703</v>
      </c>
      <c r="AO34" s="19">
        <f>IFERROR(AN34/(A34+Forudsætninger!$E$74),-999999)</f>
        <v>-44.990806197333448</v>
      </c>
      <c r="AP34" s="19">
        <f>IFERROR(((365/(A34+Forudsætninger!$E$74))*AN34)/(AI34+Forudsætninger!$E$73),-999999)</f>
        <v>-7108.936909968269</v>
      </c>
      <c r="AQ34" s="18">
        <f t="shared" si="8"/>
        <v>32</v>
      </c>
      <c r="AR34" s="18">
        <f t="shared" si="22"/>
        <v>2640.2356876177341</v>
      </c>
      <c r="AS34" s="18">
        <f t="shared" si="0"/>
        <v>2.2000000000000002</v>
      </c>
      <c r="AT34" s="50">
        <f t="shared" si="23"/>
        <v>3.8749430074774409</v>
      </c>
      <c r="AU34" s="50">
        <f t="shared" si="24"/>
        <v>1.5763144904777704</v>
      </c>
      <c r="AV34" s="2">
        <f t="shared" si="25"/>
        <v>249.07133723999414</v>
      </c>
      <c r="AW34" s="16">
        <f t="shared" si="19"/>
        <v>-40.983520222834358</v>
      </c>
      <c r="AZ34" s="16"/>
      <c r="BA34" s="2"/>
    </row>
    <row r="35" spans="1:53" x14ac:dyDescent="0.25">
      <c r="A35">
        <v>33</v>
      </c>
      <c r="B35" s="1">
        <f>ROUND((A35+Forudsætninger!$E$60)/30.4,1)</f>
        <v>2.2999999999999998</v>
      </c>
      <c r="C35" s="1">
        <f>VLOOKUP((A35+Forudsætninger!$E$60),'Model tilvækst, slagteform, fe'!A:D,4,FALSE)</f>
        <v>95.515424114931008</v>
      </c>
      <c r="D35" s="3">
        <f t="shared" si="26"/>
        <v>1181.0021693725901</v>
      </c>
      <c r="E35" s="3">
        <f>(1+Forudsætninger!$E$78)*C35</f>
        <v>87.874190185736538</v>
      </c>
      <c r="F35" s="2">
        <f t="shared" si="27"/>
        <v>7.4997221867073804</v>
      </c>
      <c r="G35" s="1">
        <f t="shared" si="1"/>
        <v>95.373912372443925</v>
      </c>
      <c r="H35" s="3">
        <f t="shared" si="10"/>
        <v>1007.7885178646255</v>
      </c>
      <c r="I35" s="3">
        <f t="shared" si="2"/>
        <v>829.5124961346645</v>
      </c>
      <c r="J35" s="1">
        <f>VLOOKUP((A35+Forudsætninger!$E$60),'Model tilvækst, slagteform, fe'!G:K,4,FALSE)*(1+Forudsætninger!$E$79)</f>
        <v>49.273595693395407</v>
      </c>
      <c r="K35" s="17">
        <f t="shared" si="3"/>
        <v>46.994155979371236</v>
      </c>
      <c r="L35" s="17">
        <f t="shared" si="11"/>
        <v>517.90813901641991</v>
      </c>
      <c r="M35" s="3">
        <f>((K35-(('Model tilvækst, slagteform, fe'!$J$9/100)*'Model tilvækst, slagteform, fe'!$D$9))*1000/(A35+Forudsætninger!$E$60))</f>
        <v>387.82243252939105</v>
      </c>
      <c r="N35" s="17">
        <f t="shared" si="12"/>
        <v>77.129636852391471</v>
      </c>
      <c r="O35" s="19">
        <f>IF( A35&lt;Forudsætninger!$C$14,(G35/100)*Forudsætninger!$C$13,(Forudsætninger!$C$15/1000)*Forudsætninger!$C$13)</f>
        <v>0.61993043042088558</v>
      </c>
      <c r="P35" s="17" cm="1">
        <f t="array" ref="P35">INDEX('Model tilvækst, slagteform, fe'!$P$9:$P$375,MATCH(MIN(ABS('Model tilvækst, slagteform, fe'!$M$9:$M$375-G35)),ABS('Model tilvækst, slagteform, fe'!$M$9:$M$375-G35),0))*(1+Forudsætninger!$E$80)</f>
        <v>2.8018514645932853</v>
      </c>
      <c r="Q35" s="17">
        <f t="shared" si="13"/>
        <v>5.4099390480991358</v>
      </c>
      <c r="R35" s="17">
        <f t="shared" si="14"/>
        <v>5.498466377809538</v>
      </c>
      <c r="S35" s="17">
        <f t="shared" si="15"/>
        <v>2.8176329274011405</v>
      </c>
      <c r="T35" s="19">
        <f>(P35)*IF(N35&lt;Forudsætninger!$B$228,IF(N35&lt;Forudsætninger!$B$227,Forudsætninger!$B$225,Forudsætninger!$C$9),Forudsætninger!$C$11)+O35</f>
        <v>7.6525776065500315</v>
      </c>
      <c r="U35" s="5">
        <f>Forudsætninger!$E$68+((K35-(Forudsætninger!$E$84)))*0.01</f>
        <v>5.1865052693653819</v>
      </c>
      <c r="V35" s="2">
        <f>U35+Forudsætninger!$E$69</f>
        <v>5.1865052693653819</v>
      </c>
      <c r="W35">
        <f t="shared" si="4"/>
        <v>0</v>
      </c>
      <c r="X35">
        <f>IF(A35+Forudsætninger!$E$60&gt;248,IF(A35+Forudsætninger!$E$60&lt;365,IF(K35&gt;180,IF(K35&lt;260,1,0),0),0),0)</f>
        <v>0</v>
      </c>
      <c r="Y35" s="22">
        <f>IF(X35=0,0,IF('Vækstfunktion, kry kvie'!A35&lt;Forudsætninger!$E$66,Forudsætninger!$E$67+(('Vækstfunktion, kry kvie'!A35-Forudsætninger!$E$66)/7)*Forudsætninger!$E$64,Forudsætninger!$E$67))</f>
        <v>0</v>
      </c>
      <c r="Z35" s="19">
        <f t="shared" si="20"/>
        <v>694.65511404031361</v>
      </c>
      <c r="AA35" s="19">
        <f>Forudsætninger!$E$62+Forudsætninger!$C$16</f>
        <v>1575</v>
      </c>
      <c r="AB35" s="19">
        <f>IF(K35&gt;Forudsætninger!$C$48,IF(K35&gt;Forudsætninger!$C$49,IF(K35&gt;Forudsætninger!$C$50,Forudsætninger!$E$50,Forudsætninger!$E$49+Forudsætninger!$F$50*(K35-Forudsætninger!$C$49)),Forudsætninger!$E$48+Forudsætninger!$F$49*(K35-Forudsætninger!$C$48)),Forudsætninger!$E$48)+IF(K35&gt;Forudsætninger!$C$50,Forudsætninger!$G$50,IF(K35&gt;Forudsætninger!$C$49,Forudsætninger!$G$49+Forudsætninger!$H$50*(K35-Forudsætninger!$C$49),IF(K35&gt;Forudsætninger!$C$48,Forudsætninger!$G$48+Forudsætninger!$H$49*(K35-Forudsætninger!$C$48),Forudsætninger!$G$48)))*(U35-Forudsætninger!$H$48)</f>
        <v>35.118650526936541</v>
      </c>
      <c r="AC35" s="19">
        <f>IF(K35&gt;Forudsætninger!$C$52,IF(K35&gt;Forudsætninger!$C$53,IF(K35&gt;Forudsætninger!$C$54,Forudsætninger!$E$54,Forudsætninger!$E$53+Forudsætninger!$F$54*(K35-Forudsætninger!$C$53)),Forudsætninger!$E$52+Forudsætninger!$F$53*(K35-Forudsætninger!$C$52)),Forudsætninger!$E$52)+IF(K35&gt;Forudsætninger!$C$54,Forudsætninger!$G$54,IF(K35&gt;Forudsætninger!$C$53,Forudsætninger!$G$53+Forudsætninger!$H$54*(K35-Forudsætninger!$C$53),IF(K35&gt;Forudsætninger!$C$52,Forudsætninger!$G$52+Forudsætninger!$H$53*(K35-Forudsætninger!$C$52),Forudsætninger!$G$52)))*(V35-Forudsætninger!$H$52)</f>
        <v>29.946626317341345</v>
      </c>
      <c r="AD35" s="19">
        <f t="shared" si="5"/>
        <v>1407.3164282130826</v>
      </c>
      <c r="AE35" s="19">
        <f t="shared" si="6"/>
        <v>29.946626317341341</v>
      </c>
      <c r="AF35">
        <f>IF(G35&lt;=Forudsætninger!$C$97,Forudsætninger!$C$98,(IF(G35&lt;=Forudsætninger!$D$97,Forudsætninger!$D$98,IF(G35&lt;=Forudsætninger!$E$97,Forudsætninger!$E$98,IF(G35&lt;=Forudsætninger!$F$97,Forudsætninger!$F$98,IF(G35&lt;=Forudsætninger!$G$97,Forudsætninger!$G$98,IF(G35&lt;=Forudsætninger!$H$97,Forudsætninger!$H$98,IF(G35&lt;=Forudsætninger!$I$97,Forudsætninger!$I$98,Forudsætninger!$I$98))))))))</f>
        <v>1.8</v>
      </c>
      <c r="AG35" s="1">
        <f t="shared" si="16"/>
        <v>2.2000000000000002</v>
      </c>
      <c r="AH35" s="1">
        <f t="shared" si="21"/>
        <v>72.600000000000037</v>
      </c>
      <c r="AI35" s="1">
        <f t="shared" si="7"/>
        <v>2.2000000000000011</v>
      </c>
      <c r="AJ35" s="20">
        <f>+(W35*Forudsætninger!$C$12)</f>
        <v>0</v>
      </c>
      <c r="AK35" s="20">
        <f>Forudsætninger!$C$17</f>
        <v>250</v>
      </c>
      <c r="AL35" s="20">
        <f>IF(A35&lt;92,Forudsætninger!$C$20,Forudsætninger!$C$21)</f>
        <v>4.0072859744990899</v>
      </c>
      <c r="AM35" s="20">
        <f t="shared" si="17"/>
        <v>132.24043715846989</v>
      </c>
      <c r="AN35" s="19">
        <f>IFERROR(AD35+AJ35-AA35-Z35-AK35-AM35-Forudsætninger!$E$75,-999999)</f>
        <v>-1435.7958843223166</v>
      </c>
      <c r="AO35" s="19">
        <f>IFERROR(AN35/(A35+Forudsætninger!$E$74),-999999)</f>
        <v>-43.508966191585351</v>
      </c>
      <c r="AP35" s="19">
        <f>IFERROR(((365/(A35+Forudsætninger!$E$74))*AN35)/(AI35+Forudsætninger!$E$73),-999999)</f>
        <v>-6874.7933592764712</v>
      </c>
      <c r="AQ35" s="18">
        <f t="shared" si="8"/>
        <v>33</v>
      </c>
      <c r="AR35" s="18">
        <f t="shared" si="22"/>
        <v>2651.8955511987833</v>
      </c>
      <c r="AS35" s="18">
        <f t="shared" si="0"/>
        <v>2.2999999999999998</v>
      </c>
      <c r="AT35" s="50">
        <f t="shared" si="23"/>
        <v>3.9099139923537223</v>
      </c>
      <c r="AU35" s="50">
        <f t="shared" si="24"/>
        <v>1.4818400057480972</v>
      </c>
      <c r="AV35" s="2">
        <f t="shared" si="25"/>
        <v>234.14355069179783</v>
      </c>
      <c r="AW35" s="16">
        <f t="shared" si="19"/>
        <v>-39.501680217086268</v>
      </c>
      <c r="AZ35" s="16"/>
      <c r="BA35" s="2"/>
    </row>
    <row r="36" spans="1:53" x14ac:dyDescent="0.25">
      <c r="A36">
        <v>34</v>
      </c>
      <c r="B36" s="1">
        <f>ROUND((A36+Forudsætninger!$E$60)/30.4,1)</f>
        <v>2.2999999999999998</v>
      </c>
      <c r="C36" s="1">
        <f>VLOOKUP((A36+Forudsætninger!$E$60),'Model tilvækst, slagteform, fe'!A:D,4,FALSE)</f>
        <v>96.70593684750601</v>
      </c>
      <c r="D36" s="3">
        <f t="shared" si="26"/>
        <v>1190.5127325750016</v>
      </c>
      <c r="E36" s="3">
        <f>(1+Forudsætninger!$E$78)*C36</f>
        <v>88.969461899705536</v>
      </c>
      <c r="F36" s="2">
        <f t="shared" si="27"/>
        <v>7.4203546712023805</v>
      </c>
      <c r="G36" s="1">
        <f t="shared" si="1"/>
        <v>96.389816570907911</v>
      </c>
      <c r="H36" s="3">
        <f t="shared" si="10"/>
        <v>1015.9041984639856</v>
      </c>
      <c r="I36" s="3">
        <f t="shared" si="2"/>
        <v>834.99460502670331</v>
      </c>
      <c r="J36" s="1">
        <f>VLOOKUP((A36+Forudsætninger!$E$60),'Model tilvækst, slagteform, fe'!G:K,4,FALSE)*(1+Forudsætninger!$E$79)</f>
        <v>49.296045903954635</v>
      </c>
      <c r="K36" s="17">
        <f t="shared" si="3"/>
        <v>47.516368223532432</v>
      </c>
      <c r="L36" s="17">
        <f t="shared" si="11"/>
        <v>522.21224416119583</v>
      </c>
      <c r="M36" s="3">
        <f>((K36-(('Model tilvækst, slagteform, fe'!$J$9/100)*'Model tilvækst, slagteform, fe'!$D$9))*1000/(A36+Forudsætninger!$E$60))</f>
        <v>389.74228698127399</v>
      </c>
      <c r="N36" s="17">
        <f t="shared" si="12"/>
        <v>79.96744663492791</v>
      </c>
      <c r="O36" s="19">
        <f>IF( A36&lt;Forudsætninger!$C$14,(G36/100)*Forudsætninger!$C$13,(Forudsætninger!$C$15/1000)*Forudsætninger!$C$13)</f>
        <v>0.6265338077109015</v>
      </c>
      <c r="P36" s="17" cm="1">
        <f t="array" ref="P36">INDEX('Model tilvækst, slagteform, fe'!$P$9:$P$375,MATCH(MIN(ABS('Model tilvækst, slagteform, fe'!$M$9:$M$375-G36)),ABS('Model tilvækst, slagteform, fe'!$M$9:$M$375-G36),0))*(1+Forudsætninger!$E$80)</f>
        <v>2.8378097825364335</v>
      </c>
      <c r="Q36" s="17">
        <f t="shared" si="13"/>
        <v>5.434207669899946</v>
      </c>
      <c r="R36" s="17">
        <f t="shared" si="14"/>
        <v>5.4961600279961118</v>
      </c>
      <c r="S36" s="17">
        <f t="shared" si="15"/>
        <v>2.816765174765993</v>
      </c>
      <c r="T36" s="19">
        <f>(P36)*IF(N36&lt;Forudsætninger!$B$228,IF(N36&lt;Forudsætninger!$B$227,Forudsætninger!$B$225,Forudsætninger!$C$9),Forudsætninger!$C$11)+O36</f>
        <v>7.7494363618773487</v>
      </c>
      <c r="U36" s="5">
        <f>Forudsætninger!$E$68+((K36-(Forudsætninger!$E$84)))*0.01</f>
        <v>5.1917273918069933</v>
      </c>
      <c r="V36" s="2">
        <f>U36+Forudsætninger!$E$69</f>
        <v>5.1917273918069933</v>
      </c>
      <c r="W36">
        <f t="shared" si="4"/>
        <v>0</v>
      </c>
      <c r="X36">
        <f>IF(A36+Forudsætninger!$E$60&gt;248,IF(A36+Forudsætninger!$E$60&lt;365,IF(K36&gt;180,IF(K36&lt;260,1,0),0),0),0)</f>
        <v>0</v>
      </c>
      <c r="Y36" s="22">
        <f>IF(X36=0,0,IF('Vækstfunktion, kry kvie'!A36&lt;Forudsætninger!$E$66,Forudsætninger!$E$67+(('Vækstfunktion, kry kvie'!A36-Forudsætninger!$E$66)/7)*Forudsætninger!$E$64,Forudsætninger!$E$67))</f>
        <v>0</v>
      </c>
      <c r="Z36" s="19">
        <f t="shared" si="20"/>
        <v>702.40455040219092</v>
      </c>
      <c r="AA36" s="19">
        <f>Forudsætninger!$E$62+Forudsætninger!$C$16</f>
        <v>1575</v>
      </c>
      <c r="AB36" s="19">
        <f>IF(K36&gt;Forudsætninger!$C$48,IF(K36&gt;Forudsætninger!$C$49,IF(K36&gt;Forudsætninger!$C$50,Forudsætninger!$E$50,Forudsætninger!$E$49+Forudsætninger!$F$50*(K36-Forudsætninger!$C$49)),Forudsætninger!$E$48+Forudsætninger!$F$49*(K36-Forudsætninger!$C$48)),Forudsætninger!$E$48)+IF(K36&gt;Forudsætninger!$C$50,Forudsætninger!$G$50,IF(K36&gt;Forudsætninger!$C$49,Forudsætninger!$G$49+Forudsætninger!$H$50*(K36-Forudsætninger!$C$49),IF(K36&gt;Forudsætninger!$C$48,Forudsætninger!$G$48+Forudsætninger!$H$49*(K36-Forudsætninger!$C$48),Forudsætninger!$G$48)))*(U36-Forudsætninger!$H$48)</f>
        <v>35.119172739180698</v>
      </c>
      <c r="AC36" s="19">
        <f>IF(K36&gt;Forudsætninger!$C$52,IF(K36&gt;Forudsætninger!$C$53,IF(K36&gt;Forudsætninger!$C$54,Forudsætninger!$E$54,Forudsætninger!$E$53+Forudsætninger!$F$54*(K36-Forudsætninger!$C$53)),Forudsætninger!$E$52+Forudsætninger!$F$53*(K36-Forudsætninger!$C$52)),Forudsætninger!$E$52)+IF(K36&gt;Forudsætninger!$C$54,Forudsætninger!$G$54,IF(K36&gt;Forudsætninger!$C$53,Forudsætninger!$G$53+Forudsætninger!$H$54*(K36-Forudsætninger!$C$53),IF(K36&gt;Forudsætninger!$C$52,Forudsætninger!$G$52+Forudsætninger!$H$53*(K36-Forudsætninger!$C$52),Forudsætninger!$G$52)))*(V36-Forudsætninger!$H$52)</f>
        <v>29.947931847951747</v>
      </c>
      <c r="AD36" s="19">
        <f t="shared" si="5"/>
        <v>1423.0169572205293</v>
      </c>
      <c r="AE36" s="19">
        <f t="shared" si="6"/>
        <v>29.947931847951747</v>
      </c>
      <c r="AF36">
        <f>IF(G36&lt;=Forudsætninger!$C$97,Forudsætninger!$C$98,(IF(G36&lt;=Forudsætninger!$D$97,Forudsætninger!$D$98,IF(G36&lt;=Forudsætninger!$E$97,Forudsætninger!$E$98,IF(G36&lt;=Forudsætninger!$F$97,Forudsætninger!$F$98,IF(G36&lt;=Forudsætninger!$G$97,Forudsætninger!$G$98,IF(G36&lt;=Forudsætninger!$H$97,Forudsætninger!$H$98,IF(G36&lt;=Forudsætninger!$I$97,Forudsætninger!$I$98,Forudsætninger!$I$98))))))))</f>
        <v>1.8</v>
      </c>
      <c r="AG36" s="1">
        <f t="shared" si="16"/>
        <v>2.2000000000000002</v>
      </c>
      <c r="AH36" s="1">
        <f t="shared" si="21"/>
        <v>74.80000000000004</v>
      </c>
      <c r="AI36" s="1">
        <f t="shared" si="7"/>
        <v>2.2000000000000011</v>
      </c>
      <c r="AJ36" s="20">
        <f>+(W36*Forudsætninger!$C$12)</f>
        <v>0</v>
      </c>
      <c r="AK36" s="20">
        <f>Forudsætninger!$C$17</f>
        <v>250</v>
      </c>
      <c r="AL36" s="20">
        <f>IF(A36&lt;92,Forudsætninger!$C$20,Forudsætninger!$C$21)</f>
        <v>4.0072859744990899</v>
      </c>
      <c r="AM36" s="20">
        <f t="shared" si="17"/>
        <v>136.24772313296899</v>
      </c>
      <c r="AN36" s="19">
        <f>IFERROR(AD36+AJ36-AA36-Z36-AK36-AM36-Forudsætninger!$E$75,-999999)</f>
        <v>-1431.8520776512462</v>
      </c>
      <c r="AO36" s="19">
        <f>IFERROR(AN36/(A36+Forudsætninger!$E$74),-999999)</f>
        <v>-42.113296401507242</v>
      </c>
      <c r="AP36" s="19">
        <f>IFERROR(((365/(A36+Forudsætninger!$E$74))*AN36)/(AI36+Forudsætninger!$E$73),-999999)</f>
        <v>-6654.265448723002</v>
      </c>
      <c r="AQ36" s="18">
        <f t="shared" si="8"/>
        <v>34</v>
      </c>
      <c r="AR36" s="18">
        <f t="shared" si="22"/>
        <v>2663.65227353516</v>
      </c>
      <c r="AS36" s="18">
        <f t="shared" si="0"/>
        <v>2.2999999999999998</v>
      </c>
      <c r="AT36" s="50">
        <f t="shared" si="23"/>
        <v>3.9438066710704334</v>
      </c>
      <c r="AU36" s="50">
        <f t="shared" si="24"/>
        <v>1.3956697900781094</v>
      </c>
      <c r="AV36" s="2">
        <f t="shared" si="25"/>
        <v>220.52791055346916</v>
      </c>
      <c r="AW36" s="16">
        <f t="shared" si="19"/>
        <v>-38.106010427008151</v>
      </c>
      <c r="AZ36" s="16"/>
      <c r="BA36" s="2"/>
    </row>
    <row r="37" spans="1:53" x14ac:dyDescent="0.25">
      <c r="A37">
        <v>35</v>
      </c>
      <c r="B37" s="1">
        <f>ROUND((A37+Forudsætninger!$E$60)/30.4,1)</f>
        <v>2.2999999999999998</v>
      </c>
      <c r="C37" s="1">
        <f>VLOOKUP((A37+Forudsætninger!$E$60),'Model tilvækst, slagteform, fe'!A:D,4,FALSE)</f>
        <v>97.905830779717931</v>
      </c>
      <c r="D37" s="3">
        <f t="shared" si="26"/>
        <v>1199.8939322119213</v>
      </c>
      <c r="E37" s="3">
        <f>(1+Forudsætninger!$E$78)*C37</f>
        <v>90.073364317340506</v>
      </c>
      <c r="F37" s="2">
        <f t="shared" si="27"/>
        <v>7.3403617423882528</v>
      </c>
      <c r="G37" s="1">
        <f t="shared" si="1"/>
        <v>97.413726059728759</v>
      </c>
      <c r="H37" s="3">
        <f t="shared" si="10"/>
        <v>1023.9094888208484</v>
      </c>
      <c r="I37" s="3">
        <f t="shared" si="2"/>
        <v>840.39217313510744</v>
      </c>
      <c r="J37" s="1">
        <f>VLOOKUP((A37+Forudsætninger!$E$60),'Model tilvækst, slagteform, fe'!G:K,4,FALSE)*(1+Forudsætninger!$E$79)</f>
        <v>49.318341746423428</v>
      </c>
      <c r="K37" s="17">
        <f t="shared" si="3"/>
        <v>48.042834326061765</v>
      </c>
      <c r="L37" s="17">
        <f t="shared" si="11"/>
        <v>526.46610252933351</v>
      </c>
      <c r="M37" s="3">
        <f>((K37-(('Model tilvækst, slagteform, fe'!$J$9/100)*'Model tilvækst, slagteform, fe'!$D$9))*1000/(A37+Forudsætninger!$E$60))</f>
        <v>391.6679745242044</v>
      </c>
      <c r="N37" s="17">
        <f t="shared" si="12"/>
        <v>82.841027633041747</v>
      </c>
      <c r="O37" s="19">
        <f>IF( A37&lt;Forudsætninger!$C$14,(G37/100)*Forudsætninger!$C$13,(Forudsætninger!$C$15/1000)*Forudsætninger!$C$13)</f>
        <v>0.63318921938823691</v>
      </c>
      <c r="P37" s="17" cm="1">
        <f t="array" ref="P37">INDEX('Model tilvækst, slagteform, fe'!$P$9:$P$375,MATCH(MIN(ABS('Model tilvækst, slagteform, fe'!$M$9:$M$375-G37)),ABS('Model tilvækst, slagteform, fe'!$M$9:$M$375-G37),0))*(1+Forudsætninger!$E$80)</f>
        <v>2.8735809981138356</v>
      </c>
      <c r="Q37" s="17">
        <f t="shared" si="13"/>
        <v>5.458245049981592</v>
      </c>
      <c r="R37" s="17">
        <f t="shared" si="14"/>
        <v>5.4948360203871198</v>
      </c>
      <c r="S37" s="17">
        <f t="shared" si="15"/>
        <v>2.8164071245112314</v>
      </c>
      <c r="T37" s="19">
        <f>(P37)*IF(N37&lt;Forudsætninger!$B$228,IF(N37&lt;Forudsætninger!$B$227,Forudsætninger!$B$225,Forudsætninger!$C$9),Forudsætninger!$C$11)+O37</f>
        <v>7.8458775246539636</v>
      </c>
      <c r="U37" s="5">
        <f>Forudsætninger!$E$68+((K37-(Forudsætninger!$E$84)))*0.01</f>
        <v>5.1969920528322868</v>
      </c>
      <c r="V37" s="2">
        <f>U37+Forudsætninger!$E$69</f>
        <v>5.1969920528322868</v>
      </c>
      <c r="W37">
        <f t="shared" si="4"/>
        <v>0</v>
      </c>
      <c r="X37">
        <f>IF(A37+Forudsætninger!$E$60&gt;248,IF(A37+Forudsætninger!$E$60&lt;365,IF(K37&gt;180,IF(K37&lt;260,1,0),0),0),0)</f>
        <v>0</v>
      </c>
      <c r="Y37" s="22">
        <f>IF(X37=0,0,IF('Vækstfunktion, kry kvie'!A37&lt;Forudsætninger!$E$66,Forudsætninger!$E$67+(('Vækstfunktion, kry kvie'!A37-Forudsætninger!$E$66)/7)*Forudsætninger!$E$64,Forudsætninger!$E$67))</f>
        <v>0</v>
      </c>
      <c r="Z37" s="19">
        <f t="shared" si="20"/>
        <v>710.25042792684485</v>
      </c>
      <c r="AA37" s="19">
        <f>Forudsætninger!$E$62+Forudsætninger!$C$16</f>
        <v>1575</v>
      </c>
      <c r="AB37" s="19">
        <f>IF(K37&gt;Forudsætninger!$C$48,IF(K37&gt;Forudsætninger!$C$49,IF(K37&gt;Forudsætninger!$C$50,Forudsætninger!$E$50,Forudsætninger!$E$49+Forudsætninger!$F$50*(K37-Forudsætninger!$C$49)),Forudsætninger!$E$48+Forudsætninger!$F$49*(K37-Forudsætninger!$C$48)),Forudsætninger!$E$48)+IF(K37&gt;Forudsætninger!$C$50,Forudsætninger!$G$50,IF(K37&gt;Forudsætninger!$C$49,Forudsætninger!$G$49+Forudsætninger!$H$50*(K37-Forudsætninger!$C$49),IF(K37&gt;Forudsætninger!$C$48,Forudsætninger!$G$48+Forudsætninger!$H$49*(K37-Forudsætninger!$C$48),Forudsætninger!$G$48)))*(U37-Forudsætninger!$H$48)</f>
        <v>35.119699205283233</v>
      </c>
      <c r="AC37" s="19">
        <f>IF(K37&gt;Forudsætninger!$C$52,IF(K37&gt;Forudsætninger!$C$53,IF(K37&gt;Forudsætninger!$C$54,Forudsætninger!$E$54,Forudsætninger!$E$53+Forudsætninger!$F$54*(K37-Forudsætninger!$C$53)),Forudsætninger!$E$52+Forudsætninger!$F$53*(K37-Forudsætninger!$C$52)),Forudsætninger!$E$52)+IF(K37&gt;Forudsætninger!$C$54,Forudsætninger!$G$54,IF(K37&gt;Forudsætninger!$C$53,Forudsætninger!$G$53+Forudsætninger!$H$54*(K37-Forudsætninger!$C$53),IF(K37&gt;Forudsætninger!$C$52,Forudsætninger!$G$52+Forudsætninger!$H$53*(K37-Forudsætninger!$C$52),Forudsætninger!$G$52)))*(V37-Forudsætninger!$H$52)</f>
        <v>29.94924801320807</v>
      </c>
      <c r="AD37" s="19">
        <f t="shared" si="5"/>
        <v>1438.8467604886898</v>
      </c>
      <c r="AE37" s="19">
        <f t="shared" si="6"/>
        <v>29.94924801320807</v>
      </c>
      <c r="AF37">
        <f>IF(G37&lt;=Forudsætninger!$C$97,Forudsætninger!$C$98,(IF(G37&lt;=Forudsætninger!$D$97,Forudsætninger!$D$98,IF(G37&lt;=Forudsætninger!$E$97,Forudsætninger!$E$98,IF(G37&lt;=Forudsætninger!$F$97,Forudsætninger!$F$98,IF(G37&lt;=Forudsætninger!$G$97,Forudsætninger!$G$98,IF(G37&lt;=Forudsætninger!$H$97,Forudsætninger!$H$98,IF(G37&lt;=Forudsætninger!$I$97,Forudsætninger!$I$98,Forudsætninger!$I$98))))))))</f>
        <v>1.8</v>
      </c>
      <c r="AG37" s="1">
        <f t="shared" si="16"/>
        <v>2.2000000000000002</v>
      </c>
      <c r="AH37" s="1">
        <f t="shared" si="21"/>
        <v>77.000000000000043</v>
      </c>
      <c r="AI37" s="1">
        <f t="shared" si="7"/>
        <v>2.2000000000000011</v>
      </c>
      <c r="AJ37" s="20">
        <f>+(W37*Forudsætninger!$C$12)</f>
        <v>0</v>
      </c>
      <c r="AK37" s="20">
        <f>Forudsætninger!$C$17</f>
        <v>250</v>
      </c>
      <c r="AL37" s="20">
        <f>IF(A37&lt;92,Forudsætninger!$C$20,Forudsætninger!$C$21)</f>
        <v>4.0072859744990899</v>
      </c>
      <c r="AM37" s="20">
        <f t="shared" si="17"/>
        <v>140.25500910746808</v>
      </c>
      <c r="AN37" s="19">
        <f>IFERROR(AD37+AJ37-AA37-Z37-AK37-AM37-Forudsætninger!$E$75,-999999)</f>
        <v>-1427.8754378822389</v>
      </c>
      <c r="AO37" s="19">
        <f>IFERROR(AN37/(A37+Forudsætninger!$E$74),-999999)</f>
        <v>-40.796441082349681</v>
      </c>
      <c r="AP37" s="19">
        <f>IFERROR(((365/(A37+Forudsætninger!$E$74))*AN37)/(AI37+Forudsætninger!$E$73),-999999)</f>
        <v>-6446.190906951354</v>
      </c>
      <c r="AQ37" s="18">
        <f t="shared" si="8"/>
        <v>35</v>
      </c>
      <c r="AR37" s="18">
        <f t="shared" si="22"/>
        <v>2675.5054370343132</v>
      </c>
      <c r="AS37" s="18">
        <f t="shared" si="0"/>
        <v>2.2999999999999998</v>
      </c>
      <c r="AT37" s="50">
        <f t="shared" si="23"/>
        <v>3.9766397690073063</v>
      </c>
      <c r="AU37" s="50">
        <f t="shared" si="24"/>
        <v>1.3168553191575612</v>
      </c>
      <c r="AV37" s="2">
        <f t="shared" si="25"/>
        <v>208.074541771648</v>
      </c>
      <c r="AW37" s="16">
        <f t="shared" si="19"/>
        <v>-36.78915510785059</v>
      </c>
      <c r="AZ37" s="16"/>
      <c r="BA37" s="2"/>
    </row>
    <row r="38" spans="1:53" x14ac:dyDescent="0.25">
      <c r="A38">
        <v>36</v>
      </c>
      <c r="B38" s="1">
        <f>ROUND((A38+Forudsætninger!$E$60)/30.4,1)</f>
        <v>2.4</v>
      </c>
      <c r="C38" s="1">
        <f>VLOOKUP((A38+Forudsætninger!$E$60),'Model tilvækst, slagteform, fe'!A:D,4,FALSE)</f>
        <v>99.114977133021895</v>
      </c>
      <c r="D38" s="3">
        <f t="shared" si="26"/>
        <v>1209.1463533039644</v>
      </c>
      <c r="E38" s="3">
        <f>(1+Forudsætninger!$E$78)*C38</f>
        <v>91.185778962380141</v>
      </c>
      <c r="F38" s="2">
        <f t="shared" si="27"/>
        <v>7.2597519855013219</v>
      </c>
      <c r="G38" s="1">
        <f t="shared" si="1"/>
        <v>98.445530947881466</v>
      </c>
      <c r="H38" s="3">
        <f t="shared" si="10"/>
        <v>1031.8048881527061</v>
      </c>
      <c r="I38" s="3">
        <f t="shared" si="2"/>
        <v>845.70919299670743</v>
      </c>
      <c r="J38" s="1">
        <f>VLOOKUP((A38+Forudsætninger!$E$60),'Model tilvækst, slagteform, fe'!G:K,4,FALSE)*(1+Forudsætninger!$E$79)</f>
        <v>49.340486860448976</v>
      </c>
      <c r="K38" s="17">
        <f t="shared" si="3"/>
        <v>48.573504262038689</v>
      </c>
      <c r="L38" s="17">
        <f t="shared" si="11"/>
        <v>530.66993597692408</v>
      </c>
      <c r="M38" s="3">
        <f>((K38-(('Model tilvækst, slagteform, fe'!$J$9/100)*'Model tilvækst, slagteform, fe'!$D$9))*1000/(A38+Forudsætninger!$E$60))</f>
        <v>393.59855732215885</v>
      </c>
      <c r="N38" s="17">
        <f t="shared" si="12"/>
        <v>85.750188066808093</v>
      </c>
      <c r="O38" s="19">
        <f>IF( A38&lt;Forudsætninger!$C$14,(G38/100)*Forudsætninger!$C$13,(Forudsætninger!$C$15/1000)*Forudsætninger!$C$13)</f>
        <v>0.63989595116122955</v>
      </c>
      <c r="P38" s="17" cm="1">
        <f t="array" ref="P38">INDEX('Model tilvækst, slagteform, fe'!$P$9:$P$375,MATCH(MIN(ABS('Model tilvækst, slagteform, fe'!$M$9:$M$375-G38)),ABS('Model tilvækst, slagteform, fe'!$M$9:$M$375-G38),0))*(1+Forudsætninger!$E$80)</f>
        <v>2.9091604337663481</v>
      </c>
      <c r="Q38" s="17">
        <f t="shared" si="13"/>
        <v>5.4820524709220599</v>
      </c>
      <c r="R38" s="17">
        <f t="shared" si="14"/>
        <v>5.4944013488135015</v>
      </c>
      <c r="S38" s="17">
        <f t="shared" si="15"/>
        <v>2.8165115009359023</v>
      </c>
      <c r="T38" s="19">
        <f>(P38)*IF(N38&lt;Forudsætninger!$B$228,IF(N38&lt;Forudsætninger!$B$227,Forudsætninger!$B$225,Forudsætninger!$C$9),Forudsætninger!$C$11)+O38</f>
        <v>7.9418886399147635</v>
      </c>
      <c r="U38" s="5">
        <f>Forudsætninger!$E$68+((K38-(Forudsætninger!$E$84)))*0.01</f>
        <v>5.2022987521920561</v>
      </c>
      <c r="V38" s="2">
        <f>U38+Forudsætninger!$E$69</f>
        <v>5.2022987521920561</v>
      </c>
      <c r="W38">
        <f t="shared" si="4"/>
        <v>0</v>
      </c>
      <c r="X38">
        <f>IF(A38+Forudsætninger!$E$60&gt;248,IF(A38+Forudsætninger!$E$60&lt;365,IF(K38&gt;180,IF(K38&lt;260,1,0),0),0),0)</f>
        <v>0</v>
      </c>
      <c r="Y38" s="22">
        <f>IF(X38=0,0,IF('Vækstfunktion, kry kvie'!A38&lt;Forudsætninger!$E$66,Forudsætninger!$E$67+(('Vækstfunktion, kry kvie'!A38-Forudsætninger!$E$66)/7)*Forudsætninger!$E$64,Forudsætninger!$E$67))</f>
        <v>0</v>
      </c>
      <c r="Z38" s="19">
        <f t="shared" si="20"/>
        <v>718.19231656675959</v>
      </c>
      <c r="AA38" s="19">
        <f>Forudsætninger!$E$62+Forudsætninger!$C$16</f>
        <v>1575</v>
      </c>
      <c r="AB38" s="19">
        <f>IF(K38&gt;Forudsætninger!$C$48,IF(K38&gt;Forudsætninger!$C$49,IF(K38&gt;Forudsætninger!$C$50,Forudsætninger!$E$50,Forudsætninger!$E$49+Forudsætninger!$F$50*(K38-Forudsætninger!$C$49)),Forudsætninger!$E$48+Forudsætninger!$F$49*(K38-Forudsætninger!$C$48)),Forudsætninger!$E$48)+IF(K38&gt;Forudsætninger!$C$50,Forudsætninger!$G$50,IF(K38&gt;Forudsætninger!$C$49,Forudsætninger!$G$49+Forudsætninger!$H$50*(K38-Forudsætninger!$C$49),IF(K38&gt;Forudsætninger!$C$48,Forudsætninger!$G$48+Forudsætninger!$H$49*(K38-Forudsætninger!$C$48),Forudsætninger!$G$48)))*(U38-Forudsætninger!$H$48)</f>
        <v>35.120229875219209</v>
      </c>
      <c r="AC38" s="19">
        <f>IF(K38&gt;Forudsætninger!$C$52,IF(K38&gt;Forudsætninger!$C$53,IF(K38&gt;Forudsætninger!$C$54,Forudsætninger!$E$54,Forudsætninger!$E$53+Forudsætninger!$F$54*(K38-Forudsætninger!$C$53)),Forudsætninger!$E$52+Forudsætninger!$F$53*(K38-Forudsætninger!$C$52)),Forudsætninger!$E$52)+IF(K38&gt;Forudsætninger!$C$54,Forudsætninger!$G$54,IF(K38&gt;Forudsætninger!$C$53,Forudsætninger!$G$53+Forudsætninger!$H$54*(K38-Forudsætninger!$C$53),IF(K38&gt;Forudsætninger!$C$52,Forudsætninger!$G$52+Forudsætninger!$H$53*(K38-Forudsætninger!$C$52),Forudsætninger!$G$52)))*(V38-Forudsætninger!$H$52)</f>
        <v>29.950574688048011</v>
      </c>
      <c r="AD38" s="19">
        <f t="shared" si="5"/>
        <v>1454.8043672604081</v>
      </c>
      <c r="AE38" s="19">
        <f t="shared" si="6"/>
        <v>29.950574688048011</v>
      </c>
      <c r="AF38">
        <f>IF(G38&lt;=Forudsætninger!$C$97,Forudsætninger!$C$98,(IF(G38&lt;=Forudsætninger!$D$97,Forudsætninger!$D$98,IF(G38&lt;=Forudsætninger!$E$97,Forudsætninger!$E$98,IF(G38&lt;=Forudsætninger!$F$97,Forudsætninger!$F$98,IF(G38&lt;=Forudsætninger!$G$97,Forudsætninger!$G$98,IF(G38&lt;=Forudsætninger!$H$97,Forudsætninger!$H$98,IF(G38&lt;=Forudsætninger!$I$97,Forudsætninger!$I$98,Forudsætninger!$I$98))))))))</f>
        <v>1.8</v>
      </c>
      <c r="AG38" s="1">
        <f t="shared" si="16"/>
        <v>2.2000000000000002</v>
      </c>
      <c r="AH38" s="1">
        <f t="shared" si="21"/>
        <v>79.200000000000045</v>
      </c>
      <c r="AI38" s="1">
        <f t="shared" si="7"/>
        <v>2.2000000000000011</v>
      </c>
      <c r="AJ38" s="20">
        <f>+(W38*Forudsætninger!$C$12)</f>
        <v>0</v>
      </c>
      <c r="AK38" s="20">
        <f>Forudsætninger!$C$17</f>
        <v>250</v>
      </c>
      <c r="AL38" s="20">
        <f>IF(A38&lt;92,Forudsætninger!$C$20,Forudsætninger!$C$21)</f>
        <v>4.0072859744990899</v>
      </c>
      <c r="AM38" s="20">
        <f t="shared" si="17"/>
        <v>144.26229508196718</v>
      </c>
      <c r="AN38" s="19">
        <f>IFERROR(AD38+AJ38-AA38-Z38-AK38-AM38-Forudsætninger!$E$75,-999999)</f>
        <v>-1423.8670057249344</v>
      </c>
      <c r="AO38" s="19">
        <f>IFERROR(AN38/(A38+Forudsætninger!$E$74),-999999)</f>
        <v>-39.551861270137067</v>
      </c>
      <c r="AP38" s="19">
        <f>IFERROR(((365/(A38+Forudsætninger!$E$74))*AN38)/(AI38+Forudsætninger!$E$73),-999999)</f>
        <v>-6249.5365210389709</v>
      </c>
      <c r="AQ38" s="18">
        <f t="shared" si="8"/>
        <v>36</v>
      </c>
      <c r="AR38" s="18">
        <f t="shared" si="22"/>
        <v>2687.4546116487268</v>
      </c>
      <c r="AS38" s="18">
        <f t="shared" si="0"/>
        <v>2.4</v>
      </c>
      <c r="AT38" s="50">
        <f t="shared" si="23"/>
        <v>4.008432157304469</v>
      </c>
      <c r="AU38" s="50">
        <f t="shared" si="24"/>
        <v>1.2445798122126135</v>
      </c>
      <c r="AV38" s="2">
        <f t="shared" si="25"/>
        <v>196.65438591238308</v>
      </c>
      <c r="AW38" s="16">
        <f t="shared" si="19"/>
        <v>-35.544575295637983</v>
      </c>
      <c r="AZ38" s="16"/>
      <c r="BA38" s="2"/>
    </row>
    <row r="39" spans="1:53" x14ac:dyDescent="0.25">
      <c r="A39">
        <v>37</v>
      </c>
      <c r="B39" s="1">
        <f>ROUND((A39+Forudsætninger!$E$60)/30.4,1)</f>
        <v>2.4</v>
      </c>
      <c r="C39" s="1">
        <f>VLOOKUP((A39+Forudsætninger!$E$60),'Model tilvækst, slagteform, fe'!A:D,4,FALSE)</f>
        <v>100.3332477138936</v>
      </c>
      <c r="D39" s="3">
        <f t="shared" si="26"/>
        <v>1218.2705808717033</v>
      </c>
      <c r="E39" s="3">
        <f>(1+Forudsætninger!$E$78)*C39</f>
        <v>92.306587896782119</v>
      </c>
      <c r="F39" s="2">
        <f t="shared" si="27"/>
        <v>7.1785339467765414</v>
      </c>
      <c r="G39" s="1">
        <f t="shared" si="1"/>
        <v>99.485121843558659</v>
      </c>
      <c r="H39" s="3">
        <f t="shared" si="10"/>
        <v>1039.5908956771932</v>
      </c>
      <c r="I39" s="3">
        <f t="shared" si="2"/>
        <v>850.9492390150989</v>
      </c>
      <c r="J39" s="1">
        <f>VLOOKUP((A39+Forudsætninger!$E$60),'Model tilvækst, slagteform, fe'!G:K,4,FALSE)*(1+Forudsætninger!$E$79)</f>
        <v>49.362484885678512</v>
      </c>
      <c r="K39" s="17">
        <f t="shared" si="3"/>
        <v>49.108328233525498</v>
      </c>
      <c r="L39" s="17">
        <f t="shared" si="11"/>
        <v>534.82397148680866</v>
      </c>
      <c r="M39" s="3">
        <f>((K39-(('Model tilvækst, slagteform, fe'!$J$9/100)*'Model tilvækst, slagteform, fe'!$D$9))*1000/(A39+Forudsætninger!$E$60))</f>
        <v>395.53315203674305</v>
      </c>
      <c r="N39" s="17">
        <f t="shared" si="12"/>
        <v>88.694732356104197</v>
      </c>
      <c r="O39" s="19">
        <f>IF( A39&lt;Forudsætninger!$C$14,(G39/100)*Forudsætninger!$C$13,(Forudsætninger!$C$15/1000)*Forudsætninger!$C$13)</f>
        <v>0.64665329198313126</v>
      </c>
      <c r="P39" s="17" cm="1">
        <f t="array" ref="P39">INDEX('Model tilvækst, slagteform, fe'!$P$9:$P$375,MATCH(MIN(ABS('Model tilvækst, slagteform, fe'!$M$9:$M$375-G39)),ABS('Model tilvækst, slagteform, fe'!$M$9:$M$375-G39),0))*(1+Forudsætninger!$E$80)</f>
        <v>2.944544289296108</v>
      </c>
      <c r="Q39" s="17">
        <f t="shared" si="13"/>
        <v>5.5056325936742994</v>
      </c>
      <c r="R39" s="17">
        <f t="shared" si="14"/>
        <v>5.4947734754229502</v>
      </c>
      <c r="S39" s="17">
        <f t="shared" si="15"/>
        <v>2.8170363385222119</v>
      </c>
      <c r="T39" s="19">
        <f>(P39)*IF(N39&lt;Forudsætninger!$B$228,IF(N39&lt;Forudsætninger!$B$227,Forudsætninger!$B$225,Forudsætninger!$C$9),Forudsætninger!$C$11)+O39</f>
        <v>8.037459458116361</v>
      </c>
      <c r="U39" s="5">
        <f>Forudsætninger!$E$68+((K39-(Forudsætninger!$E$84)))*0.01</f>
        <v>5.2076469919069241</v>
      </c>
      <c r="V39" s="2">
        <f>U39+Forudsætninger!$E$69</f>
        <v>5.2076469919069241</v>
      </c>
      <c r="W39">
        <f t="shared" si="4"/>
        <v>0</v>
      </c>
      <c r="X39">
        <f>IF(A39+Forudsætninger!$E$60&gt;248,IF(A39+Forudsætninger!$E$60&lt;365,IF(K39&gt;180,IF(K39&lt;260,1,0),0),0),0)</f>
        <v>0</v>
      </c>
      <c r="Y39" s="22">
        <f>IF(X39=0,0,IF('Vækstfunktion, kry kvie'!A39&lt;Forudsætninger!$E$66,Forudsætninger!$E$67+(('Vækstfunktion, kry kvie'!A39-Forudsætninger!$E$66)/7)*Forudsætninger!$E$64,Forudsætninger!$E$67))</f>
        <v>0</v>
      </c>
      <c r="Z39" s="19">
        <f t="shared" si="20"/>
        <v>726.22977602487595</v>
      </c>
      <c r="AA39" s="19">
        <f>Forudsætninger!$E$62+Forudsætninger!$C$16</f>
        <v>1575</v>
      </c>
      <c r="AB39" s="19">
        <f>IF(K39&gt;Forudsætninger!$C$48,IF(K39&gt;Forudsætninger!$C$49,IF(K39&gt;Forudsætninger!$C$50,Forudsætninger!$E$50,Forudsætninger!$E$49+Forudsætninger!$F$50*(K39-Forudsætninger!$C$49)),Forudsætninger!$E$48+Forudsætninger!$F$49*(K39-Forudsætninger!$C$48)),Forudsætninger!$E$48)+IF(K39&gt;Forudsætninger!$C$50,Forudsætninger!$G$50,IF(K39&gt;Forudsætninger!$C$49,Forudsætninger!$G$49+Forudsætninger!$H$50*(K39-Forudsætninger!$C$49),IF(K39&gt;Forudsætninger!$C$48,Forudsætninger!$G$48+Forudsætninger!$H$49*(K39-Forudsætninger!$C$48),Forudsætninger!$G$48)))*(U39-Forudsætninger!$H$48)</f>
        <v>35.120764699190694</v>
      </c>
      <c r="AC39" s="19">
        <f>IF(K39&gt;Forudsætninger!$C$52,IF(K39&gt;Forudsætninger!$C$53,IF(K39&gt;Forudsætninger!$C$54,Forudsætninger!$E$54,Forudsætninger!$E$53+Forudsætninger!$F$54*(K39-Forudsætninger!$C$53)),Forudsætninger!$E$52+Forudsætninger!$F$53*(K39-Forudsætninger!$C$52)),Forudsætninger!$E$52)+IF(K39&gt;Forudsætninger!$C$54,Forudsætninger!$G$54,IF(K39&gt;Forudsætninger!$C$53,Forudsætninger!$G$53+Forudsætninger!$H$54*(K39-Forudsætninger!$C$53),IF(K39&gt;Forudsætninger!$C$52,Forudsætninger!$G$52+Forudsætninger!$H$53*(K39-Forudsætninger!$C$52),Forudsætninger!$G$52)))*(V39-Forudsætninger!$H$52)</f>
        <v>29.95191174797673</v>
      </c>
      <c r="AD39" s="19">
        <f t="shared" si="5"/>
        <v>1470.8883133412296</v>
      </c>
      <c r="AE39" s="19">
        <f t="shared" si="6"/>
        <v>29.951911747976727</v>
      </c>
      <c r="AF39">
        <f>IF(G39&lt;=Forudsætninger!$C$97,Forudsætninger!$C$98,(IF(G39&lt;=Forudsætninger!$D$97,Forudsætninger!$D$98,IF(G39&lt;=Forudsætninger!$E$97,Forudsætninger!$E$98,IF(G39&lt;=Forudsætninger!$F$97,Forudsætninger!$F$98,IF(G39&lt;=Forudsætninger!$G$97,Forudsætninger!$G$98,IF(G39&lt;=Forudsætninger!$H$97,Forudsætninger!$H$98,IF(G39&lt;=Forudsætninger!$I$97,Forudsætninger!$I$98,Forudsætninger!$I$98))))))))</f>
        <v>1.8</v>
      </c>
      <c r="AG39" s="1">
        <f t="shared" si="16"/>
        <v>2.2000000000000002</v>
      </c>
      <c r="AH39" s="1">
        <f t="shared" si="21"/>
        <v>81.400000000000048</v>
      </c>
      <c r="AI39" s="1">
        <f t="shared" si="7"/>
        <v>2.2000000000000015</v>
      </c>
      <c r="AJ39" s="20">
        <f>+(W39*Forudsætninger!$C$12)</f>
        <v>0</v>
      </c>
      <c r="AK39" s="20">
        <f>Forudsætninger!$C$17</f>
        <v>250</v>
      </c>
      <c r="AL39" s="20">
        <f>IF(A39&lt;92,Forudsætninger!$C$20,Forudsætninger!$C$21)</f>
        <v>4.0072859744990899</v>
      </c>
      <c r="AM39" s="20">
        <f t="shared" si="17"/>
        <v>148.26958105646628</v>
      </c>
      <c r="AN39" s="19">
        <f>IFERROR(AD39+AJ39-AA39-Z39-AK39-AM39-Forudsætninger!$E$75,-999999)</f>
        <v>-1419.8278050767283</v>
      </c>
      <c r="AO39" s="19">
        <f>IFERROR(AN39/(A39+Forudsætninger!$E$74),-999999)</f>
        <v>-38.3737244615332</v>
      </c>
      <c r="AP39" s="19">
        <f>IFERROR(((365/(A39+Forudsætninger!$E$74))*AN39)/(AI39+Forudsætninger!$E$73),-999999)</f>
        <v>-6063.3807049608695</v>
      </c>
      <c r="AQ39" s="18">
        <f t="shared" si="8"/>
        <v>37</v>
      </c>
      <c r="AR39" s="18">
        <f t="shared" si="22"/>
        <v>2699.4993570813422</v>
      </c>
      <c r="AS39" s="18">
        <f t="shared" si="0"/>
        <v>2.4</v>
      </c>
      <c r="AT39" s="50">
        <f t="shared" si="23"/>
        <v>4.0392006482061333</v>
      </c>
      <c r="AU39" s="50">
        <f t="shared" si="24"/>
        <v>1.1781368086038668</v>
      </c>
      <c r="AV39" s="2">
        <f t="shared" si="25"/>
        <v>186.15581607810145</v>
      </c>
      <c r="AW39" s="16">
        <f t="shared" si="19"/>
        <v>-34.36643848703411</v>
      </c>
      <c r="AZ39" s="16"/>
      <c r="BA39" s="2"/>
    </row>
    <row r="40" spans="1:53" x14ac:dyDescent="0.25">
      <c r="A40">
        <v>38</v>
      </c>
      <c r="B40" s="1">
        <f>ROUND((A40+Forudsætninger!$E$60)/30.4,1)</f>
        <v>2.4</v>
      </c>
      <c r="C40" s="1">
        <f>VLOOKUP((A40+Forudsætninger!$E$60),'Model tilvækst, slagteform, fe'!A:D,4,FALSE)</f>
        <v>101.56051491382935</v>
      </c>
      <c r="D40" s="3">
        <f t="shared" si="26"/>
        <v>1227.2671999357526</v>
      </c>
      <c r="E40" s="3">
        <f>(1+Forudsætninger!$E$78)*C40</f>
        <v>93.435673720723003</v>
      </c>
      <c r="F40" s="2">
        <f t="shared" si="27"/>
        <v>7.0967161334474911</v>
      </c>
      <c r="G40" s="1">
        <f t="shared" si="1"/>
        <v>100.53238985417049</v>
      </c>
      <c r="H40" s="3">
        <f t="shared" si="10"/>
        <v>1047.2680106118305</v>
      </c>
      <c r="I40" s="3">
        <f t="shared" si="2"/>
        <v>856.11552247817076</v>
      </c>
      <c r="J40" s="1">
        <f>VLOOKUP((A40+Forudsætninger!$E$60),'Model tilvækst, slagteform, fe'!G:K,4,FALSE)*(1+Forudsætninger!$E$79)</f>
        <v>49.384339461759232</v>
      </c>
      <c r="K40" s="17">
        <f t="shared" si="3"/>
        <v>49.647256674602751</v>
      </c>
      <c r="L40" s="17">
        <f t="shared" si="11"/>
        <v>538.92844107725318</v>
      </c>
      <c r="M40" s="3">
        <f>((K40-(('Model tilvækst, slagteform, fe'!$J$9/100)*'Model tilvækst, slagteform, fe'!$D$9))*1000/(A40+Forudsætninger!$E$60))</f>
        <v>397.47092621296622</v>
      </c>
      <c r="N40" s="17">
        <f t="shared" si="12"/>
        <v>91.639276645400301</v>
      </c>
      <c r="O40" s="19">
        <f>IF( A40&lt;Forudsætninger!$C$14,(G40/100)*Forudsætninger!$C$13,(Forudsætninger!$C$15/1000)*Forudsætninger!$C$13)</f>
        <v>0.65346053405210813</v>
      </c>
      <c r="P40" s="17" cm="1">
        <f t="array" ref="P40">INDEX('Model tilvækst, slagteform, fe'!$P$9:$P$375,MATCH(MIN(ABS('Model tilvækst, slagteform, fe'!$M$9:$M$375-G40)),ABS('Model tilvækst, slagteform, fe'!$M$9:$M$375-G40),0))*(1+Forudsætninger!$E$80)</f>
        <v>2.944544289296108</v>
      </c>
      <c r="Q40" s="17">
        <f t="shared" si="13"/>
        <v>5.4637017920418494</v>
      </c>
      <c r="R40" s="17">
        <f t="shared" si="14"/>
        <v>5.4937695887825555</v>
      </c>
      <c r="S40" s="17">
        <f t="shared" si="15"/>
        <v>2.8168627345295572</v>
      </c>
      <c r="T40" s="19">
        <f>(P40)*IF(N40&lt;Forudsætninger!$B$228,IF(N40&lt;Forudsætninger!$B$227,Forudsætninger!$B$225,Forudsætninger!$C$9),Forudsætninger!$C$11)+O40</f>
        <v>8.0442667001853376</v>
      </c>
      <c r="U40" s="5">
        <f>Forudsætninger!$E$68+((K40-(Forudsætninger!$E$84)))*0.01</f>
        <v>5.2130362763176965</v>
      </c>
      <c r="V40" s="2">
        <f>U40+Forudsætninger!$E$69</f>
        <v>5.2130362763176965</v>
      </c>
      <c r="W40">
        <f t="shared" si="4"/>
        <v>0</v>
      </c>
      <c r="X40">
        <f>IF(A40+Forudsætninger!$E$60&gt;248,IF(A40+Forudsætninger!$E$60&lt;365,IF(K40&gt;180,IF(K40&lt;260,1,0),0),0),0)</f>
        <v>0</v>
      </c>
      <c r="Y40" s="22">
        <f>IF(X40=0,0,IF('Vækstfunktion, kry kvie'!A40&lt;Forudsætninger!$E$66,Forudsætninger!$E$67+(('Vækstfunktion, kry kvie'!A40-Forudsætninger!$E$66)/7)*Forudsætninger!$E$64,Forudsætninger!$E$67))</f>
        <v>0</v>
      </c>
      <c r="Z40" s="19">
        <f t="shared" si="20"/>
        <v>734.27404272506124</v>
      </c>
      <c r="AA40" s="19">
        <f>Forudsætninger!$E$62+Forudsætninger!$C$16</f>
        <v>1575</v>
      </c>
      <c r="AB40" s="19">
        <f>IF(K40&gt;Forudsætninger!$C$48,IF(K40&gt;Forudsætninger!$C$49,IF(K40&gt;Forudsætninger!$C$50,Forudsætninger!$E$50,Forudsætninger!$E$49+Forudsætninger!$F$50*(K40-Forudsætninger!$C$49)),Forudsætninger!$E$48+Forudsætninger!$F$49*(K40-Forudsætninger!$C$48)),Forudsætninger!$E$48)+IF(K40&gt;Forudsætninger!$C$50,Forudsætninger!$G$50,IF(K40&gt;Forudsætninger!$C$49,Forudsætninger!$G$49+Forudsætninger!$H$50*(K40-Forudsætninger!$C$49),IF(K40&gt;Forudsætninger!$C$48,Forudsætninger!$G$48+Forudsætninger!$H$49*(K40-Forudsætninger!$C$48),Forudsætninger!$G$48)))*(U40-Forudsætninger!$H$48)</f>
        <v>35.121303627631768</v>
      </c>
      <c r="AC40" s="19">
        <f>IF(K40&gt;Forudsætninger!$C$52,IF(K40&gt;Forudsætninger!$C$53,IF(K40&gt;Forudsætninger!$C$54,Forudsætninger!$E$54,Forudsætninger!$E$53+Forudsætninger!$F$54*(K40-Forudsætninger!$C$53)),Forudsætninger!$E$52+Forudsætninger!$F$53*(K40-Forudsætninger!$C$52)),Forudsætninger!$E$52)+IF(K40&gt;Forudsætninger!$C$54,Forudsætninger!$G$54,IF(K40&gt;Forudsætninger!$C$53,Forudsætninger!$G$53+Forudsætninger!$H$54*(K40-Forudsætninger!$C$53),IF(K40&gt;Forudsætninger!$C$52,Forudsætninger!$G$52+Forudsætninger!$H$53*(K40-Forudsætninger!$C$52),Forudsætninger!$G$52)))*(V40-Forudsætninger!$H$52)</f>
        <v>29.953259069079422</v>
      </c>
      <c r="AD40" s="19">
        <f t="shared" si="5"/>
        <v>1487.0971412434587</v>
      </c>
      <c r="AE40" s="19">
        <f t="shared" si="6"/>
        <v>29.953259069079422</v>
      </c>
      <c r="AF40">
        <f>IF(G40&lt;=Forudsætninger!$C$97,Forudsætninger!$C$98,(IF(G40&lt;=Forudsætninger!$D$97,Forudsætninger!$D$98,IF(G40&lt;=Forudsætninger!$E$97,Forudsætninger!$E$98,IF(G40&lt;=Forudsætninger!$F$97,Forudsætninger!$F$98,IF(G40&lt;=Forudsætninger!$G$97,Forudsætninger!$G$98,IF(G40&lt;=Forudsætninger!$H$97,Forudsætninger!$H$98,IF(G40&lt;=Forudsætninger!$I$97,Forudsætninger!$I$98,Forudsætninger!$I$98))))))))</f>
        <v>2.2000000000000002</v>
      </c>
      <c r="AG40" s="1">
        <f t="shared" si="16"/>
        <v>2.2000000000000002</v>
      </c>
      <c r="AH40" s="1">
        <f t="shared" si="21"/>
        <v>83.600000000000051</v>
      </c>
      <c r="AI40" s="1">
        <f t="shared" si="7"/>
        <v>2.2000000000000015</v>
      </c>
      <c r="AJ40" s="20">
        <f>+(W40*Forudsætninger!$C$12)</f>
        <v>0</v>
      </c>
      <c r="AK40" s="20">
        <f>Forudsætninger!$C$17</f>
        <v>250</v>
      </c>
      <c r="AL40" s="20">
        <f>IF(A40&lt;92,Forudsætninger!$C$20,Forudsætninger!$C$21)</f>
        <v>4.0072859744990899</v>
      </c>
      <c r="AM40" s="20">
        <f t="shared" si="17"/>
        <v>152.27686703096538</v>
      </c>
      <c r="AN40" s="19">
        <f>IFERROR(AD40+AJ40-AA40-Z40-AK40-AM40-Forudsætninger!$E$75,-999999)</f>
        <v>-1415.6705298491836</v>
      </c>
      <c r="AO40" s="19">
        <f>IFERROR(AN40/(A40+Forudsætninger!$E$74),-999999)</f>
        <v>-37.254487627610096</v>
      </c>
      <c r="AP40" s="19">
        <f>IFERROR(((365/(A40+Forudsætninger!$E$74))*AN40)/(AI40+Forudsætninger!$E$73),-999999)</f>
        <v>-5886.5315948388206</v>
      </c>
      <c r="AQ40" s="18">
        <f t="shared" si="8"/>
        <v>38</v>
      </c>
      <c r="AR40" s="18">
        <f t="shared" si="22"/>
        <v>2711.5509097560262</v>
      </c>
      <c r="AS40" s="18">
        <f t="shared" si="0"/>
        <v>2.4</v>
      </c>
      <c r="AT40" s="50">
        <f t="shared" si="23"/>
        <v>4.1572752275446874</v>
      </c>
      <c r="AU40" s="50">
        <f t="shared" si="24"/>
        <v>1.1192368339231038</v>
      </c>
      <c r="AV40" s="2">
        <f t="shared" si="25"/>
        <v>176.84911012204884</v>
      </c>
      <c r="AW40" s="16">
        <f t="shared" si="19"/>
        <v>-33.247201653111006</v>
      </c>
      <c r="AZ40" s="16"/>
      <c r="BA40" s="2"/>
    </row>
    <row r="41" spans="1:53" x14ac:dyDescent="0.25">
      <c r="A41">
        <v>39</v>
      </c>
      <c r="B41" s="1">
        <f>ROUND((A41+Forudsætninger!$E$60)/30.4,1)</f>
        <v>2.5</v>
      </c>
      <c r="C41" s="1">
        <f>VLOOKUP((A41+Forudsætninger!$E$60),'Model tilvækst, slagteform, fe'!A:D,4,FALSE)</f>
        <v>102.79665170934608</v>
      </c>
      <c r="D41" s="3">
        <f t="shared" si="26"/>
        <v>1236.1367955167282</v>
      </c>
      <c r="E41" s="3">
        <f>(1+Forudsætninger!$E$78)*C41</f>
        <v>94.572919572598394</v>
      </c>
      <c r="F41" s="2">
        <f t="shared" si="27"/>
        <v>7.0143070137463761</v>
      </c>
      <c r="G41" s="1">
        <f t="shared" si="1"/>
        <v>101.58722658634477</v>
      </c>
      <c r="H41" s="3">
        <f t="shared" si="10"/>
        <v>1054.8367321742803</v>
      </c>
      <c r="I41" s="3">
        <f t="shared" si="2"/>
        <v>861.21093811140429</v>
      </c>
      <c r="J41" s="1">
        <f>VLOOKUP((A41+Forudsætninger!$E$60),'Model tilvækst, slagteform, fe'!G:K,4,FALSE)*(1+Forudsætninger!$E$79)</f>
        <v>49.406054228338363</v>
      </c>
      <c r="K41" s="17">
        <f t="shared" si="3"/>
        <v>50.190240256314468</v>
      </c>
      <c r="L41" s="17">
        <f t="shared" si="11"/>
        <v>542.98358171171662</v>
      </c>
      <c r="M41" s="3">
        <f>((K41-(('Model tilvækst, slagteform, fe'!$J$9/100)*'Model tilvækst, slagteform, fe'!$D$9))*1000/(A41+Forudsætninger!$E$60))</f>
        <v>399.41109495294955</v>
      </c>
      <c r="N41" s="17">
        <f t="shared" si="12"/>
        <v>94.619009374102774</v>
      </c>
      <c r="O41" s="19">
        <f>IF( A41&lt;Forudsætninger!$C$14,(G41/100)*Forudsætninger!$C$13,(Forudsætninger!$C$15/1000)*Forudsætninger!$C$13)</f>
        <v>0.66031697281124091</v>
      </c>
      <c r="P41" s="17" cm="1">
        <f t="array" ref="P41">INDEX('Model tilvækst, slagteform, fe'!$P$9:$P$375,MATCH(MIN(ABS('Model tilvækst, slagteform, fe'!$M$9:$M$375-G41)),ABS('Model tilvækst, slagteform, fe'!$M$9:$M$375-G41),0))*(1+Forudsætninger!$E$80)</f>
        <v>2.9797327287024769</v>
      </c>
      <c r="Q41" s="17">
        <f t="shared" si="13"/>
        <v>5.4877031812068493</v>
      </c>
      <c r="R41" s="17">
        <f t="shared" si="14"/>
        <v>5.4935783415283295</v>
      </c>
      <c r="S41" s="17">
        <f t="shared" si="15"/>
        <v>2.8171129024559325</v>
      </c>
      <c r="T41" s="19">
        <f>(P41)*IF(N41&lt;Forudsætninger!$B$228,IF(N41&lt;Forudsætninger!$B$227,Forudsætninger!$B$225,Forudsætninger!$C$9),Forudsætninger!$C$11)+O41</f>
        <v>8.1394461218544567</v>
      </c>
      <c r="U41" s="5">
        <f>Forudsætninger!$E$68+((K41-(Forudsætninger!$E$84)))*0.01</f>
        <v>5.2184661121348137</v>
      </c>
      <c r="V41" s="2">
        <f>U41+Forudsætninger!$E$69</f>
        <v>5.2184661121348137</v>
      </c>
      <c r="W41">
        <f t="shared" si="4"/>
        <v>0</v>
      </c>
      <c r="X41">
        <f>IF(A41+Forudsætninger!$E$60&gt;248,IF(A41+Forudsætninger!$E$60&lt;365,IF(K41&gt;180,IF(K41&lt;260,1,0),0),0),0)</f>
        <v>0</v>
      </c>
      <c r="Y41" s="22">
        <f>IF(X41=0,0,IF('Vækstfunktion, kry kvie'!A41&lt;Forudsætninger!$E$66,Forudsætninger!$E$67+(('Vækstfunktion, kry kvie'!A41-Forudsætninger!$E$66)/7)*Forudsætninger!$E$64,Forudsætninger!$E$67))</f>
        <v>0</v>
      </c>
      <c r="Z41" s="19">
        <f t="shared" si="20"/>
        <v>742.4134888469157</v>
      </c>
      <c r="AA41" s="19">
        <f>Forudsætninger!$E$62+Forudsætninger!$C$16</f>
        <v>1575</v>
      </c>
      <c r="AB41" s="19">
        <f>IF(K41&gt;Forudsætninger!$C$48,IF(K41&gt;Forudsætninger!$C$49,IF(K41&gt;Forudsætninger!$C$50,Forudsætninger!$E$50,Forudsætninger!$E$49+Forudsætninger!$F$50*(K41-Forudsætninger!$C$49)),Forudsætninger!$E$48+Forudsætninger!$F$49*(K41-Forudsætninger!$C$48)),Forudsætninger!$E$48)+IF(K41&gt;Forudsætninger!$C$50,Forudsætninger!$G$50,IF(K41&gt;Forudsætninger!$C$49,Forudsætninger!$G$49+Forudsætninger!$H$50*(K41-Forudsætninger!$C$49),IF(K41&gt;Forudsætninger!$C$48,Forudsætninger!$G$48+Forudsætninger!$H$49*(K41-Forudsætninger!$C$48),Forudsætninger!$G$48)))*(U41-Forudsætninger!$H$48)</f>
        <v>35.121846611213485</v>
      </c>
      <c r="AC41" s="19">
        <f>IF(K41&gt;Forudsætninger!$C$52,IF(K41&gt;Forudsætninger!$C$53,IF(K41&gt;Forudsætninger!$C$54,Forudsætninger!$E$54,Forudsætninger!$E$53+Forudsætninger!$F$54*(K41-Forudsætninger!$C$53)),Forudsætninger!$E$52+Forudsætninger!$F$53*(K41-Forudsætninger!$C$52)),Forudsætninger!$E$52)+IF(K41&gt;Forudsætninger!$C$54,Forudsætninger!$G$54,IF(K41&gt;Forudsætninger!$C$53,Forudsætninger!$G$53+Forudsætninger!$H$54*(K41-Forudsætninger!$C$53),IF(K41&gt;Forudsætninger!$C$52,Forudsætninger!$G$52+Forudsætninger!$H$53*(K41-Forudsætninger!$C$52),Forudsætninger!$G$52)))*(V41-Forudsætninger!$H$52)</f>
        <v>29.954616528033704</v>
      </c>
      <c r="AD41" s="19">
        <f t="shared" si="5"/>
        <v>1503.4294003277798</v>
      </c>
      <c r="AE41" s="19">
        <f t="shared" si="6"/>
        <v>29.954616528033704</v>
      </c>
      <c r="AF41">
        <f>IF(G41&lt;=Forudsætninger!$C$97,Forudsætninger!$C$98,(IF(G41&lt;=Forudsætninger!$D$97,Forudsætninger!$D$98,IF(G41&lt;=Forudsætninger!$E$97,Forudsætninger!$E$98,IF(G41&lt;=Forudsætninger!$F$97,Forudsætninger!$F$98,IF(G41&lt;=Forudsætninger!$G$97,Forudsætninger!$G$98,IF(G41&lt;=Forudsætninger!$H$97,Forudsætninger!$H$98,IF(G41&lt;=Forudsætninger!$I$97,Forudsætninger!$I$98,Forudsætninger!$I$98))))))))</f>
        <v>2.2000000000000002</v>
      </c>
      <c r="AG41" s="1">
        <f t="shared" si="16"/>
        <v>2.2000000000000002</v>
      </c>
      <c r="AH41" s="1">
        <f t="shared" si="21"/>
        <v>85.800000000000054</v>
      </c>
      <c r="AI41" s="1">
        <f t="shared" si="7"/>
        <v>2.2000000000000015</v>
      </c>
      <c r="AJ41" s="20">
        <f>+(W41*Forudsætninger!$C$12)</f>
        <v>0</v>
      </c>
      <c r="AK41" s="20">
        <f>Forudsætninger!$C$17</f>
        <v>250</v>
      </c>
      <c r="AL41" s="20">
        <f>IF(A41&lt;92,Forudsætninger!$C$20,Forudsætninger!$C$21)</f>
        <v>4.0072859744990899</v>
      </c>
      <c r="AM41" s="20">
        <f t="shared" si="17"/>
        <v>156.28415300546447</v>
      </c>
      <c r="AN41" s="19">
        <f>IFERROR(AD41+AJ41-AA41-Z41-AK41-AM41-Forudsætninger!$E$75,-999999)</f>
        <v>-1411.4850028612161</v>
      </c>
      <c r="AO41" s="19">
        <f>IFERROR(AN41/(A41+Forudsætninger!$E$74),-999999)</f>
        <v>-36.191923150287593</v>
      </c>
      <c r="AP41" s="19">
        <f>IFERROR(((365/(A41+Forudsætninger!$E$74))*AN41)/(AI41+Forudsætninger!$E$73),-999999)</f>
        <v>-5718.6372077294218</v>
      </c>
      <c r="AQ41" s="18">
        <f t="shared" si="8"/>
        <v>39</v>
      </c>
      <c r="AR41" s="18">
        <f t="shared" si="22"/>
        <v>2723.69764185238</v>
      </c>
      <c r="AS41" s="18">
        <f t="shared" si="0"/>
        <v>2.5</v>
      </c>
      <c r="AT41" s="50">
        <f t="shared" si="23"/>
        <v>4.1855269879674779</v>
      </c>
      <c r="AU41" s="50">
        <f t="shared" si="24"/>
        <v>1.0625644773225034</v>
      </c>
      <c r="AV41" s="2">
        <f t="shared" si="25"/>
        <v>167.89438710939885</v>
      </c>
      <c r="AW41" s="16">
        <f t="shared" si="19"/>
        <v>-32.184637175788502</v>
      </c>
      <c r="AZ41" s="16"/>
      <c r="BA41" s="2"/>
    </row>
    <row r="42" spans="1:53" x14ac:dyDescent="0.25">
      <c r="A42">
        <v>40</v>
      </c>
      <c r="B42" s="1">
        <f>ROUND((A42+Forudsætninger!$E$60)/30.4,1)</f>
        <v>2.5</v>
      </c>
      <c r="C42" s="1">
        <f>VLOOKUP((A42+Forudsætninger!$E$60),'Model tilvækst, slagteform, fe'!A:D,4,FALSE)</f>
        <v>104.0415316619813</v>
      </c>
      <c r="D42" s="3">
        <f t="shared" si="26"/>
        <v>1244.8799526352161</v>
      </c>
      <c r="E42" s="3">
        <f>(1+Forudsætninger!$E$78)*C42</f>
        <v>95.718209129022796</v>
      </c>
      <c r="F42" s="2">
        <f t="shared" si="27"/>
        <v>6.9313150169040281</v>
      </c>
      <c r="G42" s="1">
        <f t="shared" si="1"/>
        <v>102.64952414592682</v>
      </c>
      <c r="H42" s="3">
        <f t="shared" si="10"/>
        <v>1062.2975595820492</v>
      </c>
      <c r="I42" s="3">
        <f t="shared" si="2"/>
        <v>866.23810364817052</v>
      </c>
      <c r="J42" s="1">
        <f>VLOOKUP((A42+Forudsætninger!$E$60),'Model tilvækst, slagteform, fe'!G:K,4,FALSE)*(1+Forudsætninger!$E$79)</f>
        <v>49.427632825063114</v>
      </c>
      <c r="K42" s="17">
        <f t="shared" si="3"/>
        <v>50.737229891523207</v>
      </c>
      <c r="L42" s="17">
        <f t="shared" si="11"/>
        <v>546.98963520873895</v>
      </c>
      <c r="M42" s="3">
        <f>((K42-(('Model tilvækst, slagteform, fe'!$J$9/100)*'Model tilvækst, slagteform, fe'!$D$9))*1000/(A42+Forudsætninger!$E$60))</f>
        <v>401.35291785105204</v>
      </c>
      <c r="N42" s="17">
        <f t="shared" si="12"/>
        <v>97.633736409179591</v>
      </c>
      <c r="O42" s="19">
        <f>IF( A42&lt;Forudsætninger!$C$14,(G42/100)*Forudsætninger!$C$13,(Forudsætninger!$C$15/1000)*Forudsætninger!$C$13)</f>
        <v>0.66722190694852446</v>
      </c>
      <c r="P42" s="17" cm="1">
        <f t="array" ref="P42">INDEX('Model tilvækst, slagteform, fe'!$P$9:$P$375,MATCH(MIN(ABS('Model tilvækst, slagteform, fe'!$M$9:$M$375-G42)),ABS('Model tilvækst, slagteform, fe'!$M$9:$M$375-G42),0))*(1+Forudsætninger!$E$80)</f>
        <v>3.0147270350768212</v>
      </c>
      <c r="Q42" s="17">
        <f t="shared" si="13"/>
        <v>5.5114884104272992</v>
      </c>
      <c r="R42" s="17">
        <f t="shared" si="14"/>
        <v>5.4941296254741649</v>
      </c>
      <c r="S42" s="17">
        <f t="shared" si="15"/>
        <v>2.817751147115156</v>
      </c>
      <c r="T42" s="19">
        <f>(P42)*IF(N42&lt;Forudsætninger!$B$228,IF(N42&lt;Forudsætninger!$B$227,Forudsætninger!$B$225,Forudsætninger!$C$9),Forudsætninger!$C$11)+O42</f>
        <v>8.2341867649913443</v>
      </c>
      <c r="U42" s="5">
        <f>Forudsætninger!$E$68+((K42-(Forudsætninger!$E$84)))*0.01</f>
        <v>5.2239360084869011</v>
      </c>
      <c r="V42" s="2">
        <f>U42+Forudsætninger!$E$69</f>
        <v>5.2239360084869011</v>
      </c>
      <c r="W42">
        <f t="shared" si="4"/>
        <v>0</v>
      </c>
      <c r="X42">
        <f>IF(A42+Forudsætninger!$E$60&gt;248,IF(A42+Forudsætninger!$E$60&lt;365,IF(K42&gt;180,IF(K42&lt;260,1,0),0),0),0)</f>
        <v>0</v>
      </c>
      <c r="Y42" s="22">
        <f>IF(X42=0,0,IF('Vækstfunktion, kry kvie'!A42&lt;Forudsætninger!$E$66,Forudsætninger!$E$67+(('Vækstfunktion, kry kvie'!A42-Forudsætninger!$E$66)/7)*Forudsætninger!$E$64,Forudsætninger!$E$67))</f>
        <v>0</v>
      </c>
      <c r="Z42" s="19">
        <f t="shared" si="20"/>
        <v>750.64767561190706</v>
      </c>
      <c r="AA42" s="19">
        <f>Forudsætninger!$E$62+Forudsætninger!$C$16</f>
        <v>1575</v>
      </c>
      <c r="AB42" s="19">
        <f>IF(K42&gt;Forudsætninger!$C$48,IF(K42&gt;Forudsætninger!$C$49,IF(K42&gt;Forudsætninger!$C$50,Forudsætninger!$E$50,Forudsætninger!$E$49+Forudsætninger!$F$50*(K42-Forudsætninger!$C$49)),Forudsætninger!$E$48+Forudsætninger!$F$49*(K42-Forudsætninger!$C$48)),Forudsætninger!$E$48)+IF(K42&gt;Forudsætninger!$C$50,Forudsætninger!$G$50,IF(K42&gt;Forudsætninger!$C$49,Forudsætninger!$G$49+Forudsætninger!$H$50*(K42-Forudsætninger!$C$49),IF(K42&gt;Forudsætninger!$C$48,Forudsætninger!$G$48+Forudsætninger!$H$49*(K42-Forudsætninger!$C$48),Forudsætninger!$G$48)))*(U42-Forudsætninger!$H$48)</f>
        <v>35.122393600848689</v>
      </c>
      <c r="AC42" s="19">
        <f>IF(K42&gt;Forudsætninger!$C$52,IF(K42&gt;Forudsætninger!$C$53,IF(K42&gt;Forudsætninger!$C$54,Forudsætninger!$E$54,Forudsætninger!$E$53+Forudsætninger!$F$54*(K42-Forudsætninger!$C$53)),Forudsætninger!$E$52+Forudsætninger!$F$53*(K42-Forudsætninger!$C$52)),Forudsætninger!$E$52)+IF(K42&gt;Forudsætninger!$C$54,Forudsætninger!$G$54,IF(K42&gt;Forudsætninger!$C$53,Forudsætninger!$G$53+Forudsætninger!$H$54*(K42-Forudsætninger!$C$53),IF(K42&gt;Forudsætninger!$C$52,Forudsætninger!$G$52+Forudsætninger!$H$53*(K42-Forudsætninger!$C$52),Forudsætninger!$G$52)))*(V42-Forudsætninger!$H$52)</f>
        <v>29.955984002121724</v>
      </c>
      <c r="AD42" s="19">
        <f t="shared" si="5"/>
        <v>1519.8836469424414</v>
      </c>
      <c r="AE42" s="19">
        <f t="shared" si="6"/>
        <v>29.955984002121724</v>
      </c>
      <c r="AF42">
        <f>IF(G42&lt;=Forudsætninger!$C$97,Forudsætninger!$C$98,(IF(G42&lt;=Forudsætninger!$D$97,Forudsætninger!$D$98,IF(G42&lt;=Forudsætninger!$E$97,Forudsætninger!$E$98,IF(G42&lt;=Forudsætninger!$F$97,Forudsætninger!$F$98,IF(G42&lt;=Forudsætninger!$G$97,Forudsætninger!$G$98,IF(G42&lt;=Forudsætninger!$H$97,Forudsætninger!$H$98,IF(G42&lt;=Forudsætninger!$I$97,Forudsætninger!$I$98,Forudsætninger!$I$98))))))))</f>
        <v>2.2000000000000002</v>
      </c>
      <c r="AG42" s="1">
        <f t="shared" si="16"/>
        <v>2.2000000000000002</v>
      </c>
      <c r="AH42" s="1">
        <f t="shared" si="21"/>
        <v>88.000000000000057</v>
      </c>
      <c r="AI42" s="1">
        <f t="shared" si="7"/>
        <v>2.2000000000000015</v>
      </c>
      <c r="AJ42" s="20">
        <f>+(W42*Forudsætninger!$C$12)</f>
        <v>0</v>
      </c>
      <c r="AK42" s="20">
        <f>Forudsætninger!$C$17</f>
        <v>250</v>
      </c>
      <c r="AL42" s="20">
        <f>IF(A42&lt;92,Forudsætninger!$C$20,Forudsætninger!$C$21)</f>
        <v>4.0072859744990899</v>
      </c>
      <c r="AM42" s="20">
        <f t="shared" si="17"/>
        <v>160.29143897996357</v>
      </c>
      <c r="AN42" s="19">
        <f>IFERROR(AD42+AJ42-AA42-Z42-AK42-AM42-Forudsætninger!$E$75,-999999)</f>
        <v>-1407.2722289860451</v>
      </c>
      <c r="AO42" s="19">
        <f>IFERROR(AN42/(A42+Forudsætninger!$E$74),-999999)</f>
        <v>-35.181805724651127</v>
      </c>
      <c r="AP42" s="19">
        <f>IFERROR(((365/(A42+Forudsætninger!$E$74))*AN42)/(AI42+Forudsætninger!$E$73),-999999)</f>
        <v>-5559.0299088734437</v>
      </c>
      <c r="AQ42" s="18">
        <f t="shared" si="8"/>
        <v>40</v>
      </c>
      <c r="AR42" s="18">
        <f t="shared" si="22"/>
        <v>2735.9391145918707</v>
      </c>
      <c r="AS42" s="18">
        <f t="shared" si="0"/>
        <v>2.5</v>
      </c>
      <c r="AT42" s="50">
        <f t="shared" si="23"/>
        <v>4.212773875171024</v>
      </c>
      <c r="AU42" s="50">
        <f t="shared" si="24"/>
        <v>1.0101174256364658</v>
      </c>
      <c r="AV42" s="2">
        <f t="shared" si="25"/>
        <v>159.60729885597812</v>
      </c>
      <c r="AW42" s="16">
        <f t="shared" si="19"/>
        <v>-31.174519750152037</v>
      </c>
      <c r="AZ42" s="16"/>
      <c r="BA42" s="2"/>
    </row>
    <row r="43" spans="1:53" x14ac:dyDescent="0.25">
      <c r="A43">
        <v>41</v>
      </c>
      <c r="B43" s="1">
        <f>ROUND((A43+Forudsætninger!$E$60)/30.4,1)</f>
        <v>2.5</v>
      </c>
      <c r="C43" s="1">
        <f>VLOOKUP((A43+Forudsætninger!$E$60),'Model tilvækst, slagteform, fe'!A:D,4,FALSE)</f>
        <v>105.29502891829316</v>
      </c>
      <c r="D43" s="3">
        <f t="shared" si="26"/>
        <v>1253.4972563118599</v>
      </c>
      <c r="E43" s="3">
        <f>(1+Forudsætninger!$E$78)*C43</f>
        <v>96.871426604829708</v>
      </c>
      <c r="F43" s="2">
        <f t="shared" si="27"/>
        <v>6.8477485331499039</v>
      </c>
      <c r="G43" s="1">
        <f t="shared" si="1"/>
        <v>103.71917513797962</v>
      </c>
      <c r="H43" s="3">
        <f t="shared" si="10"/>
        <v>1069.6509920528001</v>
      </c>
      <c r="I43" s="3">
        <f t="shared" si="2"/>
        <v>871.199393609259</v>
      </c>
      <c r="J43" s="1">
        <f>VLOOKUP((A43+Forudsætninger!$E$60),'Model tilvækst, slagteform, fe'!G:K,4,FALSE)*(1+Forudsætninger!$E$79)</f>
        <v>49.449078891580683</v>
      </c>
      <c r="K43" s="17">
        <f t="shared" si="3"/>
        <v>51.288176739676281</v>
      </c>
      <c r="L43" s="17">
        <f t="shared" si="11"/>
        <v>550.9468481530746</v>
      </c>
      <c r="M43" s="3">
        <f>((K43-(('Model tilvækst, slagteform, fe'!$J$9/100)*'Model tilvækst, slagteform, fe'!$D$9))*1000/(A43+Forudsætninger!$E$60))</f>
        <v>403.29569616666271</v>
      </c>
      <c r="N43" s="17">
        <f t="shared" si="12"/>
        <v>100.68326490075668</v>
      </c>
      <c r="O43" s="19">
        <f>IF( A43&lt;Forudsætninger!$C$14,(G43/100)*Forudsætninger!$C$13,(Forudsætninger!$C$15/1000)*Forudsætninger!$C$13)</f>
        <v>0.67417463839686753</v>
      </c>
      <c r="P43" s="17" cm="1">
        <f t="array" ref="P43">INDEX('Model tilvækst, slagteform, fe'!$P$9:$P$375,MATCH(MIN(ABS('Model tilvækst, slagteform, fe'!$M$9:$M$375-G43)),ABS('Model tilvækst, slagteform, fe'!$M$9:$M$375-G43),0))*(1+Forudsætninger!$E$80)</f>
        <v>3.0495284915770919</v>
      </c>
      <c r="Q43" s="17">
        <f t="shared" si="13"/>
        <v>5.5350684041481504</v>
      </c>
      <c r="R43" s="17">
        <f t="shared" si="14"/>
        <v>5.4953606976008107</v>
      </c>
      <c r="S43" s="17">
        <f t="shared" si="15"/>
        <v>2.8187455200694655</v>
      </c>
      <c r="T43" s="19">
        <f>(P43)*IF(N43&lt;Forudsætninger!$B$228,IF(N43&lt;Forudsætninger!$B$227,Forudsætninger!$B$225,Forudsætninger!$C$9),Forudsætninger!$C$11)+O43</f>
        <v>8.3284911522553671</v>
      </c>
      <c r="U43" s="5">
        <f>Forudsætninger!$E$68+((K43-(Forudsætninger!$E$84)))*0.01</f>
        <v>5.229445476968432</v>
      </c>
      <c r="V43" s="2">
        <f>U43+Forudsætninger!$E$69</f>
        <v>5.229445476968432</v>
      </c>
      <c r="W43">
        <f t="shared" si="4"/>
        <v>0</v>
      </c>
      <c r="X43">
        <f>IF(A43+Forudsætninger!$E$60&gt;248,IF(A43+Forudsætninger!$E$60&lt;365,IF(K43&gt;180,IF(K43&lt;260,1,0),0),0),0)</f>
        <v>0</v>
      </c>
      <c r="Y43" s="22">
        <f>IF(X43=0,0,IF('Vækstfunktion, kry kvie'!A43&lt;Forudsætninger!$E$66,Forudsætninger!$E$67+(('Vækstfunktion, kry kvie'!A43-Forudsætninger!$E$66)/7)*Forudsætninger!$E$64,Forudsætninger!$E$67))</f>
        <v>0</v>
      </c>
      <c r="Z43" s="19">
        <f t="shared" si="20"/>
        <v>758.97616676416237</v>
      </c>
      <c r="AA43" s="19">
        <f>Forudsætninger!$E$62+Forudsætninger!$C$16</f>
        <v>1575</v>
      </c>
      <c r="AB43" s="19">
        <f>IF(K43&gt;Forudsætninger!$C$48,IF(K43&gt;Forudsætninger!$C$49,IF(K43&gt;Forudsætninger!$C$50,Forudsætninger!$E$50,Forudsætninger!$E$49+Forudsætninger!$F$50*(K43-Forudsætninger!$C$49)),Forudsætninger!$E$48+Forudsætninger!$F$49*(K43-Forudsætninger!$C$48)),Forudsætninger!$E$48)+IF(K43&gt;Forudsætninger!$C$50,Forudsætninger!$G$50,IF(K43&gt;Forudsætninger!$C$49,Forudsætninger!$G$49+Forudsætninger!$H$50*(K43-Forudsætninger!$C$49),IF(K43&gt;Forudsætninger!$C$48,Forudsætninger!$G$48+Forudsætninger!$H$49*(K43-Forudsætninger!$C$48),Forudsætninger!$G$48)))*(U43-Forudsætninger!$H$48)</f>
        <v>35.122944547696846</v>
      </c>
      <c r="AC43" s="19">
        <f>IF(K43&gt;Forudsætninger!$C$52,IF(K43&gt;Forudsætninger!$C$53,IF(K43&gt;Forudsætninger!$C$54,Forudsætninger!$E$54,Forudsætninger!$E$53+Forudsætninger!$F$54*(K43-Forudsætninger!$C$53)),Forudsætninger!$E$52+Forudsætninger!$F$53*(K43-Forudsætninger!$C$52)),Forudsætninger!$E$52)+IF(K43&gt;Forudsætninger!$C$54,Forudsætninger!$G$54,IF(K43&gt;Forudsætninger!$C$53,Forudsætninger!$G$53+Forudsætninger!$H$54*(K43-Forudsætninger!$C$53),IF(K43&gt;Forudsætninger!$C$52,Forudsætninger!$G$52+Forudsætninger!$H$53*(K43-Forudsætninger!$C$52),Forudsætninger!$G$52)))*(V43-Forudsætninger!$H$52)</f>
        <v>29.957361369242108</v>
      </c>
      <c r="AD43" s="19">
        <f t="shared" si="5"/>
        <v>1536.4584445600399</v>
      </c>
      <c r="AE43" s="19">
        <f t="shared" si="6"/>
        <v>29.957361369242108</v>
      </c>
      <c r="AF43">
        <f>IF(G43&lt;=Forudsætninger!$C$97,Forudsætninger!$C$98,(IF(G43&lt;=Forudsætninger!$D$97,Forudsætninger!$D$98,IF(G43&lt;=Forudsætninger!$E$97,Forudsætninger!$E$98,IF(G43&lt;=Forudsætninger!$F$97,Forudsætninger!$F$98,IF(G43&lt;=Forudsætninger!$G$97,Forudsætninger!$G$98,IF(G43&lt;=Forudsætninger!$H$97,Forudsætninger!$H$98,IF(G43&lt;=Forudsætninger!$I$97,Forudsætninger!$I$98,Forudsætninger!$I$98))))))))</f>
        <v>2.2000000000000002</v>
      </c>
      <c r="AG43" s="1">
        <f t="shared" si="16"/>
        <v>2.2000000000000002</v>
      </c>
      <c r="AH43" s="1">
        <f t="shared" si="21"/>
        <v>90.20000000000006</v>
      </c>
      <c r="AI43" s="1">
        <f t="shared" si="7"/>
        <v>2.2000000000000015</v>
      </c>
      <c r="AJ43" s="20">
        <f>+(W43*Forudsætninger!$C$12)</f>
        <v>0</v>
      </c>
      <c r="AK43" s="20">
        <f>Forudsætninger!$C$17</f>
        <v>250</v>
      </c>
      <c r="AL43" s="20">
        <f>IF(A43&lt;92,Forudsætninger!$C$20,Forudsætninger!$C$21)</f>
        <v>4.0072859744990899</v>
      </c>
      <c r="AM43" s="20">
        <f t="shared" si="17"/>
        <v>164.29872495446267</v>
      </c>
      <c r="AN43" s="19">
        <f>IFERROR(AD43+AJ43-AA43-Z43-AK43-AM43-Forudsætninger!$E$75,-999999)</f>
        <v>-1403.0332084952008</v>
      </c>
      <c r="AO43" s="19">
        <f>IFERROR(AN43/(A43+Forudsætninger!$E$74),-999999)</f>
        <v>-34.220322158419535</v>
      </c>
      <c r="AP43" s="19">
        <f>IFERROR(((365/(A43+Forudsætninger!$E$74))*AN43)/(AI43+Forudsætninger!$E$73),-999999)</f>
        <v>-5407.1071808758106</v>
      </c>
      <c r="AQ43" s="18">
        <f t="shared" si="8"/>
        <v>41</v>
      </c>
      <c r="AR43" s="18">
        <f t="shared" si="22"/>
        <v>2748.274891718625</v>
      </c>
      <c r="AS43" s="18">
        <f t="shared" si="0"/>
        <v>2.5</v>
      </c>
      <c r="AT43" s="50">
        <f t="shared" si="23"/>
        <v>4.2390204908442684</v>
      </c>
      <c r="AU43" s="50">
        <f t="shared" si="24"/>
        <v>0.96148356623159259</v>
      </c>
      <c r="AV43" s="2">
        <f t="shared" si="25"/>
        <v>151.92272799763305</v>
      </c>
      <c r="AW43" s="16">
        <f t="shared" si="19"/>
        <v>-30.213036183920444</v>
      </c>
      <c r="AZ43" s="16"/>
      <c r="BA43" s="2"/>
    </row>
    <row r="44" spans="1:53" x14ac:dyDescent="0.25">
      <c r="A44">
        <v>42</v>
      </c>
      <c r="B44" s="1">
        <f>ROUND((A44+Forudsætninger!$E$60)/30.4,1)</f>
        <v>2.6</v>
      </c>
      <c r="C44" s="1">
        <f>VLOOKUP((A44+Forudsætninger!$E$60),'Model tilvækst, slagteform, fe'!A:D,4,FALSE)</f>
        <v>106.55701820986039</v>
      </c>
      <c r="D44" s="3">
        <f t="shared" si="26"/>
        <v>1261.9892915672324</v>
      </c>
      <c r="E44" s="3">
        <f>(1+Forudsætninger!$E$78)*C44</f>
        <v>98.032456753071557</v>
      </c>
      <c r="F44" s="2">
        <f t="shared" si="27"/>
        <v>6.7636159137120888</v>
      </c>
      <c r="G44" s="1">
        <f t="shared" si="1"/>
        <v>104.79607266678364</v>
      </c>
      <c r="H44" s="3">
        <f t="shared" si="10"/>
        <v>1076.8975288040251</v>
      </c>
      <c r="I44" s="3">
        <f t="shared" si="2"/>
        <v>876.09696825675337</v>
      </c>
      <c r="J44" s="1">
        <f>VLOOKUP((A44+Forudsætninger!$E$60),'Model tilvækst, slagteform, fe'!G:K,4,FALSE)*(1+Forudsætninger!$E$79)</f>
        <v>49.470396067538296</v>
      </c>
      <c r="K44" s="17">
        <f t="shared" si="3"/>
        <v>51.843032211483113</v>
      </c>
      <c r="L44" s="17">
        <f t="shared" si="11"/>
        <v>554.8554718068317</v>
      </c>
      <c r="M44" s="3">
        <f>((K44-(('Model tilvækst, slagteform, fe'!$J$9/100)*'Model tilvækst, slagteform, fe'!$D$9))*1000/(A44+Forudsætninger!$E$60))</f>
        <v>405.23877021333152</v>
      </c>
      <c r="N44" s="17">
        <f t="shared" si="12"/>
        <v>103.76740328211793</v>
      </c>
      <c r="O44" s="19">
        <f>IF( A44&lt;Forudsætninger!$C$14,(G44/100)*Forudsætninger!$C$13,(Forudsætninger!$C$15/1000)*Forudsætninger!$C$13)</f>
        <v>0.68117447233409367</v>
      </c>
      <c r="P44" s="17" cm="1">
        <f t="array" ref="P44">INDEX('Model tilvækst, slagteform, fe'!$P$9:$P$375,MATCH(MIN(ABS('Model tilvækst, slagteform, fe'!$M$9:$M$375-G44)),ABS('Model tilvækst, slagteform, fe'!$M$9:$M$375-G44),0))*(1+Forudsætninger!$E$80)</f>
        <v>3.0841383813612406</v>
      </c>
      <c r="Q44" s="17">
        <f t="shared" si="13"/>
        <v>5.55845357587995</v>
      </c>
      <c r="R44" s="17">
        <f t="shared" si="14"/>
        <v>5.4972152623823138</v>
      </c>
      <c r="S44" s="17">
        <f t="shared" si="15"/>
        <v>2.8200673539758032</v>
      </c>
      <c r="T44" s="19">
        <f>(P44)*IF(N44&lt;Forudsætninger!$B$228,IF(N44&lt;Forudsætninger!$B$227,Forudsætninger!$B$225,Forudsætninger!$C$9),Forudsætninger!$C$11)+O44</f>
        <v>8.4223618095508073</v>
      </c>
      <c r="U44" s="5">
        <f>Forudsætninger!$E$68+((K44-(Forudsætninger!$E$84)))*0.01</f>
        <v>5.2349940316865009</v>
      </c>
      <c r="V44" s="2">
        <f>U44+Forudsætninger!$E$69</f>
        <v>5.2349940316865009</v>
      </c>
      <c r="W44">
        <f t="shared" si="4"/>
        <v>0</v>
      </c>
      <c r="X44">
        <f>IF(A44+Forudsætninger!$E$60&gt;248,IF(A44+Forudsætninger!$E$60&lt;365,IF(K44&gt;180,IF(K44&lt;260,1,0),0),0),0)</f>
        <v>0</v>
      </c>
      <c r="Y44" s="22">
        <f>IF(X44=0,0,IF('Vækstfunktion, kry kvie'!A44&lt;Forudsætninger!$E$66,Forudsætninger!$E$67+(('Vækstfunktion, kry kvie'!A44-Forudsætninger!$E$66)/7)*Forudsætninger!$E$64,Forudsætninger!$E$67))</f>
        <v>0</v>
      </c>
      <c r="Z44" s="19">
        <f t="shared" si="20"/>
        <v>767.39852857371318</v>
      </c>
      <c r="AA44" s="19">
        <f>Forudsætninger!$E$62+Forudsætninger!$C$16</f>
        <v>1575</v>
      </c>
      <c r="AB44" s="19">
        <f>IF(K44&gt;Forudsætninger!$C$48,IF(K44&gt;Forudsætninger!$C$49,IF(K44&gt;Forudsætninger!$C$50,Forudsætninger!$E$50,Forudsætninger!$E$49+Forudsætninger!$F$50*(K44-Forudsætninger!$C$49)),Forudsætninger!$E$48+Forudsætninger!$F$49*(K44-Forudsætninger!$C$48)),Forudsætninger!$E$48)+IF(K44&gt;Forudsætninger!$C$50,Forudsætninger!$G$50,IF(K44&gt;Forudsætninger!$C$49,Forudsætninger!$G$49+Forudsætninger!$H$50*(K44-Forudsætninger!$C$49),IF(K44&gt;Forudsætninger!$C$48,Forudsætninger!$G$48+Forudsætninger!$H$49*(K44-Forudsætninger!$C$48),Forudsætninger!$G$48)))*(U44-Forudsætninger!$H$48)</f>
        <v>35.123499403168651</v>
      </c>
      <c r="AC44" s="19">
        <f>IF(K44&gt;Forudsætninger!$C$52,IF(K44&gt;Forudsætninger!$C$53,IF(K44&gt;Forudsætninger!$C$54,Forudsætninger!$E$54,Forudsætninger!$E$53+Forudsætninger!$F$54*(K44-Forudsætninger!$C$53)),Forudsætninger!$E$52+Forudsætninger!$F$53*(K44-Forudsætninger!$C$52)),Forudsætninger!$E$52)+IF(K44&gt;Forudsætninger!$C$54,Forudsætninger!$G$54,IF(K44&gt;Forudsætninger!$C$53,Forudsætninger!$G$53+Forudsætninger!$H$54*(K44-Forudsætninger!$C$53),IF(K44&gt;Forudsætninger!$C$52,Forudsætninger!$G$52+Forudsætninger!$H$53*(K44-Forudsætninger!$C$52),Forudsætninger!$G$52)))*(V44-Forudsætninger!$H$52)</f>
        <v>29.958748507921623</v>
      </c>
      <c r="AD44" s="19">
        <f t="shared" si="5"/>
        <v>1553.1523639119023</v>
      </c>
      <c r="AE44" s="19">
        <f t="shared" si="6"/>
        <v>29.958748507921623</v>
      </c>
      <c r="AF44">
        <f>IF(G44&lt;=Forudsætninger!$C$97,Forudsætninger!$C$98,(IF(G44&lt;=Forudsætninger!$D$97,Forudsætninger!$D$98,IF(G44&lt;=Forudsætninger!$E$97,Forudsætninger!$E$98,IF(G44&lt;=Forudsætninger!$F$97,Forudsætninger!$F$98,IF(G44&lt;=Forudsætninger!$G$97,Forudsætninger!$G$98,IF(G44&lt;=Forudsætninger!$H$97,Forudsætninger!$H$98,IF(G44&lt;=Forudsætninger!$I$97,Forudsætninger!$I$98,Forudsætninger!$I$98))))))))</f>
        <v>2.2000000000000002</v>
      </c>
      <c r="AG44" s="1">
        <f t="shared" si="16"/>
        <v>2.2000000000000002</v>
      </c>
      <c r="AH44" s="1">
        <f t="shared" si="21"/>
        <v>92.400000000000063</v>
      </c>
      <c r="AI44" s="1">
        <f t="shared" si="7"/>
        <v>2.2000000000000015</v>
      </c>
      <c r="AJ44" s="20">
        <f>+(W44*Forudsætninger!$C$12)</f>
        <v>0</v>
      </c>
      <c r="AK44" s="20">
        <f>Forudsætninger!$C$17</f>
        <v>250</v>
      </c>
      <c r="AL44" s="20">
        <f>IF(A44&lt;92,Forudsætninger!$C$20,Forudsætninger!$C$21)</f>
        <v>4.0072859744990899</v>
      </c>
      <c r="AM44" s="20">
        <f t="shared" si="17"/>
        <v>168.30601092896177</v>
      </c>
      <c r="AN44" s="19">
        <f>IFERROR(AD44+AJ44-AA44-Z44-AK44-AM44-Forudsætninger!$E$75,-999999)</f>
        <v>-1398.7689369273883</v>
      </c>
      <c r="AO44" s="19">
        <f>IFERROR(AN44/(A44+Forudsætninger!$E$74),-999999)</f>
        <v>-33.304022307794959</v>
      </c>
      <c r="AP44" s="19">
        <f>IFERROR(((365/(A44+Forudsætninger!$E$74))*AN44)/(AI44+Forudsætninger!$E$73),-999999)</f>
        <v>-5262.3238711450867</v>
      </c>
      <c r="AQ44" s="18">
        <f t="shared" si="8"/>
        <v>42</v>
      </c>
      <c r="AR44" s="18">
        <f t="shared" si="22"/>
        <v>2760.7045395026748</v>
      </c>
      <c r="AS44" s="18">
        <f t="shared" si="0"/>
        <v>2.6</v>
      </c>
      <c r="AT44" s="50">
        <f t="shared" si="23"/>
        <v>4.2642715678125569</v>
      </c>
      <c r="AU44" s="50">
        <f t="shared" si="24"/>
        <v>0.91629985062457564</v>
      </c>
      <c r="AV44" s="2">
        <f t="shared" si="25"/>
        <v>144.78330973072389</v>
      </c>
      <c r="AW44" s="16">
        <f t="shared" si="19"/>
        <v>-29.296736333295868</v>
      </c>
      <c r="AZ44" s="16"/>
      <c r="BA44" s="2"/>
    </row>
    <row r="45" spans="1:53" x14ac:dyDescent="0.25">
      <c r="A45">
        <v>43</v>
      </c>
      <c r="B45" s="1">
        <f>ROUND((A45+Forudsætninger!$E$60)/30.4,1)</f>
        <v>2.6</v>
      </c>
      <c r="C45" s="1">
        <f>VLOOKUP((A45+Forudsætninger!$E$60),'Model tilvækst, slagteform, fe'!A:D,4,FALSE)</f>
        <v>107.82737485328235</v>
      </c>
      <c r="D45" s="3">
        <f t="shared" si="26"/>
        <v>1270.3566434219624</v>
      </c>
      <c r="E45" s="3">
        <f>(1+Forudsætninger!$E$78)*C45</f>
        <v>99.201184865019769</v>
      </c>
      <c r="F45" s="2">
        <f t="shared" si="27"/>
        <v>6.6789254708172914</v>
      </c>
      <c r="G45" s="1">
        <f t="shared" si="1"/>
        <v>105.88011033583706</v>
      </c>
      <c r="H45" s="3">
        <f t="shared" si="10"/>
        <v>1084.0376690534158</v>
      </c>
      <c r="I45" s="3">
        <f t="shared" si="2"/>
        <v>880.93279850783858</v>
      </c>
      <c r="J45" s="1">
        <f>VLOOKUP((A45+Forudsætninger!$E$60),'Model tilvækst, slagteform, fe'!G:K,4,FALSE)*(1+Forudsætninger!$E$79)</f>
        <v>49.491587992583177</v>
      </c>
      <c r="K45" s="17">
        <f t="shared" si="3"/>
        <v>52.401747973504953</v>
      </c>
      <c r="L45" s="17">
        <f t="shared" si="11"/>
        <v>558.71576202184065</v>
      </c>
      <c r="M45" s="3">
        <f>((K45-(('Model tilvækst, slagteform, fe'!$J$9/100)*'Model tilvækst, slagteform, fe'!$D$9))*1000/(A45+Forudsætninger!$E$60))</f>
        <v>407.18151694508487</v>
      </c>
      <c r="N45" s="17">
        <f t="shared" si="12"/>
        <v>106.88596126970515</v>
      </c>
      <c r="O45" s="19">
        <f>IF( A45&lt;Forudsætninger!$C$14,(G45/100)*Forudsætninger!$C$13,(Forudsætninger!$C$15/1000)*Forudsætninger!$C$13)</f>
        <v>0.68822071718294098</v>
      </c>
      <c r="P45" s="17" cm="1">
        <f t="array" ref="P45">INDEX('Model tilvækst, slagteform, fe'!$P$9:$P$375,MATCH(MIN(ABS('Model tilvækst, slagteform, fe'!$M$9:$M$375-G45)),ABS('Model tilvækst, slagteform, fe'!$M$9:$M$375-G45),0))*(1+Forudsætninger!$E$80)</f>
        <v>3.1185579875872174</v>
      </c>
      <c r="Q45" s="17">
        <f t="shared" si="13"/>
        <v>5.5816538561611404</v>
      </c>
      <c r="R45" s="17">
        <f t="shared" si="14"/>
        <v>5.4996426868341528</v>
      </c>
      <c r="S45" s="17">
        <f t="shared" si="15"/>
        <v>2.821690864204903</v>
      </c>
      <c r="T45" s="19">
        <f>(P45)*IF(N45&lt;Forudsætninger!$B$228,IF(N45&lt;Forudsætninger!$B$227,Forudsætninger!$B$225,Forudsætninger!$C$9),Forudsætninger!$C$11)+O45</f>
        <v>8.5158012660268554</v>
      </c>
      <c r="U45" s="5">
        <f>Forudsætninger!$E$68+((K45-(Forudsætninger!$E$84)))*0.01</f>
        <v>5.2405811893067185</v>
      </c>
      <c r="V45" s="2">
        <f>U45+Forudsætninger!$E$69</f>
        <v>5.2405811893067185</v>
      </c>
      <c r="W45">
        <f t="shared" si="4"/>
        <v>0</v>
      </c>
      <c r="X45">
        <f>IF(A45+Forudsætninger!$E$60&gt;248,IF(A45+Forudsætninger!$E$60&lt;365,IF(K45&gt;180,IF(K45&lt;260,1,0),0),0),0)</f>
        <v>0</v>
      </c>
      <c r="Y45" s="22">
        <f>IF(X45=0,0,IF('Vækstfunktion, kry kvie'!A45&lt;Forudsætninger!$E$66,Forudsætninger!$E$67+(('Vækstfunktion, kry kvie'!A45-Forudsætninger!$E$66)/7)*Forudsætninger!$E$64,Forudsætninger!$E$67))</f>
        <v>0</v>
      </c>
      <c r="Z45" s="19">
        <f t="shared" si="20"/>
        <v>775.91432983974005</v>
      </c>
      <c r="AA45" s="19">
        <f>Forudsætninger!$E$62+Forudsætninger!$C$16</f>
        <v>1575</v>
      </c>
      <c r="AB45" s="19">
        <f>IF(K45&gt;Forudsætninger!$C$48,IF(K45&gt;Forudsætninger!$C$49,IF(K45&gt;Forudsætninger!$C$50,Forudsætninger!$E$50,Forudsætninger!$E$49+Forudsætninger!$F$50*(K45-Forudsætninger!$C$49)),Forudsætninger!$E$48+Forudsætninger!$F$49*(K45-Forudsætninger!$C$48)),Forudsætninger!$E$48)+IF(K45&gt;Forudsætninger!$C$50,Forudsætninger!$G$50,IF(K45&gt;Forudsætninger!$C$49,Forudsætninger!$G$49+Forudsætninger!$H$50*(K45-Forudsætninger!$C$49),IF(K45&gt;Forudsætninger!$C$48,Forudsætninger!$G$48+Forudsætninger!$H$49*(K45-Forudsætninger!$C$48),Forudsætninger!$G$48)))*(U45-Forudsætninger!$H$48)</f>
        <v>35.12405811893067</v>
      </c>
      <c r="AC45" s="19">
        <f>IF(K45&gt;Forudsætninger!$C$52,IF(K45&gt;Forudsætninger!$C$53,IF(K45&gt;Forudsætninger!$C$54,Forudsætninger!$E$54,Forudsætninger!$E$53+Forudsætninger!$F$54*(K45-Forudsætninger!$C$53)),Forudsætninger!$E$52+Forudsætninger!$F$53*(K45-Forudsætninger!$C$52)),Forudsætninger!$E$52)+IF(K45&gt;Forudsætninger!$C$54,Forudsætninger!$G$54,IF(K45&gt;Forudsætninger!$C$53,Forudsætninger!$G$53+Forudsætninger!$H$54*(K45-Forudsætninger!$C$53),IF(K45&gt;Forudsætninger!$C$52,Forudsætninger!$G$52+Forudsætninger!$H$53*(K45-Forudsætninger!$C$52),Forudsætninger!$G$52)))*(V45-Forudsætninger!$H$52)</f>
        <v>29.96014529732668</v>
      </c>
      <c r="AD45" s="19">
        <f t="shared" si="5"/>
        <v>1569.9639831201023</v>
      </c>
      <c r="AE45" s="19">
        <f t="shared" si="6"/>
        <v>29.96014529732668</v>
      </c>
      <c r="AF45">
        <f>IF(G45&lt;=Forudsætninger!$C$97,Forudsætninger!$C$98,(IF(G45&lt;=Forudsætninger!$D$97,Forudsætninger!$D$98,IF(G45&lt;=Forudsætninger!$E$97,Forudsætninger!$E$98,IF(G45&lt;=Forudsætninger!$F$97,Forudsætninger!$F$98,IF(G45&lt;=Forudsætninger!$G$97,Forudsætninger!$G$98,IF(G45&lt;=Forudsætninger!$H$97,Forudsætninger!$H$98,IF(G45&lt;=Forudsætninger!$I$97,Forudsætninger!$I$98,Forudsætninger!$I$98))))))))</f>
        <v>2.2000000000000002</v>
      </c>
      <c r="AG45" s="1">
        <f t="shared" si="16"/>
        <v>2.2000000000000002</v>
      </c>
      <c r="AH45" s="1">
        <f t="shared" si="21"/>
        <v>94.600000000000065</v>
      </c>
      <c r="AI45" s="1">
        <f t="shared" si="7"/>
        <v>2.2000000000000015</v>
      </c>
      <c r="AJ45" s="20">
        <f>+(W45*Forudsætninger!$C$12)</f>
        <v>0</v>
      </c>
      <c r="AK45" s="20">
        <f>Forudsætninger!$C$17</f>
        <v>250</v>
      </c>
      <c r="AL45" s="20">
        <f>IF(A45&lt;92,Forudsætninger!$C$20,Forudsætninger!$C$21)</f>
        <v>4.0072859744990899</v>
      </c>
      <c r="AM45" s="20">
        <f t="shared" si="17"/>
        <v>172.31329690346087</v>
      </c>
      <c r="AN45" s="19">
        <f>IFERROR(AD45+AJ45-AA45-Z45-AK45-AM45-Forudsætninger!$E$75,-999999)</f>
        <v>-1394.4804049597144</v>
      </c>
      <c r="AO45" s="19">
        <f>IFERROR(AN45/(A45+Forudsætninger!$E$74),-999999)</f>
        <v>-32.429776859528239</v>
      </c>
      <c r="AP45" s="19">
        <f>IFERROR(((365/(A45+Forudsætninger!$E$74))*AN45)/(AI45+Forudsætninger!$E$73),-999999)</f>
        <v>-5124.1855210942867</v>
      </c>
      <c r="AQ45" s="18">
        <f t="shared" si="8"/>
        <v>43</v>
      </c>
      <c r="AR45" s="18">
        <f t="shared" si="22"/>
        <v>2773.2276267432012</v>
      </c>
      <c r="AS45" s="18">
        <f t="shared" si="0"/>
        <v>2.6</v>
      </c>
      <c r="AT45" s="50">
        <f t="shared" si="23"/>
        <v>4.2885319676738618</v>
      </c>
      <c r="AU45" s="50">
        <f t="shared" si="24"/>
        <v>0.8742454482667199</v>
      </c>
      <c r="AV45" s="2">
        <f t="shared" si="25"/>
        <v>138.1383500508</v>
      </c>
      <c r="AW45" s="16">
        <f t="shared" si="19"/>
        <v>-28.422490885029152</v>
      </c>
      <c r="AZ45" s="16"/>
      <c r="BA45" s="2"/>
    </row>
    <row r="46" spans="1:53" x14ac:dyDescent="0.25">
      <c r="A46">
        <v>44</v>
      </c>
      <c r="B46" s="1">
        <f>ROUND((A46+Forudsætninger!$E$60)/30.4,1)</f>
        <v>2.6</v>
      </c>
      <c r="C46" s="1">
        <f>VLOOKUP((A46+Forudsætninger!$E$60),'Model tilvækst, slagteform, fe'!A:D,4,FALSE)</f>
        <v>109.10597475017892</v>
      </c>
      <c r="D46" s="3">
        <f t="shared" si="26"/>
        <v>1278.5998968965657</v>
      </c>
      <c r="E46" s="3">
        <f>(1+Forudsætninger!$E$78)*C46</f>
        <v>100.37749677016461</v>
      </c>
      <c r="F46" s="2">
        <f t="shared" si="27"/>
        <v>6.5936854776908538</v>
      </c>
      <c r="G46" s="1">
        <f t="shared" si="1"/>
        <v>106.97118224785547</v>
      </c>
      <c r="H46" s="3">
        <f t="shared" si="10"/>
        <v>1091.0719120184069</v>
      </c>
      <c r="I46" s="3">
        <f t="shared" si="2"/>
        <v>885.70868745126063</v>
      </c>
      <c r="J46" s="1">
        <f>VLOOKUP((A46+Forudsætninger!$E$60),'Model tilvækst, slagteform, fe'!G:K,4,FALSE)*(1+Forudsætninger!$E$79)</f>
        <v>49.512658306362503</v>
      </c>
      <c r="K46" s="17">
        <f t="shared" si="3"/>
        <v>52.964275952656983</v>
      </c>
      <c r="L46" s="17">
        <f t="shared" si="11"/>
        <v>562.52797915202996</v>
      </c>
      <c r="M46" s="3">
        <f>((K46-(('Model tilvækst, slagteform, fe'!$J$9/100)*'Model tilvækst, slagteform, fe'!$D$9))*1000/(A46+Forudsætninger!$E$60))</f>
        <v>409.12334772267161</v>
      </c>
      <c r="N46" s="17">
        <f t="shared" si="12"/>
        <v>110.03874986311813</v>
      </c>
      <c r="O46" s="19">
        <f>IF( A46&lt;Forudsætninger!$C$14,(G46/100)*Forudsætninger!$C$13,(Forudsætninger!$C$15/1000)*Forudsætninger!$C$13)</f>
        <v>0.69531268461106055</v>
      </c>
      <c r="P46" s="17" cm="1">
        <f t="array" ref="P46">INDEX('Model tilvækst, slagteform, fe'!$P$9:$P$375,MATCH(MIN(ABS('Model tilvækst, slagteform, fe'!$M$9:$M$375-G46)),ABS('Model tilvækst, slagteform, fe'!$M$9:$M$375-G46),0))*(1+Forudsætninger!$E$80)</f>
        <v>3.152788593412974</v>
      </c>
      <c r="Q46" s="17">
        <f t="shared" si="13"/>
        <v>5.6046787186755997</v>
      </c>
      <c r="R46" s="17">
        <f t="shared" si="14"/>
        <v>5.5025973264705463</v>
      </c>
      <c r="S46" s="17">
        <f t="shared" si="15"/>
        <v>2.8235928066866234</v>
      </c>
      <c r="T46" s="19">
        <f>(P46)*IF(N46&lt;Forudsætninger!$B$228,IF(N46&lt;Forudsætninger!$B$227,Forudsætninger!$B$225,Forudsætninger!$C$9),Forudsætninger!$C$11)+O46</f>
        <v>8.6088120540776245</v>
      </c>
      <c r="U46" s="5">
        <f>Forudsætninger!$E$68+((K46-(Forudsætninger!$E$84)))*0.01</f>
        <v>5.2462064690982384</v>
      </c>
      <c r="V46" s="2">
        <f>U46+Forudsætninger!$E$69</f>
        <v>5.2462064690982384</v>
      </c>
      <c r="W46">
        <f t="shared" si="4"/>
        <v>0</v>
      </c>
      <c r="X46">
        <f>IF(A46+Forudsætninger!$E$60&gt;248,IF(A46+Forudsætninger!$E$60&lt;365,IF(K46&gt;180,IF(K46&lt;260,1,0),0),0),0)</f>
        <v>0</v>
      </c>
      <c r="Y46" s="22">
        <f>IF(X46=0,0,IF('Vækstfunktion, kry kvie'!A46&lt;Forudsætninger!$E$66,Forudsætninger!$E$67+(('Vækstfunktion, kry kvie'!A46-Forudsætninger!$E$66)/7)*Forudsætninger!$E$64,Forudsætninger!$E$67))</f>
        <v>0</v>
      </c>
      <c r="Z46" s="19">
        <f t="shared" si="20"/>
        <v>784.52314189381764</v>
      </c>
      <c r="AA46" s="19">
        <f>Forudsætninger!$E$62+Forudsætninger!$C$16</f>
        <v>1575</v>
      </c>
      <c r="AB46" s="19">
        <f>IF(K46&gt;Forudsætninger!$C$48,IF(K46&gt;Forudsætninger!$C$49,IF(K46&gt;Forudsætninger!$C$50,Forudsætninger!$E$50,Forudsætninger!$E$49+Forudsætninger!$F$50*(K46-Forudsætninger!$C$49)),Forudsætninger!$E$48+Forudsætninger!$F$49*(K46-Forudsætninger!$C$48)),Forudsætninger!$E$48)+IF(K46&gt;Forudsætninger!$C$50,Forudsætninger!$G$50,IF(K46&gt;Forudsætninger!$C$49,Forudsætninger!$G$49+Forudsætninger!$H$50*(K46-Forudsætninger!$C$49),IF(K46&gt;Forudsætninger!$C$48,Forudsætninger!$G$48+Forudsætninger!$H$49*(K46-Forudsætninger!$C$48),Forudsætninger!$G$48)))*(U46-Forudsætninger!$H$48)</f>
        <v>35.124620646909825</v>
      </c>
      <c r="AC46" s="19">
        <f>IF(K46&gt;Forudsætninger!$C$52,IF(K46&gt;Forudsætninger!$C$53,IF(K46&gt;Forudsætninger!$C$54,Forudsætninger!$E$54,Forudsætninger!$E$53+Forudsætninger!$F$54*(K46-Forudsætninger!$C$53)),Forudsætninger!$E$52+Forudsætninger!$F$53*(K46-Forudsætninger!$C$52)),Forudsætninger!$E$52)+IF(K46&gt;Forudsætninger!$C$54,Forudsætninger!$G$54,IF(K46&gt;Forudsætninger!$C$53,Forudsætninger!$G$53+Forudsætninger!$H$54*(K46-Forudsætninger!$C$53),IF(K46&gt;Forudsætninger!$C$52,Forudsætninger!$G$52+Forudsætninger!$H$53*(K46-Forudsætninger!$C$52),Forudsætninger!$G$52)))*(V46-Forudsætninger!$H$52)</f>
        <v>29.961551617274559</v>
      </c>
      <c r="AD46" s="19">
        <f t="shared" si="5"/>
        <v>1586.8918878271058</v>
      </c>
      <c r="AE46" s="19">
        <f t="shared" si="6"/>
        <v>29.961551617274559</v>
      </c>
      <c r="AF46">
        <f>IF(G46&lt;=Forudsætninger!$C$97,Forudsætninger!$C$98,(IF(G46&lt;=Forudsætninger!$D$97,Forudsætninger!$D$98,IF(G46&lt;=Forudsætninger!$E$97,Forudsætninger!$E$98,IF(G46&lt;=Forudsætninger!$F$97,Forudsætninger!$F$98,IF(G46&lt;=Forudsætninger!$G$97,Forudsætninger!$G$98,IF(G46&lt;=Forudsætninger!$H$97,Forudsætninger!$H$98,IF(G46&lt;=Forudsætninger!$I$97,Forudsætninger!$I$98,Forudsætninger!$I$98))))))))</f>
        <v>2.2000000000000002</v>
      </c>
      <c r="AG46" s="1">
        <f t="shared" si="16"/>
        <v>2.2000000000000002</v>
      </c>
      <c r="AH46" s="1">
        <f t="shared" si="21"/>
        <v>96.800000000000068</v>
      </c>
      <c r="AI46" s="1">
        <f t="shared" si="7"/>
        <v>2.2000000000000015</v>
      </c>
      <c r="AJ46" s="20">
        <f>+(W46*Forudsætninger!$C$12)</f>
        <v>0</v>
      </c>
      <c r="AK46" s="20">
        <f>Forudsætninger!$C$17</f>
        <v>250</v>
      </c>
      <c r="AL46" s="20">
        <f>IF(A46&lt;92,Forudsætninger!$C$20,Forudsætninger!$C$21)</f>
        <v>4.0072859744990899</v>
      </c>
      <c r="AM46" s="20">
        <f t="shared" si="17"/>
        <v>176.32058287795996</v>
      </c>
      <c r="AN46" s="19">
        <f>IFERROR(AD46+AJ46-AA46-Z46-AK46-AM46-Forudsætninger!$E$75,-999999)</f>
        <v>-1390.1685982812876</v>
      </c>
      <c r="AO46" s="19">
        <f>IFERROR(AN46/(A46+Forudsætninger!$E$74),-999999)</f>
        <v>-31.594740870029263</v>
      </c>
      <c r="AP46" s="19">
        <f>IFERROR(((365/(A46+Forudsætninger!$E$74))*AN46)/(AI46+Forudsætninger!$E$73),-999999)</f>
        <v>-4992.2426050046206</v>
      </c>
      <c r="AQ46" s="18">
        <f t="shared" si="8"/>
        <v>44</v>
      </c>
      <c r="AR46" s="18">
        <f t="shared" si="22"/>
        <v>2785.8437247717775</v>
      </c>
      <c r="AS46" s="18">
        <f t="shared" si="0"/>
        <v>2.6</v>
      </c>
      <c r="AT46" s="50">
        <f t="shared" si="23"/>
        <v>4.3118066784268194</v>
      </c>
      <c r="AU46" s="50">
        <f t="shared" si="24"/>
        <v>0.83503598949897651</v>
      </c>
      <c r="AV46" s="2">
        <f t="shared" si="25"/>
        <v>131.94291608966614</v>
      </c>
      <c r="AW46" s="16">
        <f t="shared" si="19"/>
        <v>-27.587454895530175</v>
      </c>
      <c r="AZ46" s="16"/>
      <c r="BA46" s="2"/>
    </row>
    <row r="47" spans="1:53" x14ac:dyDescent="0.25">
      <c r="A47">
        <v>45</v>
      </c>
      <c r="B47" s="1">
        <f>ROUND((A47+Forudsætninger!$E$60)/30.4,1)</f>
        <v>2.7</v>
      </c>
      <c r="C47" s="1">
        <f>VLOOKUP((A47+Forudsætninger!$E$60),'Model tilvækst, slagteform, fe'!A:D,4,FALSE)</f>
        <v>110.39269438719072</v>
      </c>
      <c r="D47" s="3">
        <f t="shared" si="26"/>
        <v>1286.7196370117995</v>
      </c>
      <c r="E47" s="3">
        <f>(1+Forudsætninger!$E$78)*C47</f>
        <v>101.56127883621546</v>
      </c>
      <c r="F47" s="2">
        <f t="shared" si="27"/>
        <v>6.5079041685567338</v>
      </c>
      <c r="G47" s="1">
        <f t="shared" si="1"/>
        <v>108.0691830047722</v>
      </c>
      <c r="H47" s="3">
        <f t="shared" si="10"/>
        <v>1098.0007569167328</v>
      </c>
      <c r="I47" s="3">
        <f t="shared" si="2"/>
        <v>890.42628899493764</v>
      </c>
      <c r="J47" s="1">
        <f>VLOOKUP((A47+Forudsætninger!$E$60),'Model tilvækst, slagteform, fe'!G:K,4,FALSE)*(1+Forudsætninger!$E$79)</f>
        <v>49.533610648523521</v>
      </c>
      <c r="K47" s="17">
        <f t="shared" si="3"/>
        <v>53.530568340624214</v>
      </c>
      <c r="L47" s="17">
        <f t="shared" si="11"/>
        <v>566.29238796723052</v>
      </c>
      <c r="M47" s="3">
        <f>((K47-(('Model tilvækst, slagteform, fe'!$J$9/100)*'Model tilvækst, slagteform, fe'!$D$9))*1000/(A47+Forudsætninger!$E$60))</f>
        <v>411.06370624420947</v>
      </c>
      <c r="N47" s="17">
        <f t="shared" si="12"/>
        <v>113.22558134511459</v>
      </c>
      <c r="O47" s="19">
        <f>IF( A47&lt;Forudsætninger!$C$14,(G47/100)*Forudsætninger!$C$13,(Forudsætninger!$C$15/1000)*Forudsætninger!$C$13)</f>
        <v>0.70244968953101927</v>
      </c>
      <c r="P47" s="17" cm="1">
        <f t="array" ref="P47">INDEX('Model tilvækst, slagteform, fe'!$P$9:$P$375,MATCH(MIN(ABS('Model tilvækst, slagteform, fe'!$M$9:$M$375-G47)),ABS('Model tilvækst, slagteform, fe'!$M$9:$M$375-G47),0))*(1+Forudsætninger!$E$80)</f>
        <v>3.1868314819964616</v>
      </c>
      <c r="Q47" s="17">
        <f t="shared" si="13"/>
        <v>5.6275372046513779</v>
      </c>
      <c r="R47" s="17">
        <f t="shared" si="14"/>
        <v>5.506037944357975</v>
      </c>
      <c r="S47" s="17">
        <f t="shared" si="15"/>
        <v>2.8257521829588974</v>
      </c>
      <c r="T47" s="19">
        <f>(P47)*IF(N47&lt;Forudsætninger!$B$228,IF(N47&lt;Forudsætninger!$B$227,Forudsætninger!$B$225,Forudsætninger!$C$9),Forudsætninger!$C$11)+O47</f>
        <v>8.7013967093421378</v>
      </c>
      <c r="U47" s="5">
        <f>Forudsætninger!$E$68+((K47-(Forudsætninger!$E$84)))*0.01</f>
        <v>5.2518693929779117</v>
      </c>
      <c r="V47" s="2">
        <f>U47+Forudsætninger!$E$69</f>
        <v>5.2518693929779117</v>
      </c>
      <c r="W47">
        <f t="shared" si="4"/>
        <v>0</v>
      </c>
      <c r="X47">
        <f>IF(A47+Forudsætninger!$E$60&gt;248,IF(A47+Forudsætninger!$E$60&lt;365,IF(K47&gt;180,IF(K47&lt;260,1,0),0),0),0)</f>
        <v>0</v>
      </c>
      <c r="Y47" s="22">
        <f>IF(X47=0,0,IF('Vækstfunktion, kry kvie'!A47&lt;Forudsætninger!$E$66,Forudsætninger!$E$67+(('Vækstfunktion, kry kvie'!A47-Forudsætninger!$E$66)/7)*Forudsætninger!$E$64,Forudsætninger!$E$67))</f>
        <v>0</v>
      </c>
      <c r="Z47" s="19">
        <f t="shared" si="20"/>
        <v>793.22453860315977</v>
      </c>
      <c r="AA47" s="19">
        <f>Forudsætninger!$E$62+Forudsætninger!$C$16</f>
        <v>1575</v>
      </c>
      <c r="AB47" s="19">
        <f>IF(K47&gt;Forudsætninger!$C$48,IF(K47&gt;Forudsætninger!$C$49,IF(K47&gt;Forudsætninger!$C$50,Forudsætninger!$E$50,Forudsætninger!$E$49+Forudsætninger!$F$50*(K47-Forudsætninger!$C$49)),Forudsætninger!$E$48+Forudsætninger!$F$49*(K47-Forudsætninger!$C$48)),Forudsætninger!$E$48)+IF(K47&gt;Forudsætninger!$C$50,Forudsætninger!$G$50,IF(K47&gt;Forudsætninger!$C$49,Forudsætninger!$G$49+Forudsætninger!$H$50*(K47-Forudsætninger!$C$49),IF(K47&gt;Forudsætninger!$C$48,Forudsætninger!$G$48+Forudsætninger!$H$49*(K47-Forudsætninger!$C$48),Forudsætninger!$G$48)))*(U47-Forudsætninger!$H$48)</f>
        <v>35.125186939297791</v>
      </c>
      <c r="AC47" s="19">
        <f>IF(K47&gt;Forudsætninger!$C$52,IF(K47&gt;Forudsætninger!$C$53,IF(K47&gt;Forudsætninger!$C$54,Forudsætninger!$E$54,Forudsætninger!$E$53+Forudsætninger!$F$54*(K47-Forudsætninger!$C$53)),Forudsætninger!$E$52+Forudsætninger!$F$53*(K47-Forudsætninger!$C$52)),Forudsætninger!$E$52)+IF(K47&gt;Forudsætninger!$C$54,Forudsætninger!$G$54,IF(K47&gt;Forudsætninger!$C$53,Forudsætninger!$G$53+Forudsætninger!$H$54*(K47-Forudsætninger!$C$53),IF(K47&gt;Forudsætninger!$C$52,Forudsætninger!$G$52+Forudsætninger!$H$53*(K47-Forudsætninger!$C$52),Forudsætninger!$G$52)))*(V47-Forudsætninger!$H$52)</f>
        <v>29.962967348244476</v>
      </c>
      <c r="AD47" s="19">
        <f t="shared" si="5"/>
        <v>1603.9346713230927</v>
      </c>
      <c r="AE47" s="19">
        <f t="shared" si="6"/>
        <v>29.962967348244476</v>
      </c>
      <c r="AF47">
        <f>IF(G47&lt;=Forudsætninger!$C$97,Forudsætninger!$C$98,(IF(G47&lt;=Forudsætninger!$D$97,Forudsætninger!$D$98,IF(G47&lt;=Forudsætninger!$E$97,Forudsætninger!$E$98,IF(G47&lt;=Forudsætninger!$F$97,Forudsætninger!$F$98,IF(G47&lt;=Forudsætninger!$G$97,Forudsætninger!$G$98,IF(G47&lt;=Forudsætninger!$H$97,Forudsætninger!$H$98,IF(G47&lt;=Forudsætninger!$I$97,Forudsætninger!$I$98,Forudsætninger!$I$98))))))))</f>
        <v>2.2000000000000002</v>
      </c>
      <c r="AG47" s="1">
        <f t="shared" si="16"/>
        <v>2.2000000000000002</v>
      </c>
      <c r="AH47" s="1">
        <f t="shared" si="21"/>
        <v>99.000000000000071</v>
      </c>
      <c r="AI47" s="1">
        <f t="shared" si="7"/>
        <v>2.2000000000000015</v>
      </c>
      <c r="AJ47" s="20">
        <f>+(W47*Forudsætninger!$C$12)</f>
        <v>0</v>
      </c>
      <c r="AK47" s="20">
        <f>Forudsætninger!$C$17</f>
        <v>250</v>
      </c>
      <c r="AL47" s="20">
        <f>IF(A47&lt;92,Forudsætninger!$C$20,Forudsætninger!$C$21)</f>
        <v>4.0072859744990899</v>
      </c>
      <c r="AM47" s="20">
        <f t="shared" si="17"/>
        <v>180.32786885245906</v>
      </c>
      <c r="AN47" s="19">
        <f>IFERROR(AD47+AJ47-AA47-Z47-AK47-AM47-Forudsætninger!$E$75,-999999)</f>
        <v>-1385.8344974691418</v>
      </c>
      <c r="AO47" s="19">
        <f>IFERROR(AN47/(A47+Forudsætninger!$E$74),-999999)</f>
        <v>-30.796322165980929</v>
      </c>
      <c r="AP47" s="19">
        <f>IFERROR(((365/(A47+Forudsætninger!$E$74))*AN47)/(AI47+Forudsætninger!$E$73),-999999)</f>
        <v>-4866.0855370489307</v>
      </c>
      <c r="AQ47" s="18">
        <f t="shared" si="8"/>
        <v>45</v>
      </c>
      <c r="AR47" s="18">
        <f t="shared" si="22"/>
        <v>2798.5524074556192</v>
      </c>
      <c r="AS47" s="18">
        <f t="shared" si="0"/>
        <v>2.7</v>
      </c>
      <c r="AT47" s="50">
        <f t="shared" si="23"/>
        <v>4.3341008121458344</v>
      </c>
      <c r="AU47" s="50">
        <f t="shared" si="24"/>
        <v>0.79841870404833415</v>
      </c>
      <c r="AV47" s="2">
        <f t="shared" si="25"/>
        <v>126.15706795568985</v>
      </c>
      <c r="AW47" s="16">
        <f t="shared" si="19"/>
        <v>-26.789036191481838</v>
      </c>
      <c r="AZ47" s="16"/>
      <c r="BA47" s="2"/>
    </row>
    <row r="48" spans="1:53" x14ac:dyDescent="0.25">
      <c r="A48">
        <v>46</v>
      </c>
      <c r="B48" s="1">
        <f>ROUND((A48+Forudsætninger!$E$60)/30.4,1)</f>
        <v>2.7</v>
      </c>
      <c r="C48" s="1">
        <f>VLOOKUP((A48+Forudsætninger!$E$60),'Model tilvækst, slagteform, fe'!A:D,4,FALSE)</f>
        <v>111.68741083597884</v>
      </c>
      <c r="D48" s="3">
        <f t="shared" si="26"/>
        <v>1294.7164487881223</v>
      </c>
      <c r="E48" s="3">
        <f>(1+Forudsætninger!$E$78)*C48</f>
        <v>102.75241796910053</v>
      </c>
      <c r="F48" s="2">
        <f t="shared" si="27"/>
        <v>6.4215897386375254</v>
      </c>
      <c r="G48" s="1">
        <f t="shared" si="1"/>
        <v>109.17400770773806</v>
      </c>
      <c r="H48" s="3">
        <f t="shared" si="10"/>
        <v>1104.8247029658569</v>
      </c>
      <c r="I48" s="3">
        <f t="shared" si="2"/>
        <v>895.08712408126212</v>
      </c>
      <c r="J48" s="1">
        <f>VLOOKUP((A48+Forudsætninger!$E$60),'Model tilvækst, slagteform, fe'!G:K,4,FALSE)*(1+Forudsætninger!$E$79)</f>
        <v>49.554448658713426</v>
      </c>
      <c r="K48" s="17">
        <f t="shared" si="3"/>
        <v>54.100577598190888</v>
      </c>
      <c r="L48" s="17">
        <f t="shared" si="11"/>
        <v>570.00925756667448</v>
      </c>
      <c r="M48" s="3">
        <f>((K48-(('Model tilvækst, slagteform, fe'!$J$9/100)*'Model tilvækst, slagteform, fe'!$D$9))*1000/(A48+Forudsætninger!$E$60))</f>
        <v>413.00206662619058</v>
      </c>
      <c r="N48" s="17">
        <f t="shared" si="12"/>
        <v>116.44626928161023</v>
      </c>
      <c r="O48" s="19">
        <f>IF( A48&lt;Forudsætninger!$C$14,(G48/100)*Forudsætninger!$C$13,(Forudsætninger!$C$15/1000)*Forudsætninger!$C$13)</f>
        <v>0.70963105010029748</v>
      </c>
      <c r="P48" s="17" cm="1">
        <f t="array" ref="P48">INDEX('Model tilvækst, slagteform, fe'!$P$9:$P$375,MATCH(MIN(ABS('Model tilvækst, slagteform, fe'!$M$9:$M$375-G48)),ABS('Model tilvækst, slagteform, fe'!$M$9:$M$375-G48),0))*(1+Forudsætninger!$E$80)</f>
        <v>3.2206879364956293</v>
      </c>
      <c r="Q48" s="17">
        <f t="shared" si="13"/>
        <v>5.6502379456861753</v>
      </c>
      <c r="R48" s="17">
        <f t="shared" si="14"/>
        <v>5.509927208645971</v>
      </c>
      <c r="S48" s="17">
        <f t="shared" si="15"/>
        <v>2.8281499850141101</v>
      </c>
      <c r="T48" s="19">
        <f>(P48)*IF(N48&lt;Forudsætninger!$B$228,IF(N48&lt;Forudsætninger!$B$227,Forudsætninger!$B$225,Forudsætninger!$C$9),Forudsætninger!$C$11)+O48</f>
        <v>8.7935577707043269</v>
      </c>
      <c r="U48" s="5">
        <f>Forudsætninger!$E$68+((K48-(Forudsætninger!$E$84)))*0.01</f>
        <v>5.2575694855535779</v>
      </c>
      <c r="V48" s="2">
        <f>U48+Forudsætninger!$E$69</f>
        <v>5.2575694855535779</v>
      </c>
      <c r="W48">
        <f t="shared" si="4"/>
        <v>0</v>
      </c>
      <c r="X48">
        <f>IF(A48+Forudsætninger!$E$60&gt;248,IF(A48+Forudsætninger!$E$60&lt;365,IF(K48&gt;180,IF(K48&lt;260,1,0),0),0),0)</f>
        <v>0</v>
      </c>
      <c r="Y48" s="22">
        <f>IF(X48=0,0,IF('Vækstfunktion, kry kvie'!A48&lt;Forudsætninger!$E$66,Forudsætninger!$E$67+(('Vækstfunktion, kry kvie'!A48-Forudsætninger!$E$66)/7)*Forudsætninger!$E$64,Forudsætninger!$E$67))</f>
        <v>0</v>
      </c>
      <c r="Z48" s="19">
        <f t="shared" si="20"/>
        <v>802.01809637386407</v>
      </c>
      <c r="AA48" s="19">
        <f>Forudsætninger!$E$62+Forudsætninger!$C$16</f>
        <v>1575</v>
      </c>
      <c r="AB48" s="19">
        <f>IF(K48&gt;Forudsætninger!$C$48,IF(K48&gt;Forudsætninger!$C$49,IF(K48&gt;Forudsætninger!$C$50,Forudsætninger!$E$50,Forudsætninger!$E$49+Forudsætninger!$F$50*(K48-Forudsætninger!$C$49)),Forudsætninger!$E$48+Forudsætninger!$F$49*(K48-Forudsætninger!$C$48)),Forudsætninger!$E$48)+IF(K48&gt;Forudsætninger!$C$50,Forudsætninger!$G$50,IF(K48&gt;Forudsætninger!$C$49,Forudsætninger!$G$49+Forudsætninger!$H$50*(K48-Forudsætninger!$C$49),IF(K48&gt;Forudsætninger!$C$48,Forudsætninger!$G$48+Forudsætninger!$H$49*(K48-Forudsætninger!$C$48),Forudsætninger!$G$48)))*(U48-Forudsætninger!$H$48)</f>
        <v>35.125756948555356</v>
      </c>
      <c r="AC48" s="19">
        <f>IF(K48&gt;Forudsætninger!$C$52,IF(K48&gt;Forudsætninger!$C$53,IF(K48&gt;Forudsætninger!$C$54,Forudsætninger!$E$54,Forudsætninger!$E$53+Forudsætninger!$F$54*(K48-Forudsætninger!$C$53)),Forudsætninger!$E$52+Forudsætninger!$F$53*(K48-Forudsætninger!$C$52)),Forudsætninger!$E$52)+IF(K48&gt;Forudsætninger!$C$54,Forudsætninger!$G$54,IF(K48&gt;Forudsætninger!$C$53,Forudsætninger!$G$53+Forudsætninger!$H$54*(K48-Forudsætninger!$C$53),IF(K48&gt;Forudsætninger!$C$52,Forudsætninger!$G$52+Forudsætninger!$H$53*(K48-Forudsætninger!$C$52),Forudsætninger!$G$52)))*(V48-Forudsætninger!$H$52)</f>
        <v>29.964392371388392</v>
      </c>
      <c r="AD48" s="19">
        <f t="shared" si="5"/>
        <v>1621.0909346709368</v>
      </c>
      <c r="AE48" s="19">
        <f t="shared" si="6"/>
        <v>29.964392371388392</v>
      </c>
      <c r="AF48">
        <f>IF(G48&lt;=Forudsætninger!$C$97,Forudsætninger!$C$98,(IF(G48&lt;=Forudsætninger!$D$97,Forudsætninger!$D$98,IF(G48&lt;=Forudsætninger!$E$97,Forudsætninger!$E$98,IF(G48&lt;=Forudsætninger!$F$97,Forudsætninger!$F$98,IF(G48&lt;=Forudsætninger!$G$97,Forudsætninger!$G$98,IF(G48&lt;=Forudsætninger!$H$97,Forudsætninger!$H$98,IF(G48&lt;=Forudsætninger!$I$97,Forudsætninger!$I$98,Forudsætninger!$I$98))))))))</f>
        <v>2.2000000000000002</v>
      </c>
      <c r="AG48" s="1">
        <f t="shared" si="16"/>
        <v>2.2000000000000002</v>
      </c>
      <c r="AH48" s="1">
        <f t="shared" si="21"/>
        <v>101.20000000000007</v>
      </c>
      <c r="AI48" s="1">
        <f t="shared" si="7"/>
        <v>2.2000000000000015</v>
      </c>
      <c r="AJ48" s="20">
        <f>+(W48*Forudsætninger!$C$12)</f>
        <v>0</v>
      </c>
      <c r="AK48" s="20">
        <f>Forudsætninger!$C$17</f>
        <v>250</v>
      </c>
      <c r="AL48" s="20">
        <f>IF(A48&lt;92,Forudsætninger!$C$20,Forudsætninger!$C$21)</f>
        <v>4.0072859744990899</v>
      </c>
      <c r="AM48" s="20">
        <f t="shared" si="17"/>
        <v>184.33515482695816</v>
      </c>
      <c r="AN48" s="19">
        <f>IFERROR(AD48+AJ48-AA48-Z48-AK48-AM48-Forudsætninger!$E$75,-999999)</f>
        <v>-1381.4790778665013</v>
      </c>
      <c r="AO48" s="19">
        <f>IFERROR(AN48/(A48+Forudsætninger!$E$74),-999999)</f>
        <v>-30.032153866663069</v>
      </c>
      <c r="AP48" s="19">
        <f>IFERROR(((365/(A48+Forudsætninger!$E$74))*AN48)/(AI48+Forudsætninger!$E$73),-999999)</f>
        <v>-4745.3403295809585</v>
      </c>
      <c r="AQ48" s="18">
        <f t="shared" si="8"/>
        <v>46</v>
      </c>
      <c r="AR48" s="18">
        <f t="shared" si="22"/>
        <v>2811.3532512008223</v>
      </c>
      <c r="AS48" s="18">
        <f t="shared" si="0"/>
        <v>2.7</v>
      </c>
      <c r="AT48" s="50">
        <f t="shared" si="23"/>
        <v>4.3554196026404952</v>
      </c>
      <c r="AU48" s="50">
        <f t="shared" si="24"/>
        <v>0.76416829931785912</v>
      </c>
      <c r="AV48" s="2">
        <f t="shared" si="25"/>
        <v>120.74520746797225</v>
      </c>
      <c r="AW48" s="16">
        <f t="shared" si="19"/>
        <v>-26.024867892163979</v>
      </c>
      <c r="AZ48" s="16"/>
      <c r="BA48" s="2"/>
    </row>
    <row r="49" spans="1:53" x14ac:dyDescent="0.25">
      <c r="A49">
        <v>47</v>
      </c>
      <c r="B49" s="1">
        <f>ROUND((A49+Forudsætninger!$E$60)/30.4,1)</f>
        <v>2.7</v>
      </c>
      <c r="C49" s="1">
        <f>VLOOKUP((A49+Forudsætninger!$E$60),'Model tilvækst, slagteform, fe'!A:D,4,FALSE)</f>
        <v>112.99000175322512</v>
      </c>
      <c r="D49" s="3">
        <f t="shared" si="26"/>
        <v>1302.5909172462775</v>
      </c>
      <c r="E49" s="3">
        <f>(1+Forudsætninger!$E$78)*C49</f>
        <v>103.95080161296711</v>
      </c>
      <c r="F49" s="2">
        <f t="shared" si="27"/>
        <v>6.3347503441544406</v>
      </c>
      <c r="G49" s="1">
        <f t="shared" si="1"/>
        <v>110.28555195712156</v>
      </c>
      <c r="H49" s="3">
        <f t="shared" si="10"/>
        <v>1111.5442493834989</v>
      </c>
      <c r="I49" s="3">
        <f t="shared" si="2"/>
        <v>899.69259483237352</v>
      </c>
      <c r="J49" s="1">
        <f>VLOOKUP((A49+Forudsætninger!$E$60),'Model tilvækst, slagteform, fe'!G:K,4,FALSE)*(1+Forudsætninger!$E$79)</f>
        <v>49.575175976579445</v>
      </c>
      <c r="K49" s="17">
        <f t="shared" si="3"/>
        <v>54.674256459484965</v>
      </c>
      <c r="L49" s="17">
        <f t="shared" si="11"/>
        <v>573.67886129407702</v>
      </c>
      <c r="M49" s="3">
        <f>((K49-(('Model tilvækst, slagteform, fe'!$J$9/100)*'Model tilvækst, slagteform, fe'!$D$9))*1000/(A49+Forudsætninger!$E$60))</f>
        <v>414.93793162218935</v>
      </c>
      <c r="N49" s="17">
        <f t="shared" si="12"/>
        <v>119.70062852167865</v>
      </c>
      <c r="O49" s="19">
        <f>IF( A49&lt;Forudsætninger!$C$14,(G49/100)*Forudsætninger!$C$13,(Forudsætninger!$C$15/1000)*Forudsætninger!$C$13)</f>
        <v>0.71685608772129017</v>
      </c>
      <c r="P49" s="17" cm="1">
        <f t="array" ref="P49">INDEX('Model tilvækst, slagteform, fe'!$P$9:$P$375,MATCH(MIN(ABS('Model tilvækst, slagteform, fe'!$M$9:$M$375-G49)),ABS('Model tilvækst, slagteform, fe'!$M$9:$M$375-G49),0))*(1+Forudsætninger!$E$80)</f>
        <v>3.2543592400684309</v>
      </c>
      <c r="Q49" s="17">
        <f t="shared" si="13"/>
        <v>5.6727891850980967</v>
      </c>
      <c r="R49" s="17">
        <f t="shared" si="14"/>
        <v>5.5142312565193103</v>
      </c>
      <c r="S49" s="17">
        <f t="shared" si="15"/>
        <v>2.8307689738343162</v>
      </c>
      <c r="T49" s="19">
        <f>(P49)*IF(N49&lt;Forudsætninger!$B$228,IF(N49&lt;Forudsætninger!$B$227,Forudsætninger!$B$225,Forudsætninger!$C$9),Forudsætninger!$C$11)+O49</f>
        <v>8.8852977802930511</v>
      </c>
      <c r="U49" s="5">
        <f>Forudsætninger!$E$68+((K49-(Forudsætninger!$E$84)))*0.01</f>
        <v>5.2633062741665189</v>
      </c>
      <c r="V49" s="2">
        <f>U49+Forudsætninger!$E$69</f>
        <v>5.2633062741665189</v>
      </c>
      <c r="W49">
        <f t="shared" si="4"/>
        <v>0</v>
      </c>
      <c r="X49">
        <f>IF(A49+Forudsætninger!$E$60&gt;248,IF(A49+Forudsætninger!$E$60&lt;365,IF(K49&gt;180,IF(K49&lt;260,1,0),0),0),0)</f>
        <v>0</v>
      </c>
      <c r="Y49" s="22">
        <f>IF(X49=0,0,IF('Vækstfunktion, kry kvie'!A49&lt;Forudsætninger!$E$66,Forudsætninger!$E$67+(('Vækstfunktion, kry kvie'!A49-Forudsætninger!$E$66)/7)*Forudsætninger!$E$64,Forudsætninger!$E$67))</f>
        <v>0</v>
      </c>
      <c r="Z49" s="19">
        <f t="shared" si="20"/>
        <v>810.90339415415713</v>
      </c>
      <c r="AA49" s="19">
        <f>Forudsætninger!$E$62+Forudsætninger!$C$16</f>
        <v>1575</v>
      </c>
      <c r="AB49" s="19">
        <f>IF(K49&gt;Forudsætninger!$C$48,IF(K49&gt;Forudsætninger!$C$49,IF(K49&gt;Forudsætninger!$C$50,Forudsætninger!$E$50,Forudsætninger!$E$49+Forudsætninger!$F$50*(K49-Forudsætninger!$C$49)),Forudsætninger!$E$48+Forudsætninger!$F$49*(K49-Forudsætninger!$C$48)),Forudsætninger!$E$48)+IF(K49&gt;Forudsætninger!$C$50,Forudsætninger!$G$50,IF(K49&gt;Forudsætninger!$C$49,Forudsætninger!$G$49+Forudsætninger!$H$50*(K49-Forudsætninger!$C$49),IF(K49&gt;Forudsætninger!$C$48,Forudsætninger!$G$48+Forudsætninger!$H$49*(K49-Forudsætninger!$C$48),Forudsætninger!$G$48)))*(U49-Forudsætninger!$H$48)</f>
        <v>35.12633062741665</v>
      </c>
      <c r="AC49" s="19">
        <f>IF(K49&gt;Forudsætninger!$C$52,IF(K49&gt;Forudsætninger!$C$53,IF(K49&gt;Forudsætninger!$C$54,Forudsætninger!$E$54,Forudsætninger!$E$53+Forudsætninger!$F$54*(K49-Forudsætninger!$C$53)),Forudsætninger!$E$52+Forudsætninger!$F$53*(K49-Forudsætninger!$C$52)),Forudsætninger!$E$52)+IF(K49&gt;Forudsætninger!$C$54,Forudsætninger!$G$54,IF(K49&gt;Forudsætninger!$C$53,Forudsætninger!$G$53+Forudsætninger!$H$54*(K49-Forudsætninger!$C$53),IF(K49&gt;Forudsætninger!$C$52,Forudsætninger!$G$52+Forudsætninger!$H$53*(K49-Forudsætninger!$C$52),Forudsætninger!$G$52)))*(V49-Forudsætninger!$H$52)</f>
        <v>29.96582656854163</v>
      </c>
      <c r="AD49" s="19">
        <f t="shared" si="5"/>
        <v>1638.3592868288933</v>
      </c>
      <c r="AE49" s="19">
        <f t="shared" si="6"/>
        <v>29.96582656854163</v>
      </c>
      <c r="AF49">
        <f>IF(G49&lt;=Forudsætninger!$C$97,Forudsætninger!$C$98,(IF(G49&lt;=Forudsætninger!$D$97,Forudsætninger!$D$98,IF(G49&lt;=Forudsætninger!$E$97,Forudsætninger!$E$98,IF(G49&lt;=Forudsætninger!$F$97,Forudsætninger!$F$98,IF(G49&lt;=Forudsætninger!$G$97,Forudsætninger!$G$98,IF(G49&lt;=Forudsætninger!$H$97,Forudsætninger!$H$98,IF(G49&lt;=Forudsætninger!$I$97,Forudsætninger!$I$98,Forudsætninger!$I$98))))))))</f>
        <v>2.2000000000000002</v>
      </c>
      <c r="AG49" s="1">
        <f t="shared" si="16"/>
        <v>2.2000000000000002</v>
      </c>
      <c r="AH49" s="1">
        <f t="shared" si="21"/>
        <v>103.40000000000008</v>
      </c>
      <c r="AI49" s="1">
        <f t="shared" si="7"/>
        <v>2.2000000000000015</v>
      </c>
      <c r="AJ49" s="20">
        <f>+(W49*Forudsætninger!$C$12)</f>
        <v>0</v>
      </c>
      <c r="AK49" s="20">
        <f>Forudsætninger!$C$17</f>
        <v>250</v>
      </c>
      <c r="AL49" s="20">
        <f>IF(A49&lt;92,Forudsætninger!$C$20,Forudsætninger!$C$21)</f>
        <v>4.0072859744990899</v>
      </c>
      <c r="AM49" s="20">
        <f t="shared" si="17"/>
        <v>188.34244080145726</v>
      </c>
      <c r="AN49" s="19">
        <f>IFERROR(AD49+AJ49-AA49-Z49-AK49-AM49-Forudsætninger!$E$75,-999999)</f>
        <v>-1377.1033094633367</v>
      </c>
      <c r="AO49" s="19">
        <f>IFERROR(AN49/(A49+Forudsætninger!$E$74),-999999)</f>
        <v>-29.300070414113545</v>
      </c>
      <c r="AP49" s="19">
        <f>IFERROR(((365/(A49+Forudsætninger!$E$74))*AN49)/(AI49+Forudsætninger!$E$73),-999999)</f>
        <v>-4629.6648056932627</v>
      </c>
      <c r="AQ49" s="18">
        <f t="shared" si="8"/>
        <v>47</v>
      </c>
      <c r="AR49" s="18">
        <f t="shared" si="22"/>
        <v>2824.2458349556141</v>
      </c>
      <c r="AS49" s="18">
        <f t="shared" si="0"/>
        <v>2.7</v>
      </c>
      <c r="AT49" s="50">
        <f t="shared" si="23"/>
        <v>4.3757684031645567</v>
      </c>
      <c r="AU49" s="50">
        <f t="shared" si="24"/>
        <v>0.73208345254952434</v>
      </c>
      <c r="AV49" s="2">
        <f t="shared" si="25"/>
        <v>115.67552388769582</v>
      </c>
      <c r="AW49" s="16">
        <f t="shared" si="19"/>
        <v>-25.292784439614454</v>
      </c>
      <c r="AZ49" s="16"/>
      <c r="BA49" s="2"/>
    </row>
    <row r="50" spans="1:53" x14ac:dyDescent="0.25">
      <c r="A50">
        <v>48</v>
      </c>
      <c r="B50" s="1">
        <f>ROUND((A50+Forudsætninger!$E$60)/30.4,1)</f>
        <v>2.8</v>
      </c>
      <c r="C50" s="1">
        <f>VLOOKUP((A50+Forudsætninger!$E$60),'Model tilvækst, slagteform, fe'!A:D,4,FALSE)</f>
        <v>114.30034538063182</v>
      </c>
      <c r="D50" s="3">
        <f t="shared" si="26"/>
        <v>1310.3436274067094</v>
      </c>
      <c r="E50" s="3">
        <f>(1+Forudsætninger!$E$78)*C50</f>
        <v>105.15631775018129</v>
      </c>
      <c r="F50" s="2">
        <f t="shared" si="27"/>
        <v>6.2473941023273269</v>
      </c>
      <c r="G50" s="1">
        <f t="shared" si="1"/>
        <v>111.40371185250862</v>
      </c>
      <c r="H50" s="3">
        <f t="shared" si="10"/>
        <v>1118.1598953870662</v>
      </c>
      <c r="I50" s="3">
        <f t="shared" si="2"/>
        <v>904.24399692726286</v>
      </c>
      <c r="J50" s="1">
        <f>VLOOKUP((A50+Forudsætninger!$E$60),'Model tilvækst, slagteform, fe'!G:K,4,FALSE)*(1+Forudsætninger!$E$79)</f>
        <v>49.595796241768767</v>
      </c>
      <c r="K50" s="17">
        <f t="shared" si="3"/>
        <v>55.251557936137381</v>
      </c>
      <c r="L50" s="17">
        <f t="shared" si="11"/>
        <v>577.30147665241566</v>
      </c>
      <c r="M50" s="3">
        <f>((K50-(('Model tilvækst, slagteform, fe'!$J$9/100)*'Model tilvækst, slagteform, fe'!$D$9))*1000/(A50+Forudsætninger!$E$60))</f>
        <v>416.87083096778719</v>
      </c>
      <c r="N50" s="17">
        <f t="shared" si="12"/>
        <v>122.98847519755147</v>
      </c>
      <c r="O50" s="19">
        <f>IF( A50&lt;Forudsætninger!$C$14,(G50/100)*Forudsætninger!$C$13,(Forudsætninger!$C$15/1000)*Forudsætninger!$C$13)</f>
        <v>0.72412412704130602</v>
      </c>
      <c r="P50" s="17" cm="1">
        <f t="array" ref="P50">INDEX('Model tilvækst, slagteform, fe'!$P$9:$P$375,MATCH(MIN(ABS('Model tilvækst, slagteform, fe'!$M$9:$M$375-G50)),ABS('Model tilvækst, slagteform, fe'!$M$9:$M$375-G50),0))*(1+Forudsætninger!$E$80)</f>
        <v>3.2878466758728147</v>
      </c>
      <c r="Q50" s="17">
        <f t="shared" si="13"/>
        <v>5.6951987979278567</v>
      </c>
      <c r="R50" s="17">
        <f t="shared" si="14"/>
        <v>5.5189193145852089</v>
      </c>
      <c r="S50" s="17">
        <f t="shared" si="15"/>
        <v>2.8335934865543777</v>
      </c>
      <c r="T50" s="19">
        <f>(P50)*IF(N50&lt;Forudsætninger!$B$228,IF(N50&lt;Forudsætninger!$B$227,Forudsætninger!$B$225,Forudsætninger!$C$9),Forudsætninger!$C$11)+O50</f>
        <v>8.9766192834820693</v>
      </c>
      <c r="U50" s="5">
        <f>Forudsætninger!$E$68+((K50-(Forudsætninger!$E$84)))*0.01</f>
        <v>5.2690792889330424</v>
      </c>
      <c r="V50" s="2">
        <f>U50+Forudsætninger!$E$69</f>
        <v>5.2690792889330424</v>
      </c>
      <c r="W50">
        <f t="shared" si="4"/>
        <v>0</v>
      </c>
      <c r="X50">
        <f>IF(A50+Forudsætninger!$E$60&gt;248,IF(A50+Forudsætninger!$E$60&lt;365,IF(K50&gt;180,IF(K50&lt;260,1,0),0),0),0)</f>
        <v>0</v>
      </c>
      <c r="Y50" s="22">
        <f>IF(X50=0,0,IF('Vækstfunktion, kry kvie'!A50&lt;Forudsætninger!$E$66,Forudsætninger!$E$67+(('Vækstfunktion, kry kvie'!A50-Forudsætninger!$E$66)/7)*Forudsætninger!$E$64,Forudsætninger!$E$67))</f>
        <v>0</v>
      </c>
      <c r="Z50" s="19">
        <f t="shared" si="20"/>
        <v>819.88001343763915</v>
      </c>
      <c r="AA50" s="19">
        <f>Forudsætninger!$E$62+Forudsætninger!$C$16</f>
        <v>1575</v>
      </c>
      <c r="AB50" s="19">
        <f>IF(K50&gt;Forudsætninger!$C$48,IF(K50&gt;Forudsætninger!$C$49,IF(K50&gt;Forudsætninger!$C$50,Forudsætninger!$E$50,Forudsætninger!$E$49+Forudsætninger!$F$50*(K50-Forudsætninger!$C$49)),Forudsætninger!$E$48+Forudsætninger!$F$49*(K50-Forudsætninger!$C$48)),Forudsætninger!$E$48)+IF(K50&gt;Forudsætninger!$C$50,Forudsætninger!$G$50,IF(K50&gt;Forudsætninger!$C$49,Forudsætninger!$G$49+Forudsætninger!$H$50*(K50-Forudsætninger!$C$49),IF(K50&gt;Forudsætninger!$C$48,Forudsætninger!$G$48+Forudsætninger!$H$49*(K50-Forudsætninger!$C$48),Forudsætninger!$G$48)))*(U50-Forudsætninger!$H$48)</f>
        <v>35.126907928893303</v>
      </c>
      <c r="AC50" s="19">
        <f>IF(K50&gt;Forudsætninger!$C$52,IF(K50&gt;Forudsætninger!$C$53,IF(K50&gt;Forudsætninger!$C$54,Forudsætninger!$E$54,Forudsætninger!$E$53+Forudsætninger!$F$54*(K50-Forudsætninger!$C$53)),Forudsætninger!$E$52+Forudsætninger!$F$53*(K50-Forudsætninger!$C$52)),Forudsætninger!$E$52)+IF(K50&gt;Forudsætninger!$C$54,Forudsætninger!$G$54,IF(K50&gt;Forudsætninger!$C$53,Forudsætninger!$G$53+Forudsætninger!$H$54*(K50-Forudsætninger!$C$53),IF(K50&gt;Forudsætninger!$C$52,Forudsætninger!$G$52+Forudsætninger!$H$53*(K50-Forudsætninger!$C$52),Forudsætninger!$G$52)))*(V50-Forudsætninger!$H$52)</f>
        <v>29.967269822233259</v>
      </c>
      <c r="AD50" s="19">
        <f t="shared" si="5"/>
        <v>1655.7383447709822</v>
      </c>
      <c r="AE50" s="19">
        <f t="shared" si="6"/>
        <v>29.967269822233256</v>
      </c>
      <c r="AF50">
        <f>IF(G50&lt;=Forudsætninger!$C$97,Forudsætninger!$C$98,(IF(G50&lt;=Forudsætninger!$D$97,Forudsætninger!$D$98,IF(G50&lt;=Forudsætninger!$E$97,Forudsætninger!$E$98,IF(G50&lt;=Forudsætninger!$F$97,Forudsætninger!$F$98,IF(G50&lt;=Forudsætninger!$G$97,Forudsætninger!$G$98,IF(G50&lt;=Forudsætninger!$H$97,Forudsætninger!$H$98,IF(G50&lt;=Forudsætninger!$I$97,Forudsætninger!$I$98,Forudsætninger!$I$98))))))))</f>
        <v>2.2000000000000002</v>
      </c>
      <c r="AG50" s="1">
        <f t="shared" si="16"/>
        <v>2.2000000000000002</v>
      </c>
      <c r="AH50" s="1">
        <f t="shared" si="21"/>
        <v>105.60000000000008</v>
      </c>
      <c r="AI50" s="1">
        <f t="shared" si="7"/>
        <v>2.2000000000000015</v>
      </c>
      <c r="AJ50" s="20">
        <f>+(W50*Forudsætninger!$C$12)</f>
        <v>0</v>
      </c>
      <c r="AK50" s="20">
        <f>Forudsætninger!$C$17</f>
        <v>250</v>
      </c>
      <c r="AL50" s="20">
        <f>IF(A50&lt;92,Forudsætninger!$C$20,Forudsætninger!$C$21)</f>
        <v>4.0072859744990899</v>
      </c>
      <c r="AM50" s="20">
        <f t="shared" si="17"/>
        <v>192.34972677595636</v>
      </c>
      <c r="AN50" s="19">
        <f>IFERROR(AD50+AJ50-AA50-Z50-AK50-AM50-Forudsætninger!$E$75,-999999)</f>
        <v>-1372.7081567792291</v>
      </c>
      <c r="AO50" s="19">
        <f>IFERROR(AN50/(A50+Forudsætninger!$E$74),-999999)</f>
        <v>-28.598086599567271</v>
      </c>
      <c r="AP50" s="19">
        <f>IFERROR(((365/(A50+Forudsætninger!$E$74))*AN50)/(AI50+Forudsætninger!$E$73),-999999)</f>
        <v>-4518.7452852130082</v>
      </c>
      <c r="AQ50" s="18">
        <f t="shared" si="8"/>
        <v>48</v>
      </c>
      <c r="AR50" s="18">
        <f t="shared" si="22"/>
        <v>2837.2297402135955</v>
      </c>
      <c r="AS50" s="18">
        <f t="shared" si="0"/>
        <v>2.8</v>
      </c>
      <c r="AT50" s="50">
        <f t="shared" si="23"/>
        <v>4.3951526841076429</v>
      </c>
      <c r="AU50" s="50">
        <f t="shared" si="24"/>
        <v>0.70198381454627423</v>
      </c>
      <c r="AV50" s="2">
        <f t="shared" si="25"/>
        <v>110.9195204802545</v>
      </c>
      <c r="AW50" s="16">
        <f t="shared" si="19"/>
        <v>-24.59080062506818</v>
      </c>
      <c r="AZ50" s="16"/>
      <c r="BA50" s="2"/>
    </row>
    <row r="51" spans="1:53" x14ac:dyDescent="0.25">
      <c r="A51">
        <v>49</v>
      </c>
      <c r="B51" s="1">
        <f>ROUND((A51+Forudsætninger!$E$60)/30.4,1)</f>
        <v>2.8</v>
      </c>
      <c r="C51" s="1">
        <f>VLOOKUP((A51+Forudsætninger!$E$60),'Model tilvækst, slagteform, fe'!A:D,4,FALSE)</f>
        <v>115.61832054492199</v>
      </c>
      <c r="D51" s="3">
        <f t="shared" si="26"/>
        <v>1317.9751642901606</v>
      </c>
      <c r="E51" s="3">
        <f>(1+Forudsætninger!$E$78)*C51</f>
        <v>106.36885490132823</v>
      </c>
      <c r="F51" s="2">
        <f>MAX(F50-((D51/1000)/20),0)</f>
        <v>6.1814953441128191</v>
      </c>
      <c r="G51" s="1">
        <f t="shared" si="1"/>
        <v>112.55035024544105</v>
      </c>
      <c r="H51" s="3">
        <f t="shared" si="10"/>
        <v>1146.6383929324309</v>
      </c>
      <c r="I51" s="3">
        <f t="shared" si="2"/>
        <v>909.19082133553172</v>
      </c>
      <c r="J51" s="1">
        <f>VLOOKUP((A51+Forudsætninger!$E$60),'Model tilvækst, slagteform, fe'!G:K,4,FALSE)*(1+Forudsætninger!$E$79)</f>
        <v>49.616313093928618</v>
      </c>
      <c r="K51" s="17">
        <f t="shared" si="3"/>
        <v>55.843334166091289</v>
      </c>
      <c r="L51" s="17">
        <f t="shared" si="11"/>
        <v>591.77622995390777</v>
      </c>
      <c r="M51" s="3">
        <f>((K51-(('Model tilvækst, slagteform, fe'!$J$9/100)*'Model tilvækst, slagteform, fe'!$D$9))*1000/(A51+Forudsætninger!$E$60))</f>
        <v>418.92854154409451</v>
      </c>
      <c r="N51" s="17">
        <f t="shared" si="12"/>
        <v>126.3096267246182</v>
      </c>
      <c r="O51" s="19">
        <f>IF( A51&lt;Forudsætninger!$C$14,(G51/100)*Forudsætninger!$C$13,(Forudsætninger!$C$15/1000)*Forudsætninger!$C$13)</f>
        <v>0.73157727659536687</v>
      </c>
      <c r="P51" s="17" cm="1">
        <f t="array" ref="P51">INDEX('Model tilvækst, slagteform, fe'!$P$9:$P$375,MATCH(MIN(ABS('Model tilvækst, slagteform, fe'!$M$9:$M$375-G51)),ABS('Model tilvækst, slagteform, fe'!$M$9:$M$375-G51),0))*(1+Forudsætninger!$E$80)</f>
        <v>3.3211515270667333</v>
      </c>
      <c r="Q51" s="17">
        <f t="shared" si="13"/>
        <v>5.6121746007361786</v>
      </c>
      <c r="R51" s="17">
        <f t="shared" si="14"/>
        <v>5.5213316537018979</v>
      </c>
      <c r="S51" s="17">
        <f t="shared" si="15"/>
        <v>2.835210633109305</v>
      </c>
      <c r="T51" s="19">
        <f>(P51)*IF(N51&lt;Forudsætninger!$B$228,IF(N51&lt;Forudsætninger!$B$227,Forudsætninger!$B$225,Forudsætninger!$C$9),Forudsætninger!$C$11)+O51</f>
        <v>9.067667609532867</v>
      </c>
      <c r="U51" s="5">
        <f>Forudsætninger!$E$68+((K51-(Forudsætninger!$E$84)))*0.01</f>
        <v>5.2749970512325817</v>
      </c>
      <c r="V51" s="2">
        <f>U51+Forudsætninger!$E$69</f>
        <v>5.2749970512325817</v>
      </c>
      <c r="W51">
        <f t="shared" si="4"/>
        <v>0</v>
      </c>
      <c r="X51">
        <f>IF(A51+Forudsætninger!$E$60&gt;248,IF(A51+Forudsætninger!$E$60&lt;365,IF(K51&gt;180,IF(K51&lt;260,1,0),0),0),0)</f>
        <v>0</v>
      </c>
      <c r="Y51" s="22">
        <f>IF(X51=0,0,IF('Vækstfunktion, kry kvie'!A51&lt;Forudsætninger!$E$66,Forudsætninger!$E$67+(('Vækstfunktion, kry kvie'!A51-Forudsætninger!$E$66)/7)*Forudsætninger!$E$64,Forudsætninger!$E$67))</f>
        <v>0</v>
      </c>
      <c r="Z51" s="19">
        <f t="shared" si="20"/>
        <v>828.94768104717207</v>
      </c>
      <c r="AA51" s="19">
        <f>Forudsætninger!$E$62+Forudsætninger!$C$16</f>
        <v>1575</v>
      </c>
      <c r="AB51" s="19">
        <f>IF(K51&gt;Forudsætninger!$C$48,IF(K51&gt;Forudsætninger!$C$49,IF(K51&gt;Forudsætninger!$C$50,Forudsætninger!$E$50,Forudsætninger!$E$49+Forudsætninger!$F$50*(K51-Forudsætninger!$C$49)),Forudsætninger!$E$48+Forudsætninger!$F$49*(K51-Forudsætninger!$C$48)),Forudsætninger!$E$48)+IF(K51&gt;Forudsætninger!$C$50,Forudsætninger!$G$50,IF(K51&gt;Forudsætninger!$C$49,Forudsætninger!$G$49+Forudsætninger!$H$50*(K51-Forudsætninger!$C$49),IF(K51&gt;Forudsætninger!$C$48,Forudsætninger!$G$48+Forudsætninger!$H$49*(K51-Forudsætninger!$C$48),Forudsætninger!$G$48)))*(U51-Forudsætninger!$H$48)</f>
        <v>35.127499705123256</v>
      </c>
      <c r="AC51" s="19">
        <f>IF(K51&gt;Forudsætninger!$C$52,IF(K51&gt;Forudsætninger!$C$53,IF(K51&gt;Forudsætninger!$C$54,Forudsætninger!$E$54,Forudsætninger!$E$53+Forudsætninger!$F$54*(K51-Forudsætninger!$C$53)),Forudsætninger!$E$52+Forudsætninger!$F$53*(K51-Forudsætninger!$C$52)),Forudsætninger!$E$52)+IF(K51&gt;Forudsætninger!$C$54,Forudsætninger!$G$54,IF(K51&gt;Forudsætninger!$C$53,Forudsætninger!$G$53+Forudsætninger!$H$54*(K51-Forudsætninger!$C$53),IF(K51&gt;Forudsætninger!$C$52,Forudsætninger!$G$52+Forudsætninger!$H$53*(K51-Forudsætninger!$C$52),Forudsætninger!$G$52)))*(V51-Forudsætninger!$H$52)</f>
        <v>29.968749262808146</v>
      </c>
      <c r="AD51" s="19">
        <f t="shared" si="5"/>
        <v>1673.5548796227972</v>
      </c>
      <c r="AE51" s="19">
        <f t="shared" si="6"/>
        <v>29.968749262808146</v>
      </c>
      <c r="AF51">
        <f>IF(G51&lt;=Forudsætninger!$C$97,Forudsætninger!$C$98,(IF(G51&lt;=Forudsætninger!$D$97,Forudsætninger!$D$98,IF(G51&lt;=Forudsætninger!$E$97,Forudsætninger!$E$98,IF(G51&lt;=Forudsætninger!$F$97,Forudsætninger!$F$98,IF(G51&lt;=Forudsætninger!$G$97,Forudsætninger!$G$98,IF(G51&lt;=Forudsætninger!$H$97,Forudsætninger!$H$98,IF(G51&lt;=Forudsætninger!$I$97,Forudsætninger!$I$98,Forudsætninger!$I$98))))))))</f>
        <v>2.2000000000000002</v>
      </c>
      <c r="AG51" s="1">
        <f t="shared" si="16"/>
        <v>2.2000000000000002</v>
      </c>
      <c r="AH51" s="1">
        <f t="shared" si="21"/>
        <v>107.80000000000008</v>
      </c>
      <c r="AI51" s="1">
        <f t="shared" si="7"/>
        <v>2.2000000000000015</v>
      </c>
      <c r="AJ51" s="20">
        <f>+(W51*Forudsætninger!$C$12)</f>
        <v>0</v>
      </c>
      <c r="AK51" s="20">
        <f>Forudsætninger!$C$17</f>
        <v>250</v>
      </c>
      <c r="AL51" s="20">
        <f>IF(A51&lt;92,Forudsætninger!$C$20,Forudsætninger!$C$21)</f>
        <v>4.0072859744990899</v>
      </c>
      <c r="AM51" s="20">
        <f t="shared" si="17"/>
        <v>196.35701275045545</v>
      </c>
      <c r="AN51" s="19">
        <f>IFERROR(AD51+AJ51-AA51-Z51-AK51-AM51-Forudsætninger!$E$75,-999999)</f>
        <v>-1367.9665755114461</v>
      </c>
      <c r="AO51" s="19">
        <f>IFERROR(AN51/(A51+Forudsætninger!$E$74),-999999)</f>
        <v>-27.91768521451931</v>
      </c>
      <c r="AP51" s="19">
        <f>IFERROR(((365/(A51+Forudsætninger!$E$74))*AN51)/(AI51+Forudsætninger!$E$73),-999999)</f>
        <v>-4411.2359754543468</v>
      </c>
      <c r="AQ51" s="18">
        <f t="shared" si="8"/>
        <v>49</v>
      </c>
      <c r="AR51" s="18">
        <f t="shared" si="22"/>
        <v>2850.3046937976274</v>
      </c>
      <c r="AS51" s="18">
        <f t="shared" si="0"/>
        <v>2.8</v>
      </c>
      <c r="AT51" s="50">
        <f t="shared" si="23"/>
        <v>4.7415812677829763</v>
      </c>
      <c r="AU51" s="50">
        <f t="shared" si="24"/>
        <v>0.68040138504796133</v>
      </c>
      <c r="AV51" s="2">
        <f t="shared" si="25"/>
        <v>107.5093097586614</v>
      </c>
      <c r="AW51" s="16">
        <f t="shared" si="19"/>
        <v>-23.910399240020219</v>
      </c>
      <c r="AZ51" s="16"/>
      <c r="BA51" s="2"/>
    </row>
    <row r="52" spans="1:53" x14ac:dyDescent="0.25">
      <c r="A52">
        <v>50</v>
      </c>
      <c r="B52" s="1">
        <f>ROUND((A52+Forudsætninger!$E$60)/30.4,1)</f>
        <v>2.8</v>
      </c>
      <c r="C52" s="1">
        <f>VLOOKUP((A52+Forudsætninger!$E$60),'Model tilvækst, slagteform, fe'!A:D,4,FALSE)</f>
        <v>116.94380665783916</v>
      </c>
      <c r="D52" s="3">
        <f t="shared" si="26"/>
        <v>1325.4861129171759</v>
      </c>
      <c r="E52" s="3">
        <f>(1+Forudsætninger!$E$78)*C52</f>
        <v>107.58830212521204</v>
      </c>
      <c r="F52" s="2">
        <f t="shared" ref="F52:F99" si="28">MAX(F51-((D52/1000)/20),0)</f>
        <v>6.1152210384669603</v>
      </c>
      <c r="G52" s="1">
        <f t="shared" si="1"/>
        <v>113.70352316367899</v>
      </c>
      <c r="H52" s="3">
        <f t="shared" si="10"/>
        <v>1153.1729182379422</v>
      </c>
      <c r="I52" s="3">
        <f t="shared" si="2"/>
        <v>914.07046327358</v>
      </c>
      <c r="J52" s="1">
        <f>VLOOKUP((A52+Forudsætninger!$E$60),'Model tilvækst, slagteform, fe'!G:K,4,FALSE)*(1+Forudsætninger!$E$79)</f>
        <v>49.636730172706216</v>
      </c>
      <c r="K52" s="17">
        <f t="shared" si="3"/>
        <v>56.438710989615856</v>
      </c>
      <c r="L52" s="17">
        <f t="shared" si="11"/>
        <v>595.3768235245675</v>
      </c>
      <c r="M52" s="3">
        <f>((K52-(('Model tilvækst, slagteform, fe'!$J$9/100)*'Model tilvækst, slagteform, fe'!$D$9))*1000/(A52+Forudsætninger!$E$60))</f>
        <v>420.98026575316982</v>
      </c>
      <c r="N52" s="17">
        <f t="shared" si="12"/>
        <v>129.66390180142633</v>
      </c>
      <c r="O52" s="19">
        <f>IF( A52&lt;Forudsætninger!$C$14,(G52/100)*Forudsætninger!$C$13,(Forudsætninger!$C$15/1000)*Forudsætninger!$C$13)</f>
        <v>0.7390729005639135</v>
      </c>
      <c r="P52" s="17" cm="1">
        <f t="array" ref="P52">INDEX('Model tilvækst, slagteform, fe'!$P$9:$P$375,MATCH(MIN(ABS('Model tilvækst, slagteform, fe'!$M$9:$M$375-G52)),ABS('Model tilvækst, slagteform, fe'!$M$9:$M$375-G52),0))*(1+Forudsætninger!$E$80)</f>
        <v>3.3542750768081366</v>
      </c>
      <c r="Q52" s="17">
        <f t="shared" si="13"/>
        <v>5.6338690796715687</v>
      </c>
      <c r="R52" s="17">
        <f t="shared" si="14"/>
        <v>5.5241862067959433</v>
      </c>
      <c r="S52" s="17">
        <f t="shared" si="15"/>
        <v>2.8370657845579705</v>
      </c>
      <c r="T52" s="19">
        <f>(P52)*IF(N52&lt;Forudsætninger!$B$228,IF(N52&lt;Forudsætninger!$B$227,Forudsætninger!$B$225,Forudsætninger!$C$9),Forudsætninger!$C$11)+O52</f>
        <v>9.1583033433523351</v>
      </c>
      <c r="U52" s="5">
        <f>Forudsætninger!$E$68+((K52-(Forudsætninger!$E$84)))*0.01</f>
        <v>5.2809508194678276</v>
      </c>
      <c r="V52" s="2">
        <f>U52+Forudsætninger!$E$69</f>
        <v>5.2809508194678276</v>
      </c>
      <c r="W52">
        <f t="shared" si="4"/>
        <v>0</v>
      </c>
      <c r="X52">
        <f>IF(A52+Forudsætninger!$E$60&gt;248,IF(A52+Forudsætninger!$E$60&lt;365,IF(K52&gt;180,IF(K52&lt;260,1,0),0),0),0)</f>
        <v>0</v>
      </c>
      <c r="Y52" s="22">
        <f>IF(X52=0,0,IF('Vækstfunktion, kry kvie'!A52&lt;Forudsætninger!$E$66,Forudsætninger!$E$67+(('Vækstfunktion, kry kvie'!A52-Forudsætninger!$E$66)/7)*Forudsætninger!$E$64,Forudsætninger!$E$67))</f>
        <v>0</v>
      </c>
      <c r="Z52" s="19">
        <f t="shared" si="20"/>
        <v>838.10598439052444</v>
      </c>
      <c r="AA52" s="19">
        <f>Forudsætninger!$E$62+Forudsætninger!$C$16</f>
        <v>1575</v>
      </c>
      <c r="AB52" s="19">
        <f>IF(K52&gt;Forudsætninger!$C$48,IF(K52&gt;Forudsætninger!$C$49,IF(K52&gt;Forudsætninger!$C$50,Forudsætninger!$E$50,Forudsætninger!$E$49+Forudsætninger!$F$50*(K52-Forudsætninger!$C$49)),Forudsætninger!$E$48+Forudsætninger!$F$49*(K52-Forudsætninger!$C$48)),Forudsætninger!$E$48)+IF(K52&gt;Forudsætninger!$C$50,Forudsætninger!$G$50,IF(K52&gt;Forudsætninger!$C$49,Forudsætninger!$G$49+Forudsætninger!$H$50*(K52-Forudsætninger!$C$49),IF(K52&gt;Forudsætninger!$C$48,Forudsætninger!$G$48+Forudsætninger!$H$49*(K52-Forudsætninger!$C$48),Forudsætninger!$G$48)))*(U52-Forudsætninger!$H$48)</f>
        <v>35.128095081946782</v>
      </c>
      <c r="AC52" s="19">
        <f>IF(K52&gt;Forudsætninger!$C$52,IF(K52&gt;Forudsætninger!$C$53,IF(K52&gt;Forudsætninger!$C$54,Forudsætninger!$E$54,Forudsætninger!$E$53+Forudsætninger!$F$54*(K52-Forudsætninger!$C$53)),Forudsætninger!$E$52+Forudsætninger!$F$53*(K52-Forudsætninger!$C$52)),Forudsætninger!$E$52)+IF(K52&gt;Forudsætninger!$C$54,Forudsætninger!$G$54,IF(K52&gt;Forudsætninger!$C$53,Forudsætninger!$G$53+Forudsætninger!$H$54*(K52-Forudsætninger!$C$53),IF(K52&gt;Forudsætninger!$C$52,Forudsætninger!$G$52+Forudsætninger!$H$53*(K52-Forudsætninger!$C$52),Forudsætninger!$G$52)))*(V52-Forudsætninger!$H$52)</f>
        <v>29.970237704866957</v>
      </c>
      <c r="AD52" s="19">
        <f t="shared" si="5"/>
        <v>1691.4815841150742</v>
      </c>
      <c r="AE52" s="19">
        <f t="shared" si="6"/>
        <v>29.970237704866957</v>
      </c>
      <c r="AF52">
        <f>IF(G52&lt;=Forudsætninger!$C$97,Forudsætninger!$C$98,(IF(G52&lt;=Forudsætninger!$D$97,Forudsætninger!$D$98,IF(G52&lt;=Forudsætninger!$E$97,Forudsætninger!$E$98,IF(G52&lt;=Forudsætninger!$F$97,Forudsætninger!$F$98,IF(G52&lt;=Forudsætninger!$G$97,Forudsætninger!$G$98,IF(G52&lt;=Forudsætninger!$H$97,Forudsætninger!$H$98,IF(G52&lt;=Forudsætninger!$I$97,Forudsætninger!$I$98,Forudsætninger!$I$98))))))))</f>
        <v>2.2000000000000002</v>
      </c>
      <c r="AG52" s="1">
        <f t="shared" si="16"/>
        <v>2.2000000000000002</v>
      </c>
      <c r="AH52" s="1">
        <f t="shared" si="21"/>
        <v>110.00000000000009</v>
      </c>
      <c r="AI52" s="1">
        <f t="shared" si="7"/>
        <v>2.2000000000000015</v>
      </c>
      <c r="AJ52" s="20">
        <f>+(W52*Forudsætninger!$C$12)</f>
        <v>0</v>
      </c>
      <c r="AK52" s="20">
        <f>Forudsætninger!$C$17</f>
        <v>250</v>
      </c>
      <c r="AL52" s="20">
        <f>IF(A52&lt;92,Forudsætninger!$C$20,Forudsætninger!$C$21)</f>
        <v>4.0072859744990899</v>
      </c>
      <c r="AM52" s="20">
        <f t="shared" si="17"/>
        <v>200.36429872495455</v>
      </c>
      <c r="AN52" s="19">
        <f>IFERROR(AD52+AJ52-AA52-Z52-AK52-AM52-Forudsætninger!$E$75,-999999)</f>
        <v>-1363.2054603370204</v>
      </c>
      <c r="AO52" s="19">
        <f>IFERROR(AN52/(A52+Forudsætninger!$E$74),-999999)</f>
        <v>-27.264109206740407</v>
      </c>
      <c r="AP52" s="19">
        <f>IFERROR(((365/(A52+Forudsætninger!$E$74))*AN52)/(AI52+Forudsætninger!$E$73),-999999)</f>
        <v>-4307.9653075585466</v>
      </c>
      <c r="AQ52" s="18">
        <f t="shared" si="8"/>
        <v>50</v>
      </c>
      <c r="AR52" s="18">
        <f t="shared" si="22"/>
        <v>2863.4702831154791</v>
      </c>
      <c r="AS52" s="18">
        <f t="shared" si="0"/>
        <v>2.8</v>
      </c>
      <c r="AT52" s="50">
        <f t="shared" si="23"/>
        <v>4.7611151744256404</v>
      </c>
      <c r="AU52" s="50">
        <f t="shared" si="24"/>
        <v>0.65357600777890212</v>
      </c>
      <c r="AV52" s="2">
        <f t="shared" si="25"/>
        <v>103.27066789580022</v>
      </c>
      <c r="AW52" s="16">
        <f t="shared" si="19"/>
        <v>-23.256823232241317</v>
      </c>
      <c r="AZ52" s="16"/>
      <c r="BA52" s="2"/>
    </row>
    <row r="53" spans="1:53" x14ac:dyDescent="0.25">
      <c r="A53">
        <v>51</v>
      </c>
      <c r="B53" s="1">
        <f>ROUND((A53+Forudsætninger!$E$60)/30.4,1)</f>
        <v>2.9</v>
      </c>
      <c r="C53" s="1">
        <f>VLOOKUP((A53+Forudsætninger!$E$60),'Model tilvækst, slagteform, fe'!A:D,4,FALSE)</f>
        <v>118.27668371614746</v>
      </c>
      <c r="D53" s="3">
        <f t="shared" si="26"/>
        <v>1332.8770583082985</v>
      </c>
      <c r="E53" s="3">
        <f>(1+Forudsætninger!$E$78)*C53</f>
        <v>108.81454901885567</v>
      </c>
      <c r="F53" s="2">
        <f t="shared" si="28"/>
        <v>6.0485771855515456</v>
      </c>
      <c r="G53" s="1">
        <f t="shared" si="1"/>
        <v>114.86312620440722</v>
      </c>
      <c r="H53" s="3">
        <f t="shared" si="10"/>
        <v>1159.6030407282285</v>
      </c>
      <c r="I53" s="3">
        <f t="shared" si="2"/>
        <v>918.88482753739652</v>
      </c>
      <c r="J53" s="1">
        <f>VLOOKUP((A53+Forudsætninger!$E$60),'Model tilvækst, slagteform, fe'!G:K,4,FALSE)*(1+Forudsætninger!$E$79)</f>
        <v>49.657051117748772</v>
      </c>
      <c r="K53" s="17">
        <f t="shared" si="3"/>
        <v>57.037641294766779</v>
      </c>
      <c r="L53" s="17">
        <f t="shared" si="11"/>
        <v>598.93030515092255</v>
      </c>
      <c r="M53" s="3">
        <f>((K53-(('Model tilvækst, slagteform, fe'!$J$9/100)*'Model tilvækst, slagteform, fe'!$D$9))*1000/(A53+Forudsætninger!$E$60))</f>
        <v>423.02566850486801</v>
      </c>
      <c r="N53" s="17">
        <f t="shared" si="12"/>
        <v>133.05112040968132</v>
      </c>
      <c r="O53" s="19">
        <f>IF( A53&lt;Forudsætninger!$C$14,(G53/100)*Forudsætninger!$C$13,(Forudsætninger!$C$15/1000)*Forudsætninger!$C$13)</f>
        <v>0.74661032032864694</v>
      </c>
      <c r="P53" s="17" cm="1">
        <f t="array" ref="P53">INDEX('Model tilvækst, slagteform, fe'!$P$9:$P$375,MATCH(MIN(ABS('Model tilvækst, slagteform, fe'!$M$9:$M$375-G53)),ABS('Model tilvækst, slagteform, fe'!$M$9:$M$375-G53),0))*(1+Forudsætninger!$E$80)</f>
        <v>3.3872186082549764</v>
      </c>
      <c r="Q53" s="17">
        <f t="shared" si="13"/>
        <v>5.6554470179989336</v>
      </c>
      <c r="R53" s="17">
        <f t="shared" si="14"/>
        <v>5.527452219226781</v>
      </c>
      <c r="S53" s="17">
        <f t="shared" si="15"/>
        <v>2.8391430787041387</v>
      </c>
      <c r="T53" s="19">
        <f>(P53)*IF(N53&lt;Forudsætninger!$B$228,IF(N53&lt;Forudsætninger!$B$227,Forudsætninger!$B$225,Forudsætninger!$C$9),Forudsætninger!$C$11)+O53</f>
        <v>9.2485290270486384</v>
      </c>
      <c r="U53" s="5">
        <f>Forudsætninger!$E$68+((K53-(Forudsætninger!$E$84)))*0.01</f>
        <v>5.2869401225193373</v>
      </c>
      <c r="V53" s="2">
        <f>U53+Forudsætninger!$E$69</f>
        <v>5.2869401225193373</v>
      </c>
      <c r="W53">
        <f t="shared" si="4"/>
        <v>0</v>
      </c>
      <c r="X53">
        <f>IF(A53+Forudsætninger!$E$60&gt;248,IF(A53+Forudsætninger!$E$60&lt;365,IF(K53&gt;180,IF(K53&lt;260,1,0),0),0),0)</f>
        <v>0</v>
      </c>
      <c r="Y53" s="22">
        <f>IF(X53=0,0,IF('Vækstfunktion, kry kvie'!A53&lt;Forudsætninger!$E$66,Forudsætninger!$E$67+(('Vækstfunktion, kry kvie'!A53-Forudsætninger!$E$66)/7)*Forudsætninger!$E$64,Forudsætninger!$E$67))</f>
        <v>0</v>
      </c>
      <c r="Z53" s="19">
        <f t="shared" si="20"/>
        <v>847.35451341757312</v>
      </c>
      <c r="AA53" s="19">
        <f>Forudsætninger!$E$62+Forudsætninger!$C$16</f>
        <v>1575</v>
      </c>
      <c r="AB53" s="19">
        <f>IF(K53&gt;Forudsætninger!$C$48,IF(K53&gt;Forudsætninger!$C$49,IF(K53&gt;Forudsætninger!$C$50,Forudsætninger!$E$50,Forudsætninger!$E$49+Forudsætninger!$F$50*(K53-Forudsætninger!$C$49)),Forudsætninger!$E$48+Forudsætninger!$F$49*(K53-Forudsætninger!$C$48)),Forudsætninger!$E$48)+IF(K53&gt;Forudsætninger!$C$50,Forudsætninger!$G$50,IF(K53&gt;Forudsætninger!$C$49,Forudsætninger!$G$49+Forudsætninger!$H$50*(K53-Forudsætninger!$C$49),IF(K53&gt;Forudsætninger!$C$48,Forudsætninger!$G$48+Forudsætninger!$H$49*(K53-Forudsætninger!$C$48),Forudsætninger!$G$48)))*(U53-Forudsætninger!$H$48)</f>
        <v>35.128694012251934</v>
      </c>
      <c r="AC53" s="19">
        <f>IF(K53&gt;Forudsætninger!$C$52,IF(K53&gt;Forudsætninger!$C$53,IF(K53&gt;Forudsætninger!$C$54,Forudsætninger!$E$54,Forudsætninger!$E$53+Forudsætninger!$F$54*(K53-Forudsætninger!$C$53)),Forudsætninger!$E$52+Forudsætninger!$F$53*(K53-Forudsætninger!$C$52)),Forudsætninger!$E$52)+IF(K53&gt;Forudsætninger!$C$54,Forudsætninger!$G$54,IF(K53&gt;Forudsætninger!$C$53,Forudsætninger!$G$53+Forudsætninger!$H$54*(K53-Forudsætninger!$C$53),IF(K53&gt;Forudsætninger!$C$52,Forudsætninger!$G$52+Forudsætninger!$H$53*(K53-Forudsætninger!$C$52),Forudsætninger!$G$52)))*(V53-Forudsætninger!$H$52)</f>
        <v>29.971735030629834</v>
      </c>
      <c r="AD53" s="19">
        <f t="shared" si="5"/>
        <v>1709.5170716588602</v>
      </c>
      <c r="AE53" s="19">
        <f t="shared" si="6"/>
        <v>29.971735030629834</v>
      </c>
      <c r="AF53">
        <f>IF(G53&lt;=Forudsætninger!$C$97,Forudsætninger!$C$98,(IF(G53&lt;=Forudsætninger!$D$97,Forudsætninger!$D$98,IF(G53&lt;=Forudsætninger!$E$97,Forudsætninger!$E$98,IF(G53&lt;=Forudsætninger!$F$97,Forudsætninger!$F$98,IF(G53&lt;=Forudsætninger!$G$97,Forudsætninger!$G$98,IF(G53&lt;=Forudsætninger!$H$97,Forudsætninger!$H$98,IF(G53&lt;=Forudsætninger!$I$97,Forudsætninger!$I$98,Forudsætninger!$I$98))))))))</f>
        <v>2.2000000000000002</v>
      </c>
      <c r="AG53" s="1">
        <f t="shared" si="16"/>
        <v>2.2000000000000002</v>
      </c>
      <c r="AH53" s="1">
        <f t="shared" si="21"/>
        <v>112.20000000000009</v>
      </c>
      <c r="AI53" s="1">
        <f t="shared" si="7"/>
        <v>2.2000000000000015</v>
      </c>
      <c r="AJ53" s="20">
        <f>+(W53*Forudsætninger!$C$12)</f>
        <v>0</v>
      </c>
      <c r="AK53" s="20">
        <f>Forudsætninger!$C$17</f>
        <v>250</v>
      </c>
      <c r="AL53" s="20">
        <f>IF(A53&lt;92,Forudsætninger!$C$20,Forudsætninger!$C$21)</f>
        <v>4.0072859744990899</v>
      </c>
      <c r="AM53" s="20">
        <f t="shared" si="17"/>
        <v>204.37158469945365</v>
      </c>
      <c r="AN53" s="19">
        <f>IFERROR(AD53+AJ53-AA53-Z53-AK53-AM53-Forudsætninger!$E$75,-999999)</f>
        <v>-1358.4257877947823</v>
      </c>
      <c r="AO53" s="19">
        <f>IFERROR(AN53/(A53+Forudsætninger!$E$74),-999999)</f>
        <v>-26.635799760682005</v>
      </c>
      <c r="AP53" s="19">
        <f>IFERROR(((365/(A53+Forudsætninger!$E$74))*AN53)/(AI53+Forudsætninger!$E$73),-999999)</f>
        <v>-4208.6869751726954</v>
      </c>
      <c r="AQ53" s="18">
        <f t="shared" si="8"/>
        <v>51</v>
      </c>
      <c r="AR53" s="18">
        <f t="shared" si="22"/>
        <v>2876.7260981170266</v>
      </c>
      <c r="AS53" s="18">
        <f t="shared" si="0"/>
        <v>2.9</v>
      </c>
      <c r="AT53" s="50">
        <f t="shared" si="23"/>
        <v>4.7796725422381314</v>
      </c>
      <c r="AU53" s="50">
        <f t="shared" si="24"/>
        <v>0.62830944605840244</v>
      </c>
      <c r="AV53" s="2">
        <f t="shared" si="25"/>
        <v>99.278332385851172</v>
      </c>
      <c r="AW53" s="16">
        <f t="shared" si="19"/>
        <v>-22.628513786182914</v>
      </c>
      <c r="AZ53" s="16"/>
      <c r="BA53" s="2"/>
    </row>
    <row r="54" spans="1:53" x14ac:dyDescent="0.25">
      <c r="A54">
        <v>52</v>
      </c>
      <c r="B54" s="1">
        <f>ROUND((A54+Forudsætninger!$E$60)/30.4,1)</f>
        <v>2.9</v>
      </c>
      <c r="C54" s="1">
        <f>VLOOKUP((A54+Forudsætninger!$E$60),'Model tilvækst, slagteform, fe'!A:D,4,FALSE)</f>
        <v>119.61683230163179</v>
      </c>
      <c r="D54" s="3">
        <f t="shared" si="26"/>
        <v>1340.1485854843286</v>
      </c>
      <c r="E54" s="3">
        <f>(1+Forudsætninger!$E$78)*C54</f>
        <v>110.04748571750125</v>
      </c>
      <c r="F54" s="2">
        <f t="shared" si="28"/>
        <v>5.9815697562773291</v>
      </c>
      <c r="G54" s="1">
        <f t="shared" si="1"/>
        <v>116.02905547377857</v>
      </c>
      <c r="H54" s="3">
        <f t="shared" si="10"/>
        <v>1165.9292693713469</v>
      </c>
      <c r="I54" s="3">
        <f t="shared" si="2"/>
        <v>923.63568218804949</v>
      </c>
      <c r="J54" s="1">
        <f>VLOOKUP((A54+Forudsætninger!$E$60),'Model tilvækst, slagteform, fe'!G:K,4,FALSE)*(1+Forudsætninger!$E$79)</f>
        <v>49.67727956870349</v>
      </c>
      <c r="K54" s="17">
        <f t="shared" si="3"/>
        <v>57.640078268635044</v>
      </c>
      <c r="L54" s="17">
        <f t="shared" si="11"/>
        <v>602.43697386826511</v>
      </c>
      <c r="M54" s="3">
        <f>((K54-(('Model tilvækst, slagteform, fe'!$J$9/100)*'Model tilvækst, slagteform, fe'!$D$9))*1000/(A54+Forudsætninger!$E$60))</f>
        <v>425.06443333854298</v>
      </c>
      <c r="N54" s="17">
        <f t="shared" si="12"/>
        <v>136.47110381424653</v>
      </c>
      <c r="O54" s="19">
        <f>IF( A54&lt;Forudsætninger!$C$14,(G54/100)*Forudsætninger!$C$13,(Forudsætninger!$C$15/1000)*Forudsætninger!$C$13)</f>
        <v>0.7541888605795608</v>
      </c>
      <c r="P54" s="17" cm="1">
        <f t="array" ref="P54">INDEX('Model tilvækst, slagteform, fe'!$P$9:$P$375,MATCH(MIN(ABS('Model tilvækst, slagteform, fe'!$M$9:$M$375-G54)),ABS('Model tilvækst, slagteform, fe'!$M$9:$M$375-G54),0))*(1+Forudsætninger!$E$80)</f>
        <v>3.4199834045652029</v>
      </c>
      <c r="Q54" s="17">
        <f t="shared" si="13"/>
        <v>5.6769148523627146</v>
      </c>
      <c r="R54" s="17">
        <f t="shared" si="14"/>
        <v>5.5311015663623975</v>
      </c>
      <c r="S54" s="17">
        <f t="shared" si="15"/>
        <v>2.8414280161880936</v>
      </c>
      <c r="T54" s="19">
        <f>(P54)*IF(N54&lt;Forudsætninger!$B$228,IF(N54&lt;Forudsætninger!$B$227,Forudsætninger!$B$225,Forudsætninger!$C$9),Forudsætninger!$C$11)+O54</f>
        <v>9.3383472060382182</v>
      </c>
      <c r="U54" s="5">
        <f>Forudsætninger!$E$68+((K54-(Forudsætninger!$E$84)))*0.01</f>
        <v>5.2929644922580197</v>
      </c>
      <c r="V54" s="2">
        <f>U54+Forudsætninger!$E$69</f>
        <v>5.2929644922580197</v>
      </c>
      <c r="W54">
        <f t="shared" si="4"/>
        <v>0</v>
      </c>
      <c r="X54">
        <f>IF(A54+Forudsætninger!$E$60&gt;248,IF(A54+Forudsætninger!$E$60&lt;365,IF(K54&gt;180,IF(K54&lt;260,1,0),0),0),0)</f>
        <v>0</v>
      </c>
      <c r="Y54" s="22">
        <f>IF(X54=0,0,IF('Vækstfunktion, kry kvie'!A54&lt;Forudsætninger!$E$66,Forudsætninger!$E$67+(('Vækstfunktion, kry kvie'!A54-Forudsætninger!$E$66)/7)*Forudsætninger!$E$64,Forudsætninger!$E$67))</f>
        <v>0</v>
      </c>
      <c r="Z54" s="19">
        <f t="shared" si="20"/>
        <v>856.6928606236113</v>
      </c>
      <c r="AA54" s="19">
        <f>Forudsætninger!$E$62+Forudsætninger!$C$16</f>
        <v>1575</v>
      </c>
      <c r="AB54" s="19">
        <f>IF(K54&gt;Forudsætninger!$C$48,IF(K54&gt;Forudsætninger!$C$49,IF(K54&gt;Forudsætninger!$C$50,Forudsætninger!$E$50,Forudsætninger!$E$49+Forudsætninger!$F$50*(K54-Forudsætninger!$C$49)),Forudsætninger!$E$48+Forudsætninger!$F$49*(K54-Forudsætninger!$C$48)),Forudsætninger!$E$48)+IF(K54&gt;Forudsætninger!$C$50,Forudsætninger!$G$50,IF(K54&gt;Forudsætninger!$C$49,Forudsætninger!$G$49+Forudsætninger!$H$50*(K54-Forudsætninger!$C$49),IF(K54&gt;Forudsætninger!$C$48,Forudsætninger!$G$48+Forudsætninger!$H$49*(K54-Forudsætninger!$C$48),Forudsætninger!$G$48)))*(U54-Forudsætninger!$H$48)</f>
        <v>35.129296449225805</v>
      </c>
      <c r="AC54" s="19">
        <f>IF(K54&gt;Forudsætninger!$C$52,IF(K54&gt;Forudsætninger!$C$53,IF(K54&gt;Forudsætninger!$C$54,Forudsætninger!$E$54,Forudsætninger!$E$53+Forudsætninger!$F$54*(K54-Forudsætninger!$C$53)),Forudsætninger!$E$52+Forudsætninger!$F$53*(K54-Forudsætninger!$C$52)),Forudsætninger!$E$52)+IF(K54&gt;Forudsætninger!$C$54,Forudsætninger!$G$54,IF(K54&gt;Forudsætninger!$C$53,Forudsætninger!$G$53+Forudsætninger!$H$54*(K54-Forudsætninger!$C$53),IF(K54&gt;Forudsætninger!$C$52,Forudsætninger!$G$52+Forudsætninger!$H$53*(K54-Forudsætninger!$C$52),Forudsætninger!$G$52)))*(V54-Forudsætninger!$H$52)</f>
        <v>29.973241123064504</v>
      </c>
      <c r="AD54" s="19">
        <f t="shared" si="5"/>
        <v>1727.6599642981087</v>
      </c>
      <c r="AE54" s="19">
        <f t="shared" si="6"/>
        <v>29.973241123064504</v>
      </c>
      <c r="AF54">
        <f>IF(G54&lt;=Forudsætninger!$C$97,Forudsætninger!$C$98,(IF(G54&lt;=Forudsætninger!$D$97,Forudsætninger!$D$98,IF(G54&lt;=Forudsætninger!$E$97,Forudsætninger!$E$98,IF(G54&lt;=Forudsætninger!$F$97,Forudsætninger!$F$98,IF(G54&lt;=Forudsætninger!$G$97,Forudsætninger!$G$98,IF(G54&lt;=Forudsætninger!$H$97,Forudsætninger!$H$98,IF(G54&lt;=Forudsætninger!$I$97,Forudsætninger!$I$98,Forudsætninger!$I$98))))))))</f>
        <v>2.2000000000000002</v>
      </c>
      <c r="AG54" s="1">
        <f t="shared" si="16"/>
        <v>2.2000000000000002</v>
      </c>
      <c r="AH54" s="1">
        <f t="shared" si="21"/>
        <v>114.40000000000009</v>
      </c>
      <c r="AI54" s="1">
        <f t="shared" si="7"/>
        <v>2.200000000000002</v>
      </c>
      <c r="AJ54" s="20">
        <f>+(W54*Forudsætninger!$C$12)</f>
        <v>0</v>
      </c>
      <c r="AK54" s="20">
        <f>Forudsætninger!$C$17</f>
        <v>250</v>
      </c>
      <c r="AL54" s="20">
        <f>IF(A54&lt;92,Forudsætninger!$C$20,Forudsætninger!$C$21)</f>
        <v>4.0072859744990899</v>
      </c>
      <c r="AM54" s="20">
        <f t="shared" si="17"/>
        <v>208.37887067395275</v>
      </c>
      <c r="AN54" s="19">
        <f>IFERROR(AD54+AJ54-AA54-Z54-AK54-AM54-Forudsætninger!$E$75,-999999)</f>
        <v>-1353.628528336071</v>
      </c>
      <c r="AO54" s="19">
        <f>IFERROR(AN54/(A54+Forudsætninger!$E$74),-999999)</f>
        <v>-26.031317852616748</v>
      </c>
      <c r="AP54" s="19">
        <f>IFERROR(((365/(A54+Forudsætninger!$E$74))*AN54)/(AI54+Forudsætninger!$E$73),-999999)</f>
        <v>-4113.1736000887904</v>
      </c>
      <c r="AQ54" s="18">
        <f t="shared" si="8"/>
        <v>52</v>
      </c>
      <c r="AR54" s="18">
        <f t="shared" si="22"/>
        <v>2890.0717312975644</v>
      </c>
      <c r="AS54" s="18">
        <f t="shared" si="0"/>
        <v>2.9</v>
      </c>
      <c r="AT54" s="50">
        <f t="shared" si="23"/>
        <v>4.7972594587113235</v>
      </c>
      <c r="AU54" s="50">
        <f t="shared" si="24"/>
        <v>0.60448190806525659</v>
      </c>
      <c r="AV54" s="2">
        <f t="shared" si="25"/>
        <v>95.513375083904975</v>
      </c>
      <c r="AW54" s="16">
        <f t="shared" si="19"/>
        <v>-22.024031878117661</v>
      </c>
      <c r="AZ54" s="16"/>
      <c r="BA54" s="2"/>
    </row>
    <row r="55" spans="1:53" x14ac:dyDescent="0.25">
      <c r="A55">
        <v>53</v>
      </c>
      <c r="B55" s="1">
        <f>ROUND((A55+Forudsætninger!$E$60)/30.4,1)</f>
        <v>2.9</v>
      </c>
      <c r="C55" s="1">
        <f>VLOOKUP((A55+Forudsætninger!$E$60),'Model tilvækst, slagteform, fe'!A:D,4,FALSE)</f>
        <v>120.96413358109746</v>
      </c>
      <c r="D55" s="3">
        <f t="shared" si="26"/>
        <v>1347.3012794656684</v>
      </c>
      <c r="E55" s="3">
        <f>(1+Forudsætninger!$E$78)*C55</f>
        <v>111.28700289460967</v>
      </c>
      <c r="F55" s="2">
        <f t="shared" si="28"/>
        <v>5.9142046923040459</v>
      </c>
      <c r="G55" s="1">
        <f t="shared" si="1"/>
        <v>117.20120758691371</v>
      </c>
      <c r="H55" s="3">
        <f t="shared" si="10"/>
        <v>1172.152113135141</v>
      </c>
      <c r="I55" s="3">
        <f t="shared" si="2"/>
        <v>928.32467145120211</v>
      </c>
      <c r="J55" s="1">
        <f>VLOOKUP((A55+Forudsætninger!$E$60),'Model tilvækst, slagteform, fe'!G:K,4,FALSE)*(1+Forudsætninger!$E$79)</f>
        <v>49.697419165217582</v>
      </c>
      <c r="K55" s="17">
        <f t="shared" si="3"/>
        <v>58.245975401165296</v>
      </c>
      <c r="L55" s="17">
        <f t="shared" si="11"/>
        <v>605.89713253025229</v>
      </c>
      <c r="M55" s="3">
        <f>((K55-(('Model tilvækst, slagteform, fe'!$J$9/100)*'Model tilvækst, slagteform, fe'!$D$9))*1000/(A55+Forudsætninger!$E$60))</f>
        <v>427.09626141934882</v>
      </c>
      <c r="N55" s="17">
        <f t="shared" si="12"/>
        <v>139.92367456314329</v>
      </c>
      <c r="O55" s="19">
        <f>IF( A55&lt;Forudsætninger!$C$14,(G55/100)*Forudsætninger!$C$13,(Forudsætninger!$C$15/1000)*Forudsætninger!$C$13)</f>
        <v>0.76180784931493906</v>
      </c>
      <c r="P55" s="17" cm="1">
        <f t="array" ref="P55">INDEX('Model tilvækst, slagteform, fe'!$P$9:$P$375,MATCH(MIN(ABS('Model tilvækst, slagteform, fe'!$M$9:$M$375-G55)),ABS('Model tilvækst, slagteform, fe'!$M$9:$M$375-G55),0))*(1+Forudsætninger!$E$80)</f>
        <v>3.4525707488967678</v>
      </c>
      <c r="Q55" s="17">
        <f t="shared" si="13"/>
        <v>5.6982787399548904</v>
      </c>
      <c r="R55" s="17">
        <f t="shared" si="14"/>
        <v>5.5351084876516428</v>
      </c>
      <c r="S55" s="17">
        <f t="shared" si="15"/>
        <v>2.8439073231275627</v>
      </c>
      <c r="T55" s="19">
        <f>(P55)*IF(N55&lt;Forudsætninger!$B$228,IF(N55&lt;Forudsætninger!$B$227,Forudsætninger!$B$225,Forudsætninger!$C$9),Forudsætninger!$C$11)+O55</f>
        <v>8.8408234017333758</v>
      </c>
      <c r="U55" s="5">
        <f>Forudsætninger!$E$68+((K55-(Forudsætninger!$E$84)))*0.01</f>
        <v>5.299023463583322</v>
      </c>
      <c r="V55" s="2">
        <f>U55+Forudsætninger!$E$69</f>
        <v>5.299023463583322</v>
      </c>
      <c r="W55">
        <f t="shared" si="4"/>
        <v>0</v>
      </c>
      <c r="X55">
        <f>IF(A55+Forudsætninger!$E$60&gt;248,IF(A55+Forudsætninger!$E$60&lt;365,IF(K55&gt;180,IF(K55&lt;260,1,0),0),0),0)</f>
        <v>0</v>
      </c>
      <c r="Y55" s="22">
        <f>IF(X55=0,0,IF('Vækstfunktion, kry kvie'!A55&lt;Forudsætninger!$E$66,Forudsætninger!$E$67+(('Vækstfunktion, kry kvie'!A55-Forudsætninger!$E$66)/7)*Forudsætninger!$E$64,Forudsætninger!$E$67))</f>
        <v>0</v>
      </c>
      <c r="Z55" s="19">
        <f t="shared" si="20"/>
        <v>865.53368402534466</v>
      </c>
      <c r="AA55" s="19">
        <f>Forudsætninger!$E$62+Forudsætninger!$C$16</f>
        <v>1575</v>
      </c>
      <c r="AB55" s="19">
        <f>IF(K55&gt;Forudsætninger!$C$48,IF(K55&gt;Forudsætninger!$C$49,IF(K55&gt;Forudsætninger!$C$50,Forudsætninger!$E$50,Forudsætninger!$E$49+Forudsætninger!$F$50*(K55-Forudsætninger!$C$49)),Forudsætninger!$E$48+Forudsætninger!$F$49*(K55-Forudsætninger!$C$48)),Forudsætninger!$E$48)+IF(K55&gt;Forudsætninger!$C$50,Forudsætninger!$G$50,IF(K55&gt;Forudsætninger!$C$49,Forudsætninger!$G$49+Forudsætninger!$H$50*(K55-Forudsætninger!$C$49),IF(K55&gt;Forudsætninger!$C$48,Forudsætninger!$G$48+Forudsætninger!$H$49*(K55-Forudsætninger!$C$48),Forudsætninger!$G$48)))*(U55-Forudsætninger!$H$48)</f>
        <v>35.129902346358335</v>
      </c>
      <c r="AC55" s="19">
        <f>IF(K55&gt;Forudsætninger!$C$52,IF(K55&gt;Forudsætninger!$C$53,IF(K55&gt;Forudsætninger!$C$54,Forudsætninger!$E$54,Forudsætninger!$E$53+Forudsætninger!$F$54*(K55-Forudsætninger!$C$53)),Forudsætninger!$E$52+Forudsætninger!$F$53*(K55-Forudsætninger!$C$52)),Forudsætninger!$E$52)+IF(K55&gt;Forudsætninger!$C$54,Forudsætninger!$G$54,IF(K55&gt;Forudsætninger!$C$53,Forudsætninger!$G$53+Forudsætninger!$H$54*(K55-Forudsætninger!$C$53),IF(K55&gt;Forudsætninger!$C$52,Forudsætninger!$G$52+Forudsætninger!$H$53*(K55-Forudsætninger!$C$52),Forudsætninger!$G$52)))*(V55-Forudsætninger!$H$52)</f>
        <v>29.97475586589583</v>
      </c>
      <c r="AD55" s="19">
        <f t="shared" si="5"/>
        <v>1745.9088928209037</v>
      </c>
      <c r="AE55" s="19">
        <f t="shared" si="6"/>
        <v>29.97475586589583</v>
      </c>
      <c r="AF55">
        <f>IF(G55&lt;=Forudsætninger!$C$97,Forudsætninger!$C$98,(IF(G55&lt;=Forudsætninger!$D$97,Forudsætninger!$D$98,IF(G55&lt;=Forudsætninger!$E$97,Forudsætninger!$E$98,IF(G55&lt;=Forudsætninger!$F$97,Forudsætninger!$F$98,IF(G55&lt;=Forudsætninger!$G$97,Forudsætninger!$G$98,IF(G55&lt;=Forudsætninger!$H$97,Forudsætninger!$H$98,IF(G55&lt;=Forudsætninger!$I$97,Forudsætninger!$I$98,Forudsætninger!$I$98))))))))</f>
        <v>2.2000000000000002</v>
      </c>
      <c r="AG55" s="1">
        <f t="shared" si="16"/>
        <v>2.2000000000000002</v>
      </c>
      <c r="AH55" s="1">
        <f t="shared" si="21"/>
        <v>116.60000000000009</v>
      </c>
      <c r="AI55" s="1">
        <f t="shared" si="7"/>
        <v>2.200000000000002</v>
      </c>
      <c r="AJ55" s="20">
        <f>+(W55*Forudsætninger!$C$12)</f>
        <v>0</v>
      </c>
      <c r="AK55" s="20">
        <f>Forudsætninger!$C$17</f>
        <v>250</v>
      </c>
      <c r="AL55" s="20">
        <f>IF(A55&lt;92,Forudsætninger!$C$20,Forudsætninger!$C$21)</f>
        <v>4.0072859744990899</v>
      </c>
      <c r="AM55" s="20">
        <f t="shared" si="17"/>
        <v>212.38615664845184</v>
      </c>
      <c r="AN55" s="19">
        <f>IFERROR(AD55+AJ55-AA55-Z55-AK55-AM55-Forudsætninger!$E$75,-999999)</f>
        <v>-1348.2277091895085</v>
      </c>
      <c r="AO55" s="19">
        <f>IFERROR(AN55/(A55+Forudsætninger!$E$74),-999999)</f>
        <v>-25.43825866395299</v>
      </c>
      <c r="AP55" s="19">
        <f>IFERROR(((365/(A55+Forudsætninger!$E$74))*AN55)/(AI55+Forudsætninger!$E$73),-999999)</f>
        <v>-4019.4651135683262</v>
      </c>
      <c r="AQ55" s="18">
        <f t="shared" si="8"/>
        <v>53</v>
      </c>
      <c r="AR55" s="18">
        <f t="shared" si="22"/>
        <v>2902.9198406737969</v>
      </c>
      <c r="AS55" s="18">
        <f t="shared" si="0"/>
        <v>2.9</v>
      </c>
      <c r="AT55" s="50">
        <f t="shared" si="23"/>
        <v>5.4008191465625259</v>
      </c>
      <c r="AU55" s="50">
        <f t="shared" si="24"/>
        <v>0.59305918866375862</v>
      </c>
      <c r="AV55" s="2">
        <f t="shared" si="25"/>
        <v>93.708486520464248</v>
      </c>
      <c r="AW55" s="16">
        <f t="shared" si="19"/>
        <v>-21.430972689453899</v>
      </c>
      <c r="AZ55" s="16"/>
      <c r="BA55" s="2"/>
    </row>
    <row r="56" spans="1:53" x14ac:dyDescent="0.25">
      <c r="A56">
        <v>54</v>
      </c>
      <c r="B56" s="1">
        <f>ROUND((A56+Forudsætninger!$E$60)/30.4,1)</f>
        <v>3</v>
      </c>
      <c r="C56" s="1">
        <f>VLOOKUP((A56+Forudsætninger!$E$60),'Model tilvækst, slagteform, fe'!A:D,4,FALSE)</f>
        <v>122.31846930637043</v>
      </c>
      <c r="D56" s="3">
        <f t="shared" si="26"/>
        <v>1354.3357252729747</v>
      </c>
      <c r="E56" s="3">
        <f>(1+Forudsætninger!$E$78)*C56</f>
        <v>112.5329917618608</v>
      </c>
      <c r="F56" s="2">
        <f t="shared" si="28"/>
        <v>5.8464879060403971</v>
      </c>
      <c r="G56" s="1">
        <f t="shared" si="1"/>
        <v>118.37947966790119</v>
      </c>
      <c r="H56" s="3">
        <f t="shared" si="10"/>
        <v>1178.2720809874832</v>
      </c>
      <c r="I56" s="3">
        <f t="shared" si="2"/>
        <v>932.95332718335544</v>
      </c>
      <c r="J56" s="1">
        <f>VLOOKUP((A56+Forudsætninger!$E$60),'Model tilvækst, slagteform, fe'!G:K,4,FALSE)*(1+Forudsætninger!$E$79)</f>
        <v>49.71747354693828</v>
      </c>
      <c r="K56" s="17">
        <f t="shared" si="3"/>
        <v>58.855286488891956</v>
      </c>
      <c r="L56" s="17">
        <f t="shared" si="11"/>
        <v>609.31108772665971</v>
      </c>
      <c r="M56" s="3">
        <f>((K56-(('Model tilvækst, slagteform, fe'!$J$9/100)*'Model tilvækst, slagteform, fe'!$D$9))*1000/(A56+Forudsætninger!$E$60))</f>
        <v>429.12087060054108</v>
      </c>
      <c r="N56" s="17">
        <f t="shared" si="12"/>
        <v>143.40865648755093</v>
      </c>
      <c r="O56" s="19">
        <f>IF( A56&lt;Forudsætninger!$C$14,(G56/100)*Forudsætninger!$C$13,(Forudsætninger!$C$15/1000)*Forudsætninger!$C$13)</f>
        <v>0.76946661784135773</v>
      </c>
      <c r="P56" s="17" cm="1">
        <f t="array" ref="P56">INDEX('Model tilvækst, slagteform, fe'!$P$9:$P$375,MATCH(MIN(ABS('Model tilvækst, slagteform, fe'!$M$9:$M$375-G56)),ABS('Model tilvækst, slagteform, fe'!$M$9:$M$375-G56),0))*(1+Forudsætninger!$E$80)</f>
        <v>3.4849819244076214</v>
      </c>
      <c r="Q56" s="17">
        <f t="shared" si="13"/>
        <v>5.7195445719034792</v>
      </c>
      <c r="R56" s="17">
        <f t="shared" si="14"/>
        <v>5.5394493518863932</v>
      </c>
      <c r="S56" s="17">
        <f t="shared" si="15"/>
        <v>2.8465688298667042</v>
      </c>
      <c r="T56" s="19">
        <f>(P56)*IF(N56&lt;Forudsætninger!$B$228,IF(N56&lt;Forudsætninger!$B$227,Forudsætninger!$B$225,Forudsætninger!$C$9),Forudsætninger!$C$11)+O56</f>
        <v>8.9243243209551917</v>
      </c>
      <c r="U56" s="5">
        <f>Forudsætninger!$E$68+((K56-(Forudsætninger!$E$84)))*0.01</f>
        <v>5.3051165744605884</v>
      </c>
      <c r="V56" s="2">
        <f>U56+Forudsætninger!$E$69</f>
        <v>5.3051165744605884</v>
      </c>
      <c r="W56">
        <f t="shared" si="4"/>
        <v>0</v>
      </c>
      <c r="X56">
        <f>IF(A56+Forudsætninger!$E$60&gt;248,IF(A56+Forudsætninger!$E$60&lt;365,IF(K56&gt;180,IF(K56&lt;260,1,0),0),0),0)</f>
        <v>0</v>
      </c>
      <c r="Y56" s="22">
        <f>IF(X56=0,0,IF('Vækstfunktion, kry kvie'!A56&lt;Forudsætninger!$E$66,Forudsætninger!$E$67+(('Vækstfunktion, kry kvie'!A56-Forudsætninger!$E$66)/7)*Forudsætninger!$E$64,Forudsætninger!$E$67))</f>
        <v>0</v>
      </c>
      <c r="Z56" s="19">
        <f t="shared" si="20"/>
        <v>874.45800834629983</v>
      </c>
      <c r="AA56" s="19">
        <f>Forudsætninger!$E$62+Forudsætninger!$C$16</f>
        <v>1575</v>
      </c>
      <c r="AB56" s="19">
        <f>IF(K56&gt;Forudsætninger!$C$48,IF(K56&gt;Forudsætninger!$C$49,IF(K56&gt;Forudsætninger!$C$50,Forudsætninger!$E$50,Forudsætninger!$E$49+Forudsætninger!$F$50*(K56-Forudsætninger!$C$49)),Forudsætninger!$E$48+Forudsætninger!$F$49*(K56-Forudsætninger!$C$48)),Forudsætninger!$E$48)+IF(K56&gt;Forudsætninger!$C$50,Forudsætninger!$G$50,IF(K56&gt;Forudsætninger!$C$49,Forudsætninger!$G$49+Forudsætninger!$H$50*(K56-Forudsætninger!$C$49),IF(K56&gt;Forudsætninger!$C$48,Forudsætninger!$G$48+Forudsætninger!$H$49*(K56-Forudsætninger!$C$48),Forudsætninger!$G$48)))*(U56-Forudsætninger!$H$48)</f>
        <v>35.130511657446057</v>
      </c>
      <c r="AC56" s="19">
        <f>IF(K56&gt;Forudsætninger!$C$52,IF(K56&gt;Forudsætninger!$C$53,IF(K56&gt;Forudsætninger!$C$54,Forudsætninger!$E$54,Forudsætninger!$E$53+Forudsætninger!$F$54*(K56-Forudsætninger!$C$53)),Forudsætninger!$E$52+Forudsætninger!$F$53*(K56-Forudsætninger!$C$52)),Forudsætninger!$E$52)+IF(K56&gt;Forudsætninger!$C$54,Forudsætninger!$G$54,IF(K56&gt;Forudsætninger!$C$53,Forudsætninger!$G$53+Forudsætninger!$H$54*(K56-Forudsætninger!$C$53),IF(K56&gt;Forudsætninger!$C$52,Forudsætninger!$G$52+Forudsætninger!$H$53*(K56-Forudsætninger!$C$52),Forudsætninger!$G$52)))*(V56-Forudsætninger!$H$52)</f>
        <v>29.976279143615145</v>
      </c>
      <c r="AD56" s="19">
        <f t="shared" si="5"/>
        <v>1764.2624968684661</v>
      </c>
      <c r="AE56" s="19">
        <f t="shared" si="6"/>
        <v>29.976279143615145</v>
      </c>
      <c r="AF56">
        <f>IF(G56&lt;=Forudsætninger!$C$97,Forudsætninger!$C$98,(IF(G56&lt;=Forudsætninger!$D$97,Forudsætninger!$D$98,IF(G56&lt;=Forudsætninger!$E$97,Forudsætninger!$E$98,IF(G56&lt;=Forudsætninger!$F$97,Forudsætninger!$F$98,IF(G56&lt;=Forudsætninger!$G$97,Forudsætninger!$G$98,IF(G56&lt;=Forudsætninger!$H$97,Forudsætninger!$H$98,IF(G56&lt;=Forudsætninger!$I$97,Forudsætninger!$I$98,Forudsætninger!$I$98))))))))</f>
        <v>2.2000000000000002</v>
      </c>
      <c r="AG56" s="1">
        <f t="shared" si="16"/>
        <v>2.2000000000000002</v>
      </c>
      <c r="AH56" s="1">
        <f t="shared" si="21"/>
        <v>118.8000000000001</v>
      </c>
      <c r="AI56" s="1">
        <f t="shared" si="7"/>
        <v>2.200000000000002</v>
      </c>
      <c r="AJ56" s="20">
        <f>+(W56*Forudsætninger!$C$12)</f>
        <v>0</v>
      </c>
      <c r="AK56" s="20">
        <f>Forudsætninger!$C$17</f>
        <v>250</v>
      </c>
      <c r="AL56" s="20">
        <f>IF(A56&lt;92,Forudsætninger!$C$20,Forudsætninger!$C$21)</f>
        <v>4.0072859744990899</v>
      </c>
      <c r="AM56" s="20">
        <f t="shared" si="17"/>
        <v>216.39344262295094</v>
      </c>
      <c r="AN56" s="19">
        <f>IFERROR(AD56+AJ56-AA56-Z56-AK56-AM56-Forudsætninger!$E$75,-999999)</f>
        <v>-1342.8057154374003</v>
      </c>
      <c r="AO56" s="19">
        <f>IFERROR(AN56/(A56+Forudsætninger!$E$74),-999999)</f>
        <v>-24.866772508100006</v>
      </c>
      <c r="AP56" s="19">
        <f>IFERROR(((365/(A56+Forudsætninger!$E$74))*AN56)/(AI56+Forudsætninger!$E$73),-999999)</f>
        <v>-3929.16535301147</v>
      </c>
      <c r="AQ56" s="18">
        <f t="shared" si="8"/>
        <v>54</v>
      </c>
      <c r="AR56" s="18">
        <f t="shared" si="22"/>
        <v>2915.8514509692504</v>
      </c>
      <c r="AS56" s="18">
        <f t="shared" si="0"/>
        <v>3</v>
      </c>
      <c r="AT56" s="50">
        <f t="shared" si="23"/>
        <v>5.4219937521081647</v>
      </c>
      <c r="AU56" s="50">
        <f t="shared" si="24"/>
        <v>0.57148615585298401</v>
      </c>
      <c r="AV56" s="2">
        <f t="shared" si="25"/>
        <v>90.299760556856199</v>
      </c>
      <c r="AW56" s="16">
        <f t="shared" si="19"/>
        <v>-20.859486533600915</v>
      </c>
      <c r="AZ56" s="16"/>
      <c r="BA56" s="2"/>
    </row>
    <row r="57" spans="1:53" x14ac:dyDescent="0.25">
      <c r="A57">
        <v>55</v>
      </c>
      <c r="B57" s="1">
        <f>ROUND((A57+Forudsætninger!$E$60)/30.4,1)</f>
        <v>3</v>
      </c>
      <c r="C57" s="1">
        <f>VLOOKUP((A57+Forudsætninger!$E$60),'Model tilvækst, slagteform, fe'!A:D,4,FALSE)</f>
        <v>123.67972181429734</v>
      </c>
      <c r="D57" s="3">
        <f t="shared" si="26"/>
        <v>1361.2525079269062</v>
      </c>
      <c r="E57" s="3">
        <f>(1+Forudsætninger!$E$78)*C57</f>
        <v>113.78534406915355</v>
      </c>
      <c r="F57" s="2">
        <f t="shared" si="28"/>
        <v>5.7784252806440515</v>
      </c>
      <c r="G57" s="1">
        <f t="shared" si="1"/>
        <v>119.56376934979761</v>
      </c>
      <c r="H57" s="3">
        <f t="shared" si="10"/>
        <v>1184.2896818964164</v>
      </c>
      <c r="I57" s="3">
        <f t="shared" si="2"/>
        <v>937.52307908722923</v>
      </c>
      <c r="J57" s="1">
        <f>VLOOKUP((A57+Forudsætninger!$E$60),'Model tilvækst, slagteform, fe'!G:K,4,FALSE)*(1+Forudsætninger!$E$79)</f>
        <v>49.737446353512766</v>
      </c>
      <c r="K57" s="17">
        <f t="shared" si="3"/>
        <v>59.467965638593327</v>
      </c>
      <c r="L57" s="17">
        <f t="shared" si="11"/>
        <v>612.67914970137122</v>
      </c>
      <c r="M57" s="3">
        <f>((K57-(('Model tilvækst, slagteform, fe'!$J$9/100)*'Model tilvækst, slagteform, fe'!$D$9))*1000/(A57+Forudsætninger!$E$60))</f>
        <v>431.13799454670414</v>
      </c>
      <c r="N57" s="17">
        <f t="shared" si="12"/>
        <v>146.92587470180663</v>
      </c>
      <c r="O57" s="19">
        <f>IF( A57&lt;Forudsætninger!$C$14,(G57/100)*Forudsætninger!$C$13,(Forudsætninger!$C$15/1000)*Forudsætninger!$C$13)</f>
        <v>0.77716450077368437</v>
      </c>
      <c r="P57" s="17" cm="1">
        <f t="array" ref="P57">INDEX('Model tilvækst, slagteform, fe'!$P$9:$P$375,MATCH(MIN(ABS('Model tilvækst, slagteform, fe'!$M$9:$M$375-G57)),ABS('Model tilvækst, slagteform, fe'!$M$9:$M$375-G57),0))*(1+Forudsætninger!$E$80)</f>
        <v>3.517218214255716</v>
      </c>
      <c r="Q57" s="17">
        <f t="shared" si="13"/>
        <v>5.7407179858659463</v>
      </c>
      <c r="R57" s="17">
        <f t="shared" si="14"/>
        <v>5.5441024494865188</v>
      </c>
      <c r="S57" s="17">
        <f t="shared" si="15"/>
        <v>2.8494013636802391</v>
      </c>
      <c r="T57" s="19">
        <f>(P57)*IF(N57&lt;Forudsætninger!$B$228,IF(N57&lt;Forudsætninger!$B$227,Forudsætninger!$B$225,Forudsætninger!$C$9),Forudsætninger!$C$11)+O57</f>
        <v>9.0074551221320593</v>
      </c>
      <c r="U57" s="5">
        <f>Forudsætninger!$E$68+((K57-(Forudsætninger!$E$84)))*0.01</f>
        <v>5.3112433659576022</v>
      </c>
      <c r="V57" s="2">
        <f>U57+Forudsætninger!$E$69</f>
        <v>5.3112433659576022</v>
      </c>
      <c r="W57">
        <f t="shared" si="4"/>
        <v>0</v>
      </c>
      <c r="X57">
        <f>IF(A57+Forudsætninger!$E$60&gt;248,IF(A57+Forudsætninger!$E$60&lt;365,IF(K57&gt;180,IF(K57&lt;260,1,0),0),0),0)</f>
        <v>0</v>
      </c>
      <c r="Y57" s="22">
        <f>IF(X57=0,0,IF('Vækstfunktion, kry kvie'!A57&lt;Forudsætninger!$E$66,Forudsætninger!$E$67+(('Vækstfunktion, kry kvie'!A57-Forudsætninger!$E$66)/7)*Forudsætninger!$E$64,Forudsætninger!$E$67))</f>
        <v>0</v>
      </c>
      <c r="Z57" s="19">
        <f t="shared" si="20"/>
        <v>883.46546346843195</v>
      </c>
      <c r="AA57" s="19">
        <f>Forudsætninger!$E$62+Forudsætninger!$C$16</f>
        <v>1575</v>
      </c>
      <c r="AB57" s="19">
        <f>IF(K57&gt;Forudsætninger!$C$48,IF(K57&gt;Forudsætninger!$C$49,IF(K57&gt;Forudsætninger!$C$50,Forudsætninger!$E$50,Forudsætninger!$E$49+Forudsætninger!$F$50*(K57-Forudsætninger!$C$49)),Forudsætninger!$E$48+Forudsætninger!$F$49*(K57-Forudsætninger!$C$48)),Forudsætninger!$E$48)+IF(K57&gt;Forudsætninger!$C$50,Forudsætninger!$G$50,IF(K57&gt;Forudsætninger!$C$49,Forudsætninger!$G$49+Forudsætninger!$H$50*(K57-Forudsætninger!$C$49),IF(K57&gt;Forudsætninger!$C$48,Forudsætninger!$G$48+Forudsætninger!$H$49*(K57-Forudsætninger!$C$48),Forudsætninger!$G$48)))*(U57-Forudsætninger!$H$48)</f>
        <v>35.131124336595761</v>
      </c>
      <c r="AC57" s="19">
        <f>IF(K57&gt;Forudsætninger!$C$52,IF(K57&gt;Forudsætninger!$C$53,IF(K57&gt;Forudsætninger!$C$54,Forudsætninger!$E$54,Forudsætninger!$E$53+Forudsætninger!$F$54*(K57-Forudsætninger!$C$53)),Forudsætninger!$E$52+Forudsætninger!$F$53*(K57-Forudsætninger!$C$52)),Forudsætninger!$E$52)+IF(K57&gt;Forudsætninger!$C$54,Forudsætninger!$G$54,IF(K57&gt;Forudsætninger!$C$53,Forudsætninger!$G$53+Forudsætninger!$H$54*(K57-Forudsætninger!$C$53),IF(K57&gt;Forudsætninger!$C$52,Forudsætninger!$G$52+Forudsætninger!$H$53*(K57-Forudsætninger!$C$52),Forudsætninger!$G$52)))*(V57-Forudsætninger!$H$52)</f>
        <v>29.977810841489401</v>
      </c>
      <c r="AD57" s="19">
        <f t="shared" si="5"/>
        <v>1782.7194250419423</v>
      </c>
      <c r="AE57" s="19">
        <f t="shared" si="6"/>
        <v>29.977810841489401</v>
      </c>
      <c r="AF57">
        <f>IF(G57&lt;=Forudsætninger!$C$97,Forudsætninger!$C$98,(IF(G57&lt;=Forudsætninger!$D$97,Forudsætninger!$D$98,IF(G57&lt;=Forudsætninger!$E$97,Forudsætninger!$E$98,IF(G57&lt;=Forudsætninger!$F$97,Forudsætninger!$F$98,IF(G57&lt;=Forudsætninger!$G$97,Forudsætninger!$G$98,IF(G57&lt;=Forudsætninger!$H$97,Forudsætninger!$H$98,IF(G57&lt;=Forudsætninger!$I$97,Forudsætninger!$I$98,Forudsætninger!$I$98))))))))</f>
        <v>2.2000000000000002</v>
      </c>
      <c r="AG57" s="1">
        <f t="shared" si="16"/>
        <v>2.2000000000000002</v>
      </c>
      <c r="AH57" s="1">
        <f t="shared" si="21"/>
        <v>121.0000000000001</v>
      </c>
      <c r="AI57" s="1">
        <f t="shared" si="7"/>
        <v>2.200000000000002</v>
      </c>
      <c r="AJ57" s="20">
        <f>+(W57*Forudsætninger!$C$12)</f>
        <v>0</v>
      </c>
      <c r="AK57" s="20">
        <f>Forudsætninger!$C$17</f>
        <v>250</v>
      </c>
      <c r="AL57" s="20">
        <f>IF(A57&lt;92,Forudsætninger!$C$20,Forudsætninger!$C$21)</f>
        <v>4.0072859744990899</v>
      </c>
      <c r="AM57" s="20">
        <f t="shared" si="17"/>
        <v>220.40072859745004</v>
      </c>
      <c r="AN57" s="19">
        <f>IFERROR(AD57+AJ57-AA57-Z57-AK57-AM57-Forudsætninger!$E$75,-999999)</f>
        <v>-1337.3635283605554</v>
      </c>
      <c r="AO57" s="19">
        <f>IFERROR(AN57/(A57+Forudsætninger!$E$74),-999999)</f>
        <v>-24.315700515646462</v>
      </c>
      <c r="AP57" s="19">
        <f>IFERROR(((365/(A57+Forudsætninger!$E$74))*AN57)/(AI57+Forudsætninger!$E$73),-999999)</f>
        <v>-3842.0912070177278</v>
      </c>
      <c r="AQ57" s="18">
        <f t="shared" si="8"/>
        <v>55</v>
      </c>
      <c r="AR57" s="18">
        <f t="shared" si="22"/>
        <v>2928.8661920658819</v>
      </c>
      <c r="AS57" s="18">
        <f t="shared" si="0"/>
        <v>3</v>
      </c>
      <c r="AT57" s="50">
        <f t="shared" si="23"/>
        <v>5.4421870768449025</v>
      </c>
      <c r="AU57" s="50">
        <f t="shared" si="24"/>
        <v>0.55107199245354366</v>
      </c>
      <c r="AV57" s="2">
        <f t="shared" si="25"/>
        <v>87.07414599374215</v>
      </c>
      <c r="AW57" s="16">
        <f t="shared" si="19"/>
        <v>-20.308414541147368</v>
      </c>
      <c r="AZ57" s="16"/>
      <c r="BA57" s="2"/>
    </row>
    <row r="58" spans="1:53" x14ac:dyDescent="0.25">
      <c r="A58">
        <v>56</v>
      </c>
      <c r="B58" s="1">
        <f>ROUND((A58+Forudsætninger!$E$60)/30.4,1)</f>
        <v>3</v>
      </c>
      <c r="C58" s="1">
        <f>VLOOKUP((A58+Forudsætninger!$E$60),'Model tilvækst, slagteform, fe'!A:D,4,FALSE)</f>
        <v>125.04777402674536</v>
      </c>
      <c r="D58" s="3">
        <f t="shared" si="26"/>
        <v>1368.0522124480206</v>
      </c>
      <c r="E58" s="3">
        <f>(1+Forudsætninger!$E$78)*C58</f>
        <v>115.04395210460574</v>
      </c>
      <c r="F58" s="2">
        <f t="shared" si="28"/>
        <v>5.7100226700216501</v>
      </c>
      <c r="G58" s="1">
        <f t="shared" si="1"/>
        <v>120.75397477462738</v>
      </c>
      <c r="H58" s="3">
        <f t="shared" si="10"/>
        <v>1190.2054248297702</v>
      </c>
      <c r="I58" s="3">
        <f t="shared" si="2"/>
        <v>942.03526383263181</v>
      </c>
      <c r="J58" s="1">
        <f>VLOOKUP((A58+Forudsætninger!$E$60),'Model tilvækst, slagteform, fe'!G:K,4,FALSE)*(1+Forudsætninger!$E$79)</f>
        <v>49.757341224588274</v>
      </c>
      <c r="K58" s="17">
        <f t="shared" si="3"/>
        <v>60.083967270864598</v>
      </c>
      <c r="L58" s="17">
        <f t="shared" si="11"/>
        <v>616.00163227127064</v>
      </c>
      <c r="M58" s="3">
        <f>((K58-(('Model tilvækst, slagteform, fe'!$J$9/100)*'Model tilvækst, slagteform, fe'!$D$9))*1000/(A58+Forudsætninger!$E$60))</f>
        <v>433.14738191327547</v>
      </c>
      <c r="N58" s="17">
        <f t="shared" si="12"/>
        <v>150.47515560340563</v>
      </c>
      <c r="O58" s="19">
        <f>IF( A58&lt;Forudsætninger!$C$14,(G58/100)*Forudsætninger!$C$13,(Forudsætninger!$C$15/1000)*Forudsætninger!$C$13)</f>
        <v>0.78490083603507799</v>
      </c>
      <c r="P58" s="17" cm="1">
        <f t="array" ref="P58">INDEX('Model tilvækst, slagteform, fe'!$P$9:$P$375,MATCH(MIN(ABS('Model tilvækst, slagteform, fe'!$M$9:$M$375-G58)),ABS('Model tilvækst, slagteform, fe'!$M$9:$M$375-G58),0))*(1+Forudsætninger!$E$80)</f>
        <v>3.5492809015990008</v>
      </c>
      <c r="Q58" s="17">
        <f t="shared" si="13"/>
        <v>5.7618043778754027</v>
      </c>
      <c r="R58" s="17">
        <f t="shared" si="14"/>
        <v>5.5490478082638415</v>
      </c>
      <c r="S58" s="17">
        <f t="shared" si="15"/>
        <v>2.8523946536020706</v>
      </c>
      <c r="T58" s="19">
        <f>(P58)*IF(N58&lt;Forudsætninger!$B$228,IF(N58&lt;Forudsætninger!$B$227,Forudsætninger!$B$225,Forudsætninger!$C$9),Forudsætninger!$C$11)+O58</f>
        <v>9.0902181457767401</v>
      </c>
      <c r="U58" s="5">
        <f>Forudsætninger!$E$68+((K58-(Forudsætninger!$E$84)))*0.01</f>
        <v>5.3174033822803155</v>
      </c>
      <c r="V58" s="2">
        <f>U58+Forudsætninger!$E$69</f>
        <v>5.3174033822803155</v>
      </c>
      <c r="W58">
        <f t="shared" si="4"/>
        <v>0</v>
      </c>
      <c r="X58">
        <f>IF(A58+Forudsætninger!$E$60&gt;248,IF(A58+Forudsætninger!$E$60&lt;365,IF(K58&gt;180,IF(K58&lt;260,1,0),0),0),0)</f>
        <v>0</v>
      </c>
      <c r="Y58" s="22">
        <f>IF(X58=0,0,IF('Vækstfunktion, kry kvie'!A58&lt;Forudsætninger!$E$66,Forudsætninger!$E$67+(('Vækstfunktion, kry kvie'!A58-Forudsætninger!$E$66)/7)*Forudsætninger!$E$64,Forudsætninger!$E$67))</f>
        <v>0</v>
      </c>
      <c r="Z58" s="19">
        <f t="shared" si="20"/>
        <v>892.55568161420865</v>
      </c>
      <c r="AA58" s="19">
        <f>Forudsætninger!$E$62+Forudsætninger!$C$16</f>
        <v>1575</v>
      </c>
      <c r="AB58" s="19">
        <f>IF(K58&gt;Forudsætninger!$C$48,IF(K58&gt;Forudsætninger!$C$49,IF(K58&gt;Forudsætninger!$C$50,Forudsætninger!$E$50,Forudsætninger!$E$49+Forudsætninger!$F$50*(K58-Forudsætninger!$C$49)),Forudsætninger!$E$48+Forudsætninger!$F$49*(K58-Forudsætninger!$C$48)),Forudsætninger!$E$48)+IF(K58&gt;Forudsætninger!$C$50,Forudsætninger!$G$50,IF(K58&gt;Forudsætninger!$C$49,Forudsætninger!$G$49+Forudsætninger!$H$50*(K58-Forudsætninger!$C$49),IF(K58&gt;Forudsætninger!$C$48,Forudsætninger!$G$48+Forudsætninger!$H$49*(K58-Forudsætninger!$C$48),Forudsætninger!$G$48)))*(U58-Forudsætninger!$H$48)</f>
        <v>35.131740338228035</v>
      </c>
      <c r="AC58" s="19">
        <f>IF(K58&gt;Forudsætninger!$C$52,IF(K58&gt;Forudsætninger!$C$53,IF(K58&gt;Forudsætninger!$C$54,Forudsætninger!$E$54,Forudsætninger!$E$53+Forudsætninger!$F$54*(K58-Forudsætninger!$C$53)),Forudsætninger!$E$52+Forudsætninger!$F$53*(K58-Forudsætninger!$C$52)),Forudsætninger!$E$52)+IF(K58&gt;Forudsætninger!$C$54,Forudsætninger!$G$54,IF(K58&gt;Forudsætninger!$C$53,Forudsætninger!$G$53+Forudsætninger!$H$54*(K58-Forudsætninger!$C$53),IF(K58&gt;Forudsætninger!$C$52,Forudsætninger!$G$52+Forudsætninger!$H$53*(K58-Forudsætninger!$C$52),Forudsætninger!$G$52)))*(V58-Forudsætninger!$H$52)</f>
        <v>29.979350845570078</v>
      </c>
      <c r="AD58" s="19">
        <f t="shared" si="5"/>
        <v>1801.2783350069994</v>
      </c>
      <c r="AE58" s="19">
        <f t="shared" si="6"/>
        <v>29.979350845570078</v>
      </c>
      <c r="AF58">
        <f>IF(G58&lt;=Forudsætninger!$C$97,Forudsætninger!$C$98,(IF(G58&lt;=Forudsætninger!$D$97,Forudsætninger!$D$98,IF(G58&lt;=Forudsætninger!$E$97,Forudsætninger!$E$98,IF(G58&lt;=Forudsætninger!$F$97,Forudsætninger!$F$98,IF(G58&lt;=Forudsætninger!$G$97,Forudsætninger!$G$98,IF(G58&lt;=Forudsætninger!$H$97,Forudsætninger!$H$98,IF(G58&lt;=Forudsætninger!$I$97,Forudsætninger!$I$98,Forudsætninger!$I$98))))))))</f>
        <v>2.2000000000000002</v>
      </c>
      <c r="AG58" s="1">
        <f t="shared" si="16"/>
        <v>2.2000000000000002</v>
      </c>
      <c r="AH58" s="1">
        <f t="shared" si="21"/>
        <v>123.2000000000001</v>
      </c>
      <c r="AI58" s="1">
        <f t="shared" si="7"/>
        <v>2.200000000000002</v>
      </c>
      <c r="AJ58" s="20">
        <f>+(W58*Forudsætninger!$C$12)</f>
        <v>0</v>
      </c>
      <c r="AK58" s="20">
        <f>Forudsætninger!$C$17</f>
        <v>250</v>
      </c>
      <c r="AL58" s="20">
        <f>IF(A58&lt;92,Forudsætninger!$C$20,Forudsætninger!$C$21)</f>
        <v>4.0072859744990899</v>
      </c>
      <c r="AM58" s="20">
        <f t="shared" si="17"/>
        <v>224.40801457194914</v>
      </c>
      <c r="AN58" s="19">
        <f>IFERROR(AD58+AJ58-AA58-Z58-AK58-AM58-Forudsætninger!$E$75,-999999)</f>
        <v>-1331.9021225157742</v>
      </c>
      <c r="AO58" s="19">
        <f>IFERROR(AN58/(A58+Forudsætninger!$E$74),-999999)</f>
        <v>-23.783966473495969</v>
      </c>
      <c r="AP58" s="19">
        <f>IFERROR(((365/(A58+Forudsætninger!$E$74))*AN58)/(AI58+Forudsætninger!$E$73),-999999)</f>
        <v>-3758.0726246000095</v>
      </c>
      <c r="AQ58" s="18">
        <f t="shared" si="8"/>
        <v>56</v>
      </c>
      <c r="AR58" s="18">
        <f t="shared" si="22"/>
        <v>2941.9636961861579</v>
      </c>
      <c r="AS58" s="18">
        <f t="shared" si="0"/>
        <v>3</v>
      </c>
      <c r="AT58" s="50">
        <f t="shared" si="23"/>
        <v>5.4614058447812113</v>
      </c>
      <c r="AU58" s="50">
        <f t="shared" si="24"/>
        <v>0.53173404215049302</v>
      </c>
      <c r="AV58" s="2">
        <f t="shared" si="25"/>
        <v>84.018582417718335</v>
      </c>
      <c r="AW58" s="16">
        <f t="shared" si="19"/>
        <v>-19.776680498996875</v>
      </c>
      <c r="AZ58" s="16"/>
      <c r="BA58" s="2"/>
    </row>
    <row r="59" spans="1:53" x14ac:dyDescent="0.25">
      <c r="A59">
        <v>57</v>
      </c>
      <c r="B59" s="1">
        <f>ROUND((A59+Forudsætninger!$E$60)/30.4,1)</f>
        <v>3.1</v>
      </c>
      <c r="C59" s="1">
        <f>VLOOKUP((A59+Forudsætninger!$E$60),'Model tilvækst, slagteform, fe'!A:D,4,FALSE)</f>
        <v>126.42250945060232</v>
      </c>
      <c r="D59" s="3">
        <f t="shared" si="26"/>
        <v>1374.7354238569615</v>
      </c>
      <c r="E59" s="3">
        <f>(1+Forudsætninger!$E$78)*C59</f>
        <v>116.30870869455414</v>
      </c>
      <c r="F59" s="2">
        <f t="shared" si="28"/>
        <v>5.6412858988288024</v>
      </c>
      <c r="G59" s="1">
        <f t="shared" si="1"/>
        <v>121.94999459338294</v>
      </c>
      <c r="H59" s="3">
        <f t="shared" si="10"/>
        <v>1196.0198187555591</v>
      </c>
      <c r="I59" s="3">
        <f t="shared" si="2"/>
        <v>946.49113321724451</v>
      </c>
      <c r="J59" s="1">
        <f>VLOOKUP((A59+Forudsætninger!$E$60),'Model tilvækst, slagteform, fe'!G:K,4,FALSE)*(1+Forudsætninger!$E$79)</f>
        <v>49.777161799812013</v>
      </c>
      <c r="K59" s="17">
        <f t="shared" si="3"/>
        <v>60.703246123610228</v>
      </c>
      <c r="L59" s="17">
        <f t="shared" si="11"/>
        <v>619.27885274563005</v>
      </c>
      <c r="M59" s="3">
        <f>((K59-(('Model tilvækst, slagteform, fe'!$J$9/100)*'Model tilvækst, slagteform, fe'!$D$9))*1000/(A59+Forudsætninger!$E$60))</f>
        <v>435.14879557813958</v>
      </c>
      <c r="N59" s="17">
        <f t="shared" si="12"/>
        <v>154.05632687300104</v>
      </c>
      <c r="O59" s="19">
        <f>IF( A59&lt;Forudsætninger!$C$14,(G59/100)*Forudsætninger!$C$13,(Forudsætninger!$C$15/1000)*Forudsætninger!$C$13)</f>
        <v>0.79267496485698907</v>
      </c>
      <c r="P59" s="17" cm="1">
        <f t="array" ref="P59">INDEX('Model tilvækst, slagteform, fe'!$P$9:$P$375,MATCH(MIN(ABS('Model tilvækst, slagteform, fe'!$M$9:$M$375-G59)),ABS('Model tilvækst, slagteform, fe'!$M$9:$M$375-G59),0))*(1+Forudsætninger!$E$80)</f>
        <v>3.5811712695954268</v>
      </c>
      <c r="Q59" s="17">
        <f t="shared" si="13"/>
        <v>5.7828089134934499</v>
      </c>
      <c r="R59" s="17">
        <f t="shared" si="14"/>
        <v>5.5542670296418386</v>
      </c>
      <c r="S59" s="17">
        <f t="shared" si="15"/>
        <v>2.8555392458166495</v>
      </c>
      <c r="T59" s="19">
        <f>(P59)*IF(N59&lt;Forudsætninger!$B$228,IF(N59&lt;Forudsætninger!$B$227,Forudsætninger!$B$225,Forudsætninger!$C$9),Forudsætninger!$C$11)+O59</f>
        <v>9.1726157357102878</v>
      </c>
      <c r="U59" s="5">
        <f>Forudsætninger!$E$68+((K59-(Forudsætninger!$E$84)))*0.01</f>
        <v>5.3235961708077717</v>
      </c>
      <c r="V59" s="2">
        <f>U59+Forudsætninger!$E$69</f>
        <v>5.3235961708077717</v>
      </c>
      <c r="W59">
        <f t="shared" si="4"/>
        <v>0</v>
      </c>
      <c r="X59">
        <f>IF(A59+Forudsætninger!$E$60&gt;248,IF(A59+Forudsætninger!$E$60&lt;365,IF(K59&gt;180,IF(K59&lt;260,1,0),0),0),0)</f>
        <v>0</v>
      </c>
      <c r="Y59" s="22">
        <f>IF(X59=0,0,IF('Vækstfunktion, kry kvie'!A59&lt;Forudsætninger!$E$66,Forudsætninger!$E$67+(('Vækstfunktion, kry kvie'!A59-Forudsætninger!$E$66)/7)*Forudsætninger!$E$64,Forudsætninger!$E$67))</f>
        <v>0</v>
      </c>
      <c r="Z59" s="19">
        <f t="shared" si="20"/>
        <v>901.72829734991899</v>
      </c>
      <c r="AA59" s="19">
        <f>Forudsætninger!$E$62+Forudsætninger!$C$16</f>
        <v>1575</v>
      </c>
      <c r="AB59" s="19">
        <f>IF(K59&gt;Forudsætninger!$C$48,IF(K59&gt;Forudsætninger!$C$49,IF(K59&gt;Forudsætninger!$C$50,Forudsætninger!$E$50,Forudsætninger!$E$49+Forudsætninger!$F$50*(K59-Forudsætninger!$C$49)),Forudsætninger!$E$48+Forudsætninger!$F$49*(K59-Forudsætninger!$C$48)),Forudsætninger!$E$48)+IF(K59&gt;Forudsætninger!$C$50,Forudsætninger!$G$50,IF(K59&gt;Forudsætninger!$C$49,Forudsætninger!$G$49+Forudsætninger!$H$50*(K59-Forudsætninger!$C$49),IF(K59&gt;Forudsætninger!$C$48,Forudsætninger!$G$48+Forudsætninger!$H$49*(K59-Forudsætninger!$C$48),Forudsætninger!$G$48)))*(U59-Forudsætninger!$H$48)</f>
        <v>35.13235961708078</v>
      </c>
      <c r="AC59" s="19">
        <f>IF(K59&gt;Forudsætninger!$C$52,IF(K59&gt;Forudsætninger!$C$53,IF(K59&gt;Forudsætninger!$C$54,Forudsætninger!$E$54,Forudsætninger!$E$53+Forudsætninger!$F$54*(K59-Forudsætninger!$C$53)),Forudsætninger!$E$52+Forudsætninger!$F$53*(K59-Forudsætninger!$C$52)),Forudsætninger!$E$52)+IF(K59&gt;Forudsætninger!$C$54,Forudsætninger!$G$54,IF(K59&gt;Forudsætninger!$C$53,Forudsætninger!$G$53+Forudsætninger!$H$54*(K59-Forudsætninger!$C$53),IF(K59&gt;Forudsætninger!$C$52,Forudsætninger!$G$52+Forudsætninger!$H$53*(K59-Forudsætninger!$C$52),Forudsætninger!$G$52)))*(V59-Forudsætninger!$H$52)</f>
        <v>29.980899042701942</v>
      </c>
      <c r="AD59" s="19">
        <f t="shared" si="5"/>
        <v>1819.9378935962463</v>
      </c>
      <c r="AE59" s="19">
        <f t="shared" si="6"/>
        <v>29.980899042701942</v>
      </c>
      <c r="AF59">
        <f>IF(G59&lt;=Forudsætninger!$C$97,Forudsætninger!$C$98,(IF(G59&lt;=Forudsætninger!$D$97,Forudsætninger!$D$98,IF(G59&lt;=Forudsætninger!$E$97,Forudsætninger!$E$98,IF(G59&lt;=Forudsætninger!$F$97,Forudsætninger!$F$98,IF(G59&lt;=Forudsætninger!$G$97,Forudsætninger!$G$98,IF(G59&lt;=Forudsætninger!$H$97,Forudsætninger!$H$98,IF(G59&lt;=Forudsætninger!$I$97,Forudsætninger!$I$98,Forudsætninger!$I$98))))))))</f>
        <v>2.2000000000000002</v>
      </c>
      <c r="AG59" s="1">
        <f t="shared" si="16"/>
        <v>2.2000000000000002</v>
      </c>
      <c r="AH59" s="1">
        <f t="shared" si="21"/>
        <v>125.40000000000011</v>
      </c>
      <c r="AI59" s="1">
        <f t="shared" si="7"/>
        <v>2.200000000000002</v>
      </c>
      <c r="AJ59" s="20">
        <f>+(W59*Forudsætninger!$C$12)</f>
        <v>0</v>
      </c>
      <c r="AK59" s="20">
        <f>Forudsætninger!$C$17</f>
        <v>250</v>
      </c>
      <c r="AL59" s="20">
        <f>IF(A59&lt;92,Forudsætninger!$C$20,Forudsætninger!$C$21)</f>
        <v>4.0072859744990899</v>
      </c>
      <c r="AM59" s="20">
        <f t="shared" si="17"/>
        <v>228.41530054644824</v>
      </c>
      <c r="AN59" s="19">
        <f>IFERROR(AD59+AJ59-AA59-Z59-AK59-AM59-Forudsætninger!$E$75,-999999)</f>
        <v>-1326.4224656367367</v>
      </c>
      <c r="AO59" s="19">
        <f>IFERROR(AN59/(A59+Forudsætninger!$E$74),-999999)</f>
        <v>-23.270569572574328</v>
      </c>
      <c r="AP59" s="19">
        <f>IFERROR(((365/(A59+Forudsætninger!$E$74))*AN59)/(AI59+Forudsætninger!$E$73),-999999)</f>
        <v>-3676.9514692595772</v>
      </c>
      <c r="AQ59" s="18">
        <f t="shared" si="8"/>
        <v>57</v>
      </c>
      <c r="AR59" s="18">
        <f t="shared" si="22"/>
        <v>2955.1435978963673</v>
      </c>
      <c r="AS59" s="18">
        <f t="shared" si="0"/>
        <v>3.1</v>
      </c>
      <c r="AT59" s="50">
        <f t="shared" si="23"/>
        <v>5.4796568790375204</v>
      </c>
      <c r="AU59" s="50">
        <f t="shared" si="24"/>
        <v>0.51339690092164147</v>
      </c>
      <c r="AV59" s="2">
        <f t="shared" si="25"/>
        <v>81.121155340432324</v>
      </c>
      <c r="AW59" s="16">
        <f t="shared" si="19"/>
        <v>-19.263283598075237</v>
      </c>
      <c r="AZ59" s="16"/>
      <c r="BA59" s="2"/>
    </row>
    <row r="60" spans="1:53" x14ac:dyDescent="0.25">
      <c r="A60">
        <v>58</v>
      </c>
      <c r="B60" s="1">
        <f>ROUND((A60+Forudsætninger!$E$60)/30.4,1)</f>
        <v>3.1</v>
      </c>
      <c r="C60" s="1">
        <f>VLOOKUP((A60+Forudsætninger!$E$60),'Model tilvækst, slagteform, fe'!A:D,4,FALSE)</f>
        <v>127.80381217777662</v>
      </c>
      <c r="D60" s="3">
        <f t="shared" si="26"/>
        <v>1381.302727174301</v>
      </c>
      <c r="E60" s="3">
        <f>(1+Forudsætninger!$E$78)*C60</f>
        <v>117.5795072035545</v>
      </c>
      <c r="F60" s="2">
        <f t="shared" si="28"/>
        <v>5.5722207624700877</v>
      </c>
      <c r="G60" s="1">
        <f t="shared" si="1"/>
        <v>123.15172796602458</v>
      </c>
      <c r="H60" s="3">
        <f t="shared" si="10"/>
        <v>1201.7333726416409</v>
      </c>
      <c r="I60" s="3">
        <f t="shared" si="2"/>
        <v>950.89186148318254</v>
      </c>
      <c r="J60" s="1">
        <f>VLOOKUP((A60+Forudsætninger!$E$60),'Model tilvækst, slagteform, fe'!G:K,4,FALSE)*(1+Forudsætninger!$E$79)</f>
        <v>49.79691171883119</v>
      </c>
      <c r="K60" s="17">
        <f t="shared" si="3"/>
        <v>61.325757255456402</v>
      </c>
      <c r="L60" s="17">
        <f t="shared" si="11"/>
        <v>622.51113184617429</v>
      </c>
      <c r="M60" s="3">
        <f>((K60-(('Model tilvækst, slagteform, fe'!$J$9/100)*'Model tilvækst, slagteform, fe'!$D$9))*1000/(A60+Forudsætninger!$E$60))</f>
        <v>437.14201192141644</v>
      </c>
      <c r="N60" s="17">
        <f t="shared" si="12"/>
        <v>157.66921747440398</v>
      </c>
      <c r="O60" s="19">
        <f>IF( A60&lt;Forudsætninger!$C$14,(G60/100)*Forudsætninger!$C$13,(Forudsætninger!$C$15/1000)*Forudsætninger!$C$13)</f>
        <v>0.80048623177915978</v>
      </c>
      <c r="P60" s="17" cm="1">
        <f t="array" ref="P60">INDEX('Model tilvækst, slagteform, fe'!$P$9:$P$375,MATCH(MIN(ABS('Model tilvækst, slagteform, fe'!$M$9:$M$375-G60)),ABS('Model tilvækst, slagteform, fe'!$M$9:$M$375-G60),0))*(1+Forudsætninger!$E$80)</f>
        <v>3.6128906014029463</v>
      </c>
      <c r="Q60" s="17">
        <f t="shared" si="13"/>
        <v>5.803736538314161</v>
      </c>
      <c r="R60" s="17">
        <f t="shared" si="14"/>
        <v>5.5597431427438568</v>
      </c>
      <c r="S60" s="17">
        <f t="shared" si="15"/>
        <v>2.8588264282768039</v>
      </c>
      <c r="T60" s="19">
        <f>(P60)*IF(N60&lt;Forudsætninger!$B$228,IF(N60&lt;Forudsætninger!$B$227,Forudsætninger!$B$225,Forudsætninger!$C$9),Forudsætninger!$C$11)+O60</f>
        <v>9.2546502390620535</v>
      </c>
      <c r="U60" s="5">
        <f>Forudsætninger!$E$68+((K60-(Forudsætninger!$E$84)))*0.01</f>
        <v>5.3298212821262334</v>
      </c>
      <c r="V60" s="2">
        <f>U60+Forudsætninger!$E$69</f>
        <v>5.3298212821262334</v>
      </c>
      <c r="W60">
        <f t="shared" si="4"/>
        <v>0</v>
      </c>
      <c r="X60">
        <f>IF(A60+Forudsætninger!$E$60&gt;248,IF(A60+Forudsætninger!$E$60&lt;365,IF(K60&gt;180,IF(K60&lt;260,1,0),0),0),0)</f>
        <v>0</v>
      </c>
      <c r="Y60" s="22">
        <f>IF(X60=0,0,IF('Vækstfunktion, kry kvie'!A60&lt;Forudsætninger!$E$66,Forudsætninger!$E$67+(('Vækstfunktion, kry kvie'!A60-Forudsætninger!$E$66)/7)*Forudsætninger!$E$64,Forudsætninger!$E$67))</f>
        <v>0</v>
      </c>
      <c r="Z60" s="19">
        <f t="shared" si="20"/>
        <v>910.98294758898101</v>
      </c>
      <c r="AA60" s="19">
        <f>Forudsætninger!$E$62+Forudsætninger!$C$16</f>
        <v>1575</v>
      </c>
      <c r="AB60" s="19">
        <f>IF(K60&gt;Forudsætninger!$C$48,IF(K60&gt;Forudsætninger!$C$49,IF(K60&gt;Forudsætninger!$C$50,Forudsætninger!$E$50,Forudsætninger!$E$49+Forudsætninger!$F$50*(K60-Forudsætninger!$C$49)),Forudsætninger!$E$48+Forudsætninger!$F$49*(K60-Forudsætninger!$C$48)),Forudsætninger!$E$48)+IF(K60&gt;Forudsætninger!$C$50,Forudsætninger!$G$50,IF(K60&gt;Forudsætninger!$C$49,Forudsætninger!$G$49+Forudsætninger!$H$50*(K60-Forudsætninger!$C$49),IF(K60&gt;Forudsætninger!$C$48,Forudsætninger!$G$48+Forudsætninger!$H$49*(K60-Forudsætninger!$C$48),Forudsætninger!$G$48)))*(U60-Forudsætninger!$H$48)</f>
        <v>35.132982128212625</v>
      </c>
      <c r="AC60" s="19">
        <f>IF(K60&gt;Forudsætninger!$C$52,IF(K60&gt;Forudsætninger!$C$53,IF(K60&gt;Forudsætninger!$C$54,Forudsætninger!$E$54,Forudsætninger!$E$53+Forudsætninger!$F$54*(K60-Forudsætninger!$C$53)),Forudsætninger!$E$52+Forudsætninger!$F$53*(K60-Forudsætninger!$C$52)),Forudsætninger!$E$52)+IF(K60&gt;Forudsætninger!$C$54,Forudsætninger!$G$54,IF(K60&gt;Forudsætninger!$C$53,Forudsætninger!$G$53+Forudsætninger!$H$54*(K60-Forudsætninger!$C$53),IF(K60&gt;Forudsætninger!$C$52,Forudsætninger!$G$52+Forudsætninger!$H$53*(K60-Forudsætninger!$C$52),Forudsætninger!$G$52)))*(V60-Forudsætninger!$H$52)</f>
        <v>29.982455320531557</v>
      </c>
      <c r="AD60" s="19">
        <f t="shared" si="5"/>
        <v>1838.6967769094856</v>
      </c>
      <c r="AE60" s="19">
        <f t="shared" si="6"/>
        <v>29.982455320531557</v>
      </c>
      <c r="AF60">
        <f>IF(G60&lt;=Forudsætninger!$C$97,Forudsætninger!$C$98,(IF(G60&lt;=Forudsætninger!$D$97,Forudsætninger!$D$98,IF(G60&lt;=Forudsætninger!$E$97,Forudsætninger!$E$98,IF(G60&lt;=Forudsætninger!$F$97,Forudsætninger!$F$98,IF(G60&lt;=Forudsætninger!$G$97,Forudsætninger!$G$98,IF(G60&lt;=Forudsætninger!$H$97,Forudsætninger!$H$98,IF(G60&lt;=Forudsætninger!$I$97,Forudsætninger!$I$98,Forudsætninger!$I$98))))))))</f>
        <v>2.2000000000000002</v>
      </c>
      <c r="AG60" s="1">
        <f t="shared" si="16"/>
        <v>2.2000000000000002</v>
      </c>
      <c r="AH60" s="1">
        <f t="shared" si="21"/>
        <v>127.60000000000011</v>
      </c>
      <c r="AI60" s="1">
        <f t="shared" si="7"/>
        <v>2.200000000000002</v>
      </c>
      <c r="AJ60" s="20">
        <f>+(W60*Forudsætninger!$C$12)</f>
        <v>0</v>
      </c>
      <c r="AK60" s="20">
        <f>Forudsætninger!$C$17</f>
        <v>250</v>
      </c>
      <c r="AL60" s="20">
        <f>IF(A60&lt;92,Forudsætninger!$C$20,Forudsætninger!$C$21)</f>
        <v>4.0072859744990899</v>
      </c>
      <c r="AM60" s="20">
        <f t="shared" si="17"/>
        <v>232.42258652094733</v>
      </c>
      <c r="AN60" s="19">
        <f>IFERROR(AD60+AJ60-AA60-Z60-AK60-AM60-Forudsætninger!$E$75,-999999)</f>
        <v>-1320.9255185370585</v>
      </c>
      <c r="AO60" s="19">
        <f>IFERROR(AN60/(A60+Forudsætninger!$E$74),-999999)</f>
        <v>-22.774577905811352</v>
      </c>
      <c r="AP60" s="19">
        <f>IFERROR(((365/(A60+Forudsætninger!$E$74))*AN60)/(AI60+Forudsætninger!$E$73),-999999)</f>
        <v>-3598.5804916108823</v>
      </c>
      <c r="AQ60" s="18">
        <f t="shared" si="8"/>
        <v>58</v>
      </c>
      <c r="AR60" s="18">
        <f t="shared" si="22"/>
        <v>2968.4055341099283</v>
      </c>
      <c r="AS60" s="18">
        <f t="shared" si="0"/>
        <v>3.1</v>
      </c>
      <c r="AT60" s="50">
        <f t="shared" si="23"/>
        <v>5.4969470996782093</v>
      </c>
      <c r="AU60" s="50">
        <f t="shared" si="24"/>
        <v>0.49599166676297557</v>
      </c>
      <c r="AV60" s="2">
        <f t="shared" si="25"/>
        <v>78.370977648694861</v>
      </c>
      <c r="AW60" s="16">
        <f t="shared" si="19"/>
        <v>-18.767291931312261</v>
      </c>
      <c r="AZ60" s="16"/>
      <c r="BA60" s="2"/>
    </row>
    <row r="61" spans="1:53" x14ac:dyDescent="0.25">
      <c r="A61">
        <v>59</v>
      </c>
      <c r="B61" s="1">
        <f>ROUND((A61+Forudsætninger!$E$60)/30.4,1)</f>
        <v>3.1</v>
      </c>
      <c r="C61" s="1">
        <f>VLOOKUP((A61+Forudsætninger!$E$60),'Model tilvækst, slagteform, fe'!A:D,4,FALSE)</f>
        <v>129.19156688519723</v>
      </c>
      <c r="D61" s="3">
        <f t="shared" si="26"/>
        <v>1387.754707420612</v>
      </c>
      <c r="E61" s="3">
        <f>(1+Forudsætninger!$E$78)*C61</f>
        <v>118.85624153438145</v>
      </c>
      <c r="F61" s="2">
        <f t="shared" si="28"/>
        <v>5.5028330270990571</v>
      </c>
      <c r="G61" s="1">
        <f t="shared" si="1"/>
        <v>124.35907456148051</v>
      </c>
      <c r="H61" s="3">
        <f t="shared" si="10"/>
        <v>1207.346595455931</v>
      </c>
      <c r="I61" s="3">
        <f t="shared" si="2"/>
        <v>955.23855188950017</v>
      </c>
      <c r="J61" s="1">
        <f>VLOOKUP((A61+Forudsætninger!$E$60),'Model tilvækst, slagteform, fe'!G:K,4,FALSE)*(1+Forudsætninger!$E$79)</f>
        <v>49.816594621293021</v>
      </c>
      <c r="K61" s="17">
        <f t="shared" si="3"/>
        <v>61.951456049084278</v>
      </c>
      <c r="L61" s="17">
        <f t="shared" si="11"/>
        <v>625.69879362787617</v>
      </c>
      <c r="M61" s="3">
        <f>((K61-(('Model tilvækst, slagteform, fe'!$J$9/100)*'Model tilvækst, slagteform, fe'!$D$9))*1000/(A61+Forudsætninger!$E$60))</f>
        <v>439.12682014990548</v>
      </c>
      <c r="N61" s="17">
        <f t="shared" si="12"/>
        <v>161.31365765458349</v>
      </c>
      <c r="O61" s="19">
        <f>IF( A61&lt;Forudsætninger!$C$14,(G61/100)*Forudsætninger!$C$13,(Forudsætninger!$C$15/1000)*Forudsætninger!$C$13)</f>
        <v>0.80833398464962336</v>
      </c>
      <c r="P61" s="17" cm="1">
        <f t="array" ref="P61">INDEX('Model tilvækst, slagteform, fe'!$P$9:$P$375,MATCH(MIN(ABS('Model tilvækst, slagteform, fe'!$M$9:$M$375-G61)),ABS('Model tilvækst, slagteform, fe'!$M$9:$M$375-G61),0))*(1+Forudsætninger!$E$80)</f>
        <v>3.6444401801795108</v>
      </c>
      <c r="Q61" s="17">
        <f t="shared" si="13"/>
        <v>5.8245919878614636</v>
      </c>
      <c r="R61" s="17">
        <f t="shared" si="14"/>
        <v>5.5654604741292211</v>
      </c>
      <c r="S61" s="17">
        <f t="shared" si="15"/>
        <v>2.8622481634011043</v>
      </c>
      <c r="T61" s="19">
        <f>(P61)*IF(N61&lt;Forudsætninger!$B$228,IF(N61&lt;Forudsætninger!$B$227,Forudsætninger!$B$225,Forudsætninger!$C$9),Forudsætninger!$C$11)+O61</f>
        <v>9.3363240062696775</v>
      </c>
      <c r="U61" s="5">
        <f>Forudsætninger!$E$68+((K61-(Forudsætninger!$E$84)))*0.01</f>
        <v>5.3360782700625116</v>
      </c>
      <c r="V61" s="2">
        <f>U61+Forudsætninger!$E$69</f>
        <v>5.3360782700625116</v>
      </c>
      <c r="W61">
        <f t="shared" si="4"/>
        <v>0</v>
      </c>
      <c r="X61">
        <f>IF(A61+Forudsætninger!$E$60&gt;248,IF(A61+Forudsætninger!$E$60&lt;365,IF(K61&gt;180,IF(K61&lt;260,1,0),0),0),0)</f>
        <v>0</v>
      </c>
      <c r="Y61" s="22">
        <f>IF(X61=0,0,IF('Vækstfunktion, kry kvie'!A61&lt;Forudsætninger!$E$66,Forudsætninger!$E$67+(('Vækstfunktion, kry kvie'!A61-Forudsætninger!$E$66)/7)*Forudsætninger!$E$64,Forudsætninger!$E$67))</f>
        <v>0</v>
      </c>
      <c r="Z61" s="19">
        <f t="shared" si="20"/>
        <v>920.31927159525071</v>
      </c>
      <c r="AA61" s="19">
        <f>Forudsætninger!$E$62+Forudsætninger!$C$16</f>
        <v>1575</v>
      </c>
      <c r="AB61" s="19">
        <f>IF(K61&gt;Forudsætninger!$C$48,IF(K61&gt;Forudsætninger!$C$49,IF(K61&gt;Forudsætninger!$C$50,Forudsætninger!$E$50,Forudsætninger!$E$49+Forudsætninger!$F$50*(K61-Forudsætninger!$C$49)),Forudsætninger!$E$48+Forudsætninger!$F$49*(K61-Forudsætninger!$C$48)),Forudsætninger!$E$48)+IF(K61&gt;Forudsætninger!$C$50,Forudsætninger!$G$50,IF(K61&gt;Forudsætninger!$C$49,Forudsætninger!$G$49+Forudsætninger!$H$50*(K61-Forudsætninger!$C$49),IF(K61&gt;Forudsætninger!$C$48,Forudsætninger!$G$48+Forudsætninger!$H$49*(K61-Forudsætninger!$C$48),Forudsætninger!$G$48)))*(U61-Forudsætninger!$H$48)</f>
        <v>35.133607827006252</v>
      </c>
      <c r="AC61" s="19">
        <f>IF(K61&gt;Forudsætninger!$C$52,IF(K61&gt;Forudsætninger!$C$53,IF(K61&gt;Forudsætninger!$C$54,Forudsætninger!$E$54,Forudsætninger!$E$53+Forudsætninger!$F$54*(K61-Forudsætninger!$C$53)),Forudsætninger!$E$52+Forudsætninger!$F$53*(K61-Forudsætninger!$C$52)),Forudsætninger!$E$52)+IF(K61&gt;Forudsætninger!$C$54,Forudsætninger!$G$54,IF(K61&gt;Forudsætninger!$C$53,Forudsætninger!$G$53+Forudsætninger!$H$54*(K61-Forudsætninger!$C$53),IF(K61&gt;Forudsætninger!$C$52,Forudsætninger!$G$52+Forudsætninger!$H$53*(K61-Forudsætninger!$C$52),Forudsætninger!$G$52)))*(V61-Forudsætninger!$H$52)</f>
        <v>29.984019567515627</v>
      </c>
      <c r="AD61" s="19">
        <f t="shared" si="5"/>
        <v>1857.5536704118274</v>
      </c>
      <c r="AE61" s="19">
        <f t="shared" si="6"/>
        <v>29.984019567515627</v>
      </c>
      <c r="AF61">
        <f>IF(G61&lt;=Forudsætninger!$C$97,Forudsætninger!$C$98,(IF(G61&lt;=Forudsætninger!$D$97,Forudsætninger!$D$98,IF(G61&lt;=Forudsætninger!$E$97,Forudsætninger!$E$98,IF(G61&lt;=Forudsætninger!$F$97,Forudsætninger!$F$98,IF(G61&lt;=Forudsætninger!$G$97,Forudsætninger!$G$98,IF(G61&lt;=Forudsætninger!$H$97,Forudsætninger!$H$98,IF(G61&lt;=Forudsætninger!$I$97,Forudsætninger!$I$98,Forudsætninger!$I$98))))))))</f>
        <v>2.2000000000000002</v>
      </c>
      <c r="AG61" s="1">
        <f t="shared" si="16"/>
        <v>2.2000000000000002</v>
      </c>
      <c r="AH61" s="1">
        <f t="shared" si="21"/>
        <v>129.8000000000001</v>
      </c>
      <c r="AI61" s="1">
        <f t="shared" si="7"/>
        <v>2.2000000000000015</v>
      </c>
      <c r="AJ61" s="20">
        <f>+(W61*Forudsætninger!$C$12)</f>
        <v>0</v>
      </c>
      <c r="AK61" s="20">
        <f>Forudsætninger!$C$17</f>
        <v>250</v>
      </c>
      <c r="AL61" s="20">
        <f>IF(A61&lt;92,Forudsætninger!$C$20,Forudsætninger!$C$21)</f>
        <v>4.0072859744990899</v>
      </c>
      <c r="AM61" s="20">
        <f t="shared" si="17"/>
        <v>236.42987249544643</v>
      </c>
      <c r="AN61" s="19">
        <f>IFERROR(AD61+AJ61-AA61-Z61-AK61-AM61-Forudsætninger!$E$75,-999999)</f>
        <v>-1315.4122350154855</v>
      </c>
      <c r="AO61" s="19">
        <f>IFERROR(AN61/(A61+Forudsætninger!$E$74),-999999)</f>
        <v>-22.295122627381112</v>
      </c>
      <c r="AP61" s="19">
        <f>IFERROR(((365/(A61+Forudsætninger!$E$74))*AN61)/(AI61+Forudsætninger!$E$73),-999999)</f>
        <v>-3522.8224064909527</v>
      </c>
      <c r="AQ61" s="18">
        <f t="shared" si="8"/>
        <v>59</v>
      </c>
      <c r="AR61" s="18">
        <f t="shared" si="22"/>
        <v>2981.7491440906974</v>
      </c>
      <c r="AS61" s="18">
        <f t="shared" si="0"/>
        <v>3.1</v>
      </c>
      <c r="AT61" s="50">
        <f t="shared" si="23"/>
        <v>5.5132835215729301</v>
      </c>
      <c r="AU61" s="50">
        <f t="shared" si="24"/>
        <v>0.47945527843024038</v>
      </c>
      <c r="AV61" s="2">
        <f t="shared" si="25"/>
        <v>75.758085119929547</v>
      </c>
      <c r="AW61" s="16">
        <f t="shared" si="19"/>
        <v>-18.287836652882017</v>
      </c>
      <c r="AZ61" s="16"/>
      <c r="BA61" s="2"/>
    </row>
    <row r="62" spans="1:53" x14ac:dyDescent="0.25">
      <c r="A62">
        <v>60</v>
      </c>
      <c r="B62" s="1">
        <f>ROUND((A62+Forudsætninger!$E$60)/30.4,1)</f>
        <v>3.2</v>
      </c>
      <c r="C62" s="1">
        <f>VLOOKUP((A62+Forudsætninger!$E$60),'Model tilvækst, slagteform, fe'!A:D,4,FALSE)</f>
        <v>130.58565883481387</v>
      </c>
      <c r="D62" s="3">
        <f t="shared" si="26"/>
        <v>1394.0919496166373</v>
      </c>
      <c r="E62" s="3">
        <f>(1+Forudsætninger!$E$78)*C62</f>
        <v>120.13880612802876</v>
      </c>
      <c r="F62" s="2">
        <f t="shared" si="28"/>
        <v>5.4331284296182254</v>
      </c>
      <c r="G62" s="1">
        <f t="shared" si="1"/>
        <v>125.57193455764698</v>
      </c>
      <c r="H62" s="3">
        <f t="shared" si="10"/>
        <v>1212.8599961664718</v>
      </c>
      <c r="I62" s="3">
        <f t="shared" si="2"/>
        <v>959.53224262744982</v>
      </c>
      <c r="J62" s="1">
        <f>VLOOKUP((A62+Forudsætninger!$E$60),'Model tilvækst, slagteform, fe'!G:K,4,FALSE)*(1+Forudsætninger!$E$79)</f>
        <v>49.836214146844718</v>
      </c>
      <c r="K62" s="17">
        <f t="shared" si="3"/>
        <v>62.580298214484657</v>
      </c>
      <c r="L62" s="17">
        <f t="shared" si="11"/>
        <v>628.84216540037846</v>
      </c>
      <c r="M62" s="3">
        <f>((K62-(('Model tilvækst, slagteform, fe'!$J$9/100)*'Model tilvækst, slagteform, fe'!$D$9))*1000/(A62+Forudsætninger!$E$60))</f>
        <v>441.10302166293133</v>
      </c>
      <c r="N62" s="17">
        <f t="shared" si="12"/>
        <v>164.98947894366657</v>
      </c>
      <c r="O62" s="19">
        <f>IF( A62&lt;Forudsætninger!$C$14,(G62/100)*Forudsætninger!$C$13,(Forudsætninger!$C$15/1000)*Forudsætninger!$C$13)</f>
        <v>0.81621757462470546</v>
      </c>
      <c r="P62" s="17" cm="1">
        <f t="array" ref="P62">INDEX('Model tilvækst, slagteform, fe'!$P$9:$P$375,MATCH(MIN(ABS('Model tilvækst, slagteform, fe'!$M$9:$M$375-G62)),ABS('Model tilvækst, slagteform, fe'!$M$9:$M$375-G62),0))*(1+Forudsætninger!$E$80)</f>
        <v>3.6758212890830677</v>
      </c>
      <c r="Q62" s="17">
        <f t="shared" si="13"/>
        <v>5.8453797969204295</v>
      </c>
      <c r="R62" s="17">
        <f t="shared" si="14"/>
        <v>5.5714045312658413</v>
      </c>
      <c r="S62" s="17">
        <f t="shared" si="15"/>
        <v>2.8657970278636724</v>
      </c>
      <c r="T62" s="19">
        <f>(P62)*IF(N62&lt;Forudsætninger!$B$228,IF(N62&lt;Forudsætninger!$B$227,Forudsætninger!$B$225,Forudsætninger!$C$9),Forudsætninger!$C$11)+O62</f>
        <v>9.4176393910790832</v>
      </c>
      <c r="U62" s="5">
        <f>Forudsætninger!$E$68+((K62-(Forudsætninger!$E$84)))*0.01</f>
        <v>5.3423666917165153</v>
      </c>
      <c r="V62" s="2">
        <f>U62+Forudsætninger!$E$69</f>
        <v>5.3423666917165153</v>
      </c>
      <c r="W62">
        <f t="shared" si="4"/>
        <v>0</v>
      </c>
      <c r="X62">
        <f>IF(A62+Forudsætninger!$E$60&gt;248,IF(A62+Forudsætninger!$E$60&lt;365,IF(K62&gt;180,IF(K62&lt;260,1,0),0),0),0)</f>
        <v>0</v>
      </c>
      <c r="Y62" s="22">
        <f>IF(X62=0,0,IF('Vækstfunktion, kry kvie'!A62&lt;Forudsætninger!$E$66,Forudsætninger!$E$67+(('Vækstfunktion, kry kvie'!A62-Forudsætninger!$E$66)/7)*Forudsætninger!$E$64,Forudsætninger!$E$67))</f>
        <v>0</v>
      </c>
      <c r="Z62" s="19">
        <f t="shared" si="20"/>
        <v>929.7369109863298</v>
      </c>
      <c r="AA62" s="19">
        <f>Forudsætninger!$E$62+Forudsætninger!$C$16</f>
        <v>1575</v>
      </c>
      <c r="AB62" s="19">
        <f>IF(K62&gt;Forudsætninger!$C$48,IF(K62&gt;Forudsætninger!$C$49,IF(K62&gt;Forudsætninger!$C$50,Forudsætninger!$E$50,Forudsætninger!$E$49+Forudsætninger!$F$50*(K62-Forudsætninger!$C$49)),Forudsætninger!$E$48+Forudsætninger!$F$49*(K62-Forudsætninger!$C$48)),Forudsætninger!$E$48)+IF(K62&gt;Forudsætninger!$C$50,Forudsætninger!$G$50,IF(K62&gt;Forudsætninger!$C$49,Forudsætninger!$G$49+Forudsætninger!$H$50*(K62-Forudsætninger!$C$49),IF(K62&gt;Forudsætninger!$C$48,Forudsætninger!$G$48+Forudsætninger!$H$49*(K62-Forudsætninger!$C$48),Forudsætninger!$G$48)))*(U62-Forudsætninger!$H$48)</f>
        <v>35.134236669171649</v>
      </c>
      <c r="AC62" s="19">
        <f>IF(K62&gt;Forudsætninger!$C$52,IF(K62&gt;Forudsætninger!$C$53,IF(K62&gt;Forudsætninger!$C$54,Forudsætninger!$E$54,Forudsætninger!$E$53+Forudsætninger!$F$54*(K62-Forudsætninger!$C$53)),Forudsætninger!$E$52+Forudsætninger!$F$53*(K62-Forudsætninger!$C$52)),Forudsætninger!$E$52)+IF(K62&gt;Forudsætninger!$C$54,Forudsætninger!$G$54,IF(K62&gt;Forudsætninger!$C$53,Forudsætninger!$G$53+Forudsætninger!$H$54*(K62-Forudsætninger!$C$53),IF(K62&gt;Forudsætninger!$C$52,Forudsætninger!$G$52+Forudsætninger!$H$53*(K62-Forudsætninger!$C$52),Forudsætninger!$G$52)))*(V62-Forudsætninger!$H$52)</f>
        <v>29.985591672929129</v>
      </c>
      <c r="AD62" s="19">
        <f t="shared" si="5"/>
        <v>1876.5072690296727</v>
      </c>
      <c r="AE62" s="19">
        <f t="shared" si="6"/>
        <v>29.985591672929129</v>
      </c>
      <c r="AF62">
        <f>IF(G62&lt;=Forudsætninger!$C$97,Forudsætninger!$C$98,(IF(G62&lt;=Forudsætninger!$D$97,Forudsætninger!$D$98,IF(G62&lt;=Forudsætninger!$E$97,Forudsætninger!$E$98,IF(G62&lt;=Forudsætninger!$F$97,Forudsætninger!$F$98,IF(G62&lt;=Forudsætninger!$G$97,Forudsætninger!$G$98,IF(G62&lt;=Forudsætninger!$H$97,Forudsætninger!$H$98,IF(G62&lt;=Forudsætninger!$I$97,Forudsætninger!$I$98,Forudsætninger!$I$98))))))))</f>
        <v>2.2000000000000002</v>
      </c>
      <c r="AG62" s="1">
        <f t="shared" si="16"/>
        <v>2.2000000000000002</v>
      </c>
      <c r="AH62" s="1">
        <f t="shared" si="21"/>
        <v>132.00000000000009</v>
      </c>
      <c r="AI62" s="1">
        <f t="shared" si="7"/>
        <v>2.2000000000000015</v>
      </c>
      <c r="AJ62" s="20">
        <f>+(W62*Forudsætninger!$C$12)</f>
        <v>0</v>
      </c>
      <c r="AK62" s="20">
        <f>Forudsætninger!$C$17</f>
        <v>250</v>
      </c>
      <c r="AL62" s="20">
        <f>IF(A62&lt;92,Forudsætninger!$C$20,Forudsætninger!$C$21)</f>
        <v>4.0072859744990899</v>
      </c>
      <c r="AM62" s="20">
        <f t="shared" si="17"/>
        <v>240.43715846994553</v>
      </c>
      <c r="AN62" s="19">
        <f>IFERROR(AD62+AJ62-AA62-Z62-AK62-AM62-Forudsætninger!$E$75,-999999)</f>
        <v>-1309.8835617632183</v>
      </c>
      <c r="AO62" s="19">
        <f>IFERROR(AN62/(A62+Forudsætninger!$E$74),-999999)</f>
        <v>-21.831392696053637</v>
      </c>
      <c r="AP62" s="19">
        <f>IFERROR(((365/(A62+Forudsætninger!$E$74))*AN62)/(AI62+Forudsætninger!$E$73),-999999)</f>
        <v>-3449.5490623634514</v>
      </c>
      <c r="AQ62" s="18">
        <f t="shared" si="8"/>
        <v>60</v>
      </c>
      <c r="AR62" s="18">
        <f t="shared" si="22"/>
        <v>2995.1740694562754</v>
      </c>
      <c r="AS62" s="18">
        <f t="shared" si="0"/>
        <v>3.2</v>
      </c>
      <c r="AT62" s="50">
        <f t="shared" si="23"/>
        <v>5.5286732522672537</v>
      </c>
      <c r="AU62" s="50">
        <f t="shared" si="24"/>
        <v>0.46372993132747453</v>
      </c>
      <c r="AV62" s="2">
        <f t="shared" si="25"/>
        <v>73.273344127501332</v>
      </c>
      <c r="AW62" s="16">
        <f t="shared" si="19"/>
        <v>-17.824106721554546</v>
      </c>
      <c r="AZ62" s="16"/>
      <c r="BA62" s="2"/>
    </row>
    <row r="63" spans="1:53" x14ac:dyDescent="0.25">
      <c r="A63">
        <v>61</v>
      </c>
      <c r="B63" s="1">
        <f>ROUND((A63+Forudsætninger!$E$60)/30.4,1)</f>
        <v>3.2</v>
      </c>
      <c r="C63" s="1">
        <f>VLOOKUP((A63+Forudsætninger!$E$60),'Model tilvækst, slagteform, fe'!A:D,4,FALSE)</f>
        <v>131.98597387359661</v>
      </c>
      <c r="D63" s="3">
        <f t="shared" si="26"/>
        <v>1400.3150387827361</v>
      </c>
      <c r="E63" s="3">
        <f>(1+Forudsætninger!$E$78)*C63</f>
        <v>121.42709596370888</v>
      </c>
      <c r="F63" s="2">
        <f t="shared" si="28"/>
        <v>5.3631126776790889</v>
      </c>
      <c r="G63" s="1">
        <f t="shared" si="1"/>
        <v>126.79020864138796</v>
      </c>
      <c r="H63" s="3">
        <f t="shared" si="10"/>
        <v>1218.2740837409797</v>
      </c>
      <c r="I63" s="3">
        <f t="shared" si="2"/>
        <v>963.77391215390105</v>
      </c>
      <c r="J63" s="1">
        <f>VLOOKUP((A63+Forudsætninger!$E$60),'Model tilvækst, slagteform, fe'!G:K,4,FALSE)*(1+Forudsætninger!$E$79)</f>
        <v>49.855773935133506</v>
      </c>
      <c r="K63" s="17">
        <f t="shared" si="3"/>
        <v>63.21223979213449</v>
      </c>
      <c r="L63" s="17">
        <f t="shared" si="11"/>
        <v>631.94157764983311</v>
      </c>
      <c r="M63" s="3">
        <f>((K63-(('Model tilvækst, slagteform, fe'!$J$9/100)*'Model tilvækst, slagteform, fe'!$D$9))*1000/(A63+Forudsætninger!$E$60))</f>
        <v>443.07042945661061</v>
      </c>
      <c r="N63" s="17">
        <f t="shared" si="12"/>
        <v>168.69651415493814</v>
      </c>
      <c r="O63" s="19">
        <f>IF( A63&lt;Forudsætninger!$C$14,(G63/100)*Forudsætninger!$C$13,(Forudsætninger!$C$15/1000)*Forudsætninger!$C$13)</f>
        <v>0.82413635616902181</v>
      </c>
      <c r="P63" s="17" cm="1">
        <f t="array" ref="P63">INDEX('Model tilvækst, slagteform, fe'!$P$9:$P$375,MATCH(MIN(ABS('Model tilvækst, slagteform, fe'!$M$9:$M$375-G63)),ABS('Model tilvækst, slagteform, fe'!$M$9:$M$375-G63),0))*(1+Forudsætninger!$E$80)</f>
        <v>3.7070352112715721</v>
      </c>
      <c r="Q63" s="17">
        <f t="shared" si="13"/>
        <v>5.8661043083411233</v>
      </c>
      <c r="R63" s="17">
        <f t="shared" si="14"/>
        <v>5.5775618980896393</v>
      </c>
      <c r="S63" s="17">
        <f t="shared" si="15"/>
        <v>2.8694661586245296</v>
      </c>
      <c r="T63" s="19">
        <f>(P63)*IF(N63&lt;Forudsætninger!$B$228,IF(N63&lt;Forudsætninger!$B$227,Forudsætninger!$B$225,Forudsætninger!$C$9),Forudsætninger!$C$11)+O63</f>
        <v>9.4985987505445006</v>
      </c>
      <c r="U63" s="5">
        <f>Forudsætninger!$E$68+((K63-(Forudsætninger!$E$84)))*0.01</f>
        <v>5.3486861074930143</v>
      </c>
      <c r="V63" s="2">
        <f>U63+Forudsætninger!$E$69</f>
        <v>5.3486861074930143</v>
      </c>
      <c r="W63">
        <f t="shared" si="4"/>
        <v>0</v>
      </c>
      <c r="X63">
        <f>IF(A63+Forudsætninger!$E$60&gt;248,IF(A63+Forudsætninger!$E$60&lt;365,IF(K63&gt;180,IF(K63&lt;260,1,0),0),0),0)</f>
        <v>0</v>
      </c>
      <c r="Y63" s="22">
        <f>IF(X63=0,0,IF('Vækstfunktion, kry kvie'!A63&lt;Forudsætninger!$E$66,Forudsætninger!$E$67+(('Vækstfunktion, kry kvie'!A63-Forudsætninger!$E$66)/7)*Forudsætninger!$E$64,Forudsætninger!$E$67))</f>
        <v>0</v>
      </c>
      <c r="Z63" s="19">
        <f>Z62+T63</f>
        <v>939.23550973687429</v>
      </c>
      <c r="AA63" s="19">
        <f>Forudsætninger!$E$62+Forudsætninger!$C$16</f>
        <v>1575</v>
      </c>
      <c r="AB63" s="19">
        <f>IF(K63&gt;Forudsætninger!$C$48,IF(K63&gt;Forudsætninger!$C$49,IF(K63&gt;Forudsætninger!$C$50,Forudsætninger!$E$50,Forudsætninger!$E$49+Forudsætninger!$F$50*(K63-Forudsætninger!$C$49)),Forudsætninger!$E$48+Forudsætninger!$F$49*(K63-Forudsætninger!$C$48)),Forudsætninger!$E$48)+IF(K63&gt;Forudsætninger!$C$50,Forudsætninger!$G$50,IF(K63&gt;Forudsætninger!$C$49,Forudsætninger!$G$49+Forudsætninger!$H$50*(K63-Forudsætninger!$C$49),IF(K63&gt;Forudsætninger!$C$48,Forudsætninger!$G$48+Forudsætninger!$H$49*(K63-Forudsætninger!$C$48),Forudsætninger!$G$48)))*(U63-Forudsætninger!$H$48)</f>
        <v>35.134868610749301</v>
      </c>
      <c r="AC63" s="19">
        <f>IF(K63&gt;Forudsætninger!$C$52,IF(K63&gt;Forudsætninger!$C$53,IF(K63&gt;Forudsætninger!$C$54,Forudsætninger!$E$54,Forudsætninger!$E$53+Forudsætninger!$F$54*(K63-Forudsætninger!$C$53)),Forudsætninger!$E$52+Forudsætninger!$F$53*(K63-Forudsætninger!$C$52)),Forudsætninger!$E$52)+IF(K63&gt;Forudsætninger!$C$54,Forudsætninger!$G$54,IF(K63&gt;Forudsætninger!$C$53,Forudsætninger!$G$53+Forudsætninger!$H$54*(K63-Forudsætninger!$C$53),IF(K63&gt;Forudsætninger!$C$52,Forudsætninger!$G$52+Forudsætninger!$H$53*(K63-Forudsætninger!$C$52),Forudsætninger!$G$52)))*(V63-Forudsætninger!$H$52)</f>
        <v>29.987171526873251</v>
      </c>
      <c r="AD63" s="19">
        <f t="shared" si="5"/>
        <v>1895.5562772445796</v>
      </c>
      <c r="AE63" s="19">
        <f t="shared" si="6"/>
        <v>29.987171526873251</v>
      </c>
      <c r="AF63">
        <f>IF(G63&lt;=Forudsætninger!$C$97,Forudsætninger!$C$98,(IF(G63&lt;=Forudsætninger!$D$97,Forudsætninger!$D$98,IF(G63&lt;=Forudsætninger!$E$97,Forudsætninger!$E$98,IF(G63&lt;=Forudsætninger!$F$97,Forudsætninger!$F$98,IF(G63&lt;=Forudsætninger!$G$97,Forudsætninger!$G$98,IF(G63&lt;=Forudsætninger!$H$97,Forudsætninger!$H$98,IF(G63&lt;=Forudsætninger!$I$97,Forudsætninger!$I$98,Forudsætninger!$I$98))))))))</f>
        <v>2.2000000000000002</v>
      </c>
      <c r="AG63" s="1">
        <f t="shared" si="16"/>
        <v>2.2000000000000002</v>
      </c>
      <c r="AH63" s="1">
        <f t="shared" si="21"/>
        <v>134.20000000000007</v>
      </c>
      <c r="AI63" s="1">
        <f t="shared" si="7"/>
        <v>2.2000000000000011</v>
      </c>
      <c r="AJ63" s="20">
        <f>+(W63*Forudsætninger!$C$12)</f>
        <v>0</v>
      </c>
      <c r="AK63" s="20">
        <f>Forudsætninger!$C$17</f>
        <v>250</v>
      </c>
      <c r="AL63" s="20">
        <f>IF(A63&lt;92,Forudsætninger!$C$20,Forudsætninger!$C$21)</f>
        <v>4.0072859744990899</v>
      </c>
      <c r="AM63" s="20">
        <f t="shared" si="17"/>
        <v>244.44444444444463</v>
      </c>
      <c r="AN63" s="19">
        <f>IFERROR(AD63+AJ63-AA63-Z63-AK63-AM63-Forudsætninger!$E$75,-999999)</f>
        <v>-1304.3404382733549</v>
      </c>
      <c r="AO63" s="19">
        <f>IFERROR(AN63/(A63+Forudsætninger!$E$74),-999999)</f>
        <v>-21.382630135628769</v>
      </c>
      <c r="AP63" s="19">
        <f>IFERROR(((365/(A63+Forudsætninger!$E$74))*AN63)/(AI63+Forudsætninger!$E$73),-999999)</f>
        <v>-3378.6406924261896</v>
      </c>
      <c r="AQ63" s="18">
        <f t="shared" si="8"/>
        <v>61</v>
      </c>
      <c r="AR63" s="18">
        <f t="shared" si="22"/>
        <v>3008.6799541813193</v>
      </c>
      <c r="AS63" s="18">
        <f t="shared" si="0"/>
        <v>3.2</v>
      </c>
      <c r="AT63" s="50">
        <f t="shared" si="23"/>
        <v>5.5431234898633193</v>
      </c>
      <c r="AU63" s="50">
        <f t="shared" si="24"/>
        <v>0.44876256042486773</v>
      </c>
      <c r="AV63" s="2">
        <f t="shared" si="25"/>
        <v>70.908369937261796</v>
      </c>
      <c r="AW63" s="16">
        <f t="shared" si="19"/>
        <v>-17.375344161129679</v>
      </c>
      <c r="AZ63" s="16"/>
      <c r="BA63" s="2"/>
    </row>
    <row r="64" spans="1:53" x14ac:dyDescent="0.25">
      <c r="A64">
        <v>62</v>
      </c>
      <c r="B64" s="1">
        <f>ROUND((A64+Forudsætninger!$E$60)/30.4,1)</f>
        <v>3.2</v>
      </c>
      <c r="C64" s="1">
        <f>VLOOKUP((A64+Forudsætninger!$E$60),'Model tilvækst, slagteform, fe'!A:D,4,FALSE)</f>
        <v>133.39239843353641</v>
      </c>
      <c r="D64" s="3">
        <f t="shared" si="26"/>
        <v>1406.4245599398078</v>
      </c>
      <c r="E64" s="3">
        <f>(1+Forudsætninger!$E$78)*C64</f>
        <v>122.7210065588535</v>
      </c>
      <c r="F64" s="2">
        <f t="shared" si="28"/>
        <v>5.2927914496820989</v>
      </c>
      <c r="G64" s="1">
        <f t="shared" si="1"/>
        <v>128.01379800853562</v>
      </c>
      <c r="H64" s="3">
        <f t="shared" si="10"/>
        <v>1223.5893671476533</v>
      </c>
      <c r="I64" s="3">
        <f t="shared" si="2"/>
        <v>967.96448400863903</v>
      </c>
      <c r="J64" s="1">
        <f>VLOOKUP((A64+Forudsætninger!$E$60),'Model tilvækst, slagteform, fe'!G:K,4,FALSE)*(1+Forudsætninger!$E$79)</f>
        <v>49.875277625806575</v>
      </c>
      <c r="K64" s="17">
        <f t="shared" si="3"/>
        <v>63.847237156096384</v>
      </c>
      <c r="L64" s="17">
        <f t="shared" si="11"/>
        <v>634.99736396189383</v>
      </c>
      <c r="M64" s="3">
        <f>((K64-(('Model tilvækst, slagteform, fe'!$J$9/100)*'Model tilvækst, slagteform, fe'!$D$9))*1000/(A64+Forudsætninger!$E$60))</f>
        <v>445.02886756380752</v>
      </c>
      <c r="N64" s="17">
        <f t="shared" si="12"/>
        <v>172.43459738484111</v>
      </c>
      <c r="O64" s="19">
        <f>IF( A64&lt;Forudsætninger!$C$14,(G64/100)*Forudsætninger!$C$13,(Forudsætninger!$C$15/1000)*Forudsætninger!$C$13)</f>
        <v>0.83208968705548148</v>
      </c>
      <c r="P64" s="17" cm="1">
        <f t="array" ref="P64">INDEX('Model tilvækst, slagteform, fe'!$P$9:$P$375,MATCH(MIN(ABS('Model tilvækst, slagteform, fe'!$M$9:$M$375-G64)),ABS('Model tilvækst, slagteform, fe'!$M$9:$M$375-G64),0))*(1+Forudsætninger!$E$80)</f>
        <v>3.7380832299029723</v>
      </c>
      <c r="Q64" s="17">
        <f t="shared" si="13"/>
        <v>5.886769681342007</v>
      </c>
      <c r="R64" s="17">
        <f t="shared" si="14"/>
        <v>5.5839201412230217</v>
      </c>
      <c r="S64" s="17">
        <f t="shared" si="15"/>
        <v>2.8732492044632161</v>
      </c>
      <c r="T64" s="19">
        <f>(P64)*IF(N64&lt;Forudsætninger!$B$228,IF(N64&lt;Forudsætninger!$B$227,Forudsætninger!$B$225,Forudsætninger!$C$9),Forudsætninger!$C$11)+O64</f>
        <v>9.5792044450284362</v>
      </c>
      <c r="U64" s="5">
        <f>Forudsætninger!$E$68+((K64-(Forudsætninger!$E$84)))*0.01</f>
        <v>5.3550360811326332</v>
      </c>
      <c r="V64" s="2">
        <f>U64+Forudsætninger!$E$69</f>
        <v>5.3550360811326332</v>
      </c>
      <c r="W64">
        <f t="shared" si="4"/>
        <v>0</v>
      </c>
      <c r="X64">
        <f>IF(A64+Forudsætninger!$E$60&gt;248,IF(A64+Forudsætninger!$E$60&lt;365,IF(K64&gt;180,IF(K64&lt;260,1,0),0),0),0)</f>
        <v>0</v>
      </c>
      <c r="Y64" s="22">
        <f>IF(X64=0,0,IF('Vækstfunktion, kry kvie'!A64&lt;Forudsætninger!$E$66,Forudsætninger!$E$67+(('Vækstfunktion, kry kvie'!A64-Forudsætninger!$E$66)/7)*Forudsætninger!$E$64,Forudsætninger!$E$67))</f>
        <v>0</v>
      </c>
      <c r="Z64" s="19">
        <f t="shared" si="20"/>
        <v>948.81471418190267</v>
      </c>
      <c r="AA64" s="19">
        <f>Forudsætninger!$E$62+Forudsætninger!$C$16</f>
        <v>1575</v>
      </c>
      <c r="AB64" s="19">
        <f>IF(K64&gt;Forudsætninger!$C$48,IF(K64&gt;Forudsætninger!$C$49,IF(K64&gt;Forudsætninger!$C$50,Forudsætninger!$E$50,Forudsætninger!$E$49+Forudsætninger!$F$50*(K64-Forudsætninger!$C$49)),Forudsætninger!$E$48+Forudsætninger!$F$49*(K64-Forudsætninger!$C$48)),Forudsætninger!$E$48)+IF(K64&gt;Forudsætninger!$C$50,Forudsætninger!$G$50,IF(K64&gt;Forudsætninger!$C$49,Forudsætninger!$G$49+Forudsætninger!$H$50*(K64-Forudsætninger!$C$49),IF(K64&gt;Forudsætninger!$C$48,Forudsætninger!$G$48+Forudsætninger!$H$49*(K64-Forudsætninger!$C$48),Forudsætninger!$G$48)))*(U64-Forudsætninger!$H$48)</f>
        <v>35.135503608113261</v>
      </c>
      <c r="AC64" s="19">
        <f>IF(K64&gt;Forudsætninger!$C$52,IF(K64&gt;Forudsætninger!$C$53,IF(K64&gt;Forudsætninger!$C$54,Forudsætninger!$E$54,Forudsætninger!$E$53+Forudsætninger!$F$54*(K64-Forudsætninger!$C$53)),Forudsætninger!$E$52+Forudsætninger!$F$53*(K64-Forudsætninger!$C$52)),Forudsætninger!$E$52)+IF(K64&gt;Forudsætninger!$C$54,Forudsætninger!$G$54,IF(K64&gt;Forudsætninger!$C$53,Forudsætninger!$G$53+Forudsætninger!$H$54*(K64-Forudsætninger!$C$53),IF(K64&gt;Forudsætninger!$C$52,Forudsætninger!$G$52+Forudsætninger!$H$53*(K64-Forudsætninger!$C$52),Forudsætninger!$G$52)))*(V64-Forudsætninger!$H$52)</f>
        <v>29.988759020283158</v>
      </c>
      <c r="AD64" s="19">
        <f t="shared" si="5"/>
        <v>1914.6994091850434</v>
      </c>
      <c r="AE64" s="19">
        <f t="shared" si="6"/>
        <v>29.988759020283158</v>
      </c>
      <c r="AF64">
        <f>IF(G64&lt;=Forudsætninger!$C$97,Forudsætninger!$C$98,(IF(G64&lt;=Forudsætninger!$D$97,Forudsætninger!$D$98,IF(G64&lt;=Forudsætninger!$E$97,Forudsætninger!$E$98,IF(G64&lt;=Forudsætninger!$F$97,Forudsætninger!$F$98,IF(G64&lt;=Forudsætninger!$G$97,Forudsætninger!$G$98,IF(G64&lt;=Forudsætninger!$H$97,Forudsætninger!$H$98,IF(G64&lt;=Forudsætninger!$I$97,Forudsætninger!$I$98,Forudsætninger!$I$98))))))))</f>
        <v>2.2000000000000002</v>
      </c>
      <c r="AG64" s="1">
        <f t="shared" si="16"/>
        <v>2.2000000000000002</v>
      </c>
      <c r="AH64" s="1">
        <f t="shared" si="21"/>
        <v>136.40000000000006</v>
      </c>
      <c r="AI64" s="1">
        <f t="shared" si="7"/>
        <v>2.2000000000000011</v>
      </c>
      <c r="AJ64" s="20">
        <f>+(W64*Forudsætninger!$C$12)</f>
        <v>0</v>
      </c>
      <c r="AK64" s="20">
        <f>Forudsætninger!$C$17</f>
        <v>250</v>
      </c>
      <c r="AL64" s="20">
        <f>IF(A64&lt;92,Forudsætninger!$C$20,Forudsætninger!$C$21)</f>
        <v>4.0072859744990899</v>
      </c>
      <c r="AM64" s="20">
        <f t="shared" si="17"/>
        <v>248.45173041894373</v>
      </c>
      <c r="AN64" s="19">
        <f>IFERROR(AD64+AJ64-AA64-Z64-AK64-AM64-Forudsætninger!$E$75,-999999)</f>
        <v>-1298.7837967524188</v>
      </c>
      <c r="AO64" s="19">
        <f>IFERROR(AN64/(A64+Forudsætninger!$E$74),-999999)</f>
        <v>-20.94812575407127</v>
      </c>
      <c r="AP64" s="19">
        <f>IFERROR(((365/(A64+Forudsætninger!$E$74))*AN64)/(AI64+Forudsætninger!$E$73),-999999)</f>
        <v>-3309.9852381974069</v>
      </c>
      <c r="AQ64" s="18">
        <f t="shared" si="8"/>
        <v>62</v>
      </c>
      <c r="AR64" s="18">
        <f t="shared" si="22"/>
        <v>3022.2664446008466</v>
      </c>
      <c r="AS64" s="18">
        <f t="shared" si="0"/>
        <v>3.2</v>
      </c>
      <c r="AT64" s="50">
        <f t="shared" si="23"/>
        <v>5.5566415209361821</v>
      </c>
      <c r="AU64" s="50">
        <f t="shared" si="24"/>
        <v>0.43450438155749893</v>
      </c>
      <c r="AV64" s="2">
        <f t="shared" si="25"/>
        <v>68.655454228782673</v>
      </c>
      <c r="AW64" s="16">
        <f t="shared" si="19"/>
        <v>-16.94083977957218</v>
      </c>
      <c r="AZ64" s="16"/>
      <c r="BA64" s="2"/>
    </row>
    <row r="65" spans="1:53" x14ac:dyDescent="0.25">
      <c r="A65">
        <v>63</v>
      </c>
      <c r="B65" s="1">
        <f>ROUND((A65+Forudsætninger!$E$60)/30.4,1)</f>
        <v>3.3</v>
      </c>
      <c r="C65" s="1">
        <f>VLOOKUP((A65+Forudsætninger!$E$60),'Model tilvækst, slagteform, fe'!A:D,4,FALSE)</f>
        <v>134.8048195316446</v>
      </c>
      <c r="D65" s="3">
        <f t="shared" si="26"/>
        <v>1412.4210981081831</v>
      </c>
      <c r="E65" s="3">
        <f>(1+Forudsætninger!$E$78)*C65</f>
        <v>124.02043396911303</v>
      </c>
      <c r="F65" s="2">
        <f t="shared" si="28"/>
        <v>5.2221703947766898</v>
      </c>
      <c r="G65" s="1">
        <f t="shared" si="1"/>
        <v>129.24260436388971</v>
      </c>
      <c r="H65" s="3">
        <f t="shared" si="10"/>
        <v>1228.8063553540951</v>
      </c>
      <c r="I65" s="3">
        <f t="shared" si="2"/>
        <v>972.10483117285253</v>
      </c>
      <c r="J65" s="1">
        <f>VLOOKUP((A65+Forudsætninger!$E$60),'Model tilvækst, slagteform, fe'!G:K,4,FALSE)*(1+Forudsætninger!$E$79)</f>
        <v>49.894728858511144</v>
      </c>
      <c r="K65" s="17">
        <f t="shared" si="3"/>
        <v>64.485247017041061</v>
      </c>
      <c r="L65" s="17">
        <f t="shared" si="11"/>
        <v>638.0098609446776</v>
      </c>
      <c r="M65" s="3">
        <f>((K65-(('Model tilvækst, slagteform, fe'!$J$9/100)*'Model tilvækst, slagteform, fe'!$D$9))*1000/(A65+Forudsætninger!$E$60))</f>
        <v>446.97817052725065</v>
      </c>
      <c r="N65" s="17">
        <f t="shared" si="12"/>
        <v>176.20356401297633</v>
      </c>
      <c r="O65" s="19">
        <f>IF( A65&lt;Forudsætninger!$C$14,(G65/100)*Forudsætninger!$C$13,(Forudsætninger!$C$15/1000)*Forudsætninger!$C$13)</f>
        <v>0.84007692836528314</v>
      </c>
      <c r="P65" s="17" cm="1">
        <f t="array" ref="P65">INDEX('Model tilvækst, slagteform, fe'!$P$9:$P$375,MATCH(MIN(ABS('Model tilvækst, slagteform, fe'!$M$9:$M$375-G65)),ABS('Model tilvækst, slagteform, fe'!$M$9:$M$375-G65),0))*(1+Forudsætninger!$E$80)</f>
        <v>3.768966628135221</v>
      </c>
      <c r="Q65" s="17">
        <f t="shared" si="13"/>
        <v>5.9073798993555551</v>
      </c>
      <c r="R65" s="17">
        <f t="shared" si="14"/>
        <v>5.5904677256138742</v>
      </c>
      <c r="S65" s="17">
        <f t="shared" si="15"/>
        <v>2.8771402823762129</v>
      </c>
      <c r="T65" s="19">
        <f>(P65)*IF(N65&lt;Forudsætninger!$B$228,IF(N65&lt;Forudsætninger!$B$227,Forudsætninger!$B$225,Forudsætninger!$C$9),Forudsætninger!$C$11)+O65</f>
        <v>9.659458838201699</v>
      </c>
      <c r="U65" s="5">
        <f>Forudsætninger!$E$68+((K65-(Forudsætninger!$E$84)))*0.01</f>
        <v>5.3614161797420801</v>
      </c>
      <c r="V65" s="2">
        <f>U65+Forudsætninger!$E$69</f>
        <v>5.3614161797420801</v>
      </c>
      <c r="W65">
        <f t="shared" si="4"/>
        <v>0</v>
      </c>
      <c r="X65">
        <f>IF(A65+Forudsætninger!$E$60&gt;248,IF(A65+Forudsætninger!$E$60&lt;365,IF(K65&gt;180,IF(K65&lt;260,1,0),0),0),0)</f>
        <v>0</v>
      </c>
      <c r="Y65" s="22">
        <f>IF(X65=0,0,IF('Vækstfunktion, kry kvie'!A65&lt;Forudsætninger!$E$66,Forudsætninger!$E$67+(('Vækstfunktion, kry kvie'!A65-Forudsætninger!$E$66)/7)*Forudsætninger!$E$64,Forudsætninger!$E$67))</f>
        <v>0</v>
      </c>
      <c r="Z65" s="19">
        <f t="shared" si="20"/>
        <v>958.47417302010433</v>
      </c>
      <c r="AA65" s="19">
        <f>Forudsætninger!$E$62+Forudsætninger!$C$16</f>
        <v>1575</v>
      </c>
      <c r="AB65" s="19">
        <f>IF(K65&gt;Forudsætninger!$C$48,IF(K65&gt;Forudsætninger!$C$49,IF(K65&gt;Forudsætninger!$C$50,Forudsætninger!$E$50,Forudsætninger!$E$49+Forudsætninger!$F$50*(K65-Forudsætninger!$C$49)),Forudsætninger!$E$48+Forudsætninger!$F$49*(K65-Forudsætninger!$C$48)),Forudsætninger!$E$48)+IF(K65&gt;Forudsætninger!$C$50,Forudsætninger!$G$50,IF(K65&gt;Forudsætninger!$C$49,Forudsætninger!$G$49+Forudsætninger!$H$50*(K65-Forudsætninger!$C$49),IF(K65&gt;Forudsætninger!$C$48,Forudsætninger!$G$48+Forudsætninger!$H$49*(K65-Forudsætninger!$C$48),Forudsætninger!$G$48)))*(U65-Forudsætninger!$H$48)</f>
        <v>35.136141617974211</v>
      </c>
      <c r="AC65" s="19">
        <f>IF(K65&gt;Forudsætninger!$C$52,IF(K65&gt;Forudsætninger!$C$53,IF(K65&gt;Forudsætninger!$C$54,Forudsætninger!$E$54,Forudsætninger!$E$53+Forudsætninger!$F$54*(K65-Forudsætninger!$C$53)),Forudsætninger!$E$52+Forudsætninger!$F$53*(K65-Forudsætninger!$C$52)),Forudsætninger!$E$52)+IF(K65&gt;Forudsætninger!$C$54,Forudsætninger!$G$54,IF(K65&gt;Forudsætninger!$C$53,Forudsætninger!$G$53+Forudsætninger!$H$54*(K65-Forudsætninger!$C$53),IF(K65&gt;Forudsætninger!$C$52,Forudsætninger!$G$52+Forudsætninger!$H$53*(K65-Forudsætninger!$C$52),Forudsætninger!$G$52)))*(V65-Forudsætninger!$H$52)</f>
        <v>29.990354044935518</v>
      </c>
      <c r="AD65" s="19">
        <f t="shared" si="5"/>
        <v>1933.9353887161835</v>
      </c>
      <c r="AE65" s="19">
        <f t="shared" si="6"/>
        <v>29.990354044935518</v>
      </c>
      <c r="AF65">
        <f>IF(G65&lt;=Forudsætninger!$C$97,Forudsætninger!$C$98,(IF(G65&lt;=Forudsætninger!$D$97,Forudsætninger!$D$98,IF(G65&lt;=Forudsætninger!$E$97,Forudsætninger!$E$98,IF(G65&lt;=Forudsætninger!$F$97,Forudsætninger!$F$98,IF(G65&lt;=Forudsætninger!$G$97,Forudsætninger!$G$98,IF(G65&lt;=Forudsætninger!$H$97,Forudsætninger!$H$98,IF(G65&lt;=Forudsætninger!$I$97,Forudsætninger!$I$98,Forudsætninger!$I$98))))))))</f>
        <v>2.2000000000000002</v>
      </c>
      <c r="AG65" s="1">
        <f t="shared" si="16"/>
        <v>2.2000000000000002</v>
      </c>
      <c r="AH65" s="1">
        <f t="shared" si="21"/>
        <v>138.60000000000005</v>
      </c>
      <c r="AI65" s="1">
        <f t="shared" si="7"/>
        <v>2.2000000000000006</v>
      </c>
      <c r="AJ65" s="20">
        <f>+(W65*Forudsætninger!$C$12)</f>
        <v>0</v>
      </c>
      <c r="AK65" s="20">
        <f>Forudsætninger!$C$17</f>
        <v>250</v>
      </c>
      <c r="AL65" s="20">
        <f>IF(A65&lt;92,Forudsætninger!$C$20,Forudsætninger!$C$21)</f>
        <v>4.0072859744990899</v>
      </c>
      <c r="AM65" s="20">
        <f t="shared" si="17"/>
        <v>252.45901639344282</v>
      </c>
      <c r="AN65" s="19">
        <f>IFERROR(AD65+AJ65-AA65-Z65-AK65-AM65-Forudsætninger!$E$75,-999999)</f>
        <v>-1293.2145620339793</v>
      </c>
      <c r="AO65" s="19">
        <f>IFERROR(AN65/(A65+Forudsætninger!$E$74),-999999)</f>
        <v>-20.527215270380623</v>
      </c>
      <c r="AP65" s="19">
        <f>IFERROR(((365/(A65+Forudsætninger!$E$74))*AN65)/(AI65+Forudsætninger!$E$73),-999999)</f>
        <v>-3243.4777375276735</v>
      </c>
      <c r="AQ65" s="18">
        <f t="shared" si="8"/>
        <v>63</v>
      </c>
      <c r="AR65" s="18">
        <f t="shared" si="22"/>
        <v>3035.9331894135471</v>
      </c>
      <c r="AS65" s="18">
        <f t="shared" si="0"/>
        <v>3.3</v>
      </c>
      <c r="AT65" s="50">
        <f t="shared" si="23"/>
        <v>5.5692347184394748</v>
      </c>
      <c r="AU65" s="50">
        <f t="shared" si="24"/>
        <v>0.42091048369064765</v>
      </c>
      <c r="AV65" s="2">
        <f t="shared" si="25"/>
        <v>66.507500669733417</v>
      </c>
      <c r="AW65" s="16">
        <f t="shared" si="19"/>
        <v>-16.519929295881532</v>
      </c>
      <c r="AZ65" s="16"/>
      <c r="BA65" s="2"/>
    </row>
    <row r="66" spans="1:53" x14ac:dyDescent="0.25">
      <c r="A66">
        <v>64</v>
      </c>
      <c r="B66" s="1">
        <f>ROUND((A66+Forudsætninger!$E$60)/30.4,1)</f>
        <v>3.3</v>
      </c>
      <c r="C66" s="1">
        <f>VLOOKUP((A66+Forudsætninger!$E$60),'Model tilvækst, slagteform, fe'!A:D,4,FALSE)</f>
        <v>136.2231247699533</v>
      </c>
      <c r="D66" s="3">
        <f t="shared" si="26"/>
        <v>1418.3052383087045</v>
      </c>
      <c r="E66" s="3">
        <f>(1+Forudsætninger!$E$78)*C66</f>
        <v>125.32527478835705</v>
      </c>
      <c r="F66" s="2">
        <f t="shared" si="28"/>
        <v>5.1512551328612544</v>
      </c>
      <c r="G66" s="1">
        <f t="shared" si="1"/>
        <v>130.47652992121832</v>
      </c>
      <c r="H66" s="3">
        <f t="shared" si="10"/>
        <v>1233.9255573286039</v>
      </c>
      <c r="I66" s="3">
        <f t="shared" si="2"/>
        <v>976.19578001903619</v>
      </c>
      <c r="J66" s="1">
        <f>VLOOKUP((A66+Forudsætninger!$E$60),'Model tilvækst, slagteform, fe'!G:K,4,FALSE)*(1+Forudsætninger!$E$79)</f>
        <v>49.914131272894423</v>
      </c>
      <c r="K66" s="17">
        <f t="shared" si="3"/>
        <v>65.126226425194275</v>
      </c>
      <c r="L66" s="17">
        <f t="shared" si="11"/>
        <v>640.97940815321408</v>
      </c>
      <c r="M66" s="3">
        <f>((K66-(('Model tilvækst, slagteform, fe'!$J$9/100)*'Model tilvækst, slagteform, fe'!$D$9))*1000/(A66+Forudsætninger!$E$60))</f>
        <v>448.91818290351023</v>
      </c>
      <c r="N66" s="17">
        <f t="shared" si="12"/>
        <v>180.0032507021026</v>
      </c>
      <c r="O66" s="19">
        <f>IF( A66&lt;Forudsætninger!$C$14,(G66/100)*Forudsætninger!$C$13,(Forudsætninger!$C$15/1000)*Forudsætninger!$C$13)</f>
        <v>0.84809744448791913</v>
      </c>
      <c r="P66" s="17" cm="1">
        <f t="array" ref="P66">INDEX('Model tilvækst, slagteform, fe'!$P$9:$P$375,MATCH(MIN(ABS('Model tilvækst, slagteform, fe'!$M$9:$M$375-G66)),ABS('Model tilvækst, slagteform, fe'!$M$9:$M$375-G66),0))*(1+Forudsætninger!$E$80)</f>
        <v>3.7996866891262666</v>
      </c>
      <c r="Q66" s="17">
        <f t="shared" si="13"/>
        <v>5.9279387774310885</v>
      </c>
      <c r="R66" s="17">
        <f t="shared" si="14"/>
        <v>5.5971939385176457</v>
      </c>
      <c r="S66" s="17">
        <f t="shared" si="15"/>
        <v>2.8811339382818346</v>
      </c>
      <c r="T66" s="19">
        <f>(P66)*IF(N66&lt;Forudsætninger!$B$228,IF(N66&lt;Forudsætninger!$B$227,Forudsætninger!$B$225,Forudsætninger!$C$9),Forudsætninger!$C$11)+O66</f>
        <v>9.739364297043382</v>
      </c>
      <c r="U66" s="5">
        <f>Forudsætninger!$E$68+((K66-(Forudsætninger!$E$84)))*0.01</f>
        <v>5.3678259738236118</v>
      </c>
      <c r="V66" s="2">
        <f>U66+Forudsætninger!$E$69</f>
        <v>5.3678259738236118</v>
      </c>
      <c r="W66">
        <f t="shared" si="4"/>
        <v>0</v>
      </c>
      <c r="X66">
        <f>IF(A66+Forudsætninger!$E$60&gt;248,IF(A66+Forudsætninger!$E$60&lt;365,IF(K66&gt;180,IF(K66&lt;260,1,0),0),0),0)</f>
        <v>0</v>
      </c>
      <c r="Y66" s="22">
        <f>IF(X66=0,0,IF('Vækstfunktion, kry kvie'!A66&lt;Forudsætninger!$E$66,Forudsætninger!$E$67+(('Vækstfunktion, kry kvie'!A66-Forudsætninger!$E$66)/7)*Forudsætninger!$E$64,Forudsætninger!$E$67))</f>
        <v>0</v>
      </c>
      <c r="Z66" s="19">
        <f t="shared" si="20"/>
        <v>968.21353731714771</v>
      </c>
      <c r="AA66" s="19">
        <f>Forudsætninger!$E$62+Forudsætninger!$C$16</f>
        <v>1575</v>
      </c>
      <c r="AB66" s="19">
        <f>IF(K66&gt;Forudsætninger!$C$48,IF(K66&gt;Forudsætninger!$C$49,IF(K66&gt;Forudsætninger!$C$50,Forudsætninger!$E$50,Forudsætninger!$E$49+Forudsætninger!$F$50*(K66-Forudsætninger!$C$49)),Forudsætninger!$E$48+Forudsætninger!$F$49*(K66-Forudsætninger!$C$48)),Forudsætninger!$E$48)+IF(K66&gt;Forudsætninger!$C$50,Forudsætninger!$G$50,IF(K66&gt;Forudsætninger!$C$49,Forudsætninger!$G$49+Forudsætninger!$H$50*(K66-Forudsætninger!$C$49),IF(K66&gt;Forudsætninger!$C$48,Forudsætninger!$G$48+Forudsætninger!$H$49*(K66-Forudsætninger!$C$48),Forudsætninger!$G$48)))*(U66-Forudsætninger!$H$48)</f>
        <v>35.136782597382364</v>
      </c>
      <c r="AC66" s="19">
        <f>IF(K66&gt;Forudsætninger!$C$52,IF(K66&gt;Forudsætninger!$C$53,IF(K66&gt;Forudsætninger!$C$54,Forudsætninger!$E$54,Forudsætninger!$E$53+Forudsætninger!$F$54*(K66-Forudsætninger!$C$53)),Forudsætninger!$E$52+Forudsætninger!$F$53*(K66-Forudsætninger!$C$52)),Forudsætninger!$E$52)+IF(K66&gt;Forudsætninger!$C$54,Forudsætninger!$G$54,IF(K66&gt;Forudsætninger!$C$53,Forudsætninger!$G$53+Forudsætninger!$H$54*(K66-Forudsætninger!$C$53),IF(K66&gt;Forudsætninger!$C$52,Forudsætninger!$G$52+Forudsætninger!$H$53*(K66-Forudsætninger!$C$52),Forudsætninger!$G$52)))*(V66-Forudsætninger!$H$52)</f>
        <v>29.991956493455902</v>
      </c>
      <c r="AD66" s="19">
        <f t="shared" si="5"/>
        <v>1953.2629495273848</v>
      </c>
      <c r="AE66" s="19">
        <f t="shared" si="6"/>
        <v>29.991956493455902</v>
      </c>
      <c r="AF66">
        <f>IF(G66&lt;=Forudsætninger!$C$97,Forudsætninger!$C$98,(IF(G66&lt;=Forudsætninger!$D$97,Forudsætninger!$D$98,IF(G66&lt;=Forudsætninger!$E$97,Forudsætninger!$E$98,IF(G66&lt;=Forudsætninger!$F$97,Forudsætninger!$F$98,IF(G66&lt;=Forudsætninger!$G$97,Forudsætninger!$G$98,IF(G66&lt;=Forudsætninger!$H$97,Forudsætninger!$H$98,IF(G66&lt;=Forudsætninger!$I$97,Forudsætninger!$I$98,Forudsætninger!$I$98))))))))</f>
        <v>2.2000000000000002</v>
      </c>
      <c r="AG66" s="1">
        <f t="shared" si="16"/>
        <v>2.2000000000000002</v>
      </c>
      <c r="AH66" s="1">
        <f t="shared" si="21"/>
        <v>140.80000000000004</v>
      </c>
      <c r="AI66" s="1">
        <f t="shared" si="7"/>
        <v>2.2000000000000006</v>
      </c>
      <c r="AJ66" s="20">
        <f>+(W66*Forudsætninger!$C$12)</f>
        <v>0</v>
      </c>
      <c r="AK66" s="20">
        <f>Forudsætninger!$C$17</f>
        <v>250</v>
      </c>
      <c r="AL66" s="20">
        <f>IF(A66&lt;92,Forudsætninger!$C$20,Forudsætninger!$C$21)</f>
        <v>4.0072859744990899</v>
      </c>
      <c r="AM66" s="20">
        <f t="shared" si="17"/>
        <v>256.46630236794192</v>
      </c>
      <c r="AN66" s="19">
        <f>IFERROR(AD66+AJ66-AA66-Z66-AK66-AM66-Forudsætninger!$E$75,-999999)</f>
        <v>-1287.6336514943207</v>
      </c>
      <c r="AO66" s="19">
        <f>IFERROR(AN66/(A66+Forudsætninger!$E$74),-999999)</f>
        <v>-20.119275804598761</v>
      </c>
      <c r="AP66" s="19">
        <f>IFERROR(((365/(A66+Forudsætninger!$E$74))*AN66)/(AI66+Forudsætninger!$E$73),-999999)</f>
        <v>-3179.0197699907126</v>
      </c>
      <c r="AQ66" s="18">
        <f t="shared" si="8"/>
        <v>64</v>
      </c>
      <c r="AR66" s="18">
        <f t="shared" si="22"/>
        <v>3049.6798396850895</v>
      </c>
      <c r="AS66" s="18">
        <f t="shared" ref="AS66:AS129" si="29">B66</f>
        <v>3.3</v>
      </c>
      <c r="AT66" s="50">
        <f t="shared" si="23"/>
        <v>5.5809105396585892</v>
      </c>
      <c r="AU66" s="50">
        <f t="shared" si="24"/>
        <v>0.4079394657818618</v>
      </c>
      <c r="AV66" s="2">
        <f t="shared" si="25"/>
        <v>64.45796753696095</v>
      </c>
      <c r="AW66" s="16">
        <f t="shared" si="19"/>
        <v>-16.111989830099667</v>
      </c>
      <c r="AZ66" s="16"/>
      <c r="BA66" s="2"/>
    </row>
    <row r="67" spans="1:53" x14ac:dyDescent="0.25">
      <c r="A67">
        <v>65</v>
      </c>
      <c r="B67" s="1">
        <f>ROUND((A67+Forudsætninger!$E$60)/30.4,1)</f>
        <v>3.3</v>
      </c>
      <c r="C67" s="1">
        <f>VLOOKUP((A67+Forudsætninger!$E$60),'Model tilvækst, slagteform, fe'!A:D,4,FALSE)</f>
        <v>137.64720233551506</v>
      </c>
      <c r="D67" s="3">
        <f t="shared" si="26"/>
        <v>1424.0775655617597</v>
      </c>
      <c r="E67" s="3">
        <f>(1+Forudsætninger!$E$78)*C67</f>
        <v>126.63542614867386</v>
      </c>
      <c r="F67" s="2">
        <f t="shared" si="28"/>
        <v>5.0800512545831662</v>
      </c>
      <c r="G67" s="1">
        <f t="shared" ref="G67:G130" si="30">E67+F67</f>
        <v>131.71547740325701</v>
      </c>
      <c r="H67" s="3">
        <f t="shared" si="10"/>
        <v>1238.9474820386965</v>
      </c>
      <c r="I67" s="3">
        <f t="shared" ref="I67:I130" si="31">(G67-$G$2)*1000/A67</f>
        <v>980.23811389626178</v>
      </c>
      <c r="J67" s="1">
        <f>VLOOKUP((A67+Forudsætninger!$E$60),'Model tilvækst, slagteform, fe'!G:K,4,FALSE)*(1+Forudsætninger!$E$79)</f>
        <v>49.933488508603652</v>
      </c>
      <c r="K67" s="17">
        <f t="shared" ref="K67:K130" si="32">G67*(J67/100)</f>
        <v>65.770132773207777</v>
      </c>
      <c r="L67" s="17">
        <f t="shared" si="11"/>
        <v>643.90634801350188</v>
      </c>
      <c r="M67" s="3">
        <f>((K67-(('Model tilvækst, slagteform, fe'!$J$9/100)*'Model tilvækst, slagteform, fe'!$D$9))*1000/(A67+Forudsætninger!$E$60))</f>
        <v>450.84875879568835</v>
      </c>
      <c r="N67" s="17">
        <f t="shared" si="12"/>
        <v>183.83349539813668</v>
      </c>
      <c r="O67" s="19">
        <f>IF( A67&lt;Forudsætninger!$C$14,(G67/100)*Forudsætninger!$C$13,(Forudsætninger!$C$15/1000)*Forudsætninger!$C$13)</f>
        <v>0.85615060312117064</v>
      </c>
      <c r="P67" s="17" cm="1">
        <f t="array" ref="P67">INDEX('Model tilvækst, slagteform, fe'!$P$9:$P$375,MATCH(MIN(ABS('Model tilvækst, slagteform, fe'!$M$9:$M$375-G67)),ABS('Model tilvækst, slagteform, fe'!$M$9:$M$375-G67),0))*(1+Forudsætninger!$E$80)</f>
        <v>3.8302446960340633</v>
      </c>
      <c r="Q67" s="17">
        <f t="shared" si="13"/>
        <v>5.9484499692395456</v>
      </c>
      <c r="R67" s="17">
        <f t="shared" si="14"/>
        <v>5.6040888208835229</v>
      </c>
      <c r="S67" s="17">
        <f t="shared" si="15"/>
        <v>2.8852251115478493</v>
      </c>
      <c r="T67" s="19">
        <f>(P67)*IF(N67&lt;Forudsætninger!$B$228,IF(N67&lt;Forudsætninger!$B$227,Forudsætninger!$B$225,Forudsætninger!$C$9),Forudsætninger!$C$11)+O67</f>
        <v>9.8189231918408773</v>
      </c>
      <c r="U67" s="5">
        <f>Forudsætninger!$E$68+((K67-(Forudsætninger!$E$84)))*0.01</f>
        <v>5.3742650373037471</v>
      </c>
      <c r="V67" s="2">
        <f>U67+Forudsætninger!$E$69</f>
        <v>5.3742650373037471</v>
      </c>
      <c r="W67">
        <f t="shared" ref="W67:W130" si="33">IF(K67&gt;130,1,0)</f>
        <v>0</v>
      </c>
      <c r="X67">
        <f>IF(A67+Forudsætninger!$E$60&gt;248,IF(A67+Forudsætninger!$E$60&lt;365,IF(K67&gt;180,IF(K67&lt;260,1,0),0),0),0)</f>
        <v>0</v>
      </c>
      <c r="Y67" s="22">
        <f>IF(X67=0,0,IF('Vækstfunktion, kry kvie'!A67&lt;Forudsætninger!$E$66,Forudsætninger!$E$67+(('Vækstfunktion, kry kvie'!A67-Forudsætninger!$E$66)/7)*Forudsætninger!$E$64,Forudsætninger!$E$67))</f>
        <v>0</v>
      </c>
      <c r="Z67" s="19">
        <f t="shared" si="20"/>
        <v>978.03246050898861</v>
      </c>
      <c r="AA67" s="19">
        <f>Forudsætninger!$E$62+Forudsætninger!$C$16</f>
        <v>1575</v>
      </c>
      <c r="AB67" s="19">
        <f>IF(K67&gt;Forudsætninger!$C$48,IF(K67&gt;Forudsætninger!$C$49,IF(K67&gt;Forudsætninger!$C$50,Forudsætninger!$E$50,Forudsætninger!$E$49+Forudsætninger!$F$50*(K67-Forudsætninger!$C$49)),Forudsætninger!$E$48+Forudsætninger!$F$49*(K67-Forudsætninger!$C$48)),Forudsætninger!$E$48)+IF(K67&gt;Forudsætninger!$C$50,Forudsætninger!$G$50,IF(K67&gt;Forudsætninger!$C$49,Forudsætninger!$G$49+Forudsætninger!$H$50*(K67-Forudsætninger!$C$49),IF(K67&gt;Forudsætninger!$C$48,Forudsætninger!$G$48+Forudsætninger!$H$49*(K67-Forudsætninger!$C$48),Forudsætninger!$G$48)))*(U67-Forudsætninger!$H$48)</f>
        <v>35.137426503730374</v>
      </c>
      <c r="AC67" s="19">
        <f>IF(K67&gt;Forudsætninger!$C$52,IF(K67&gt;Forudsætninger!$C$53,IF(K67&gt;Forudsætninger!$C$54,Forudsætninger!$E$54,Forudsætninger!$E$53+Forudsætninger!$F$54*(K67-Forudsætninger!$C$53)),Forudsætninger!$E$52+Forudsætninger!$F$53*(K67-Forudsætninger!$C$52)),Forudsætninger!$E$52)+IF(K67&gt;Forudsætninger!$C$54,Forudsætninger!$G$54,IF(K67&gt;Forudsætninger!$C$53,Forudsætninger!$G$53+Forudsætninger!$H$54*(K67-Forudsætninger!$C$53),IF(K67&gt;Forudsætninger!$C$52,Forudsætninger!$G$52+Forudsætninger!$H$53*(K67-Forudsætninger!$C$52),Forudsætninger!$G$52)))*(V67-Forudsætninger!$H$52)</f>
        <v>29.993566259325934</v>
      </c>
      <c r="AD67" s="19">
        <f t="shared" ref="AD67:AD130" si="34">(K67*(Y67*AB67+((1-Y67)*AC67)))</f>
        <v>1972.6808352178716</v>
      </c>
      <c r="AE67" s="19">
        <f t="shared" ref="AE67:AE130" si="35">AD67/K67</f>
        <v>29.993566259325934</v>
      </c>
      <c r="AF67">
        <f>IF(G67&lt;=Forudsætninger!$C$97,Forudsætninger!$C$98,(IF(G67&lt;=Forudsætninger!$D$97,Forudsætninger!$D$98,IF(G67&lt;=Forudsætninger!$E$97,Forudsætninger!$E$98,IF(G67&lt;=Forudsætninger!$F$97,Forudsætninger!$F$98,IF(G67&lt;=Forudsætninger!$G$97,Forudsætninger!$G$98,IF(G67&lt;=Forudsætninger!$H$97,Forudsætninger!$H$98,IF(G67&lt;=Forudsætninger!$I$97,Forudsætninger!$I$98,Forudsætninger!$I$98))))))))</f>
        <v>2.2000000000000002</v>
      </c>
      <c r="AG67" s="1">
        <f t="shared" si="16"/>
        <v>2.2000000000000002</v>
      </c>
      <c r="AH67" s="1">
        <f t="shared" si="21"/>
        <v>143.00000000000003</v>
      </c>
      <c r="AI67" s="1">
        <f t="shared" ref="AI67:AI130" si="36">AH67/A67</f>
        <v>2.2000000000000006</v>
      </c>
      <c r="AJ67" s="20">
        <f>+(W67*Forudsætninger!$C$12)</f>
        <v>0</v>
      </c>
      <c r="AK67" s="20">
        <f>Forudsætninger!$C$17</f>
        <v>250</v>
      </c>
      <c r="AL67" s="20">
        <f>IF(A67&lt;92,Forudsætninger!$C$20,Forudsætninger!$C$21)</f>
        <v>4.0072859744990899</v>
      </c>
      <c r="AM67" s="20">
        <f t="shared" si="17"/>
        <v>260.47358834244102</v>
      </c>
      <c r="AN67" s="19">
        <f>IFERROR(AD67+AJ67-AA67-Z67-AK67-AM67-Forudsætninger!$E$75,-999999)</f>
        <v>-1282.0419749701737</v>
      </c>
      <c r="AO67" s="19">
        <f>IFERROR(AN67/(A67+Forudsætninger!$E$74),-999999)</f>
        <v>-19.723722691848824</v>
      </c>
      <c r="AP67" s="19">
        <f>IFERROR(((365/(A67+Forudsætninger!$E$74))*AN67)/(AI67+Forudsætninger!$E$73),-999999)</f>
        <v>-3116.5189534739475</v>
      </c>
      <c r="AQ67" s="18">
        <f t="shared" ref="AQ67:AQ130" si="37">A67</f>
        <v>65</v>
      </c>
      <c r="AR67" s="18">
        <f t="shared" si="22"/>
        <v>3063.5060488514296</v>
      </c>
      <c r="AS67" s="18">
        <f t="shared" si="29"/>
        <v>3.3</v>
      </c>
      <c r="AT67" s="50">
        <f t="shared" si="23"/>
        <v>5.591676524147033</v>
      </c>
      <c r="AU67" s="50">
        <f t="shared" si="24"/>
        <v>0.39555311274993699</v>
      </c>
      <c r="AV67" s="2">
        <f t="shared" si="25"/>
        <v>62.500816516765099</v>
      </c>
      <c r="AW67" s="16">
        <f t="shared" si="19"/>
        <v>-15.716436717349733</v>
      </c>
      <c r="AZ67" s="16"/>
      <c r="BA67" s="2"/>
    </row>
    <row r="68" spans="1:53" x14ac:dyDescent="0.25">
      <c r="A68">
        <v>66</v>
      </c>
      <c r="B68" s="1">
        <f>ROUND((A68+Forudsætninger!$E$60)/30.4,1)</f>
        <v>3.4</v>
      </c>
      <c r="C68" s="1">
        <f>VLOOKUP((A68+Forudsætninger!$E$60),'Model tilvækst, slagteform, fe'!A:D,4,FALSE)</f>
        <v>139.07694100040314</v>
      </c>
      <c r="D68" s="3">
        <f t="shared" si="26"/>
        <v>1429.7386648880774</v>
      </c>
      <c r="E68" s="3">
        <f>(1+Forudsætninger!$E$78)*C68</f>
        <v>127.95078572037089</v>
      </c>
      <c r="F68" s="2">
        <f t="shared" si="28"/>
        <v>5.0085643213387625</v>
      </c>
      <c r="G68" s="1">
        <f t="shared" si="30"/>
        <v>132.95935004170965</v>
      </c>
      <c r="H68" s="3">
        <f t="shared" ref="H68:H131" si="38">(G68-G67)*1000</f>
        <v>1243.8726384526433</v>
      </c>
      <c r="I68" s="3">
        <f t="shared" si="31"/>
        <v>984.23257638954033</v>
      </c>
      <c r="J68" s="1">
        <f>VLOOKUP((A68+Forudsætninger!$E$60),'Model tilvækst, slagteform, fe'!G:K,4,FALSE)*(1+Forudsætninger!$E$79)</f>
        <v>49.952804205286</v>
      </c>
      <c r="K68" s="17">
        <f t="shared" si="32"/>
        <v>66.416923798956077</v>
      </c>
      <c r="L68" s="17">
        <f t="shared" ref="L68:L131" si="39">(K68-K67)*1000</f>
        <v>646.79102574829983</v>
      </c>
      <c r="M68" s="3">
        <f>((K68-(('Model tilvækst, slagteform, fe'!$J$9/100)*'Model tilvækst, slagteform, fe'!$D$9))*1000/(A68+Forudsætninger!$E$60))</f>
        <v>452.76976141287088</v>
      </c>
      <c r="N68" s="17">
        <f t="shared" ref="N68:N131" si="40">N67+P68</f>
        <v>187.72437507836838</v>
      </c>
      <c r="O68" s="19">
        <f>IF( A68&lt;Forudsætninger!$C$14,(G68/100)*Forudsætninger!$C$13,(Forudsætninger!$C$15/1000)*Forudsætninger!$C$13)</f>
        <v>0.86423577527111273</v>
      </c>
      <c r="P68" s="17" cm="1">
        <f t="array" ref="P68">INDEX('Model tilvækst, slagteform, fe'!$P$9:$P$375,MATCH(MIN(ABS('Model tilvækst, slagteform, fe'!$M$9:$M$375-G68)),ABS('Model tilvækst, slagteform, fe'!$M$9:$M$375-G68),0))*(1+Forudsætninger!$E$80)</f>
        <v>3.8908796802317074</v>
      </c>
      <c r="Q68" s="17">
        <f t="shared" ref="Q68:Q131" si="41">P68/(L68/1000)</f>
        <v>6.0156673876700504</v>
      </c>
      <c r="R68" s="17">
        <f t="shared" ref="R68:R131" si="42">N68/(K68-$K$2)</f>
        <v>5.6120470671355145</v>
      </c>
      <c r="S68" s="17">
        <f t="shared" ref="S68:S131" si="43">N68/(G68-$G$2)</f>
        <v>2.8898745901526524</v>
      </c>
      <c r="T68" s="19">
        <f>(P68)*IF(N68&lt;Forudsætninger!$B$228,IF(N68&lt;Forudsætninger!$B$227,Forudsætninger!$B$225,Forudsætninger!$C$9),Forudsætninger!$C$11)+O68</f>
        <v>9.9688942270133065</v>
      </c>
      <c r="U68" s="5">
        <f>Forudsætninger!$E$68+((K68-(Forudsætninger!$E$84)))*0.01</f>
        <v>5.3807329475612296</v>
      </c>
      <c r="V68" s="2">
        <f>U68+Forudsætninger!$E$69</f>
        <v>5.3807329475612296</v>
      </c>
      <c r="W68">
        <f t="shared" si="33"/>
        <v>0</v>
      </c>
      <c r="X68">
        <f>IF(A68+Forudsætninger!$E$60&gt;248,IF(A68+Forudsætninger!$E$60&lt;365,IF(K68&gt;180,IF(K68&lt;260,1,0),0),0),0)</f>
        <v>0</v>
      </c>
      <c r="Y68" s="22">
        <f>IF(X68=0,0,IF('Vækstfunktion, kry kvie'!A68&lt;Forudsætninger!$E$66,Forudsætninger!$E$67+(('Vækstfunktion, kry kvie'!A68-Forudsætninger!$E$66)/7)*Forudsætninger!$E$64,Forudsætninger!$E$67))</f>
        <v>0</v>
      </c>
      <c r="Z68" s="19">
        <f t="shared" si="20"/>
        <v>988.00135473600187</v>
      </c>
      <c r="AA68" s="19">
        <f>Forudsætninger!$E$62+Forudsætninger!$C$16</f>
        <v>1575</v>
      </c>
      <c r="AB68" s="19">
        <f>IF(K68&gt;Forudsætninger!$C$48,IF(K68&gt;Forudsætninger!$C$49,IF(K68&gt;Forudsætninger!$C$50,Forudsætninger!$E$50,Forudsætninger!$E$49+Forudsætninger!$F$50*(K68-Forudsætninger!$C$49)),Forudsætninger!$E$48+Forudsætninger!$F$49*(K68-Forudsætninger!$C$48)),Forudsætninger!$E$48)+IF(K68&gt;Forudsætninger!$C$50,Forudsætninger!$G$50,IF(K68&gt;Forudsætninger!$C$49,Forudsætninger!$G$49+Forudsætninger!$H$50*(K68-Forudsætninger!$C$49),IF(K68&gt;Forudsætninger!$C$48,Forudsætninger!$G$48+Forudsætninger!$H$49*(K68-Forudsætninger!$C$48),Forudsætninger!$G$48)))*(U68-Forudsætninger!$H$48)</f>
        <v>35.138073294756126</v>
      </c>
      <c r="AC68" s="19">
        <f>IF(K68&gt;Forudsætninger!$C$52,IF(K68&gt;Forudsætninger!$C$53,IF(K68&gt;Forudsætninger!$C$54,Forudsætninger!$E$54,Forudsætninger!$E$53+Forudsætninger!$F$54*(K68-Forudsætninger!$C$53)),Forudsætninger!$E$52+Forudsætninger!$F$53*(K68-Forudsætninger!$C$52)),Forudsætninger!$E$52)+IF(K68&gt;Forudsætninger!$C$54,Forudsætninger!$G$54,IF(K68&gt;Forudsætninger!$C$53,Forudsætninger!$G$53+Forudsætninger!$H$54*(K68-Forudsætninger!$C$53),IF(K68&gt;Forudsætninger!$C$52,Forudsætninger!$G$52+Forudsætninger!$H$53*(K68-Forudsætninger!$C$52),Forudsætninger!$G$52)))*(V68-Forudsætninger!$H$52)</f>
        <v>29.995183236890306</v>
      </c>
      <c r="AD68" s="19">
        <f t="shared" si="34"/>
        <v>1992.1877993802682</v>
      </c>
      <c r="AE68" s="19">
        <f t="shared" si="35"/>
        <v>29.995183236890306</v>
      </c>
      <c r="AF68">
        <f>IF(G68&lt;=Forudsætninger!$C$97,Forudsætninger!$C$98,(IF(G68&lt;=Forudsætninger!$D$97,Forudsætninger!$D$98,IF(G68&lt;=Forudsætninger!$E$97,Forudsætninger!$E$98,IF(G68&lt;=Forudsætninger!$F$97,Forudsætninger!$F$98,IF(G68&lt;=Forudsætninger!$G$97,Forudsætninger!$G$98,IF(G68&lt;=Forudsætninger!$H$97,Forudsætninger!$H$98,IF(G68&lt;=Forudsætninger!$I$97,Forudsætninger!$I$98,Forudsætninger!$I$98))))))))</f>
        <v>2.2000000000000002</v>
      </c>
      <c r="AG68" s="1">
        <f t="shared" ref="AG68:AG131" si="44">IF(AF68&lt;=3.2,IF(AF68&lt;=2.2,2.2,3.2),4.4)</f>
        <v>2.2000000000000002</v>
      </c>
      <c r="AH68" s="1">
        <f t="shared" si="21"/>
        <v>145.20000000000002</v>
      </c>
      <c r="AI68" s="1">
        <f t="shared" si="36"/>
        <v>2.2000000000000002</v>
      </c>
      <c r="AJ68" s="20">
        <f>+(W68*Forudsætninger!$C$12)</f>
        <v>0</v>
      </c>
      <c r="AK68" s="20">
        <f>Forudsætninger!$C$17</f>
        <v>250</v>
      </c>
      <c r="AL68" s="20">
        <f>IF(A68&lt;92,Forudsætninger!$C$20,Forudsætninger!$C$21)</f>
        <v>4.0072859744990899</v>
      </c>
      <c r="AM68" s="20">
        <f t="shared" ref="AM68:AM131" si="45">AL68+AM67</f>
        <v>264.48087431694012</v>
      </c>
      <c r="AN68" s="19">
        <f>IFERROR(AD68+AJ68-AA68-Z68-AK68-AM68-Forudsætninger!$E$75,-999999)</f>
        <v>-1276.5111910092894</v>
      </c>
      <c r="AO68" s="19">
        <f>IFERROR(AN68/(A68+Forudsætninger!$E$74),-999999)</f>
        <v>-19.341078651655899</v>
      </c>
      <c r="AP68" s="19">
        <f>IFERROR(((365/(A68+Forudsætninger!$E$74))*AN68)/(AI68+Forudsætninger!$E$73),-999999)</f>
        <v>-3056.0578821880536</v>
      </c>
      <c r="AQ68" s="18">
        <f t="shared" si="37"/>
        <v>66</v>
      </c>
      <c r="AR68" s="18">
        <f t="shared" si="22"/>
        <v>3077.4822290529419</v>
      </c>
      <c r="AS68" s="18">
        <f t="shared" si="29"/>
        <v>3.4</v>
      </c>
      <c r="AT68" s="50">
        <f t="shared" si="23"/>
        <v>5.5307839608842642</v>
      </c>
      <c r="AU68" s="50">
        <f t="shared" si="24"/>
        <v>0.38264404019292542</v>
      </c>
      <c r="AV68" s="2">
        <f t="shared" si="25"/>
        <v>60.461071285893922</v>
      </c>
      <c r="AW68" s="16">
        <f t="shared" ref="AW68:AW131" si="46">((AN68+AM68)/A68)</f>
        <v>-15.333792677156808</v>
      </c>
      <c r="AZ68" s="16"/>
      <c r="BA68" s="2"/>
    </row>
    <row r="69" spans="1:53" x14ac:dyDescent="0.25">
      <c r="A69">
        <v>67</v>
      </c>
      <c r="B69" s="1">
        <f>ROUND((A69+Forudsætninger!$E$60)/30.4,1)</f>
        <v>3.4</v>
      </c>
      <c r="C69" s="1">
        <f>VLOOKUP((A69+Forudsætninger!$E$60),'Model tilvækst, slagteform, fe'!A:D,4,FALSE)</f>
        <v>140.51223012171144</v>
      </c>
      <c r="D69" s="3">
        <f t="shared" si="26"/>
        <v>1435.2891213083012</v>
      </c>
      <c r="E69" s="3">
        <f>(1+Forudsætninger!$E$78)*C69</f>
        <v>129.27125171197454</v>
      </c>
      <c r="F69" s="2">
        <f t="shared" si="28"/>
        <v>4.9367998652733478</v>
      </c>
      <c r="G69" s="1">
        <f t="shared" si="30"/>
        <v>134.20805157724789</v>
      </c>
      <c r="H69" s="3">
        <f t="shared" si="38"/>
        <v>1248.7015355382312</v>
      </c>
      <c r="I69" s="3">
        <f t="shared" si="31"/>
        <v>988.17987428728179</v>
      </c>
      <c r="J69" s="1">
        <f>VLOOKUP((A69+Forudsætninger!$E$60),'Model tilvækst, slagteform, fe'!G:K,4,FALSE)*(1+Forudsætninger!$E$79)</f>
        <v>49.972082002588714</v>
      </c>
      <c r="K69" s="17">
        <f t="shared" si="32"/>
        <v>67.066557588258874</v>
      </c>
      <c r="L69" s="17">
        <f t="shared" si="39"/>
        <v>649.63378930279703</v>
      </c>
      <c r="M69" s="3">
        <f>((K69-(('Model tilvækst, slagteform, fe'!$J$9/100)*'Model tilvækst, slagteform, fe'!$D$9))*1000/(A69+Forudsætninger!$E$60))</f>
        <v>454.68106265452059</v>
      </c>
      <c r="N69" s="17">
        <f t="shared" si="40"/>
        <v>191.64533430220584</v>
      </c>
      <c r="O69" s="19">
        <f>IF( A69&lt;Forudsætninger!$C$14,(G69/100)*Forudsætninger!$C$13,(Forudsætninger!$C$15/1000)*Forudsætninger!$C$13)</f>
        <v>0.87235233525211131</v>
      </c>
      <c r="P69" s="17" cm="1">
        <f t="array" ref="P69">INDEX('Model tilvækst, slagteform, fe'!$P$9:$P$375,MATCH(MIN(ABS('Model tilvækst, slagteform, fe'!$M$9:$M$375-G69)),ABS('Model tilvækst, slagteform, fe'!$M$9:$M$375-G69),0))*(1+Forudsætninger!$E$80)</f>
        <v>3.9209592238374573</v>
      </c>
      <c r="Q69" s="17">
        <f t="shared" si="41"/>
        <v>6.035645448869781</v>
      </c>
      <c r="R69" s="17">
        <f t="shared" si="42"/>
        <v>5.6201170015352329</v>
      </c>
      <c r="S69" s="17">
        <f t="shared" si="43"/>
        <v>2.8945925720016801</v>
      </c>
      <c r="T69" s="19">
        <f>(P69)*IF(N69&lt;Forudsætninger!$B$228,IF(N69&lt;Forudsætninger!$B$227,Forudsætninger!$B$225,Forudsætninger!$C$9),Forudsætninger!$C$11)+O69</f>
        <v>10.047396919031762</v>
      </c>
      <c r="U69" s="5">
        <f>Forudsætninger!$E$68+((K69-(Forudsætninger!$E$84)))*0.01</f>
        <v>5.3872292854542581</v>
      </c>
      <c r="V69" s="2">
        <f>U69+Forudsætninger!$E$69</f>
        <v>5.3872292854542581</v>
      </c>
      <c r="W69">
        <f t="shared" si="33"/>
        <v>0</v>
      </c>
      <c r="X69">
        <f>IF(A69+Forudsætninger!$E$60&gt;248,IF(A69+Forudsætninger!$E$60&lt;365,IF(K69&gt;180,IF(K69&lt;260,1,0),0),0),0)</f>
        <v>0</v>
      </c>
      <c r="Y69" s="22">
        <f>IF(X69=0,0,IF('Vækstfunktion, kry kvie'!A69&lt;Forudsætninger!$E$66,Forudsætninger!$E$67+(('Vækstfunktion, kry kvie'!A69-Forudsætninger!$E$66)/7)*Forudsætninger!$E$64,Forudsætninger!$E$67))</f>
        <v>0</v>
      </c>
      <c r="Z69" s="19">
        <f t="shared" ref="Z69:Z132" si="47">Z68+T69</f>
        <v>998.04875165503358</v>
      </c>
      <c r="AA69" s="19">
        <f>Forudsætninger!$E$62+Forudsætninger!$C$16</f>
        <v>1575</v>
      </c>
      <c r="AB69" s="19">
        <f>IF(K69&gt;Forudsætninger!$C$48,IF(K69&gt;Forudsætninger!$C$49,IF(K69&gt;Forudsætninger!$C$50,Forudsætninger!$E$50,Forudsætninger!$E$49+Forudsætninger!$F$50*(K69-Forudsætninger!$C$49)),Forudsætninger!$E$48+Forudsætninger!$F$49*(K69-Forudsætninger!$C$48)),Forudsætninger!$E$48)+IF(K69&gt;Forudsætninger!$C$50,Forudsætninger!$G$50,IF(K69&gt;Forudsætninger!$C$49,Forudsætninger!$G$49+Forudsætninger!$H$50*(K69-Forudsætninger!$C$49),IF(K69&gt;Forudsætninger!$C$48,Forudsætninger!$G$48+Forudsætninger!$H$49*(K69-Forudsætninger!$C$48),Forudsætninger!$G$48)))*(U69-Forudsætninger!$H$48)</f>
        <v>35.138722928545427</v>
      </c>
      <c r="AC69" s="19">
        <f>IF(K69&gt;Forudsætninger!$C$52,IF(K69&gt;Forudsætninger!$C$53,IF(K69&gt;Forudsætninger!$C$54,Forudsætninger!$E$54,Forudsætninger!$E$53+Forudsætninger!$F$54*(K69-Forudsætninger!$C$53)),Forudsætninger!$E$52+Forudsætninger!$F$53*(K69-Forudsætninger!$C$52)),Forudsætninger!$E$52)+IF(K69&gt;Forudsætninger!$C$54,Forudsætninger!$G$54,IF(K69&gt;Forudsætninger!$C$53,Forudsætninger!$G$53+Forudsætninger!$H$54*(K69-Forudsætninger!$C$53),IF(K69&gt;Forudsætninger!$C$52,Forudsætninger!$G$52+Forudsætninger!$H$53*(K69-Forudsætninger!$C$52),Forudsætninger!$G$52)))*(V69-Forudsætninger!$H$52)</f>
        <v>29.996807321363562</v>
      </c>
      <c r="AD69" s="19">
        <f t="shared" si="34"/>
        <v>2011.7826056821348</v>
      </c>
      <c r="AE69" s="19">
        <f t="shared" si="35"/>
        <v>29.996807321363562</v>
      </c>
      <c r="AF69">
        <f>IF(G69&lt;=Forudsætninger!$C$97,Forudsætninger!$C$98,(IF(G69&lt;=Forudsætninger!$D$97,Forudsætninger!$D$98,IF(G69&lt;=Forudsætninger!$E$97,Forudsætninger!$E$98,IF(G69&lt;=Forudsætninger!$F$97,Forudsætninger!$F$98,IF(G69&lt;=Forudsætninger!$G$97,Forudsætninger!$G$98,IF(G69&lt;=Forudsætninger!$H$97,Forudsætninger!$H$98,IF(G69&lt;=Forudsætninger!$I$97,Forudsætninger!$I$98,Forudsætninger!$I$98))))))))</f>
        <v>2.2000000000000002</v>
      </c>
      <c r="AG69" s="1">
        <f t="shared" si="44"/>
        <v>2.2000000000000002</v>
      </c>
      <c r="AH69" s="1">
        <f t="shared" ref="AH69:AH132" si="48">AH68+AG69</f>
        <v>147.4</v>
      </c>
      <c r="AI69" s="1">
        <f t="shared" si="36"/>
        <v>2.2000000000000002</v>
      </c>
      <c r="AJ69" s="20">
        <f>+(W69*Forudsætninger!$C$12)</f>
        <v>0</v>
      </c>
      <c r="AK69" s="20">
        <f>Forudsætninger!$C$17</f>
        <v>250</v>
      </c>
      <c r="AL69" s="20">
        <f>IF(A69&lt;92,Forudsætninger!$C$20,Forudsætninger!$C$21)</f>
        <v>4.0072859744990899</v>
      </c>
      <c r="AM69" s="20">
        <f t="shared" si="45"/>
        <v>268.48816029143921</v>
      </c>
      <c r="AN69" s="19">
        <f>IFERROR(AD69+AJ69-AA69-Z69-AK69-AM69-Forudsætninger!$E$75,-999999)</f>
        <v>-1270.9710676009538</v>
      </c>
      <c r="AO69" s="19">
        <f>IFERROR(AN69/(A69+Forudsætninger!$E$74),-999999)</f>
        <v>-18.969717426879907</v>
      </c>
      <c r="AP69" s="19">
        <f>IFERROR(((365/(A69+Forudsætninger!$E$74))*AN69)/(AI69+Forudsætninger!$E$73),-999999)</f>
        <v>-2997.3795934247473</v>
      </c>
      <c r="AQ69" s="18">
        <f t="shared" si="37"/>
        <v>67</v>
      </c>
      <c r="AR69" s="18">
        <f t="shared" ref="AR69:AR132" si="49">AA69+Z69+AK69+AM69</f>
        <v>3091.5369119464731</v>
      </c>
      <c r="AS69" s="18">
        <f t="shared" si="29"/>
        <v>3.4</v>
      </c>
      <c r="AT69" s="50">
        <f t="shared" ref="AT69:AT132" si="50">AN69-AN68</f>
        <v>5.540123408335603</v>
      </c>
      <c r="AU69" s="50">
        <f t="shared" ref="AU69:AU132" si="51">AO69-AO68</f>
        <v>0.37136122477599187</v>
      </c>
      <c r="AV69" s="2">
        <f t="shared" ref="AV69:AV132" si="52">AP69-AP68</f>
        <v>58.678288763306227</v>
      </c>
      <c r="AW69" s="16">
        <f t="shared" si="46"/>
        <v>-14.962431452380814</v>
      </c>
      <c r="AZ69" s="16"/>
      <c r="BA69" s="2"/>
    </row>
    <row r="70" spans="1:53" x14ac:dyDescent="0.25">
      <c r="A70">
        <v>68</v>
      </c>
      <c r="B70" s="1">
        <f>ROUND((A70+Forudsætninger!$E$60)/30.4,1)</f>
        <v>3.4</v>
      </c>
      <c r="C70" s="1">
        <f>VLOOKUP((A70+Forudsætninger!$E$60),'Model tilvækst, slagteform, fe'!A:D,4,FALSE)</f>
        <v>141.95295964155443</v>
      </c>
      <c r="D70" s="3">
        <f t="shared" ref="D70:D133" si="53">(C70-C69)*1000</f>
        <v>1440.7295198429892</v>
      </c>
      <c r="E70" s="3">
        <f>(1+Forudsætninger!$E$78)*C70</f>
        <v>130.59672287023008</v>
      </c>
      <c r="F70" s="2">
        <f t="shared" si="28"/>
        <v>4.8647633892811983</v>
      </c>
      <c r="G70" s="1">
        <f t="shared" si="30"/>
        <v>135.46148625951128</v>
      </c>
      <c r="H70" s="3">
        <f t="shared" si="38"/>
        <v>1253.4346822633893</v>
      </c>
      <c r="I70" s="3">
        <f t="shared" si="31"/>
        <v>992.0806802869306</v>
      </c>
      <c r="J70" s="1">
        <f>VLOOKUP((A70+Forudsætninger!$E$60),'Model tilvækst, slagteform, fe'!G:K,4,FALSE)*(1+Forudsætninger!$E$79)</f>
        <v>49.991325540158989</v>
      </c>
      <c r="K70" s="17">
        <f t="shared" si="32"/>
        <v>67.718992577530017</v>
      </c>
      <c r="L70" s="17">
        <f t="shared" si="39"/>
        <v>652.43498927114274</v>
      </c>
      <c r="M70" s="3">
        <f>((K70-(('Model tilvækst, slagteform, fe'!$J$9/100)*'Model tilvækst, slagteform, fe'!$D$9))*1000/(A70+Forudsætninger!$E$60))</f>
        <v>456.58254271814201</v>
      </c>
      <c r="N70" s="17">
        <f t="shared" si="40"/>
        <v>195.59621614819761</v>
      </c>
      <c r="O70" s="19">
        <f>IF( A70&lt;Forudsætninger!$C$14,(G70/100)*Forudsætninger!$C$13,(Forudsætninger!$C$15/1000)*Forudsætninger!$C$13)</f>
        <v>0.88049966068682328</v>
      </c>
      <c r="P70" s="17" cm="1">
        <f t="array" ref="P70">INDEX('Model tilvækst, slagteform, fe'!$P$9:$P$375,MATCH(MIN(ABS('Model tilvækst, slagteform, fe'!$M$9:$M$375-G70)),ABS('Model tilvækst, slagteform, fe'!$M$9:$M$375-G70),0))*(1+Forudsætninger!$E$80)</f>
        <v>3.9508818459917605</v>
      </c>
      <c r="Q70" s="17">
        <f t="shared" si="41"/>
        <v>6.0555946737397157</v>
      </c>
      <c r="R70" s="17">
        <f t="shared" si="42"/>
        <v>5.6282925962515407</v>
      </c>
      <c r="S70" s="17">
        <f t="shared" si="43"/>
        <v>2.8993760290986894</v>
      </c>
      <c r="T70" s="19">
        <f>(P70)*IF(N70&lt;Forudsætninger!$B$228,IF(N70&lt;Forudsætninger!$B$227,Forudsætninger!$B$225,Forudsætninger!$C$9),Forudsætninger!$C$11)+O70</f>
        <v>10.125563180307543</v>
      </c>
      <c r="U70" s="5">
        <f>Forudsætninger!$E$68+((K70-(Forudsætninger!$E$84)))*0.01</f>
        <v>5.3937536353469699</v>
      </c>
      <c r="V70" s="2">
        <f>U70+Forudsætninger!$E$69</f>
        <v>5.3937536353469699</v>
      </c>
      <c r="W70">
        <f t="shared" si="33"/>
        <v>0</v>
      </c>
      <c r="X70">
        <f>IF(A70+Forudsætninger!$E$60&gt;248,IF(A70+Forudsætninger!$E$60&lt;365,IF(K70&gt;180,IF(K70&lt;260,1,0),0),0),0)</f>
        <v>0</v>
      </c>
      <c r="Y70" s="22">
        <f>IF(X70=0,0,IF('Vækstfunktion, kry kvie'!A70&lt;Forudsætninger!$E$66,Forudsætninger!$E$67+(('Vækstfunktion, kry kvie'!A70-Forudsætninger!$E$66)/7)*Forudsætninger!$E$64,Forudsætninger!$E$67))</f>
        <v>0</v>
      </c>
      <c r="Z70" s="19">
        <f t="shared" si="47"/>
        <v>1008.1743148353411</v>
      </c>
      <c r="AA70" s="19">
        <f>Forudsætninger!$E$62+Forudsætninger!$C$16</f>
        <v>1575</v>
      </c>
      <c r="AB70" s="19">
        <f>IF(K70&gt;Forudsætninger!$C$48,IF(K70&gt;Forudsætninger!$C$49,IF(K70&gt;Forudsætninger!$C$50,Forudsætninger!$E$50,Forudsætninger!$E$49+Forudsætninger!$F$50*(K70-Forudsætninger!$C$49)),Forudsætninger!$E$48+Forudsætninger!$F$49*(K70-Forudsætninger!$C$48)),Forudsætninger!$E$48)+IF(K70&gt;Forudsætninger!$C$50,Forudsætninger!$G$50,IF(K70&gt;Forudsætninger!$C$49,Forudsætninger!$G$49+Forudsætninger!$H$50*(K70-Forudsætninger!$C$49),IF(K70&gt;Forudsætninger!$C$48,Forudsætninger!$G$48+Forudsætninger!$H$49*(K70-Forudsætninger!$C$48),Forudsætninger!$G$48)))*(U70-Forudsætninger!$H$48)</f>
        <v>35.139375363534697</v>
      </c>
      <c r="AC70" s="19">
        <f>IF(K70&gt;Forudsætninger!$C$52,IF(K70&gt;Forudsætninger!$C$53,IF(K70&gt;Forudsætninger!$C$54,Forudsætninger!$E$54,Forudsætninger!$E$53+Forudsætninger!$F$54*(K70-Forudsætninger!$C$53)),Forudsætninger!$E$52+Forudsætninger!$F$53*(K70-Forudsætninger!$C$52)),Forudsætninger!$E$52)+IF(K70&gt;Forudsætninger!$C$54,Forudsætninger!$G$54,IF(K70&gt;Forudsætninger!$C$53,Forudsætninger!$G$53+Forudsætninger!$H$54*(K70-Forudsætninger!$C$53),IF(K70&gt;Forudsætninger!$C$52,Forudsætninger!$G$52+Forudsætninger!$H$53*(K70-Forudsætninger!$C$52),Forudsætninger!$G$52)))*(V70-Forudsætninger!$H$52)</f>
        <v>29.998438408836741</v>
      </c>
      <c r="AD70" s="19">
        <f t="shared" si="34"/>
        <v>2031.4640279455066</v>
      </c>
      <c r="AE70" s="19">
        <f t="shared" si="35"/>
        <v>29.998438408836741</v>
      </c>
      <c r="AF70">
        <f>IF(G70&lt;=Forudsætninger!$C$97,Forudsætninger!$C$98,(IF(G70&lt;=Forudsætninger!$D$97,Forudsætninger!$D$98,IF(G70&lt;=Forudsætninger!$E$97,Forudsætninger!$E$98,IF(G70&lt;=Forudsætninger!$F$97,Forudsætninger!$F$98,IF(G70&lt;=Forudsætninger!$G$97,Forudsætninger!$G$98,IF(G70&lt;=Forudsætninger!$H$97,Forudsætninger!$H$98,IF(G70&lt;=Forudsætninger!$I$97,Forudsætninger!$I$98,Forudsætninger!$I$98))))))))</f>
        <v>2.2000000000000002</v>
      </c>
      <c r="AG70" s="1">
        <f t="shared" si="44"/>
        <v>2.2000000000000002</v>
      </c>
      <c r="AH70" s="1">
        <f t="shared" si="48"/>
        <v>149.6</v>
      </c>
      <c r="AI70" s="1">
        <f t="shared" si="36"/>
        <v>2.1999999999999997</v>
      </c>
      <c r="AJ70" s="20">
        <f>+(W70*Forudsætninger!$C$12)</f>
        <v>0</v>
      </c>
      <c r="AK70" s="20">
        <f>Forudsætninger!$C$17</f>
        <v>250</v>
      </c>
      <c r="AL70" s="20">
        <f>IF(A70&lt;92,Forudsætninger!$C$20,Forudsætninger!$C$21)</f>
        <v>4.0072859744990899</v>
      </c>
      <c r="AM70" s="20">
        <f t="shared" si="45"/>
        <v>272.49544626593831</v>
      </c>
      <c r="AN70" s="19">
        <f>IFERROR(AD70+AJ70-AA70-Z70-AK70-AM70-Forudsætninger!$E$75,-999999)</f>
        <v>-1265.4224944923885</v>
      </c>
      <c r="AO70" s="19">
        <f>IFERROR(AN70/(A70+Forudsætninger!$E$74),-999999)</f>
        <v>-18.609154330770419</v>
      </c>
      <c r="AP70" s="19">
        <f>IFERROR(((365/(A70+Forudsætninger!$E$74))*AN70)/(AI70+Forudsætninger!$E$73),-999999)</f>
        <v>-2940.4075024810409</v>
      </c>
      <c r="AQ70" s="18">
        <f t="shared" si="37"/>
        <v>68</v>
      </c>
      <c r="AR70" s="18">
        <f t="shared" si="49"/>
        <v>3105.6697611012796</v>
      </c>
      <c r="AS70" s="18">
        <f t="shared" si="29"/>
        <v>3.4</v>
      </c>
      <c r="AT70" s="50">
        <f t="shared" si="50"/>
        <v>5.5485731085652787</v>
      </c>
      <c r="AU70" s="50">
        <f t="shared" si="51"/>
        <v>0.36056309610948745</v>
      </c>
      <c r="AV70" s="2">
        <f t="shared" si="52"/>
        <v>56.972090943706462</v>
      </c>
      <c r="AW70" s="16">
        <f t="shared" si="46"/>
        <v>-14.601868356271327</v>
      </c>
      <c r="AZ70" s="16"/>
      <c r="BA70" s="2"/>
    </row>
    <row r="71" spans="1:53" x14ac:dyDescent="0.25">
      <c r="A71">
        <v>69</v>
      </c>
      <c r="B71" s="1">
        <f>ROUND((A71+Forudsætninger!$E$60)/30.4,1)</f>
        <v>3.5</v>
      </c>
      <c r="C71" s="1">
        <f>VLOOKUP((A71+Forudsætninger!$E$60),'Model tilvækst, slagteform, fe'!A:D,4,FALSE)</f>
        <v>143.39902008706704</v>
      </c>
      <c r="D71" s="3">
        <f t="shared" si="53"/>
        <v>1446.0604455126145</v>
      </c>
      <c r="E71" s="3">
        <f>(1+Forudsætninger!$E$78)*C71</f>
        <v>131.92709848010168</v>
      </c>
      <c r="F71" s="2">
        <f t="shared" si="28"/>
        <v>4.7924603670055674</v>
      </c>
      <c r="G71" s="1">
        <f t="shared" si="30"/>
        <v>136.71955884710724</v>
      </c>
      <c r="H71" s="3">
        <f t="shared" si="38"/>
        <v>1258.0725875959615</v>
      </c>
      <c r="I71" s="3">
        <f t="shared" si="31"/>
        <v>995.93563546532232</v>
      </c>
      <c r="J71" s="1">
        <f>VLOOKUP((A71+Forudsætninger!$E$60),'Model tilvækst, slagteform, fe'!G:K,4,FALSE)*(1+Forudsætninger!$E$79)</f>
        <v>50.010538457644046</v>
      </c>
      <c r="K71" s="17">
        <f t="shared" si="32"/>
        <v>68.374187556353846</v>
      </c>
      <c r="L71" s="17">
        <f t="shared" si="39"/>
        <v>655.19497882382893</v>
      </c>
      <c r="M71" s="3">
        <f>((K71-(('Model tilvækst, slagteform, fe'!$J$9/100)*'Model tilvækst, slagteform, fe'!$D$9))*1000/(A71+Forudsætninger!$E$60))</f>
        <v>458.47408972867237</v>
      </c>
      <c r="N71" s="17">
        <f t="shared" si="40"/>
        <v>199.57686497805017</v>
      </c>
      <c r="O71" s="19">
        <f>IF( A71&lt;Forudsætninger!$C$14,(G71/100)*Forudsætninger!$C$13,(Forudsætninger!$C$15/1000)*Forudsætninger!$C$13)</f>
        <v>0.88867713250619718</v>
      </c>
      <c r="P71" s="17" cm="1">
        <f t="array" ref="P71">INDEX('Model tilvækst, slagteform, fe'!$P$9:$P$375,MATCH(MIN(ABS('Model tilvækst, slagteform, fe'!$M$9:$M$375-G71)),ABS('Model tilvækst, slagteform, fe'!$M$9:$M$375-G71),0))*(1+Forudsætninger!$E$80)</f>
        <v>3.9806488298525688</v>
      </c>
      <c r="Q71" s="17">
        <f t="shared" si="41"/>
        <v>6.0755179122379985</v>
      </c>
      <c r="R71" s="17">
        <f t="shared" si="42"/>
        <v>5.636568234775031</v>
      </c>
      <c r="S71" s="17">
        <f t="shared" si="43"/>
        <v>2.9042221505246375</v>
      </c>
      <c r="T71" s="19">
        <f>(P71)*IF(N71&lt;Forudsætninger!$B$228,IF(N71&lt;Forudsætninger!$B$227,Forudsætninger!$B$225,Forudsætninger!$C$9),Forudsætninger!$C$11)+O71</f>
        <v>10.203395394361207</v>
      </c>
      <c r="U71" s="5">
        <f>Forudsætninger!$E$68+((K71-(Forudsætninger!$E$84)))*0.01</f>
        <v>5.4003055851352073</v>
      </c>
      <c r="V71" s="2">
        <f>U71+Forudsætninger!$E$69</f>
        <v>5.4003055851352073</v>
      </c>
      <c r="W71">
        <f t="shared" si="33"/>
        <v>0</v>
      </c>
      <c r="X71">
        <f>IF(A71+Forudsætninger!$E$60&gt;248,IF(A71+Forudsætninger!$E$60&lt;365,IF(K71&gt;180,IF(K71&lt;260,1,0),0),0),0)</f>
        <v>0</v>
      </c>
      <c r="Y71" s="22">
        <f>IF(X71=0,0,IF('Vækstfunktion, kry kvie'!A71&lt;Forudsætninger!$E$66,Forudsætninger!$E$67+(('Vækstfunktion, kry kvie'!A71-Forudsætninger!$E$66)/7)*Forudsætninger!$E$64,Forudsætninger!$E$67))</f>
        <v>0</v>
      </c>
      <c r="Z71" s="19">
        <f t="shared" si="47"/>
        <v>1018.3777102297023</v>
      </c>
      <c r="AA71" s="19">
        <f>Forudsætninger!$E$62+Forudsætninger!$C$16</f>
        <v>1575</v>
      </c>
      <c r="AB71" s="19">
        <f>IF(K71&gt;Forudsætninger!$C$48,IF(K71&gt;Forudsætninger!$C$49,IF(K71&gt;Forudsætninger!$C$50,Forudsætninger!$E$50,Forudsætninger!$E$49+Forudsætninger!$F$50*(K71-Forudsætninger!$C$49)),Forudsætninger!$E$48+Forudsætninger!$F$49*(K71-Forudsætninger!$C$48)),Forudsætninger!$E$48)+IF(K71&gt;Forudsætninger!$C$50,Forudsætninger!$G$50,IF(K71&gt;Forudsætninger!$C$49,Forudsætninger!$G$49+Forudsætninger!$H$50*(K71-Forudsætninger!$C$49),IF(K71&gt;Forudsætninger!$C$48,Forudsætninger!$G$48+Forudsætninger!$H$49*(K71-Forudsætninger!$C$48),Forudsætninger!$G$48)))*(U71-Forudsætninger!$H$48)</f>
        <v>35.140030558513523</v>
      </c>
      <c r="AC71" s="19">
        <f>IF(K71&gt;Forudsætninger!$C$52,IF(K71&gt;Forudsætninger!$C$53,IF(K71&gt;Forudsætninger!$C$54,Forudsætninger!$E$54,Forudsætninger!$E$53+Forudsætninger!$F$54*(K71-Forudsætninger!$C$53)),Forudsætninger!$E$52+Forudsætninger!$F$53*(K71-Forudsætninger!$C$52)),Forudsætninger!$E$52)+IF(K71&gt;Forudsætninger!$C$54,Forudsætninger!$G$54,IF(K71&gt;Forudsætninger!$C$53,Forudsætninger!$G$53+Forudsætninger!$H$54*(K71-Forudsætninger!$C$53),IF(K71&gt;Forudsætninger!$C$52,Forudsætninger!$G$52+Forudsætninger!$H$53*(K71-Forudsætninger!$C$52),Forudsætninger!$G$52)))*(V71-Forudsætninger!$H$52)</f>
        <v>30.000076396283802</v>
      </c>
      <c r="AD71" s="19">
        <f t="shared" si="34"/>
        <v>2051.2308502244528</v>
      </c>
      <c r="AE71" s="19">
        <f t="shared" si="35"/>
        <v>30.000076396283802</v>
      </c>
      <c r="AF71">
        <f>IF(G71&lt;=Forudsætninger!$C$97,Forudsætninger!$C$98,(IF(G71&lt;=Forudsætninger!$D$97,Forudsætninger!$D$98,IF(G71&lt;=Forudsætninger!$E$97,Forudsætninger!$E$98,IF(G71&lt;=Forudsætninger!$F$97,Forudsætninger!$F$98,IF(G71&lt;=Forudsætninger!$G$97,Forudsætninger!$G$98,IF(G71&lt;=Forudsætninger!$H$97,Forudsætninger!$H$98,IF(G71&lt;=Forudsætninger!$I$97,Forudsætninger!$I$98,Forudsætninger!$I$98))))))))</f>
        <v>2.2000000000000002</v>
      </c>
      <c r="AG71" s="1">
        <f t="shared" si="44"/>
        <v>2.2000000000000002</v>
      </c>
      <c r="AH71" s="1">
        <f t="shared" si="48"/>
        <v>151.79999999999998</v>
      </c>
      <c r="AI71" s="1">
        <f t="shared" si="36"/>
        <v>2.1999999999999997</v>
      </c>
      <c r="AJ71" s="20">
        <f>+(W71*Forudsætninger!$C$12)</f>
        <v>0</v>
      </c>
      <c r="AK71" s="20">
        <f>Forudsætninger!$C$17</f>
        <v>250</v>
      </c>
      <c r="AL71" s="20">
        <f>IF(A71&lt;92,Forudsætninger!$C$20,Forudsætninger!$C$21)</f>
        <v>4.0072859744990899</v>
      </c>
      <c r="AM71" s="20">
        <f t="shared" si="45"/>
        <v>276.50273224043741</v>
      </c>
      <c r="AN71" s="19">
        <f>IFERROR(AD71+AJ71-AA71-Z71-AK71-AM71-Forudsætninger!$E$75,-999999)</f>
        <v>-1259.8663535823027</v>
      </c>
      <c r="AO71" s="19">
        <f>IFERROR(AN71/(A71+Forudsætninger!$E$74),-999999)</f>
        <v>-18.258932660613084</v>
      </c>
      <c r="AP71" s="19">
        <f>IFERROR(((365/(A71+Forudsætninger!$E$74))*AN71)/(AI71+Forudsætninger!$E$73),-999999)</f>
        <v>-2885.0694463739296</v>
      </c>
      <c r="AQ71" s="18">
        <f t="shared" si="37"/>
        <v>69</v>
      </c>
      <c r="AR71" s="18">
        <f t="shared" si="49"/>
        <v>3119.8804424701398</v>
      </c>
      <c r="AS71" s="18">
        <f t="shared" si="29"/>
        <v>3.5</v>
      </c>
      <c r="AT71" s="50">
        <f t="shared" si="50"/>
        <v>5.5561409100857873</v>
      </c>
      <c r="AU71" s="50">
        <f t="shared" si="51"/>
        <v>0.3502216701573353</v>
      </c>
      <c r="AV71" s="2">
        <f t="shared" si="52"/>
        <v>55.338056107111242</v>
      </c>
      <c r="AW71" s="16">
        <f t="shared" si="46"/>
        <v>-14.251646686113991</v>
      </c>
      <c r="AZ71" s="16"/>
      <c r="BA71" s="2"/>
    </row>
    <row r="72" spans="1:53" x14ac:dyDescent="0.25">
      <c r="A72">
        <v>70</v>
      </c>
      <c r="B72" s="1">
        <f>ROUND((A72+Forudsætninger!$E$60)/30.4,1)</f>
        <v>3.5</v>
      </c>
      <c r="C72" s="1">
        <f>VLOOKUP((A72+Forudsætninger!$E$60),'Model tilvækst, slagteform, fe'!A:D,4,FALSE)</f>
        <v>144.85030257040503</v>
      </c>
      <c r="D72" s="3">
        <f t="shared" si="53"/>
        <v>1451.2824833379909</v>
      </c>
      <c r="E72" s="3">
        <f>(1+Forudsætninger!$E$78)*C72</f>
        <v>133.26227836477264</v>
      </c>
      <c r="F72" s="2">
        <f t="shared" si="28"/>
        <v>4.7198962428386677</v>
      </c>
      <c r="G72" s="1">
        <f t="shared" si="30"/>
        <v>137.98217460761131</v>
      </c>
      <c r="H72" s="3">
        <f t="shared" si="38"/>
        <v>1262.615760504076</v>
      </c>
      <c r="I72" s="3">
        <f t="shared" si="31"/>
        <v>999.7453515373046</v>
      </c>
      <c r="J72" s="1">
        <f>VLOOKUP((A72+Forudsætninger!$E$60),'Model tilvækst, slagteform, fe'!G:K,4,FALSE)*(1+Forudsætninger!$E$79)</f>
        <v>50.029724394691094</v>
      </c>
      <c r="K72" s="17">
        <f t="shared" si="32"/>
        <v>69.032101669989373</v>
      </c>
      <c r="L72" s="17">
        <f t="shared" si="39"/>
        <v>657.91411363552754</v>
      </c>
      <c r="M72" s="3">
        <f>((K72-(('Model tilvækst, slagteform, fe'!$J$9/100)*'Model tilvækst, slagteform, fe'!$D$9))*1000/(A72+Forudsætninger!$E$60))</f>
        <v>460.35559938817096</v>
      </c>
      <c r="N72" s="17">
        <f t="shared" si="40"/>
        <v>203.58712643662801</v>
      </c>
      <c r="O72" s="19">
        <f>IF( A72&lt;Forudsætninger!$C$14,(G72/100)*Forudsætninger!$C$13,(Forudsætninger!$C$15/1000)*Forudsætninger!$C$13)</f>
        <v>0.8968841349494735</v>
      </c>
      <c r="P72" s="17" cm="1">
        <f t="array" ref="P72">INDEX('Model tilvækst, slagteform, fe'!$P$9:$P$375,MATCH(MIN(ABS('Model tilvækst, slagteform, fe'!$M$9:$M$375-G72)),ABS('Model tilvækst, slagteform, fe'!$M$9:$M$375-G72),0))*(1+Forudsætninger!$E$80)</f>
        <v>4.0102614585778316</v>
      </c>
      <c r="Q72" s="17">
        <f t="shared" si="41"/>
        <v>6.0954178903653125</v>
      </c>
      <c r="R72" s="17">
        <f t="shared" si="42"/>
        <v>5.6449386794292025</v>
      </c>
      <c r="S72" s="17">
        <f t="shared" si="43"/>
        <v>2.9091283255791502</v>
      </c>
      <c r="T72" s="19">
        <f>(P72)*IF(N72&lt;Forudsætninger!$B$228,IF(N72&lt;Forudsætninger!$B$227,Forudsætninger!$B$225,Forudsætninger!$C$9),Forudsætninger!$C$11)+O72</f>
        <v>10.280895948021598</v>
      </c>
      <c r="U72" s="5">
        <f>Forudsætninger!$E$68+((K72-(Forudsætninger!$E$84)))*0.01</f>
        <v>5.4068847262715627</v>
      </c>
      <c r="V72" s="2">
        <f>U72+Forudsætninger!$E$69</f>
        <v>5.4068847262715627</v>
      </c>
      <c r="W72">
        <f t="shared" si="33"/>
        <v>0</v>
      </c>
      <c r="X72">
        <f>IF(A72+Forudsætninger!$E$60&gt;248,IF(A72+Forudsætninger!$E$60&lt;365,IF(K72&gt;180,IF(K72&lt;260,1,0),0),0),0)</f>
        <v>0</v>
      </c>
      <c r="Y72" s="22">
        <f>IF(X72=0,0,IF('Vækstfunktion, kry kvie'!A72&lt;Forudsætninger!$E$66,Forudsætninger!$E$67+(('Vækstfunktion, kry kvie'!A72-Forudsætninger!$E$66)/7)*Forudsætninger!$E$64,Forudsætninger!$E$67))</f>
        <v>0</v>
      </c>
      <c r="Z72" s="19">
        <f t="shared" si="47"/>
        <v>1028.6586061777239</v>
      </c>
      <c r="AA72" s="19">
        <f>Forudsætninger!$E$62+Forudsætninger!$C$16</f>
        <v>1575</v>
      </c>
      <c r="AB72" s="19">
        <f>IF(K72&gt;Forudsætninger!$C$48,IF(K72&gt;Forudsætninger!$C$49,IF(K72&gt;Forudsætninger!$C$50,Forudsætninger!$E$50,Forudsætninger!$E$49+Forudsætninger!$F$50*(K72-Forudsætninger!$C$49)),Forudsætninger!$E$48+Forudsætninger!$F$49*(K72-Forudsætninger!$C$48)),Forudsætninger!$E$48)+IF(K72&gt;Forudsætninger!$C$50,Forudsætninger!$G$50,IF(K72&gt;Forudsætninger!$C$49,Forudsætninger!$G$49+Forudsætninger!$H$50*(K72-Forudsætninger!$C$49),IF(K72&gt;Forudsætninger!$C$48,Forudsætninger!$G$48+Forudsætninger!$H$49*(K72-Forudsætninger!$C$48),Forudsætninger!$G$48)))*(U72-Forudsætninger!$H$48)</f>
        <v>35.140688472627154</v>
      </c>
      <c r="AC72" s="19">
        <f>IF(K72&gt;Forudsætninger!$C$52,IF(K72&gt;Forudsætninger!$C$53,IF(K72&gt;Forudsætninger!$C$54,Forudsætninger!$E$54,Forudsætninger!$E$53+Forudsætninger!$F$54*(K72-Forudsætninger!$C$53)),Forudsætninger!$E$52+Forudsætninger!$F$53*(K72-Forudsætninger!$C$52)),Forudsætninger!$E$52)+IF(K72&gt;Forudsætninger!$C$54,Forudsætninger!$G$54,IF(K72&gt;Forudsætninger!$C$53,Forudsætninger!$G$53+Forudsætninger!$H$54*(K72-Forudsætninger!$C$53),IF(K72&gt;Forudsætninger!$C$52,Forudsætninger!$G$52+Forudsætninger!$H$53*(K72-Forudsætninger!$C$52),Forudsætninger!$G$52)))*(V72-Forudsætninger!$H$52)</f>
        <v>30.001721181567888</v>
      </c>
      <c r="AD72" s="19">
        <f t="shared" si="34"/>
        <v>2071.0818668806683</v>
      </c>
      <c r="AE72" s="19">
        <f t="shared" si="35"/>
        <v>30.001721181567891</v>
      </c>
      <c r="AF72">
        <f>IF(G72&lt;=Forudsætninger!$C$97,Forudsætninger!$C$98,(IF(G72&lt;=Forudsætninger!$D$97,Forudsætninger!$D$98,IF(G72&lt;=Forudsætninger!$E$97,Forudsætninger!$E$98,IF(G72&lt;=Forudsætninger!$F$97,Forudsætninger!$F$98,IF(G72&lt;=Forudsætninger!$G$97,Forudsætninger!$G$98,IF(G72&lt;=Forudsætninger!$H$97,Forudsætninger!$H$98,IF(G72&lt;=Forudsætninger!$I$97,Forudsætninger!$I$98,Forudsætninger!$I$98))))))))</f>
        <v>2.2000000000000002</v>
      </c>
      <c r="AG72" s="1">
        <f t="shared" si="44"/>
        <v>2.2000000000000002</v>
      </c>
      <c r="AH72" s="1">
        <f t="shared" si="48"/>
        <v>153.99999999999997</v>
      </c>
      <c r="AI72" s="1">
        <f t="shared" si="36"/>
        <v>2.1999999999999997</v>
      </c>
      <c r="AJ72" s="20">
        <f>+(W72*Forudsætninger!$C$12)</f>
        <v>0</v>
      </c>
      <c r="AK72" s="20">
        <f>Forudsætninger!$C$17</f>
        <v>250</v>
      </c>
      <c r="AL72" s="20">
        <f>IF(A72&lt;92,Forudsætninger!$C$20,Forudsætninger!$C$21)</f>
        <v>4.0072859744990899</v>
      </c>
      <c r="AM72" s="20">
        <f t="shared" si="45"/>
        <v>280.51001821493651</v>
      </c>
      <c r="AN72" s="19">
        <f>IFERROR(AD72+AJ72-AA72-Z72-AK72-AM72-Forudsætninger!$E$75,-999999)</f>
        <v>-1254.3035188486078</v>
      </c>
      <c r="AO72" s="19">
        <f>IFERROR(AN72/(A72+Forudsætninger!$E$74),-999999)</f>
        <v>-17.918621697837256</v>
      </c>
      <c r="AP72" s="19">
        <f>IFERROR(((365/(A72+Forudsætninger!$E$74))*AN72)/(AI72+Forudsætninger!$E$73),-999999)</f>
        <v>-2831.2973678400863</v>
      </c>
      <c r="AQ72" s="18">
        <f t="shared" si="37"/>
        <v>70</v>
      </c>
      <c r="AR72" s="18">
        <f t="shared" si="49"/>
        <v>3134.1686243926606</v>
      </c>
      <c r="AS72" s="18">
        <f t="shared" si="29"/>
        <v>3.5</v>
      </c>
      <c r="AT72" s="50">
        <f t="shared" si="50"/>
        <v>5.5628347336948991</v>
      </c>
      <c r="AU72" s="50">
        <f t="shared" si="51"/>
        <v>0.34031096277582762</v>
      </c>
      <c r="AV72" s="2">
        <f t="shared" si="52"/>
        <v>53.772078533843342</v>
      </c>
      <c r="AW72" s="16">
        <f t="shared" si="46"/>
        <v>-13.911335723338162</v>
      </c>
      <c r="AZ72" s="16"/>
      <c r="BA72" s="2"/>
    </row>
    <row r="73" spans="1:53" x14ac:dyDescent="0.25">
      <c r="A73">
        <v>71</v>
      </c>
      <c r="B73" s="1">
        <f>ROUND((A73+Forudsætninger!$E$60)/30.4,1)</f>
        <v>3.5</v>
      </c>
      <c r="C73" s="1">
        <f>VLOOKUP((A73+Forudsætninger!$E$60),'Model tilvækst, slagteform, fe'!A:D,4,FALSE)</f>
        <v>146.30669878874465</v>
      </c>
      <c r="D73" s="3">
        <f t="shared" si="53"/>
        <v>1456.39621833962</v>
      </c>
      <c r="E73" s="3">
        <f>(1+Forudsætninger!$E$78)*C73</f>
        <v>134.6021628856451</v>
      </c>
      <c r="F73" s="2">
        <f t="shared" si="28"/>
        <v>4.6470764319216871</v>
      </c>
      <c r="G73" s="1">
        <f t="shared" si="30"/>
        <v>139.24923931756678</v>
      </c>
      <c r="H73" s="3">
        <f t="shared" si="38"/>
        <v>1267.0647099554628</v>
      </c>
      <c r="I73" s="3">
        <f t="shared" si="31"/>
        <v>1003.5104129234758</v>
      </c>
      <c r="J73" s="1">
        <f>VLOOKUP((A73+Forudsætninger!$E$60),'Model tilvækst, slagteform, fe'!G:K,4,FALSE)*(1+Forudsætninger!$E$79)</f>
        <v>50.048886990947331</v>
      </c>
      <c r="K73" s="17">
        <f t="shared" si="32"/>
        <v>69.692694421802784</v>
      </c>
      <c r="L73" s="17">
        <f t="shared" si="39"/>
        <v>660.59275181341093</v>
      </c>
      <c r="M73" s="3">
        <f>((K73-(('Model tilvækst, slagteform, fe'!$J$9/100)*'Model tilvækst, slagteform, fe'!$D$9))*1000/(A73+Forudsætninger!$E$60))</f>
        <v>462.22697464448163</v>
      </c>
      <c r="N73" s="17">
        <f t="shared" si="40"/>
        <v>207.62684745195352</v>
      </c>
      <c r="O73" s="19">
        <f>IF( A73&lt;Forudsætninger!$C$14,(G73/100)*Forudsætninger!$C$13,(Forudsætninger!$C$15/1000)*Forudsætninger!$C$13)</f>
        <v>0.90512005556418418</v>
      </c>
      <c r="P73" s="17" cm="1">
        <f t="array" ref="P73">INDEX('Model tilvækst, slagteform, fe'!$P$9:$P$375,MATCH(MIN(ABS('Model tilvækst, slagteform, fe'!$M$9:$M$375-G73)),ABS('Model tilvækst, slagteform, fe'!$M$9:$M$375-G73),0))*(1+Forudsætninger!$E$80)</f>
        <v>4.039721015325501</v>
      </c>
      <c r="Q73" s="17">
        <f t="shared" si="41"/>
        <v>6.1152972148664277</v>
      </c>
      <c r="R73" s="17">
        <f t="shared" si="42"/>
        <v>5.653399041796404</v>
      </c>
      <c r="S73" s="17">
        <f t="shared" si="43"/>
        <v>2.9140921284300969</v>
      </c>
      <c r="T73" s="19">
        <f>(P73)*IF(N73&lt;Forudsætninger!$B$228,IF(N73&lt;Forudsætninger!$B$227,Forudsætninger!$B$225,Forudsætninger!$C$9),Forudsætninger!$C$11)+O73</f>
        <v>10.358067231425856</v>
      </c>
      <c r="U73" s="5">
        <f>Forudsætninger!$E$68+((K73-(Forudsætninger!$E$84)))*0.01</f>
        <v>5.4134906537896974</v>
      </c>
      <c r="V73" s="2">
        <f>U73+Forudsætninger!$E$69</f>
        <v>5.4134906537896974</v>
      </c>
      <c r="W73">
        <f t="shared" si="33"/>
        <v>0</v>
      </c>
      <c r="X73">
        <f>IF(A73+Forudsætninger!$E$60&gt;248,IF(A73+Forudsætninger!$E$60&lt;365,IF(K73&gt;180,IF(K73&lt;260,1,0),0),0),0)</f>
        <v>0</v>
      </c>
      <c r="Y73" s="22">
        <f>IF(X73=0,0,IF('Vækstfunktion, kry kvie'!A73&lt;Forudsætninger!$E$66,Forudsætninger!$E$67+(('Vækstfunktion, kry kvie'!A73-Forudsætninger!$E$66)/7)*Forudsætninger!$E$64,Forudsætninger!$E$67))</f>
        <v>0</v>
      </c>
      <c r="Z73" s="19">
        <f t="shared" si="47"/>
        <v>1039.0166734091497</v>
      </c>
      <c r="AA73" s="19">
        <f>Forudsætninger!$E$62+Forudsætninger!$C$16</f>
        <v>1575</v>
      </c>
      <c r="AB73" s="19">
        <f>IF(K73&gt;Forudsætninger!$C$48,IF(K73&gt;Forudsætninger!$C$49,IF(K73&gt;Forudsætninger!$C$50,Forudsætninger!$E$50,Forudsætninger!$E$49+Forudsætninger!$F$50*(K73-Forudsætninger!$C$49)),Forudsætninger!$E$48+Forudsætninger!$F$49*(K73-Forudsætninger!$C$48)),Forudsætninger!$E$48)+IF(K73&gt;Forudsætninger!$C$50,Forudsætninger!$G$50,IF(K73&gt;Forudsætninger!$C$49,Forudsætninger!$G$49+Forudsætninger!$H$50*(K73-Forudsætninger!$C$49),IF(K73&gt;Forudsætninger!$C$48,Forudsætninger!$G$48+Forudsætninger!$H$49*(K73-Forudsætninger!$C$48),Forudsætninger!$G$48)))*(U73-Forudsætninger!$H$48)</f>
        <v>35.141349065378968</v>
      </c>
      <c r="AC73" s="19">
        <f>IF(K73&gt;Forudsætninger!$C$52,IF(K73&gt;Forudsætninger!$C$53,IF(K73&gt;Forudsætninger!$C$54,Forudsætninger!$E$54,Forudsætninger!$E$53+Forudsætninger!$F$54*(K73-Forudsætninger!$C$53)),Forudsætninger!$E$52+Forudsætninger!$F$53*(K73-Forudsætninger!$C$52)),Forudsætninger!$E$52)+IF(K73&gt;Forudsætninger!$C$54,Forudsætninger!$G$54,IF(K73&gt;Forudsætninger!$C$53,Forudsætninger!$G$53+Forudsætninger!$H$54*(K73-Forudsætninger!$C$53),IF(K73&gt;Forudsætninger!$C$52,Forudsætninger!$G$52+Forudsætninger!$H$53*(K73-Forudsætninger!$C$52),Forudsætninger!$G$52)))*(V73-Forudsætninger!$H$52)</f>
        <v>30.003372663447422</v>
      </c>
      <c r="AD73" s="19">
        <f t="shared" si="34"/>
        <v>2091.0158826571123</v>
      </c>
      <c r="AE73" s="19">
        <f t="shared" si="35"/>
        <v>30.003372663447422</v>
      </c>
      <c r="AF73">
        <f>IF(G73&lt;=Forudsætninger!$C$97,Forudsætninger!$C$98,(IF(G73&lt;=Forudsætninger!$D$97,Forudsætninger!$D$98,IF(G73&lt;=Forudsætninger!$E$97,Forudsætninger!$E$98,IF(G73&lt;=Forudsætninger!$F$97,Forudsætninger!$F$98,IF(G73&lt;=Forudsætninger!$G$97,Forudsætninger!$G$98,IF(G73&lt;=Forudsætninger!$H$97,Forudsætninger!$H$98,IF(G73&lt;=Forudsætninger!$I$97,Forudsætninger!$I$98,Forudsætninger!$I$98))))))))</f>
        <v>2.2000000000000002</v>
      </c>
      <c r="AG73" s="1">
        <f t="shared" si="44"/>
        <v>2.2000000000000002</v>
      </c>
      <c r="AH73" s="1">
        <f t="shared" si="48"/>
        <v>156.19999999999996</v>
      </c>
      <c r="AI73" s="1">
        <f t="shared" si="36"/>
        <v>2.1999999999999993</v>
      </c>
      <c r="AJ73" s="20">
        <f>+(W73*Forudsætninger!$C$12)</f>
        <v>0</v>
      </c>
      <c r="AK73" s="20">
        <f>Forudsætninger!$C$17</f>
        <v>250</v>
      </c>
      <c r="AL73" s="20">
        <f>IF(A73&lt;92,Forudsætninger!$C$20,Forudsætninger!$C$21)</f>
        <v>4.0072859744990899</v>
      </c>
      <c r="AM73" s="20">
        <f t="shared" si="45"/>
        <v>284.51730418943561</v>
      </c>
      <c r="AN73" s="19">
        <f>IFERROR(AD73+AJ73-AA73-Z73-AK73-AM73-Forudsætninger!$E$75,-999999)</f>
        <v>-1248.7348562780887</v>
      </c>
      <c r="AO73" s="19">
        <f>IFERROR(AN73/(A73+Forudsætninger!$E$74),-999999)</f>
        <v>-17.58781487715618</v>
      </c>
      <c r="AP73" s="19">
        <f>IFERROR(((365/(A73+Forudsætninger!$E$74))*AN73)/(AI73+Forudsætninger!$E$73),-999999)</f>
        <v>-2779.0270260441594</v>
      </c>
      <c r="AQ73" s="18">
        <f t="shared" si="37"/>
        <v>71</v>
      </c>
      <c r="AR73" s="18">
        <f t="shared" si="49"/>
        <v>3148.5339775985854</v>
      </c>
      <c r="AS73" s="18">
        <f t="shared" si="29"/>
        <v>3.5</v>
      </c>
      <c r="AT73" s="50">
        <f t="shared" si="50"/>
        <v>5.5686625705191091</v>
      </c>
      <c r="AU73" s="50">
        <f t="shared" si="51"/>
        <v>0.33080682068107592</v>
      </c>
      <c r="AV73" s="2">
        <f t="shared" si="52"/>
        <v>52.270341795926925</v>
      </c>
      <c r="AW73" s="16">
        <f t="shared" si="46"/>
        <v>-13.580528902657086</v>
      </c>
      <c r="AZ73" s="16"/>
      <c r="BA73" s="2"/>
    </row>
    <row r="74" spans="1:53" x14ac:dyDescent="0.25">
      <c r="A74">
        <v>72</v>
      </c>
      <c r="B74" s="1">
        <f>ROUND((A74+Forudsætninger!$E$60)/30.4,1)</f>
        <v>3.6</v>
      </c>
      <c r="C74" s="1">
        <f>VLOOKUP((A74+Forudsætninger!$E$60),'Model tilvækst, slagteform, fe'!A:D,4,FALSE)</f>
        <v>147.7681010242828</v>
      </c>
      <c r="D74" s="3">
        <f t="shared" si="53"/>
        <v>1461.4022355381451</v>
      </c>
      <c r="E74" s="3">
        <f>(1+Forudsætninger!$E$78)*C74</f>
        <v>135.94665294234019</v>
      </c>
      <c r="F74" s="2">
        <f t="shared" si="28"/>
        <v>4.5740063201447798</v>
      </c>
      <c r="G74" s="1">
        <f t="shared" si="30"/>
        <v>140.52065926248497</v>
      </c>
      <c r="H74" s="3">
        <f t="shared" si="38"/>
        <v>1271.4199449181933</v>
      </c>
      <c r="I74" s="3">
        <f t="shared" si="31"/>
        <v>1007.2313786456247</v>
      </c>
      <c r="J74" s="1">
        <f>VLOOKUP((A74+Forudsætninger!$E$60),'Model tilvækst, slagteform, fe'!G:K,4,FALSE)*(1+Forudsætninger!$E$79)</f>
        <v>50.06802988606001</v>
      </c>
      <c r="K74" s="17">
        <f t="shared" si="32"/>
        <v>70.355925675629521</v>
      </c>
      <c r="L74" s="17">
        <f t="shared" si="39"/>
        <v>663.23125382673709</v>
      </c>
      <c r="M74" s="3">
        <f>((K74-(('Model tilvækst, slagteform, fe'!$J$9/100)*'Model tilvækst, slagteform, fe'!$D$9))*1000/(A74+Forudsætninger!$E$60))</f>
        <v>464.08812537765067</v>
      </c>
      <c r="N74" s="17">
        <f t="shared" si="40"/>
        <v>211.69587623520704</v>
      </c>
      <c r="O74" s="19">
        <f>IF( A74&lt;Forudsætninger!$C$14,(G74/100)*Forudsætninger!$C$13,(Forudsætninger!$C$15/1000)*Forudsætninger!$C$13)</f>
        <v>0.91338428520615222</v>
      </c>
      <c r="P74" s="17" cm="1">
        <f t="array" ref="P74">INDEX('Model tilvækst, slagteform, fe'!$P$9:$P$375,MATCH(MIN(ABS('Model tilvækst, slagteform, fe'!$M$9:$M$375-G74)),ABS('Model tilvækst, slagteform, fe'!$M$9:$M$375-G74),0))*(1+Forudsætninger!$E$80)</f>
        <v>4.0690287832535272</v>
      </c>
      <c r="Q74" s="17">
        <f t="shared" si="41"/>
        <v>6.1351583776788097</v>
      </c>
      <c r="R74" s="17">
        <f t="shared" si="42"/>
        <v>5.6619447557620246</v>
      </c>
      <c r="S74" s="17">
        <f t="shared" si="43"/>
        <v>2.9191113041179646</v>
      </c>
      <c r="T74" s="19">
        <f>(P74)*IF(N74&lt;Forudsætninger!$B$228,IF(N74&lt;Forudsætninger!$B$227,Forudsætninger!$B$225,Forudsætninger!$C$9),Forudsætninger!$C$11)+O74</f>
        <v>10.434911638019406</v>
      </c>
      <c r="U74" s="5">
        <f>Forudsætninger!$E$68+((K74-(Forudsætninger!$E$84)))*0.01</f>
        <v>5.4201229663279644</v>
      </c>
      <c r="V74" s="2">
        <f>U74+Forudsætninger!$E$69</f>
        <v>5.4201229663279644</v>
      </c>
      <c r="W74">
        <f t="shared" si="33"/>
        <v>0</v>
      </c>
      <c r="X74">
        <f>IF(A74+Forudsætninger!$E$60&gt;248,IF(A74+Forudsætninger!$E$60&lt;365,IF(K74&gt;180,IF(K74&lt;260,1,0),0),0),0)</f>
        <v>0</v>
      </c>
      <c r="Y74" s="22">
        <f>IF(X74=0,0,IF('Vækstfunktion, kry kvie'!A74&lt;Forudsætninger!$E$66,Forudsætninger!$E$67+(('Vækstfunktion, kry kvie'!A74-Forudsætninger!$E$66)/7)*Forudsætninger!$E$64,Forudsætninger!$E$67))</f>
        <v>0</v>
      </c>
      <c r="Z74" s="19">
        <f t="shared" si="47"/>
        <v>1049.4515850471691</v>
      </c>
      <c r="AA74" s="19">
        <f>Forudsætninger!$E$62+Forudsætninger!$C$16</f>
        <v>1575</v>
      </c>
      <c r="AB74" s="19">
        <f>IF(K74&gt;Forudsætninger!$C$48,IF(K74&gt;Forudsætninger!$C$49,IF(K74&gt;Forudsætninger!$C$50,Forudsætninger!$E$50,Forudsætninger!$E$49+Forudsætninger!$F$50*(K74-Forudsætninger!$C$49)),Forudsætninger!$E$48+Forudsætninger!$F$49*(K74-Forudsætninger!$C$48)),Forudsætninger!$E$48)+IF(K74&gt;Forudsætninger!$C$50,Forudsætninger!$G$50,IF(K74&gt;Forudsætninger!$C$49,Forudsætninger!$G$49+Forudsætninger!$H$50*(K74-Forudsætninger!$C$49),IF(K74&gt;Forudsætninger!$C$48,Forudsætninger!$G$48+Forudsætninger!$H$49*(K74-Forudsætninger!$C$48),Forudsætninger!$G$48)))*(U74-Forudsætninger!$H$48)</f>
        <v>35.142012296632799</v>
      </c>
      <c r="AC74" s="19">
        <f>IF(K74&gt;Forudsætninger!$C$52,IF(K74&gt;Forudsætninger!$C$53,IF(K74&gt;Forudsætninger!$C$54,Forudsætninger!$E$54,Forudsætninger!$E$53+Forudsætninger!$F$54*(K74-Forudsætninger!$C$53)),Forudsætninger!$E$52+Forudsætninger!$F$53*(K74-Forudsætninger!$C$52)),Forudsætninger!$E$52)+IF(K74&gt;Forudsætninger!$C$54,Forudsætninger!$G$54,IF(K74&gt;Forudsætninger!$C$53,Forudsætninger!$G$53+Forudsætninger!$H$54*(K74-Forudsætninger!$C$53),IF(K74&gt;Forudsætninger!$C$52,Forudsætninger!$G$52+Forudsætninger!$H$53*(K74-Forudsætninger!$C$52),Forudsætninger!$G$52)))*(V74-Forudsætninger!$H$52)</f>
        <v>30.00503074158199</v>
      </c>
      <c r="AD74" s="19">
        <f t="shared" si="34"/>
        <v>2111.0317127497215</v>
      </c>
      <c r="AE74" s="19">
        <f t="shared" si="35"/>
        <v>30.00503074158199</v>
      </c>
      <c r="AF74">
        <f>IF(G74&lt;=Forudsætninger!$C$97,Forudsætninger!$C$98,(IF(G74&lt;=Forudsætninger!$D$97,Forudsætninger!$D$98,IF(G74&lt;=Forudsætninger!$E$97,Forudsætninger!$E$98,IF(G74&lt;=Forudsætninger!$F$97,Forudsætninger!$F$98,IF(G74&lt;=Forudsætninger!$G$97,Forudsætninger!$G$98,IF(G74&lt;=Forudsætninger!$H$97,Forudsætninger!$H$98,IF(G74&lt;=Forudsætninger!$I$97,Forudsætninger!$I$98,Forudsætninger!$I$98))))))))</f>
        <v>2.2000000000000002</v>
      </c>
      <c r="AG74" s="1">
        <f t="shared" si="44"/>
        <v>2.2000000000000002</v>
      </c>
      <c r="AH74" s="1">
        <f t="shared" si="48"/>
        <v>158.39999999999995</v>
      </c>
      <c r="AI74" s="1">
        <f t="shared" si="36"/>
        <v>2.1999999999999993</v>
      </c>
      <c r="AJ74" s="20">
        <f>+(W74*Forudsætninger!$C$12)</f>
        <v>0</v>
      </c>
      <c r="AK74" s="20">
        <f>Forudsætninger!$C$17</f>
        <v>250</v>
      </c>
      <c r="AL74" s="20">
        <f>IF(A74&lt;92,Forudsætninger!$C$20,Forudsætninger!$C$21)</f>
        <v>4.0072859744990899</v>
      </c>
      <c r="AM74" s="20">
        <f t="shared" si="45"/>
        <v>288.5245901639347</v>
      </c>
      <c r="AN74" s="19">
        <f>IFERROR(AD74+AJ74-AA74-Z74-AK74-AM74-Forudsætninger!$E$75,-999999)</f>
        <v>-1243.1612237979982</v>
      </c>
      <c r="AO74" s="19">
        <f>IFERROR(AN74/(A74+Forudsætninger!$E$74),-999999)</f>
        <v>-17.26612810830553</v>
      </c>
      <c r="AP74" s="19">
        <f>IFERROR(((365/(A74+Forudsætninger!$E$74))*AN74)/(AI74+Forudsætninger!$E$73),-999999)</f>
        <v>-2728.1977313989269</v>
      </c>
      <c r="AQ74" s="18">
        <f t="shared" si="37"/>
        <v>72</v>
      </c>
      <c r="AR74" s="18">
        <f t="shared" si="49"/>
        <v>3162.9761752111035</v>
      </c>
      <c r="AS74" s="18">
        <f t="shared" si="29"/>
        <v>3.6</v>
      </c>
      <c r="AT74" s="50">
        <f t="shared" si="50"/>
        <v>5.5736324800905095</v>
      </c>
      <c r="AU74" s="50">
        <f t="shared" si="51"/>
        <v>0.3216867688506504</v>
      </c>
      <c r="AV74" s="2">
        <f t="shared" si="52"/>
        <v>50.829294645232494</v>
      </c>
      <c r="AW74" s="16">
        <f t="shared" si="46"/>
        <v>-13.258842133806438</v>
      </c>
      <c r="AZ74" s="16"/>
      <c r="BA74" s="2"/>
    </row>
    <row r="75" spans="1:53" x14ac:dyDescent="0.25">
      <c r="A75">
        <v>73</v>
      </c>
      <c r="B75" s="1">
        <f>ROUND((A75+Forudsætninger!$E$60)/30.4,1)</f>
        <v>3.6</v>
      </c>
      <c r="C75" s="1">
        <f>VLOOKUP((A75+Forudsætninger!$E$60),'Model tilvækst, slagteform, fe'!A:D,4,FALSE)</f>
        <v>149.23440214423684</v>
      </c>
      <c r="D75" s="3">
        <f t="shared" si="53"/>
        <v>1466.3011199540392</v>
      </c>
      <c r="E75" s="3">
        <f>(1+Forudsætninger!$E$78)*C75</f>
        <v>137.2956499726979</v>
      </c>
      <c r="F75" s="2">
        <f t="shared" si="28"/>
        <v>4.5006912641470782</v>
      </c>
      <c r="G75" s="1">
        <f t="shared" si="30"/>
        <v>141.79634123684497</v>
      </c>
      <c r="H75" s="3">
        <f t="shared" si="38"/>
        <v>1275.6819743599976</v>
      </c>
      <c r="I75" s="3">
        <f t="shared" si="31"/>
        <v>1010.9087840663693</v>
      </c>
      <c r="J75" s="1">
        <f>VLOOKUP((A75+Forudsætninger!$E$60),'Model tilvækst, slagteform, fe'!G:K,4,FALSE)*(1+Forudsætninger!$E$79)</f>
        <v>50.087156719676308</v>
      </c>
      <c r="K75" s="17">
        <f t="shared" si="32"/>
        <v>71.021755658065544</v>
      </c>
      <c r="L75" s="17">
        <f t="shared" si="39"/>
        <v>665.82998243602276</v>
      </c>
      <c r="M75" s="3">
        <f>((K75-(('Model tilvækst, slagteform, fe'!$J$9/100)*'Model tilvækst, slagteform, fe'!$D$9))*1000/(A75+Forudsætninger!$E$60))</f>
        <v>465.93896810295678</v>
      </c>
      <c r="N75" s="17">
        <f t="shared" si="40"/>
        <v>215.79406228072691</v>
      </c>
      <c r="O75" s="19">
        <f>IF( A75&lt;Forudsætninger!$C$14,(G75/100)*Forudsætninger!$C$13,(Forudsætninger!$C$15/1000)*Forudsætninger!$C$13)</f>
        <v>0.92167621803949229</v>
      </c>
      <c r="P75" s="17" cm="1">
        <f t="array" ref="P75">INDEX('Model tilvækst, slagteform, fe'!$P$9:$P$375,MATCH(MIN(ABS('Model tilvækst, slagteform, fe'!$M$9:$M$375-G75)),ABS('Model tilvækst, slagteform, fe'!$M$9:$M$375-G75),0))*(1+Forudsætninger!$E$80)</f>
        <v>4.0981860455198618</v>
      </c>
      <c r="Q75" s="17">
        <f t="shared" si="41"/>
        <v>6.1550037601583103</v>
      </c>
      <c r="R75" s="17">
        <f t="shared" si="42"/>
        <v>5.6705715529144474</v>
      </c>
      <c r="S75" s="17">
        <f t="shared" si="43"/>
        <v>2.9241837557792834</v>
      </c>
      <c r="T75" s="19">
        <f>(P75)*IF(N75&lt;Forudsætninger!$B$228,IF(N75&lt;Forudsætninger!$B$227,Forudsætninger!$B$225,Forudsætninger!$C$9),Forudsætninger!$C$11)+O75</f>
        <v>10.511431564555968</v>
      </c>
      <c r="U75" s="5">
        <f>Forudsætninger!$E$68+((K75-(Forudsætninger!$E$84)))*0.01</f>
        <v>5.4267812661523243</v>
      </c>
      <c r="V75" s="2">
        <f>U75+Forudsætninger!$E$69</f>
        <v>5.4267812661523243</v>
      </c>
      <c r="W75">
        <f t="shared" si="33"/>
        <v>0</v>
      </c>
      <c r="X75">
        <f>IF(A75+Forudsætninger!$E$60&gt;248,IF(A75+Forudsætninger!$E$60&lt;365,IF(K75&gt;180,IF(K75&lt;260,1,0),0),0),0)</f>
        <v>0</v>
      </c>
      <c r="Y75" s="22">
        <f>IF(X75=0,0,IF('Vækstfunktion, kry kvie'!A75&lt;Forudsætninger!$E$66,Forudsætninger!$E$67+(('Vækstfunktion, kry kvie'!A75-Forudsætninger!$E$66)/7)*Forudsætninger!$E$64,Forudsætninger!$E$67))</f>
        <v>0</v>
      </c>
      <c r="Z75" s="19">
        <f t="shared" si="47"/>
        <v>1059.9630166117252</v>
      </c>
      <c r="AA75" s="19">
        <f>Forudsætninger!$E$62+Forudsætninger!$C$16</f>
        <v>1575</v>
      </c>
      <c r="AB75" s="19">
        <f>IF(K75&gt;Forudsætninger!$C$48,IF(K75&gt;Forudsætninger!$C$49,IF(K75&gt;Forudsætninger!$C$50,Forudsætninger!$E$50,Forudsætninger!$E$49+Forudsætninger!$F$50*(K75-Forudsætninger!$C$49)),Forudsætninger!$E$48+Forudsætninger!$F$49*(K75-Forudsætninger!$C$48)),Forudsætninger!$E$48)+IF(K75&gt;Forudsætninger!$C$50,Forudsætninger!$G$50,IF(K75&gt;Forudsætninger!$C$49,Forudsætninger!$G$49+Forudsætninger!$H$50*(K75-Forudsætninger!$C$49),IF(K75&gt;Forudsætninger!$C$48,Forudsætninger!$G$48+Forudsætninger!$H$49*(K75-Forudsætninger!$C$48),Forudsætninger!$G$48)))*(U75-Forudsætninger!$H$48)</f>
        <v>35.14267812661523</v>
      </c>
      <c r="AC75" s="19">
        <f>IF(K75&gt;Forudsætninger!$C$52,IF(K75&gt;Forudsætninger!$C$53,IF(K75&gt;Forudsætninger!$C$54,Forudsætninger!$E$54,Forudsætninger!$E$53+Forudsætninger!$F$54*(K75-Forudsætninger!$C$53)),Forudsætninger!$E$52+Forudsætninger!$F$53*(K75-Forudsætninger!$C$52)),Forudsætninger!$E$52)+IF(K75&gt;Forudsætninger!$C$54,Forudsætninger!$G$54,IF(K75&gt;Forudsætninger!$C$53,Forudsætninger!$G$53+Forudsætninger!$H$54*(K75-Forudsætninger!$C$53),IF(K75&gt;Forudsætninger!$C$52,Forudsætninger!$G$52+Forudsætninger!$H$53*(K75-Forudsætninger!$C$52),Forudsætninger!$G$52)))*(V75-Forudsætninger!$H$52)</f>
        <v>30.006695316538078</v>
      </c>
      <c r="AD75" s="19">
        <f t="shared" si="34"/>
        <v>2131.1281828771871</v>
      </c>
      <c r="AE75" s="19">
        <f t="shared" si="35"/>
        <v>30.006695316538078</v>
      </c>
      <c r="AF75">
        <f>IF(G75&lt;=Forudsætninger!$C$97,Forudsætninger!$C$98,(IF(G75&lt;=Forudsætninger!$D$97,Forudsætninger!$D$98,IF(G75&lt;=Forudsætninger!$E$97,Forudsætninger!$E$98,IF(G75&lt;=Forudsætninger!$F$97,Forudsætninger!$F$98,IF(G75&lt;=Forudsætninger!$G$97,Forudsætninger!$G$98,IF(G75&lt;=Forudsætninger!$H$97,Forudsætninger!$H$98,IF(G75&lt;=Forudsætninger!$I$97,Forudsætninger!$I$98,Forudsætninger!$I$98))))))))</f>
        <v>2.2000000000000002</v>
      </c>
      <c r="AG75" s="1">
        <f t="shared" si="44"/>
        <v>2.2000000000000002</v>
      </c>
      <c r="AH75" s="1">
        <f t="shared" si="48"/>
        <v>160.59999999999994</v>
      </c>
      <c r="AI75" s="1">
        <f t="shared" si="36"/>
        <v>2.1999999999999993</v>
      </c>
      <c r="AJ75" s="20">
        <f>+(W75*Forudsætninger!$C$12)</f>
        <v>0</v>
      </c>
      <c r="AK75" s="20">
        <f>Forudsætninger!$C$17</f>
        <v>250</v>
      </c>
      <c r="AL75" s="20">
        <f>IF(A75&lt;92,Forudsætninger!$C$20,Forudsætninger!$C$21)</f>
        <v>4.0072859744990899</v>
      </c>
      <c r="AM75" s="20">
        <f t="shared" si="45"/>
        <v>292.5318761384338</v>
      </c>
      <c r="AN75" s="19">
        <f>IFERROR(AD75+AJ75-AA75-Z75-AK75-AM75-Forudsætninger!$E$75,-999999)</f>
        <v>-1237.5834712095875</v>
      </c>
      <c r="AO75" s="19">
        <f>IFERROR(AN75/(A75+Forudsætninger!$E$74),-999999)</f>
        <v>-16.953198235747774</v>
      </c>
      <c r="AP75" s="19">
        <f>IFERROR(((365/(A75+Forudsætninger!$E$74))*AN75)/(AI75+Forudsætninger!$E$73),-999999)</f>
        <v>-2678.7521021852554</v>
      </c>
      <c r="AQ75" s="18">
        <f t="shared" si="37"/>
        <v>73</v>
      </c>
      <c r="AR75" s="18">
        <f t="shared" si="49"/>
        <v>3177.4948927501587</v>
      </c>
      <c r="AS75" s="18">
        <f t="shared" si="29"/>
        <v>3.6</v>
      </c>
      <c r="AT75" s="50">
        <f t="shared" si="50"/>
        <v>5.5777525884107035</v>
      </c>
      <c r="AU75" s="50">
        <f t="shared" si="51"/>
        <v>0.31292987255775628</v>
      </c>
      <c r="AV75" s="2">
        <f t="shared" si="52"/>
        <v>49.445629213671509</v>
      </c>
      <c r="AW75" s="16">
        <f t="shared" si="46"/>
        <v>-12.945912261248681</v>
      </c>
      <c r="AZ75" s="16"/>
      <c r="BA75" s="2"/>
    </row>
    <row r="76" spans="1:53" x14ac:dyDescent="0.25">
      <c r="A76">
        <v>74</v>
      </c>
      <c r="B76" s="1">
        <f>ROUND((A76+Forudsætninger!$E$60)/30.4,1)</f>
        <v>3.6</v>
      </c>
      <c r="C76" s="1">
        <f>VLOOKUP((A76+Forudsætninger!$E$60),'Model tilvækst, slagteform, fe'!A:D,4,FALSE)</f>
        <v>150.70549560084498</v>
      </c>
      <c r="D76" s="3">
        <f t="shared" si="53"/>
        <v>1471.0934566081448</v>
      </c>
      <c r="E76" s="3">
        <f>(1+Forudsætninger!$E$78)*C76</f>
        <v>138.64905595277739</v>
      </c>
      <c r="F76" s="2">
        <f t="shared" si="28"/>
        <v>4.4271365913166711</v>
      </c>
      <c r="G76" s="1">
        <f t="shared" si="30"/>
        <v>143.07619254409406</v>
      </c>
      <c r="H76" s="3">
        <f t="shared" si="38"/>
        <v>1279.8513072490891</v>
      </c>
      <c r="I76" s="3">
        <f t="shared" si="31"/>
        <v>1014.5431424877574</v>
      </c>
      <c r="J76" s="1">
        <f>VLOOKUP((A76+Forudsætninger!$E$60),'Model tilvækst, slagteform, fe'!G:K,4,FALSE)*(1+Forudsætninger!$E$79)</f>
        <v>50.106271131443442</v>
      </c>
      <c r="K76" s="17">
        <f t="shared" si="32"/>
        <v>71.690144960689835</v>
      </c>
      <c r="L76" s="17">
        <f t="shared" si="39"/>
        <v>668.3893026242913</v>
      </c>
      <c r="M76" s="3">
        <f>((K76-(('Model tilvækst, slagteform, fe'!$J$9/100)*'Model tilvækst, slagteform, fe'!$D$9))*1000/(A76+Forudsætninger!$E$60))</f>
        <v>467.77942568951443</v>
      </c>
      <c r="N76" s="17">
        <f t="shared" si="40"/>
        <v>219.92125636600937</v>
      </c>
      <c r="O76" s="19">
        <f>IF( A76&lt;Forudsætninger!$C$14,(G76/100)*Forudsætninger!$C$13,(Forudsætninger!$C$15/1000)*Forudsætninger!$C$13)</f>
        <v>0.92999525153661133</v>
      </c>
      <c r="P76" s="17" cm="1">
        <f t="array" ref="P76">INDEX('Model tilvækst, slagteform, fe'!$P$9:$P$375,MATCH(MIN(ABS('Model tilvækst, slagteform, fe'!$M$9:$M$375-G76)),ABS('Model tilvækst, slagteform, fe'!$M$9:$M$375-G76),0))*(1+Forudsætninger!$E$80)</f>
        <v>4.1271940852824551</v>
      </c>
      <c r="Q76" s="17">
        <f t="shared" si="41"/>
        <v>6.1748356370724178</v>
      </c>
      <c r="R76" s="17">
        <f t="shared" si="42"/>
        <v>5.6792754400673671</v>
      </c>
      <c r="S76" s="17">
        <f t="shared" si="43"/>
        <v>2.9293075329685148</v>
      </c>
      <c r="T76" s="19">
        <f>(P76)*IF(N76&lt;Forudsætninger!$B$228,IF(N76&lt;Forudsætninger!$B$227,Forudsætninger!$B$225,Forudsætninger!$C$9),Forudsætninger!$C$11)+O76</f>
        <v>10.587629411097556</v>
      </c>
      <c r="U76" s="5">
        <f>Forudsætninger!$E$68+((K76-(Forudsætninger!$E$84)))*0.01</f>
        <v>5.4334651591785672</v>
      </c>
      <c r="V76" s="2">
        <f>U76+Forudsætninger!$E$69</f>
        <v>5.4334651591785672</v>
      </c>
      <c r="W76">
        <f t="shared" si="33"/>
        <v>0</v>
      </c>
      <c r="X76">
        <f>IF(A76+Forudsætninger!$E$60&gt;248,IF(A76+Forudsætninger!$E$60&lt;365,IF(K76&gt;180,IF(K76&lt;260,1,0),0),0),0)</f>
        <v>0</v>
      </c>
      <c r="Y76" s="22">
        <f>IF(X76=0,0,IF('Vækstfunktion, kry kvie'!A76&lt;Forudsætninger!$E$66,Forudsætninger!$E$67+(('Vækstfunktion, kry kvie'!A76-Forudsætninger!$E$66)/7)*Forudsætninger!$E$64,Forudsætninger!$E$67))</f>
        <v>0</v>
      </c>
      <c r="Z76" s="19">
        <f t="shared" si="47"/>
        <v>1070.5506460228228</v>
      </c>
      <c r="AA76" s="19">
        <f>Forudsætninger!$E$62+Forudsætninger!$C$16</f>
        <v>1575</v>
      </c>
      <c r="AB76" s="19">
        <f>IF(K76&gt;Forudsætninger!$C$48,IF(K76&gt;Forudsætninger!$C$49,IF(K76&gt;Forudsætninger!$C$50,Forudsætninger!$E$50,Forudsætninger!$E$49+Forudsætninger!$F$50*(K76-Forudsætninger!$C$49)),Forudsætninger!$E$48+Forudsætninger!$F$49*(K76-Forudsætninger!$C$48)),Forudsætninger!$E$48)+IF(K76&gt;Forudsætninger!$C$50,Forudsætninger!$G$50,IF(K76&gt;Forudsætninger!$C$49,Forudsætninger!$G$49+Forudsætninger!$H$50*(K76-Forudsætninger!$C$49),IF(K76&gt;Forudsætninger!$C$48,Forudsætninger!$G$48+Forudsætninger!$H$49*(K76-Forudsætninger!$C$48),Forudsætninger!$G$48)))*(U76-Forudsætninger!$H$48)</f>
        <v>35.143346515917855</v>
      </c>
      <c r="AC76" s="19">
        <f>IF(K76&gt;Forudsætninger!$C$52,IF(K76&gt;Forudsætninger!$C$53,IF(K76&gt;Forudsætninger!$C$54,Forudsætninger!$E$54,Forudsætninger!$E$53+Forudsætninger!$F$54*(K76-Forudsætninger!$C$53)),Forudsætninger!$E$52+Forudsætninger!$F$53*(K76-Forudsætninger!$C$52)),Forudsætninger!$E$52)+IF(K76&gt;Forudsætninger!$C$54,Forudsætninger!$G$54,IF(K76&gt;Forudsætninger!$C$53,Forudsætninger!$G$53+Forudsætninger!$H$54*(K76-Forudsætninger!$C$53),IF(K76&gt;Forudsætninger!$C$52,Forudsætninger!$G$52+Forudsætninger!$H$53*(K76-Forudsætninger!$C$52),Forudsætninger!$G$52)))*(V76-Forudsætninger!$H$52)</f>
        <v>30.00836628979464</v>
      </c>
      <c r="AD76" s="19">
        <f t="shared" si="34"/>
        <v>2151.3041293488559</v>
      </c>
      <c r="AE76" s="19">
        <f t="shared" si="35"/>
        <v>30.00836628979464</v>
      </c>
      <c r="AF76">
        <f>IF(G76&lt;=Forudsætninger!$C$97,Forudsætninger!$C$98,(IF(G76&lt;=Forudsætninger!$D$97,Forudsætninger!$D$98,IF(G76&lt;=Forudsætninger!$E$97,Forudsætninger!$E$98,IF(G76&lt;=Forudsætninger!$F$97,Forudsætninger!$F$98,IF(G76&lt;=Forudsætninger!$G$97,Forudsætninger!$G$98,IF(G76&lt;=Forudsætninger!$H$97,Forudsætninger!$H$98,IF(G76&lt;=Forudsætninger!$I$97,Forudsætninger!$I$98,Forudsætninger!$I$98))))))))</f>
        <v>2.2000000000000002</v>
      </c>
      <c r="AG76" s="1">
        <f t="shared" si="44"/>
        <v>2.2000000000000002</v>
      </c>
      <c r="AH76" s="1">
        <f t="shared" si="48"/>
        <v>162.79999999999993</v>
      </c>
      <c r="AI76" s="1">
        <f t="shared" si="36"/>
        <v>2.1999999999999988</v>
      </c>
      <c r="AJ76" s="20">
        <f>+(W76*Forudsætninger!$C$12)</f>
        <v>0</v>
      </c>
      <c r="AK76" s="20">
        <f>Forudsætninger!$C$17</f>
        <v>250</v>
      </c>
      <c r="AL76" s="20">
        <f>IF(A76&lt;92,Forudsætninger!$C$20,Forudsætninger!$C$21)</f>
        <v>4.0072859744990899</v>
      </c>
      <c r="AM76" s="20">
        <f t="shared" si="45"/>
        <v>296.5391621129329</v>
      </c>
      <c r="AN76" s="19">
        <f>IFERROR(AD76+AJ76-AA76-Z76-AK76-AM76-Forudsætninger!$E$75,-999999)</f>
        <v>-1232.0024401235155</v>
      </c>
      <c r="AO76" s="19">
        <f>IFERROR(AN76/(A76+Forudsætninger!$E$74),-999999)</f>
        <v>-16.648681623290749</v>
      </c>
      <c r="AP76" s="19">
        <f>IFERROR(((365/(A76+Forudsætninger!$E$74))*AN76)/(AI76+Forudsætninger!$E$73),-999999)</f>
        <v>-2630.6358409095792</v>
      </c>
      <c r="AQ76" s="18">
        <f t="shared" si="37"/>
        <v>74</v>
      </c>
      <c r="AR76" s="18">
        <f t="shared" si="49"/>
        <v>3192.0898081357554</v>
      </c>
      <c r="AS76" s="18">
        <f t="shared" si="29"/>
        <v>3.6</v>
      </c>
      <c r="AT76" s="50">
        <f t="shared" si="50"/>
        <v>5.5810310860720165</v>
      </c>
      <c r="AU76" s="50">
        <f t="shared" si="51"/>
        <v>0.3045166124570251</v>
      </c>
      <c r="AV76" s="2">
        <f t="shared" si="52"/>
        <v>48.116261275676152</v>
      </c>
      <c r="AW76" s="16">
        <f t="shared" si="46"/>
        <v>-12.641395648791656</v>
      </c>
      <c r="AZ76" s="16"/>
      <c r="BA76" s="2"/>
    </row>
    <row r="77" spans="1:53" x14ac:dyDescent="0.25">
      <c r="A77">
        <v>75</v>
      </c>
      <c r="B77" s="1">
        <f>ROUND((A77+Forudsætninger!$E$60)/30.4,1)</f>
        <v>3.7</v>
      </c>
      <c r="C77" s="1">
        <f>VLOOKUP((A77+Forudsætninger!$E$60),'Model tilvækst, slagteform, fe'!A:D,4,FALSE)</f>
        <v>152.1812754313658</v>
      </c>
      <c r="D77" s="3">
        <f t="shared" si="53"/>
        <v>1475.7798305208212</v>
      </c>
      <c r="E77" s="3">
        <f>(1+Forudsætninger!$E$78)*C77</f>
        <v>140.00677339685654</v>
      </c>
      <c r="F77" s="2">
        <f t="shared" si="28"/>
        <v>4.3533475997906299</v>
      </c>
      <c r="G77" s="1">
        <f t="shared" si="30"/>
        <v>144.36012099664717</v>
      </c>
      <c r="H77" s="3">
        <f t="shared" si="38"/>
        <v>1283.9284525531127</v>
      </c>
      <c r="I77" s="3">
        <f t="shared" si="31"/>
        <v>1018.1349466219622</v>
      </c>
      <c r="J77" s="1">
        <f>VLOOKUP((A77+Forudsætninger!$E$60),'Model tilvækst, slagteform, fe'!G:K,4,FALSE)*(1+Forudsætninger!$E$79)</f>
        <v>50.125376761008617</v>
      </c>
      <c r="K77" s="17">
        <f t="shared" si="32"/>
        <v>72.361054542217303</v>
      </c>
      <c r="L77" s="17">
        <f t="shared" si="39"/>
        <v>670.90958152746794</v>
      </c>
      <c r="M77" s="3">
        <f>((K77-(('Model tilvækst, slagteform, fe'!$J$9/100)*'Model tilvækst, slagteform, fe'!$D$9))*1000/(A77+Forudsætninger!$E$60))</f>
        <v>469.60942709346</v>
      </c>
      <c r="N77" s="17">
        <f t="shared" si="40"/>
        <v>224.07731055170862</v>
      </c>
      <c r="O77" s="19">
        <f>IF( A77&lt;Forudsætninger!$C$14,(G77/100)*Forudsætninger!$C$13,(Forudsætninger!$C$15/1000)*Forudsætninger!$C$13)</f>
        <v>0.93834078647820662</v>
      </c>
      <c r="P77" s="17" cm="1">
        <f t="array" ref="P77">INDEX('Model tilvækst, slagteform, fe'!$P$9:$P$375,MATCH(MIN(ABS('Model tilvækst, slagteform, fe'!$M$9:$M$375-G77)),ABS('Model tilvækst, slagteform, fe'!$M$9:$M$375-G77),0))*(1+Forudsætninger!$E$80)</f>
        <v>4.1560541856992588</v>
      </c>
      <c r="Q77" s="17">
        <f t="shared" si="41"/>
        <v>6.1946561804008224</v>
      </c>
      <c r="R77" s="17">
        <f t="shared" si="42"/>
        <v>5.6880526786974279</v>
      </c>
      <c r="S77" s="17">
        <f t="shared" si="43"/>
        <v>2.9344808209712951</v>
      </c>
      <c r="T77" s="19">
        <f>(P77)*IF(N77&lt;Forudsætninger!$B$228,IF(N77&lt;Forudsætninger!$B$227,Forudsætninger!$B$225,Forudsætninger!$C$9),Forudsætninger!$C$11)+O77</f>
        <v>10.663507581014471</v>
      </c>
      <c r="U77" s="5">
        <f>Forudsætninger!$E$68+((K77-(Forudsætninger!$E$84)))*0.01</f>
        <v>5.4401742549938419</v>
      </c>
      <c r="V77" s="2">
        <f>U77+Forudsætninger!$E$69</f>
        <v>5.4401742549938419</v>
      </c>
      <c r="W77">
        <f t="shared" si="33"/>
        <v>0</v>
      </c>
      <c r="X77">
        <f>IF(A77+Forudsætninger!$E$60&gt;248,IF(A77+Forudsætninger!$E$60&lt;365,IF(K77&gt;180,IF(K77&lt;260,1,0),0),0),0)</f>
        <v>0</v>
      </c>
      <c r="Y77" s="22">
        <f>IF(X77=0,0,IF('Vækstfunktion, kry kvie'!A77&lt;Forudsætninger!$E$66,Forudsætninger!$E$67+(('Vækstfunktion, kry kvie'!A77-Forudsætninger!$E$66)/7)*Forudsætninger!$E$64,Forudsætninger!$E$67))</f>
        <v>0</v>
      </c>
      <c r="Z77" s="19">
        <f t="shared" si="47"/>
        <v>1081.2141536038373</v>
      </c>
      <c r="AA77" s="19">
        <f>Forudsætninger!$E$62+Forudsætninger!$C$16</f>
        <v>1575</v>
      </c>
      <c r="AB77" s="19">
        <f>IF(K77&gt;Forudsætninger!$C$48,IF(K77&gt;Forudsætninger!$C$49,IF(K77&gt;Forudsætninger!$C$50,Forudsætninger!$E$50,Forudsætninger!$E$49+Forudsætninger!$F$50*(K77-Forudsætninger!$C$49)),Forudsætninger!$E$48+Forudsætninger!$F$49*(K77-Forudsætninger!$C$48)),Forudsætninger!$E$48)+IF(K77&gt;Forudsætninger!$C$50,Forudsætninger!$G$50,IF(K77&gt;Forudsætninger!$C$49,Forudsætninger!$G$49+Forudsætninger!$H$50*(K77-Forudsætninger!$C$49),IF(K77&gt;Forudsætninger!$C$48,Forudsætninger!$G$48+Forudsætninger!$H$49*(K77-Forudsætninger!$C$48),Forudsætninger!$G$48)))*(U77-Forudsætninger!$H$48)</f>
        <v>35.144017425499385</v>
      </c>
      <c r="AC77" s="19">
        <f>IF(K77&gt;Forudsætninger!$C$52,IF(K77&gt;Forudsætninger!$C$53,IF(K77&gt;Forudsætninger!$C$54,Forudsætninger!$E$54,Forudsætninger!$E$53+Forudsætninger!$F$54*(K77-Forudsætninger!$C$53)),Forudsætninger!$E$52+Forudsætninger!$F$53*(K77-Forudsætninger!$C$52)),Forudsætninger!$E$52)+IF(K77&gt;Forudsætninger!$C$54,Forudsætninger!$G$54,IF(K77&gt;Forudsætninger!$C$53,Forudsætninger!$G$53+Forudsætninger!$H$54*(K77-Forudsætninger!$C$53),IF(K77&gt;Forudsætninger!$C$52,Forudsætninger!$G$52+Forudsætninger!$H$53*(K77-Forudsætninger!$C$52),Forudsætninger!$G$52)))*(V77-Forudsætninger!$H$52)</f>
        <v>30.010043563748461</v>
      </c>
      <c r="AD77" s="19">
        <f t="shared" si="34"/>
        <v>2171.5583991307199</v>
      </c>
      <c r="AE77" s="19">
        <f t="shared" si="35"/>
        <v>30.010043563748464</v>
      </c>
      <c r="AF77">
        <f>IF(G77&lt;=Forudsætninger!$C$97,Forudsætninger!$C$98,(IF(G77&lt;=Forudsætninger!$D$97,Forudsætninger!$D$98,IF(G77&lt;=Forudsætninger!$E$97,Forudsætninger!$E$98,IF(G77&lt;=Forudsætninger!$F$97,Forudsætninger!$F$98,IF(G77&lt;=Forudsætninger!$G$97,Forudsætninger!$G$98,IF(G77&lt;=Forudsætninger!$H$97,Forudsætninger!$H$98,IF(G77&lt;=Forudsætninger!$I$97,Forudsætninger!$I$98,Forudsætninger!$I$98))))))))</f>
        <v>2.2000000000000002</v>
      </c>
      <c r="AG77" s="1">
        <f t="shared" si="44"/>
        <v>2.2000000000000002</v>
      </c>
      <c r="AH77" s="1">
        <f t="shared" si="48"/>
        <v>164.99999999999991</v>
      </c>
      <c r="AI77" s="1">
        <f t="shared" si="36"/>
        <v>2.1999999999999988</v>
      </c>
      <c r="AJ77" s="20">
        <f>+(W77*Forudsætninger!$C$12)</f>
        <v>0</v>
      </c>
      <c r="AK77" s="20">
        <f>Forudsætninger!$C$17</f>
        <v>250</v>
      </c>
      <c r="AL77" s="20">
        <f>IF(A77&lt;92,Forudsætninger!$C$20,Forudsætninger!$C$21)</f>
        <v>4.0072859744990899</v>
      </c>
      <c r="AM77" s="20">
        <f t="shared" si="45"/>
        <v>300.546448087432</v>
      </c>
      <c r="AN77" s="19">
        <f>IFERROR(AD77+AJ77-AA77-Z77-AK77-AM77-Forudsætninger!$E$75,-999999)</f>
        <v>-1226.4189638971652</v>
      </c>
      <c r="AO77" s="19">
        <f>IFERROR(AN77/(A77+Forudsætninger!$E$74),-999999)</f>
        <v>-16.352252851962202</v>
      </c>
      <c r="AP77" s="19">
        <f>IFERROR(((365/(A77+Forudsætninger!$E$74))*AN77)/(AI77+Forudsætninger!$E$73),-999999)</f>
        <v>-2583.7975285567995</v>
      </c>
      <c r="AQ77" s="18">
        <f t="shared" si="37"/>
        <v>75</v>
      </c>
      <c r="AR77" s="18">
        <f t="shared" si="49"/>
        <v>3206.7606016912691</v>
      </c>
      <c r="AS77" s="18">
        <f t="shared" si="29"/>
        <v>3.7</v>
      </c>
      <c r="AT77" s="50">
        <f t="shared" si="50"/>
        <v>5.5834762263502853</v>
      </c>
      <c r="AU77" s="50">
        <f t="shared" si="51"/>
        <v>0.2964287713285465</v>
      </c>
      <c r="AV77" s="2">
        <f t="shared" si="52"/>
        <v>46.838312352779667</v>
      </c>
      <c r="AW77" s="16">
        <f t="shared" si="46"/>
        <v>-12.34496687746311</v>
      </c>
      <c r="AZ77" s="16"/>
      <c r="BA77" s="2"/>
    </row>
    <row r="78" spans="1:53" x14ac:dyDescent="0.25">
      <c r="A78">
        <v>76</v>
      </c>
      <c r="B78" s="1">
        <f>ROUND((A78+Forudsætninger!$E$60)/30.4,1)</f>
        <v>3.7</v>
      </c>
      <c r="C78" s="1">
        <f>VLOOKUP((A78+Forudsætninger!$E$60),'Model tilvækst, slagteform, fe'!A:D,4,FALSE)</f>
        <v>153.66163625807866</v>
      </c>
      <c r="D78" s="3">
        <f t="shared" si="53"/>
        <v>1480.3608267128539</v>
      </c>
      <c r="E78" s="3">
        <f>(1+Forudsætninger!$E$78)*C78</f>
        <v>141.36870535743236</v>
      </c>
      <c r="F78" s="2">
        <f t="shared" si="28"/>
        <v>4.2793295584549869</v>
      </c>
      <c r="G78" s="1">
        <f t="shared" si="30"/>
        <v>145.64803491588734</v>
      </c>
      <c r="H78" s="3">
        <f t="shared" si="38"/>
        <v>1287.9139192401681</v>
      </c>
      <c r="I78" s="3">
        <f t="shared" si="31"/>
        <v>1021.6846699458861</v>
      </c>
      <c r="J78" s="1">
        <f>VLOOKUP((A78+Forudsætninger!$E$60),'Model tilvækst, slagteform, fe'!G:K,4,FALSE)*(1+Forudsætninger!$E$79)</f>
        <v>50.144477248019079</v>
      </c>
      <c r="K78" s="17">
        <f t="shared" si="32"/>
        <v>73.034445730584011</v>
      </c>
      <c r="L78" s="17">
        <f t="shared" si="39"/>
        <v>673.39118836670764</v>
      </c>
      <c r="M78" s="3">
        <f>((K78-(('Model tilvækst, slagteform, fe'!$J$9/100)*'Model tilvækst, slagteform, fe'!$D$9))*1000/(A78+Forudsætninger!$E$60))</f>
        <v>471.42890710482823</v>
      </c>
      <c r="N78" s="17">
        <f t="shared" si="40"/>
        <v>228.29064625283593</v>
      </c>
      <c r="O78" s="19">
        <f>IF( A78&lt;Forudsætninger!$C$14,(G78/100)*Forudsætninger!$C$13,(Forudsætninger!$C$15/1000)*Forudsætninger!$C$13)</f>
        <v>0.94671222695326773</v>
      </c>
      <c r="P78" s="17" cm="1">
        <f t="array" ref="P78">INDEX('Model tilvækst, slagteform, fe'!$P$9:$P$375,MATCH(MIN(ABS('Model tilvækst, slagteform, fe'!$M$9:$M$375-G78)),ABS('Model tilvækst, slagteform, fe'!$M$9:$M$375-G78),0))*(1+Forudsætninger!$E$80)</f>
        <v>4.2133357011272992</v>
      </c>
      <c r="Q78" s="17">
        <f t="shared" si="41"/>
        <v>6.2568916462162694</v>
      </c>
      <c r="R78" s="17">
        <f t="shared" si="42"/>
        <v>5.6976127598755886</v>
      </c>
      <c r="S78" s="17">
        <f t="shared" si="43"/>
        <v>2.9400698485175192</v>
      </c>
      <c r="T78" s="19">
        <f>(P78)*IF(N78&lt;Forudsætninger!$B$228,IF(N78&lt;Forudsætninger!$B$227,Forudsætninger!$B$225,Forudsætninger!$C$9),Forudsætninger!$C$11)+O78</f>
        <v>10.805917767591147</v>
      </c>
      <c r="U78" s="5">
        <f>Forudsætninger!$E$68+((K78-(Forudsætninger!$E$84)))*0.01</f>
        <v>5.4469081668775097</v>
      </c>
      <c r="V78" s="2">
        <f>U78+Forudsætninger!$E$69</f>
        <v>5.4469081668775097</v>
      </c>
      <c r="W78">
        <f t="shared" si="33"/>
        <v>0</v>
      </c>
      <c r="X78">
        <f>IF(A78+Forudsætninger!$E$60&gt;248,IF(A78+Forudsætninger!$E$60&lt;365,IF(K78&gt;180,IF(K78&lt;260,1,0),0),0),0)</f>
        <v>0</v>
      </c>
      <c r="Y78" s="22">
        <f>IF(X78=0,0,IF('Vækstfunktion, kry kvie'!A78&lt;Forudsætninger!$E$66,Forudsætninger!$E$67+(('Vækstfunktion, kry kvie'!A78-Forudsætninger!$E$66)/7)*Forudsætninger!$E$64,Forudsætninger!$E$67))</f>
        <v>0</v>
      </c>
      <c r="Z78" s="19">
        <f t="shared" si="47"/>
        <v>1092.0200713714285</v>
      </c>
      <c r="AA78" s="19">
        <f>Forudsætninger!$E$62+Forudsætninger!$C$16</f>
        <v>1575</v>
      </c>
      <c r="AB78" s="19">
        <f>IF(K78&gt;Forudsætninger!$C$48,IF(K78&gt;Forudsætninger!$C$49,IF(K78&gt;Forudsætninger!$C$50,Forudsætninger!$E$50,Forudsætninger!$E$49+Forudsætninger!$F$50*(K78-Forudsætninger!$C$49)),Forudsætninger!$E$48+Forudsætninger!$F$49*(K78-Forudsætninger!$C$48)),Forudsætninger!$E$48)+IF(K78&gt;Forudsætninger!$C$50,Forudsætninger!$G$50,IF(K78&gt;Forudsætninger!$C$49,Forudsætninger!$G$49+Forudsætninger!$H$50*(K78-Forudsætninger!$C$49),IF(K78&gt;Forudsætninger!$C$48,Forudsætninger!$G$48+Forudsætninger!$H$49*(K78-Forudsætninger!$C$48),Forudsætninger!$G$48)))*(U78-Forudsætninger!$H$48)</f>
        <v>35.144690816687749</v>
      </c>
      <c r="AC78" s="19">
        <f>IF(K78&gt;Forudsætninger!$C$52,IF(K78&gt;Forudsætninger!$C$53,IF(K78&gt;Forudsætninger!$C$54,Forudsætninger!$E$54,Forudsætninger!$E$53+Forudsætninger!$F$54*(K78-Forudsætninger!$C$53)),Forudsætninger!$E$52+Forudsætninger!$F$53*(K78-Forudsætninger!$C$52)),Forudsætninger!$E$52)+IF(K78&gt;Forudsætninger!$C$54,Forudsætninger!$G$54,IF(K78&gt;Forudsætninger!$C$53,Forudsætninger!$G$53+Forudsætninger!$H$54*(K78-Forudsætninger!$C$53),IF(K78&gt;Forudsætninger!$C$52,Forudsætninger!$G$52+Forudsætninger!$H$53*(K78-Forudsætninger!$C$52),Forudsætninger!$G$52)))*(V78-Forudsætninger!$H$52)</f>
        <v>30.011727041719375</v>
      </c>
      <c r="AD78" s="19">
        <f t="shared" si="34"/>
        <v>2191.8898499095544</v>
      </c>
      <c r="AE78" s="19">
        <f t="shared" si="35"/>
        <v>30.011727041719375</v>
      </c>
      <c r="AF78">
        <f>IF(G78&lt;=Forudsætninger!$C$97,Forudsætninger!$C$98,(IF(G78&lt;=Forudsætninger!$D$97,Forudsætninger!$D$98,IF(G78&lt;=Forudsætninger!$E$97,Forudsætninger!$E$98,IF(G78&lt;=Forudsætninger!$F$97,Forudsætninger!$F$98,IF(G78&lt;=Forudsætninger!$G$97,Forudsætninger!$G$98,IF(G78&lt;=Forudsætninger!$H$97,Forudsætninger!$H$98,IF(G78&lt;=Forudsætninger!$I$97,Forudsætninger!$I$98,Forudsætninger!$I$98))))))))</f>
        <v>2.2000000000000002</v>
      </c>
      <c r="AG78" s="1">
        <f t="shared" si="44"/>
        <v>2.2000000000000002</v>
      </c>
      <c r="AH78" s="1">
        <f t="shared" si="48"/>
        <v>167.1999999999999</v>
      </c>
      <c r="AI78" s="1">
        <f t="shared" si="36"/>
        <v>2.1999999999999988</v>
      </c>
      <c r="AJ78" s="20">
        <f>+(W78*Forudsætninger!$C$12)</f>
        <v>0</v>
      </c>
      <c r="AK78" s="20">
        <f>Forudsætninger!$C$17</f>
        <v>250</v>
      </c>
      <c r="AL78" s="20">
        <f>IF(A78&lt;92,Forudsætninger!$C$20,Forudsætninger!$C$21)</f>
        <v>4.0072859744990899</v>
      </c>
      <c r="AM78" s="20">
        <f t="shared" si="45"/>
        <v>304.5537340619311</v>
      </c>
      <c r="AN78" s="19">
        <f>IFERROR(AD78+AJ78-AA78-Z78-AK78-AM78-Forudsætninger!$E$75,-999999)</f>
        <v>-1220.900716860421</v>
      </c>
      <c r="AO78" s="19">
        <f>IFERROR(AN78/(A78+Forudsætninger!$E$74),-999999)</f>
        <v>-16.064483116584487</v>
      </c>
      <c r="AP78" s="19">
        <f>IFERROR(((365/(A78+Forudsætninger!$E$74))*AN78)/(AI78+Forudsætninger!$E$73),-999999)</f>
        <v>-2538.32741885426</v>
      </c>
      <c r="AQ78" s="18">
        <f t="shared" si="37"/>
        <v>76</v>
      </c>
      <c r="AR78" s="18">
        <f t="shared" si="49"/>
        <v>3221.5738054333597</v>
      </c>
      <c r="AS78" s="18">
        <f t="shared" si="29"/>
        <v>3.7</v>
      </c>
      <c r="AT78" s="50">
        <f t="shared" si="50"/>
        <v>5.518247036744242</v>
      </c>
      <c r="AU78" s="50">
        <f t="shared" si="51"/>
        <v>0.28776973537771511</v>
      </c>
      <c r="AV78" s="2">
        <f t="shared" si="52"/>
        <v>45.470109702539503</v>
      </c>
      <c r="AW78" s="16">
        <f t="shared" si="46"/>
        <v>-12.057197142085393</v>
      </c>
      <c r="AZ78" s="16"/>
      <c r="BA78" s="2"/>
    </row>
    <row r="79" spans="1:53" x14ac:dyDescent="0.25">
      <c r="A79">
        <v>77</v>
      </c>
      <c r="B79" s="1">
        <f>ROUND((A79+Forudsætninger!$E$60)/30.4,1)</f>
        <v>3.7</v>
      </c>
      <c r="C79" s="1">
        <f>VLOOKUP((A79+Forudsætninger!$E$60),'Model tilvækst, slagteform, fe'!A:D,4,FALSE)</f>
        <v>155.1464732882834</v>
      </c>
      <c r="D79" s="3">
        <f t="shared" si="53"/>
        <v>1484.8370302047442</v>
      </c>
      <c r="E79" s="3">
        <f>(1+Forudsætninger!$E$78)*C79</f>
        <v>142.73475542522073</v>
      </c>
      <c r="F79" s="2">
        <f t="shared" si="28"/>
        <v>4.2050877069447496</v>
      </c>
      <c r="G79" s="1">
        <f t="shared" si="30"/>
        <v>146.93984313216546</v>
      </c>
      <c r="H79" s="3">
        <f t="shared" si="38"/>
        <v>1291.8082162781275</v>
      </c>
      <c r="I79" s="3">
        <f t="shared" si="31"/>
        <v>1025.1927679502007</v>
      </c>
      <c r="J79" s="1">
        <f>VLOOKUP((A79+Forudsætninger!$E$60),'Model tilvækst, slagteform, fe'!G:K,4,FALSE)*(1+Forudsætninger!$E$79)</f>
        <v>50.163576232122018</v>
      </c>
      <c r="K79" s="17">
        <f t="shared" si="32"/>
        <v>73.710280224964336</v>
      </c>
      <c r="L79" s="17">
        <f t="shared" si="39"/>
        <v>675.83449438032517</v>
      </c>
      <c r="M79" s="3">
        <f>((K79-(('Model tilvækst, slagteform, fe'!$J$9/100)*'Model tilvækst, slagteform, fe'!$D$9))*1000/(A79+Forudsætninger!$E$60))</f>
        <v>473.23780610726624</v>
      </c>
      <c r="N79" s="17">
        <f t="shared" si="40"/>
        <v>232.53240593529037</v>
      </c>
      <c r="O79" s="19">
        <f>IF( A79&lt;Forudsætninger!$C$14,(G79/100)*Forudsætninger!$C$13,(Forudsætninger!$C$15/1000)*Forudsætninger!$C$13)</f>
        <v>0.95510898035907554</v>
      </c>
      <c r="P79" s="17" cm="1">
        <f t="array" ref="P79">INDEX('Model tilvækst, slagteform, fe'!$P$9:$P$375,MATCH(MIN(ABS('Model tilvækst, slagteform, fe'!$M$9:$M$375-G79)),ABS('Model tilvækst, slagteform, fe'!$M$9:$M$375-G79),0))*(1+Forudsætninger!$E$80)</f>
        <v>4.2417596824544388</v>
      </c>
      <c r="Q79" s="17">
        <f t="shared" si="41"/>
        <v>6.2763290683227435</v>
      </c>
      <c r="R79" s="17">
        <f t="shared" si="42"/>
        <v>5.7072122156430414</v>
      </c>
      <c r="S79" s="17">
        <f t="shared" si="43"/>
        <v>2.9456912594312068</v>
      </c>
      <c r="T79" s="19">
        <f>(P79)*IF(N79&lt;Forudsætninger!$B$228,IF(N79&lt;Forudsætninger!$B$227,Forudsætninger!$B$225,Forudsætninger!$C$9),Forudsætninger!$C$11)+O79</f>
        <v>10.88082663730246</v>
      </c>
      <c r="U79" s="5">
        <f>Forudsætninger!$E$68+((K79-(Forudsætninger!$E$84)))*0.01</f>
        <v>5.4536665118213126</v>
      </c>
      <c r="V79" s="2">
        <f>U79+Forudsætninger!$E$69</f>
        <v>5.4536665118213126</v>
      </c>
      <c r="W79">
        <f t="shared" si="33"/>
        <v>0</v>
      </c>
      <c r="X79">
        <f>IF(A79+Forudsætninger!$E$60&gt;248,IF(A79+Forudsætninger!$E$60&lt;365,IF(K79&gt;180,IF(K79&lt;260,1,0),0),0),0)</f>
        <v>0</v>
      </c>
      <c r="Y79" s="22">
        <f>IF(X79=0,0,IF('Vækstfunktion, kry kvie'!A79&lt;Forudsætninger!$E$66,Forudsætninger!$E$67+(('Vækstfunktion, kry kvie'!A79-Forudsætninger!$E$66)/7)*Forudsætninger!$E$64,Forudsætninger!$E$67))</f>
        <v>0</v>
      </c>
      <c r="Z79" s="19">
        <f t="shared" si="47"/>
        <v>1102.900898008731</v>
      </c>
      <c r="AA79" s="19">
        <f>Forudsætninger!$E$62+Forudsætninger!$C$16</f>
        <v>1575</v>
      </c>
      <c r="AB79" s="19">
        <f>IF(K79&gt;Forudsætninger!$C$48,IF(K79&gt;Forudsætninger!$C$49,IF(K79&gt;Forudsætninger!$C$50,Forudsætninger!$E$50,Forudsætninger!$E$49+Forudsætninger!$F$50*(K79-Forudsætninger!$C$49)),Forudsætninger!$E$48+Forudsætninger!$F$49*(K79-Forudsætninger!$C$48)),Forudsætninger!$E$48)+IF(K79&gt;Forudsætninger!$C$50,Forudsætninger!$G$50,IF(K79&gt;Forudsætninger!$C$49,Forudsætninger!$G$49+Forudsætninger!$H$50*(K79-Forudsætninger!$C$49),IF(K79&gt;Forudsætninger!$C$48,Forudsætninger!$G$48+Forudsætninger!$H$49*(K79-Forudsætninger!$C$48),Forudsætninger!$G$48)))*(U79-Forudsætninger!$H$48)</f>
        <v>35.14536665118213</v>
      </c>
      <c r="AC79" s="19">
        <f>IF(K79&gt;Forudsætninger!$C$52,IF(K79&gt;Forudsætninger!$C$53,IF(K79&gt;Forudsætninger!$C$54,Forudsætninger!$E$54,Forudsætninger!$E$53+Forudsætninger!$F$54*(K79-Forudsætninger!$C$53)),Forudsætninger!$E$52+Forudsætninger!$F$53*(K79-Forudsætninger!$C$52)),Forudsætninger!$E$52)+IF(K79&gt;Forudsætninger!$C$54,Forudsætninger!$G$54,IF(K79&gt;Forudsætninger!$C$53,Forudsætninger!$G$53+Forudsætninger!$H$54*(K79-Forudsætninger!$C$53),IF(K79&gt;Forudsætninger!$C$52,Forudsætninger!$G$52+Forudsætninger!$H$53*(K79-Forudsætninger!$C$52),Forudsætninger!$G$52)))*(V79-Forudsætninger!$H$52)</f>
        <v>30.013416627955326</v>
      </c>
      <c r="AD79" s="19">
        <f t="shared" si="34"/>
        <v>2212.2973501551915</v>
      </c>
      <c r="AE79" s="19">
        <f t="shared" si="35"/>
        <v>30.01341662795533</v>
      </c>
      <c r="AF79">
        <f>IF(G79&lt;=Forudsætninger!$C$97,Forudsætninger!$C$98,(IF(G79&lt;=Forudsætninger!$D$97,Forudsætninger!$D$98,IF(G79&lt;=Forudsætninger!$E$97,Forudsætninger!$E$98,IF(G79&lt;=Forudsætninger!$F$97,Forudsætninger!$F$98,IF(G79&lt;=Forudsætninger!$G$97,Forudsætninger!$G$98,IF(G79&lt;=Forudsætninger!$H$97,Forudsætninger!$H$98,IF(G79&lt;=Forudsætninger!$I$97,Forudsætninger!$I$98,Forudsætninger!$I$98))))))))</f>
        <v>2.2000000000000002</v>
      </c>
      <c r="AG79" s="1">
        <f t="shared" si="44"/>
        <v>2.2000000000000002</v>
      </c>
      <c r="AH79" s="1">
        <f t="shared" si="48"/>
        <v>169.39999999999989</v>
      </c>
      <c r="AI79" s="1">
        <f t="shared" si="36"/>
        <v>2.1999999999999984</v>
      </c>
      <c r="AJ79" s="20">
        <f>+(W79*Forudsætninger!$C$12)</f>
        <v>0</v>
      </c>
      <c r="AK79" s="20">
        <f>Forudsætninger!$C$17</f>
        <v>250</v>
      </c>
      <c r="AL79" s="20">
        <f>IF(A79&lt;92,Forudsætninger!$C$20,Forudsætninger!$C$21)</f>
        <v>4.0072859744990899</v>
      </c>
      <c r="AM79" s="20">
        <f t="shared" si="45"/>
        <v>308.56102003643019</v>
      </c>
      <c r="AN79" s="19">
        <f>IFERROR(AD79+AJ79-AA79-Z79-AK79-AM79-Forudsætninger!$E$75,-999999)</f>
        <v>-1215.3813292265854</v>
      </c>
      <c r="AO79" s="19">
        <f>IFERROR(AN79/(A79+Forudsætninger!$E$74),-999999)</f>
        <v>-15.784173106838772</v>
      </c>
      <c r="AP79" s="19">
        <f>IFERROR(((365/(A79+Forudsætninger!$E$74))*AN79)/(AI79+Forudsætninger!$E$73),-999999)</f>
        <v>-2494.0360103879466</v>
      </c>
      <c r="AQ79" s="18">
        <f t="shared" si="37"/>
        <v>77</v>
      </c>
      <c r="AR79" s="18">
        <f t="shared" si="49"/>
        <v>3236.4619180451614</v>
      </c>
      <c r="AS79" s="18">
        <f t="shared" si="29"/>
        <v>3.7</v>
      </c>
      <c r="AT79" s="50">
        <f t="shared" si="50"/>
        <v>5.5193876338355494</v>
      </c>
      <c r="AU79" s="50">
        <f t="shared" si="51"/>
        <v>0.2803100097457154</v>
      </c>
      <c r="AV79" s="2">
        <f t="shared" si="52"/>
        <v>44.291408466313442</v>
      </c>
      <c r="AW79" s="16">
        <f t="shared" si="46"/>
        <v>-11.776887132339679</v>
      </c>
      <c r="AZ79" s="16"/>
      <c r="BA79" s="2"/>
    </row>
    <row r="80" spans="1:53" x14ac:dyDescent="0.25">
      <c r="A80">
        <v>78</v>
      </c>
      <c r="B80" s="1">
        <f>ROUND((A80+Forudsætninger!$E$60)/30.4,1)</f>
        <v>3.8</v>
      </c>
      <c r="C80" s="1">
        <f>VLOOKUP((A80+Forudsætninger!$E$60),'Model tilvækst, slagteform, fe'!A:D,4,FALSE)</f>
        <v>156.63568231430057</v>
      </c>
      <c r="D80" s="3">
        <f t="shared" si="53"/>
        <v>1489.2090260171642</v>
      </c>
      <c r="E80" s="3">
        <f>(1+Forudsætninger!$E$78)*C80</f>
        <v>144.10482772915654</v>
      </c>
      <c r="F80" s="2">
        <f t="shared" si="28"/>
        <v>4.1306272556438914</v>
      </c>
      <c r="G80" s="1">
        <f t="shared" si="30"/>
        <v>148.23545498480044</v>
      </c>
      <c r="H80" s="3">
        <f t="shared" si="38"/>
        <v>1295.6118526349769</v>
      </c>
      <c r="I80" s="3">
        <f t="shared" si="31"/>
        <v>1028.6596792923133</v>
      </c>
      <c r="J80" s="1">
        <f>VLOOKUP((A80+Forudsætninger!$E$60),'Model tilvækst, slagteform, fe'!G:K,4,FALSE)*(1+Forudsætninger!$E$79)</f>
        <v>50.182677352964632</v>
      </c>
      <c r="K80" s="17">
        <f t="shared" si="32"/>
        <v>74.388520097721539</v>
      </c>
      <c r="L80" s="17">
        <f t="shared" si="39"/>
        <v>678.23987275720299</v>
      </c>
      <c r="M80" s="3">
        <f>((K80-(('Model tilvækst, slagteform, fe'!$J$9/100)*'Model tilvækst, slagteform, fe'!$D$9))*1000/(A80+Forudsætninger!$E$60))</f>
        <v>475.03606984980956</v>
      </c>
      <c r="N80" s="17">
        <f t="shared" si="40"/>
        <v>236.80244679235796</v>
      </c>
      <c r="O80" s="19">
        <f>IF( A80&lt;Forudsætninger!$C$14,(G80/100)*Forudsætninger!$C$13,(Forudsætninger!$C$15/1000)*Forudsætninger!$C$13)</f>
        <v>0.96353045740120291</v>
      </c>
      <c r="P80" s="17" cm="1">
        <f t="array" ref="P80">INDEX('Model tilvækst, slagteform, fe'!$P$9:$P$375,MATCH(MIN(ABS('Model tilvækst, slagteform, fe'!$M$9:$M$375-G80)),ABS('Model tilvækst, slagteform, fe'!$M$9:$M$375-G80),0))*(1+Forudsætninger!$E$80)</f>
        <v>4.2700408570675918</v>
      </c>
      <c r="Q80" s="17">
        <f t="shared" si="41"/>
        <v>6.2957679555300716</v>
      </c>
      <c r="R80" s="17">
        <f t="shared" si="42"/>
        <v>5.7168492069845618</v>
      </c>
      <c r="S80" s="17">
        <f t="shared" si="43"/>
        <v>2.9513442260309621</v>
      </c>
      <c r="T80" s="19">
        <f>(P80)*IF(N80&lt;Forudsætninger!$B$228,IF(N80&lt;Forudsætninger!$B$227,Forudsætninger!$B$225,Forudsætninger!$C$9),Forudsætninger!$C$11)+O80</f>
        <v>10.955426062939368</v>
      </c>
      <c r="U80" s="5">
        <f>Forudsætninger!$E$68+((K80-(Forudsætninger!$E$84)))*0.01</f>
        <v>5.4604489105488847</v>
      </c>
      <c r="V80" s="2">
        <f>U80+Forudsætninger!$E$69</f>
        <v>5.4604489105488847</v>
      </c>
      <c r="W80">
        <f t="shared" si="33"/>
        <v>0</v>
      </c>
      <c r="X80">
        <f>IF(A80+Forudsætninger!$E$60&gt;248,IF(A80+Forudsætninger!$E$60&lt;365,IF(K80&gt;180,IF(K80&lt;260,1,0),0),0),0)</f>
        <v>0</v>
      </c>
      <c r="Y80" s="22">
        <f>IF(X80=0,0,IF('Vækstfunktion, kry kvie'!A80&lt;Forudsætninger!$E$66,Forudsætninger!$E$67+(('Vækstfunktion, kry kvie'!A80-Forudsætninger!$E$66)/7)*Forudsætninger!$E$64,Forudsætninger!$E$67))</f>
        <v>0</v>
      </c>
      <c r="Z80" s="19">
        <f t="shared" si="47"/>
        <v>1113.8563240716703</v>
      </c>
      <c r="AA80" s="19">
        <f>Forudsætninger!$E$62+Forudsætninger!$C$16</f>
        <v>1575</v>
      </c>
      <c r="AB80" s="19">
        <f>IF(K80&gt;Forudsætninger!$C$48,IF(K80&gt;Forudsætninger!$C$49,IF(K80&gt;Forudsætninger!$C$50,Forudsætninger!$E$50,Forudsætninger!$E$49+Forudsætninger!$F$50*(K80-Forudsætninger!$C$49)),Forudsætninger!$E$48+Forudsætninger!$F$49*(K80-Forudsætninger!$C$48)),Forudsætninger!$E$48)+IF(K80&gt;Forudsætninger!$C$50,Forudsætninger!$G$50,IF(K80&gt;Forudsætninger!$C$49,Forudsætninger!$G$49+Forudsætninger!$H$50*(K80-Forudsætninger!$C$49),IF(K80&gt;Forudsætninger!$C$48,Forudsætninger!$G$48+Forudsætninger!$H$49*(K80-Forudsætninger!$C$48),Forudsætninger!$G$48)))*(U80-Forudsætninger!$H$48)</f>
        <v>35.146044891054892</v>
      </c>
      <c r="AC80" s="19">
        <f>IF(K80&gt;Forudsætninger!$C$52,IF(K80&gt;Forudsætninger!$C$53,IF(K80&gt;Forudsætninger!$C$54,Forudsætninger!$E$54,Forudsætninger!$E$53+Forudsætninger!$F$54*(K80-Forudsætninger!$C$53)),Forudsætninger!$E$52+Forudsætninger!$F$53*(K80-Forudsætninger!$C$52)),Forudsætninger!$E$52)+IF(K80&gt;Forudsætninger!$C$54,Forudsætninger!$G$54,IF(K80&gt;Forudsætninger!$C$53,Forudsætninger!$G$53+Forudsætninger!$H$54*(K80-Forudsætninger!$C$53),IF(K80&gt;Forudsætninger!$C$52,Forudsætninger!$G$52+Forudsætninger!$H$53*(K80-Forudsætninger!$C$52),Forudsætninger!$G$52)))*(V80-Forudsætninger!$H$52)</f>
        <v>30.015112227637221</v>
      </c>
      <c r="AD80" s="19">
        <f t="shared" si="34"/>
        <v>2232.7797791809589</v>
      </c>
      <c r="AE80" s="19">
        <f t="shared" si="35"/>
        <v>30.015112227637221</v>
      </c>
      <c r="AF80">
        <f>IF(G80&lt;=Forudsætninger!$C$97,Forudsætninger!$C$98,(IF(G80&lt;=Forudsætninger!$D$97,Forudsætninger!$D$98,IF(G80&lt;=Forudsætninger!$E$97,Forudsætninger!$E$98,IF(G80&lt;=Forudsætninger!$F$97,Forudsætninger!$F$98,IF(G80&lt;=Forudsætninger!$G$97,Forudsætninger!$G$98,IF(G80&lt;=Forudsætninger!$H$97,Forudsætninger!$H$98,IF(G80&lt;=Forudsætninger!$I$97,Forudsætninger!$I$98,Forudsætninger!$I$98))))))))</f>
        <v>2.2000000000000002</v>
      </c>
      <c r="AG80" s="1">
        <f t="shared" si="44"/>
        <v>2.2000000000000002</v>
      </c>
      <c r="AH80" s="1">
        <f t="shared" si="48"/>
        <v>171.59999999999988</v>
      </c>
      <c r="AI80" s="1">
        <f t="shared" si="36"/>
        <v>2.1999999999999984</v>
      </c>
      <c r="AJ80" s="20">
        <f>+(W80*Forudsætninger!$C$12)</f>
        <v>0</v>
      </c>
      <c r="AK80" s="20">
        <f>Forudsætninger!$C$17</f>
        <v>250</v>
      </c>
      <c r="AL80" s="20">
        <f>IF(A80&lt;92,Forudsætninger!$C$20,Forudsætninger!$C$21)</f>
        <v>4.0072859744990899</v>
      </c>
      <c r="AM80" s="20">
        <f t="shared" si="45"/>
        <v>312.56830601092929</v>
      </c>
      <c r="AN80" s="19">
        <f>IFERROR(AD80+AJ80-AA80-Z80-AK80-AM80-Forudsætninger!$E$75,-999999)</f>
        <v>-1209.8616122382564</v>
      </c>
      <c r="AO80" s="19">
        <f>IFERROR(AN80/(A80+Forudsætninger!$E$74),-999999)</f>
        <v>-15.511046310746877</v>
      </c>
      <c r="AP80" s="19">
        <f>IFERROR(((365/(A80+Forudsætninger!$E$74))*AN80)/(AI80+Forudsætninger!$E$73),-999999)</f>
        <v>-2450.8796118712617</v>
      </c>
      <c r="AQ80" s="18">
        <f t="shared" si="37"/>
        <v>78</v>
      </c>
      <c r="AR80" s="18">
        <f t="shared" si="49"/>
        <v>3251.4246300825998</v>
      </c>
      <c r="AS80" s="18">
        <f t="shared" si="29"/>
        <v>3.8</v>
      </c>
      <c r="AT80" s="50">
        <f t="shared" si="50"/>
        <v>5.5197169883290371</v>
      </c>
      <c r="AU80" s="50">
        <f t="shared" si="51"/>
        <v>0.27312679609189416</v>
      </c>
      <c r="AV80" s="2">
        <f t="shared" si="52"/>
        <v>43.156398516684931</v>
      </c>
      <c r="AW80" s="16">
        <f t="shared" si="46"/>
        <v>-11.503760336247783</v>
      </c>
      <c r="AZ80" s="16"/>
      <c r="BA80" s="2"/>
    </row>
    <row r="81" spans="1:53" x14ac:dyDescent="0.25">
      <c r="A81">
        <v>79</v>
      </c>
      <c r="B81" s="1">
        <f>ROUND((A81+Forudsætninger!$E$60)/30.4,1)</f>
        <v>3.8</v>
      </c>
      <c r="C81" s="1">
        <f>VLOOKUP((A81+Forudsætninger!$E$60),'Model tilvækst, slagteform, fe'!A:D,4,FALSE)</f>
        <v>158.12915971347121</v>
      </c>
      <c r="D81" s="3">
        <f t="shared" si="53"/>
        <v>1493.4773991706436</v>
      </c>
      <c r="E81" s="3">
        <f>(1+Forudsætninger!$E$78)*C81</f>
        <v>145.47882693639352</v>
      </c>
      <c r="F81" s="2">
        <f t="shared" si="28"/>
        <v>4.0559533856853589</v>
      </c>
      <c r="G81" s="1">
        <f t="shared" si="30"/>
        <v>149.53478032207889</v>
      </c>
      <c r="H81" s="3">
        <f t="shared" si="38"/>
        <v>1299.3253372784466</v>
      </c>
      <c r="I81" s="3">
        <f t="shared" si="31"/>
        <v>1032.0858268617581</v>
      </c>
      <c r="J81" s="1">
        <f>VLOOKUP((A81+Forudsætninger!$E$60),'Model tilvækst, slagteform, fe'!G:K,4,FALSE)*(1+Forudsætninger!$E$79)</f>
        <v>50.201784250194159</v>
      </c>
      <c r="K81" s="17">
        <f t="shared" si="32"/>
        <v>75.069127796291838</v>
      </c>
      <c r="L81" s="17">
        <f t="shared" si="39"/>
        <v>680.60769857029868</v>
      </c>
      <c r="M81" s="3">
        <f>((K81-(('Model tilvækst, slagteform, fe'!$J$9/100)*'Model tilvækst, slagteform, fe'!$D$9))*1000/(A81+Forudsætninger!$E$60))</f>
        <v>476.82364922998772</v>
      </c>
      <c r="N81" s="17">
        <f t="shared" si="40"/>
        <v>241.10062730048267</v>
      </c>
      <c r="O81" s="19">
        <f>IF( A81&lt;Forudsætninger!$C$14,(G81/100)*Forudsætninger!$C$13,(Forudsætninger!$C$15/1000)*Forudsætninger!$C$13)</f>
        <v>0.97197607209351289</v>
      </c>
      <c r="P81" s="17" cm="1">
        <f t="array" ref="P81">INDEX('Model tilvækst, slagteform, fe'!$P$9:$P$375,MATCH(MIN(ABS('Model tilvækst, slagteform, fe'!$M$9:$M$375-G81)),ABS('Model tilvækst, slagteform, fe'!$M$9:$M$375-G81),0))*(1+Forudsætninger!$E$80)</f>
        <v>4.298180508124708</v>
      </c>
      <c r="Q81" s="17">
        <f t="shared" si="41"/>
        <v>6.3152099471598282</v>
      </c>
      <c r="R81" s="17">
        <f t="shared" si="42"/>
        <v>5.7265220144253259</v>
      </c>
      <c r="S81" s="17">
        <f t="shared" si="43"/>
        <v>2.9570279866835527</v>
      </c>
      <c r="T81" s="19">
        <f>(P81)*IF(N81&lt;Forudsætninger!$B$228,IF(N81&lt;Forudsætninger!$B$227,Forudsætninger!$B$225,Forudsætninger!$C$9),Forudsætninger!$C$11)+O81</f>
        <v>11.029718461105329</v>
      </c>
      <c r="U81" s="5">
        <f>Forudsætninger!$E$68+((K81-(Forudsætninger!$E$84)))*0.01</f>
        <v>5.4672549875345879</v>
      </c>
      <c r="V81" s="2">
        <f>U81+Forudsætninger!$E$69</f>
        <v>5.4672549875345879</v>
      </c>
      <c r="W81">
        <f t="shared" si="33"/>
        <v>0</v>
      </c>
      <c r="X81">
        <f>IF(A81+Forudsætninger!$E$60&gt;248,IF(A81+Forudsætninger!$E$60&lt;365,IF(K81&gt;180,IF(K81&lt;260,1,0),0),0),0)</f>
        <v>0</v>
      </c>
      <c r="Y81" s="22">
        <f>IF(X81=0,0,IF('Vækstfunktion, kry kvie'!A81&lt;Forudsætninger!$E$66,Forudsætninger!$E$67+(('Vækstfunktion, kry kvie'!A81-Forudsætninger!$E$66)/7)*Forudsætninger!$E$64,Forudsætninger!$E$67))</f>
        <v>0</v>
      </c>
      <c r="Z81" s="19">
        <f t="shared" si="47"/>
        <v>1124.8860425327757</v>
      </c>
      <c r="AA81" s="19">
        <f>Forudsætninger!$E$62+Forudsætninger!$C$16</f>
        <v>1575</v>
      </c>
      <c r="AB81" s="19">
        <f>IF(K81&gt;Forudsætninger!$C$48,IF(K81&gt;Forudsætninger!$C$49,IF(K81&gt;Forudsætninger!$C$50,Forudsætninger!$E$50,Forudsætninger!$E$49+Forudsætninger!$F$50*(K81-Forudsætninger!$C$49)),Forudsætninger!$E$48+Forudsætninger!$F$49*(K81-Forudsætninger!$C$48)),Forudsætninger!$E$48)+IF(K81&gt;Forudsætninger!$C$50,Forudsætninger!$G$50,IF(K81&gt;Forudsætninger!$C$49,Forudsætninger!$G$49+Forudsætninger!$H$50*(K81-Forudsætninger!$C$49),IF(K81&gt;Forudsætninger!$C$48,Forudsætninger!$G$48+Forudsætninger!$H$49*(K81-Forudsætninger!$C$48),Forudsætninger!$G$48)))*(U81-Forudsætninger!$H$48)</f>
        <v>35.146725498753462</v>
      </c>
      <c r="AC81" s="19">
        <f>IF(K81&gt;Forudsætninger!$C$52,IF(K81&gt;Forudsætninger!$C$53,IF(K81&gt;Forudsætninger!$C$54,Forudsætninger!$E$54,Forudsætninger!$E$53+Forudsætninger!$F$54*(K81-Forudsætninger!$C$53)),Forudsætninger!$E$52+Forudsætninger!$F$53*(K81-Forudsætninger!$C$52)),Forudsætninger!$E$52)+IF(K81&gt;Forudsætninger!$C$54,Forudsætninger!$G$54,IF(K81&gt;Forudsætninger!$C$53,Forudsætninger!$G$53+Forudsætninger!$H$54*(K81-Forudsætninger!$C$53),IF(K81&gt;Forudsætninger!$C$52,Forudsætninger!$G$52+Forudsætninger!$H$53*(K81-Forudsætninger!$C$52),Forudsætninger!$G$52)))*(V81-Forudsætninger!$H$52)</f>
        <v>30.016813746883646</v>
      </c>
      <c r="AD81" s="19">
        <f t="shared" si="34"/>
        <v>2253.3360272022978</v>
      </c>
      <c r="AE81" s="19">
        <f t="shared" si="35"/>
        <v>30.016813746883642</v>
      </c>
      <c r="AF81">
        <f>IF(G81&lt;=Forudsætninger!$C$97,Forudsætninger!$C$98,(IF(G81&lt;=Forudsætninger!$D$97,Forudsætninger!$D$98,IF(G81&lt;=Forudsætninger!$E$97,Forudsætninger!$E$98,IF(G81&lt;=Forudsætninger!$F$97,Forudsætninger!$F$98,IF(G81&lt;=Forudsætninger!$G$97,Forudsætninger!$G$98,IF(G81&lt;=Forudsætninger!$H$97,Forudsætninger!$H$98,IF(G81&lt;=Forudsætninger!$I$97,Forudsætninger!$I$98,Forudsætninger!$I$98))))))))</f>
        <v>2.2000000000000002</v>
      </c>
      <c r="AG81" s="1">
        <f t="shared" si="44"/>
        <v>2.2000000000000002</v>
      </c>
      <c r="AH81" s="1">
        <f t="shared" si="48"/>
        <v>173.79999999999987</v>
      </c>
      <c r="AI81" s="1">
        <f t="shared" si="36"/>
        <v>2.1999999999999984</v>
      </c>
      <c r="AJ81" s="20">
        <f>+(W81*Forudsætninger!$C$12)</f>
        <v>0</v>
      </c>
      <c r="AK81" s="20">
        <f>Forudsætninger!$C$17</f>
        <v>250</v>
      </c>
      <c r="AL81" s="20">
        <f>IF(A81&lt;92,Forudsætninger!$C$20,Forudsætninger!$C$21)</f>
        <v>4.0072859744990899</v>
      </c>
      <c r="AM81" s="20">
        <f t="shared" si="45"/>
        <v>316.57559198542839</v>
      </c>
      <c r="AN81" s="19">
        <f>IFERROR(AD81+AJ81-AA81-Z81-AK81-AM81-Forudsætninger!$E$75,-999999)</f>
        <v>-1204.3423686525221</v>
      </c>
      <c r="AO81" s="19">
        <f>IFERROR(AN81/(A81+Forudsætninger!$E$74),-999999)</f>
        <v>-15.244840109525596</v>
      </c>
      <c r="AP81" s="19">
        <f>IFERROR(((365/(A81+Forudsætninger!$E$74))*AN81)/(AI81+Forudsætninger!$E$73),-999999)</f>
        <v>-2408.8167272627038</v>
      </c>
      <c r="AQ81" s="18">
        <f t="shared" si="37"/>
        <v>79</v>
      </c>
      <c r="AR81" s="18">
        <f t="shared" si="49"/>
        <v>3266.4616345182039</v>
      </c>
      <c r="AS81" s="18">
        <f t="shared" si="29"/>
        <v>3.8</v>
      </c>
      <c r="AT81" s="50">
        <f t="shared" si="50"/>
        <v>5.5192435857343298</v>
      </c>
      <c r="AU81" s="50">
        <f t="shared" si="51"/>
        <v>0.2662062012212818</v>
      </c>
      <c r="AV81" s="2">
        <f t="shared" si="52"/>
        <v>42.062884608557852</v>
      </c>
      <c r="AW81" s="16">
        <f t="shared" si="46"/>
        <v>-11.237554135026501</v>
      </c>
      <c r="AZ81" s="16"/>
      <c r="BA81" s="2"/>
    </row>
    <row r="82" spans="1:53" x14ac:dyDescent="0.25">
      <c r="A82">
        <v>80</v>
      </c>
      <c r="B82" s="1">
        <f>ROUND((A82+Forudsætninger!$E$60)/30.4,1)</f>
        <v>3.8</v>
      </c>
      <c r="C82" s="1">
        <f>VLOOKUP((A82+Forudsætninger!$E$60),'Model tilvækst, slagteform, fe'!A:D,4,FALSE)</f>
        <v>159.62680244815706</v>
      </c>
      <c r="D82" s="3">
        <f t="shared" si="53"/>
        <v>1497.6427346858543</v>
      </c>
      <c r="E82" s="3">
        <f>(1+Forudsætninger!$E$78)*C82</f>
        <v>146.8566582523045</v>
      </c>
      <c r="F82" s="2">
        <f t="shared" si="28"/>
        <v>3.981071248951066</v>
      </c>
      <c r="G82" s="1">
        <f t="shared" si="30"/>
        <v>150.83772950125555</v>
      </c>
      <c r="H82" s="3">
        <f t="shared" si="38"/>
        <v>1302.9491791766645</v>
      </c>
      <c r="I82" s="3">
        <f t="shared" si="31"/>
        <v>1035.4716187656945</v>
      </c>
      <c r="J82" s="1">
        <f>VLOOKUP((A82+Forudsætninger!$E$60),'Model tilvækst, slagteform, fe'!G:K,4,FALSE)*(1+Forudsætninger!$E$79)</f>
        <v>50.220900563457811</v>
      </c>
      <c r="K82" s="17">
        <f t="shared" si="32"/>
        <v>75.752066145003027</v>
      </c>
      <c r="L82" s="17">
        <f t="shared" si="39"/>
        <v>682.93834871118975</v>
      </c>
      <c r="M82" s="3">
        <f>((K82-(('Model tilvækst, slagteform, fe'!$J$9/100)*'Model tilvækst, slagteform, fe'!$D$9))*1000/(A82+Forudsætninger!$E$60))</f>
        <v>478.60050008758429</v>
      </c>
      <c r="N82" s="17">
        <f t="shared" si="40"/>
        <v>245.42680721926641</v>
      </c>
      <c r="O82" s="19">
        <f>IF( A82&lt;Forudsætninger!$C$14,(G82/100)*Forudsætninger!$C$13,(Forudsætninger!$C$15/1000)*Forudsætninger!$C$13)</f>
        <v>0.98044524175816117</v>
      </c>
      <c r="P82" s="17" cm="1">
        <f t="array" ref="P82">INDEX('Model tilvækst, slagteform, fe'!$P$9:$P$375,MATCH(MIN(ABS('Model tilvækst, slagteform, fe'!$M$9:$M$375-G82)),ABS('Model tilvækst, slagteform, fe'!$M$9:$M$375-G82),0))*(1+Forudsætninger!$E$80)</f>
        <v>4.3261799187837431</v>
      </c>
      <c r="Q82" s="17">
        <f t="shared" si="41"/>
        <v>6.3346566010649621</v>
      </c>
      <c r="R82" s="17">
        <f t="shared" si="42"/>
        <v>5.7362290291714642</v>
      </c>
      <c r="S82" s="17">
        <f t="shared" si="43"/>
        <v>2.9627418411503728</v>
      </c>
      <c r="T82" s="19">
        <f>(P82)*IF(N82&lt;Forudsætninger!$B$228,IF(N82&lt;Forudsætninger!$B$227,Forudsætninger!$B$225,Forudsætninger!$C$9),Forudsætninger!$C$11)+O82</f>
        <v>11.10370625171212</v>
      </c>
      <c r="U82" s="5">
        <f>Forudsætninger!$E$68+((K82-(Forudsætninger!$E$84)))*0.01</f>
        <v>5.4740843710217</v>
      </c>
      <c r="V82" s="2">
        <f>U82+Forudsætninger!$E$69</f>
        <v>5.4740843710217</v>
      </c>
      <c r="W82">
        <f t="shared" si="33"/>
        <v>0</v>
      </c>
      <c r="X82">
        <f>IF(A82+Forudsætninger!$E$60&gt;248,IF(A82+Forudsætninger!$E$60&lt;365,IF(K82&gt;180,IF(K82&lt;260,1,0),0),0),0)</f>
        <v>0</v>
      </c>
      <c r="Y82" s="22">
        <f>IF(X82=0,0,IF('Vækstfunktion, kry kvie'!A82&lt;Forudsætninger!$E$66,Forudsætninger!$E$67+(('Vækstfunktion, kry kvie'!A82-Forudsætninger!$E$66)/7)*Forudsætninger!$E$64,Forudsætninger!$E$67))</f>
        <v>0</v>
      </c>
      <c r="Z82" s="19">
        <f t="shared" si="47"/>
        <v>1135.9897487844878</v>
      </c>
      <c r="AA82" s="19">
        <f>Forudsætninger!$E$62+Forudsætninger!$C$16</f>
        <v>1575</v>
      </c>
      <c r="AB82" s="19">
        <f>IF(K82&gt;Forudsætninger!$C$48,IF(K82&gt;Forudsætninger!$C$49,IF(K82&gt;Forudsætninger!$C$50,Forudsætninger!$E$50,Forudsætninger!$E$49+Forudsætninger!$F$50*(K82-Forudsætninger!$C$49)),Forudsætninger!$E$48+Forudsætninger!$F$49*(K82-Forudsætninger!$C$48)),Forudsætninger!$E$48)+IF(K82&gt;Forudsætninger!$C$50,Forudsætninger!$G$50,IF(K82&gt;Forudsætninger!$C$49,Forudsætninger!$G$49+Forudsætninger!$H$50*(K82-Forudsætninger!$C$49),IF(K82&gt;Forudsætninger!$C$48,Forudsætninger!$G$48+Forudsætninger!$H$49*(K82-Forudsætninger!$C$48),Forudsætninger!$G$48)))*(U82-Forudsætninger!$H$48)</f>
        <v>35.147408437102172</v>
      </c>
      <c r="AC82" s="19">
        <f>IF(K82&gt;Forudsætninger!$C$52,IF(K82&gt;Forudsætninger!$C$53,IF(K82&gt;Forudsætninger!$C$54,Forudsætninger!$E$54,Forudsætninger!$E$53+Forudsætninger!$F$54*(K82-Forudsætninger!$C$53)),Forudsætninger!$E$52+Forudsætninger!$F$53*(K82-Forudsætninger!$C$52)),Forudsætninger!$E$52)+IF(K82&gt;Forudsætninger!$C$54,Forudsætninger!$G$54,IF(K82&gt;Forudsætninger!$C$53,Forudsætninger!$G$53+Forudsætninger!$H$54*(K82-Forudsætninger!$C$53),IF(K82&gt;Forudsætninger!$C$52,Forudsætninger!$G$52+Forudsætninger!$H$53*(K82-Forudsætninger!$C$52),Forudsætninger!$G$52)))*(V82-Forudsætninger!$H$52)</f>
        <v>30.018521092755424</v>
      </c>
      <c r="AD82" s="19">
        <f t="shared" si="34"/>
        <v>2273.9649953935773</v>
      </c>
      <c r="AE82" s="19">
        <f t="shared" si="35"/>
        <v>30.018521092755421</v>
      </c>
      <c r="AF82">
        <f>IF(G82&lt;=Forudsætninger!$C$97,Forudsætninger!$C$98,(IF(G82&lt;=Forudsætninger!$D$97,Forudsætninger!$D$98,IF(G82&lt;=Forudsætninger!$E$97,Forudsætninger!$E$98,IF(G82&lt;=Forudsætninger!$F$97,Forudsætninger!$F$98,IF(G82&lt;=Forudsætninger!$G$97,Forudsætninger!$G$98,IF(G82&lt;=Forudsætninger!$H$97,Forudsætninger!$H$98,IF(G82&lt;=Forudsætninger!$I$97,Forudsætninger!$I$98,Forudsætninger!$I$98))))))))</f>
        <v>2.2000000000000002</v>
      </c>
      <c r="AG82" s="1">
        <f t="shared" si="44"/>
        <v>2.2000000000000002</v>
      </c>
      <c r="AH82" s="1">
        <f t="shared" si="48"/>
        <v>175.99999999999986</v>
      </c>
      <c r="AI82" s="1">
        <f t="shared" si="36"/>
        <v>2.1999999999999984</v>
      </c>
      <c r="AJ82" s="20">
        <f>+(W82*Forudsætninger!$C$12)</f>
        <v>0</v>
      </c>
      <c r="AK82" s="20">
        <f>Forudsætninger!$C$17</f>
        <v>250</v>
      </c>
      <c r="AL82" s="20">
        <f>IF(A82&lt;92,Forudsætninger!$C$20,Forudsætninger!$C$21)</f>
        <v>4.0072859744990899</v>
      </c>
      <c r="AM82" s="20">
        <f t="shared" si="45"/>
        <v>320.58287795992749</v>
      </c>
      <c r="AN82" s="19">
        <f>IFERROR(AD82+AJ82-AA82-Z82-AK82-AM82-Forudsætninger!$E$75,-999999)</f>
        <v>-1198.8243926874538</v>
      </c>
      <c r="AO82" s="19">
        <f>IFERROR(AN82/(A82+Forudsætninger!$E$74),-999999)</f>
        <v>-14.985304908593173</v>
      </c>
      <c r="AP82" s="19">
        <f>IFERROR(((365/(A82+Forudsætninger!$E$74))*AN82)/(AI82+Forudsætninger!$E$73),-999999)</f>
        <v>-2367.8079184573644</v>
      </c>
      <c r="AQ82" s="18">
        <f t="shared" si="37"/>
        <v>80</v>
      </c>
      <c r="AR82" s="18">
        <f t="shared" si="49"/>
        <v>3281.5726267444152</v>
      </c>
      <c r="AS82" s="18">
        <f t="shared" si="29"/>
        <v>3.8</v>
      </c>
      <c r="AT82" s="50">
        <f t="shared" si="50"/>
        <v>5.5179759650682172</v>
      </c>
      <c r="AU82" s="50">
        <f t="shared" si="51"/>
        <v>0.25953520093242233</v>
      </c>
      <c r="AV82" s="2">
        <f t="shared" si="52"/>
        <v>41.008808805339413</v>
      </c>
      <c r="AW82" s="16">
        <f t="shared" si="46"/>
        <v>-10.978018934094079</v>
      </c>
      <c r="AZ82" s="16"/>
      <c r="BA82" s="2"/>
    </row>
    <row r="83" spans="1:53" x14ac:dyDescent="0.25">
      <c r="A83">
        <v>81</v>
      </c>
      <c r="B83" s="1">
        <f>ROUND((A83+Forudsætninger!$E$60)/30.4,1)</f>
        <v>3.8</v>
      </c>
      <c r="C83" s="1">
        <f>VLOOKUP((A83+Forudsætninger!$E$60),'Model tilvækst, slagteform, fe'!A:D,4,FALSE)</f>
        <v>161.12850806574039</v>
      </c>
      <c r="D83" s="3">
        <f t="shared" si="53"/>
        <v>1501.7056175833261</v>
      </c>
      <c r="E83" s="3">
        <f>(1+Forudsætninger!$E$78)*C83</f>
        <v>148.23822742048117</v>
      </c>
      <c r="F83" s="2">
        <f t="shared" si="28"/>
        <v>3.9059859680718998</v>
      </c>
      <c r="G83" s="1">
        <f t="shared" si="30"/>
        <v>152.14421338855306</v>
      </c>
      <c r="H83" s="3">
        <f t="shared" si="38"/>
        <v>1306.4838872975031</v>
      </c>
      <c r="I83" s="3">
        <f t="shared" si="31"/>
        <v>1038.8174492413957</v>
      </c>
      <c r="J83" s="1">
        <f>VLOOKUP((A83+Forudsætninger!$E$60),'Model tilvækst, slagteform, fe'!G:K,4,FALSE)*(1+Forudsætninger!$E$79)</f>
        <v>50.240029932402784</v>
      </c>
      <c r="K83" s="17">
        <f t="shared" si="32"/>
        <v>76.437298346827816</v>
      </c>
      <c r="L83" s="17">
        <f t="shared" si="39"/>
        <v>685.23220182478894</v>
      </c>
      <c r="M83" s="3">
        <f>((K83-(('Model tilvækst, slagteform, fe'!$J$9/100)*'Model tilvækst, slagteform, fe'!$D$9))*1000/(A83+Forudsætninger!$E$60))</f>
        <v>480.36658300841509</v>
      </c>
      <c r="N83" s="17">
        <f t="shared" si="40"/>
        <v>249.78084759146904</v>
      </c>
      <c r="O83" s="19">
        <f>IF( A83&lt;Forudsætninger!$C$14,(G83/100)*Forudsætninger!$C$13,(Forudsætninger!$C$15/1000)*Forudsætninger!$C$13)</f>
        <v>0.98893738702559497</v>
      </c>
      <c r="P83" s="17" cm="1">
        <f t="array" ref="P83">INDEX('Model tilvækst, slagteform, fe'!$P$9:$P$375,MATCH(MIN(ABS('Model tilvækst, slagteform, fe'!$M$9:$M$375-G83)),ABS('Model tilvækst, slagteform, fe'!$M$9:$M$375-G83),0))*(1+Forudsætninger!$E$80)</f>
        <v>4.3540403722026424</v>
      </c>
      <c r="Q83" s="17">
        <f t="shared" si="41"/>
        <v>6.3541093962130413</v>
      </c>
      <c r="R83" s="17">
        <f t="shared" si="42"/>
        <v>5.7459687449638626</v>
      </c>
      <c r="S83" s="17">
        <f t="shared" si="43"/>
        <v>2.9684851463053681</v>
      </c>
      <c r="T83" s="19">
        <f>(P83)*IF(N83&lt;Forudsætninger!$B$228,IF(N83&lt;Forudsætninger!$B$227,Forudsætninger!$B$225,Forudsætninger!$C$9),Forudsætninger!$C$11)+O83</f>
        <v>11.177391857979778</v>
      </c>
      <c r="U83" s="5">
        <f>Forudsætninger!$E$68+((K83-(Forudsætninger!$E$84)))*0.01</f>
        <v>5.480936693039947</v>
      </c>
      <c r="V83" s="2">
        <f>U83+Forudsætninger!$E$69</f>
        <v>5.480936693039947</v>
      </c>
      <c r="W83">
        <f t="shared" si="33"/>
        <v>0</v>
      </c>
      <c r="X83">
        <f>IF(A83+Forudsætninger!$E$60&gt;248,IF(A83+Forudsætninger!$E$60&lt;365,IF(K83&gt;180,IF(K83&lt;260,1,0),0),0),0)</f>
        <v>0</v>
      </c>
      <c r="Y83" s="22">
        <f>IF(X83=0,0,IF('Vækstfunktion, kry kvie'!A83&lt;Forudsætninger!$E$66,Forudsætninger!$E$67+(('Vækstfunktion, kry kvie'!A83-Forudsætninger!$E$66)/7)*Forudsætninger!$E$64,Forudsætninger!$E$67))</f>
        <v>0</v>
      </c>
      <c r="Z83" s="19">
        <f t="shared" si="47"/>
        <v>1147.1671406424675</v>
      </c>
      <c r="AA83" s="19">
        <f>Forudsætninger!$E$62+Forudsætninger!$C$16</f>
        <v>1575</v>
      </c>
      <c r="AB83" s="19">
        <f>IF(K83&gt;Forudsætninger!$C$48,IF(K83&gt;Forudsætninger!$C$49,IF(K83&gt;Forudsætninger!$C$50,Forudsætninger!$E$50,Forudsætninger!$E$49+Forudsætninger!$F$50*(K83-Forudsætninger!$C$49)),Forudsætninger!$E$48+Forudsætninger!$F$49*(K83-Forudsætninger!$C$48)),Forudsætninger!$E$48)+IF(K83&gt;Forudsætninger!$C$50,Forudsætninger!$G$50,IF(K83&gt;Forudsætninger!$C$49,Forudsætninger!$G$49+Forudsætninger!$H$50*(K83-Forudsætninger!$C$49),IF(K83&gt;Forudsætninger!$C$48,Forudsætninger!$G$48+Forudsætninger!$H$49*(K83-Forudsætninger!$C$48),Forudsætninger!$G$48)))*(U83-Forudsætninger!$H$48)</f>
        <v>35.148093669303996</v>
      </c>
      <c r="AC83" s="19">
        <f>IF(K83&gt;Forudsætninger!$C$52,IF(K83&gt;Forudsætninger!$C$53,IF(K83&gt;Forudsætninger!$C$54,Forudsætninger!$E$54,Forudsætninger!$E$53+Forudsætninger!$F$54*(K83-Forudsætninger!$C$53)),Forudsætninger!$E$52+Forudsætninger!$F$53*(K83-Forudsætninger!$C$52)),Forudsætninger!$E$52)+IF(K83&gt;Forudsætninger!$C$54,Forudsætninger!$G$54,IF(K83&gt;Forudsætninger!$C$53,Forudsætninger!$G$53+Forudsætninger!$H$54*(K83-Forudsætninger!$C$53),IF(K83&gt;Forudsætninger!$C$52,Forudsætninger!$G$52+Forudsætninger!$H$53*(K83-Forudsætninger!$C$52),Forudsætninger!$G$52)))*(V83-Forudsætninger!$H$52)</f>
        <v>30.020234173259986</v>
      </c>
      <c r="AD83" s="19">
        <f t="shared" si="34"/>
        <v>2294.6655959431096</v>
      </c>
      <c r="AE83" s="19">
        <f t="shared" si="35"/>
        <v>30.020234173259986</v>
      </c>
      <c r="AF83">
        <f>IF(G83&lt;=Forudsætninger!$C$97,Forudsætninger!$C$98,(IF(G83&lt;=Forudsætninger!$D$97,Forudsætninger!$D$98,IF(G83&lt;=Forudsætninger!$E$97,Forudsætninger!$E$98,IF(G83&lt;=Forudsætninger!$F$97,Forudsætninger!$F$98,IF(G83&lt;=Forudsætninger!$G$97,Forudsætninger!$G$98,IF(G83&lt;=Forudsætninger!$H$97,Forudsætninger!$H$98,IF(G83&lt;=Forudsætninger!$I$97,Forudsætninger!$I$98,Forudsætninger!$I$98))))))))</f>
        <v>2.2000000000000002</v>
      </c>
      <c r="AG83" s="1">
        <f t="shared" si="44"/>
        <v>2.2000000000000002</v>
      </c>
      <c r="AH83" s="1">
        <f t="shared" si="48"/>
        <v>178.19999999999985</v>
      </c>
      <c r="AI83" s="1">
        <f t="shared" si="36"/>
        <v>2.199999999999998</v>
      </c>
      <c r="AJ83" s="20">
        <f>+(W83*Forudsætninger!$C$12)</f>
        <v>0</v>
      </c>
      <c r="AK83" s="20">
        <f>Forudsætninger!$C$17</f>
        <v>250</v>
      </c>
      <c r="AL83" s="20">
        <f>IF(A83&lt;92,Forudsætninger!$C$20,Forudsætninger!$C$21)</f>
        <v>4.0072859744990899</v>
      </c>
      <c r="AM83" s="20">
        <f t="shared" si="45"/>
        <v>324.59016393442658</v>
      </c>
      <c r="AN83" s="19">
        <f>IFERROR(AD83+AJ83-AA83-Z83-AK83-AM83-Forudsætninger!$E$75,-999999)</f>
        <v>-1193.3084699704002</v>
      </c>
      <c r="AO83" s="19">
        <f>IFERROR(AN83/(A83+Forudsætninger!$E$74),-999999)</f>
        <v>-14.732203332967904</v>
      </c>
      <c r="AP83" s="19">
        <f>IFERROR(((365/(A83+Forudsætninger!$E$74))*AN83)/(AI83+Forudsætninger!$E$73),-999999)</f>
        <v>-2327.8156781529392</v>
      </c>
      <c r="AQ83" s="18">
        <f t="shared" si="37"/>
        <v>81</v>
      </c>
      <c r="AR83" s="18">
        <f t="shared" si="49"/>
        <v>3296.7573045768941</v>
      </c>
      <c r="AS83" s="18">
        <f t="shared" si="29"/>
        <v>3.8</v>
      </c>
      <c r="AT83" s="50">
        <f t="shared" si="50"/>
        <v>5.5159227170536269</v>
      </c>
      <c r="AU83" s="50">
        <f t="shared" si="51"/>
        <v>0.25310157562526925</v>
      </c>
      <c r="AV83" s="2">
        <f t="shared" si="52"/>
        <v>39.992240304425195</v>
      </c>
      <c r="AW83" s="16">
        <f t="shared" si="46"/>
        <v>-10.724917358468812</v>
      </c>
      <c r="AZ83" s="16"/>
      <c r="BA83" s="2"/>
    </row>
    <row r="84" spans="1:53" x14ac:dyDescent="0.25">
      <c r="A84">
        <v>82</v>
      </c>
      <c r="B84" s="1">
        <f>ROUND((A84+Forudsætninger!$E$60)/30.4,1)</f>
        <v>3.9</v>
      </c>
      <c r="C84" s="1">
        <f>VLOOKUP((A84+Forudsætninger!$E$60),'Model tilvækst, slagteform, fe'!A:D,4,FALSE)</f>
        <v>162.63417469862421</v>
      </c>
      <c r="D84" s="3">
        <f t="shared" si="53"/>
        <v>1505.6666328838162</v>
      </c>
      <c r="E84" s="3">
        <f>(1+Forudsætninger!$E$78)*C84</f>
        <v>149.62344072273427</v>
      </c>
      <c r="F84" s="2">
        <f t="shared" si="28"/>
        <v>3.8307026364277088</v>
      </c>
      <c r="G84" s="1">
        <f t="shared" si="30"/>
        <v>153.45414335916198</v>
      </c>
      <c r="H84" s="3">
        <f t="shared" si="38"/>
        <v>1309.9299706089198</v>
      </c>
      <c r="I84" s="3">
        <f t="shared" si="31"/>
        <v>1042.1236995019754</v>
      </c>
      <c r="J84" s="1">
        <f>VLOOKUP((A84+Forudsætninger!$E$60),'Model tilvækst, slagteform, fe'!G:K,4,FALSE)*(1+Forudsætninger!$E$79)</f>
        <v>50.259175996676298</v>
      </c>
      <c r="K84" s="17">
        <f t="shared" si="32"/>
        <v>77.124787985073169</v>
      </c>
      <c r="L84" s="17">
        <f t="shared" si="39"/>
        <v>687.48963824535281</v>
      </c>
      <c r="M84" s="3">
        <f>((K84-(('Model tilvækst, slagteform, fe'!$J$9/100)*'Model tilvækst, slagteform, fe'!$D$9))*1000/(A84+Forudsætninger!$E$60))</f>
        <v>482.12186313754165</v>
      </c>
      <c r="N84" s="17">
        <f t="shared" si="40"/>
        <v>254.1626107430084</v>
      </c>
      <c r="O84" s="19">
        <f>IF( A84&lt;Forudsætninger!$C$14,(G84/100)*Forudsætninger!$C$13,(Forudsætninger!$C$15/1000)*Forudsætninger!$C$13)</f>
        <v>0.99745193183455283</v>
      </c>
      <c r="P84" s="17" cm="1">
        <f t="array" ref="P84">INDEX('Model tilvækst, slagteform, fe'!$P$9:$P$375,MATCH(MIN(ABS('Model tilvækst, slagteform, fe'!$M$9:$M$375-G84)),ABS('Model tilvækst, slagteform, fe'!$M$9:$M$375-G84),0))*(1+Forudsætninger!$E$80)</f>
        <v>4.38176315153936</v>
      </c>
      <c r="Q84" s="17">
        <f t="shared" si="41"/>
        <v>6.3735697351348106</v>
      </c>
      <c r="R84" s="17">
        <f t="shared" si="42"/>
        <v>5.7557397505808954</v>
      </c>
      <c r="S84" s="17">
        <f t="shared" si="43"/>
        <v>2.9742573121910341</v>
      </c>
      <c r="T84" s="19">
        <f>(P84)*IF(N84&lt;Forudsætninger!$B$228,IF(N84&lt;Forudsætninger!$B$227,Forudsætninger!$B$225,Forudsætninger!$C$9),Forudsætninger!$C$11)+O84</f>
        <v>11.250777706436654</v>
      </c>
      <c r="U84" s="5">
        <f>Forudsætninger!$E$68+((K84-(Forudsætninger!$E$84)))*0.01</f>
        <v>5.4878115894224013</v>
      </c>
      <c r="V84" s="2">
        <f>U84+Forudsætninger!$E$69</f>
        <v>5.4878115894224013</v>
      </c>
      <c r="W84">
        <f t="shared" si="33"/>
        <v>0</v>
      </c>
      <c r="X84">
        <f>IF(A84+Forudsætninger!$E$60&gt;248,IF(A84+Forudsætninger!$E$60&lt;365,IF(K84&gt;180,IF(K84&lt;260,1,0),0),0),0)</f>
        <v>0</v>
      </c>
      <c r="Y84" s="22">
        <f>IF(X84=0,0,IF('Vækstfunktion, kry kvie'!A84&lt;Forudsætninger!$E$66,Forudsætninger!$E$67+(('Vækstfunktion, kry kvie'!A84-Forudsætninger!$E$66)/7)*Forudsætninger!$E$64,Forudsætninger!$E$67))</f>
        <v>0</v>
      </c>
      <c r="Z84" s="19">
        <f t="shared" si="47"/>
        <v>1158.4179183489041</v>
      </c>
      <c r="AA84" s="19">
        <f>Forudsætninger!$E$62+Forudsætninger!$C$16</f>
        <v>1575</v>
      </c>
      <c r="AB84" s="19">
        <f>IF(K84&gt;Forudsætninger!$C$48,IF(K84&gt;Forudsætninger!$C$49,IF(K84&gt;Forudsætninger!$C$50,Forudsætninger!$E$50,Forudsætninger!$E$49+Forudsætninger!$F$50*(K84-Forudsætninger!$C$49)),Forudsætninger!$E$48+Forudsætninger!$F$49*(K84-Forudsætninger!$C$48)),Forudsætninger!$E$48)+IF(K84&gt;Forudsætninger!$C$50,Forudsætninger!$G$50,IF(K84&gt;Forudsætninger!$C$49,Forudsætninger!$G$49+Forudsætninger!$H$50*(K84-Forudsætninger!$C$49),IF(K84&gt;Forudsætninger!$C$48,Forudsætninger!$G$48+Forudsætninger!$H$49*(K84-Forudsætninger!$C$48),Forudsætninger!$G$48)))*(U84-Forudsætninger!$H$48)</f>
        <v>35.148781158942242</v>
      </c>
      <c r="AC84" s="19">
        <f>IF(K84&gt;Forudsætninger!$C$52,IF(K84&gt;Forudsætninger!$C$53,IF(K84&gt;Forudsætninger!$C$54,Forudsætninger!$E$54,Forudsætninger!$E$53+Forudsætninger!$F$54*(K84-Forudsætninger!$C$53)),Forudsætninger!$E$52+Forudsætninger!$F$53*(K84-Forudsætninger!$C$52)),Forudsætninger!$E$52)+IF(K84&gt;Forudsætninger!$C$54,Forudsætninger!$G$54,IF(K84&gt;Forudsætninger!$C$53,Forudsætninger!$G$53+Forudsætninger!$H$54*(K84-Forudsætninger!$C$53),IF(K84&gt;Forudsætninger!$C$52,Forudsætninger!$G$52+Forudsætninger!$H$53*(K84-Forudsætninger!$C$52),Forudsætninger!$G$52)))*(V84-Forudsætninger!$H$52)</f>
        <v>30.0219528973556</v>
      </c>
      <c r="AD84" s="19">
        <f t="shared" si="34"/>
        <v>2315.4367521064037</v>
      </c>
      <c r="AE84" s="19">
        <f t="shared" si="35"/>
        <v>30.021952897355597</v>
      </c>
      <c r="AF84">
        <f>IF(G84&lt;=Forudsætninger!$C$97,Forudsætninger!$C$98,(IF(G84&lt;=Forudsætninger!$D$97,Forudsætninger!$D$98,IF(G84&lt;=Forudsætninger!$E$97,Forudsætninger!$E$98,IF(G84&lt;=Forudsætninger!$F$97,Forudsætninger!$F$98,IF(G84&lt;=Forudsætninger!$G$97,Forudsætninger!$G$98,IF(G84&lt;=Forudsætninger!$H$97,Forudsætninger!$H$98,IF(G84&lt;=Forudsætninger!$I$97,Forudsætninger!$I$98,Forudsætninger!$I$98))))))))</f>
        <v>2.2000000000000002</v>
      </c>
      <c r="AG84" s="1">
        <f t="shared" si="44"/>
        <v>2.2000000000000002</v>
      </c>
      <c r="AH84" s="1">
        <f t="shared" si="48"/>
        <v>180.39999999999984</v>
      </c>
      <c r="AI84" s="1">
        <f t="shared" si="36"/>
        <v>2.199999999999998</v>
      </c>
      <c r="AJ84" s="20">
        <f>+(W84*Forudsætninger!$C$12)</f>
        <v>0</v>
      </c>
      <c r="AK84" s="20">
        <f>Forudsætninger!$C$17</f>
        <v>250</v>
      </c>
      <c r="AL84" s="20">
        <f>IF(A84&lt;92,Forudsætninger!$C$20,Forudsætninger!$C$21)</f>
        <v>4.0072859744990899</v>
      </c>
      <c r="AM84" s="20">
        <f t="shared" si="45"/>
        <v>328.59744990892568</v>
      </c>
      <c r="AN84" s="19">
        <f>IFERROR(AD84+AJ84-AA84-Z84-AK84-AM84-Forudsætninger!$E$75,-999999)</f>
        <v>-1187.7953774880418</v>
      </c>
      <c r="AO84" s="19">
        <f>IFERROR(AN84/(A84+Forudsætninger!$E$74),-999999)</f>
        <v>-14.485309481561485</v>
      </c>
      <c r="AP84" s="19">
        <f>IFERROR(((365/(A84+Forudsætninger!$E$74))*AN84)/(AI84+Forudsætninger!$E$73),-999999)</f>
        <v>-2288.8043120216221</v>
      </c>
      <c r="AQ84" s="18">
        <f t="shared" si="37"/>
        <v>82</v>
      </c>
      <c r="AR84" s="18">
        <f t="shared" si="49"/>
        <v>3312.0153682578298</v>
      </c>
      <c r="AS84" s="18">
        <f t="shared" si="29"/>
        <v>3.9</v>
      </c>
      <c r="AT84" s="50">
        <f t="shared" si="50"/>
        <v>5.5130924823583882</v>
      </c>
      <c r="AU84" s="50">
        <f t="shared" si="51"/>
        <v>0.24689385140641917</v>
      </c>
      <c r="AV84" s="2">
        <f t="shared" si="52"/>
        <v>39.011366131317118</v>
      </c>
      <c r="AW84" s="16">
        <f t="shared" si="46"/>
        <v>-10.478023507062392</v>
      </c>
      <c r="AZ84" s="16"/>
      <c r="BA84" s="2"/>
    </row>
    <row r="85" spans="1:53" x14ac:dyDescent="0.25">
      <c r="A85">
        <v>83</v>
      </c>
      <c r="B85" s="1">
        <f>ROUND((A85+Forudsætninger!$E$60)/30.4,1)</f>
        <v>3.9</v>
      </c>
      <c r="C85" s="1">
        <f>VLOOKUP((A85+Forudsætninger!$E$60),'Model tilvækst, slagteform, fe'!A:D,4,FALSE)</f>
        <v>164.14370106423195</v>
      </c>
      <c r="D85" s="3">
        <f t="shared" si="53"/>
        <v>1509.5263656077407</v>
      </c>
      <c r="E85" s="3">
        <f>(1+Forudsætninger!$E$78)*C85</f>
        <v>151.01220497909341</v>
      </c>
      <c r="F85" s="2">
        <f t="shared" si="28"/>
        <v>3.7552263181473218</v>
      </c>
      <c r="G85" s="1">
        <f t="shared" si="30"/>
        <v>154.76743129724073</v>
      </c>
      <c r="H85" s="3">
        <f t="shared" si="38"/>
        <v>1313.2879380787585</v>
      </c>
      <c r="I85" s="3">
        <f t="shared" si="31"/>
        <v>1045.3907385209727</v>
      </c>
      <c r="J85" s="1">
        <f>VLOOKUP((A85+Forudsætninger!$E$60),'Model tilvækst, slagteform, fe'!G:K,4,FALSE)*(1+Forudsætninger!$E$79)</f>
        <v>50.278342395925563</v>
      </c>
      <c r="K85" s="17">
        <f t="shared" si="32"/>
        <v>77.81449902500556</v>
      </c>
      <c r="L85" s="17">
        <f t="shared" si="39"/>
        <v>689.71103993239069</v>
      </c>
      <c r="M85" s="3">
        <f>((K85-(('Model tilvækst, slagteform, fe'!$J$9/100)*'Model tilvækst, slagteform, fe'!$D$9))*1000/(A85+Forudsætninger!$E$60))</f>
        <v>483.86631000136396</v>
      </c>
      <c r="N85" s="17">
        <f t="shared" si="40"/>
        <v>258.57196028296022</v>
      </c>
      <c r="O85" s="19">
        <f>IF( A85&lt;Forudsætninger!$C$14,(G85/100)*Forudsætninger!$C$13,(Forudsætninger!$C$15/1000)*Forudsætninger!$C$13)</f>
        <v>1.0059883034320647</v>
      </c>
      <c r="P85" s="17" cm="1">
        <f t="array" ref="P85">INDEX('Model tilvækst, slagteform, fe'!$P$9:$P$375,MATCH(MIN(ABS('Model tilvækst, slagteform, fe'!$M$9:$M$375-G85)),ABS('Model tilvækst, slagteform, fe'!$M$9:$M$375-G85),0))*(1+Forudsætninger!$E$80)</f>
        <v>4.4093495399518456</v>
      </c>
      <c r="Q85" s="17">
        <f t="shared" si="41"/>
        <v>6.39303894625795</v>
      </c>
      <c r="R85" s="17">
        <f t="shared" si="42"/>
        <v>5.7655407229324096</v>
      </c>
      <c r="S85" s="17">
        <f t="shared" si="43"/>
        <v>2.9800577983825018</v>
      </c>
      <c r="T85" s="19">
        <f>(P85)*IF(N85&lt;Forudsætninger!$B$228,IF(N85&lt;Forudsætninger!$B$227,Forudsætninger!$B$225,Forudsætninger!$C$9),Forudsætninger!$C$11)+O85</f>
        <v>11.323866226919382</v>
      </c>
      <c r="U85" s="5">
        <f>Forudsætninger!$E$68+((K85-(Forudsætninger!$E$84)))*0.01</f>
        <v>5.4947086998217252</v>
      </c>
      <c r="V85" s="2">
        <f>U85+Forudsætninger!$E$69</f>
        <v>5.4947086998217252</v>
      </c>
      <c r="W85">
        <f t="shared" si="33"/>
        <v>0</v>
      </c>
      <c r="X85">
        <f>IF(A85+Forudsætninger!$E$60&gt;248,IF(A85+Forudsætninger!$E$60&lt;365,IF(K85&gt;180,IF(K85&lt;260,1,0),0),0),0)</f>
        <v>0</v>
      </c>
      <c r="Y85" s="22">
        <f>IF(X85=0,0,IF('Vækstfunktion, kry kvie'!A85&lt;Forudsætninger!$E$66,Forudsætninger!$E$67+(('Vækstfunktion, kry kvie'!A85-Forudsætninger!$E$66)/7)*Forudsætninger!$E$64,Forudsætninger!$E$67))</f>
        <v>0</v>
      </c>
      <c r="Z85" s="19">
        <f t="shared" si="47"/>
        <v>1169.7417845758234</v>
      </c>
      <c r="AA85" s="19">
        <f>Forudsætninger!$E$62+Forudsætninger!$C$16</f>
        <v>1575</v>
      </c>
      <c r="AB85" s="19">
        <f>IF(K85&gt;Forudsætninger!$C$48,IF(K85&gt;Forudsætninger!$C$49,IF(K85&gt;Forudsætninger!$C$50,Forudsætninger!$E$50,Forudsætninger!$E$49+Forudsætninger!$F$50*(K85-Forudsætninger!$C$49)),Forudsætninger!$E$48+Forudsætninger!$F$49*(K85-Forudsætninger!$C$48)),Forudsætninger!$E$48)+IF(K85&gt;Forudsætninger!$C$50,Forudsætninger!$G$50,IF(K85&gt;Forudsætninger!$C$49,Forudsætninger!$G$49+Forudsætninger!$H$50*(K85-Forudsætninger!$C$49),IF(K85&gt;Forudsætninger!$C$48,Forudsætninger!$G$48+Forudsætninger!$H$49*(K85-Forudsætninger!$C$48),Forudsætninger!$G$48)))*(U85-Forudsætninger!$H$48)</f>
        <v>35.149470869982174</v>
      </c>
      <c r="AC85" s="19">
        <f>IF(K85&gt;Forudsætninger!$C$52,IF(K85&gt;Forudsætninger!$C$53,IF(K85&gt;Forudsætninger!$C$54,Forudsætninger!$E$54,Forudsætninger!$E$53+Forudsætninger!$F$54*(K85-Forudsætninger!$C$53)),Forudsætninger!$E$52+Forudsætninger!$F$53*(K85-Forudsætninger!$C$52)),Forudsætninger!$E$52)+IF(K85&gt;Forudsætninger!$C$54,Forudsætninger!$G$54,IF(K85&gt;Forudsætninger!$C$53,Forudsætninger!$G$53+Forudsætninger!$H$54*(K85-Forudsætninger!$C$53),IF(K85&gt;Forudsætninger!$C$52,Forudsætninger!$G$52+Forudsætninger!$H$53*(K85-Forudsætninger!$C$52),Forudsætninger!$G$52)))*(V85-Forudsætninger!$H$52)</f>
        <v>30.023677174955431</v>
      </c>
      <c r="AD85" s="19">
        <f t="shared" si="34"/>
        <v>2336.2773982576509</v>
      </c>
      <c r="AE85" s="19">
        <f t="shared" si="35"/>
        <v>30.023677174955431</v>
      </c>
      <c r="AF85">
        <f>IF(G85&lt;=Forudsætninger!$C$97,Forudsætninger!$C$98,(IF(G85&lt;=Forudsætninger!$D$97,Forudsætninger!$D$98,IF(G85&lt;=Forudsætninger!$E$97,Forudsætninger!$E$98,IF(G85&lt;=Forudsætninger!$F$97,Forudsætninger!$F$98,IF(G85&lt;=Forudsætninger!$G$97,Forudsætninger!$G$98,IF(G85&lt;=Forudsætninger!$H$97,Forudsætninger!$H$98,IF(G85&lt;=Forudsætninger!$I$97,Forudsætninger!$I$98,Forudsætninger!$I$98))))))))</f>
        <v>2.2000000000000002</v>
      </c>
      <c r="AG85" s="1">
        <f t="shared" si="44"/>
        <v>2.2000000000000002</v>
      </c>
      <c r="AH85" s="1">
        <f t="shared" si="48"/>
        <v>182.59999999999982</v>
      </c>
      <c r="AI85" s="1">
        <f t="shared" si="36"/>
        <v>2.199999999999998</v>
      </c>
      <c r="AJ85" s="20">
        <f>+(W85*Forudsætninger!$C$12)</f>
        <v>0</v>
      </c>
      <c r="AK85" s="20">
        <f>Forudsætninger!$C$17</f>
        <v>250</v>
      </c>
      <c r="AL85" s="20">
        <f>IF(A85&lt;92,Forudsætninger!$C$20,Forudsætninger!$C$21)</f>
        <v>4.0072859744990899</v>
      </c>
      <c r="AM85" s="20">
        <f t="shared" si="45"/>
        <v>332.60473588342478</v>
      </c>
      <c r="AN85" s="19">
        <f>IFERROR(AD85+AJ85-AA85-Z85-AK85-AM85-Forudsætninger!$E$75,-999999)</f>
        <v>-1182.2858835382131</v>
      </c>
      <c r="AO85" s="19">
        <f>IFERROR(AN85/(A85+Forudsætninger!$E$74),-999999)</f>
        <v>-14.244408235400158</v>
      </c>
      <c r="AP85" s="19">
        <f>IFERROR(((365/(A85+Forudsætninger!$E$74))*AN85)/(AI85+Forudsætninger!$E$73),-999999)</f>
        <v>-2250.7398294030572</v>
      </c>
      <c r="AQ85" s="18">
        <f t="shared" si="37"/>
        <v>83</v>
      </c>
      <c r="AR85" s="18">
        <f t="shared" si="49"/>
        <v>3327.3465204592485</v>
      </c>
      <c r="AS85" s="18">
        <f t="shared" si="29"/>
        <v>3.9</v>
      </c>
      <c r="AT85" s="50">
        <f t="shared" si="50"/>
        <v>5.5094939498287658</v>
      </c>
      <c r="AU85" s="50">
        <f t="shared" si="51"/>
        <v>0.24090124616132691</v>
      </c>
      <c r="AV85" s="2">
        <f t="shared" si="52"/>
        <v>38.064482618564853</v>
      </c>
      <c r="AW85" s="16">
        <f t="shared" si="46"/>
        <v>-10.237122260901064</v>
      </c>
      <c r="AZ85" s="16"/>
      <c r="BA85" s="2"/>
    </row>
    <row r="86" spans="1:53" x14ac:dyDescent="0.25">
      <c r="A86">
        <v>84</v>
      </c>
      <c r="B86" s="1">
        <f>ROUND((A86+Forudsætninger!$E$60)/30.4,1)</f>
        <v>3.9</v>
      </c>
      <c r="C86" s="1">
        <f>VLOOKUP((A86+Forudsætninger!$E$60),'Model tilvækst, slagteform, fe'!A:D,4,FALSE)</f>
        <v>165.65698646500772</v>
      </c>
      <c r="D86" s="3">
        <f t="shared" si="53"/>
        <v>1513.2854007757714</v>
      </c>
      <c r="E86" s="3">
        <f>(1+Forudsætninger!$E$78)*C86</f>
        <v>152.4044275478071</v>
      </c>
      <c r="F86" s="2">
        <f t="shared" si="28"/>
        <v>3.6795620481085334</v>
      </c>
      <c r="G86" s="1">
        <f t="shared" si="30"/>
        <v>156.08398959591563</v>
      </c>
      <c r="H86" s="3">
        <f t="shared" si="38"/>
        <v>1316.5582986748916</v>
      </c>
      <c r="I86" s="3">
        <f t="shared" si="31"/>
        <v>1048.6189237609003</v>
      </c>
      <c r="J86" s="1">
        <f>VLOOKUP((A86+Forudsætninger!$E$60),'Model tilvækst, slagteform, fe'!G:K,4,FALSE)*(1+Forudsætninger!$E$79)</f>
        <v>50.297532769797797</v>
      </c>
      <c r="K86" s="17">
        <f t="shared" si="32"/>
        <v>78.506395815413441</v>
      </c>
      <c r="L86" s="17">
        <f t="shared" si="39"/>
        <v>691.89679040788121</v>
      </c>
      <c r="M86" s="3">
        <f>((K86-(('Model tilvækst, slagteform, fe'!$J$9/100)*'Model tilvækst, slagteform, fe'!$D$9))*1000/(A86+Forudsætninger!$E$60))</f>
        <v>485.59989733808493</v>
      </c>
      <c r="N86" s="17">
        <f t="shared" si="40"/>
        <v>263.03607855959615</v>
      </c>
      <c r="O86" s="19">
        <f>IF( A86&lt;Forudsætninger!$C$14,(G86/100)*Forudsætninger!$C$13,(Forudsætninger!$C$15/1000)*Forudsætninger!$C$13)</f>
        <v>1.0145459323734516</v>
      </c>
      <c r="P86" s="17" cm="1">
        <f t="array" ref="P86">INDEX('Model tilvækst, slagteform, fe'!$P$9:$P$375,MATCH(MIN(ABS('Model tilvækst, slagteform, fe'!$M$9:$M$375-G86)),ABS('Model tilvækst, slagteform, fe'!$M$9:$M$375-G86),0))*(1+Forudsætninger!$E$80)</f>
        <v>4.4641182766359275</v>
      </c>
      <c r="Q86" s="17">
        <f t="shared" si="41"/>
        <v>6.4520002672714778</v>
      </c>
      <c r="R86" s="17">
        <f t="shared" si="42"/>
        <v>5.7759702806629072</v>
      </c>
      <c r="S86" s="17">
        <f t="shared" si="43"/>
        <v>2.9861962402733049</v>
      </c>
      <c r="T86" s="19">
        <f>(P86)*IF(N86&lt;Forudsætninger!$B$228,IF(N86&lt;Forudsætninger!$B$227,Forudsætninger!$B$225,Forudsætninger!$C$9),Forudsætninger!$C$11)+O86</f>
        <v>11.46058269970152</v>
      </c>
      <c r="U86" s="5">
        <f>Forudsætninger!$E$68+((K86-(Forudsætninger!$E$84)))*0.01</f>
        <v>5.5016276677258036</v>
      </c>
      <c r="V86" s="2">
        <f>U86+Forudsætninger!$E$69</f>
        <v>5.5016276677258036</v>
      </c>
      <c r="W86">
        <f t="shared" si="33"/>
        <v>0</v>
      </c>
      <c r="X86">
        <f>IF(A86+Forudsætninger!$E$60&gt;248,IF(A86+Forudsætninger!$E$60&lt;365,IF(K86&gt;180,IF(K86&lt;260,1,0),0),0),0)</f>
        <v>0</v>
      </c>
      <c r="Y86" s="22">
        <f>IF(X86=0,0,IF('Vækstfunktion, kry kvie'!A86&lt;Forudsætninger!$E$66,Forudsætninger!$E$67+(('Vækstfunktion, kry kvie'!A86-Forudsætninger!$E$66)/7)*Forudsætninger!$E$64,Forudsætninger!$E$67))</f>
        <v>0</v>
      </c>
      <c r="Z86" s="19">
        <f t="shared" si="47"/>
        <v>1181.2023672755249</v>
      </c>
      <c r="AA86" s="19">
        <f>Forudsætninger!$E$62+Forudsætninger!$C$16</f>
        <v>1575</v>
      </c>
      <c r="AB86" s="19">
        <f>IF(K86&gt;Forudsætninger!$C$48,IF(K86&gt;Forudsætninger!$C$49,IF(K86&gt;Forudsætninger!$C$50,Forudsætninger!$E$50,Forudsætninger!$E$49+Forudsætninger!$F$50*(K86-Forudsætninger!$C$49)),Forudsætninger!$E$48+Forudsætninger!$F$49*(K86-Forudsætninger!$C$48)),Forudsætninger!$E$48)+IF(K86&gt;Forudsætninger!$C$50,Forudsætninger!$G$50,IF(K86&gt;Forudsætninger!$C$49,Forudsætninger!$G$49+Forudsætninger!$H$50*(K86-Forudsætninger!$C$49),IF(K86&gt;Forudsætninger!$C$48,Forudsætninger!$G$48+Forudsætninger!$H$49*(K86-Forudsætninger!$C$48),Forudsætninger!$G$48)))*(U86-Forudsætninger!$H$48)</f>
        <v>35.150162766772581</v>
      </c>
      <c r="AC86" s="19">
        <f>IF(K86&gt;Forudsætninger!$C$52,IF(K86&gt;Forudsætninger!$C$53,IF(K86&gt;Forudsætninger!$C$54,Forudsætninger!$E$54,Forudsætninger!$E$53+Forudsætninger!$F$54*(K86-Forudsætninger!$C$53)),Forudsætninger!$E$52+Forudsætninger!$F$53*(K86-Forudsætninger!$C$52)),Forudsætninger!$E$52)+IF(K86&gt;Forudsætninger!$C$54,Forudsætninger!$G$54,IF(K86&gt;Forudsætninger!$C$53,Forudsætninger!$G$53+Forudsætninger!$H$54*(K86-Forudsætninger!$C$53),IF(K86&gt;Forudsætninger!$C$52,Forudsætninger!$G$52+Forudsætninger!$H$53*(K86-Forudsætninger!$C$52),Forudsætninger!$G$52)))*(V86-Forudsætninger!$H$52)</f>
        <v>30.025406916931448</v>
      </c>
      <c r="AD86" s="19">
        <f t="shared" si="34"/>
        <v>2357.186479939473</v>
      </c>
      <c r="AE86" s="19">
        <f t="shared" si="35"/>
        <v>30.025406916931448</v>
      </c>
      <c r="AF86">
        <f>IF(G86&lt;=Forudsætninger!$C$97,Forudsætninger!$C$98,(IF(G86&lt;=Forudsætninger!$D$97,Forudsætninger!$D$98,IF(G86&lt;=Forudsætninger!$E$97,Forudsætninger!$E$98,IF(G86&lt;=Forudsætninger!$F$97,Forudsætninger!$F$98,IF(G86&lt;=Forudsætninger!$G$97,Forudsætninger!$G$98,IF(G86&lt;=Forudsætninger!$H$97,Forudsætninger!$H$98,IF(G86&lt;=Forudsætninger!$I$97,Forudsætninger!$I$98,Forudsætninger!$I$98))))))))</f>
        <v>2.2000000000000002</v>
      </c>
      <c r="AG86" s="1">
        <f t="shared" si="44"/>
        <v>2.2000000000000002</v>
      </c>
      <c r="AH86" s="1">
        <f t="shared" si="48"/>
        <v>184.79999999999981</v>
      </c>
      <c r="AI86" s="1">
        <f t="shared" si="36"/>
        <v>2.199999999999998</v>
      </c>
      <c r="AJ86" s="20">
        <f>+(W86*Forudsætninger!$C$12)</f>
        <v>0</v>
      </c>
      <c r="AK86" s="20">
        <f>Forudsætninger!$C$17</f>
        <v>250</v>
      </c>
      <c r="AL86" s="20">
        <f>IF(A86&lt;92,Forudsætninger!$C$20,Forudsætninger!$C$21)</f>
        <v>4.0072859744990899</v>
      </c>
      <c r="AM86" s="20">
        <f t="shared" si="45"/>
        <v>336.61202185792388</v>
      </c>
      <c r="AN86" s="19">
        <f>IFERROR(AD86+AJ86-AA86-Z86-AK86-AM86-Forudsætninger!$E$75,-999999)</f>
        <v>-1176.8446705305917</v>
      </c>
      <c r="AO86" s="19">
        <f>IFERROR(AN86/(A86+Forudsætninger!$E$74),-999999)</f>
        <v>-14.010055601554663</v>
      </c>
      <c r="AP86" s="19">
        <f>IFERROR(((365/(A86+Forudsætninger!$E$74))*AN86)/(AI86+Forudsætninger!$E$73),-999999)</f>
        <v>-2213.7100842283362</v>
      </c>
      <c r="AQ86" s="18">
        <f t="shared" si="37"/>
        <v>84</v>
      </c>
      <c r="AR86" s="18">
        <f t="shared" si="49"/>
        <v>3342.8143891334489</v>
      </c>
      <c r="AS86" s="18">
        <f t="shared" si="29"/>
        <v>3.9</v>
      </c>
      <c r="AT86" s="50">
        <f t="shared" si="50"/>
        <v>5.4412130076213998</v>
      </c>
      <c r="AU86" s="50">
        <f t="shared" si="51"/>
        <v>0.23435263384549465</v>
      </c>
      <c r="AV86" s="2">
        <f t="shared" si="52"/>
        <v>37.029745174721029</v>
      </c>
      <c r="AW86" s="16">
        <f t="shared" si="46"/>
        <v>-10.002769627055569</v>
      </c>
      <c r="AZ86" s="16"/>
      <c r="BA86" s="2"/>
    </row>
    <row r="87" spans="1:53" x14ac:dyDescent="0.25">
      <c r="A87">
        <v>85</v>
      </c>
      <c r="B87" s="1">
        <f>ROUND((A87+Forudsætninger!$E$60)/30.4,1)</f>
        <v>4</v>
      </c>
      <c r="C87" s="1">
        <f>VLOOKUP((A87+Forudsætninger!$E$60),'Model tilvækst, slagteform, fe'!A:D,4,FALSE)</f>
        <v>167.1739307884163</v>
      </c>
      <c r="D87" s="3">
        <f t="shared" si="53"/>
        <v>1516.9443234085804</v>
      </c>
      <c r="E87" s="3">
        <f>(1+Forudsætninger!$E$78)*C87</f>
        <v>153.80001632534299</v>
      </c>
      <c r="F87" s="2">
        <f t="shared" si="28"/>
        <v>3.6037148319381043</v>
      </c>
      <c r="G87" s="1">
        <f t="shared" si="30"/>
        <v>157.4037311572811</v>
      </c>
      <c r="H87" s="3">
        <f t="shared" si="38"/>
        <v>1319.7415613654755</v>
      </c>
      <c r="I87" s="3">
        <f t="shared" si="31"/>
        <v>1051.8086018503659</v>
      </c>
      <c r="J87" s="1">
        <f>VLOOKUP((A87+Forudsætninger!$E$60),'Model tilvækst, slagteform, fe'!G:K,4,FALSE)*(1+Forudsætninger!$E$79)</f>
        <v>50.316750757940198</v>
      </c>
      <c r="K87" s="17">
        <f t="shared" si="32"/>
        <v>79.200443090107385</v>
      </c>
      <c r="L87" s="17">
        <f t="shared" si="39"/>
        <v>694.04727469394345</v>
      </c>
      <c r="M87" s="3">
        <f>((K87-(('Model tilvækst, slagteform, fe'!$J$9/100)*'Model tilvækst, slagteform, fe'!$D$9))*1000/(A87+Forudsætninger!$E$60))</f>
        <v>487.32260293606726</v>
      </c>
      <c r="N87" s="17">
        <f t="shared" si="40"/>
        <v>267.52738175081959</v>
      </c>
      <c r="O87" s="19">
        <f>IF( A87&lt;Forudsætninger!$C$14,(G87/100)*Forudsætninger!$C$13,(Forudsætninger!$C$15/1000)*Forudsætninger!$C$13)</f>
        <v>1.0231242525223272</v>
      </c>
      <c r="P87" s="17" cm="1">
        <f t="array" ref="P87">INDEX('Model tilvækst, slagteform, fe'!$P$9:$P$375,MATCH(MIN(ABS('Model tilvækst, slagteform, fe'!$M$9:$M$375-G87)),ABS('Model tilvækst, slagteform, fe'!$M$9:$M$375-G87),0))*(1+Forudsætninger!$E$80)</f>
        <v>4.4913031912234249</v>
      </c>
      <c r="Q87" s="17">
        <f t="shared" si="41"/>
        <v>6.4711776200028615</v>
      </c>
      <c r="R87" s="17">
        <f t="shared" si="42"/>
        <v>5.7864065217685976</v>
      </c>
      <c r="S87" s="17">
        <f t="shared" si="43"/>
        <v>2.9923514185350863</v>
      </c>
      <c r="T87" s="19">
        <f>(P87)*IF(N87&lt;Forudsætninger!$B$228,IF(N87&lt;Forudsætninger!$B$227,Forudsætninger!$B$225,Forudsætninger!$C$9),Forudsætninger!$C$11)+O87</f>
        <v>11.532773719985141</v>
      </c>
      <c r="U87" s="5">
        <f>Forudsætninger!$E$68+((K87-(Forudsætninger!$E$84)))*0.01</f>
        <v>5.5085681404727431</v>
      </c>
      <c r="V87" s="2">
        <f>U87+Forudsætninger!$E$69</f>
        <v>5.5085681404727431</v>
      </c>
      <c r="W87">
        <f t="shared" si="33"/>
        <v>0</v>
      </c>
      <c r="X87">
        <f>IF(A87+Forudsætninger!$E$60&gt;248,IF(A87+Forudsætninger!$E$60&lt;365,IF(K87&gt;180,IF(K87&lt;260,1,0),0),0),0)</f>
        <v>0</v>
      </c>
      <c r="Y87" s="22">
        <f>IF(X87=0,0,IF('Vækstfunktion, kry kvie'!A87&lt;Forudsætninger!$E$66,Forudsætninger!$E$67+(('Vækstfunktion, kry kvie'!A87-Forudsætninger!$E$66)/7)*Forudsætninger!$E$64,Forudsætninger!$E$67))</f>
        <v>0</v>
      </c>
      <c r="Z87" s="19">
        <f t="shared" si="47"/>
        <v>1192.7351409955102</v>
      </c>
      <c r="AA87" s="19">
        <f>Forudsætninger!$E$62+Forudsætninger!$C$16</f>
        <v>1575</v>
      </c>
      <c r="AB87" s="19">
        <f>IF(K87&gt;Forudsætninger!$C$48,IF(K87&gt;Forudsætninger!$C$49,IF(K87&gt;Forudsætninger!$C$50,Forudsætninger!$E$50,Forudsætninger!$E$49+Forudsætninger!$F$50*(K87-Forudsætninger!$C$49)),Forudsætninger!$E$48+Forudsætninger!$F$49*(K87-Forudsætninger!$C$48)),Forudsætninger!$E$48)+IF(K87&gt;Forudsætninger!$C$50,Forudsætninger!$G$50,IF(K87&gt;Forudsætninger!$C$49,Forudsætninger!$G$49+Forudsætninger!$H$50*(K87-Forudsætninger!$C$49),IF(K87&gt;Forudsætninger!$C$48,Forudsætninger!$G$48+Forudsætninger!$H$49*(K87-Forudsætninger!$C$48),Forudsætninger!$G$48)))*(U87-Forudsætninger!$H$48)</f>
        <v>35.150856814047273</v>
      </c>
      <c r="AC87" s="19">
        <f>IF(K87&gt;Forudsætninger!$C$52,IF(K87&gt;Forudsætninger!$C$53,IF(K87&gt;Forudsætninger!$C$54,Forudsætninger!$E$54,Forudsætninger!$E$53+Forudsætninger!$F$54*(K87-Forudsætninger!$C$53)),Forudsætninger!$E$52+Forudsætninger!$F$53*(K87-Forudsætninger!$C$52)),Forudsætninger!$E$52)+IF(K87&gt;Forudsætninger!$C$54,Forudsætninger!$G$54,IF(K87&gt;Forudsætninger!$C$53,Forudsætninger!$G$53+Forudsætninger!$H$54*(K87-Forudsætninger!$C$53),IF(K87&gt;Forudsætninger!$C$52,Forudsætninger!$G$52+Forudsætninger!$H$53*(K87-Forudsætninger!$C$52),Forudsætninger!$G$52)))*(V87-Forudsætninger!$H$52)</f>
        <v>30.027142035118185</v>
      </c>
      <c r="AD87" s="19">
        <f t="shared" si="34"/>
        <v>2378.162953910949</v>
      </c>
      <c r="AE87" s="19">
        <f t="shared" si="35"/>
        <v>30.027142035118185</v>
      </c>
      <c r="AF87">
        <f>IF(G87&lt;=Forudsætninger!$C$97,Forudsætninger!$C$98,(IF(G87&lt;=Forudsætninger!$D$97,Forudsætninger!$D$98,IF(G87&lt;=Forudsætninger!$E$97,Forudsætninger!$E$98,IF(G87&lt;=Forudsætninger!$F$97,Forudsætninger!$F$98,IF(G87&lt;=Forudsætninger!$G$97,Forudsætninger!$G$98,IF(G87&lt;=Forudsætninger!$H$97,Forudsætninger!$H$98,IF(G87&lt;=Forudsætninger!$I$97,Forudsætninger!$I$98,Forudsætninger!$I$98))))))))</f>
        <v>2.2000000000000002</v>
      </c>
      <c r="AG87" s="1">
        <f t="shared" si="44"/>
        <v>2.2000000000000002</v>
      </c>
      <c r="AH87" s="1">
        <f t="shared" si="48"/>
        <v>186.9999999999998</v>
      </c>
      <c r="AI87" s="1">
        <f t="shared" si="36"/>
        <v>2.1999999999999975</v>
      </c>
      <c r="AJ87" s="20">
        <f>+(W87*Forudsætninger!$C$12)</f>
        <v>0</v>
      </c>
      <c r="AK87" s="20">
        <f>Forudsætninger!$C$17</f>
        <v>250</v>
      </c>
      <c r="AL87" s="20">
        <f>IF(A87&lt;92,Forudsætninger!$C$20,Forudsætninger!$C$21)</f>
        <v>4.0072859744990899</v>
      </c>
      <c r="AM87" s="20">
        <f t="shared" si="45"/>
        <v>340.61930783242298</v>
      </c>
      <c r="AN87" s="19">
        <f>IFERROR(AD87+AJ87-AA87-Z87-AK87-AM87-Forudsætninger!$E$75,-999999)</f>
        <v>-1171.4082562535998</v>
      </c>
      <c r="AO87" s="19">
        <f>IFERROR(AN87/(A87+Forudsætninger!$E$74),-999999)</f>
        <v>-13.781273602983527</v>
      </c>
      <c r="AP87" s="19">
        <f>IFERROR(((365/(A87+Forudsætninger!$E$74))*AN87)/(AI87+Forudsætninger!$E$73),-999999)</f>
        <v>-2177.5605476575729</v>
      </c>
      <c r="AQ87" s="18">
        <f t="shared" si="37"/>
        <v>85</v>
      </c>
      <c r="AR87" s="18">
        <f t="shared" si="49"/>
        <v>3358.3544488279331</v>
      </c>
      <c r="AS87" s="18">
        <f t="shared" si="29"/>
        <v>4</v>
      </c>
      <c r="AT87" s="50">
        <f t="shared" si="50"/>
        <v>5.4364142769918544</v>
      </c>
      <c r="AU87" s="50">
        <f t="shared" si="51"/>
        <v>0.22878199857113657</v>
      </c>
      <c r="AV87" s="2">
        <f t="shared" si="52"/>
        <v>36.149536570763303</v>
      </c>
      <c r="AW87" s="16">
        <f t="shared" si="46"/>
        <v>-9.7739876284844343</v>
      </c>
      <c r="AZ87" s="16"/>
      <c r="BA87" s="2"/>
    </row>
    <row r="88" spans="1:53" x14ac:dyDescent="0.25">
      <c r="A88">
        <v>86</v>
      </c>
      <c r="B88" s="1">
        <f>ROUND((A88+Forudsætninger!$E$60)/30.4,1)</f>
        <v>4</v>
      </c>
      <c r="C88" s="1">
        <f>VLOOKUP((A88+Forudsætninger!$E$60),'Model tilvækst, slagteform, fe'!A:D,4,FALSE)</f>
        <v>168.69443450694303</v>
      </c>
      <c r="D88" s="3">
        <f t="shared" si="53"/>
        <v>1520.5037185267258</v>
      </c>
      <c r="E88" s="3">
        <f>(1+Forudsætninger!$E$78)*C88</f>
        <v>155.1988797463876</v>
      </c>
      <c r="F88" s="2">
        <f t="shared" si="28"/>
        <v>3.5276896460117682</v>
      </c>
      <c r="G88" s="1">
        <f t="shared" si="30"/>
        <v>158.72656939239937</v>
      </c>
      <c r="H88" s="3">
        <f t="shared" si="38"/>
        <v>1322.8382351182688</v>
      </c>
      <c r="I88" s="3">
        <f t="shared" si="31"/>
        <v>1054.9601092139462</v>
      </c>
      <c r="J88" s="1">
        <f>VLOOKUP((A88+Forudsætninger!$E$60),'Model tilvækst, slagteform, fe'!G:K,4,FALSE)*(1+Forudsætninger!$E$79)</f>
        <v>50.335999999999999</v>
      </c>
      <c r="K88" s="17">
        <f t="shared" si="32"/>
        <v>79.896605969358149</v>
      </c>
      <c r="L88" s="17">
        <f t="shared" si="39"/>
        <v>696.16287925076392</v>
      </c>
      <c r="M88" s="3">
        <f>((K88-(('Model tilvækst, slagteform, fe'!$J$9/100)*'Model tilvækst, slagteform, fe'!$D$9))*1000/(A88+Forudsætninger!$E$60))</f>
        <v>489.03440847963032</v>
      </c>
      <c r="N88" s="17">
        <f t="shared" si="40"/>
        <v>272.04573859833806</v>
      </c>
      <c r="O88" s="19">
        <f>IF( A88&lt;Forudsætninger!$C$14,(G88/100)*Forudsætninger!$C$13,(Forudsætninger!$C$15/1000)*Forudsætninger!$C$13)</f>
        <v>1.031722701050596</v>
      </c>
      <c r="P88" s="17" cm="1">
        <f t="array" ref="P88">INDEX('Model tilvækst, slagteform, fe'!$P$9:$P$375,MATCH(MIN(ABS('Model tilvækst, slagteform, fe'!$M$9:$M$375-G88)),ABS('Model tilvækst, slagteform, fe'!$M$9:$M$375-G88),0))*(1+Forudsætninger!$E$80)</f>
        <v>4.5183568475184961</v>
      </c>
      <c r="Q88" s="17">
        <f t="shared" si="41"/>
        <v>6.4903731327664556</v>
      </c>
      <c r="R88" s="17">
        <f t="shared" si="42"/>
        <v>5.7968492265516147</v>
      </c>
      <c r="S88" s="17">
        <f t="shared" si="43"/>
        <v>2.9985233699482166</v>
      </c>
      <c r="T88" s="19">
        <f>(P88)*IF(N88&lt;Forudsætninger!$B$228,IF(N88&lt;Forudsætninger!$B$227,Forudsætninger!$B$225,Forudsætninger!$C$9),Forudsætninger!$C$11)+O88</f>
        <v>11.604677724243876</v>
      </c>
      <c r="U88" s="5">
        <f>Forudsætninger!$E$68+((K88-(Forudsætninger!$E$84)))*0.01</f>
        <v>5.5155297692652505</v>
      </c>
      <c r="V88" s="2">
        <f>U88+Forudsætninger!$E$69</f>
        <v>5.5155297692652505</v>
      </c>
      <c r="W88">
        <f t="shared" si="33"/>
        <v>0</v>
      </c>
      <c r="X88">
        <f>IF(A88+Forudsætninger!$E$60&gt;248,IF(A88+Forudsætninger!$E$60&lt;365,IF(K88&gt;180,IF(K88&lt;260,1,0),0),0),0)</f>
        <v>0</v>
      </c>
      <c r="Y88" s="22">
        <f>IF(X88=0,0,IF('Vækstfunktion, kry kvie'!A88&lt;Forudsætninger!$E$66,Forudsætninger!$E$67+(('Vækstfunktion, kry kvie'!A88-Forudsætninger!$E$66)/7)*Forudsætninger!$E$64,Forudsætninger!$E$67))</f>
        <v>0</v>
      </c>
      <c r="Z88" s="19">
        <f t="shared" si="47"/>
        <v>1204.339818719754</v>
      </c>
      <c r="AA88" s="19">
        <f>Forudsætninger!$E$62+Forudsætninger!$C$16</f>
        <v>1575</v>
      </c>
      <c r="AB88" s="19">
        <f>IF(K88&gt;Forudsætninger!$C$48,IF(K88&gt;Forudsætninger!$C$49,IF(K88&gt;Forudsætninger!$C$50,Forudsætninger!$E$50,Forudsætninger!$E$49+Forudsætninger!$F$50*(K88-Forudsætninger!$C$49)),Forudsætninger!$E$48+Forudsætninger!$F$49*(K88-Forudsætninger!$C$48)),Forudsætninger!$E$48)+IF(K88&gt;Forudsætninger!$C$50,Forudsætninger!$G$50,IF(K88&gt;Forudsætninger!$C$49,Forudsætninger!$G$49+Forudsætninger!$H$50*(K88-Forudsætninger!$C$49),IF(K88&gt;Forudsætninger!$C$48,Forudsætninger!$G$48+Forudsætninger!$H$49*(K88-Forudsætninger!$C$48),Forudsætninger!$G$48)))*(U88-Forudsætninger!$H$48)</f>
        <v>35.151552976926524</v>
      </c>
      <c r="AC88" s="19">
        <f>IF(K88&gt;Forudsætninger!$C$52,IF(K88&gt;Forudsætninger!$C$53,IF(K88&gt;Forudsætninger!$C$54,Forudsætninger!$E$54,Forudsætninger!$E$53+Forudsætninger!$F$54*(K88-Forudsætninger!$C$53)),Forudsætninger!$E$52+Forudsætninger!$F$53*(K88-Forudsætninger!$C$52)),Forudsætninger!$E$52)+IF(K88&gt;Forudsætninger!$C$54,Forudsætninger!$G$54,IF(K88&gt;Forudsætninger!$C$53,Forudsætninger!$G$53+Forudsætninger!$H$54*(K88-Forudsætninger!$C$53),IF(K88&gt;Forudsætninger!$C$52,Forudsætninger!$G$52+Forudsætninger!$H$53*(K88-Forudsætninger!$C$52),Forudsætninger!$G$52)))*(V88-Forudsætninger!$H$52)</f>
        <v>30.028882442316313</v>
      </c>
      <c r="AD88" s="19">
        <f t="shared" si="34"/>
        <v>2399.2057881939236</v>
      </c>
      <c r="AE88" s="19">
        <f t="shared" si="35"/>
        <v>30.028882442316313</v>
      </c>
      <c r="AF88">
        <f>IF(G88&lt;=Forudsætninger!$C$97,Forudsætninger!$C$98,(IF(G88&lt;=Forudsætninger!$D$97,Forudsætninger!$D$98,IF(G88&lt;=Forudsætninger!$E$97,Forudsætninger!$E$98,IF(G88&lt;=Forudsætninger!$F$97,Forudsætninger!$F$98,IF(G88&lt;=Forudsætninger!$G$97,Forudsætninger!$G$98,IF(G88&lt;=Forudsætninger!$H$97,Forudsætninger!$H$98,IF(G88&lt;=Forudsætninger!$I$97,Forudsætninger!$I$98,Forudsætninger!$I$98))))))))</f>
        <v>2.2000000000000002</v>
      </c>
      <c r="AG88" s="1">
        <f t="shared" si="44"/>
        <v>2.2000000000000002</v>
      </c>
      <c r="AH88" s="1">
        <f t="shared" si="48"/>
        <v>189.19999999999979</v>
      </c>
      <c r="AI88" s="1">
        <f t="shared" si="36"/>
        <v>2.1999999999999975</v>
      </c>
      <c r="AJ88" s="20">
        <f>+(W88*Forudsætninger!$C$12)</f>
        <v>0</v>
      </c>
      <c r="AK88" s="20">
        <f>Forudsætninger!$C$17</f>
        <v>250</v>
      </c>
      <c r="AL88" s="20">
        <f>IF(A88&lt;92,Forudsætninger!$C$20,Forudsætninger!$C$21)</f>
        <v>4.0072859744990899</v>
      </c>
      <c r="AM88" s="20">
        <f t="shared" si="45"/>
        <v>344.62659380692207</v>
      </c>
      <c r="AN88" s="19">
        <f>IFERROR(AD88+AJ88-AA88-Z88-AK88-AM88-Forudsætninger!$E$75,-999999)</f>
        <v>-1165.9773856693682</v>
      </c>
      <c r="AO88" s="19">
        <f>IFERROR(AN88/(A88+Forudsætninger!$E$74),-999999)</f>
        <v>-13.557876577550793</v>
      </c>
      <c r="AP88" s="19">
        <f>IFERROR(((365/(A88+Forudsætninger!$E$74))*AN88)/(AI88+Forudsætninger!$E$73),-999999)</f>
        <v>-2142.2618834658206</v>
      </c>
      <c r="AQ88" s="18">
        <f t="shared" si="37"/>
        <v>86</v>
      </c>
      <c r="AR88" s="18">
        <f t="shared" si="49"/>
        <v>3373.9664125266763</v>
      </c>
      <c r="AS88" s="18">
        <f t="shared" si="29"/>
        <v>4</v>
      </c>
      <c r="AT88" s="50">
        <f t="shared" si="50"/>
        <v>5.4308705842315703</v>
      </c>
      <c r="AU88" s="50">
        <f t="shared" si="51"/>
        <v>0.22339702543273354</v>
      </c>
      <c r="AV88" s="2">
        <f t="shared" si="52"/>
        <v>35.298664191752323</v>
      </c>
      <c r="AW88" s="16">
        <f t="shared" si="46"/>
        <v>-9.5505906030516989</v>
      </c>
      <c r="AZ88" s="16"/>
      <c r="BA88" s="2"/>
    </row>
    <row r="89" spans="1:53" x14ac:dyDescent="0.25">
      <c r="A89">
        <v>87</v>
      </c>
      <c r="B89" s="1">
        <f>ROUND((A89+Forudsætninger!$E$60)/30.4,1)</f>
        <v>4</v>
      </c>
      <c r="C89" s="1">
        <f>VLOOKUP((A89+Forudsætninger!$E$60),'Model tilvækst, slagteform, fe'!A:D,4,FALSE)</f>
        <v>170.21839867809382</v>
      </c>
      <c r="D89" s="3">
        <f t="shared" si="53"/>
        <v>1523.9641711507943</v>
      </c>
      <c r="E89" s="3">
        <f>(1+Forudsætninger!$E$78)*C89</f>
        <v>156.60092678384632</v>
      </c>
      <c r="F89" s="2">
        <f t="shared" si="28"/>
        <v>3.4514914374542283</v>
      </c>
      <c r="G89" s="1">
        <f t="shared" si="30"/>
        <v>160.05241822130054</v>
      </c>
      <c r="H89" s="3">
        <f t="shared" si="38"/>
        <v>1325.8488289011723</v>
      </c>
      <c r="I89" s="3">
        <f t="shared" si="31"/>
        <v>1058.0737726586269</v>
      </c>
      <c r="J89" s="1">
        <f>VLOOKUP((A89+Forudsætninger!$E$60),'Model tilvækst, slagteform, fe'!G:K,4,FALSE)*(1+Forudsætninger!$E$79)</f>
        <v>50.355283563598753</v>
      </c>
      <c r="K89" s="17">
        <f t="shared" si="32"/>
        <v>80.594849045732886</v>
      </c>
      <c r="L89" s="17">
        <f t="shared" si="39"/>
        <v>698.24307637473737</v>
      </c>
      <c r="M89" s="3">
        <f>((K89-(('Model tilvækst, slagteform, fe'!$J$9/100)*'Model tilvækst, slagteform, fe'!$D$9))*1000/(A89+Forudsætninger!$E$60))</f>
        <v>490.73529195845231</v>
      </c>
      <c r="N89" s="17">
        <f t="shared" si="40"/>
        <v>276.59101912701715</v>
      </c>
      <c r="O89" s="19">
        <f>IF( A89&lt;Forudsætninger!$C$14,(G89/100)*Forudsætninger!$C$13,(Forudsætninger!$C$15/1000)*Forudsætninger!$C$13)</f>
        <v>1.0403407184384537</v>
      </c>
      <c r="P89" s="17" cm="1">
        <f t="array" ref="P89">INDEX('Model tilvækst, slagteform, fe'!$P$9:$P$375,MATCH(MIN(ABS('Model tilvækst, slagteform, fe'!$M$9:$M$375-G89)),ABS('Model tilvækst, slagteform, fe'!$M$9:$M$375-G89),0))*(1+Forudsætninger!$E$80)</f>
        <v>4.5452805286790889</v>
      </c>
      <c r="Q89" s="17">
        <f t="shared" si="41"/>
        <v>6.5095962745210239</v>
      </c>
      <c r="R89" s="17">
        <f t="shared" si="42"/>
        <v>5.8072983082812657</v>
      </c>
      <c r="S89" s="17">
        <f t="shared" si="43"/>
        <v>3.0047121463129054</v>
      </c>
      <c r="T89" s="19">
        <f>(P89)*IF(N89&lt;Forudsætninger!$B$228,IF(N89&lt;Forudsætninger!$B$227,Forudsætninger!$B$225,Forudsætninger!$C$9),Forudsætninger!$C$11)+O89</f>
        <v>11.676297155547521</v>
      </c>
      <c r="U89" s="5">
        <f>Forudsætninger!$E$68+((K89-(Forudsætninger!$E$84)))*0.01</f>
        <v>5.5225122000289986</v>
      </c>
      <c r="V89" s="2">
        <f>U89+Forudsætninger!$E$69</f>
        <v>5.5225122000289986</v>
      </c>
      <c r="W89">
        <f t="shared" si="33"/>
        <v>0</v>
      </c>
      <c r="X89">
        <f>IF(A89+Forudsætninger!$E$60&gt;248,IF(A89+Forudsætninger!$E$60&lt;365,IF(K89&gt;180,IF(K89&lt;260,1,0),0),0),0)</f>
        <v>0</v>
      </c>
      <c r="Y89" s="22">
        <f>IF(X89=0,0,IF('Vækstfunktion, kry kvie'!A89&lt;Forudsætninger!$E$66,Forudsætninger!$E$67+(('Vækstfunktion, kry kvie'!A89-Forudsætninger!$E$66)/7)*Forudsætninger!$E$64,Forudsætninger!$E$67))</f>
        <v>0</v>
      </c>
      <c r="Z89" s="19">
        <f t="shared" si="47"/>
        <v>1216.0161158753015</v>
      </c>
      <c r="AA89" s="19">
        <f>Forudsætninger!$E$62+Forudsætninger!$C$16</f>
        <v>1575</v>
      </c>
      <c r="AB89" s="19">
        <f>IF(K89&gt;Forudsætninger!$C$48,IF(K89&gt;Forudsætninger!$C$49,IF(K89&gt;Forudsætninger!$C$50,Forudsætninger!$E$50,Forudsætninger!$E$49+Forudsætninger!$F$50*(K89-Forudsætninger!$C$49)),Forudsætninger!$E$48+Forudsætninger!$F$49*(K89-Forudsætninger!$C$48)),Forudsætninger!$E$48)+IF(K89&gt;Forudsætninger!$C$50,Forudsætninger!$G$50,IF(K89&gt;Forudsætninger!$C$49,Forudsætninger!$G$49+Forudsætninger!$H$50*(K89-Forudsætninger!$C$49),IF(K89&gt;Forudsætninger!$C$48,Forudsætninger!$G$48+Forudsætninger!$H$49*(K89-Forudsætninger!$C$48),Forudsætninger!$G$48)))*(U89-Forudsætninger!$H$48)</f>
        <v>35.152251220002903</v>
      </c>
      <c r="AC89" s="19">
        <f>IF(K89&gt;Forudsætninger!$C$52,IF(K89&gt;Forudsætninger!$C$53,IF(K89&gt;Forudsætninger!$C$54,Forudsætninger!$E$54,Forudsætninger!$E$53+Forudsætninger!$F$54*(K89-Forudsætninger!$C$53)),Forudsætninger!$E$52+Forudsætninger!$F$53*(K89-Forudsætninger!$C$52)),Forudsætninger!$E$52)+IF(K89&gt;Forudsætninger!$C$54,Forudsætninger!$G$54,IF(K89&gt;Forudsætninger!$C$53,Forudsætninger!$G$53+Forudsætninger!$H$54*(K89-Forudsætninger!$C$53),IF(K89&gt;Forudsætninger!$C$52,Forudsætninger!$G$52+Forudsætninger!$H$53*(K89-Forudsætninger!$C$52),Forudsætninger!$G$52)))*(V89-Forudsætninger!$H$52)</f>
        <v>30.030628050007248</v>
      </c>
      <c r="AD89" s="19">
        <f t="shared" si="34"/>
        <v>2420.313934438886</v>
      </c>
      <c r="AE89" s="19">
        <f t="shared" si="35"/>
        <v>30.030628050007248</v>
      </c>
      <c r="AF89">
        <f>IF(G89&lt;=Forudsætninger!$C$97,Forudsætninger!$C$98,(IF(G89&lt;=Forudsætninger!$D$97,Forudsætninger!$D$98,IF(G89&lt;=Forudsætninger!$E$97,Forudsætninger!$E$98,IF(G89&lt;=Forudsætninger!$F$97,Forudsætninger!$F$98,IF(G89&lt;=Forudsætninger!$G$97,Forudsætninger!$G$98,IF(G89&lt;=Forudsætninger!$H$97,Forudsætninger!$H$98,IF(G89&lt;=Forudsætninger!$I$97,Forudsætninger!$I$98,Forudsætninger!$I$98))))))))</f>
        <v>2.2000000000000002</v>
      </c>
      <c r="AG89" s="1">
        <f t="shared" si="44"/>
        <v>2.2000000000000002</v>
      </c>
      <c r="AH89" s="1">
        <f t="shared" si="48"/>
        <v>191.39999999999978</v>
      </c>
      <c r="AI89" s="1">
        <f t="shared" si="36"/>
        <v>2.1999999999999975</v>
      </c>
      <c r="AJ89" s="20">
        <f>+(W89*Forudsætninger!$C$12)</f>
        <v>0</v>
      </c>
      <c r="AK89" s="20">
        <f>Forudsætninger!$C$17</f>
        <v>250</v>
      </c>
      <c r="AL89" s="20">
        <f>IF(A89&lt;92,Forudsætninger!$C$20,Forudsætninger!$C$21)</f>
        <v>4.0072859744990899</v>
      </c>
      <c r="AM89" s="20">
        <f t="shared" si="45"/>
        <v>348.63387978142117</v>
      </c>
      <c r="AN89" s="19">
        <f>IFERROR(AD89+AJ89-AA89-Z89-AK89-AM89-Forudsætninger!$E$75,-999999)</f>
        <v>-1160.5528225544524</v>
      </c>
      <c r="AO89" s="19">
        <f>IFERROR(AN89/(A89+Forudsætninger!$E$74),-999999)</f>
        <v>-13.339687615568419</v>
      </c>
      <c r="AP89" s="19">
        <f>IFERROR(((365/(A89+Forudsætninger!$E$74))*AN89)/(AI89+Forudsætninger!$E$73),-999999)</f>
        <v>-2107.7861383906834</v>
      </c>
      <c r="AQ89" s="18">
        <f t="shared" si="37"/>
        <v>87</v>
      </c>
      <c r="AR89" s="18">
        <f t="shared" si="49"/>
        <v>3389.6499956567227</v>
      </c>
      <c r="AS89" s="18">
        <f t="shared" si="29"/>
        <v>4</v>
      </c>
      <c r="AT89" s="50">
        <f t="shared" si="50"/>
        <v>5.4245631149158271</v>
      </c>
      <c r="AU89" s="50">
        <f t="shared" si="51"/>
        <v>0.21818896198237425</v>
      </c>
      <c r="AV89" s="2">
        <f t="shared" si="52"/>
        <v>34.475745075137183</v>
      </c>
      <c r="AW89" s="16">
        <f t="shared" si="46"/>
        <v>-9.3324016410693247</v>
      </c>
      <c r="AZ89" s="16"/>
      <c r="BA89" s="2"/>
    </row>
    <row r="90" spans="1:53" x14ac:dyDescent="0.25">
      <c r="A90">
        <v>88</v>
      </c>
      <c r="B90" s="1">
        <f>ROUND((A90+Forudsætninger!$E$60)/30.4,1)</f>
        <v>4.0999999999999996</v>
      </c>
      <c r="C90" s="1">
        <f>VLOOKUP((A90+Forudsætninger!$E$60),'Model tilvækst, slagteform, fe'!A:D,4,FALSE)</f>
        <v>171.74572494439519</v>
      </c>
      <c r="D90" s="3">
        <f t="shared" si="53"/>
        <v>1527.3262663013725</v>
      </c>
      <c r="E90" s="3">
        <f>(1+Forudsætninger!$E$78)*C90</f>
        <v>158.0060669488436</v>
      </c>
      <c r="F90" s="2">
        <f t="shared" si="28"/>
        <v>3.3751251241391595</v>
      </c>
      <c r="G90" s="1">
        <f t="shared" si="30"/>
        <v>161.38119207298274</v>
      </c>
      <c r="H90" s="3">
        <f t="shared" si="38"/>
        <v>1328.7738516822003</v>
      </c>
      <c r="I90" s="3">
        <f t="shared" si="31"/>
        <v>1061.1499099202583</v>
      </c>
      <c r="J90" s="1">
        <f>VLOOKUP((A90+Forudsætninger!$E$60),'Model tilvækst, slagteform, fe'!G:K,4,FALSE)*(1+Forudsætninger!$E$79)</f>
        <v>50.374602228255426</v>
      </c>
      <c r="K90" s="17">
        <f t="shared" si="32"/>
        <v>81.295133577981929</v>
      </c>
      <c r="L90" s="17">
        <f t="shared" si="39"/>
        <v>700.28453224904297</v>
      </c>
      <c r="M90" s="3">
        <f>((K90-(('Model tilvækst, slagteform, fe'!$J$9/100)*'Model tilvækst, slagteform, fe'!$D$9))*1000/(A90+Forudsætninger!$E$60))</f>
        <v>492.42520518660228</v>
      </c>
      <c r="N90" s="17">
        <f t="shared" si="40"/>
        <v>281.16309464488029</v>
      </c>
      <c r="O90" s="19">
        <f>IF( A90&lt;Forudsætninger!$C$14,(G90/100)*Forudsætninger!$C$13,(Forudsætninger!$C$15/1000)*Forudsætninger!$C$13)</f>
        <v>1.0489777484743878</v>
      </c>
      <c r="P90" s="17" cm="1">
        <f t="array" ref="P90">INDEX('Model tilvækst, slagteform, fe'!$P$9:$P$375,MATCH(MIN(ABS('Model tilvækst, slagteform, fe'!$M$9:$M$375-G90)),ABS('Model tilvækst, slagteform, fe'!$M$9:$M$375-G90),0))*(1+Forudsætninger!$E$80)</f>
        <v>4.5720755178631549</v>
      </c>
      <c r="Q90" s="17">
        <f t="shared" si="41"/>
        <v>6.5288826288643236</v>
      </c>
      <c r="R90" s="17">
        <f t="shared" si="42"/>
        <v>5.8177541420708696</v>
      </c>
      <c r="S90" s="17">
        <f t="shared" si="43"/>
        <v>3.0109178133551269</v>
      </c>
      <c r="T90" s="19">
        <f>(P90)*IF(N90&lt;Forudsætninger!$B$228,IF(N90&lt;Forudsætninger!$B$227,Forudsætninger!$B$225,Forudsætninger!$C$9),Forudsætninger!$C$11)+O90</f>
        <v>11.747634460274169</v>
      </c>
      <c r="U90" s="5">
        <f>Forudsætninger!$E$68+((K90-(Forudsætninger!$E$84)))*0.01</f>
        <v>5.5295150453514887</v>
      </c>
      <c r="V90" s="2">
        <f>U90+Forudsætninger!$E$69</f>
        <v>5.5295150453514887</v>
      </c>
      <c r="W90">
        <f t="shared" si="33"/>
        <v>0</v>
      </c>
      <c r="X90">
        <f>IF(A90+Forudsætninger!$E$60&gt;248,IF(A90+Forudsætninger!$E$60&lt;365,IF(K90&gt;180,IF(K90&lt;260,1,0),0),0),0)</f>
        <v>0</v>
      </c>
      <c r="Y90" s="22">
        <f>IF(X90=0,0,IF('Vækstfunktion, kry kvie'!A90&lt;Forudsætninger!$E$66,Forudsætninger!$E$67+(('Vækstfunktion, kry kvie'!A90-Forudsætninger!$E$66)/7)*Forudsætninger!$E$64,Forudsætninger!$E$67))</f>
        <v>0</v>
      </c>
      <c r="Z90" s="19">
        <f t="shared" si="47"/>
        <v>1227.7637503355757</v>
      </c>
      <c r="AA90" s="19">
        <f>Forudsætninger!$E$62+Forudsætninger!$C$16</f>
        <v>1575</v>
      </c>
      <c r="AB90" s="19">
        <f>IF(K90&gt;Forudsætninger!$C$48,IF(K90&gt;Forudsætninger!$C$49,IF(K90&gt;Forudsætninger!$C$50,Forudsætninger!$E$50,Forudsætninger!$E$49+Forudsætninger!$F$50*(K90-Forudsætninger!$C$49)),Forudsætninger!$E$48+Forudsætninger!$F$49*(K90-Forudsætninger!$C$48)),Forudsætninger!$E$48)+IF(K90&gt;Forudsætninger!$C$50,Forudsætninger!$G$50,IF(K90&gt;Forudsætninger!$C$49,Forudsætninger!$G$49+Forudsætninger!$H$50*(K90-Forudsætninger!$C$49),IF(K90&gt;Forudsætninger!$C$48,Forudsætninger!$G$48+Forudsætninger!$H$49*(K90-Forudsætninger!$C$48),Forudsætninger!$G$48)))*(U90-Forudsætninger!$H$48)</f>
        <v>35.152951504535153</v>
      </c>
      <c r="AC90" s="19">
        <f>IF(K90&gt;Forudsætninger!$C$52,IF(K90&gt;Forudsætninger!$C$53,IF(K90&gt;Forudsætninger!$C$54,Forudsætninger!$E$54,Forudsætninger!$E$53+Forudsætninger!$F$54*(K90-Forudsætninger!$C$53)),Forudsætninger!$E$52+Forudsætninger!$F$53*(K90-Forudsætninger!$C$52)),Forudsætninger!$E$52)+IF(K90&gt;Forudsætninger!$C$54,Forudsætninger!$G$54,IF(K90&gt;Forudsætninger!$C$53,Forudsætninger!$G$53+Forudsætninger!$H$54*(K90-Forudsætninger!$C$53),IF(K90&gt;Forudsætninger!$C$52,Forudsætninger!$G$52+Forudsætninger!$H$53*(K90-Forudsætninger!$C$52),Forudsætninger!$G$52)))*(V90-Forudsætninger!$H$52)</f>
        <v>30.032378761337871</v>
      </c>
      <c r="AD90" s="19">
        <f t="shared" si="34"/>
        <v>2441.4862430675098</v>
      </c>
      <c r="AE90" s="19">
        <f t="shared" si="35"/>
        <v>30.032378761337874</v>
      </c>
      <c r="AF90">
        <f>IF(G90&lt;=Forudsætninger!$C$97,Forudsætninger!$C$98,(IF(G90&lt;=Forudsætninger!$D$97,Forudsætninger!$D$98,IF(G90&lt;=Forudsætninger!$E$97,Forudsætninger!$E$98,IF(G90&lt;=Forudsætninger!$F$97,Forudsætninger!$F$98,IF(G90&lt;=Forudsætninger!$G$97,Forudsætninger!$G$98,IF(G90&lt;=Forudsætninger!$H$97,Forudsætninger!$H$98,IF(G90&lt;=Forudsætninger!$I$97,Forudsætninger!$I$98,Forudsætninger!$I$98))))))))</f>
        <v>2.2000000000000002</v>
      </c>
      <c r="AG90" s="1">
        <f t="shared" si="44"/>
        <v>2.2000000000000002</v>
      </c>
      <c r="AH90" s="1">
        <f t="shared" si="48"/>
        <v>193.59999999999977</v>
      </c>
      <c r="AI90" s="1">
        <f t="shared" si="36"/>
        <v>2.1999999999999975</v>
      </c>
      <c r="AJ90" s="20">
        <f>+(W90*Forudsætninger!$C$12)</f>
        <v>0</v>
      </c>
      <c r="AK90" s="20">
        <f>Forudsætninger!$C$17</f>
        <v>250</v>
      </c>
      <c r="AL90" s="20">
        <f>IF(A90&lt;92,Forudsætninger!$C$20,Forudsætninger!$C$21)</f>
        <v>4.0072859744990899</v>
      </c>
      <c r="AM90" s="20">
        <f t="shared" si="45"/>
        <v>352.64116575592027</v>
      </c>
      <c r="AN90" s="19">
        <f>IFERROR(AD90+AJ90-AA90-Z90-AK90-AM90-Forudsætninger!$E$75,-999999)</f>
        <v>-1155.1354343606019</v>
      </c>
      <c r="AO90" s="19">
        <f>IFERROR(AN90/(A90+Forudsætninger!$E$74),-999999)</f>
        <v>-13.126539026825021</v>
      </c>
      <c r="AP90" s="19">
        <f>IFERROR(((365/(A90+Forudsætninger!$E$74))*AN90)/(AI90+Forudsætninger!$E$73),-999999)</f>
        <v>-2074.1068159268998</v>
      </c>
      <c r="AQ90" s="18">
        <f t="shared" si="37"/>
        <v>88</v>
      </c>
      <c r="AR90" s="18">
        <f t="shared" si="49"/>
        <v>3405.4049160914956</v>
      </c>
      <c r="AS90" s="18">
        <f t="shared" si="29"/>
        <v>4.0999999999999996</v>
      </c>
      <c r="AT90" s="50">
        <f t="shared" si="50"/>
        <v>5.4173881938504564</v>
      </c>
      <c r="AU90" s="50">
        <f t="shared" si="51"/>
        <v>0.21314858874339748</v>
      </c>
      <c r="AV90" s="2">
        <f t="shared" si="52"/>
        <v>33.679322463783592</v>
      </c>
      <c r="AW90" s="16">
        <f t="shared" si="46"/>
        <v>-9.119253052325929</v>
      </c>
      <c r="AZ90" s="16"/>
      <c r="BA90" s="2"/>
    </row>
    <row r="91" spans="1:53" x14ac:dyDescent="0.25">
      <c r="A91">
        <v>89</v>
      </c>
      <c r="B91" s="1">
        <f>ROUND((A91+Forudsætninger!$E$60)/30.4,1)</f>
        <v>4.0999999999999996</v>
      </c>
      <c r="C91" s="1">
        <f>VLOOKUP((A91+Forudsætninger!$E$60),'Model tilvækst, slagteform, fe'!A:D,4,FALSE)</f>
        <v>173.27631553339432</v>
      </c>
      <c r="D91" s="3">
        <f>(C91-C90)*1000</f>
        <v>1530.5905889991323</v>
      </c>
      <c r="E91" s="3">
        <f>(1+Forudsætninger!$E$78)*C91</f>
        <v>159.41421029072279</v>
      </c>
      <c r="F91" s="2">
        <f t="shared" si="28"/>
        <v>3.2985955946892029</v>
      </c>
      <c r="G91" s="1">
        <f t="shared" si="30"/>
        <v>162.712805885412</v>
      </c>
      <c r="H91" s="3">
        <f t="shared" si="38"/>
        <v>1331.6138124292536</v>
      </c>
      <c r="I91" s="3">
        <f t="shared" si="31"/>
        <v>1064.1888301731685</v>
      </c>
      <c r="J91" s="1">
        <f>VLOOKUP((A91+Forudsætninger!$E$60),'Model tilvækst, slagteform, fe'!G:K,4,FALSE)*(1+Forudsætninger!$E$79)</f>
        <v>50.39395620146334</v>
      </c>
      <c r="K91" s="17">
        <f t="shared" si="32"/>
        <v>81.997420132066594</v>
      </c>
      <c r="L91" s="17">
        <f t="shared" si="39"/>
        <v>702.28655408466523</v>
      </c>
      <c r="M91" s="3">
        <f>((K91-(('Model tilvækst, slagteform, fe'!$J$9/100)*'Model tilvækst, slagteform, fe'!$D$9))*1000/(A91+Forudsætninger!$E$60))</f>
        <v>494.10409597778676</v>
      </c>
      <c r="N91" s="17">
        <f t="shared" si="40"/>
        <v>285.76183774310891</v>
      </c>
      <c r="O91" s="19">
        <f>IF( A91&lt;Forudsætninger!$C$14,(G91/100)*Forudsætninger!$C$13,(Forudsætninger!$C$15/1000)*Forudsætninger!$C$13)</f>
        <v>1.0576332382551781</v>
      </c>
      <c r="P91" s="17" cm="1">
        <f t="array" ref="P91">INDEX('Model tilvækst, slagteform, fe'!$P$9:$P$375,MATCH(MIN(ABS('Model tilvækst, slagteform, fe'!$M$9:$M$375-G91)),ABS('Model tilvækst, slagteform, fe'!$M$9:$M$375-G91),0))*(1+Forudsætninger!$E$80)</f>
        <v>4.5987430982286481</v>
      </c>
      <c r="Q91" s="17">
        <f t="shared" si="41"/>
        <v>6.5482431230973557</v>
      </c>
      <c r="R91" s="17">
        <f t="shared" si="42"/>
        <v>5.8282172215055343</v>
      </c>
      <c r="S91" s="17">
        <f t="shared" si="43"/>
        <v>3.0171404497174015</v>
      </c>
      <c r="T91" s="19">
        <f>(P91)*IF(N91&lt;Forudsætninger!$B$228,IF(N91&lt;Forudsætninger!$B$227,Forudsætninger!$B$225,Forudsætninger!$C$9),Forudsætninger!$C$11)+O91</f>
        <v>11.818692088110215</v>
      </c>
      <c r="U91" s="5">
        <f>Forudsætninger!$E$68+((K91-(Forudsætninger!$E$84)))*0.01</f>
        <v>5.5365379108923349</v>
      </c>
      <c r="V91" s="2">
        <f>U91+Forudsætninger!$E$69</f>
        <v>5.5365379108923349</v>
      </c>
      <c r="W91">
        <f t="shared" si="33"/>
        <v>0</v>
      </c>
      <c r="X91">
        <f>IF(A91+Forudsætninger!$E$60&gt;248,IF(A91+Forudsætninger!$E$60&lt;365,IF(K91&gt;180,IF(K91&lt;260,1,0),0),0),0)</f>
        <v>0</v>
      </c>
      <c r="Y91" s="22">
        <f>IF(X91=0,0,IF('Vækstfunktion, kry kvie'!A91&lt;Forudsætninger!$E$66,Forudsætninger!$E$67+(('Vækstfunktion, kry kvie'!A91-Forudsætninger!$E$66)/7)*Forudsætninger!$E$64,Forudsætninger!$E$67))</f>
        <v>0</v>
      </c>
      <c r="Z91" s="19">
        <f t="shared" si="47"/>
        <v>1239.582442423686</v>
      </c>
      <c r="AA91" s="19">
        <f>Forudsætninger!$E$62+Forudsætninger!$C$16</f>
        <v>1575</v>
      </c>
      <c r="AB91" s="19">
        <f>IF(K91&gt;Forudsætninger!$C$48,IF(K91&gt;Forudsætninger!$C$49,IF(K91&gt;Forudsætninger!$C$50,Forudsætninger!$E$50,Forudsætninger!$E$49+Forudsætninger!$F$50*(K91-Forudsætninger!$C$49)),Forudsætninger!$E$48+Forudsætninger!$F$49*(K91-Forudsætninger!$C$48)),Forudsætninger!$E$48)+IF(K91&gt;Forudsætninger!$C$50,Forudsætninger!$G$50,IF(K91&gt;Forudsætninger!$C$49,Forudsætninger!$G$49+Forudsætninger!$H$50*(K91-Forudsætninger!$C$49),IF(K91&gt;Forudsætninger!$C$48,Forudsætninger!$G$48+Forudsætninger!$H$49*(K91-Forudsætninger!$C$48),Forudsætninger!$G$48)))*(U91-Forudsætninger!$H$48)</f>
        <v>35.153653791089233</v>
      </c>
      <c r="AC91" s="19">
        <f>IF(K91&gt;Forudsætninger!$C$52,IF(K91&gt;Forudsætninger!$C$53,IF(K91&gt;Forudsætninger!$C$54,Forudsætninger!$E$54,Forudsætninger!$E$53+Forudsætninger!$F$54*(K91-Forudsætninger!$C$53)),Forudsætninger!$E$52+Forudsætninger!$F$53*(K91-Forudsætninger!$C$52)),Forudsætninger!$E$52)+IF(K91&gt;Forudsætninger!$C$54,Forudsætninger!$G$54,IF(K91&gt;Forudsætninger!$C$53,Forudsætninger!$G$53+Forudsætninger!$H$54*(K91-Forudsætninger!$C$53),IF(K91&gt;Forudsætninger!$C$52,Forudsætninger!$G$52+Forudsætninger!$H$53*(K91-Forudsætninger!$C$52),Forudsætninger!$G$52)))*(V91-Forudsætninger!$H$52)</f>
        <v>30.034134477723082</v>
      </c>
      <c r="AD91" s="19">
        <f t="shared" si="34"/>
        <v>2462.7215430728461</v>
      </c>
      <c r="AE91" s="19">
        <f t="shared" si="35"/>
        <v>30.034134477723082</v>
      </c>
      <c r="AF91">
        <f>IF(G91&lt;=Forudsætninger!$C$97,Forudsætninger!$C$98,(IF(G91&lt;=Forudsætninger!$D$97,Forudsætninger!$D$98,IF(G91&lt;=Forudsætninger!$E$97,Forudsætninger!$E$98,IF(G91&lt;=Forudsætninger!$F$97,Forudsætninger!$F$98,IF(G91&lt;=Forudsætninger!$G$97,Forudsætninger!$G$98,IF(G91&lt;=Forudsætninger!$H$97,Forudsætninger!$H$98,IF(G91&lt;=Forudsætninger!$I$97,Forudsætninger!$I$98,Forudsætninger!$I$98))))))))</f>
        <v>2.2000000000000002</v>
      </c>
      <c r="AG91" s="1">
        <f t="shared" si="44"/>
        <v>2.2000000000000002</v>
      </c>
      <c r="AH91" s="1">
        <f t="shared" si="48"/>
        <v>195.79999999999976</v>
      </c>
      <c r="AI91" s="1">
        <f t="shared" si="36"/>
        <v>2.1999999999999971</v>
      </c>
      <c r="AJ91" s="20">
        <f>+(W91*Forudsætninger!$C$12)</f>
        <v>0</v>
      </c>
      <c r="AK91" s="20">
        <f>Forudsætninger!$C$17</f>
        <v>250</v>
      </c>
      <c r="AL91" s="20">
        <f>IF(A91&lt;92,Forudsætninger!$C$20,Forudsætninger!$C$21)</f>
        <v>4.0072859744990899</v>
      </c>
      <c r="AM91" s="20">
        <f t="shared" si="45"/>
        <v>356.64845173041937</v>
      </c>
      <c r="AN91" s="19">
        <f>IFERROR(AD91+AJ91-AA91-Z91-AK91-AM91-Forudsætninger!$E$75,-999999)</f>
        <v>-1149.7261124178749</v>
      </c>
      <c r="AO91" s="19">
        <f>IFERROR(AN91/(A91+Forudsætninger!$E$74),-999999)</f>
        <v>-12.918270926043538</v>
      </c>
      <c r="AP91" s="19">
        <f>IFERROR(((365/(A91+Forudsætninger!$E$74))*AN91)/(AI91+Forudsætninger!$E$73),-999999)</f>
        <v>-2041.1986528164057</v>
      </c>
      <c r="AQ91" s="18">
        <f t="shared" si="37"/>
        <v>89</v>
      </c>
      <c r="AR91" s="18">
        <f t="shared" si="49"/>
        <v>3421.2308941541055</v>
      </c>
      <c r="AS91" s="18">
        <f t="shared" si="29"/>
        <v>4.0999999999999996</v>
      </c>
      <c r="AT91" s="50">
        <f t="shared" si="50"/>
        <v>5.4093219427270469</v>
      </c>
      <c r="AU91" s="50">
        <f t="shared" si="51"/>
        <v>0.20826810078148306</v>
      </c>
      <c r="AV91" s="2">
        <f t="shared" si="52"/>
        <v>32.908163110494115</v>
      </c>
      <c r="AW91" s="16">
        <f t="shared" si="46"/>
        <v>-8.9109849515444441</v>
      </c>
      <c r="AZ91" s="16"/>
      <c r="BA91" s="2"/>
    </row>
    <row r="92" spans="1:53" x14ac:dyDescent="0.25">
      <c r="A92">
        <v>90</v>
      </c>
      <c r="B92" s="1">
        <f>ROUND((A92+Forudsætninger!$E$60)/30.4,1)</f>
        <v>4.0999999999999996</v>
      </c>
      <c r="C92" s="1">
        <f>VLOOKUP((A92+Forudsætninger!$E$60),'Model tilvækst, slagteform, fe'!A:D,4,FALSE)</f>
        <v>174.81007325765893</v>
      </c>
      <c r="D92" s="3">
        <f t="shared" si="53"/>
        <v>1533.7577242646034</v>
      </c>
      <c r="E92" s="3">
        <f>(1+Forudsætninger!$E$78)*C92</f>
        <v>160.82526739704622</v>
      </c>
      <c r="F92" s="2">
        <f t="shared" si="28"/>
        <v>3.2219077084759729</v>
      </c>
      <c r="G92" s="1">
        <f t="shared" si="30"/>
        <v>164.0471751055222</v>
      </c>
      <c r="H92" s="3">
        <f t="shared" si="38"/>
        <v>1334.3692201102044</v>
      </c>
      <c r="I92" s="3">
        <f t="shared" si="31"/>
        <v>1067.1908345058023</v>
      </c>
      <c r="J92" s="1">
        <f>VLOOKUP((A92+Forudsætninger!$E$60),'Model tilvækst, slagteform, fe'!G:K,4,FALSE)*(1+Forudsætninger!$E$79)</f>
        <v>50.413345690715801</v>
      </c>
      <c r="K92" s="17">
        <f t="shared" si="32"/>
        <v>82.701669481800792</v>
      </c>
      <c r="L92" s="17">
        <f t="shared" si="39"/>
        <v>704.24934973419795</v>
      </c>
      <c r="M92" s="3">
        <f>((K92-(('Model tilvækst, slagteform, fe'!$J$9/100)*'Model tilvækst, slagteform, fe'!$D$9))*1000/(A92+Forudsætninger!$E$60))</f>
        <v>495.77191545204403</v>
      </c>
      <c r="N92" s="17">
        <f t="shared" si="40"/>
        <v>290.41353890824462</v>
      </c>
      <c r="O92" s="19">
        <f>IF( A92&lt;Forudsætninger!$C$14,(G92/100)*Forudsætninger!$C$13,(Forudsætninger!$C$15/1000)*Forudsætninger!$C$13)</f>
        <v>1.0663066381858943</v>
      </c>
      <c r="P92" s="17" cm="1">
        <f t="array" ref="P92">INDEX('Model tilvækst, slagteform, fe'!$P$9:$P$375,MATCH(MIN(ABS('Model tilvækst, slagteform, fe'!$M$9:$M$375-G92)),ABS('Model tilvækst, slagteform, fe'!$M$9:$M$375-G92),0))*(1+Forudsætninger!$E$80)</f>
        <v>4.6517011651357132</v>
      </c>
      <c r="Q92" s="17">
        <f t="shared" si="41"/>
        <v>6.6051905719066495</v>
      </c>
      <c r="R92" s="17">
        <f t="shared" si="42"/>
        <v>5.8392191925288373</v>
      </c>
      <c r="S92" s="17">
        <f t="shared" si="43"/>
        <v>3.0236551839154235</v>
      </c>
      <c r="T92" s="19">
        <f>(P92)*IF(N92&lt;Forudsætninger!$B$228,IF(N92&lt;Forudsætninger!$B$227,Forudsætninger!$B$225,Forudsætninger!$C$9),Forudsætninger!$C$11)+O92</f>
        <v>11.951287364603463</v>
      </c>
      <c r="U92" s="5">
        <f>Forudsætninger!$E$68+((K92-(Forudsætninger!$E$84)))*0.01</f>
        <v>5.5435804043896768</v>
      </c>
      <c r="V92" s="2">
        <f>U92+Forudsætninger!$E$69</f>
        <v>5.5435804043896768</v>
      </c>
      <c r="W92">
        <f t="shared" si="33"/>
        <v>0</v>
      </c>
      <c r="X92">
        <f>IF(A92+Forudsætninger!$E$60&gt;248,IF(A92+Forudsætninger!$E$60&lt;365,IF(K92&gt;180,IF(K92&lt;260,1,0),0),0),0)</f>
        <v>0</v>
      </c>
      <c r="Y92" s="22">
        <f>IF(X92=0,0,IF('Vækstfunktion, kry kvie'!A92&lt;Forudsætninger!$E$66,Forudsætninger!$E$67+(('Vækstfunktion, kry kvie'!A92-Forudsætninger!$E$66)/7)*Forudsætninger!$E$64,Forudsætninger!$E$67))</f>
        <v>0</v>
      </c>
      <c r="Z92" s="19">
        <f t="shared" si="47"/>
        <v>1251.5337297882895</v>
      </c>
      <c r="AA92" s="19">
        <f>Forudsætninger!$E$62+Forudsætninger!$C$16</f>
        <v>1575</v>
      </c>
      <c r="AB92" s="19">
        <f>IF(K92&gt;Forudsætninger!$C$48,IF(K92&gt;Forudsætninger!$C$49,IF(K92&gt;Forudsætninger!$C$50,Forudsætninger!$E$50,Forudsætninger!$E$49+Forudsætninger!$F$50*(K92-Forudsætninger!$C$49)),Forudsætninger!$E$48+Forudsætninger!$F$49*(K92-Forudsætninger!$C$48)),Forudsætninger!$E$48)+IF(K92&gt;Forudsætninger!$C$50,Forudsætninger!$G$50,IF(K92&gt;Forudsætninger!$C$49,Forudsætninger!$G$49+Forudsætninger!$H$50*(K92-Forudsætninger!$C$49),IF(K92&gt;Forudsætninger!$C$48,Forudsætninger!$G$48+Forudsætninger!$H$49*(K92-Forudsætninger!$C$48),Forudsætninger!$G$48)))*(U92-Forudsætninger!$H$48)</f>
        <v>35.154358040438971</v>
      </c>
      <c r="AC92" s="19">
        <f>IF(K92&gt;Forudsætninger!$C$52,IF(K92&gt;Forudsætninger!$C$53,IF(K92&gt;Forudsætninger!$C$54,Forudsætninger!$E$54,Forudsætninger!$E$53+Forudsætninger!$F$54*(K92-Forudsætninger!$C$53)),Forudsætninger!$E$52+Forudsætninger!$F$53*(K92-Forudsætninger!$C$52)),Forudsætninger!$E$52)+IF(K92&gt;Forudsætninger!$C$54,Forudsætninger!$G$54,IF(K92&gt;Forudsætninger!$C$53,Forudsætninger!$G$53+Forudsætninger!$H$54*(K92-Forudsætninger!$C$53),IF(K92&gt;Forudsætninger!$C$52,Forudsætninger!$G$52+Forudsætninger!$H$53*(K92-Forudsætninger!$C$52),Forudsætninger!$G$52)))*(V92-Forudsætninger!$H$52)</f>
        <v>30.035895101097417</v>
      </c>
      <c r="AD92" s="19">
        <f t="shared" si="34"/>
        <v>2484.018669240998</v>
      </c>
      <c r="AE92" s="19">
        <f t="shared" si="35"/>
        <v>30.035895101097413</v>
      </c>
      <c r="AF92">
        <f>IF(G92&lt;=Forudsætninger!$C$97,Forudsætninger!$C$98,(IF(G92&lt;=Forudsætninger!$D$97,Forudsætninger!$D$98,IF(G92&lt;=Forudsætninger!$E$97,Forudsætninger!$E$98,IF(G92&lt;=Forudsætninger!$F$97,Forudsætninger!$F$98,IF(G92&lt;=Forudsætninger!$G$97,Forudsætninger!$G$98,IF(G92&lt;=Forudsætninger!$H$97,Forudsætninger!$H$98,IF(G92&lt;=Forudsætninger!$I$97,Forudsætninger!$I$98,Forudsætninger!$I$98))))))))</f>
        <v>2.2000000000000002</v>
      </c>
      <c r="AG92" s="1">
        <f t="shared" si="44"/>
        <v>2.2000000000000002</v>
      </c>
      <c r="AH92" s="1">
        <f t="shared" si="48"/>
        <v>197.99999999999974</v>
      </c>
      <c r="AI92" s="1">
        <f t="shared" si="36"/>
        <v>2.1999999999999971</v>
      </c>
      <c r="AJ92" s="20">
        <f>+(W92*Forudsætninger!$C$12)</f>
        <v>0</v>
      </c>
      <c r="AK92" s="20">
        <f>Forudsætninger!$C$17</f>
        <v>250</v>
      </c>
      <c r="AL92" s="20">
        <f>IF(A92&lt;92,Forudsætninger!$C$20,Forudsætninger!$C$21)</f>
        <v>4.0072859744990899</v>
      </c>
      <c r="AM92" s="20">
        <f t="shared" si="45"/>
        <v>360.65573770491847</v>
      </c>
      <c r="AN92" s="19">
        <f>IFERROR(AD92+AJ92-AA92-Z92-AK92-AM92-Forudsætninger!$E$75,-999999)</f>
        <v>-1144.3875595888258</v>
      </c>
      <c r="AO92" s="19">
        <f>IFERROR(AN92/(A92+Forudsætninger!$E$74),-999999)</f>
        <v>-12.715417328764731</v>
      </c>
      <c r="AP92" s="19">
        <f>IFERROR(((365/(A92+Forudsætninger!$E$74))*AN92)/(AI92+Forudsætninger!$E$73),-999999)</f>
        <v>-2009.1460281381526</v>
      </c>
      <c r="AQ92" s="18">
        <f t="shared" si="37"/>
        <v>90</v>
      </c>
      <c r="AR92" s="18">
        <f t="shared" si="49"/>
        <v>3437.1894674932082</v>
      </c>
      <c r="AS92" s="18">
        <f t="shared" si="29"/>
        <v>4.0999999999999996</v>
      </c>
      <c r="AT92" s="50">
        <f t="shared" si="50"/>
        <v>5.3385528290491493</v>
      </c>
      <c r="AU92" s="50">
        <f t="shared" si="51"/>
        <v>0.20285359727880703</v>
      </c>
      <c r="AV92" s="2">
        <f t="shared" si="52"/>
        <v>32.052624678253096</v>
      </c>
      <c r="AW92" s="16">
        <f t="shared" si="46"/>
        <v>-8.7081313542656371</v>
      </c>
      <c r="AZ92" s="16"/>
      <c r="BA92" s="2"/>
    </row>
    <row r="93" spans="1:53" x14ac:dyDescent="0.25">
      <c r="A93">
        <v>91</v>
      </c>
      <c r="B93" s="1">
        <f>ROUND((A93+Forudsætninger!$E$60)/30.4,1)</f>
        <v>4.2</v>
      </c>
      <c r="C93" s="1">
        <f>VLOOKUP((A93+Forudsætninger!$E$60),'Model tilvækst, slagteform, fe'!A:D,4,FALSE)</f>
        <v>176.34690151477739</v>
      </c>
      <c r="D93" s="3">
        <f t="shared" si="53"/>
        <v>1536.8282571184579</v>
      </c>
      <c r="E93" s="3">
        <f>(1+Forudsætninger!$E$78)*C93</f>
        <v>162.2391493935952</v>
      </c>
      <c r="F93" s="2">
        <f t="shared" si="28"/>
        <v>3.1450662956200501</v>
      </c>
      <c r="G93" s="1">
        <f t="shared" si="30"/>
        <v>165.38421568921524</v>
      </c>
      <c r="H93" s="3">
        <f t="shared" si="38"/>
        <v>1337.0405836930388</v>
      </c>
      <c r="I93" s="3">
        <f t="shared" si="31"/>
        <v>1070.1562163650026</v>
      </c>
      <c r="J93" s="1">
        <f>VLOOKUP((A93+Forudsætninger!$E$60),'Model tilvækst, slagteform, fe'!G:K,4,FALSE)*(1+Forudsætninger!$E$79)</f>
        <v>50.432770903506153</v>
      </c>
      <c r="K93" s="17">
        <f t="shared" si="32"/>
        <v>83.407842609102403</v>
      </c>
      <c r="L93" s="17">
        <f t="shared" si="39"/>
        <v>706.17312730161075</v>
      </c>
      <c r="M93" s="3">
        <f>((K93-(('Model tilvækst, slagteform, fe'!$J$9/100)*'Model tilvækst, slagteform, fe'!$D$9))*1000/(A93+Forudsætninger!$E$60))</f>
        <v>497.42861790755239</v>
      </c>
      <c r="N93" s="17">
        <f t="shared" si="40"/>
        <v>295.09153312623778</v>
      </c>
      <c r="O93" s="19">
        <f>IF( A93&lt;Forudsætninger!$C$14,(G93/100)*Forudsætninger!$C$13,(Forudsætninger!$C$15/1000)*Forudsætninger!$C$13)</f>
        <v>1.0749974019798991</v>
      </c>
      <c r="P93" s="17" cm="1">
        <f t="array" ref="P93">INDEX('Model tilvækst, slagteform, fe'!$P$9:$P$375,MATCH(MIN(ABS('Model tilvækst, slagteform, fe'!$M$9:$M$375-G93)),ABS('Model tilvækst, slagteform, fe'!$M$9:$M$375-G93),0))*(1+Forudsætninger!$E$80)</f>
        <v>4.677994217993187</v>
      </c>
      <c r="Q93" s="17">
        <f t="shared" si="41"/>
        <v>6.6244296718971407</v>
      </c>
      <c r="R93" s="17">
        <f t="shared" si="42"/>
        <v>5.850212088955459</v>
      </c>
      <c r="S93" s="17">
        <f t="shared" si="43"/>
        <v>3.0301782587433985</v>
      </c>
      <c r="T93" s="19">
        <f>(P93)*IF(N93&lt;Forudsætninger!$B$228,IF(N93&lt;Forudsætninger!$B$227,Forudsætninger!$B$225,Forudsætninger!$C$9),Forudsætninger!$C$11)+O93</f>
        <v>12.021503872083956</v>
      </c>
      <c r="U93" s="5">
        <f>Forudsætninger!$E$68+((K93-(Forudsætninger!$E$84)))*0.01</f>
        <v>5.5506421356626934</v>
      </c>
      <c r="V93" s="2">
        <f>U93+Forudsætninger!$E$69</f>
        <v>5.5506421356626934</v>
      </c>
      <c r="W93">
        <f t="shared" si="33"/>
        <v>0</v>
      </c>
      <c r="X93">
        <f>IF(A93+Forudsætninger!$E$60&gt;248,IF(A93+Forudsætninger!$E$60&lt;365,IF(K93&gt;180,IF(K93&lt;260,1,0),0),0),0)</f>
        <v>0</v>
      </c>
      <c r="Y93" s="22">
        <f>IF(X93=0,0,IF('Vækstfunktion, kry kvie'!A93&lt;Forudsætninger!$E$66,Forudsætninger!$E$67+(('Vækstfunktion, kry kvie'!A93-Forudsætninger!$E$66)/7)*Forudsætninger!$E$64,Forudsætninger!$E$67))</f>
        <v>0</v>
      </c>
      <c r="Z93" s="19">
        <f t="shared" si="47"/>
        <v>1263.5552336603735</v>
      </c>
      <c r="AA93" s="19">
        <f>Forudsætninger!$E$62+Forudsætninger!$C$16</f>
        <v>1575</v>
      </c>
      <c r="AB93" s="19">
        <f>IF(K93&gt;Forudsætninger!$C$48,IF(K93&gt;Forudsætninger!$C$49,IF(K93&gt;Forudsætninger!$C$50,Forudsætninger!$E$50,Forudsætninger!$E$49+Forudsætninger!$F$50*(K93-Forudsætninger!$C$49)),Forudsætninger!$E$48+Forudsætninger!$F$49*(K93-Forudsætninger!$C$48)),Forudsætninger!$E$48)+IF(K93&gt;Forudsætninger!$C$50,Forudsætninger!$G$50,IF(K93&gt;Forudsætninger!$C$49,Forudsætninger!$G$49+Forudsætninger!$H$50*(K93-Forudsætninger!$C$49),IF(K93&gt;Forudsætninger!$C$48,Forudsætninger!$G$48+Forudsætninger!$H$49*(K93-Forudsætninger!$C$48),Forudsætninger!$G$48)))*(U93-Forudsætninger!$H$48)</f>
        <v>35.15506421356627</v>
      </c>
      <c r="AC93" s="19">
        <f>IF(K93&gt;Forudsætninger!$C$52,IF(K93&gt;Forudsætninger!$C$53,IF(K93&gt;Forudsætninger!$C$54,Forudsætninger!$E$54,Forudsætninger!$E$53+Forudsætninger!$F$54*(K93-Forudsætninger!$C$53)),Forudsætninger!$E$52+Forudsætninger!$F$53*(K93-Forudsætninger!$C$52)),Forudsætninger!$E$52)+IF(K93&gt;Forudsætninger!$C$54,Forudsætninger!$G$54,IF(K93&gt;Forudsætninger!$C$53,Forudsætninger!$G$53+Forudsætninger!$H$54*(K93-Forudsætninger!$C$53),IF(K93&gt;Forudsætninger!$C$52,Forudsætninger!$G$52+Forudsætninger!$H$53*(K93-Forudsætninger!$C$52),Forudsætninger!$G$52)))*(V93-Forudsætninger!$H$52)</f>
        <v>30.037660533915673</v>
      </c>
      <c r="AD93" s="19">
        <f t="shared" si="34"/>
        <v>2505.3764621584855</v>
      </c>
      <c r="AE93" s="19">
        <f t="shared" si="35"/>
        <v>30.037660533915677</v>
      </c>
      <c r="AF93">
        <f>IF(G93&lt;=Forudsætninger!$C$97,Forudsætninger!$C$98,(IF(G93&lt;=Forudsætninger!$D$97,Forudsætninger!$D$98,IF(G93&lt;=Forudsætninger!$E$97,Forudsætninger!$E$98,IF(G93&lt;=Forudsætninger!$F$97,Forudsætninger!$F$98,IF(G93&lt;=Forudsætninger!$G$97,Forudsætninger!$G$98,IF(G93&lt;=Forudsætninger!$H$97,Forudsætninger!$H$98,IF(G93&lt;=Forudsætninger!$I$97,Forudsætninger!$I$98,Forudsætninger!$I$98))))))))</f>
        <v>2.2000000000000002</v>
      </c>
      <c r="AG93" s="1">
        <f t="shared" si="44"/>
        <v>2.2000000000000002</v>
      </c>
      <c r="AH93" s="1">
        <f t="shared" si="48"/>
        <v>200.19999999999973</v>
      </c>
      <c r="AI93" s="1">
        <f t="shared" si="36"/>
        <v>2.1999999999999971</v>
      </c>
      <c r="AJ93" s="20">
        <f>+(W93*Forudsætninger!$C$12)</f>
        <v>0</v>
      </c>
      <c r="AK93" s="20">
        <f>Forudsætninger!$C$17</f>
        <v>250</v>
      </c>
      <c r="AL93" s="20">
        <f>IF(A93&lt;92,Forudsætninger!$C$20,Forudsætninger!$C$21)</f>
        <v>4.0072859744990899</v>
      </c>
      <c r="AM93" s="20">
        <f t="shared" si="45"/>
        <v>364.66302367941756</v>
      </c>
      <c r="AN93" s="19">
        <f>IFERROR(AD93+AJ93-AA93-Z93-AK93-AM93-Forudsætninger!$E$75,-999999)</f>
        <v>-1139.0585565179213</v>
      </c>
      <c r="AO93" s="19">
        <f>IFERROR(AN93/(A93+Forudsætninger!$E$74),-999999)</f>
        <v>-12.517126994702432</v>
      </c>
      <c r="AP93" s="19">
        <f>IFERROR(((365/(A93+Forudsætninger!$E$74))*AN93)/(AI93+Forudsætninger!$E$73),-999999)</f>
        <v>-1977.8144385568803</v>
      </c>
      <c r="AQ93" s="18">
        <f t="shared" si="37"/>
        <v>91</v>
      </c>
      <c r="AR93" s="18">
        <f t="shared" si="49"/>
        <v>3453.2182573397909</v>
      </c>
      <c r="AS93" s="18">
        <f t="shared" si="29"/>
        <v>4.2</v>
      </c>
      <c r="AT93" s="50">
        <f t="shared" si="50"/>
        <v>5.3290030709044913</v>
      </c>
      <c r="AU93" s="50">
        <f t="shared" si="51"/>
        <v>0.19829033406229968</v>
      </c>
      <c r="AV93" s="2">
        <f t="shared" si="52"/>
        <v>31.331589581272283</v>
      </c>
      <c r="AW93" s="16">
        <f t="shared" si="46"/>
        <v>-8.5098410202033374</v>
      </c>
      <c r="AZ93" s="16"/>
      <c r="BA93" s="2"/>
    </row>
    <row r="94" spans="1:53" x14ac:dyDescent="0.25">
      <c r="A94">
        <v>92</v>
      </c>
      <c r="B94" s="1">
        <f>ROUND((A94+Forudsætninger!$E$60)/30.4,1)</f>
        <v>4.2</v>
      </c>
      <c r="C94" s="1">
        <f>VLOOKUP((A94+Forudsætninger!$E$60),'Model tilvækst, slagteform, fe'!A:D,4,FALSE)</f>
        <v>177.8867042873587</v>
      </c>
      <c r="D94" s="3">
        <f t="shared" si="53"/>
        <v>1539.8027725813108</v>
      </c>
      <c r="E94" s="3">
        <f>(1+Forudsætninger!$E$78)*C94</f>
        <v>163.65576794437001</v>
      </c>
      <c r="F94" s="2">
        <f t="shared" si="28"/>
        <v>3.0680761569909847</v>
      </c>
      <c r="G94" s="1">
        <f t="shared" si="30"/>
        <v>166.72384410136101</v>
      </c>
      <c r="H94" s="3">
        <f t="shared" si="38"/>
        <v>1339.6284121457711</v>
      </c>
      <c r="I94" s="3">
        <f t="shared" si="31"/>
        <v>1073.0852619713153</v>
      </c>
      <c r="J94" s="1">
        <f>VLOOKUP((A94+Forudsætninger!$E$60),'Model tilvækst, slagteform, fe'!G:K,4,FALSE)*(1+Forudsætninger!$E$79)</f>
        <v>50.452232047327669</v>
      </c>
      <c r="K94" s="17">
        <f t="shared" si="32"/>
        <v>84.115900704243487</v>
      </c>
      <c r="L94" s="17">
        <f t="shared" si="39"/>
        <v>708.05809514108375</v>
      </c>
      <c r="M94" s="3">
        <f>((K94-(('Model tilvækst, slagteform, fe'!$J$9/100)*'Model tilvækst, slagteform, fe'!$D$9))*1000/(A94+Forudsætninger!$E$60))</f>
        <v>499.07416069843936</v>
      </c>
      <c r="N94" s="17">
        <f t="shared" si="40"/>
        <v>299.79569812090165</v>
      </c>
      <c r="O94" s="19">
        <f>IF( A94&lt;Forudsætninger!$C$14,(G94/100)*Forudsætninger!$C$13,(Forudsætninger!$C$15/1000)*Forudsætninger!$C$13)</f>
        <v>1.0837049866588466</v>
      </c>
      <c r="P94" s="17" cm="1">
        <f t="array" ref="P94">INDEX('Model tilvækst, slagteform, fe'!$P$9:$P$375,MATCH(MIN(ABS('Model tilvækst, slagteform, fe'!$M$9:$M$375-G94)),ABS('Model tilvækst, slagteform, fe'!$M$9:$M$375-G94),0))*(1+Forudsætninger!$E$80)</f>
        <v>4.7041649946638904</v>
      </c>
      <c r="Q94" s="17">
        <f t="shared" si="41"/>
        <v>6.643755684661107</v>
      </c>
      <c r="R94" s="17">
        <f t="shared" si="42"/>
        <v>5.8611971029105296</v>
      </c>
      <c r="S94" s="17">
        <f t="shared" si="43"/>
        <v>3.0367101367436384</v>
      </c>
      <c r="T94" s="19">
        <f>(P94)*IF(N94&lt;Forudsætninger!$B$228,IF(N94&lt;Forudsætninger!$B$227,Forudsætninger!$B$225,Forudsætninger!$C$9),Forudsætninger!$C$11)+O94</f>
        <v>12.091451074172349</v>
      </c>
      <c r="U94" s="5">
        <f>Forudsætninger!$E$68+((K94-(Forudsætninger!$E$84)))*0.01</f>
        <v>5.5577227166141041</v>
      </c>
      <c r="V94" s="2">
        <f>U94+Forudsætninger!$E$69</f>
        <v>5.5577227166141041</v>
      </c>
      <c r="W94">
        <f t="shared" si="33"/>
        <v>0</v>
      </c>
      <c r="X94">
        <f>IF(A94+Forudsætninger!$E$60&gt;248,IF(A94+Forudsætninger!$E$60&lt;365,IF(K94&gt;180,IF(K94&lt;260,1,0),0),0),0)</f>
        <v>0</v>
      </c>
      <c r="Y94" s="22">
        <f>IF(X94=0,0,IF('Vækstfunktion, kry kvie'!A94&lt;Forudsætninger!$E$66,Forudsætninger!$E$67+(('Vækstfunktion, kry kvie'!A94-Forudsætninger!$E$66)/7)*Forudsætninger!$E$64,Forudsætninger!$E$67))</f>
        <v>0</v>
      </c>
      <c r="Z94" s="19">
        <f t="shared" si="47"/>
        <v>1275.6466847345457</v>
      </c>
      <c r="AA94" s="19">
        <f>Forudsætninger!$E$62+Forudsætninger!$C$16</f>
        <v>1575</v>
      </c>
      <c r="AB94" s="19">
        <f>IF(K94&gt;Forudsætninger!$C$48,IF(K94&gt;Forudsætninger!$C$49,IF(K94&gt;Forudsætninger!$C$50,Forudsætninger!$E$50,Forudsætninger!$E$49+Forudsætninger!$F$50*(K94-Forudsætninger!$C$49)),Forudsætninger!$E$48+Forudsætninger!$F$49*(K94-Forudsætninger!$C$48)),Forudsætninger!$E$48)+IF(K94&gt;Forudsætninger!$C$50,Forudsætninger!$G$50,IF(K94&gt;Forudsætninger!$C$49,Forudsætninger!$G$49+Forudsætninger!$H$50*(K94-Forudsætninger!$C$49),IF(K94&gt;Forudsætninger!$C$48,Forudsætninger!$G$48+Forudsætninger!$H$49*(K94-Forudsætninger!$C$48),Forudsætninger!$G$48)))*(U94-Forudsætninger!$H$48)</f>
        <v>35.155772271661412</v>
      </c>
      <c r="AC94" s="19">
        <f>IF(K94&gt;Forudsætninger!$C$52,IF(K94&gt;Forudsætninger!$C$53,IF(K94&gt;Forudsætninger!$C$54,Forudsætninger!$E$54,Forudsætninger!$E$53+Forudsætninger!$F$54*(K94-Forudsætninger!$C$53)),Forudsætninger!$E$52+Forudsætninger!$F$53*(K94-Forudsætninger!$C$52)),Forudsætninger!$E$52)+IF(K94&gt;Forudsætninger!$C$54,Forudsætninger!$G$54,IF(K94&gt;Forudsætninger!$C$53,Forudsætninger!$G$53+Forudsætninger!$H$54*(K94-Forudsætninger!$C$53),IF(K94&gt;Forudsætninger!$C$52,Forudsætninger!$G$52+Forudsætninger!$H$53*(K94-Forudsætninger!$C$52),Forudsætninger!$G$52)))*(V94-Forudsætninger!$H$52)</f>
        <v>30.039430679153526</v>
      </c>
      <c r="AD94" s="19">
        <f t="shared" si="34"/>
        <v>2526.7937682196834</v>
      </c>
      <c r="AE94" s="19">
        <f t="shared" si="35"/>
        <v>30.039430679153526</v>
      </c>
      <c r="AF94">
        <f>IF(G94&lt;=Forudsætninger!$C$97,Forudsætninger!$C$98,(IF(G94&lt;=Forudsætninger!$D$97,Forudsætninger!$D$98,IF(G94&lt;=Forudsætninger!$E$97,Forudsætninger!$E$98,IF(G94&lt;=Forudsætninger!$F$97,Forudsætninger!$F$98,IF(G94&lt;=Forudsætninger!$G$97,Forudsætninger!$G$98,IF(G94&lt;=Forudsætninger!$H$97,Forudsætninger!$H$98,IF(G94&lt;=Forudsætninger!$I$97,Forudsætninger!$I$98,Forudsætninger!$I$98))))))))</f>
        <v>2.2000000000000002</v>
      </c>
      <c r="AG94" s="1">
        <f t="shared" si="44"/>
        <v>2.2000000000000002</v>
      </c>
      <c r="AH94" s="1">
        <f t="shared" si="48"/>
        <v>202.39999999999972</v>
      </c>
      <c r="AI94" s="1">
        <f t="shared" si="36"/>
        <v>2.1999999999999971</v>
      </c>
      <c r="AJ94" s="20">
        <f>+(W94*Forudsætninger!$C$12)</f>
        <v>0</v>
      </c>
      <c r="AK94" s="20">
        <f>Forudsætninger!$C$17</f>
        <v>250</v>
      </c>
      <c r="AL94" s="20">
        <f>IF(A94&lt;92,Forudsætninger!$C$20,Forudsætninger!$C$21)</f>
        <v>1.0566762728146013</v>
      </c>
      <c r="AM94" s="20">
        <f t="shared" si="45"/>
        <v>365.71969995223219</v>
      </c>
      <c r="AN94" s="19">
        <f>IFERROR(AD94+AJ94-AA94-Z94-AK94-AM94-Forudsætninger!$E$75,-999999)</f>
        <v>-1130.7893778037103</v>
      </c>
      <c r="AO94" s="19">
        <f>IFERROR(AN94/(A94+Forudsætninger!$E$74),-999999)</f>
        <v>-12.291188889170764</v>
      </c>
      <c r="AP94" s="19">
        <f>IFERROR(((365/(A94+Forudsætninger!$E$74))*AN94)/(AI94+Forudsætninger!$E$73),-999999)</f>
        <v>-1942.114261708803</v>
      </c>
      <c r="AQ94" s="18">
        <f t="shared" si="37"/>
        <v>92</v>
      </c>
      <c r="AR94" s="18">
        <f t="shared" si="49"/>
        <v>3466.3663846867776</v>
      </c>
      <c r="AS94" s="18">
        <f t="shared" si="29"/>
        <v>4.2</v>
      </c>
      <c r="AT94" s="50">
        <f t="shared" si="50"/>
        <v>8.2691787142109661</v>
      </c>
      <c r="AU94" s="50">
        <f t="shared" si="51"/>
        <v>0.22593810553166804</v>
      </c>
      <c r="AV94" s="2">
        <f t="shared" si="52"/>
        <v>35.700176848077263</v>
      </c>
      <c r="AW94" s="16">
        <f t="shared" si="46"/>
        <v>-8.3159747592551962</v>
      </c>
      <c r="AZ94" s="16"/>
      <c r="BA94" s="2"/>
    </row>
    <row r="95" spans="1:53" x14ac:dyDescent="0.25">
      <c r="A95">
        <v>93</v>
      </c>
      <c r="B95" s="1">
        <f>ROUND((A95+Forudsætninger!$E$60)/30.4,1)</f>
        <v>4.2</v>
      </c>
      <c r="C95" s="1">
        <f>VLOOKUP((A95+Forudsætninger!$E$60),'Model tilvækst, slagteform, fe'!A:D,4,FALSE)</f>
        <v>179.42938614303233</v>
      </c>
      <c r="D95" s="3">
        <f t="shared" si="53"/>
        <v>1542.681855673635</v>
      </c>
      <c r="E95" s="3">
        <f>(1+Forudsætninger!$E$78)*C95</f>
        <v>165.07503525158975</v>
      </c>
      <c r="F95" s="2">
        <f t="shared" si="28"/>
        <v>2.990942064207303</v>
      </c>
      <c r="G95" s="1">
        <f t="shared" si="30"/>
        <v>168.06597731579706</v>
      </c>
      <c r="H95" s="3">
        <f t="shared" si="38"/>
        <v>1342.1332144360463</v>
      </c>
      <c r="I95" s="3">
        <f t="shared" si="31"/>
        <v>1075.9782507074954</v>
      </c>
      <c r="J95" s="1">
        <f>VLOOKUP((A95+Forudsætninger!$E$60),'Model tilvækst, slagteform, fe'!G:K,4,FALSE)*(1+Forudsætninger!$E$79)</f>
        <v>50.471729329673707</v>
      </c>
      <c r="K95" s="17">
        <f t="shared" si="32"/>
        <v>84.825805166099912</v>
      </c>
      <c r="L95" s="17">
        <f t="shared" si="39"/>
        <v>709.90446185642497</v>
      </c>
      <c r="M95" s="3">
        <f>((K95-(('Model tilvækst, slagteform, fe'!$J$9/100)*'Model tilvækst, slagteform, fe'!$D$9))*1000/(A95+Forudsætninger!$E$60))</f>
        <v>500.70850411826871</v>
      </c>
      <c r="N95" s="17">
        <f t="shared" si="40"/>
        <v>304.52591289920741</v>
      </c>
      <c r="O95" s="19">
        <f>IF( A95&lt;Forudsætninger!$C$14,(G95/100)*Forudsætninger!$C$13,(Forudsætninger!$C$15/1000)*Forudsætninger!$C$13)</f>
        <v>1.0924288525526811</v>
      </c>
      <c r="P95" s="17" cm="1">
        <f t="array" ref="P95">INDEX('Model tilvækst, slagteform, fe'!$P$9:$P$375,MATCH(MIN(ABS('Model tilvækst, slagteform, fe'!$M$9:$M$375-G95)),ABS('Model tilvækst, slagteform, fe'!$M$9:$M$375-G95),0))*(1+Forudsætninger!$E$80)</f>
        <v>4.7302147783057729</v>
      </c>
      <c r="Q95" s="17">
        <f t="shared" si="41"/>
        <v>6.6631709370245344</v>
      </c>
      <c r="R95" s="17">
        <f t="shared" si="42"/>
        <v>5.8721753972374282</v>
      </c>
      <c r="S95" s="17">
        <f t="shared" si="43"/>
        <v>3.0432512734888664</v>
      </c>
      <c r="T95" s="19">
        <f>(P95)*IF(N95&lt;Forudsætninger!$B$228,IF(N95&lt;Forudsætninger!$B$227,Forudsætninger!$B$225,Forudsætninger!$C$9),Forudsætninger!$C$11)+O95</f>
        <v>12.161131433788189</v>
      </c>
      <c r="U95" s="5">
        <f>Forudsætninger!$E$68+((K95-(Forudsætninger!$E$84)))*0.01</f>
        <v>5.5648217612326683</v>
      </c>
      <c r="V95" s="2">
        <f>U95+Forudsætninger!$E$69</f>
        <v>5.5648217612326683</v>
      </c>
      <c r="W95">
        <f t="shared" si="33"/>
        <v>0</v>
      </c>
      <c r="X95">
        <f>IF(A95+Forudsætninger!$E$60&gt;248,IF(A95+Forudsætninger!$E$60&lt;365,IF(K95&gt;180,IF(K95&lt;260,1,0),0),0),0)</f>
        <v>0</v>
      </c>
      <c r="Y95" s="22">
        <f>IF(X95=0,0,IF('Vækstfunktion, kry kvie'!A95&lt;Forudsætninger!$E$66,Forudsætninger!$E$67+(('Vækstfunktion, kry kvie'!A95-Forudsætninger!$E$66)/7)*Forudsætninger!$E$64,Forudsætninger!$E$67))</f>
        <v>0</v>
      </c>
      <c r="Z95" s="19">
        <f t="shared" si="47"/>
        <v>1287.8078161683338</v>
      </c>
      <c r="AA95" s="19">
        <f>Forudsætninger!$E$62+Forudsætninger!$C$16</f>
        <v>1575</v>
      </c>
      <c r="AB95" s="19">
        <f>IF(K95&gt;Forudsætninger!$C$48,IF(K95&gt;Forudsætninger!$C$49,IF(K95&gt;Forudsætninger!$C$50,Forudsætninger!$E$50,Forudsætninger!$E$49+Forudsætninger!$F$50*(K95-Forudsætninger!$C$49)),Forudsætninger!$E$48+Forudsætninger!$F$49*(K95-Forudsætninger!$C$48)),Forudsætninger!$E$48)+IF(K95&gt;Forudsætninger!$C$50,Forudsætninger!$G$50,IF(K95&gt;Forudsætninger!$C$49,Forudsætninger!$G$49+Forudsætninger!$H$50*(K95-Forudsætninger!$C$49),IF(K95&gt;Forudsætninger!$C$48,Forudsætninger!$G$48+Forudsætninger!$H$49*(K95-Forudsætninger!$C$48),Forudsætninger!$G$48)))*(U95-Forudsætninger!$H$48)</f>
        <v>35.156482176123269</v>
      </c>
      <c r="AC95" s="19">
        <f>IF(K95&gt;Forudsætninger!$C$52,IF(K95&gt;Forudsætninger!$C$53,IF(K95&gt;Forudsætninger!$C$54,Forudsætninger!$E$54,Forudsætninger!$E$53+Forudsætninger!$F$54*(K95-Forudsætninger!$C$53)),Forudsætninger!$E$52+Forudsætninger!$F$53*(K95-Forudsætninger!$C$52)),Forudsætninger!$E$52)+IF(K95&gt;Forudsætninger!$C$54,Forudsætninger!$G$54,IF(K95&gt;Forudsætninger!$C$53,Forudsætninger!$G$53+Forudsætninger!$H$54*(K95-Forudsætninger!$C$53),IF(K95&gt;Forudsætninger!$C$52,Forudsætninger!$G$52+Forudsætninger!$H$53*(K95-Forudsætninger!$C$52),Forudsætninger!$G$52)))*(V95-Forudsætninger!$H$52)</f>
        <v>30.041205440308165</v>
      </c>
      <c r="AD95" s="19">
        <f t="shared" si="34"/>
        <v>2548.2694396343609</v>
      </c>
      <c r="AE95" s="19">
        <f t="shared" si="35"/>
        <v>30.041205440308161</v>
      </c>
      <c r="AF95">
        <f>IF(G95&lt;=Forudsætninger!$C$97,Forudsætninger!$C$98,(IF(G95&lt;=Forudsætninger!$D$97,Forudsætninger!$D$98,IF(G95&lt;=Forudsætninger!$E$97,Forudsætninger!$E$98,IF(G95&lt;=Forudsætninger!$F$97,Forudsætninger!$F$98,IF(G95&lt;=Forudsætninger!$G$97,Forudsætninger!$G$98,IF(G95&lt;=Forudsætninger!$H$97,Forudsætninger!$H$98,IF(G95&lt;=Forudsætninger!$I$97,Forudsætninger!$I$98,Forudsætninger!$I$98))))))))</f>
        <v>2.2000000000000002</v>
      </c>
      <c r="AG95" s="1">
        <f t="shared" si="44"/>
        <v>2.2000000000000002</v>
      </c>
      <c r="AH95" s="1">
        <f t="shared" si="48"/>
        <v>204.59999999999971</v>
      </c>
      <c r="AI95" s="1">
        <f t="shared" si="36"/>
        <v>2.1999999999999971</v>
      </c>
      <c r="AJ95" s="20">
        <f>+(W95*Forudsætninger!$C$12)</f>
        <v>0</v>
      </c>
      <c r="AK95" s="20">
        <f>Forudsætninger!$C$17</f>
        <v>250</v>
      </c>
      <c r="AL95" s="20">
        <f>IF(A95&lt;92,Forudsætninger!$C$20,Forudsætninger!$C$21)</f>
        <v>1.0566762728146013</v>
      </c>
      <c r="AM95" s="20">
        <f t="shared" si="45"/>
        <v>366.77637622504682</v>
      </c>
      <c r="AN95" s="19">
        <f>IFERROR(AD95+AJ95-AA95-Z95-AK95-AM95-Forudsætninger!$E$75,-999999)</f>
        <v>-1122.5315140956354</v>
      </c>
      <c r="AO95" s="19">
        <f>IFERROR(AN95/(A95+Forudsætninger!$E$74),-999999)</f>
        <v>-12.070231334361671</v>
      </c>
      <c r="AP95" s="19">
        <f>IFERROR(((365/(A95+Forudsætninger!$E$74))*AN95)/(AI95+Forudsætninger!$E$73),-999999)</f>
        <v>-1907.2010549965437</v>
      </c>
      <c r="AQ95" s="18">
        <f t="shared" si="37"/>
        <v>93</v>
      </c>
      <c r="AR95" s="18">
        <f t="shared" si="49"/>
        <v>3479.5841923933808</v>
      </c>
      <c r="AS95" s="18">
        <f t="shared" si="29"/>
        <v>4.2</v>
      </c>
      <c r="AT95" s="50">
        <f t="shared" si="50"/>
        <v>8.2578637080748649</v>
      </c>
      <c r="AU95" s="50">
        <f t="shared" si="51"/>
        <v>0.22095755480909318</v>
      </c>
      <c r="AV95" s="2">
        <f t="shared" si="52"/>
        <v>34.913206712259353</v>
      </c>
      <c r="AW95" s="16">
        <f t="shared" si="46"/>
        <v>-8.1263993319418137</v>
      </c>
      <c r="AZ95" s="16"/>
      <c r="BA95" s="2"/>
    </row>
    <row r="96" spans="1:53" x14ac:dyDescent="0.25">
      <c r="A96">
        <v>94</v>
      </c>
      <c r="B96" s="1">
        <f>ROUND((A96+Forudsætninger!$E$60)/30.4,1)</f>
        <v>4.3</v>
      </c>
      <c r="C96" s="1">
        <f>VLOOKUP((A96+Forudsætninger!$E$60),'Model tilvækst, slagteform, fe'!A:D,4,FALSE)</f>
        <v>180.97485223444852</v>
      </c>
      <c r="D96" s="3">
        <f t="shared" si="53"/>
        <v>1545.4660914161877</v>
      </c>
      <c r="E96" s="3">
        <f>(1+Forudsætninger!$E$78)*C96</f>
        <v>166.49686405569264</v>
      </c>
      <c r="F96" s="2">
        <f t="shared" si="28"/>
        <v>2.9136687596364936</v>
      </c>
      <c r="G96" s="1">
        <f t="shared" si="30"/>
        <v>169.41053281532913</v>
      </c>
      <c r="H96" s="3">
        <f t="shared" si="38"/>
        <v>1344.5554995320776</v>
      </c>
      <c r="I96" s="3">
        <f t="shared" si="31"/>
        <v>1078.8354554822249</v>
      </c>
      <c r="J96" s="1">
        <f>VLOOKUP((A96+Forudsætninger!$E$60),'Model tilvækst, slagteform, fe'!G:K,4,FALSE)*(1+Forudsætninger!$E$79)</f>
        <v>50.491262958037552</v>
      </c>
      <c r="K96" s="17">
        <f t="shared" si="32"/>
        <v>85.537517602400328</v>
      </c>
      <c r="L96" s="17">
        <f t="shared" si="39"/>
        <v>711.71243630041658</v>
      </c>
      <c r="M96" s="3">
        <f>((K96-(('Model tilvækst, slagteform, fe'!$J$9/100)*'Model tilvækst, slagteform, fe'!$D$9))*1000/(A96+Forudsætninger!$E$60))</f>
        <v>502.3316112889006</v>
      </c>
      <c r="N96" s="17">
        <f t="shared" si="40"/>
        <v>309.28205775128419</v>
      </c>
      <c r="O96" s="19">
        <f>IF( A96&lt;Forudsætninger!$C$14,(G96/100)*Forudsætninger!$C$13,(Forudsætninger!$C$15/1000)*Forudsætninger!$C$13)</f>
        <v>1.1011684632996395</v>
      </c>
      <c r="P96" s="17" cm="1">
        <f t="array" ref="P96">INDEX('Model tilvækst, slagteform, fe'!$P$9:$P$375,MATCH(MIN(ABS('Model tilvækst, slagteform, fe'!$M$9:$M$375-G96)),ABS('Model tilvækst, slagteform, fe'!$M$9:$M$375-G96),0))*(1+Forudsætninger!$E$80)</f>
        <v>4.7561448520767877</v>
      </c>
      <c r="Q96" s="17">
        <f t="shared" si="41"/>
        <v>6.6826777354066085</v>
      </c>
      <c r="R96" s="17">
        <f t="shared" si="42"/>
        <v>5.8831481067574831</v>
      </c>
      <c r="S96" s="17">
        <f t="shared" si="43"/>
        <v>3.0498021178381323</v>
      </c>
      <c r="T96" s="19">
        <f>(P96)*IF(N96&lt;Forudsætninger!$B$228,IF(N96&lt;Forudsætninger!$B$227,Forudsætninger!$B$225,Forudsætninger!$C$9),Forudsætninger!$C$11)+O96</f>
        <v>12.230547417159322</v>
      </c>
      <c r="U96" s="5">
        <f>Forudsætninger!$E$68+((K96-(Forudsætninger!$E$84)))*0.01</f>
        <v>5.5719388855956726</v>
      </c>
      <c r="V96" s="2">
        <f>U96+Forudsætninger!$E$69</f>
        <v>5.5719388855956726</v>
      </c>
      <c r="W96">
        <f t="shared" si="33"/>
        <v>0</v>
      </c>
      <c r="X96">
        <f>IF(A96+Forudsætninger!$E$60&gt;248,IF(A96+Forudsætninger!$E$60&lt;365,IF(K96&gt;180,IF(K96&lt;260,1,0),0),0),0)</f>
        <v>0</v>
      </c>
      <c r="Y96" s="22">
        <f>IF(X96=0,0,IF('Vækstfunktion, kry kvie'!A96&lt;Forudsætninger!$E$66,Forudsætninger!$E$67+(('Vækstfunktion, kry kvie'!A96-Forudsætninger!$E$66)/7)*Forudsætninger!$E$64,Forudsætninger!$E$67))</f>
        <v>0</v>
      </c>
      <c r="Z96" s="19">
        <f t="shared" si="47"/>
        <v>1300.0383635854932</v>
      </c>
      <c r="AA96" s="19">
        <f>Forudsætninger!$E$62+Forudsætninger!$C$16</f>
        <v>1575</v>
      </c>
      <c r="AB96" s="19">
        <f>IF(K96&gt;Forudsætninger!$C$48,IF(K96&gt;Forudsætninger!$C$49,IF(K96&gt;Forudsætninger!$C$50,Forudsætninger!$E$50,Forudsætninger!$E$49+Forudsætninger!$F$50*(K96-Forudsætninger!$C$49)),Forudsætninger!$E$48+Forudsætninger!$F$49*(K96-Forudsætninger!$C$48)),Forudsætninger!$E$48)+IF(K96&gt;Forudsætninger!$C$50,Forudsætninger!$G$50,IF(K96&gt;Forudsætninger!$C$49,Forudsætninger!$G$49+Forudsætninger!$H$50*(K96-Forudsætninger!$C$49),IF(K96&gt;Forudsætninger!$C$48,Forudsætninger!$G$48+Forudsætninger!$H$49*(K96-Forudsætninger!$C$48),Forudsætninger!$G$48)))*(U96-Forudsætninger!$H$48)</f>
        <v>35.157193888559569</v>
      </c>
      <c r="AC96" s="19">
        <f>IF(K96&gt;Forudsætninger!$C$52,IF(K96&gt;Forudsætninger!$C$53,IF(K96&gt;Forudsætninger!$C$54,Forudsætninger!$E$54,Forudsætninger!$E$53+Forudsætninger!$F$54*(K96-Forudsætninger!$C$53)),Forudsætninger!$E$52+Forudsætninger!$F$53*(K96-Forudsætninger!$C$52)),Forudsætninger!$E$52)+IF(K96&gt;Forudsætninger!$C$54,Forudsætninger!$G$54,IF(K96&gt;Forudsætninger!$C$53,Forudsætninger!$G$53+Forudsætninger!$H$54*(K96-Forudsætninger!$C$53),IF(K96&gt;Forudsætninger!$C$52,Forudsætninger!$G$52+Forudsætninger!$H$53*(K96-Forudsætninger!$C$52),Forudsætninger!$G$52)))*(V96-Forudsætninger!$H$52)</f>
        <v>30.042984721398916</v>
      </c>
      <c r="AD96" s="19">
        <f t="shared" si="34"/>
        <v>2569.8023344353037</v>
      </c>
      <c r="AE96" s="19">
        <f t="shared" si="35"/>
        <v>30.042984721398913</v>
      </c>
      <c r="AF96">
        <f>IF(G96&lt;=Forudsætninger!$C$97,Forudsætninger!$C$98,(IF(G96&lt;=Forudsætninger!$D$97,Forudsætninger!$D$98,IF(G96&lt;=Forudsætninger!$E$97,Forudsætninger!$E$98,IF(G96&lt;=Forudsætninger!$F$97,Forudsætninger!$F$98,IF(G96&lt;=Forudsætninger!$G$97,Forudsætninger!$G$98,IF(G96&lt;=Forudsætninger!$H$97,Forudsætninger!$H$98,IF(G96&lt;=Forudsætninger!$I$97,Forudsætninger!$I$98,Forudsætninger!$I$98))))))))</f>
        <v>2.2000000000000002</v>
      </c>
      <c r="AG96" s="1">
        <f t="shared" si="44"/>
        <v>2.2000000000000002</v>
      </c>
      <c r="AH96" s="1">
        <f t="shared" si="48"/>
        <v>206.7999999999997</v>
      </c>
      <c r="AI96" s="1">
        <f t="shared" si="36"/>
        <v>2.1999999999999966</v>
      </c>
      <c r="AJ96" s="20">
        <f>+(W96*Forudsætninger!$C$12)</f>
        <v>0</v>
      </c>
      <c r="AK96" s="20">
        <f>Forudsætninger!$C$17</f>
        <v>250</v>
      </c>
      <c r="AL96" s="20">
        <f>IF(A96&lt;92,Forudsætninger!$C$20,Forudsætninger!$C$21)</f>
        <v>1.0566762728146013</v>
      </c>
      <c r="AM96" s="20">
        <f t="shared" si="45"/>
        <v>367.83305249786144</v>
      </c>
      <c r="AN96" s="19">
        <f>IFERROR(AD96+AJ96-AA96-Z96-AK96-AM96-Forudsætninger!$E$75,-999999)</f>
        <v>-1114.2858429846667</v>
      </c>
      <c r="AO96" s="19">
        <f>IFERROR(AN96/(A96+Forudsætninger!$E$74),-999999)</f>
        <v>-11.854104712602837</v>
      </c>
      <c r="AP96" s="19">
        <f>IFERROR(((365/(A96+Forudsætninger!$E$74))*AN96)/(AI96+Forudsætninger!$E$73),-999999)</f>
        <v>-1873.0511775324858</v>
      </c>
      <c r="AQ96" s="18">
        <f t="shared" si="37"/>
        <v>94</v>
      </c>
      <c r="AR96" s="18">
        <f t="shared" si="49"/>
        <v>3492.8714160833547</v>
      </c>
      <c r="AS96" s="18">
        <f t="shared" si="29"/>
        <v>4.3</v>
      </c>
      <c r="AT96" s="50">
        <f t="shared" si="50"/>
        <v>8.2456711109687149</v>
      </c>
      <c r="AU96" s="50">
        <f t="shared" si="51"/>
        <v>0.21612662175883379</v>
      </c>
      <c r="AV96" s="2">
        <f t="shared" si="52"/>
        <v>34.149877464057909</v>
      </c>
      <c r="AW96" s="16">
        <f t="shared" si="46"/>
        <v>-7.9409871328383543</v>
      </c>
      <c r="AZ96" s="16"/>
      <c r="BA96" s="2"/>
    </row>
    <row r="97" spans="1:53" x14ac:dyDescent="0.25">
      <c r="A97">
        <v>95</v>
      </c>
      <c r="B97" s="1">
        <f>ROUND((A97+Forudsætninger!$E$60)/30.4,1)</f>
        <v>4.3</v>
      </c>
      <c r="C97" s="1">
        <f>VLOOKUP((A97+Forudsætninger!$E$60),'Model tilvækst, slagteform, fe'!A:D,4,FALSE)</f>
        <v>182.52300829927802</v>
      </c>
      <c r="D97" s="3">
        <f t="shared" si="53"/>
        <v>1548.1560648294987</v>
      </c>
      <c r="E97" s="3">
        <f>(1+Forudsætninger!$E$78)*C97</f>
        <v>167.92116763533579</v>
      </c>
      <c r="F97" s="2">
        <f t="shared" si="28"/>
        <v>2.8362609563950185</v>
      </c>
      <c r="G97" s="1">
        <f t="shared" si="30"/>
        <v>170.75742859173081</v>
      </c>
      <c r="H97" s="3">
        <f t="shared" si="38"/>
        <v>1346.8957764016807</v>
      </c>
      <c r="I97" s="3">
        <f t="shared" si="31"/>
        <v>1081.6571430708507</v>
      </c>
      <c r="J97" s="1">
        <f>VLOOKUP((A97+Forudsætninger!$E$60),'Model tilvækst, slagteform, fe'!G:K,4,FALSE)*(1+Forudsætninger!$E$79)</f>
        <v>50.510833139912549</v>
      </c>
      <c r="K97" s="17">
        <f t="shared" si="32"/>
        <v>86.250999829974475</v>
      </c>
      <c r="L97" s="17">
        <f t="shared" si="39"/>
        <v>713.48222757414703</v>
      </c>
      <c r="M97" s="3">
        <f>((K97-(('Model tilvækst, slagteform, fe'!$J$9/100)*'Model tilvækst, slagteform, fe'!$D$9))*1000/(A97+Forudsætninger!$E$60))</f>
        <v>503.94344805443683</v>
      </c>
      <c r="N97" s="17">
        <f t="shared" si="40"/>
        <v>314.06401425041906</v>
      </c>
      <c r="O97" s="19">
        <f>IF( A97&lt;Forudsætninger!$C$14,(G97/100)*Forudsætninger!$C$13,(Forudsætninger!$C$15/1000)*Forudsætninger!$C$13)</f>
        <v>1.1099232858462504</v>
      </c>
      <c r="P97" s="17" cm="1">
        <f t="array" ref="P97">INDEX('Model tilvækst, slagteform, fe'!$P$9:$P$375,MATCH(MIN(ABS('Model tilvækst, slagteform, fe'!$M$9:$M$375-G97)),ABS('Model tilvækst, slagteform, fe'!$M$9:$M$375-G97),0))*(1+Forudsætninger!$E$80)</f>
        <v>4.7819564991348829</v>
      </c>
      <c r="Q97" s="17">
        <f t="shared" si="41"/>
        <v>6.7022783670360297</v>
      </c>
      <c r="R97" s="17">
        <f t="shared" si="42"/>
        <v>5.8941163394604486</v>
      </c>
      <c r="S97" s="17">
        <f t="shared" si="43"/>
        <v>3.0563631121817765</v>
      </c>
      <c r="T97" s="19">
        <f>(P97)*IF(N97&lt;Forudsætninger!$B$228,IF(N97&lt;Forudsætninger!$B$227,Forudsætninger!$B$225,Forudsætninger!$C$9),Forudsætninger!$C$11)+O97</f>
        <v>12.299701493821875</v>
      </c>
      <c r="U97" s="5">
        <f>Forudsætninger!$E$68+((K97-(Forudsætninger!$E$84)))*0.01</f>
        <v>5.5790737078714141</v>
      </c>
      <c r="V97" s="2">
        <f>U97+Forudsætninger!$E$69</f>
        <v>5.5790737078714141</v>
      </c>
      <c r="W97">
        <f t="shared" si="33"/>
        <v>0</v>
      </c>
      <c r="X97">
        <f>IF(A97+Forudsætninger!$E$60&gt;248,IF(A97+Forudsætninger!$E$60&lt;365,IF(K97&gt;180,IF(K97&lt;260,1,0),0),0),0)</f>
        <v>0</v>
      </c>
      <c r="Y97" s="22">
        <f>IF(X97=0,0,IF('Vækstfunktion, kry kvie'!A97&lt;Forudsætninger!$E$66,Forudsætninger!$E$67+(('Vækstfunktion, kry kvie'!A97-Forudsætninger!$E$66)/7)*Forudsætninger!$E$64,Forudsætninger!$E$67))</f>
        <v>0</v>
      </c>
      <c r="Z97" s="19">
        <f t="shared" si="47"/>
        <v>1312.3380650793151</v>
      </c>
      <c r="AA97" s="19">
        <f>Forudsætninger!$E$62+Forudsætninger!$C$16</f>
        <v>1575</v>
      </c>
      <c r="AB97" s="19">
        <f>IF(K97&gt;Forudsætninger!$C$48,IF(K97&gt;Forudsætninger!$C$49,IF(K97&gt;Forudsætninger!$C$50,Forudsætninger!$E$50,Forudsætninger!$E$49+Forudsætninger!$F$50*(K97-Forudsætninger!$C$49)),Forudsætninger!$E$48+Forudsætninger!$F$49*(K97-Forudsætninger!$C$48)),Forudsætninger!$E$48)+IF(K97&gt;Forudsætninger!$C$50,Forudsætninger!$G$50,IF(K97&gt;Forudsætninger!$C$49,Forudsætninger!$G$49+Forudsætninger!$H$50*(K97-Forudsætninger!$C$49),IF(K97&gt;Forudsætninger!$C$48,Forudsætninger!$G$48+Forudsætninger!$H$49*(K97-Forudsætninger!$C$48),Forudsætninger!$G$48)))*(U97-Forudsætninger!$H$48)</f>
        <v>35.157907370787143</v>
      </c>
      <c r="AC97" s="19">
        <f>IF(K97&gt;Forudsætninger!$C$52,IF(K97&gt;Forudsætninger!$C$53,IF(K97&gt;Forudsætninger!$C$54,Forudsætninger!$E$54,Forudsætninger!$E$53+Forudsætninger!$F$54*(K97-Forudsætninger!$C$53)),Forudsætninger!$E$52+Forudsætninger!$F$53*(K97-Forudsætninger!$C$52)),Forudsætninger!$E$52)+IF(K97&gt;Forudsætninger!$C$54,Forudsætninger!$G$54,IF(K97&gt;Forudsætninger!$C$53,Forudsætninger!$G$53+Forudsætninger!$H$54*(K97-Forudsætninger!$C$53),IF(K97&gt;Forudsætninger!$C$52,Forudsætninger!$G$52+Forudsætninger!$H$53*(K97-Forudsætninger!$C$52),Forudsætninger!$G$52)))*(V97-Forudsætninger!$H$52)</f>
        <v>30.044768426967853</v>
      </c>
      <c r="AD97" s="19">
        <f t="shared" si="34"/>
        <v>2591.3913164860269</v>
      </c>
      <c r="AE97" s="19">
        <f t="shared" si="35"/>
        <v>30.044768426967853</v>
      </c>
      <c r="AF97">
        <f>IF(G97&lt;=Forudsætninger!$C$97,Forudsætninger!$C$98,(IF(G97&lt;=Forudsætninger!$D$97,Forudsætninger!$D$98,IF(G97&lt;=Forudsætninger!$E$97,Forudsætninger!$E$98,IF(G97&lt;=Forudsætninger!$F$97,Forudsætninger!$F$98,IF(G97&lt;=Forudsætninger!$G$97,Forudsætninger!$G$98,IF(G97&lt;=Forudsætninger!$H$97,Forudsætninger!$H$98,IF(G97&lt;=Forudsætninger!$I$97,Forudsætninger!$I$98,Forudsætninger!$I$98))))))))</f>
        <v>2.2000000000000002</v>
      </c>
      <c r="AG97" s="1">
        <f t="shared" si="44"/>
        <v>2.2000000000000002</v>
      </c>
      <c r="AH97" s="1">
        <f t="shared" si="48"/>
        <v>208.99999999999969</v>
      </c>
      <c r="AI97" s="1">
        <f t="shared" si="36"/>
        <v>2.1999999999999966</v>
      </c>
      <c r="AJ97" s="20">
        <f>+(W97*Forudsætninger!$C$12)</f>
        <v>0</v>
      </c>
      <c r="AK97" s="20">
        <f>Forudsætninger!$C$17</f>
        <v>250</v>
      </c>
      <c r="AL97" s="20">
        <f>IF(A97&lt;92,Forudsætninger!$C$20,Forudsætninger!$C$21)</f>
        <v>1.0566762728146013</v>
      </c>
      <c r="AM97" s="20">
        <f t="shared" si="45"/>
        <v>368.88972877067607</v>
      </c>
      <c r="AN97" s="19">
        <f>IFERROR(AD97+AJ97-AA97-Z97-AK97-AM97-Forudsætninger!$E$75,-999999)</f>
        <v>-1106.0532387005801</v>
      </c>
      <c r="AO97" s="19">
        <f>IFERROR(AN97/(A97+Forudsætninger!$E$74),-999999)</f>
        <v>-11.642665670532422</v>
      </c>
      <c r="AP97" s="19">
        <f>IFERROR(((365/(A97+Forudsætninger!$E$74))*AN97)/(AI97+Forudsætninger!$E$73),-999999)</f>
        <v>-1839.6419782443031</v>
      </c>
      <c r="AQ97" s="18">
        <f t="shared" si="37"/>
        <v>95</v>
      </c>
      <c r="AR97" s="18">
        <f t="shared" si="49"/>
        <v>3506.227793849991</v>
      </c>
      <c r="AS97" s="18">
        <f t="shared" si="29"/>
        <v>4.3</v>
      </c>
      <c r="AT97" s="50">
        <f t="shared" si="50"/>
        <v>8.2326042840866194</v>
      </c>
      <c r="AU97" s="50">
        <f t="shared" si="51"/>
        <v>0.21143904207041508</v>
      </c>
      <c r="AV97" s="2">
        <f t="shared" si="52"/>
        <v>33.409199288182663</v>
      </c>
      <c r="AW97" s="16">
        <f t="shared" si="46"/>
        <v>-7.7596158939989888</v>
      </c>
      <c r="AZ97" s="16"/>
      <c r="BA97" s="2"/>
    </row>
    <row r="98" spans="1:53" x14ac:dyDescent="0.25">
      <c r="A98">
        <v>96</v>
      </c>
      <c r="B98" s="1">
        <f>ROUND((A98+Forudsætninger!$E$60)/30.4,1)</f>
        <v>4.3</v>
      </c>
      <c r="C98" s="1">
        <f>VLOOKUP((A98+Forudsætninger!$E$60),'Model tilvækst, slagteform, fe'!A:D,4,FALSE)</f>
        <v>184.0737606602122</v>
      </c>
      <c r="D98" s="3">
        <f t="shared" si="53"/>
        <v>1550.7523609341831</v>
      </c>
      <c r="E98" s="3">
        <f>(1+Forudsætninger!$E$78)*C98</f>
        <v>169.34785980739522</v>
      </c>
      <c r="F98" s="2">
        <f t="shared" si="28"/>
        <v>2.7587233383483092</v>
      </c>
      <c r="G98" s="1">
        <f t="shared" si="30"/>
        <v>172.10658314574354</v>
      </c>
      <c r="H98" s="3">
        <f t="shared" si="38"/>
        <v>1349.1545540127277</v>
      </c>
      <c r="I98" s="3">
        <f t="shared" si="31"/>
        <v>1084.4435744348286</v>
      </c>
      <c r="J98" s="1">
        <f>VLOOKUP((A98+Forudsætninger!$E$60),'Model tilvækst, slagteform, fe'!G:K,4,FALSE)*(1+Forudsætninger!$E$79)</f>
        <v>50.530440082792005</v>
      </c>
      <c r="K98" s="17">
        <f t="shared" si="32"/>
        <v>86.966213875000548</v>
      </c>
      <c r="L98" s="17">
        <f t="shared" si="39"/>
        <v>715.21404502607311</v>
      </c>
      <c r="M98" s="3">
        <f>((K98-(('Model tilvækst, slagteform, fe'!$J$9/100)*'Model tilvækst, slagteform, fe'!$D$9))*1000/(A98+Forudsætninger!$E$60))</f>
        <v>505.54398287997958</v>
      </c>
      <c r="N98" s="17">
        <f t="shared" si="40"/>
        <v>318.89724389616316</v>
      </c>
      <c r="O98" s="19">
        <f>IF( A98&lt;Forudsætninger!$C$14,(G98/100)*Forudsætninger!$C$13,(Forudsætninger!$C$15/1000)*Forudsætninger!$C$13)</f>
        <v>1.1186927904473332</v>
      </c>
      <c r="P98" s="17" cm="1">
        <f t="array" ref="P98">INDEX('Model tilvækst, slagteform, fe'!$P$9:$P$375,MATCH(MIN(ABS('Model tilvækst, slagteform, fe'!$M$9:$M$375-G98)),ABS('Model tilvækst, slagteform, fe'!$M$9:$M$375-G98),0))*(1+Forudsætninger!$E$80)</f>
        <v>4.8332296457441251</v>
      </c>
      <c r="Q98" s="17">
        <f t="shared" si="41"/>
        <v>6.7577387208159898</v>
      </c>
      <c r="R98" s="17">
        <f t="shared" si="42"/>
        <v>5.9055548602445453</v>
      </c>
      <c r="S98" s="17">
        <f t="shared" si="43"/>
        <v>3.0631803893681191</v>
      </c>
      <c r="T98" s="19">
        <f>(P98)*IF(N98&lt;Forudsætninger!$B$228,IF(N98&lt;Forudsætninger!$B$227,Forudsætninger!$B$225,Forudsætninger!$C$9),Forudsætninger!$C$11)+O98</f>
        <v>12.428450161488586</v>
      </c>
      <c r="U98" s="5">
        <f>Forudsætninger!$E$68+((K98-(Forudsætninger!$E$84)))*0.01</f>
        <v>5.5862258483216749</v>
      </c>
      <c r="V98" s="2">
        <f>U98+Forudsætninger!$E$69</f>
        <v>5.5862258483216749</v>
      </c>
      <c r="W98">
        <f t="shared" si="33"/>
        <v>0</v>
      </c>
      <c r="X98">
        <f>IF(A98+Forudsætninger!$E$60&gt;248,IF(A98+Forudsætninger!$E$60&lt;365,IF(K98&gt;180,IF(K98&lt;260,1,0),0),0),0)</f>
        <v>0</v>
      </c>
      <c r="Y98" s="22">
        <f>IF(X98=0,0,IF('Vækstfunktion, kry kvie'!A98&lt;Forudsætninger!$E$66,Forudsætninger!$E$67+(('Vækstfunktion, kry kvie'!A98-Forudsætninger!$E$66)/7)*Forudsætninger!$E$64,Forudsætninger!$E$67))</f>
        <v>0</v>
      </c>
      <c r="Z98" s="19">
        <f t="shared" si="47"/>
        <v>1324.7665152408038</v>
      </c>
      <c r="AA98" s="19">
        <f>Forudsætninger!$E$62+Forudsætninger!$C$16</f>
        <v>1575</v>
      </c>
      <c r="AB98" s="19">
        <f>IF(K98&gt;Forudsætninger!$C$48,IF(K98&gt;Forudsætninger!$C$49,IF(K98&gt;Forudsætninger!$C$50,Forudsætninger!$E$50,Forudsætninger!$E$49+Forudsætninger!$F$50*(K98-Forudsætninger!$C$49)),Forudsætninger!$E$48+Forudsætninger!$F$49*(K98-Forudsætninger!$C$48)),Forudsætninger!$E$48)+IF(K98&gt;Forudsætninger!$C$50,Forudsætninger!$G$50,IF(K98&gt;Forudsætninger!$C$49,Forudsætninger!$G$49+Forudsætninger!$H$50*(K98-Forudsætninger!$C$49),IF(K98&gt;Forudsætninger!$C$48,Forudsætninger!$G$48+Forudsætninger!$H$49*(K98-Forudsætninger!$C$48),Forudsætninger!$G$48)))*(U98-Forudsætninger!$H$48)</f>
        <v>35.158622584832166</v>
      </c>
      <c r="AC98" s="19">
        <f>IF(K98&gt;Forudsætninger!$C$52,IF(K98&gt;Forudsætninger!$C$53,IF(K98&gt;Forudsætninger!$C$54,Forudsætninger!$E$54,Forudsætninger!$E$53+Forudsætninger!$F$54*(K98-Forudsætninger!$C$53)),Forudsætninger!$E$52+Forudsætninger!$F$53*(K98-Forudsætninger!$C$52)),Forudsætninger!$E$52)+IF(K98&gt;Forudsætninger!$C$54,Forudsætninger!$G$54,IF(K98&gt;Forudsætninger!$C$53,Forudsætninger!$G$53+Forudsætninger!$H$54*(K98-Forudsætninger!$C$53),IF(K98&gt;Forudsætninger!$C$52,Forudsætninger!$G$52+Forudsætninger!$H$53*(K98-Forudsætninger!$C$52),Forudsætninger!$G$52)))*(V98-Forudsætninger!$H$52)</f>
        <v>30.046556462080417</v>
      </c>
      <c r="AD98" s="19">
        <f t="shared" si="34"/>
        <v>2613.0352554885653</v>
      </c>
      <c r="AE98" s="19">
        <f t="shared" si="35"/>
        <v>30.046556462080417</v>
      </c>
      <c r="AF98">
        <f>IF(G98&lt;=Forudsætninger!$C$97,Forudsætninger!$C$98,(IF(G98&lt;=Forudsætninger!$D$97,Forudsætninger!$D$98,IF(G98&lt;=Forudsætninger!$E$97,Forudsætninger!$E$98,IF(G98&lt;=Forudsætninger!$F$97,Forudsætninger!$F$98,IF(G98&lt;=Forudsætninger!$G$97,Forudsætninger!$G$98,IF(G98&lt;=Forudsætninger!$H$97,Forudsætninger!$H$98,IF(G98&lt;=Forudsætninger!$I$97,Forudsætninger!$I$98,Forudsætninger!$I$98))))))))</f>
        <v>2.2000000000000002</v>
      </c>
      <c r="AG98" s="1">
        <f t="shared" si="44"/>
        <v>2.2000000000000002</v>
      </c>
      <c r="AH98" s="1">
        <f t="shared" si="48"/>
        <v>211.19999999999968</v>
      </c>
      <c r="AI98" s="1">
        <f t="shared" si="36"/>
        <v>2.1999999999999966</v>
      </c>
      <c r="AJ98" s="20">
        <f>+(W98*Forudsætninger!$C$12)</f>
        <v>0</v>
      </c>
      <c r="AK98" s="20">
        <f>Forudsætninger!$C$17</f>
        <v>250</v>
      </c>
      <c r="AL98" s="20">
        <f>IF(A98&lt;92,Forudsætninger!$C$20,Forudsætninger!$C$21)</f>
        <v>1.0566762728146013</v>
      </c>
      <c r="AM98" s="20">
        <f t="shared" si="45"/>
        <v>369.9464050434907</v>
      </c>
      <c r="AN98" s="19">
        <f>IFERROR(AD98+AJ98-AA98-Z98-AK98-AM98-Forudsætninger!$E$75,-999999)</f>
        <v>-1097.894426132345</v>
      </c>
      <c r="AO98" s="19">
        <f>IFERROR(AN98/(A98+Forudsætninger!$E$74),-999999)</f>
        <v>-11.436400272211927</v>
      </c>
      <c r="AP98" s="19">
        <f>IFERROR(((365/(A98+Forudsætninger!$E$74))*AN98)/(AI98+Forudsætninger!$E$73),-999999)</f>
        <v>-1807.0502594620605</v>
      </c>
      <c r="AQ98" s="18">
        <f t="shared" si="37"/>
        <v>96</v>
      </c>
      <c r="AR98" s="18">
        <f t="shared" si="49"/>
        <v>3519.7129202842943</v>
      </c>
      <c r="AS98" s="18">
        <f t="shared" si="29"/>
        <v>4.3</v>
      </c>
      <c r="AT98" s="50">
        <f t="shared" si="50"/>
        <v>8.1588125682351347</v>
      </c>
      <c r="AU98" s="50">
        <f t="shared" si="51"/>
        <v>0.20626539832049495</v>
      </c>
      <c r="AV98" s="2">
        <f t="shared" si="52"/>
        <v>32.591718782242651</v>
      </c>
      <c r="AW98" s="16">
        <f t="shared" si="46"/>
        <v>-7.5827918863422319</v>
      </c>
      <c r="AZ98" s="16"/>
      <c r="BA98" s="2"/>
    </row>
    <row r="99" spans="1:53" x14ac:dyDescent="0.25">
      <c r="A99">
        <v>97</v>
      </c>
      <c r="B99" s="1">
        <f>ROUND((A99+Forudsætninger!$E$60)/30.4,1)</f>
        <v>4.4000000000000004</v>
      </c>
      <c r="C99" s="1">
        <f>VLOOKUP((A99+Forudsætninger!$E$60),'Model tilvækst, slagteform, fe'!A:D,4,FALSE)</f>
        <v>185.62701622496309</v>
      </c>
      <c r="D99" s="3">
        <f t="shared" si="53"/>
        <v>1553.2555647508843</v>
      </c>
      <c r="E99" s="3">
        <f>(1+Forudsætninger!$E$78)*C99</f>
        <v>170.77685492696605</v>
      </c>
      <c r="F99" s="2">
        <f t="shared" si="28"/>
        <v>2.6810605601107649</v>
      </c>
      <c r="G99" s="1">
        <f t="shared" si="30"/>
        <v>173.4579154870768</v>
      </c>
      <c r="H99" s="3">
        <f t="shared" si="38"/>
        <v>1351.3323413332614</v>
      </c>
      <c r="I99" s="3">
        <f t="shared" si="31"/>
        <v>1087.1950050214105</v>
      </c>
      <c r="J99" s="1">
        <f>VLOOKUP((A99+Forudsætninger!$E$60),'Model tilvækst, slagteform, fe'!G:K,4,FALSE)*(1+Forudsætninger!$E$79)</f>
        <v>50.550083994169228</v>
      </c>
      <c r="K99" s="17">
        <f t="shared" si="32"/>
        <v>87.683121973252398</v>
      </c>
      <c r="L99" s="17">
        <f t="shared" si="39"/>
        <v>716.90809825184942</v>
      </c>
      <c r="M99" s="3">
        <f>((K99-(('Model tilvækst, slagteform, fe'!$J$9/100)*'Model tilvækst, slagteform, fe'!$D$9))*1000/(A99+Forudsætninger!$E$60))</f>
        <v>507.13318675495606</v>
      </c>
      <c r="N99" s="17">
        <f t="shared" si="40"/>
        <v>323.75593760777434</v>
      </c>
      <c r="O99" s="19">
        <f>IF( A99&lt;Forudsætninger!$C$14,(G99/100)*Forudsætninger!$C$13,(Forudsætninger!$C$15/1000)*Forudsætninger!$C$13)</f>
        <v>1.1274764506659993</v>
      </c>
      <c r="P99" s="17" cm="1">
        <f t="array" ref="P99">INDEX('Model tilvækst, slagteform, fe'!$P$9:$P$375,MATCH(MIN(ABS('Model tilvækst, slagteform, fe'!$M$9:$M$375-G99)),ABS('Model tilvækst, slagteform, fe'!$M$9:$M$375-G99),0))*(1+Forudsætninger!$E$80)</f>
        <v>4.8586937116111715</v>
      </c>
      <c r="Q99" s="17">
        <f t="shared" si="41"/>
        <v>6.7772894788870346</v>
      </c>
      <c r="R99" s="17">
        <f t="shared" si="42"/>
        <v>5.9169765375138867</v>
      </c>
      <c r="S99" s="17">
        <f t="shared" si="43"/>
        <v>3.070001299688581</v>
      </c>
      <c r="T99" s="19">
        <f>(P99)*IF(N99&lt;Forudsætninger!$B$228,IF(N99&lt;Forudsætninger!$B$227,Forudsætninger!$B$225,Forudsætninger!$C$9),Forudsætninger!$C$11)+O99</f>
        <v>12.496819735836141</v>
      </c>
      <c r="U99" s="5">
        <f>Forudsætninger!$E$68+((K99-(Forudsætninger!$E$84)))*0.01</f>
        <v>5.5933949293041927</v>
      </c>
      <c r="V99" s="2">
        <f>U99+Forudsætninger!$E$69</f>
        <v>5.5933949293041927</v>
      </c>
      <c r="W99">
        <f t="shared" si="33"/>
        <v>0</v>
      </c>
      <c r="X99">
        <f>IF(A99+Forudsætninger!$E$60&gt;248,IF(A99+Forudsætninger!$E$60&lt;365,IF(K99&gt;180,IF(K99&lt;260,1,0),0),0),0)</f>
        <v>0</v>
      </c>
      <c r="Y99" s="22">
        <f>IF(X99=0,0,IF('Vækstfunktion, kry kvie'!A99&lt;Forudsætninger!$E$66,Forudsætninger!$E$67+(('Vækstfunktion, kry kvie'!A99-Forudsætninger!$E$66)/7)*Forudsætninger!$E$64,Forudsætninger!$E$67))</f>
        <v>0</v>
      </c>
      <c r="Z99" s="19">
        <f t="shared" si="47"/>
        <v>1337.26333497664</v>
      </c>
      <c r="AA99" s="19">
        <f>Forudsætninger!$E$62+Forudsætninger!$C$16</f>
        <v>1575</v>
      </c>
      <c r="AB99" s="19">
        <f>IF(K99&gt;Forudsætninger!$C$48,IF(K99&gt;Forudsætninger!$C$49,IF(K99&gt;Forudsætninger!$C$50,Forudsætninger!$E$50,Forudsætninger!$E$49+Forudsætninger!$F$50*(K99-Forudsætninger!$C$49)),Forudsætninger!$E$48+Forudsætninger!$F$49*(K99-Forudsætninger!$C$48)),Forudsætninger!$E$48)+IF(K99&gt;Forudsætninger!$C$50,Forudsætninger!$G$50,IF(K99&gt;Forudsætninger!$C$49,Forudsætninger!$G$49+Forudsætninger!$H$50*(K99-Forudsætninger!$C$49),IF(K99&gt;Forudsætninger!$C$48,Forudsætninger!$G$48+Forudsætninger!$H$49*(K99-Forudsætninger!$C$48),Forudsætninger!$G$48)))*(U99-Forudsætninger!$H$48)</f>
        <v>35.159339492930421</v>
      </c>
      <c r="AC99" s="19">
        <f>IF(K99&gt;Forudsætninger!$C$52,IF(K99&gt;Forudsætninger!$C$53,IF(K99&gt;Forudsætninger!$C$54,Forudsætninger!$E$54,Forudsætninger!$E$53+Forudsætninger!$F$54*(K99-Forudsætninger!$C$53)),Forudsætninger!$E$52+Forudsætninger!$F$53*(K99-Forudsætninger!$C$52)),Forudsætninger!$E$52)+IF(K99&gt;Forudsætninger!$C$54,Forudsætninger!$G$54,IF(K99&gt;Forudsætninger!$C$53,Forudsætninger!$G$53+Forudsætninger!$H$54*(K99-Forudsætninger!$C$53),IF(K99&gt;Forudsætninger!$C$52,Forudsætninger!$G$52+Forudsætninger!$H$53*(K99-Forudsætninger!$C$52),Forudsætninger!$G$52)))*(V99-Forudsætninger!$H$52)</f>
        <v>30.048348732326048</v>
      </c>
      <c r="AD99" s="19">
        <f t="shared" si="34"/>
        <v>2634.7330269913691</v>
      </c>
      <c r="AE99" s="19">
        <f t="shared" si="35"/>
        <v>30.048348732326051</v>
      </c>
      <c r="AF99">
        <f>IF(G99&lt;=Forudsætninger!$C$97,Forudsætninger!$C$98,(IF(G99&lt;=Forudsætninger!$D$97,Forudsætninger!$D$98,IF(G99&lt;=Forudsætninger!$E$97,Forudsætninger!$E$98,IF(G99&lt;=Forudsætninger!$F$97,Forudsætninger!$F$98,IF(G99&lt;=Forudsætninger!$G$97,Forudsætninger!$G$98,IF(G99&lt;=Forudsætninger!$H$97,Forudsætninger!$H$98,IF(G99&lt;=Forudsætninger!$I$97,Forudsætninger!$I$98,Forudsætninger!$I$98))))))))</f>
        <v>2.2000000000000002</v>
      </c>
      <c r="AG99" s="1">
        <f t="shared" si="44"/>
        <v>2.2000000000000002</v>
      </c>
      <c r="AH99" s="1">
        <f t="shared" si="48"/>
        <v>213.39999999999966</v>
      </c>
      <c r="AI99" s="1">
        <f t="shared" si="36"/>
        <v>2.1999999999999966</v>
      </c>
      <c r="AJ99" s="20">
        <f>+(W99*Forudsætninger!$C$12)</f>
        <v>0</v>
      </c>
      <c r="AK99" s="20">
        <f>Forudsætninger!$C$17</f>
        <v>250</v>
      </c>
      <c r="AL99" s="20">
        <f>IF(A99&lt;92,Forudsætninger!$C$20,Forudsætninger!$C$21)</f>
        <v>1.0566762728146013</v>
      </c>
      <c r="AM99" s="20">
        <f t="shared" si="45"/>
        <v>371.00308131630533</v>
      </c>
      <c r="AN99" s="19">
        <f>IFERROR(AD99+AJ99-AA99-Z99-AK99-AM99-Forudsætninger!$E$75,-999999)</f>
        <v>-1089.7501506381918</v>
      </c>
      <c r="AO99" s="19">
        <f>IFERROR(AN99/(A99+Forudsætninger!$E$74),-999999)</f>
        <v>-11.234537635445276</v>
      </c>
      <c r="AP99" s="19">
        <f>IFERROR(((365/(A99+Forudsætninger!$E$74))*AN99)/(AI99+Forudsætninger!$E$73),-999999)</f>
        <v>-1775.1542151244728</v>
      </c>
      <c r="AQ99" s="18">
        <f t="shared" si="37"/>
        <v>97</v>
      </c>
      <c r="AR99" s="18">
        <f t="shared" si="49"/>
        <v>3533.2664162929455</v>
      </c>
      <c r="AS99" s="18">
        <f t="shared" si="29"/>
        <v>4.4000000000000004</v>
      </c>
      <c r="AT99" s="50">
        <f t="shared" si="50"/>
        <v>8.1442754941531348</v>
      </c>
      <c r="AU99" s="50">
        <f t="shared" si="51"/>
        <v>0.20186263676665028</v>
      </c>
      <c r="AV99" s="2">
        <f t="shared" si="52"/>
        <v>31.896044337587682</v>
      </c>
      <c r="AW99" s="16">
        <f t="shared" si="46"/>
        <v>-7.4097636012565626</v>
      </c>
      <c r="AZ99" s="16"/>
      <c r="BA99" s="2"/>
    </row>
    <row r="100" spans="1:53" x14ac:dyDescent="0.25">
      <c r="A100">
        <v>98</v>
      </c>
      <c r="B100" s="1">
        <f>ROUND((A100+Forudsætninger!$E$60)/30.4,1)</f>
        <v>4.4000000000000004</v>
      </c>
      <c r="C100" s="1">
        <f>VLOOKUP((A100+Forudsætninger!$E$60),'Model tilvækst, slagteform, fe'!A:D,4,FALSE)</f>
        <v>187.18268248626319</v>
      </c>
      <c r="D100" s="3">
        <f t="shared" si="53"/>
        <v>1555.6662613001038</v>
      </c>
      <c r="E100" s="3">
        <f>(1+Forudsætninger!$E$78)*C100</f>
        <v>172.20806788736215</v>
      </c>
      <c r="F100" s="2">
        <f>MAX(F99-((D100/1000)/25),0)</f>
        <v>2.6188339096587607</v>
      </c>
      <c r="G100" s="1">
        <f t="shared" si="30"/>
        <v>174.82690179702089</v>
      </c>
      <c r="H100" s="3">
        <f t="shared" si="38"/>
        <v>1368.9863099440913</v>
      </c>
      <c r="I100" s="3">
        <f t="shared" si="31"/>
        <v>1090.0704265002132</v>
      </c>
      <c r="J100" s="1">
        <f>VLOOKUP((A100+Forudsætninger!$E$60),'Model tilvækst, slagteform, fe'!G:K,4,FALSE)*(1+Forudsætninger!$E$79)</f>
        <v>50.569765081537547</v>
      </c>
      <c r="K100" s="17">
        <f t="shared" si="32"/>
        <v>88.409553538083799</v>
      </c>
      <c r="L100" s="17">
        <f t="shared" si="39"/>
        <v>726.43156483140103</v>
      </c>
      <c r="M100" s="3">
        <f>((K100-(('Model tilvækst, slagteform, fe'!$J$9/100)*'Model tilvækst, slagteform, fe'!$D$9))*1000/(A100+Forudsætninger!$E$60))</f>
        <v>508.76974181522797</v>
      </c>
      <c r="N100" s="17">
        <f t="shared" si="40"/>
        <v>328.63998209117148</v>
      </c>
      <c r="O100" s="19">
        <f>IF( A100&lt;Forudsætninger!$C$14,(G100/100)*Forudsætninger!$C$13,(Forudsætninger!$C$15/1000)*Forudsætninger!$C$13)</f>
        <v>1.136374861680636</v>
      </c>
      <c r="P100" s="17" cm="1">
        <f t="array" ref="P100">INDEX('Model tilvækst, slagteform, fe'!$P$9:$P$375,MATCH(MIN(ABS('Model tilvækst, slagteform, fe'!$M$9:$M$375-G100)),ABS('Model tilvækst, slagteform, fe'!$M$9:$M$375-G100),0))*(1+Forudsætninger!$E$80)</f>
        <v>4.8840444833971057</v>
      </c>
      <c r="Q100" s="17">
        <f t="shared" si="41"/>
        <v>6.723337365620468</v>
      </c>
      <c r="R100" s="17">
        <f t="shared" si="42"/>
        <v>5.9275417528367758</v>
      </c>
      <c r="S100" s="17">
        <f t="shared" si="43"/>
        <v>3.076378482974373</v>
      </c>
      <c r="T100" s="19">
        <f>(P100)*IF(N100&lt;Forudsætninger!$B$228,IF(N100&lt;Forudsætninger!$B$227,Forudsætninger!$B$225,Forudsætninger!$C$9),Forudsætninger!$C$11)+O100</f>
        <v>12.565038952829862</v>
      </c>
      <c r="U100" s="5">
        <f>Forudsætninger!$E$68+((K100-(Forudsætninger!$E$84)))*0.01</f>
        <v>5.6006592449525074</v>
      </c>
      <c r="V100" s="2">
        <f>U100+Forudsætninger!$E$69</f>
        <v>5.6006592449525074</v>
      </c>
      <c r="W100">
        <f t="shared" si="33"/>
        <v>0</v>
      </c>
      <c r="X100">
        <f>IF(A100+Forudsætninger!$E$60&gt;248,IF(A100+Forudsætninger!$E$60&lt;365,IF(K100&gt;180,IF(K100&lt;260,1,0),0),0),0)</f>
        <v>0</v>
      </c>
      <c r="Y100" s="22">
        <f>IF(X100=0,0,IF('Vækstfunktion, kry kvie'!A100&lt;Forudsætninger!$E$66,Forudsætninger!$E$67+(('Vækstfunktion, kry kvie'!A100-Forudsætninger!$E$66)/7)*Forudsætninger!$E$64,Forudsætninger!$E$67))</f>
        <v>0</v>
      </c>
      <c r="Z100" s="19">
        <f t="shared" si="47"/>
        <v>1349.8283739294698</v>
      </c>
      <c r="AA100" s="19">
        <f>Forudsætninger!$E$62+Forudsætninger!$C$16</f>
        <v>1575</v>
      </c>
      <c r="AB100" s="19">
        <f>IF(K100&gt;Forudsætninger!$C$48,IF(K100&gt;Forudsætninger!$C$49,IF(K100&gt;Forudsætninger!$C$50,Forudsætninger!$E$50,Forudsætninger!$E$49+Forudsætninger!$F$50*(K100-Forudsætninger!$C$49)),Forudsætninger!$E$48+Forudsætninger!$F$49*(K100-Forudsætninger!$C$48)),Forudsætninger!$E$48)+IF(K100&gt;Forudsætninger!$C$50,Forudsætninger!$G$50,IF(K100&gt;Forudsætninger!$C$49,Forudsætninger!$G$49+Forudsætninger!$H$50*(K100-Forudsætninger!$C$49),IF(K100&gt;Forudsætninger!$C$48,Forudsætninger!$G$48+Forudsætninger!$H$49*(K100-Forudsætninger!$C$48),Forudsætninger!$G$48)))*(U100-Forudsætninger!$H$48)</f>
        <v>35.16006592449525</v>
      </c>
      <c r="AC100" s="19">
        <f>IF(K100&gt;Forudsætninger!$C$52,IF(K100&gt;Forudsætninger!$C$53,IF(K100&gt;Forudsætninger!$C$54,Forudsætninger!$E$54,Forudsætninger!$E$53+Forudsætninger!$F$54*(K100-Forudsætninger!$C$53)),Forudsætninger!$E$52+Forudsætninger!$F$53*(K100-Forudsætninger!$C$52)),Forudsætninger!$E$52)+IF(K100&gt;Forudsætninger!$C$54,Forudsætninger!$G$54,IF(K100&gt;Forudsætninger!$C$53,Forudsætninger!$G$53+Forudsætninger!$H$54*(K100-Forudsætninger!$C$53),IF(K100&gt;Forudsætninger!$C$52,Forudsætninger!$G$52+Forudsætninger!$H$53*(K100-Forudsætninger!$C$52),Forudsætninger!$G$52)))*(V100-Forudsætninger!$H$52)</f>
        <v>30.050164811238126</v>
      </c>
      <c r="AD100" s="19">
        <f t="shared" si="34"/>
        <v>2656.721654707399</v>
      </c>
      <c r="AE100" s="19">
        <f t="shared" si="35"/>
        <v>30.050164811238126</v>
      </c>
      <c r="AF100">
        <f>IF(G100&lt;=Forudsætninger!$C$97,Forudsætninger!$C$98,(IF(G100&lt;=Forudsætninger!$D$97,Forudsætninger!$D$98,IF(G100&lt;=Forudsætninger!$E$97,Forudsætninger!$E$98,IF(G100&lt;=Forudsætninger!$F$97,Forudsætninger!$F$98,IF(G100&lt;=Forudsætninger!$G$97,Forudsætninger!$G$98,IF(G100&lt;=Forudsætninger!$H$97,Forudsætninger!$H$98,IF(G100&lt;=Forudsætninger!$I$97,Forudsætninger!$I$98,Forudsætninger!$I$98))))))))</f>
        <v>2.2000000000000002</v>
      </c>
      <c r="AG100" s="1">
        <f t="shared" si="44"/>
        <v>2.2000000000000002</v>
      </c>
      <c r="AH100" s="1">
        <f t="shared" si="48"/>
        <v>215.59999999999965</v>
      </c>
      <c r="AI100" s="1">
        <f t="shared" si="36"/>
        <v>2.1999999999999966</v>
      </c>
      <c r="AJ100" s="20">
        <f>+(W100*Forudsætninger!$C$12)</f>
        <v>0</v>
      </c>
      <c r="AK100" s="20">
        <f>Forudsætninger!$C$17</f>
        <v>250</v>
      </c>
      <c r="AL100" s="20">
        <f>IF(A100&lt;92,Forudsætninger!$C$20,Forudsætninger!$C$21)</f>
        <v>1.0566762728146013</v>
      </c>
      <c r="AM100" s="20">
        <f t="shared" si="45"/>
        <v>372.05975758911995</v>
      </c>
      <c r="AN100" s="19">
        <f>IFERROR(AD100+AJ100-AA100-Z100-AK100-AM100-Forudsætninger!$E$75,-999999)</f>
        <v>-1081.3832381478064</v>
      </c>
      <c r="AO100" s="19">
        <f>IFERROR(AN100/(A100+Forudsætninger!$E$74),-999999)</f>
        <v>-11.034522838242923</v>
      </c>
      <c r="AP100" s="19">
        <f>IFERROR(((365/(A100+Forudsætninger!$E$74))*AN100)/(AI100+Forudsætninger!$E$73),-999999)</f>
        <v>-1743.5501454366549</v>
      </c>
      <c r="AQ100" s="18">
        <f t="shared" si="37"/>
        <v>98</v>
      </c>
      <c r="AR100" s="18">
        <f t="shared" si="49"/>
        <v>3546.8881315185899</v>
      </c>
      <c r="AS100" s="18">
        <f t="shared" si="29"/>
        <v>4.4000000000000004</v>
      </c>
      <c r="AT100" s="50">
        <f t="shared" si="50"/>
        <v>8.3669124903854026</v>
      </c>
      <c r="AU100" s="50">
        <f t="shared" si="51"/>
        <v>0.20001479720235338</v>
      </c>
      <c r="AV100" s="2">
        <f t="shared" si="52"/>
        <v>31.604069687817855</v>
      </c>
      <c r="AW100" s="16">
        <f t="shared" si="46"/>
        <v>-7.237994699578433</v>
      </c>
      <c r="AZ100" s="16"/>
      <c r="BA100" s="2"/>
    </row>
    <row r="101" spans="1:53" x14ac:dyDescent="0.25">
      <c r="A101">
        <v>99</v>
      </c>
      <c r="B101" s="1">
        <f>ROUND((A101+Forudsætninger!$E$60)/30.4,1)</f>
        <v>4.4000000000000004</v>
      </c>
      <c r="C101" s="1">
        <f>VLOOKUP((A101+Forudsætninger!$E$60),'Model tilvækst, slagteform, fe'!A:D,4,FALSE)</f>
        <v>188.74066752186579</v>
      </c>
      <c r="D101" s="3">
        <f t="shared" si="53"/>
        <v>1557.9850356025986</v>
      </c>
      <c r="E101" s="3">
        <f>(1+Forudsætninger!$E$78)*C101</f>
        <v>173.64141412011654</v>
      </c>
      <c r="F101" s="2">
        <f t="shared" ref="F101:F133" si="54">MAX(F100-((D101/1000)/25),0)</f>
        <v>2.556514508234657</v>
      </c>
      <c r="G101" s="1">
        <f t="shared" si="30"/>
        <v>176.19792862835121</v>
      </c>
      <c r="H101" s="3">
        <f t="shared" si="38"/>
        <v>1371.0268313303118</v>
      </c>
      <c r="I101" s="3">
        <f t="shared" si="31"/>
        <v>1092.9083699833454</v>
      </c>
      <c r="J101" s="1">
        <f>VLOOKUP((A101+Forudsætninger!$E$60),'Model tilvækst, slagteform, fe'!G:K,4,FALSE)*(1+Forudsætninger!$E$79)</f>
        <v>50.58948355239027</v>
      </c>
      <c r="K101" s="17">
        <f t="shared" si="32"/>
        <v>89.137622123092072</v>
      </c>
      <c r="L101" s="17">
        <f t="shared" si="39"/>
        <v>728.06858500827332</v>
      </c>
      <c r="M101" s="3">
        <f>((K101-(('Model tilvækst, slagteform, fe'!$J$9/100)*'Model tilvækst, slagteform, fe'!$D$9))*1000/(A101+Forudsætninger!$E$60))</f>
        <v>510.39417769073202</v>
      </c>
      <c r="N101" s="17">
        <f t="shared" si="40"/>
        <v>333.54926533543136</v>
      </c>
      <c r="O101" s="19">
        <f>IF( A101&lt;Forudsætninger!$C$14,(G101/100)*Forudsætninger!$C$13,(Forudsætninger!$C$15/1000)*Forudsætninger!$C$13)</f>
        <v>1.1452865360842828</v>
      </c>
      <c r="P101" s="17" cm="1">
        <f t="array" ref="P101">INDEX('Model tilvækst, slagteform, fe'!$P$9:$P$375,MATCH(MIN(ABS('Model tilvækst, slagteform, fe'!$M$9:$M$375-G101)),ABS('Model tilvækst, slagteform, fe'!$M$9:$M$375-G101),0))*(1+Forudsætninger!$E$80)</f>
        <v>4.9092832442598757</v>
      </c>
      <c r="Q101" s="17">
        <f t="shared" si="41"/>
        <v>6.7428856914683246</v>
      </c>
      <c r="R101" s="17">
        <f t="shared" si="42"/>
        <v>5.9381099616669877</v>
      </c>
      <c r="S101" s="17">
        <f t="shared" si="43"/>
        <v>3.0827694167892887</v>
      </c>
      <c r="T101" s="19">
        <f>(P101)*IF(N101&lt;Forudsætninger!$B$228,IF(N101&lt;Forudsætninger!$B$227,Forudsætninger!$B$225,Forudsætninger!$C$9),Forudsætninger!$C$11)+O101</f>
        <v>12.633009327652392</v>
      </c>
      <c r="U101" s="5">
        <f>Forudsætninger!$E$68+((K101-(Forudsætninger!$E$84)))*0.01</f>
        <v>5.6079399308025897</v>
      </c>
      <c r="V101" s="2">
        <f>U101+Forudsætninger!$E$69</f>
        <v>5.6079399308025897</v>
      </c>
      <c r="W101">
        <f t="shared" si="33"/>
        <v>0</v>
      </c>
      <c r="X101">
        <f>IF(A101+Forudsætninger!$E$60&gt;248,IF(A101+Forudsætninger!$E$60&lt;365,IF(K101&gt;180,IF(K101&lt;260,1,0),0),0),0)</f>
        <v>0</v>
      </c>
      <c r="Y101" s="22">
        <f>IF(X101=0,0,IF('Vækstfunktion, kry kvie'!A101&lt;Forudsætninger!$E$66,Forudsætninger!$E$67+(('Vækstfunktion, kry kvie'!A101-Forudsætninger!$E$66)/7)*Forudsætninger!$E$64,Forudsætninger!$E$67))</f>
        <v>0</v>
      </c>
      <c r="Z101" s="19">
        <f t="shared" si="47"/>
        <v>1362.4613832571222</v>
      </c>
      <c r="AA101" s="19">
        <f>Forudsætninger!$E$62+Forudsætninger!$C$16</f>
        <v>1575</v>
      </c>
      <c r="AB101" s="19">
        <f>IF(K101&gt;Forudsætninger!$C$48,IF(K101&gt;Forudsætninger!$C$49,IF(K101&gt;Forudsætninger!$C$50,Forudsætninger!$E$50,Forudsætninger!$E$49+Forudsætninger!$F$50*(K101-Forudsætninger!$C$49)),Forudsætninger!$E$48+Forudsætninger!$F$49*(K101-Forudsætninger!$C$48)),Forudsætninger!$E$48)+IF(K101&gt;Forudsætninger!$C$50,Forudsætninger!$G$50,IF(K101&gt;Forudsætninger!$C$49,Forudsætninger!$G$49+Forudsætninger!$H$50*(K101-Forudsætninger!$C$49),IF(K101&gt;Forudsætninger!$C$48,Forudsætninger!$G$48+Forudsætninger!$H$49*(K101-Forudsætninger!$C$48),Forudsætninger!$G$48)))*(U101-Forudsætninger!$H$48)</f>
        <v>35.160793993080262</v>
      </c>
      <c r="AC101" s="19">
        <f>IF(K101&gt;Forudsætninger!$C$52,IF(K101&gt;Forudsætninger!$C$53,IF(K101&gt;Forudsætninger!$C$54,Forudsætninger!$E$54,Forudsætninger!$E$53+Forudsætninger!$F$54*(K101-Forudsætninger!$C$53)),Forudsætninger!$E$52+Forudsætninger!$F$53*(K101-Forudsætninger!$C$52)),Forudsætninger!$E$52)+IF(K101&gt;Forudsætninger!$C$54,Forudsætninger!$G$54,IF(K101&gt;Forudsætninger!$C$53,Forudsætninger!$G$53+Forudsætninger!$H$54*(K101-Forudsætninger!$C$53),IF(K101&gt;Forudsætninger!$C$52,Forudsætninger!$G$52+Forudsætninger!$H$53*(K101-Forudsætninger!$C$52),Forudsætninger!$G$52)))*(V101-Forudsætninger!$H$52)</f>
        <v>30.051984982700645</v>
      </c>
      <c r="AD101" s="19">
        <f t="shared" si="34"/>
        <v>2678.7624814368078</v>
      </c>
      <c r="AE101" s="19">
        <f t="shared" si="35"/>
        <v>30.051984982700645</v>
      </c>
      <c r="AF101">
        <f>IF(G101&lt;=Forudsætninger!$C$97,Forudsætninger!$C$98,(IF(G101&lt;=Forudsætninger!$D$97,Forudsætninger!$D$98,IF(G101&lt;=Forudsætninger!$E$97,Forudsætninger!$E$98,IF(G101&lt;=Forudsætninger!$F$97,Forudsætninger!$F$98,IF(G101&lt;=Forudsætninger!$G$97,Forudsætninger!$G$98,IF(G101&lt;=Forudsætninger!$H$97,Forudsætninger!$H$98,IF(G101&lt;=Forudsætninger!$I$97,Forudsætninger!$I$98,Forudsætninger!$I$98))))))))</f>
        <v>2.2000000000000002</v>
      </c>
      <c r="AG101" s="1">
        <f t="shared" si="44"/>
        <v>2.2000000000000002</v>
      </c>
      <c r="AH101" s="1">
        <f t="shared" si="48"/>
        <v>217.79999999999964</v>
      </c>
      <c r="AI101" s="1">
        <f t="shared" si="36"/>
        <v>2.1999999999999962</v>
      </c>
      <c r="AJ101" s="20">
        <f>+(W101*Forudsætninger!$C$12)</f>
        <v>0</v>
      </c>
      <c r="AK101" s="20">
        <f>Forudsætninger!$C$17</f>
        <v>250</v>
      </c>
      <c r="AL101" s="20">
        <f>IF(A101&lt;92,Forudsætninger!$C$20,Forudsætninger!$C$21)</f>
        <v>1.0566762728146013</v>
      </c>
      <c r="AM101" s="20">
        <f t="shared" si="45"/>
        <v>373.11643386193458</v>
      </c>
      <c r="AN101" s="19">
        <f>IFERROR(AD101+AJ101-AA101-Z101-AK101-AM101-Forudsætninger!$E$75,-999999)</f>
        <v>-1073.0320970188648</v>
      </c>
      <c r="AO101" s="19">
        <f>IFERROR(AN101/(A101+Forudsætninger!$E$74),-999999)</f>
        <v>-10.838708050695603</v>
      </c>
      <c r="AP101" s="19">
        <f>IFERROR(((365/(A101+Forudsætninger!$E$74))*AN101)/(AI101+Forudsætninger!$E$73),-999999)</f>
        <v>-1712.6097136380529</v>
      </c>
      <c r="AQ101" s="18">
        <f t="shared" si="37"/>
        <v>99</v>
      </c>
      <c r="AR101" s="18">
        <f t="shared" si="49"/>
        <v>3560.5778171190568</v>
      </c>
      <c r="AS101" s="18">
        <f t="shared" si="29"/>
        <v>4.4000000000000004</v>
      </c>
      <c r="AT101" s="50">
        <f t="shared" si="50"/>
        <v>8.3511411289416628</v>
      </c>
      <c r="AU101" s="50">
        <f t="shared" si="51"/>
        <v>0.19581478754732018</v>
      </c>
      <c r="AV101" s="2">
        <f t="shared" si="52"/>
        <v>30.940431798602049</v>
      </c>
      <c r="AW101" s="16">
        <f t="shared" si="46"/>
        <v>-7.0698551834033347</v>
      </c>
      <c r="AZ101" s="16"/>
      <c r="BA101" s="2"/>
    </row>
    <row r="102" spans="1:53" x14ac:dyDescent="0.25">
      <c r="A102">
        <v>100</v>
      </c>
      <c r="B102" s="1">
        <f>ROUND((A102+Forudsætninger!$E$60)/30.4,1)</f>
        <v>4.5</v>
      </c>
      <c r="C102" s="1">
        <f>VLOOKUP((A102+Forudsætninger!$E$60),'Model tilvækst, slagteform, fe'!A:D,4,FALSE)</f>
        <v>190.30087999454452</v>
      </c>
      <c r="D102" s="3">
        <f t="shared" si="53"/>
        <v>1560.2124726787281</v>
      </c>
      <c r="E102" s="3">
        <f>(1+Forudsætninger!$E$78)*C102</f>
        <v>175.07680959498097</v>
      </c>
      <c r="F102" s="2">
        <f t="shared" si="54"/>
        <v>2.494106009327508</v>
      </c>
      <c r="G102" s="1">
        <f t="shared" si="30"/>
        <v>177.57091560430848</v>
      </c>
      <c r="H102" s="3">
        <f t="shared" si="38"/>
        <v>1372.986975957275</v>
      </c>
      <c r="I102" s="3">
        <f t="shared" si="31"/>
        <v>1095.7091560430847</v>
      </c>
      <c r="J102" s="1">
        <f>VLOOKUP((A102+Forudsætninger!$E$60),'Model tilvækst, slagteform, fe'!G:K,4,FALSE)*(1+Forudsætninger!$E$79)</f>
        <v>50.609239614220719</v>
      </c>
      <c r="K102" s="17">
        <f t="shared" si="32"/>
        <v>89.867290163350134</v>
      </c>
      <c r="L102" s="17">
        <f t="shared" si="39"/>
        <v>729.66804025806198</v>
      </c>
      <c r="M102" s="3">
        <f>((K102-(('Model tilvækst, slagteform, fe'!$J$9/100)*'Model tilvækst, slagteform, fe'!$D$9))*1000/(A102+Forudsætninger!$E$60))</f>
        <v>512.00648550372705</v>
      </c>
      <c r="N102" s="17">
        <f t="shared" si="40"/>
        <v>338.48367661278877</v>
      </c>
      <c r="O102" s="19">
        <f>IF( A102&lt;Forudsætninger!$C$14,(G102/100)*Forudsætninger!$C$13,(Forudsætninger!$C$15/1000)*Forudsætninger!$C$13)</f>
        <v>1.1542109514280052</v>
      </c>
      <c r="P102" s="17" cm="1">
        <f t="array" ref="P102">INDEX('Model tilvækst, slagteform, fe'!$P$9:$P$375,MATCH(MIN(ABS('Model tilvækst, slagteform, fe'!$M$9:$M$375-G102)),ABS('Model tilvækst, slagteform, fe'!$M$9:$M$375-G102),0))*(1+Forudsætninger!$E$80)</f>
        <v>4.9344112773574311</v>
      </c>
      <c r="Q102" s="17">
        <f t="shared" si="41"/>
        <v>6.7625426976523135</v>
      </c>
      <c r="R102" s="17">
        <f t="shared" si="42"/>
        <v>5.9486821182026244</v>
      </c>
      <c r="S102" s="17">
        <f t="shared" si="43"/>
        <v>3.0891744834473127</v>
      </c>
      <c r="T102" s="19">
        <f>(P102)*IF(N102&lt;Forudsætninger!$B$228,IF(N102&lt;Forudsætninger!$B$227,Forudsætninger!$B$225,Forudsætninger!$C$9),Forudsætninger!$C$11)+O102</f>
        <v>12.700733340444394</v>
      </c>
      <c r="U102" s="5">
        <f>Forudsætninger!$E$68+((K102-(Forudsætninger!$E$84)))*0.01</f>
        <v>5.6152366112051704</v>
      </c>
      <c r="V102" s="2">
        <f>U102+Forudsætninger!$E$69</f>
        <v>5.6152366112051704</v>
      </c>
      <c r="W102">
        <f t="shared" si="33"/>
        <v>0</v>
      </c>
      <c r="X102">
        <f>IF(A102+Forudsætninger!$E$60&gt;248,IF(A102+Forudsætninger!$E$60&lt;365,IF(K102&gt;180,IF(K102&lt;260,1,0),0),0),0)</f>
        <v>0</v>
      </c>
      <c r="Y102" s="22">
        <f>IF(X102=0,0,IF('Vækstfunktion, kry kvie'!A102&lt;Forudsætninger!$E$66,Forudsætninger!$E$67+(('Vækstfunktion, kry kvie'!A102-Forudsætninger!$E$66)/7)*Forudsætninger!$E$64,Forudsætninger!$E$67))</f>
        <v>0</v>
      </c>
      <c r="Z102" s="19">
        <f t="shared" si="47"/>
        <v>1375.1621165975666</v>
      </c>
      <c r="AA102" s="19">
        <f>Forudsætninger!$E$62+Forudsætninger!$C$16</f>
        <v>1575</v>
      </c>
      <c r="AB102" s="19">
        <f>IF(K102&gt;Forudsætninger!$C$48,IF(K102&gt;Forudsætninger!$C$49,IF(K102&gt;Forudsætninger!$C$50,Forudsætninger!$E$50,Forudsætninger!$E$49+Forudsætninger!$F$50*(K102-Forudsætninger!$C$49)),Forudsætninger!$E$48+Forudsætninger!$F$49*(K102-Forudsætninger!$C$48)),Forudsætninger!$E$48)+IF(K102&gt;Forudsætninger!$C$50,Forudsætninger!$G$50,IF(K102&gt;Forudsætninger!$C$49,Forudsætninger!$G$49+Forudsætninger!$H$50*(K102-Forudsætninger!$C$49),IF(K102&gt;Forudsætninger!$C$48,Forudsætninger!$G$48+Forudsætninger!$H$49*(K102-Forudsætninger!$C$48),Forudsætninger!$G$48)))*(U102-Forudsætninger!$H$48)</f>
        <v>35.161523661120519</v>
      </c>
      <c r="AC102" s="19">
        <f>IF(K102&gt;Forudsætninger!$C$52,IF(K102&gt;Forudsætninger!$C$53,IF(K102&gt;Forudsætninger!$C$54,Forudsætninger!$E$54,Forudsætninger!$E$53+Forudsætninger!$F$54*(K102-Forudsætninger!$C$53)),Forudsætninger!$E$52+Forudsætninger!$F$53*(K102-Forudsætninger!$C$52)),Forudsætninger!$E$52)+IF(K102&gt;Forudsætninger!$C$54,Forudsætninger!$G$54,IF(K102&gt;Forudsætninger!$C$53,Forudsætninger!$G$53+Forudsætninger!$H$54*(K102-Forudsætninger!$C$53),IF(K102&gt;Forudsætninger!$C$52,Forudsætninger!$G$52+Forudsætninger!$H$53*(K102-Forudsætninger!$C$52),Forudsætninger!$G$52)))*(V102-Forudsætninger!$H$52)</f>
        <v>30.053809152801293</v>
      </c>
      <c r="AD102" s="19">
        <f t="shared" si="34"/>
        <v>2700.854387648742</v>
      </c>
      <c r="AE102" s="19">
        <f t="shared" si="35"/>
        <v>30.053809152801293</v>
      </c>
      <c r="AF102">
        <f>IF(G102&lt;=Forudsætninger!$C$97,Forudsætninger!$C$98,(IF(G102&lt;=Forudsætninger!$D$97,Forudsætninger!$D$98,IF(G102&lt;=Forudsætninger!$E$97,Forudsætninger!$E$98,IF(G102&lt;=Forudsætninger!$F$97,Forudsætninger!$F$98,IF(G102&lt;=Forudsætninger!$G$97,Forudsætninger!$G$98,IF(G102&lt;=Forudsætninger!$H$97,Forudsætninger!$H$98,IF(G102&lt;=Forudsætninger!$I$97,Forudsætninger!$I$98,Forudsætninger!$I$98))))))))</f>
        <v>2.2000000000000002</v>
      </c>
      <c r="AG102" s="1">
        <f t="shared" si="44"/>
        <v>2.2000000000000002</v>
      </c>
      <c r="AH102" s="1">
        <f t="shared" si="48"/>
        <v>219.99999999999963</v>
      </c>
      <c r="AI102" s="1">
        <f t="shared" si="36"/>
        <v>2.1999999999999962</v>
      </c>
      <c r="AJ102" s="20">
        <f>+(W102*Forudsætninger!$C$12)</f>
        <v>0</v>
      </c>
      <c r="AK102" s="20">
        <f>Forudsætninger!$C$17</f>
        <v>250</v>
      </c>
      <c r="AL102" s="20">
        <f>IF(A102&lt;92,Forudsætninger!$C$20,Forudsætninger!$C$21)</f>
        <v>1.0566762728146013</v>
      </c>
      <c r="AM102" s="20">
        <f t="shared" si="45"/>
        <v>374.17311013474921</v>
      </c>
      <c r="AN102" s="19">
        <f>IFERROR(AD102+AJ102-AA102-Z102-AK102-AM102-Forudsætninger!$E$75,-999999)</f>
        <v>-1064.6976004201897</v>
      </c>
      <c r="AO102" s="19">
        <f>IFERROR(AN102/(A102+Forudsætninger!$E$74),-999999)</f>
        <v>-10.646976004201896</v>
      </c>
      <c r="AP102" s="19">
        <f>IFERROR(((365/(A102+Forudsætninger!$E$74))*AN102)/(AI102+Forudsætninger!$E$73),-999999)</f>
        <v>-1682.3143902743286</v>
      </c>
      <c r="AQ102" s="18">
        <f t="shared" si="37"/>
        <v>100</v>
      </c>
      <c r="AR102" s="18">
        <f t="shared" si="49"/>
        <v>3574.3352267323157</v>
      </c>
      <c r="AS102" s="18">
        <f t="shared" si="29"/>
        <v>4.5</v>
      </c>
      <c r="AT102" s="50">
        <f t="shared" si="50"/>
        <v>8.3344965986750594</v>
      </c>
      <c r="AU102" s="50">
        <f t="shared" si="51"/>
        <v>0.19173204649370668</v>
      </c>
      <c r="AV102" s="2">
        <f t="shared" si="52"/>
        <v>30.295323363724265</v>
      </c>
      <c r="AW102" s="16">
        <f t="shared" si="46"/>
        <v>-6.9052449028544052</v>
      </c>
      <c r="AZ102" s="16"/>
      <c r="BA102" s="2"/>
    </row>
    <row r="103" spans="1:53" x14ac:dyDescent="0.25">
      <c r="A103">
        <v>101</v>
      </c>
      <c r="B103" s="1">
        <f>ROUND((A103+Forudsætninger!$E$60)/30.4,1)</f>
        <v>4.5</v>
      </c>
      <c r="C103" s="1">
        <f>VLOOKUP((A103+Forudsætninger!$E$60),'Model tilvækst, slagteform, fe'!A:D,4,FALSE)</f>
        <v>191.86322915209394</v>
      </c>
      <c r="D103" s="3">
        <f t="shared" si="53"/>
        <v>1562.3491575494199</v>
      </c>
      <c r="E103" s="3">
        <f>(1+Forudsætninger!$E$78)*C103</f>
        <v>176.51417081992642</v>
      </c>
      <c r="F103" s="2">
        <f t="shared" si="54"/>
        <v>2.431612043025531</v>
      </c>
      <c r="G103" s="1">
        <f t="shared" si="30"/>
        <v>178.94578286295194</v>
      </c>
      <c r="H103" s="3">
        <f t="shared" si="38"/>
        <v>1374.8672586434623</v>
      </c>
      <c r="I103" s="3">
        <f t="shared" si="31"/>
        <v>1098.4730976529895</v>
      </c>
      <c r="J103" s="1">
        <f>VLOOKUP((A103+Forudsætninger!$E$60),'Model tilvækst, slagteform, fe'!G:K,4,FALSE)*(1+Forudsætninger!$E$79)</f>
        <v>50.629033474522217</v>
      </c>
      <c r="K103" s="17">
        <f t="shared" si="32"/>
        <v>90.598520306929771</v>
      </c>
      <c r="L103" s="17">
        <f t="shared" si="39"/>
        <v>731.23014357963712</v>
      </c>
      <c r="M103" s="3">
        <f>((K103-(('Model tilvækst, slagteform, fe'!$J$9/100)*'Model tilvækst, slagteform, fe'!$D$9))*1000/(A103+Forudsætninger!$E$60))</f>
        <v>513.60665819041253</v>
      </c>
      <c r="N103" s="17">
        <f t="shared" si="40"/>
        <v>343.44310647863648</v>
      </c>
      <c r="O103" s="19">
        <f>IF( A103&lt;Forudsætninger!$C$14,(G103/100)*Forudsætninger!$C$13,(Forudsætninger!$C$15/1000)*Forudsætninger!$C$13)</f>
        <v>1.1631475886091878</v>
      </c>
      <c r="P103" s="17" cm="1">
        <f t="array" ref="P103">INDEX('Model tilvækst, slagteform, fe'!$P$9:$P$375,MATCH(MIN(ABS('Model tilvækst, slagteform, fe'!$M$9:$M$375-G103)),ABS('Model tilvækst, slagteform, fe'!$M$9:$M$375-G103),0))*(1+Forudsætninger!$E$80)</f>
        <v>4.9594298658477287</v>
      </c>
      <c r="Q103" s="17">
        <f t="shared" si="41"/>
        <v>6.7823104796658384</v>
      </c>
      <c r="R103" s="17">
        <f t="shared" si="42"/>
        <v>5.9592591555139327</v>
      </c>
      <c r="S103" s="17">
        <f t="shared" si="43"/>
        <v>3.0955940605951793</v>
      </c>
      <c r="T103" s="19">
        <f>(P103)*IF(N103&lt;Forudsætninger!$B$228,IF(N103&lt;Forudsætninger!$B$227,Forudsætninger!$B$225,Forudsætninger!$C$9),Forudsætninger!$C$11)+O103</f>
        <v>12.768213474692873</v>
      </c>
      <c r="U103" s="5">
        <f>Forudsætninger!$E$68+((K103-(Forudsætninger!$E$84)))*0.01</f>
        <v>5.6225489126409673</v>
      </c>
      <c r="V103" s="2">
        <f>U103+Forudsætninger!$E$69</f>
        <v>5.6225489126409673</v>
      </c>
      <c r="W103">
        <f t="shared" si="33"/>
        <v>0</v>
      </c>
      <c r="X103">
        <f>IF(A103+Forudsætninger!$E$60&gt;248,IF(A103+Forudsætninger!$E$60&lt;365,IF(K103&gt;180,IF(K103&lt;260,1,0),0),0),0)</f>
        <v>0</v>
      </c>
      <c r="Y103" s="22">
        <f>IF(X103=0,0,IF('Vækstfunktion, kry kvie'!A103&lt;Forudsætninger!$E$66,Forudsætninger!$E$67+(('Vækstfunktion, kry kvie'!A103-Forudsætninger!$E$66)/7)*Forudsætninger!$E$64,Forudsætninger!$E$67))</f>
        <v>0</v>
      </c>
      <c r="Z103" s="19">
        <f t="shared" si="47"/>
        <v>1387.9303300722595</v>
      </c>
      <c r="AA103" s="19">
        <f>Forudsætninger!$E$62+Forudsætninger!$C$16</f>
        <v>1575</v>
      </c>
      <c r="AB103" s="19">
        <f>IF(K103&gt;Forudsætninger!$C$48,IF(K103&gt;Forudsætninger!$C$49,IF(K103&gt;Forudsætninger!$C$50,Forudsætninger!$E$50,Forudsætninger!$E$49+Forudsætninger!$F$50*(K103-Forudsætninger!$C$49)),Forudsætninger!$E$48+Forudsætninger!$F$49*(K103-Forudsætninger!$C$48)),Forudsætninger!$E$48)+IF(K103&gt;Forudsætninger!$C$50,Forudsætninger!$G$50,IF(K103&gt;Forudsætninger!$C$49,Forudsætninger!$G$49+Forudsætninger!$H$50*(K103-Forudsætninger!$C$49),IF(K103&gt;Forudsætninger!$C$48,Forudsætninger!$G$48+Forudsætninger!$H$49*(K103-Forudsætninger!$C$48),Forudsætninger!$G$48)))*(U103-Forudsætninger!$H$48)</f>
        <v>35.162254891264098</v>
      </c>
      <c r="AC103" s="19">
        <f>IF(K103&gt;Forudsætninger!$C$52,IF(K103&gt;Forudsætninger!$C$53,IF(K103&gt;Forudsætninger!$C$54,Forudsætninger!$E$54,Forudsætninger!$E$53+Forudsætninger!$F$54*(K103-Forudsætninger!$C$53)),Forudsætninger!$E$52+Forudsætninger!$F$53*(K103-Forudsætninger!$C$52)),Forudsætninger!$E$52)+IF(K103&gt;Forudsætninger!$C$54,Forudsætninger!$G$54,IF(K103&gt;Forudsætninger!$C$53,Forudsætninger!$G$53+Forudsætninger!$H$54*(K103-Forudsætninger!$C$53),IF(K103&gt;Forudsætninger!$C$52,Forudsætninger!$G$52+Forudsætninger!$H$53*(K103-Forudsætninger!$C$52),Forudsætninger!$G$52)))*(V103-Forudsætninger!$H$52)</f>
        <v>30.05563722816024</v>
      </c>
      <c r="AD103" s="19">
        <f t="shared" si="34"/>
        <v>2722.9962597531899</v>
      </c>
      <c r="AE103" s="19">
        <f t="shared" si="35"/>
        <v>30.05563722816024</v>
      </c>
      <c r="AF103">
        <f>IF(G103&lt;=Forudsætninger!$C$97,Forudsætninger!$C$98,(IF(G103&lt;=Forudsætninger!$D$97,Forudsætninger!$D$98,IF(G103&lt;=Forudsætninger!$E$97,Forudsætninger!$E$98,IF(G103&lt;=Forudsætninger!$F$97,Forudsætninger!$F$98,IF(G103&lt;=Forudsætninger!$G$97,Forudsætninger!$G$98,IF(G103&lt;=Forudsætninger!$H$97,Forudsætninger!$H$98,IF(G103&lt;=Forudsætninger!$I$97,Forudsætninger!$I$98,Forudsætninger!$I$98))))))))</f>
        <v>2.2000000000000002</v>
      </c>
      <c r="AG103" s="1">
        <f t="shared" si="44"/>
        <v>2.2000000000000002</v>
      </c>
      <c r="AH103" s="1">
        <f t="shared" si="48"/>
        <v>222.19999999999962</v>
      </c>
      <c r="AI103" s="1">
        <f t="shared" si="36"/>
        <v>2.1999999999999962</v>
      </c>
      <c r="AJ103" s="20">
        <f>+(W103*Forudsætninger!$C$12)</f>
        <v>0</v>
      </c>
      <c r="AK103" s="20">
        <f>Forudsætninger!$C$17</f>
        <v>250</v>
      </c>
      <c r="AL103" s="20">
        <f>IF(A103&lt;92,Forudsætninger!$C$20,Forudsætninger!$C$21)</f>
        <v>1.0566762728146013</v>
      </c>
      <c r="AM103" s="20">
        <f t="shared" si="45"/>
        <v>375.22978640756384</v>
      </c>
      <c r="AN103" s="19">
        <f>IFERROR(AD103+AJ103-AA103-Z103-AK103-AM103-Forudsætninger!$E$75,-999999)</f>
        <v>-1056.3806180632491</v>
      </c>
      <c r="AO103" s="19">
        <f>IFERROR(AN103/(A103+Forudsætninger!$E$74),-999999)</f>
        <v>-10.45921404023019</v>
      </c>
      <c r="AP103" s="19">
        <f>IFERROR(((365/(A103+Forudsætninger!$E$74))*AN103)/(AI103+Forudsætninger!$E$73),-999999)</f>
        <v>-1652.6463743220891</v>
      </c>
      <c r="AQ103" s="18">
        <f t="shared" si="37"/>
        <v>101</v>
      </c>
      <c r="AR103" s="18">
        <f t="shared" si="49"/>
        <v>3588.1601164798235</v>
      </c>
      <c r="AS103" s="18">
        <f t="shared" si="29"/>
        <v>4.5</v>
      </c>
      <c r="AT103" s="50">
        <f t="shared" si="50"/>
        <v>8.3169823569405708</v>
      </c>
      <c r="AU103" s="50">
        <f t="shared" si="51"/>
        <v>0.18776196397170608</v>
      </c>
      <c r="AV103" s="2">
        <f t="shared" si="52"/>
        <v>29.668015952239557</v>
      </c>
      <c r="AW103" s="16">
        <f t="shared" si="46"/>
        <v>-6.7440676401553006</v>
      </c>
      <c r="AZ103" s="16"/>
      <c r="BA103" s="2"/>
    </row>
    <row r="104" spans="1:53" x14ac:dyDescent="0.25">
      <c r="A104">
        <v>102</v>
      </c>
      <c r="B104" s="1">
        <f>ROUND((A104+Forudsætninger!$E$60)/30.4,1)</f>
        <v>4.5</v>
      </c>
      <c r="C104" s="1">
        <f>VLOOKUP((A104+Forudsætninger!$E$60),'Model tilvækst, slagteform, fe'!A:D,4,FALSE)</f>
        <v>193.427624827329</v>
      </c>
      <c r="D104" s="3">
        <f t="shared" si="53"/>
        <v>1564.3956752350618</v>
      </c>
      <c r="E104" s="3">
        <f>(1+Forudsætninger!$E$78)*C104</f>
        <v>177.95341484114269</v>
      </c>
      <c r="F104" s="2">
        <f t="shared" si="54"/>
        <v>2.3690362160161285</v>
      </c>
      <c r="G104" s="1">
        <f t="shared" si="30"/>
        <v>180.32245105715882</v>
      </c>
      <c r="H104" s="3">
        <f t="shared" si="38"/>
        <v>1376.6681942068715</v>
      </c>
      <c r="I104" s="3">
        <f t="shared" si="31"/>
        <v>1101.2005005603805</v>
      </c>
      <c r="J104" s="1">
        <f>VLOOKUP((A104+Forudsætninger!$E$60),'Model tilvækst, slagteform, fe'!G:K,4,FALSE)*(1+Forudsætninger!$E$79)</f>
        <v>50.648865340788049</v>
      </c>
      <c r="K104" s="17">
        <f t="shared" si="32"/>
        <v>91.331275415148809</v>
      </c>
      <c r="L104" s="17">
        <f t="shared" si="39"/>
        <v>732.75510821903822</v>
      </c>
      <c r="M104" s="3">
        <f>((K104-(('Model tilvækst, slagteform, fe'!$J$9/100)*'Model tilvækst, slagteform, fe'!$D$9))*1000/(A104+Forudsætninger!$E$60))</f>
        <v>515.19469043699689</v>
      </c>
      <c r="N104" s="17">
        <f t="shared" si="40"/>
        <v>348.4522503202748</v>
      </c>
      <c r="O104" s="19">
        <f>IF( A104&lt;Forudsætninger!$C$14,(G104/100)*Forudsætninger!$C$13,(Forudsætninger!$C$15/1000)*Forudsætninger!$C$13)</f>
        <v>1.1720959318715323</v>
      </c>
      <c r="P104" s="17" cm="1">
        <f t="array" ref="P104">INDEX('Model tilvækst, slagteform, fe'!$P$9:$P$375,MATCH(MIN(ABS('Model tilvækst, slagteform, fe'!$M$9:$M$375-G104)),ABS('Model tilvækst, slagteform, fe'!$M$9:$M$375-G104),0))*(1+Forudsætninger!$E$80)</f>
        <v>5.0091438416383394</v>
      </c>
      <c r="Q104" s="17">
        <f t="shared" si="41"/>
        <v>6.8360408347245327</v>
      </c>
      <c r="R104" s="17">
        <f t="shared" si="42"/>
        <v>5.9702669623182638</v>
      </c>
      <c r="S104" s="17">
        <f t="shared" si="43"/>
        <v>3.1022493458850349</v>
      </c>
      <c r="T104" s="19">
        <f>(P104)*IF(N104&lt;Forudsætninger!$B$228,IF(N104&lt;Forudsætninger!$B$227,Forudsætninger!$B$225,Forudsætninger!$C$9),Forudsætninger!$C$11)+O104</f>
        <v>12.893492521305244</v>
      </c>
      <c r="U104" s="5">
        <f>Forudsætninger!$E$68+((K104-(Forudsætninger!$E$84)))*0.01</f>
        <v>5.6298764637231571</v>
      </c>
      <c r="V104" s="2">
        <f>U104+Forudsætninger!$E$69</f>
        <v>5.6298764637231571</v>
      </c>
      <c r="W104">
        <f t="shared" si="33"/>
        <v>0</v>
      </c>
      <c r="X104">
        <f>IF(A104+Forudsætninger!$E$60&gt;248,IF(A104+Forudsætninger!$E$60&lt;365,IF(K104&gt;180,IF(K104&lt;260,1,0),0),0),0)</f>
        <v>0</v>
      </c>
      <c r="Y104" s="22">
        <f>IF(X104=0,0,IF('Vækstfunktion, kry kvie'!A104&lt;Forudsætninger!$E$66,Forudsætninger!$E$67+(('Vækstfunktion, kry kvie'!A104-Forudsætninger!$E$66)/7)*Forudsætninger!$E$64,Forudsætninger!$E$67))</f>
        <v>0</v>
      </c>
      <c r="Z104" s="19">
        <f t="shared" si="47"/>
        <v>1400.8238225935647</v>
      </c>
      <c r="AA104" s="19">
        <f>Forudsætninger!$E$62+Forudsætninger!$C$16</f>
        <v>1575</v>
      </c>
      <c r="AB104" s="19">
        <f>IF(K104&gt;Forudsætninger!$C$48,IF(K104&gt;Forudsætninger!$C$49,IF(K104&gt;Forudsætninger!$C$50,Forudsætninger!$E$50,Forudsætninger!$E$49+Forudsætninger!$F$50*(K104-Forudsætninger!$C$49)),Forudsætninger!$E$48+Forudsætninger!$F$49*(K104-Forudsætninger!$C$48)),Forudsætninger!$E$48)+IF(K104&gt;Forudsætninger!$C$50,Forudsætninger!$G$50,IF(K104&gt;Forudsætninger!$C$49,Forudsætninger!$G$49+Forudsætninger!$H$50*(K104-Forudsætninger!$C$49),IF(K104&gt;Forudsætninger!$C$48,Forudsætninger!$G$48+Forudsætninger!$H$49*(K104-Forudsætninger!$C$48),Forudsætninger!$G$48)))*(U104-Forudsætninger!$H$48)</f>
        <v>35.162987646372315</v>
      </c>
      <c r="AC104" s="19">
        <f>IF(K104&gt;Forudsætninger!$C$52,IF(K104&gt;Forudsætninger!$C$53,IF(K104&gt;Forudsætninger!$C$54,Forudsætninger!$E$54,Forudsætninger!$E$53+Forudsætninger!$F$54*(K104-Forudsætninger!$C$53)),Forudsætninger!$E$52+Forudsætninger!$F$53*(K104-Forudsætninger!$C$52)),Forudsætninger!$E$52)+IF(K104&gt;Forudsætninger!$C$54,Forudsætninger!$G$54,IF(K104&gt;Forudsætninger!$C$53,Forudsætninger!$G$53+Forudsætninger!$H$54*(K104-Forudsætninger!$C$53),IF(K104&gt;Forudsætninger!$C$52,Forudsætninger!$G$52+Forudsætninger!$H$53*(K104-Forudsætninger!$C$52),Forudsætninger!$G$52)))*(V104-Forudsætninger!$H$52)</f>
        <v>30.057469115930786</v>
      </c>
      <c r="AD104" s="19">
        <f t="shared" si="34"/>
        <v>2745.1869901094042</v>
      </c>
      <c r="AE104" s="19">
        <f t="shared" si="35"/>
        <v>30.057469115930786</v>
      </c>
      <c r="AF104">
        <f>IF(G104&lt;=Forudsætninger!$C$97,Forudsætninger!$C$98,(IF(G104&lt;=Forudsætninger!$D$97,Forudsætninger!$D$98,IF(G104&lt;=Forudsætninger!$E$97,Forudsætninger!$E$98,IF(G104&lt;=Forudsætninger!$F$97,Forudsætninger!$F$98,IF(G104&lt;=Forudsætninger!$G$97,Forudsætninger!$G$98,IF(G104&lt;=Forudsætninger!$H$97,Forudsætninger!$H$98,IF(G104&lt;=Forudsætninger!$I$97,Forudsætninger!$I$98,Forudsætninger!$I$98))))))))</f>
        <v>2.2000000000000002</v>
      </c>
      <c r="AG104" s="1">
        <f t="shared" si="44"/>
        <v>2.2000000000000002</v>
      </c>
      <c r="AH104" s="1">
        <f t="shared" si="48"/>
        <v>224.39999999999961</v>
      </c>
      <c r="AI104" s="1">
        <f t="shared" si="36"/>
        <v>2.1999999999999962</v>
      </c>
      <c r="AJ104" s="20">
        <f>+(W104*Forudsætninger!$C$12)</f>
        <v>0</v>
      </c>
      <c r="AK104" s="20">
        <f>Forudsætninger!$C$17</f>
        <v>250</v>
      </c>
      <c r="AL104" s="20">
        <f>IF(A104&lt;92,Forudsætninger!$C$20,Forudsætninger!$C$21)</f>
        <v>1.0566762728146013</v>
      </c>
      <c r="AM104" s="20">
        <f t="shared" si="45"/>
        <v>376.28646268037846</v>
      </c>
      <c r="AN104" s="19">
        <f>IFERROR(AD104+AJ104-AA104-Z104-AK104-AM104-Forudsætninger!$E$75,-999999)</f>
        <v>-1048.1400565011547</v>
      </c>
      <c r="AO104" s="19">
        <f>IFERROR(AN104/(A104+Forudsætninger!$E$74),-999999)</f>
        <v>-10.275882906874067</v>
      </c>
      <c r="AP104" s="19">
        <f>IFERROR(((365/(A104+Forudsætninger!$E$74))*AN104)/(AI104+Forudsætninger!$E$73),-999999)</f>
        <v>-1623.6784679692817</v>
      </c>
      <c r="AQ104" s="18">
        <f t="shared" si="37"/>
        <v>102</v>
      </c>
      <c r="AR104" s="18">
        <f t="shared" si="49"/>
        <v>3602.1102852739432</v>
      </c>
      <c r="AS104" s="18">
        <f t="shared" si="29"/>
        <v>4.5</v>
      </c>
      <c r="AT104" s="50">
        <f t="shared" si="50"/>
        <v>8.2405615620943991</v>
      </c>
      <c r="AU104" s="50">
        <f t="shared" si="51"/>
        <v>0.18333113335612339</v>
      </c>
      <c r="AV104" s="2">
        <f t="shared" si="52"/>
        <v>28.967906352807404</v>
      </c>
      <c r="AW104" s="16">
        <f t="shared" si="46"/>
        <v>-6.5867999394193752</v>
      </c>
      <c r="AZ104" s="16"/>
      <c r="BA104" s="2"/>
    </row>
    <row r="105" spans="1:53" x14ac:dyDescent="0.25">
      <c r="A105">
        <v>103</v>
      </c>
      <c r="B105" s="1">
        <f>ROUND((A105+Forudsætninger!$E$60)/30.4,1)</f>
        <v>4.5999999999999996</v>
      </c>
      <c r="C105" s="1">
        <f>VLOOKUP((A105+Forudsætninger!$E$60),'Model tilvækst, slagteform, fe'!A:D,4,FALSE)</f>
        <v>194.9939774380853</v>
      </c>
      <c r="D105" s="3">
        <f t="shared" si="53"/>
        <v>1566.3526107562973</v>
      </c>
      <c r="E105" s="3">
        <f>(1+Forudsætninger!$E$78)*C105</f>
        <v>179.39445924303848</v>
      </c>
      <c r="F105" s="2">
        <f t="shared" si="54"/>
        <v>2.3063821115858767</v>
      </c>
      <c r="G105" s="1">
        <f t="shared" si="30"/>
        <v>181.70084135462437</v>
      </c>
      <c r="H105" s="3">
        <f t="shared" si="38"/>
        <v>1378.3902974655575</v>
      </c>
      <c r="I105" s="3">
        <f t="shared" si="31"/>
        <v>1103.8916636371298</v>
      </c>
      <c r="J105" s="1">
        <f>VLOOKUP((A105+Forudsætninger!$E$60),'Model tilvækst, slagteform, fe'!G:K,4,FALSE)*(1+Forudsætninger!$E$79)</f>
        <v>50.668735420511595</v>
      </c>
      <c r="K105" s="17">
        <f t="shared" si="32"/>
        <v>92.065518562818127</v>
      </c>
      <c r="L105" s="17">
        <f t="shared" si="39"/>
        <v>734.24314766931786</v>
      </c>
      <c r="M105" s="3">
        <f>((K105-(('Model tilvækst, slagteform, fe'!$J$9/100)*'Model tilvækst, slagteform, fe'!$D$9))*1000/(A105+Forudsætninger!$E$60))</f>
        <v>516.77057861852438</v>
      </c>
      <c r="N105" s="17">
        <f t="shared" si="40"/>
        <v>353.48609211552935</v>
      </c>
      <c r="O105" s="19">
        <f>IF( A105&lt;Forudsætninger!$C$14,(G105/100)*Forudsætninger!$C$13,(Forudsætninger!$C$15/1000)*Forudsætninger!$C$13)</f>
        <v>1.1810554688050585</v>
      </c>
      <c r="P105" s="17" cm="1">
        <f t="array" ref="P105">INDEX('Model tilvækst, slagteform, fe'!$P$9:$P$375,MATCH(MIN(ABS('Model tilvækst, slagteform, fe'!$M$9:$M$375-G105)),ABS('Model tilvækst, slagteform, fe'!$M$9:$M$375-G105),0))*(1+Forudsætninger!$E$80)</f>
        <v>5.0338417952545571</v>
      </c>
      <c r="Q105" s="17">
        <f t="shared" si="41"/>
        <v>6.8558240022168455</v>
      </c>
      <c r="R105" s="17">
        <f t="shared" si="42"/>
        <v>5.9812691095781627</v>
      </c>
      <c r="S105" s="17">
        <f t="shared" si="43"/>
        <v>3.1089136008504354</v>
      </c>
      <c r="T105" s="19">
        <f>(P105)*IF(N105&lt;Forudsætninger!$B$228,IF(N105&lt;Forudsætninger!$B$227,Forudsætninger!$B$225,Forudsætninger!$C$9),Forudsætninger!$C$11)+O105</f>
        <v>12.960245269700721</v>
      </c>
      <c r="U105" s="5">
        <f>Forudsætninger!$E$68+((K105-(Forudsætninger!$E$84)))*0.01</f>
        <v>5.637218895199851</v>
      </c>
      <c r="V105" s="2">
        <f>U105+Forudsætninger!$E$69</f>
        <v>5.637218895199851</v>
      </c>
      <c r="W105">
        <f t="shared" si="33"/>
        <v>0</v>
      </c>
      <c r="X105">
        <f>IF(A105+Forudsætninger!$E$60&gt;248,IF(A105+Forudsætninger!$E$60&lt;365,IF(K105&gt;180,IF(K105&lt;260,1,0),0),0),0)</f>
        <v>0</v>
      </c>
      <c r="Y105" s="22">
        <f>IF(X105=0,0,IF('Vækstfunktion, kry kvie'!A105&lt;Forudsætninger!$E$66,Forudsætninger!$E$67+(('Vækstfunktion, kry kvie'!A105-Forudsætninger!$E$66)/7)*Forudsætninger!$E$64,Forudsætninger!$E$67))</f>
        <v>0</v>
      </c>
      <c r="Z105" s="19">
        <f t="shared" si="47"/>
        <v>1413.7840678632654</v>
      </c>
      <c r="AA105" s="19">
        <f>Forudsætninger!$E$62+Forudsætninger!$C$16</f>
        <v>1575</v>
      </c>
      <c r="AB105" s="19">
        <f>IF(K105&gt;Forudsætninger!$C$48,IF(K105&gt;Forudsætninger!$C$49,IF(K105&gt;Forudsætninger!$C$50,Forudsætninger!$E$50,Forudsætninger!$E$49+Forudsætninger!$F$50*(K105-Forudsætninger!$C$49)),Forudsætninger!$E$48+Forudsætninger!$F$49*(K105-Forudsætninger!$C$48)),Forudsætninger!$E$48)+IF(K105&gt;Forudsætninger!$C$50,Forudsætninger!$G$50,IF(K105&gt;Forudsætninger!$C$49,Forudsætninger!$G$49+Forudsætninger!$H$50*(K105-Forudsætninger!$C$49),IF(K105&gt;Forudsætninger!$C$48,Forudsætninger!$G$48+Forudsætninger!$H$49*(K105-Forudsætninger!$C$48),Forudsætninger!$G$48)))*(U105-Forudsætninger!$H$48)</f>
        <v>35.163721889519984</v>
      </c>
      <c r="AC105" s="19">
        <f>IF(K105&gt;Forudsætninger!$C$52,IF(K105&gt;Forudsætninger!$C$53,IF(K105&gt;Forudsætninger!$C$54,Forudsætninger!$E$54,Forudsætninger!$E$53+Forudsætninger!$F$54*(K105-Forudsætninger!$C$53)),Forudsætninger!$E$52+Forudsætninger!$F$53*(K105-Forudsætninger!$C$52)),Forudsætninger!$E$52)+IF(K105&gt;Forudsætninger!$C$54,Forudsætninger!$G$54,IF(K105&gt;Forudsætninger!$C$53,Forudsætninger!$G$53+Forudsætninger!$H$54*(K105-Forudsætninger!$C$53),IF(K105&gt;Forudsætninger!$C$52,Forudsætninger!$G$52+Forudsætninger!$H$53*(K105-Forudsætninger!$C$52),Forudsætninger!$G$52)))*(V105-Forudsætninger!$H$52)</f>
        <v>30.059304723799961</v>
      </c>
      <c r="AD105" s="19">
        <f t="shared" si="34"/>
        <v>2767.4254770344119</v>
      </c>
      <c r="AE105" s="19">
        <f t="shared" si="35"/>
        <v>30.059304723799961</v>
      </c>
      <c r="AF105">
        <f>IF(G105&lt;=Forudsætninger!$C$97,Forudsætninger!$C$98,(IF(G105&lt;=Forudsætninger!$D$97,Forudsætninger!$D$98,IF(G105&lt;=Forudsætninger!$E$97,Forudsætninger!$E$98,IF(G105&lt;=Forudsætninger!$F$97,Forudsætninger!$F$98,IF(G105&lt;=Forudsætninger!$G$97,Forudsætninger!$G$98,IF(G105&lt;=Forudsætninger!$H$97,Forudsætninger!$H$98,IF(G105&lt;=Forudsætninger!$I$97,Forudsætninger!$I$98,Forudsætninger!$I$98))))))))</f>
        <v>2.2000000000000002</v>
      </c>
      <c r="AG105" s="1">
        <f t="shared" si="44"/>
        <v>2.2000000000000002</v>
      </c>
      <c r="AH105" s="1">
        <f t="shared" si="48"/>
        <v>226.5999999999996</v>
      </c>
      <c r="AI105" s="1">
        <f t="shared" si="36"/>
        <v>2.1999999999999962</v>
      </c>
      <c r="AJ105" s="20">
        <f>+(W105*Forudsætninger!$C$12)</f>
        <v>0</v>
      </c>
      <c r="AK105" s="20">
        <f>Forudsætninger!$C$17</f>
        <v>250</v>
      </c>
      <c r="AL105" s="20">
        <f>IF(A105&lt;92,Forudsætninger!$C$20,Forudsætninger!$C$21)</f>
        <v>1.0566762728146013</v>
      </c>
      <c r="AM105" s="20">
        <f t="shared" si="45"/>
        <v>377.34313895319309</v>
      </c>
      <c r="AN105" s="19">
        <f>IFERROR(AD105+AJ105-AA105-Z105-AK105-AM105-Forudsætninger!$E$75,-999999)</f>
        <v>-1039.9184911186624</v>
      </c>
      <c r="AO105" s="19">
        <f>IFERROR(AN105/(A105+Forudsætninger!$E$74),-999999)</f>
        <v>-10.096296030278275</v>
      </c>
      <c r="AP105" s="19">
        <f>IFERROR(((365/(A105+Forudsætninger!$E$74))*AN105)/(AI105+Forudsætninger!$E$73),-999999)</f>
        <v>-1595.3021866024144</v>
      </c>
      <c r="AQ105" s="18">
        <f t="shared" si="37"/>
        <v>103</v>
      </c>
      <c r="AR105" s="18">
        <f t="shared" si="49"/>
        <v>3616.1272068164585</v>
      </c>
      <c r="AS105" s="18">
        <f t="shared" si="29"/>
        <v>4.5999999999999996</v>
      </c>
      <c r="AT105" s="50">
        <f t="shared" si="50"/>
        <v>8.221565382492372</v>
      </c>
      <c r="AU105" s="50">
        <f t="shared" si="51"/>
        <v>0.17958687659579198</v>
      </c>
      <c r="AV105" s="2">
        <f t="shared" si="52"/>
        <v>28.376281366867261</v>
      </c>
      <c r="AW105" s="16">
        <f t="shared" si="46"/>
        <v>-6.4327704093734877</v>
      </c>
      <c r="AZ105" s="16"/>
      <c r="BA105" s="2"/>
    </row>
    <row r="106" spans="1:53" x14ac:dyDescent="0.25">
      <c r="A106">
        <v>104</v>
      </c>
      <c r="B106" s="1">
        <f>ROUND((A106+Forudsætninger!$E$60)/30.4,1)</f>
        <v>4.5999999999999996</v>
      </c>
      <c r="C106" s="1">
        <f>VLOOKUP((A106+Forudsætninger!$E$60),'Model tilvækst, slagteform, fe'!A:D,4,FALSE)</f>
        <v>196.56219798721909</v>
      </c>
      <c r="D106" s="3">
        <f t="shared" si="53"/>
        <v>1568.2205491337982</v>
      </c>
      <c r="E106" s="3">
        <f>(1+Forudsætninger!$E$78)*C106</f>
        <v>180.83722214824158</v>
      </c>
      <c r="F106" s="2">
        <f t="shared" si="54"/>
        <v>2.2436532896205246</v>
      </c>
      <c r="G106" s="1">
        <f t="shared" si="30"/>
        <v>183.08087543786209</v>
      </c>
      <c r="H106" s="3">
        <f t="shared" si="38"/>
        <v>1380.0340832377174</v>
      </c>
      <c r="I106" s="3">
        <f t="shared" si="31"/>
        <v>1106.5468792102124</v>
      </c>
      <c r="J106" s="1">
        <f>VLOOKUP((A106+Forudsætninger!$E$60),'Model tilvækst, slagteform, fe'!G:K,4,FALSE)*(1+Forudsætninger!$E$79)</f>
        <v>50.688643921186106</v>
      </c>
      <c r="K106" s="17">
        <f t="shared" si="32"/>
        <v>92.801213038488186</v>
      </c>
      <c r="L106" s="17">
        <f t="shared" si="39"/>
        <v>735.69447567005852</v>
      </c>
      <c r="M106" s="3">
        <f>((K106-(('Model tilvækst, slagteform, fe'!$J$9/100)*'Model tilvækst, slagteform, fe'!$D$9))*1000/(A106+Forudsætninger!$E$60))</f>
        <v>518.334320740321</v>
      </c>
      <c r="N106" s="17">
        <f t="shared" si="40"/>
        <v>358.54452755242465</v>
      </c>
      <c r="O106" s="19">
        <f>IF( A106&lt;Forudsætninger!$C$14,(G106/100)*Forudsætninger!$C$13,(Forudsætninger!$C$15/1000)*Forudsætninger!$C$13)</f>
        <v>1.1900256903461037</v>
      </c>
      <c r="P106" s="17" cm="1">
        <f t="array" ref="P106">INDEX('Model tilvækst, slagteform, fe'!$P$9:$P$375,MATCH(MIN(ABS('Model tilvækst, slagteform, fe'!$M$9:$M$375-G106)),ABS('Model tilvækst, slagteform, fe'!$M$9:$M$375-G106),0))*(1+Forudsætninger!$E$80)</f>
        <v>5.0584354368953175</v>
      </c>
      <c r="Q106" s="17">
        <f t="shared" si="41"/>
        <v>6.8757284500310769</v>
      </c>
      <c r="R106" s="17">
        <f t="shared" si="42"/>
        <v>5.9922669180080499</v>
      </c>
      <c r="S106" s="17">
        <f t="shared" si="43"/>
        <v>3.1155874178765761</v>
      </c>
      <c r="T106" s="19">
        <f>(P106)*IF(N106&lt;Forudsætninger!$B$228,IF(N106&lt;Forudsætninger!$B$227,Forudsætninger!$B$225,Forudsætninger!$C$9),Forudsætninger!$C$11)+O106</f>
        <v>13.026764612681147</v>
      </c>
      <c r="U106" s="5">
        <f>Forudsætninger!$E$68+((K106-(Forudsætninger!$E$84)))*0.01</f>
        <v>5.6445758399565511</v>
      </c>
      <c r="V106" s="2">
        <f>U106+Forudsætninger!$E$69</f>
        <v>5.6445758399565511</v>
      </c>
      <c r="W106">
        <f t="shared" si="33"/>
        <v>0</v>
      </c>
      <c r="X106">
        <f>IF(A106+Forudsætninger!$E$60&gt;248,IF(A106+Forudsætninger!$E$60&lt;365,IF(K106&gt;180,IF(K106&lt;260,1,0),0),0),0)</f>
        <v>0</v>
      </c>
      <c r="Y106" s="22">
        <f>IF(X106=0,0,IF('Vækstfunktion, kry kvie'!A106&lt;Forudsætninger!$E$66,Forudsætninger!$E$67+(('Vækstfunktion, kry kvie'!A106-Forudsætninger!$E$66)/7)*Forudsætninger!$E$64,Forudsætninger!$E$67))</f>
        <v>0</v>
      </c>
      <c r="Z106" s="19">
        <f t="shared" si="47"/>
        <v>1426.8108324759464</v>
      </c>
      <c r="AA106" s="19">
        <f>Forudsætninger!$E$62+Forudsætninger!$C$16</f>
        <v>1575</v>
      </c>
      <c r="AB106" s="19">
        <f>IF(K106&gt;Forudsætninger!$C$48,IF(K106&gt;Forudsætninger!$C$49,IF(K106&gt;Forudsætninger!$C$50,Forudsætninger!$E$50,Forudsætninger!$E$49+Forudsætninger!$F$50*(K106-Forudsætninger!$C$49)),Forudsætninger!$E$48+Forudsætninger!$F$49*(K106-Forudsætninger!$C$48)),Forudsætninger!$E$48)+IF(K106&gt;Forudsætninger!$C$50,Forudsætninger!$G$50,IF(K106&gt;Forudsætninger!$C$49,Forudsætninger!$G$49+Forudsætninger!$H$50*(K106-Forudsætninger!$C$49),IF(K106&gt;Forudsætninger!$C$48,Forudsætninger!$G$48+Forudsætninger!$H$49*(K106-Forudsætninger!$C$48),Forudsætninger!$G$48)))*(U106-Forudsætninger!$H$48)</f>
        <v>35.164457583995656</v>
      </c>
      <c r="AC106" s="19">
        <f>IF(K106&gt;Forudsætninger!$C$52,IF(K106&gt;Forudsætninger!$C$53,IF(K106&gt;Forudsætninger!$C$54,Forudsætninger!$E$54,Forudsætninger!$E$53+Forudsætninger!$F$54*(K106-Forudsætninger!$C$53)),Forudsætninger!$E$52+Forudsætninger!$F$53*(K106-Forudsætninger!$C$52)),Forudsætninger!$E$52)+IF(K106&gt;Forudsætninger!$C$54,Forudsætninger!$G$54,IF(K106&gt;Forudsætninger!$C$53,Forudsætninger!$G$53+Forudsætninger!$H$54*(K106-Forudsætninger!$C$53),IF(K106&gt;Forudsætninger!$C$52,Forudsætninger!$G$52+Forudsætninger!$H$53*(K106-Forudsætninger!$C$52),Forudsætninger!$G$52)))*(V106-Forudsætninger!$H$52)</f>
        <v>30.061143959989135</v>
      </c>
      <c r="AD106" s="19">
        <f t="shared" si="34"/>
        <v>2789.7106248116143</v>
      </c>
      <c r="AE106" s="19">
        <f t="shared" si="35"/>
        <v>30.061143959989138</v>
      </c>
      <c r="AF106">
        <f>IF(G106&lt;=Forudsætninger!$C$97,Forudsætninger!$C$98,(IF(G106&lt;=Forudsætninger!$D$97,Forudsætninger!$D$98,IF(G106&lt;=Forudsætninger!$E$97,Forudsætninger!$E$98,IF(G106&lt;=Forudsætninger!$F$97,Forudsætninger!$F$98,IF(G106&lt;=Forudsætninger!$G$97,Forudsætninger!$G$98,IF(G106&lt;=Forudsætninger!$H$97,Forudsætninger!$H$98,IF(G106&lt;=Forudsætninger!$I$97,Forudsætninger!$I$98,Forudsætninger!$I$98))))))))</f>
        <v>2.2000000000000002</v>
      </c>
      <c r="AG106" s="1">
        <f t="shared" si="44"/>
        <v>2.2000000000000002</v>
      </c>
      <c r="AH106" s="1">
        <f t="shared" si="48"/>
        <v>228.79999999999959</v>
      </c>
      <c r="AI106" s="1">
        <f t="shared" si="36"/>
        <v>2.1999999999999962</v>
      </c>
      <c r="AJ106" s="20">
        <f>+(W106*Forudsætninger!$C$12)</f>
        <v>0</v>
      </c>
      <c r="AK106" s="20">
        <f>Forudsætninger!$C$17</f>
        <v>250</v>
      </c>
      <c r="AL106" s="20">
        <f>IF(A106&lt;92,Forudsætninger!$C$20,Forudsætninger!$C$21)</f>
        <v>1.0566762728146013</v>
      </c>
      <c r="AM106" s="20">
        <f t="shared" si="45"/>
        <v>378.39981522600772</v>
      </c>
      <c r="AN106" s="19">
        <f>IFERROR(AD106+AJ106-AA106-Z106-AK106-AM106-Forudsætninger!$E$75,-999999)</f>
        <v>-1031.7167842269557</v>
      </c>
      <c r="AO106" s="19">
        <f>IFERROR(AN106/(A106+Forudsætninger!$E$74),-999999)</f>
        <v>-9.9203536944899593</v>
      </c>
      <c r="AP106" s="19">
        <f>IFERROR(((365/(A106+Forudsætninger!$E$74))*AN106)/(AI106+Forudsætninger!$E$73),-999999)</f>
        <v>-1567.5017742375935</v>
      </c>
      <c r="AQ106" s="18">
        <f t="shared" si="37"/>
        <v>104</v>
      </c>
      <c r="AR106" s="18">
        <f t="shared" si="49"/>
        <v>3630.2106477019543</v>
      </c>
      <c r="AS106" s="18">
        <f t="shared" si="29"/>
        <v>4.5999999999999996</v>
      </c>
      <c r="AT106" s="50">
        <f t="shared" si="50"/>
        <v>8.2017068917066354</v>
      </c>
      <c r="AU106" s="50">
        <f t="shared" si="51"/>
        <v>0.17594233578831542</v>
      </c>
      <c r="AV106" s="2">
        <f t="shared" si="52"/>
        <v>27.800412364820886</v>
      </c>
      <c r="AW106" s="16">
        <f t="shared" si="46"/>
        <v>-6.2818939327014229</v>
      </c>
      <c r="AZ106" s="16"/>
      <c r="BA106" s="2"/>
    </row>
    <row r="107" spans="1:53" x14ac:dyDescent="0.25">
      <c r="A107">
        <v>105</v>
      </c>
      <c r="B107" s="1">
        <f>ROUND((A107+Forudsætninger!$E$60)/30.4,1)</f>
        <v>4.5999999999999996</v>
      </c>
      <c r="C107" s="1">
        <f>VLOOKUP((A107+Forudsætninger!$E$60),'Model tilvækst, slagteform, fe'!A:D,4,FALSE)</f>
        <v>198.1321980626071</v>
      </c>
      <c r="D107" s="3">
        <f t="shared" si="53"/>
        <v>1570.000075388009</v>
      </c>
      <c r="E107" s="3">
        <f>(1+Forudsætninger!$E$78)*C107</f>
        <v>182.28162221759854</v>
      </c>
      <c r="F107" s="2">
        <f t="shared" si="54"/>
        <v>2.1808532866050041</v>
      </c>
      <c r="G107" s="1">
        <f t="shared" si="30"/>
        <v>184.46247550420355</v>
      </c>
      <c r="H107" s="3">
        <f t="shared" si="38"/>
        <v>1381.6000663414627</v>
      </c>
      <c r="I107" s="3">
        <f t="shared" si="31"/>
        <v>1109.1664333733672</v>
      </c>
      <c r="J107" s="1">
        <f>VLOOKUP((A107+Forudsætninger!$E$60),'Model tilvækst, slagteform, fe'!G:K,4,FALSE)*(1+Forudsætninger!$E$79)</f>
        <v>50.708591050304939</v>
      </c>
      <c r="K107" s="17">
        <f t="shared" si="32"/>
        <v>93.538322344695501</v>
      </c>
      <c r="L107" s="17">
        <f t="shared" si="39"/>
        <v>737.10930620731574</v>
      </c>
      <c r="M107" s="3">
        <f>((K107-(('Model tilvækst, slagteform, fe'!$J$9/100)*'Model tilvækst, slagteform, fe'!$D$9))*1000/(A107+Forudsætninger!$E$60))</f>
        <v>519.88591638193088</v>
      </c>
      <c r="N107" s="17">
        <f t="shared" si="40"/>
        <v>363.62745360214325</v>
      </c>
      <c r="O107" s="19">
        <f>IF( A107&lt;Forudsætninger!$C$14,(G107/100)*Forudsætninger!$C$13,(Forudsætninger!$C$15/1000)*Forudsætninger!$C$13)</f>
        <v>1.1990060907773232</v>
      </c>
      <c r="P107" s="17" cm="1">
        <f t="array" ref="P107">INDEX('Model tilvækst, slagteform, fe'!$P$9:$P$375,MATCH(MIN(ABS('Model tilvækst, slagteform, fe'!$M$9:$M$375-G107)),ABS('Model tilvækst, slagteform, fe'!$M$9:$M$375-G107),0))*(1+Forudsætninger!$E$80)</f>
        <v>5.0829260497185702</v>
      </c>
      <c r="Q107" s="17">
        <f t="shared" si="41"/>
        <v>6.8957561747144345</v>
      </c>
      <c r="R107" s="17">
        <f t="shared" si="42"/>
        <v>6.0032616714897342</v>
      </c>
      <c r="S107" s="17">
        <f t="shared" si="43"/>
        <v>3.1222713756330776</v>
      </c>
      <c r="T107" s="19">
        <f>(P107)*IF(N107&lt;Forudsætninger!$B$228,IF(N107&lt;Forudsætninger!$B$227,Forudsætninger!$B$225,Forudsætninger!$C$9),Forudsætninger!$C$11)+O107</f>
        <v>13.093053047118776</v>
      </c>
      <c r="U107" s="5">
        <f>Forudsætninger!$E$68+((K107-(Forudsætninger!$E$84)))*0.01</f>
        <v>5.6519469330186247</v>
      </c>
      <c r="V107" s="2">
        <f>U107+Forudsætninger!$E$69</f>
        <v>5.6519469330186247</v>
      </c>
      <c r="W107">
        <f t="shared" si="33"/>
        <v>0</v>
      </c>
      <c r="X107">
        <f>IF(A107+Forudsætninger!$E$60&gt;248,IF(A107+Forudsætninger!$E$60&lt;365,IF(K107&gt;180,IF(K107&lt;260,1,0),0),0),0)</f>
        <v>0</v>
      </c>
      <c r="Y107" s="22">
        <f>IF(X107=0,0,IF('Vækstfunktion, kry kvie'!A107&lt;Forudsætninger!$E$66,Forudsætninger!$E$67+(('Vækstfunktion, kry kvie'!A107-Forudsætninger!$E$66)/7)*Forudsætninger!$E$64,Forudsætninger!$E$67))</f>
        <v>0</v>
      </c>
      <c r="Z107" s="19">
        <f t="shared" si="47"/>
        <v>1439.9038855230651</v>
      </c>
      <c r="AA107" s="19">
        <f>Forudsætninger!$E$62+Forudsætninger!$C$16</f>
        <v>1575</v>
      </c>
      <c r="AB107" s="19">
        <f>IF(K107&gt;Forudsætninger!$C$48,IF(K107&gt;Forudsætninger!$C$49,IF(K107&gt;Forudsætninger!$C$50,Forudsætninger!$E$50,Forudsætninger!$E$49+Forudsætninger!$F$50*(K107-Forudsætninger!$C$49)),Forudsætninger!$E$48+Forudsætninger!$F$49*(K107-Forudsætninger!$C$48)),Forudsætninger!$E$48)+IF(K107&gt;Forudsætninger!$C$50,Forudsætninger!$G$50,IF(K107&gt;Forudsætninger!$C$49,Forudsætninger!$G$49+Forudsætninger!$H$50*(K107-Forudsætninger!$C$49),IF(K107&gt;Forudsætninger!$C$48,Forudsætninger!$G$48+Forudsætninger!$H$49*(K107-Forudsætninger!$C$48),Forudsætninger!$G$48)))*(U107-Forudsætninger!$H$48)</f>
        <v>35.165194693301864</v>
      </c>
      <c r="AC107" s="19">
        <f>IF(K107&gt;Forudsætninger!$C$52,IF(K107&gt;Forudsætninger!$C$53,IF(K107&gt;Forudsætninger!$C$54,Forudsætninger!$E$54,Forudsætninger!$E$53+Forudsætninger!$F$54*(K107-Forudsætninger!$C$53)),Forudsætninger!$E$52+Forudsætninger!$F$53*(K107-Forudsætninger!$C$52)),Forudsætninger!$E$52)+IF(K107&gt;Forudsætninger!$C$54,Forudsætninger!$G$54,IF(K107&gt;Forudsætninger!$C$53,Forudsætninger!$G$53+Forudsætninger!$H$54*(K107-Forudsætninger!$C$53),IF(K107&gt;Forudsætninger!$C$52,Forudsætninger!$G$52+Forudsætninger!$H$53*(K107-Forudsætninger!$C$52),Forudsætninger!$G$52)))*(V107-Forudsætninger!$H$52)</f>
        <v>30.062986733254654</v>
      </c>
      <c r="AD107" s="19">
        <f t="shared" si="34"/>
        <v>2812.0413436994781</v>
      </c>
      <c r="AE107" s="19">
        <f t="shared" si="35"/>
        <v>30.062986733254654</v>
      </c>
      <c r="AF107">
        <f>IF(G107&lt;=Forudsætninger!$C$97,Forudsætninger!$C$98,(IF(G107&lt;=Forudsætninger!$D$97,Forudsætninger!$D$98,IF(G107&lt;=Forudsætninger!$E$97,Forudsætninger!$E$98,IF(G107&lt;=Forudsætninger!$F$97,Forudsætninger!$F$98,IF(G107&lt;=Forudsætninger!$G$97,Forudsætninger!$G$98,IF(G107&lt;=Forudsætninger!$H$97,Forudsætninger!$H$98,IF(G107&lt;=Forudsætninger!$I$97,Forudsætninger!$I$98,Forudsætninger!$I$98))))))))</f>
        <v>2.2000000000000002</v>
      </c>
      <c r="AG107" s="1">
        <f t="shared" si="44"/>
        <v>2.2000000000000002</v>
      </c>
      <c r="AH107" s="1">
        <f t="shared" si="48"/>
        <v>230.99999999999957</v>
      </c>
      <c r="AI107" s="1">
        <f t="shared" si="36"/>
        <v>2.1999999999999957</v>
      </c>
      <c r="AJ107" s="20">
        <f>+(W107*Forudsætninger!$C$12)</f>
        <v>0</v>
      </c>
      <c r="AK107" s="20">
        <f>Forudsætninger!$C$17</f>
        <v>250</v>
      </c>
      <c r="AL107" s="20">
        <f>IF(A107&lt;92,Forudsætninger!$C$20,Forudsætninger!$C$21)</f>
        <v>1.0566762728146013</v>
      </c>
      <c r="AM107" s="20">
        <f t="shared" si="45"/>
        <v>379.45649149882234</v>
      </c>
      <c r="AN107" s="19">
        <f>IFERROR(AD107+AJ107-AA107-Z107-AK107-AM107-Forudsætninger!$E$75,-999999)</f>
        <v>-1023.5357946590251</v>
      </c>
      <c r="AO107" s="19">
        <f>IFERROR(AN107/(A107+Forudsætninger!$E$74),-999999)</f>
        <v>-9.7479599491335716</v>
      </c>
      <c r="AP107" s="19">
        <f>IFERROR(((365/(A107+Forudsætninger!$E$74))*AN107)/(AI107+Forudsætninger!$E$73),-999999)</f>
        <v>-1540.262069884745</v>
      </c>
      <c r="AQ107" s="18">
        <f t="shared" si="37"/>
        <v>105</v>
      </c>
      <c r="AR107" s="18">
        <f t="shared" si="49"/>
        <v>3644.3603770218874</v>
      </c>
      <c r="AS107" s="18">
        <f t="shared" si="29"/>
        <v>4.5999999999999996</v>
      </c>
      <c r="AT107" s="50">
        <f t="shared" si="50"/>
        <v>8.1809895679306237</v>
      </c>
      <c r="AU107" s="50">
        <f t="shared" si="51"/>
        <v>0.17239374535638774</v>
      </c>
      <c r="AV107" s="2">
        <f t="shared" si="52"/>
        <v>27.239704352848548</v>
      </c>
      <c r="AW107" s="16">
        <f t="shared" si="46"/>
        <v>-6.1340886015257396</v>
      </c>
      <c r="AZ107" s="16"/>
      <c r="BA107" s="2"/>
    </row>
    <row r="108" spans="1:53" x14ac:dyDescent="0.25">
      <c r="A108">
        <v>106</v>
      </c>
      <c r="B108" s="1">
        <f>ROUND((A108+Forudsætninger!$E$60)/30.4,1)</f>
        <v>4.7</v>
      </c>
      <c r="C108" s="1">
        <f>VLOOKUP((A108+Forudsætninger!$E$60),'Model tilvækst, slagteform, fe'!A:D,4,FALSE)</f>
        <v>199.70388983714685</v>
      </c>
      <c r="D108" s="3">
        <f t="shared" si="53"/>
        <v>1571.6917745397438</v>
      </c>
      <c r="E108" s="3">
        <f>(1+Forudsætninger!$E$78)*C108</f>
        <v>183.7275786501751</v>
      </c>
      <c r="F108" s="2">
        <f t="shared" si="54"/>
        <v>2.1179856156234145</v>
      </c>
      <c r="G108" s="1">
        <f t="shared" si="30"/>
        <v>185.84556426579852</v>
      </c>
      <c r="H108" s="3">
        <f t="shared" si="38"/>
        <v>1383.0887615949621</v>
      </c>
      <c r="I108" s="3">
        <f t="shared" si="31"/>
        <v>1111.7506062811181</v>
      </c>
      <c r="J108" s="1">
        <f>VLOOKUP((A108+Forudsætninger!$E$60),'Model tilvækst, slagteform, fe'!G:K,4,FALSE)*(1+Forudsætninger!$E$79)</f>
        <v>50.728577015361395</v>
      </c>
      <c r="K108" s="17">
        <f t="shared" si="32"/>
        <v>94.276810198208565</v>
      </c>
      <c r="L108" s="17">
        <f t="shared" si="39"/>
        <v>738.4878535130639</v>
      </c>
      <c r="M108" s="3">
        <f>((K108-(('Model tilvækst, slagteform, fe'!$J$9/100)*'Model tilvækst, slagteform, fe'!$D$9))*1000/(A108+Forudsætninger!$E$60))</f>
        <v>521.42536664341765</v>
      </c>
      <c r="N108" s="17">
        <f t="shared" si="40"/>
        <v>368.73476851902552</v>
      </c>
      <c r="O108" s="19">
        <f>IF( A108&lt;Forudsætninger!$C$14,(G108/100)*Forudsætninger!$C$13,(Forudsætninger!$C$15/1000)*Forudsætninger!$C$13)</f>
        <v>1.2079961677276905</v>
      </c>
      <c r="P108" s="17" cm="1">
        <f t="array" ref="P108">INDEX('Model tilvækst, slagteform, fe'!$P$9:$P$375,MATCH(MIN(ABS('Model tilvækst, slagteform, fe'!$M$9:$M$375-G108)),ABS('Model tilvækst, slagteform, fe'!$M$9:$M$375-G108),0))*(1+Forudsætninger!$E$80)</f>
        <v>5.1073149168822676</v>
      </c>
      <c r="Q108" s="17">
        <f t="shared" si="41"/>
        <v>6.9159091684260439</v>
      </c>
      <c r="R108" s="17">
        <f t="shared" si="42"/>
        <v>6.0142546187439994</v>
      </c>
      <c r="S108" s="17">
        <f t="shared" si="43"/>
        <v>3.1289660397174646</v>
      </c>
      <c r="T108" s="19">
        <f>(P108)*IF(N108&lt;Forudsætninger!$B$228,IF(N108&lt;Forudsætninger!$B$227,Forudsætninger!$B$225,Forudsætninger!$C$9),Forudsætninger!$C$11)+O108</f>
        <v>13.159113073232197</v>
      </c>
      <c r="U108" s="5">
        <f>Forudsætninger!$E$68+((K108-(Forudsætninger!$E$84)))*0.01</f>
        <v>5.6593318115537548</v>
      </c>
      <c r="V108" s="2">
        <f>U108+Forudsætninger!$E$69</f>
        <v>5.6593318115537548</v>
      </c>
      <c r="W108">
        <f t="shared" si="33"/>
        <v>0</v>
      </c>
      <c r="X108">
        <f>IF(A108+Forudsætninger!$E$60&gt;248,IF(A108+Forudsætninger!$E$60&lt;365,IF(K108&gt;180,IF(K108&lt;260,1,0),0),0),0)</f>
        <v>0</v>
      </c>
      <c r="Y108" s="22">
        <f>IF(X108=0,0,IF('Vækstfunktion, kry kvie'!A108&lt;Forudsætninger!$E$66,Forudsætninger!$E$67+(('Vækstfunktion, kry kvie'!A108-Forudsætninger!$E$66)/7)*Forudsætninger!$E$64,Forudsætninger!$E$67))</f>
        <v>0</v>
      </c>
      <c r="Z108" s="19">
        <f t="shared" si="47"/>
        <v>1453.0629985962973</v>
      </c>
      <c r="AA108" s="19">
        <f>Forudsætninger!$E$62+Forudsætninger!$C$16</f>
        <v>1575</v>
      </c>
      <c r="AB108" s="19">
        <f>IF(K108&gt;Forudsætninger!$C$48,IF(K108&gt;Forudsætninger!$C$49,IF(K108&gt;Forudsætninger!$C$50,Forudsætninger!$E$50,Forudsætninger!$E$49+Forudsætninger!$F$50*(K108-Forudsætninger!$C$49)),Forudsætninger!$E$48+Forudsætninger!$F$49*(K108-Forudsætninger!$C$48)),Forudsætninger!$E$48)+IF(K108&gt;Forudsætninger!$C$50,Forudsætninger!$G$50,IF(K108&gt;Forudsætninger!$C$49,Forudsætninger!$G$49+Forudsætninger!$H$50*(K108-Forudsætninger!$C$49),IF(K108&gt;Forudsætninger!$C$48,Forudsætninger!$G$48+Forudsætninger!$H$49*(K108-Forudsætninger!$C$48),Forudsætninger!$G$48)))*(U108-Forudsætninger!$H$48)</f>
        <v>35.165933181155374</v>
      </c>
      <c r="AC108" s="19">
        <f>IF(K108&gt;Forudsætninger!$C$52,IF(K108&gt;Forudsætninger!$C$53,IF(K108&gt;Forudsætninger!$C$54,Forudsætninger!$E$54,Forudsætninger!$E$53+Forudsætninger!$F$54*(K108-Forudsætninger!$C$53)),Forudsætninger!$E$52+Forudsætninger!$F$53*(K108-Forudsætninger!$C$52)),Forudsætninger!$E$52)+IF(K108&gt;Forudsætninger!$C$54,Forudsætninger!$G$54,IF(K108&gt;Forudsætninger!$C$53,Forudsætninger!$G$53+Forudsætninger!$H$54*(K108-Forudsætninger!$C$53),IF(K108&gt;Forudsætninger!$C$52,Forudsætninger!$G$52+Forudsætninger!$H$53*(K108-Forudsætninger!$C$52),Forudsætninger!$G$52)))*(V108-Forudsætninger!$H$52)</f>
        <v>30.064832952888437</v>
      </c>
      <c r="AD108" s="19">
        <f t="shared" si="34"/>
        <v>2834.4165499403098</v>
      </c>
      <c r="AE108" s="19">
        <f t="shared" si="35"/>
        <v>30.064832952888441</v>
      </c>
      <c r="AF108">
        <f>IF(G108&lt;=Forudsætninger!$C$97,Forudsætninger!$C$98,(IF(G108&lt;=Forudsætninger!$D$97,Forudsætninger!$D$98,IF(G108&lt;=Forudsætninger!$E$97,Forudsætninger!$E$98,IF(G108&lt;=Forudsætninger!$F$97,Forudsætninger!$F$98,IF(G108&lt;=Forudsætninger!$G$97,Forudsætninger!$G$98,IF(G108&lt;=Forudsætninger!$H$97,Forudsætninger!$H$98,IF(G108&lt;=Forudsætninger!$I$97,Forudsætninger!$I$98,Forudsætninger!$I$98))))))))</f>
        <v>2.2000000000000002</v>
      </c>
      <c r="AG108" s="1">
        <f t="shared" si="44"/>
        <v>2.2000000000000002</v>
      </c>
      <c r="AH108" s="1">
        <f t="shared" si="48"/>
        <v>233.19999999999956</v>
      </c>
      <c r="AI108" s="1">
        <f t="shared" si="36"/>
        <v>2.1999999999999957</v>
      </c>
      <c r="AJ108" s="20">
        <f>+(W108*Forudsætninger!$C$12)</f>
        <v>0</v>
      </c>
      <c r="AK108" s="20">
        <f>Forudsætninger!$C$17</f>
        <v>250</v>
      </c>
      <c r="AL108" s="20">
        <f>IF(A108&lt;92,Forudsætninger!$C$20,Forudsætninger!$C$21)</f>
        <v>1.0566762728146013</v>
      </c>
      <c r="AM108" s="20">
        <f t="shared" si="45"/>
        <v>380.51316777163697</v>
      </c>
      <c r="AN108" s="19">
        <f>IFERROR(AD108+AJ108-AA108-Z108-AK108-AM108-Forudsætninger!$E$75,-999999)</f>
        <v>-1015.3763777642404</v>
      </c>
      <c r="AO108" s="19">
        <f>IFERROR(AN108/(A108+Forudsætninger!$E$74),-999999)</f>
        <v>-9.5790224317381174</v>
      </c>
      <c r="AP108" s="19">
        <f>IFERROR(((365/(A108+Forudsætninger!$E$74))*AN108)/(AI108+Forudsætninger!$E$73),-999999)</f>
        <v>-1513.5684794737745</v>
      </c>
      <c r="AQ108" s="18">
        <f t="shared" si="37"/>
        <v>106</v>
      </c>
      <c r="AR108" s="18">
        <f t="shared" si="49"/>
        <v>3658.5761663679341</v>
      </c>
      <c r="AS108" s="18">
        <f t="shared" si="29"/>
        <v>4.7</v>
      </c>
      <c r="AT108" s="50">
        <f t="shared" si="50"/>
        <v>8.1594168947847265</v>
      </c>
      <c r="AU108" s="50">
        <f t="shared" si="51"/>
        <v>0.16893751739545415</v>
      </c>
      <c r="AV108" s="2">
        <f t="shared" si="52"/>
        <v>26.693590410970501</v>
      </c>
      <c r="AW108" s="16">
        <f t="shared" si="46"/>
        <v>-5.9892755659679562</v>
      </c>
      <c r="AZ108" s="16"/>
      <c r="BA108" s="2"/>
    </row>
    <row r="109" spans="1:53" x14ac:dyDescent="0.25">
      <c r="A109">
        <v>107</v>
      </c>
      <c r="B109" s="1">
        <f>ROUND((A109+Forudsætninger!$E$60)/30.4,1)</f>
        <v>4.7</v>
      </c>
      <c r="C109" s="1">
        <f>VLOOKUP((A109+Forudsætninger!$E$60),'Model tilvækst, slagteform, fe'!A:D,4,FALSE)</f>
        <v>201.27718606875629</v>
      </c>
      <c r="D109" s="3">
        <f t="shared" si="53"/>
        <v>1573.2962316094472</v>
      </c>
      <c r="E109" s="3">
        <f>(1+Forudsætninger!$E$78)*C109</f>
        <v>185.1750111832558</v>
      </c>
      <c r="F109" s="2">
        <f t="shared" si="54"/>
        <v>2.0550537663590367</v>
      </c>
      <c r="G109" s="1">
        <f t="shared" si="30"/>
        <v>187.23006494961484</v>
      </c>
      <c r="H109" s="3">
        <f t="shared" si="38"/>
        <v>1384.5006838163272</v>
      </c>
      <c r="I109" s="3">
        <f t="shared" si="31"/>
        <v>1114.2996724263069</v>
      </c>
      <c r="J109" s="1">
        <f>VLOOKUP((A109+Forudsætninger!$E$60),'Model tilvækst, slagteform, fe'!G:K,4,FALSE)*(1+Forudsætninger!$E$79)</f>
        <v>50.748602023848811</v>
      </c>
      <c r="K109" s="17">
        <f t="shared" si="32"/>
        <v>95.016640530273676</v>
      </c>
      <c r="L109" s="17">
        <f t="shared" si="39"/>
        <v>739.83033206511095</v>
      </c>
      <c r="M109" s="3">
        <f>((K109-(('Model tilvækst, slagteform, fe'!$J$9/100)*'Model tilvækst, slagteform, fe'!$D$9))*1000/(A109+Forudsætninger!$E$60))</f>
        <v>522.95267409391909</v>
      </c>
      <c r="N109" s="17">
        <f t="shared" si="40"/>
        <v>373.89056106588833</v>
      </c>
      <c r="O109" s="19">
        <f>IF( A109&lt;Forudsætninger!$C$14,(G109/100)*Forudsætninger!$C$13,(Forudsætninger!$C$15/1000)*Forudsætninger!$C$13)</f>
        <v>1.2169954221724966</v>
      </c>
      <c r="P109" s="17" cm="1">
        <f t="array" ref="P109">INDEX('Model tilvækst, slagteform, fe'!$P$9:$P$375,MATCH(MIN(ABS('Model tilvækst, slagteform, fe'!$M$9:$M$375-G109)),ABS('Model tilvækst, slagteform, fe'!$M$9:$M$375-G109),0))*(1+Forudsætninger!$E$80)</f>
        <v>5.1557925468627994</v>
      </c>
      <c r="Q109" s="17">
        <f t="shared" si="41"/>
        <v>6.9688850583772073</v>
      </c>
      <c r="R109" s="17">
        <f t="shared" si="42"/>
        <v>6.0256368095344515</v>
      </c>
      <c r="S109" s="17">
        <f t="shared" si="43"/>
        <v>3.1358748418353195</v>
      </c>
      <c r="T109" s="19">
        <f>(P109)*IF(N109&lt;Forudsætninger!$B$228,IF(N109&lt;Forudsætninger!$B$227,Forudsætninger!$B$225,Forudsætninger!$C$9),Forudsætninger!$C$11)+O109</f>
        <v>13.281549981831446</v>
      </c>
      <c r="U109" s="5">
        <f>Forudsætninger!$E$68+((K109-(Forudsætninger!$E$84)))*0.01</f>
        <v>5.6667301148744063</v>
      </c>
      <c r="V109" s="2">
        <f>U109+Forudsætninger!$E$69</f>
        <v>5.6667301148744063</v>
      </c>
      <c r="W109">
        <f t="shared" si="33"/>
        <v>0</v>
      </c>
      <c r="X109">
        <f>IF(A109+Forudsætninger!$E$60&gt;248,IF(A109+Forudsætninger!$E$60&lt;365,IF(K109&gt;180,IF(K109&lt;260,1,0),0),0),0)</f>
        <v>0</v>
      </c>
      <c r="Y109" s="22">
        <f>IF(X109=0,0,IF('Vækstfunktion, kry kvie'!A109&lt;Forudsætninger!$E$66,Forudsætninger!$E$67+(('Vækstfunktion, kry kvie'!A109-Forudsætninger!$E$66)/7)*Forudsætninger!$E$64,Forudsætninger!$E$67))</f>
        <v>0</v>
      </c>
      <c r="Z109" s="19">
        <f t="shared" si="47"/>
        <v>1466.3445485781288</v>
      </c>
      <c r="AA109" s="19">
        <f>Forudsætninger!$E$62+Forudsætninger!$C$16</f>
        <v>1575</v>
      </c>
      <c r="AB109" s="19">
        <f>IF(K109&gt;Forudsætninger!$C$48,IF(K109&gt;Forudsætninger!$C$49,IF(K109&gt;Forudsætninger!$C$50,Forudsætninger!$E$50,Forudsætninger!$E$49+Forudsætninger!$F$50*(K109-Forudsætninger!$C$49)),Forudsætninger!$E$48+Forudsætninger!$F$49*(K109-Forudsætninger!$C$48)),Forudsætninger!$E$48)+IF(K109&gt;Forudsætninger!$C$50,Forudsætninger!$G$50,IF(K109&gt;Forudsætninger!$C$49,Forudsætninger!$G$49+Forudsætninger!$H$50*(K109-Forudsætninger!$C$49),IF(K109&gt;Forudsætninger!$C$48,Forudsætninger!$G$48+Forudsætninger!$H$49*(K109-Forudsætninger!$C$48),Forudsætninger!$G$48)))*(U109-Forudsætninger!$H$48)</f>
        <v>35.16667301148744</v>
      </c>
      <c r="AC109" s="19">
        <f>IF(K109&gt;Forudsætninger!$C$52,IF(K109&gt;Forudsætninger!$C$53,IF(K109&gt;Forudsætninger!$C$54,Forudsætninger!$E$54,Forudsætninger!$E$53+Forudsætninger!$F$54*(K109-Forudsætninger!$C$53)),Forudsætninger!$E$52+Forudsætninger!$F$53*(K109-Forudsætninger!$C$52)),Forudsætninger!$E$52)+IF(K109&gt;Forudsætninger!$C$54,Forudsætninger!$G$54,IF(K109&gt;Forudsætninger!$C$53,Forudsætninger!$G$53+Forudsætninger!$H$54*(K109-Forudsætninger!$C$53),IF(K109&gt;Forudsætninger!$C$52,Forudsætninger!$G$52+Forudsætninger!$H$53*(K109-Forudsætninger!$C$52),Forudsætninger!$G$52)))*(V109-Forudsætninger!$H$52)</f>
        <v>30.066682528718601</v>
      </c>
      <c r="AD109" s="19">
        <f t="shared" si="34"/>
        <v>2856.8351657691155</v>
      </c>
      <c r="AE109" s="19">
        <f t="shared" si="35"/>
        <v>30.066682528718605</v>
      </c>
      <c r="AF109">
        <f>IF(G109&lt;=Forudsætninger!$C$97,Forudsætninger!$C$98,(IF(G109&lt;=Forudsætninger!$D$97,Forudsætninger!$D$98,IF(G109&lt;=Forudsætninger!$E$97,Forudsætninger!$E$98,IF(G109&lt;=Forudsætninger!$F$97,Forudsætninger!$F$98,IF(G109&lt;=Forudsætninger!$G$97,Forudsætninger!$G$98,IF(G109&lt;=Forudsætninger!$H$97,Forudsætninger!$H$98,IF(G109&lt;=Forudsætninger!$I$97,Forudsætninger!$I$98,Forudsætninger!$I$98))))))))</f>
        <v>2.2000000000000002</v>
      </c>
      <c r="AG109" s="1">
        <f t="shared" si="44"/>
        <v>2.2000000000000002</v>
      </c>
      <c r="AH109" s="1">
        <f t="shared" si="48"/>
        <v>235.39999999999955</v>
      </c>
      <c r="AI109" s="1">
        <f t="shared" si="36"/>
        <v>2.1999999999999957</v>
      </c>
      <c r="AJ109" s="20">
        <f>+(W109*Forudsætninger!$C$12)</f>
        <v>0</v>
      </c>
      <c r="AK109" s="20">
        <f>Forudsætninger!$C$17</f>
        <v>250</v>
      </c>
      <c r="AL109" s="20">
        <f>IF(A109&lt;92,Forudsætninger!$C$20,Forudsætninger!$C$21)</f>
        <v>1.0566762728146013</v>
      </c>
      <c r="AM109" s="20">
        <f t="shared" si="45"/>
        <v>381.5698440444516</v>
      </c>
      <c r="AN109" s="19">
        <f>IFERROR(AD109+AJ109-AA109-Z109-AK109-AM109-Forudsætninger!$E$75,-999999)</f>
        <v>-1007.2959881900807</v>
      </c>
      <c r="AO109" s="19">
        <f>IFERROR(AN109/(A109+Forudsætninger!$E$74),-999999)</f>
        <v>-9.4139811980381367</v>
      </c>
      <c r="AP109" s="19">
        <f>IFERROR(((365/(A109+Forudsætninger!$E$74))*AN109)/(AI109+Forudsætninger!$E$73),-999999)</f>
        <v>-1487.4905356207476</v>
      </c>
      <c r="AQ109" s="18">
        <f t="shared" si="37"/>
        <v>107</v>
      </c>
      <c r="AR109" s="18">
        <f t="shared" si="49"/>
        <v>3672.9143926225802</v>
      </c>
      <c r="AS109" s="18">
        <f t="shared" si="29"/>
        <v>4.7</v>
      </c>
      <c r="AT109" s="50">
        <f t="shared" si="50"/>
        <v>8.0803895741596534</v>
      </c>
      <c r="AU109" s="50">
        <f t="shared" si="51"/>
        <v>0.16504123369998069</v>
      </c>
      <c r="AV109" s="2">
        <f t="shared" si="52"/>
        <v>26.077943853026909</v>
      </c>
      <c r="AW109" s="16">
        <f t="shared" si="46"/>
        <v>-5.8479078892114877</v>
      </c>
      <c r="AZ109" s="16"/>
      <c r="BA109" s="2"/>
    </row>
    <row r="110" spans="1:53" x14ac:dyDescent="0.25">
      <c r="A110">
        <v>108</v>
      </c>
      <c r="B110" s="1">
        <f>ROUND((A110+Forudsætninger!$E$60)/30.4,1)</f>
        <v>4.7</v>
      </c>
      <c r="C110" s="1">
        <f>VLOOKUP((A110+Forudsætninger!$E$60),'Model tilvækst, slagteform, fe'!A:D,4,FALSE)</f>
        <v>202.85200010037408</v>
      </c>
      <c r="D110" s="3">
        <f t="shared" si="53"/>
        <v>1574.814031617791</v>
      </c>
      <c r="E110" s="3">
        <f>(1+Forudsætninger!$E$78)*C110</f>
        <v>186.62384009234415</v>
      </c>
      <c r="F110" s="2">
        <f t="shared" si="54"/>
        <v>1.9920612050943252</v>
      </c>
      <c r="G110" s="1">
        <f t="shared" si="30"/>
        <v>188.61590129743848</v>
      </c>
      <c r="H110" s="3">
        <f t="shared" si="38"/>
        <v>1385.8363478236413</v>
      </c>
      <c r="I110" s="3">
        <f t="shared" si="31"/>
        <v>1116.8139009022082</v>
      </c>
      <c r="J110" s="1">
        <f>VLOOKUP((A110+Forudsætninger!$E$60),'Model tilvækst, slagteform, fe'!G:K,4,FALSE)*(1+Forudsætninger!$E$79)</f>
        <v>50.76866628326048</v>
      </c>
      <c r="K110" s="17">
        <f t="shared" si="32"/>
        <v>95.757777486860519</v>
      </c>
      <c r="L110" s="17">
        <f t="shared" si="39"/>
        <v>741.13695658684264</v>
      </c>
      <c r="M110" s="3">
        <f>((K110-(('Model tilvækst, slagteform, fe'!$J$9/100)*'Model tilvækst, slagteform, fe'!$D$9))*1000/(A110+Forudsætninger!$E$60))</f>
        <v>524.46784272234208</v>
      </c>
      <c r="N110" s="17">
        <f t="shared" si="40"/>
        <v>379.07044494188386</v>
      </c>
      <c r="O110" s="19">
        <f>IF( A110&lt;Forudsætninger!$C$14,(G110/100)*Forudsætninger!$C$13,(Forudsætninger!$C$15/1000)*Forudsætninger!$C$13)</f>
        <v>1.2260033584333501</v>
      </c>
      <c r="P110" s="17" cm="1">
        <f t="array" ref="P110">INDEX('Model tilvækst, slagteform, fe'!$P$9:$P$375,MATCH(MIN(ABS('Model tilvækst, slagteform, fe'!$M$9:$M$375-G110)),ABS('Model tilvækst, slagteform, fe'!$M$9:$M$375-G110),0))*(1+Forudsætninger!$E$80)</f>
        <v>5.1798838759955341</v>
      </c>
      <c r="Q110" s="17">
        <f t="shared" si="41"/>
        <v>6.9891048205859931</v>
      </c>
      <c r="R110" s="17">
        <f t="shared" si="42"/>
        <v>6.0370088306052745</v>
      </c>
      <c r="S110" s="17">
        <f t="shared" si="43"/>
        <v>3.142789971009686</v>
      </c>
      <c r="T110" s="19">
        <f>(P110)*IF(N110&lt;Forudsætninger!$B$228,IF(N110&lt;Forudsætninger!$B$227,Forudsætninger!$B$225,Forudsætninger!$C$9),Forudsætninger!$C$11)+O110</f>
        <v>13.346931628262901</v>
      </c>
      <c r="U110" s="5">
        <f>Forudsætninger!$E$68+((K110-(Forudsætninger!$E$84)))*0.01</f>
        <v>5.6741414844402742</v>
      </c>
      <c r="V110" s="2">
        <f>U110+Forudsætninger!$E$69</f>
        <v>5.6741414844402742</v>
      </c>
      <c r="W110">
        <f t="shared" si="33"/>
        <v>0</v>
      </c>
      <c r="X110">
        <f>IF(A110+Forudsætninger!$E$60&gt;248,IF(A110+Forudsætninger!$E$60&lt;365,IF(K110&gt;180,IF(K110&lt;260,1,0),0),0),0)</f>
        <v>0</v>
      </c>
      <c r="Y110" s="22">
        <f>IF(X110=0,0,IF('Vækstfunktion, kry kvie'!A110&lt;Forudsætninger!$E$66,Forudsætninger!$E$67+(('Vækstfunktion, kry kvie'!A110-Forudsætninger!$E$66)/7)*Forudsætninger!$E$64,Forudsætninger!$E$67))</f>
        <v>0</v>
      </c>
      <c r="Z110" s="19">
        <f t="shared" si="47"/>
        <v>1479.6914802063916</v>
      </c>
      <c r="AA110" s="19">
        <f>Forudsætninger!$E$62+Forudsætninger!$C$16</f>
        <v>1575</v>
      </c>
      <c r="AB110" s="19">
        <f>IF(K110&gt;Forudsætninger!$C$48,IF(K110&gt;Forudsætninger!$C$49,IF(K110&gt;Forudsætninger!$C$50,Forudsætninger!$E$50,Forudsætninger!$E$49+Forudsætninger!$F$50*(K110-Forudsætninger!$C$49)),Forudsætninger!$E$48+Forudsætninger!$F$49*(K110-Forudsætninger!$C$48)),Forudsætninger!$E$48)+IF(K110&gt;Forudsætninger!$C$50,Forudsætninger!$G$50,IF(K110&gt;Forudsætninger!$C$49,Forudsætninger!$G$49+Forudsætninger!$H$50*(K110-Forudsætninger!$C$49),IF(K110&gt;Forudsætninger!$C$48,Forudsætninger!$G$48+Forudsætninger!$H$49*(K110-Forudsætninger!$C$48),Forudsætninger!$G$48)))*(U110-Forudsætninger!$H$48)</f>
        <v>35.167414148444031</v>
      </c>
      <c r="AC110" s="19">
        <f>IF(K110&gt;Forudsætninger!$C$52,IF(K110&gt;Forudsætninger!$C$53,IF(K110&gt;Forudsætninger!$C$54,Forudsætninger!$E$54,Forudsætninger!$E$53+Forudsætninger!$F$54*(K110-Forudsætninger!$C$53)),Forudsætninger!$E$52+Forudsætninger!$F$53*(K110-Forudsætninger!$C$52)),Forudsætninger!$E$52)+IF(K110&gt;Forudsætninger!$C$54,Forudsætninger!$G$54,IF(K110&gt;Forudsætninger!$C$53,Forudsætninger!$G$53+Forudsætninger!$H$54*(K110-Forudsætninger!$C$53),IF(K110&gt;Forudsætninger!$C$52,Forudsætninger!$G$52+Forudsætninger!$H$53*(K110-Forudsætninger!$C$52),Forudsætninger!$G$52)))*(V110-Forudsætninger!$H$52)</f>
        <v>30.068535371110066</v>
      </c>
      <c r="AD110" s="19">
        <f t="shared" si="34"/>
        <v>2879.2961194225527</v>
      </c>
      <c r="AE110" s="19">
        <f t="shared" si="35"/>
        <v>30.068535371110066</v>
      </c>
      <c r="AF110">
        <f>IF(G110&lt;=Forudsætninger!$C$97,Forudsætninger!$C$98,(IF(G110&lt;=Forudsætninger!$D$97,Forudsætninger!$D$98,IF(G110&lt;=Forudsætninger!$E$97,Forudsætninger!$E$98,IF(G110&lt;=Forudsætninger!$F$97,Forudsætninger!$F$98,IF(G110&lt;=Forudsætninger!$G$97,Forudsætninger!$G$98,IF(G110&lt;=Forudsætninger!$H$97,Forudsætninger!$H$98,IF(G110&lt;=Forudsætninger!$I$97,Forudsætninger!$I$98,Forudsætninger!$I$98))))))))</f>
        <v>2.2000000000000002</v>
      </c>
      <c r="AG110" s="1">
        <f t="shared" si="44"/>
        <v>2.2000000000000002</v>
      </c>
      <c r="AH110" s="1">
        <f t="shared" si="48"/>
        <v>237.59999999999954</v>
      </c>
      <c r="AI110" s="1">
        <f t="shared" si="36"/>
        <v>2.1999999999999957</v>
      </c>
      <c r="AJ110" s="20">
        <f>+(W110*Forudsætninger!$C$12)</f>
        <v>0</v>
      </c>
      <c r="AK110" s="20">
        <f>Forudsætninger!$C$17</f>
        <v>250</v>
      </c>
      <c r="AL110" s="20">
        <f>IF(A110&lt;92,Forudsætninger!$C$20,Forudsætninger!$C$21)</f>
        <v>1.0566762728146013</v>
      </c>
      <c r="AM110" s="20">
        <f t="shared" si="45"/>
        <v>382.62652031726623</v>
      </c>
      <c r="AN110" s="19">
        <f>IFERROR(AD110+AJ110-AA110-Z110-AK110-AM110-Forudsætninger!$E$75,-999999)</f>
        <v>-999.23864243772096</v>
      </c>
      <c r="AO110" s="19">
        <f>IFERROR(AN110/(A110+Forudsætninger!$E$74),-999999)</f>
        <v>-9.2522096522011203</v>
      </c>
      <c r="AP110" s="19">
        <f>IFERROR(((365/(A110+Forudsætninger!$E$74))*AN110)/(AI110+Forudsætninger!$E$73),-999999)</f>
        <v>-1461.9292307590542</v>
      </c>
      <c r="AQ110" s="18">
        <f t="shared" si="37"/>
        <v>108</v>
      </c>
      <c r="AR110" s="18">
        <f t="shared" si="49"/>
        <v>3687.3180005236577</v>
      </c>
      <c r="AS110" s="18">
        <f t="shared" si="29"/>
        <v>4.7</v>
      </c>
      <c r="AT110" s="50">
        <f t="shared" si="50"/>
        <v>8.0573457523597654</v>
      </c>
      <c r="AU110" s="50">
        <f t="shared" si="51"/>
        <v>0.16177154583701636</v>
      </c>
      <c r="AV110" s="2">
        <f t="shared" si="52"/>
        <v>25.561304861693316</v>
      </c>
      <c r="AW110" s="16">
        <f t="shared" si="46"/>
        <v>-5.7093715011153217</v>
      </c>
      <c r="AZ110" s="16"/>
      <c r="BA110" s="2"/>
    </row>
    <row r="111" spans="1:53" x14ac:dyDescent="0.25">
      <c r="A111">
        <v>109</v>
      </c>
      <c r="B111" s="1">
        <f>ROUND((A111+Forudsætninger!$E$60)/30.4,1)</f>
        <v>4.8</v>
      </c>
      <c r="C111" s="1">
        <f>VLOOKUP((A111+Forudsætninger!$E$60),'Model tilvækst, slagteform, fe'!A:D,4,FALSE)</f>
        <v>204.42824585995947</v>
      </c>
      <c r="D111" s="3">
        <f>(C111-C110)*1000</f>
        <v>1576.2457595853903</v>
      </c>
      <c r="E111" s="3">
        <f>(1+Forudsætninger!$E$78)*C111</f>
        <v>188.07398619116273</v>
      </c>
      <c r="F111" s="2">
        <f t="shared" si="54"/>
        <v>1.9290113747109094</v>
      </c>
      <c r="G111" s="1">
        <f t="shared" si="30"/>
        <v>190.00299756587364</v>
      </c>
      <c r="H111" s="3">
        <f t="shared" si="38"/>
        <v>1387.0962684351582</v>
      </c>
      <c r="I111" s="3">
        <f t="shared" si="31"/>
        <v>1119.2935556502168</v>
      </c>
      <c r="J111" s="1">
        <f>VLOOKUP((A111+Forudsætninger!$E$60),'Model tilvækst, slagteform, fe'!G:K,4,FALSE)*(1+Forudsætninger!$E$79)</f>
        <v>50.78877000108973</v>
      </c>
      <c r="K111" s="17">
        <f t="shared" si="32"/>
        <v>96.500185428907685</v>
      </c>
      <c r="L111" s="17">
        <f t="shared" si="39"/>
        <v>742.40794204716565</v>
      </c>
      <c r="M111" s="3">
        <f>((K111-(('Model tilvækst, slagteform, fe'!$J$9/100)*'Model tilvækst, slagteform, fe'!$D$9))*1000/(A111+Forudsætninger!$E$60))</f>
        <v>525.97087789009959</v>
      </c>
      <c r="N111" s="17">
        <f t="shared" si="40"/>
        <v>384.27432353398439</v>
      </c>
      <c r="O111" s="19">
        <f>IF( A111&lt;Forudsætninger!$C$14,(G111/100)*Forudsætninger!$C$13,(Forudsætninger!$C$15/1000)*Forudsætninger!$C$13)</f>
        <v>1.2350194841781788</v>
      </c>
      <c r="P111" s="17" cm="1">
        <f t="array" ref="P111">INDEX('Model tilvækst, slagteform, fe'!$P$9:$P$375,MATCH(MIN(ABS('Model tilvækst, slagteform, fe'!$M$9:$M$375-G111)),ABS('Model tilvækst, slagteform, fe'!$M$9:$M$375-G111),0))*(1+Forudsætninger!$E$80)</f>
        <v>5.2038785921005184</v>
      </c>
      <c r="Q111" s="17">
        <f t="shared" si="41"/>
        <v>7.0094597557119247</v>
      </c>
      <c r="R111" s="17">
        <f t="shared" si="42"/>
        <v>6.0483722083919655</v>
      </c>
      <c r="S111" s="17">
        <f t="shared" si="43"/>
        <v>3.1497121480683403</v>
      </c>
      <c r="T111" s="19">
        <f>(P111)*IF(N111&lt;Forudsætninger!$B$228,IF(N111&lt;Forudsætninger!$B$227,Forudsætninger!$B$225,Forudsætninger!$C$9),Forudsætninger!$C$11)+O111</f>
        <v>13.412095389693391</v>
      </c>
      <c r="U111" s="5">
        <f>Forudsætninger!$E$68+((K111-(Forudsætninger!$E$84)))*0.01</f>
        <v>5.6815655638607456</v>
      </c>
      <c r="V111" s="2">
        <f>U111+Forudsætninger!$E$69</f>
        <v>5.6815655638607456</v>
      </c>
      <c r="W111">
        <f t="shared" si="33"/>
        <v>0</v>
      </c>
      <c r="X111">
        <f>IF(A111+Forudsætninger!$E$60&gt;248,IF(A111+Forudsætninger!$E$60&lt;365,IF(K111&gt;180,IF(K111&lt;260,1,0),0),0),0)</f>
        <v>0</v>
      </c>
      <c r="Y111" s="22">
        <f>IF(X111=0,0,IF('Vækstfunktion, kry kvie'!A111&lt;Forudsætninger!$E$66,Forudsætninger!$E$67+(('Vækstfunktion, kry kvie'!A111-Forudsætninger!$E$66)/7)*Forudsætninger!$E$64,Forudsætninger!$E$67))</f>
        <v>0</v>
      </c>
      <c r="Z111" s="19">
        <f t="shared" si="47"/>
        <v>1493.103575596085</v>
      </c>
      <c r="AA111" s="19">
        <f>Forudsætninger!$E$62+Forudsætninger!$C$16</f>
        <v>1575</v>
      </c>
      <c r="AB111" s="19">
        <f>IF(K111&gt;Forudsætninger!$C$48,IF(K111&gt;Forudsætninger!$C$49,IF(K111&gt;Forudsætninger!$C$50,Forudsætninger!$E$50,Forudsætninger!$E$49+Forudsætninger!$F$50*(K111-Forudsætninger!$C$49)),Forudsætninger!$E$48+Forudsætninger!$F$49*(K111-Forudsætninger!$C$48)),Forudsætninger!$E$48)+IF(K111&gt;Forudsætninger!$C$50,Forudsætninger!$G$50,IF(K111&gt;Forudsætninger!$C$49,Forudsætninger!$G$49+Forudsætninger!$H$50*(K111-Forudsætninger!$C$49),IF(K111&gt;Forudsætninger!$C$48,Forudsætninger!$G$48+Forudsætninger!$H$49*(K111-Forudsætninger!$C$48),Forudsætninger!$G$48)))*(U111-Forudsætninger!$H$48)</f>
        <v>35.168156556386073</v>
      </c>
      <c r="AC111" s="19">
        <f>IF(K111&gt;Forudsætninger!$C$52,IF(K111&gt;Forudsætninger!$C$53,IF(K111&gt;Forudsætninger!$C$54,Forudsætninger!$E$54,Forudsætninger!$E$53+Forudsætninger!$F$54*(K111-Forudsætninger!$C$53)),Forudsætninger!$E$52+Forudsætninger!$F$53*(K111-Forudsætninger!$C$52)),Forudsætninger!$E$52)+IF(K111&gt;Forudsætninger!$C$54,Forudsætninger!$G$54,IF(K111&gt;Forudsætninger!$C$53,Forudsætninger!$G$53+Forudsætninger!$H$54*(K111-Forudsætninger!$C$53),IF(K111&gt;Forudsætninger!$C$52,Forudsætninger!$G$52+Forudsætninger!$H$53*(K111-Forudsætninger!$C$52),Forudsætninger!$G$52)))*(V111-Forudsætninger!$H$52)</f>
        <v>30.070391390965185</v>
      </c>
      <c r="AD111" s="19">
        <f t="shared" si="34"/>
        <v>2901.7983451479695</v>
      </c>
      <c r="AE111" s="19">
        <f t="shared" si="35"/>
        <v>30.070391390965185</v>
      </c>
      <c r="AF111">
        <f>IF(G111&lt;=Forudsætninger!$C$97,Forudsætninger!$C$98,(IF(G111&lt;=Forudsætninger!$D$97,Forudsætninger!$D$98,IF(G111&lt;=Forudsætninger!$E$97,Forudsætninger!$E$98,IF(G111&lt;=Forudsætninger!$F$97,Forudsætninger!$F$98,IF(G111&lt;=Forudsætninger!$G$97,Forudsætninger!$G$98,IF(G111&lt;=Forudsætninger!$H$97,Forudsætninger!$H$98,IF(G111&lt;=Forudsætninger!$I$97,Forudsætninger!$I$98,Forudsætninger!$I$98))))))))</f>
        <v>2.2000000000000002</v>
      </c>
      <c r="AG111" s="1">
        <f t="shared" si="44"/>
        <v>2.2000000000000002</v>
      </c>
      <c r="AH111" s="1">
        <f t="shared" si="48"/>
        <v>239.79999999999953</v>
      </c>
      <c r="AI111" s="1">
        <f t="shared" si="36"/>
        <v>2.1999999999999957</v>
      </c>
      <c r="AJ111" s="20">
        <f>+(W111*Forudsætninger!$C$12)</f>
        <v>0</v>
      </c>
      <c r="AK111" s="20">
        <f>Forudsætninger!$C$17</f>
        <v>250</v>
      </c>
      <c r="AL111" s="20">
        <f>IF(A111&lt;92,Forudsætninger!$C$20,Forudsætninger!$C$21)</f>
        <v>1.0566762728146013</v>
      </c>
      <c r="AM111" s="20">
        <f t="shared" si="45"/>
        <v>383.68319659008085</v>
      </c>
      <c r="AN111" s="19">
        <f>IFERROR(AD111+AJ111-AA111-Z111-AK111-AM111-Forudsætninger!$E$75,-999999)</f>
        <v>-991.20518837481211</v>
      </c>
      <c r="AO111" s="19">
        <f>IFERROR(AN111/(A111+Forudsætninger!$E$74),-999999)</f>
        <v>-9.0936255814202944</v>
      </c>
      <c r="AP111" s="19">
        <f>IFERROR(((365/(A111+Forudsætninger!$E$74))*AN111)/(AI111+Forudsætninger!$E$73),-999999)</f>
        <v>-1436.8715745534259</v>
      </c>
      <c r="AQ111" s="18">
        <f t="shared" si="37"/>
        <v>109</v>
      </c>
      <c r="AR111" s="18">
        <f t="shared" si="49"/>
        <v>3701.7867721861658</v>
      </c>
      <c r="AS111" s="18">
        <f t="shared" si="29"/>
        <v>4.8</v>
      </c>
      <c r="AT111" s="50">
        <f t="shared" si="50"/>
        <v>8.0334540629088451</v>
      </c>
      <c r="AU111" s="50">
        <f t="shared" si="51"/>
        <v>0.15858407078082593</v>
      </c>
      <c r="AV111" s="2">
        <f t="shared" si="52"/>
        <v>25.057656205628291</v>
      </c>
      <c r="AW111" s="16">
        <f t="shared" si="46"/>
        <v>-5.5735962549057909</v>
      </c>
      <c r="AZ111" s="16"/>
      <c r="BA111" s="2"/>
    </row>
    <row r="112" spans="1:53" x14ac:dyDescent="0.25">
      <c r="A112">
        <v>110</v>
      </c>
      <c r="B112" s="1">
        <f>ROUND((A112+Forudsætninger!$E$60)/30.4,1)</f>
        <v>4.8</v>
      </c>
      <c r="C112" s="1">
        <f>VLOOKUP((A112+Forudsætninger!$E$60),'Model tilvækst, slagteform, fe'!A:D,4,FALSE)</f>
        <v>206.00583786049233</v>
      </c>
      <c r="D112" s="3">
        <f t="shared" si="53"/>
        <v>1577.5920005328601</v>
      </c>
      <c r="E112" s="3">
        <f>(1+Forudsætninger!$E$78)*C112</f>
        <v>189.52537083165296</v>
      </c>
      <c r="F112" s="2">
        <f t="shared" si="54"/>
        <v>1.8659076946895949</v>
      </c>
      <c r="G112" s="1">
        <f t="shared" si="30"/>
        <v>191.39127852634255</v>
      </c>
      <c r="H112" s="3">
        <f t="shared" si="38"/>
        <v>1388.2809604689044</v>
      </c>
      <c r="I112" s="3">
        <f t="shared" si="31"/>
        <v>1121.7388956940231</v>
      </c>
      <c r="J112" s="1">
        <f>VLOOKUP((A112+Forudsætninger!$E$60),'Model tilvækst, slagteform, fe'!G:K,4,FALSE)*(1+Forudsætninger!$E$79)</f>
        <v>50.808913384829879</v>
      </c>
      <c r="K112" s="17">
        <f t="shared" si="32"/>
        <v>97.243828932567894</v>
      </c>
      <c r="L112" s="17">
        <f t="shared" si="39"/>
        <v>743.64350366020915</v>
      </c>
      <c r="M112" s="3">
        <f>((K112-(('Model tilvækst, slagteform, fe'!$J$9/100)*'Model tilvækst, slagteform, fe'!$D$9))*1000/(A112+Forudsætninger!$E$60))</f>
        <v>527.46178628578525</v>
      </c>
      <c r="N112" s="17">
        <f t="shared" si="40"/>
        <v>389.50210151232011</v>
      </c>
      <c r="O112" s="19">
        <f>IF( A112&lt;Forudsætninger!$C$14,(G112/100)*Forudsætninger!$C$13,(Forudsætninger!$C$15/1000)*Forudsætninger!$C$13)</f>
        <v>1.2440433104212265</v>
      </c>
      <c r="P112" s="17" cm="1">
        <f t="array" ref="P112">INDEX('Model tilvækst, slagteform, fe'!$P$9:$P$375,MATCH(MIN(ABS('Model tilvækst, slagteform, fe'!$M$9:$M$375-G112)),ABS('Model tilvækst, slagteform, fe'!$M$9:$M$375-G112),0))*(1+Forudsætninger!$E$80)</f>
        <v>5.2277779783357019</v>
      </c>
      <c r="Q112" s="17">
        <f t="shared" si="41"/>
        <v>7.0299517881950262</v>
      </c>
      <c r="R112" s="17">
        <f t="shared" si="42"/>
        <v>6.0597284247808476</v>
      </c>
      <c r="S112" s="17">
        <f t="shared" si="43"/>
        <v>3.1566420752271087</v>
      </c>
      <c r="T112" s="19">
        <f>(P112)*IF(N112&lt;Forudsætninger!$B$228,IF(N112&lt;Forudsætninger!$B$227,Forudsætninger!$B$225,Forudsætninger!$C$9),Forudsætninger!$C$11)+O112</f>
        <v>13.477043779726769</v>
      </c>
      <c r="U112" s="5">
        <f>Forudsætninger!$E$68+((K112-(Forudsætninger!$E$84)))*0.01</f>
        <v>5.6890019988973481</v>
      </c>
      <c r="V112" s="2">
        <f>U112+Forudsætninger!$E$69</f>
        <v>5.6890019988973481</v>
      </c>
      <c r="W112">
        <f t="shared" si="33"/>
        <v>0</v>
      </c>
      <c r="X112">
        <f>IF(A112+Forudsætninger!$E$60&gt;248,IF(A112+Forudsætninger!$E$60&lt;365,IF(K112&gt;180,IF(K112&lt;260,1,0),0),0),0)</f>
        <v>0</v>
      </c>
      <c r="Y112" s="22">
        <f>IF(X112=0,0,IF('Vækstfunktion, kry kvie'!A112&lt;Forudsætninger!$E$66,Forudsætninger!$E$67+(('Vækstfunktion, kry kvie'!A112-Forudsætninger!$E$66)/7)*Forudsætninger!$E$64,Forudsætninger!$E$67))</f>
        <v>0</v>
      </c>
      <c r="Z112" s="19">
        <f t="shared" si="47"/>
        <v>1506.5806193758117</v>
      </c>
      <c r="AA112" s="19">
        <f>Forudsætninger!$E$62+Forudsætninger!$C$16</f>
        <v>1575</v>
      </c>
      <c r="AB112" s="19">
        <f>IF(K112&gt;Forudsætninger!$C$48,IF(K112&gt;Forudsætninger!$C$49,IF(K112&gt;Forudsætninger!$C$50,Forudsætninger!$E$50,Forudsætninger!$E$49+Forudsætninger!$F$50*(K112-Forudsætninger!$C$49)),Forudsætninger!$E$48+Forudsætninger!$F$49*(K112-Forudsætninger!$C$48)),Forudsætninger!$E$48)+IF(K112&gt;Forudsætninger!$C$50,Forudsætninger!$G$50,IF(K112&gt;Forudsætninger!$C$49,Forudsætninger!$G$49+Forudsætninger!$H$50*(K112-Forudsætninger!$C$49),IF(K112&gt;Forudsætninger!$C$48,Forudsætninger!$G$48+Forudsætninger!$H$49*(K112-Forudsætninger!$C$48),Forudsætninger!$G$48)))*(U112-Forudsætninger!$H$48)</f>
        <v>35.168900199889734</v>
      </c>
      <c r="AC112" s="19">
        <f>IF(K112&gt;Forudsætninger!$C$52,IF(K112&gt;Forudsætninger!$C$53,IF(K112&gt;Forudsætninger!$C$54,Forudsætninger!$E$54,Forudsætninger!$E$53+Forudsætninger!$F$54*(K112-Forudsætninger!$C$53)),Forudsætninger!$E$52+Forudsætninger!$F$53*(K112-Forudsætninger!$C$52)),Forudsætninger!$E$52)+IF(K112&gt;Forudsætninger!$C$54,Forudsætninger!$G$54,IF(K112&gt;Forudsætninger!$C$53,Forudsætninger!$G$53+Forudsætninger!$H$54*(K112-Forudsætninger!$C$53),IF(K112&gt;Forudsætninger!$C$52,Forudsætninger!$G$52+Forudsætninger!$H$53*(K112-Forudsætninger!$C$52),Forudsætninger!$G$52)))*(V112-Forudsætninger!$H$52)</f>
        <v>30.072250499724337</v>
      </c>
      <c r="AD112" s="19">
        <f t="shared" si="34"/>
        <v>2924.3407832125226</v>
      </c>
      <c r="AE112" s="19">
        <f t="shared" si="35"/>
        <v>30.072250499724337</v>
      </c>
      <c r="AF112">
        <f>IF(G112&lt;=Forudsætninger!$C$97,Forudsætninger!$C$98,(IF(G112&lt;=Forudsætninger!$D$97,Forudsætninger!$D$98,IF(G112&lt;=Forudsætninger!$E$97,Forudsætninger!$E$98,IF(G112&lt;=Forudsætninger!$F$97,Forudsætninger!$F$98,IF(G112&lt;=Forudsætninger!$G$97,Forudsætninger!$G$98,IF(G112&lt;=Forudsætninger!$H$97,Forudsætninger!$H$98,IF(G112&lt;=Forudsætninger!$I$97,Forudsætninger!$I$98,Forudsætninger!$I$98))))))))</f>
        <v>2.2000000000000002</v>
      </c>
      <c r="AG112" s="1">
        <f t="shared" si="44"/>
        <v>2.2000000000000002</v>
      </c>
      <c r="AH112" s="1">
        <f t="shared" si="48"/>
        <v>241.99999999999952</v>
      </c>
      <c r="AI112" s="1">
        <f t="shared" si="36"/>
        <v>2.1999999999999957</v>
      </c>
      <c r="AJ112" s="20">
        <f>+(W112*Forudsætninger!$C$12)</f>
        <v>0</v>
      </c>
      <c r="AK112" s="20">
        <f>Forudsætninger!$C$17</f>
        <v>250</v>
      </c>
      <c r="AL112" s="20">
        <f>IF(A112&lt;92,Forudsætninger!$C$20,Forudsætninger!$C$21)</f>
        <v>1.0566762728146013</v>
      </c>
      <c r="AM112" s="20">
        <f t="shared" si="45"/>
        <v>384.73987286289548</v>
      </c>
      <c r="AN112" s="19">
        <f>IFERROR(AD112+AJ112-AA112-Z112-AK112-AM112-Forudsætninger!$E$75,-999999)</f>
        <v>-983.19647036280037</v>
      </c>
      <c r="AO112" s="19">
        <f>IFERROR(AN112/(A112+Forudsætninger!$E$74),-999999)</f>
        <v>-8.9381497305709132</v>
      </c>
      <c r="AP112" s="19">
        <f>IFERROR(((365/(A112+Forudsætninger!$E$74))*AN112)/(AI112+Forudsætninger!$E$73),-999999)</f>
        <v>-1412.3050440079608</v>
      </c>
      <c r="AQ112" s="18">
        <f t="shared" si="37"/>
        <v>110</v>
      </c>
      <c r="AR112" s="18">
        <f t="shared" si="49"/>
        <v>3716.3204922387072</v>
      </c>
      <c r="AS112" s="18">
        <f t="shared" si="29"/>
        <v>4.8</v>
      </c>
      <c r="AT112" s="50">
        <f t="shared" si="50"/>
        <v>8.0087180120117409</v>
      </c>
      <c r="AU112" s="50">
        <f t="shared" si="51"/>
        <v>0.1554758508493812</v>
      </c>
      <c r="AV112" s="2">
        <f t="shared" si="52"/>
        <v>24.566530545465184</v>
      </c>
      <c r="AW112" s="16">
        <f t="shared" si="46"/>
        <v>-5.4405145227264082</v>
      </c>
      <c r="AZ112" s="16"/>
      <c r="BA112" s="2"/>
    </row>
    <row r="113" spans="1:53" x14ac:dyDescent="0.25">
      <c r="A113">
        <v>111</v>
      </c>
      <c r="B113" s="1">
        <f>ROUND((A113+Forudsætninger!$E$60)/30.4,1)</f>
        <v>4.8</v>
      </c>
      <c r="C113" s="1">
        <f>VLOOKUP((A113+Forudsætninger!$E$60),'Model tilvækst, slagteform, fe'!A:D,4,FALSE)</f>
        <v>207.58469119997307</v>
      </c>
      <c r="D113" s="3">
        <f t="shared" si="53"/>
        <v>1578.8533394807303</v>
      </c>
      <c r="E113" s="3">
        <f>(1+Forudsætninger!$E$78)*C113</f>
        <v>190.97791590397523</v>
      </c>
      <c r="F113" s="2">
        <f t="shared" si="54"/>
        <v>1.8027535611103658</v>
      </c>
      <c r="G113" s="1">
        <f t="shared" si="30"/>
        <v>192.78066946508559</v>
      </c>
      <c r="H113" s="3">
        <f t="shared" si="38"/>
        <v>1389.3909387430483</v>
      </c>
      <c r="I113" s="3">
        <f t="shared" si="31"/>
        <v>1124.1501753611315</v>
      </c>
      <c r="J113" s="1">
        <f>VLOOKUP((A113+Forudsætninger!$E$60),'Model tilvækst, slagteform, fe'!G:K,4,FALSE)*(1+Forudsætninger!$E$79)</f>
        <v>50.829096641974232</v>
      </c>
      <c r="K113" s="17">
        <f t="shared" si="32"/>
        <v>97.988672789453275</v>
      </c>
      <c r="L113" s="17">
        <f t="shared" si="39"/>
        <v>744.84385688538168</v>
      </c>
      <c r="M113" s="3">
        <f>((K113-(('Model tilvækst, slagteform, fe'!$J$9/100)*'Model tilvækst, slagteform, fe'!$D$9))*1000/(A113+Forudsætninger!$E$60))</f>
        <v>528.94057588170085</v>
      </c>
      <c r="N113" s="17">
        <f t="shared" si="40"/>
        <v>394.75368483017917</v>
      </c>
      <c r="O113" s="19">
        <f>IF( A113&lt;Forudsætninger!$C$14,(G113/100)*Forudsætninger!$C$13,(Forudsætninger!$C$15/1000)*Forudsætninger!$C$13)</f>
        <v>1.2530743515230562</v>
      </c>
      <c r="P113" s="17" cm="1">
        <f t="array" ref="P113">INDEX('Model tilvækst, slagteform, fe'!$P$9:$P$375,MATCH(MIN(ABS('Model tilvækst, slagteform, fe'!$M$9:$M$375-G113)),ABS('Model tilvækst, slagteform, fe'!$M$9:$M$375-G113),0))*(1+Forudsætninger!$E$80)</f>
        <v>5.2515833178590343</v>
      </c>
      <c r="Q113" s="17">
        <f t="shared" si="41"/>
        <v>7.0505828427167394</v>
      </c>
      <c r="R113" s="17">
        <f t="shared" si="42"/>
        <v>6.0710789191125549</v>
      </c>
      <c r="S113" s="17">
        <f t="shared" si="43"/>
        <v>3.163580436957294</v>
      </c>
      <c r="T113" s="19">
        <f>(P113)*IF(N113&lt;Forudsætninger!$B$228,IF(N113&lt;Forudsætninger!$B$227,Forudsætninger!$B$225,Forudsætninger!$C$9),Forudsætninger!$C$11)+O113</f>
        <v>13.541779315313196</v>
      </c>
      <c r="U113" s="5">
        <f>Forudsætninger!$E$68+((K113-(Forudsætninger!$E$84)))*0.01</f>
        <v>5.6964504374662024</v>
      </c>
      <c r="V113" s="2">
        <f>U113+Forudsætninger!$E$69</f>
        <v>5.6964504374662024</v>
      </c>
      <c r="W113">
        <f t="shared" si="33"/>
        <v>0</v>
      </c>
      <c r="X113">
        <f>IF(A113+Forudsætninger!$E$60&gt;248,IF(A113+Forudsætninger!$E$60&lt;365,IF(K113&gt;180,IF(K113&lt;260,1,0),0),0),0)</f>
        <v>0</v>
      </c>
      <c r="Y113" s="22">
        <f>IF(X113=0,0,IF('Vækstfunktion, kry kvie'!A113&lt;Forudsætninger!$E$66,Forudsætninger!$E$67+(('Vækstfunktion, kry kvie'!A113-Forudsætninger!$E$66)/7)*Forudsætninger!$E$64,Forudsætninger!$E$67))</f>
        <v>0</v>
      </c>
      <c r="Z113" s="19">
        <f t="shared" si="47"/>
        <v>1520.122398691125</v>
      </c>
      <c r="AA113" s="19">
        <f>Forudsætninger!$E$62+Forudsætninger!$C$16</f>
        <v>1575</v>
      </c>
      <c r="AB113" s="19">
        <f>IF(K113&gt;Forudsætninger!$C$48,IF(K113&gt;Forudsætninger!$C$49,IF(K113&gt;Forudsætninger!$C$50,Forudsætninger!$E$50,Forudsætninger!$E$49+Forudsætninger!$F$50*(K113-Forudsætninger!$C$49)),Forudsætninger!$E$48+Forudsætninger!$F$49*(K113-Forudsætninger!$C$48)),Forudsætninger!$E$48)+IF(K113&gt;Forudsætninger!$C$50,Forudsætninger!$G$50,IF(K113&gt;Forudsætninger!$C$49,Forudsætninger!$G$49+Forudsætninger!$H$50*(K113-Forudsætninger!$C$49),IF(K113&gt;Forudsætninger!$C$48,Forudsætninger!$G$48+Forudsætninger!$H$49*(K113-Forudsætninger!$C$48),Forudsætninger!$G$48)))*(U113-Forudsætninger!$H$48)</f>
        <v>35.16964504374662</v>
      </c>
      <c r="AC113" s="19">
        <f>IF(K113&gt;Forudsætninger!$C$52,IF(K113&gt;Forudsætninger!$C$53,IF(K113&gt;Forudsætninger!$C$54,Forudsætninger!$E$54,Forudsætninger!$E$53+Forudsætninger!$F$54*(K113-Forudsætninger!$C$53)),Forudsætninger!$E$52+Forudsætninger!$F$53*(K113-Forudsætninger!$C$52)),Forudsætninger!$E$52)+IF(K113&gt;Forudsætninger!$C$54,Forudsætninger!$G$54,IF(K113&gt;Forudsætninger!$C$53,Forudsætninger!$G$53+Forudsætninger!$H$54*(K113-Forudsætninger!$C$53),IF(K113&gt;Forudsætninger!$C$52,Forudsætninger!$G$52+Forudsætninger!$H$53*(K113-Forudsætninger!$C$52),Forudsætninger!$G$52)))*(V113-Forudsætninger!$H$52)</f>
        <v>30.074112609366548</v>
      </c>
      <c r="AD113" s="19">
        <f t="shared" si="34"/>
        <v>2946.9223799123897</v>
      </c>
      <c r="AE113" s="19">
        <f t="shared" si="35"/>
        <v>30.074112609366551</v>
      </c>
      <c r="AF113">
        <f>IF(G113&lt;=Forudsætninger!$C$97,Forudsætninger!$C$98,(IF(G113&lt;=Forudsætninger!$D$97,Forudsætninger!$D$98,IF(G113&lt;=Forudsætninger!$E$97,Forudsætninger!$E$98,IF(G113&lt;=Forudsætninger!$F$97,Forudsætninger!$F$98,IF(G113&lt;=Forudsætninger!$G$97,Forudsætninger!$G$98,IF(G113&lt;=Forudsætninger!$H$97,Forudsætninger!$H$98,IF(G113&lt;=Forudsætninger!$I$97,Forudsætninger!$I$98,Forudsætninger!$I$98))))))))</f>
        <v>2.2000000000000002</v>
      </c>
      <c r="AG113" s="1">
        <f t="shared" si="44"/>
        <v>2.2000000000000002</v>
      </c>
      <c r="AH113" s="1">
        <f t="shared" si="48"/>
        <v>244.19999999999951</v>
      </c>
      <c r="AI113" s="1">
        <f t="shared" si="36"/>
        <v>2.1999999999999957</v>
      </c>
      <c r="AJ113" s="20">
        <f>+(W113*Forudsætninger!$C$12)</f>
        <v>0</v>
      </c>
      <c r="AK113" s="20">
        <f>Forudsætninger!$C$17</f>
        <v>250</v>
      </c>
      <c r="AL113" s="20">
        <f>IF(A113&lt;92,Forudsætninger!$C$20,Forudsætninger!$C$21)</f>
        <v>1.0566762728146013</v>
      </c>
      <c r="AM113" s="20">
        <f t="shared" si="45"/>
        <v>385.79654913571011</v>
      </c>
      <c r="AN113" s="19">
        <f>IFERROR(AD113+AJ113-AA113-Z113-AK113-AM113-Forudsætninger!$E$75,-999999)</f>
        <v>-975.21332925106128</v>
      </c>
      <c r="AO113" s="19">
        <f>IFERROR(AN113/(A113+Forudsætninger!$E$74),-999999)</f>
        <v>-8.7857056689284807</v>
      </c>
      <c r="AP113" s="19">
        <f>IFERROR(((365/(A113+Forudsætninger!$E$74))*AN113)/(AI113+Forudsætninger!$E$73),-999999)</f>
        <v>-1388.217562406451</v>
      </c>
      <c r="AQ113" s="18">
        <f t="shared" si="37"/>
        <v>111</v>
      </c>
      <c r="AR113" s="18">
        <f t="shared" si="49"/>
        <v>3730.9189478268349</v>
      </c>
      <c r="AS113" s="18">
        <f t="shared" si="29"/>
        <v>4.8</v>
      </c>
      <c r="AT113" s="50">
        <f t="shared" si="50"/>
        <v>7.9831411117390871</v>
      </c>
      <c r="AU113" s="50">
        <f t="shared" si="51"/>
        <v>0.15244406164243252</v>
      </c>
      <c r="AV113" s="2">
        <f t="shared" si="52"/>
        <v>24.087481601509808</v>
      </c>
      <c r="AW113" s="16">
        <f t="shared" si="46"/>
        <v>-5.3100610821202814</v>
      </c>
      <c r="AZ113" s="16"/>
      <c r="BA113" s="2"/>
    </row>
    <row r="114" spans="1:53" x14ac:dyDescent="0.25">
      <c r="A114">
        <v>112</v>
      </c>
      <c r="B114" s="1">
        <f>ROUND((A114+Forudsætninger!$E$60)/30.4,1)</f>
        <v>4.9000000000000004</v>
      </c>
      <c r="C114" s="1">
        <f>VLOOKUP((A114+Forudsætninger!$E$60),'Model tilvækst, slagteform, fe'!A:D,4,FALSE)</f>
        <v>209.1647215614226</v>
      </c>
      <c r="D114" s="3">
        <f t="shared" si="53"/>
        <v>1580.0303614495306</v>
      </c>
      <c r="E114" s="3">
        <f>(1+Forudsætninger!$E$78)*C114</f>
        <v>192.43154383650881</v>
      </c>
      <c r="F114" s="2">
        <f t="shared" si="54"/>
        <v>1.7395523466523846</v>
      </c>
      <c r="G114" s="1">
        <f t="shared" si="30"/>
        <v>194.17109618316118</v>
      </c>
      <c r="H114" s="3">
        <f t="shared" si="38"/>
        <v>1390.426718075588</v>
      </c>
      <c r="I114" s="3">
        <f t="shared" si="31"/>
        <v>1126.5276444925105</v>
      </c>
      <c r="J114" s="1">
        <f>VLOOKUP((A114+Forudsætninger!$E$60),'Model tilvækst, slagteform, fe'!G:K,4,FALSE)*(1+Forudsætninger!$E$79)</f>
        <v>50.849319980016112</v>
      </c>
      <c r="K114" s="17">
        <f t="shared" si="32"/>
        <v>98.73468200688049</v>
      </c>
      <c r="L114" s="17">
        <f t="shared" si="39"/>
        <v>746.00921742721482</v>
      </c>
      <c r="M114" s="3">
        <f>((K114-(('Model tilvækst, slagteform, fe'!$J$9/100)*'Model tilvækst, slagteform, fe'!$D$9))*1000/(A114+Forudsætninger!$E$60))</f>
        <v>530.40725589214355</v>
      </c>
      <c r="N114" s="17">
        <f t="shared" si="40"/>
        <v>400.05260181958113</v>
      </c>
      <c r="O114" s="19">
        <f>IF( A114&lt;Forudsætninger!$C$14,(G114/100)*Forudsætninger!$C$13,(Forudsætninger!$C$15/1000)*Forudsætninger!$C$13)</f>
        <v>1.2621121251905476</v>
      </c>
      <c r="P114" s="17" cm="1">
        <f t="array" ref="P114">INDEX('Model tilvækst, slagteform, fe'!$P$9:$P$375,MATCH(MIN(ABS('Model tilvækst, slagteform, fe'!$M$9:$M$375-G114)),ABS('Model tilvækst, slagteform, fe'!$M$9:$M$375-G114),0))*(1+Forudsætninger!$E$80)</f>
        <v>5.2989169894019543</v>
      </c>
      <c r="Q114" s="17">
        <f t="shared" si="41"/>
        <v>7.103018120441587</v>
      </c>
      <c r="R114" s="17">
        <f t="shared" si="42"/>
        <v>6.0827842479167984</v>
      </c>
      <c r="S114" s="17">
        <f t="shared" si="43"/>
        <v>3.1707151155984983</v>
      </c>
      <c r="T114" s="19">
        <f>(P114)*IF(N114&lt;Forudsætninger!$B$228,IF(N114&lt;Forudsætninger!$B$227,Forudsætninger!$B$225,Forudsætninger!$C$9),Forudsætninger!$C$11)+O114</f>
        <v>13.661577880391119</v>
      </c>
      <c r="U114" s="5">
        <f>Forudsætninger!$E$68+((K114-(Forudsætninger!$E$84)))*0.01</f>
        <v>5.7039105296404742</v>
      </c>
      <c r="V114" s="2">
        <f>U114+Forudsætninger!$E$69</f>
        <v>5.7039105296404742</v>
      </c>
      <c r="W114">
        <f t="shared" si="33"/>
        <v>0</v>
      </c>
      <c r="X114">
        <f>IF(A114+Forudsætninger!$E$60&gt;248,IF(A114+Forudsætninger!$E$60&lt;365,IF(K114&gt;180,IF(K114&lt;260,1,0),0),0),0)</f>
        <v>0</v>
      </c>
      <c r="Y114" s="22">
        <f>IF(X114=0,0,IF('Vækstfunktion, kry kvie'!A114&lt;Forudsætninger!$E$66,Forudsætninger!$E$67+(('Vækstfunktion, kry kvie'!A114-Forudsætninger!$E$66)/7)*Forudsætninger!$E$64,Forudsætninger!$E$67))</f>
        <v>0</v>
      </c>
      <c r="Z114" s="19">
        <f t="shared" si="47"/>
        <v>1533.7839765715162</v>
      </c>
      <c r="AA114" s="19">
        <f>Forudsætninger!$E$62+Forudsætninger!$C$16</f>
        <v>1575</v>
      </c>
      <c r="AB114" s="19">
        <f>IF(K114&gt;Forudsætninger!$C$48,IF(K114&gt;Forudsætninger!$C$49,IF(K114&gt;Forudsætninger!$C$50,Forudsætninger!$E$50,Forudsætninger!$E$49+Forudsætninger!$F$50*(K114-Forudsætninger!$C$49)),Forudsætninger!$E$48+Forudsætninger!$F$49*(K114-Forudsætninger!$C$48)),Forudsætninger!$E$48)+IF(K114&gt;Forudsætninger!$C$50,Forudsætninger!$G$50,IF(K114&gt;Forudsætninger!$C$49,Forudsætninger!$G$49+Forudsætninger!$H$50*(K114-Forudsætninger!$C$49),IF(K114&gt;Forudsætninger!$C$48,Forudsætninger!$G$48+Forudsætninger!$H$49*(K114-Forudsætninger!$C$48),Forudsætninger!$G$48)))*(U114-Forudsætninger!$H$48)</f>
        <v>35.17039105296405</v>
      </c>
      <c r="AC114" s="19">
        <f>IF(K114&gt;Forudsætninger!$C$52,IF(K114&gt;Forudsætninger!$C$53,IF(K114&gt;Forudsætninger!$C$54,Forudsætninger!$E$54,Forudsætninger!$E$53+Forudsætninger!$F$54*(K114-Forudsætninger!$C$53)),Forudsætninger!$E$52+Forudsætninger!$F$53*(K114-Forudsætninger!$C$52)),Forudsætninger!$E$52)+IF(K114&gt;Forudsætninger!$C$54,Forudsætninger!$G$54,IF(K114&gt;Forudsætninger!$C$53,Forudsætninger!$G$53+Forudsætninger!$H$54*(K114-Forudsætninger!$C$53),IF(K114&gt;Forudsætninger!$C$52,Forudsætninger!$G$52+Forudsætninger!$H$53*(K114-Forudsætninger!$C$52),Forudsætninger!$G$52)))*(V114-Forudsætninger!$H$52)</f>
        <v>30.075977632410115</v>
      </c>
      <c r="AD114" s="19">
        <f t="shared" si="34"/>
        <v>2969.5420875820632</v>
      </c>
      <c r="AE114" s="19">
        <f t="shared" si="35"/>
        <v>30.075977632410115</v>
      </c>
      <c r="AF114">
        <f>IF(G114&lt;=Forudsætninger!$C$97,Forudsætninger!$C$98,(IF(G114&lt;=Forudsætninger!$D$97,Forudsætninger!$D$98,IF(G114&lt;=Forudsætninger!$E$97,Forudsætninger!$E$98,IF(G114&lt;=Forudsætninger!$F$97,Forudsætninger!$F$98,IF(G114&lt;=Forudsætninger!$G$97,Forudsætninger!$G$98,IF(G114&lt;=Forudsætninger!$H$97,Forudsætninger!$H$98,IF(G114&lt;=Forudsætninger!$I$97,Forudsætninger!$I$98,Forudsætninger!$I$98))))))))</f>
        <v>2.2000000000000002</v>
      </c>
      <c r="AG114" s="1">
        <f t="shared" si="44"/>
        <v>2.2000000000000002</v>
      </c>
      <c r="AH114" s="1">
        <f t="shared" si="48"/>
        <v>246.39999999999949</v>
      </c>
      <c r="AI114" s="1">
        <f t="shared" si="36"/>
        <v>2.1999999999999953</v>
      </c>
      <c r="AJ114" s="20">
        <f>+(W114*Forudsætninger!$C$12)</f>
        <v>0</v>
      </c>
      <c r="AK114" s="20">
        <f>Forudsætninger!$C$17</f>
        <v>250</v>
      </c>
      <c r="AL114" s="20">
        <f>IF(A114&lt;92,Forudsætninger!$C$20,Forudsætninger!$C$21)</f>
        <v>1.0566762728146013</v>
      </c>
      <c r="AM114" s="20">
        <f t="shared" si="45"/>
        <v>386.85322540852474</v>
      </c>
      <c r="AN114" s="19">
        <f>IFERROR(AD114+AJ114-AA114-Z114-AK114-AM114-Forudsætninger!$E$75,-999999)</f>
        <v>-967.31187573459351</v>
      </c>
      <c r="AO114" s="19">
        <f>IFERROR(AN114/(A114+Forudsætninger!$E$74),-999999)</f>
        <v>-8.6367131762017273</v>
      </c>
      <c r="AP114" s="19">
        <f>IFERROR(((365/(A114+Forudsætninger!$E$74))*AN114)/(AI114+Forudsætninger!$E$73),-999999)</f>
        <v>-1364.6754585773322</v>
      </c>
      <c r="AQ114" s="18">
        <f t="shared" si="37"/>
        <v>112</v>
      </c>
      <c r="AR114" s="18">
        <f t="shared" si="49"/>
        <v>3745.637201980041</v>
      </c>
      <c r="AS114" s="18">
        <f t="shared" si="29"/>
        <v>4.9000000000000004</v>
      </c>
      <c r="AT114" s="50">
        <f t="shared" si="50"/>
        <v>7.9014535164677682</v>
      </c>
      <c r="AU114" s="50">
        <f t="shared" si="51"/>
        <v>0.14899249272675341</v>
      </c>
      <c r="AV114" s="2">
        <f t="shared" si="52"/>
        <v>23.542103829118787</v>
      </c>
      <c r="AW114" s="16">
        <f t="shared" si="46"/>
        <v>-5.1826665207684712</v>
      </c>
      <c r="AZ114" s="16"/>
      <c r="BA114" s="2"/>
    </row>
    <row r="115" spans="1:53" x14ac:dyDescent="0.25">
      <c r="A115">
        <v>113</v>
      </c>
      <c r="B115" s="1">
        <f>ROUND((A115+Forudsætninger!$E$60)/30.4,1)</f>
        <v>4.9000000000000004</v>
      </c>
      <c r="C115" s="1">
        <f>VLOOKUP((A115+Forudsætninger!$E$60),'Model tilvækst, slagteform, fe'!A:D,4,FALSE)</f>
        <v>210.74584521288278</v>
      </c>
      <c r="D115" s="3">
        <f t="shared" si="53"/>
        <v>1581.1236514601887</v>
      </c>
      <c r="E115" s="3">
        <f>(1+Forudsætninger!$E$78)*C115</f>
        <v>193.88617759585216</v>
      </c>
      <c r="F115" s="2">
        <f t="shared" si="54"/>
        <v>1.6763074005939771</v>
      </c>
      <c r="G115" s="1">
        <f t="shared" si="30"/>
        <v>195.56248499644613</v>
      </c>
      <c r="H115" s="3">
        <f t="shared" si="38"/>
        <v>1391.3888132849479</v>
      </c>
      <c r="I115" s="3">
        <f t="shared" si="31"/>
        <v>1128.8715486411163</v>
      </c>
      <c r="J115" s="1">
        <f>VLOOKUP((A115+Forudsætninger!$E$60),'Model tilvækst, slagteform, fe'!G:K,4,FALSE)*(1+Forudsætninger!$E$79)</f>
        <v>50.869583606448835</v>
      </c>
      <c r="K115" s="17">
        <f t="shared" si="32"/>
        <v>99.481821808116123</v>
      </c>
      <c r="L115" s="17">
        <f t="shared" si="39"/>
        <v>747.13980123563317</v>
      </c>
      <c r="M115" s="3">
        <f>((K115-(('Model tilvækst, slagteform, fe'!$J$9/100)*'Model tilvækst, slagteform, fe'!$D$9))*1000/(A115+Forudsætninger!$E$60))</f>
        <v>531.86183673337507</v>
      </c>
      <c r="N115" s="17">
        <f t="shared" si="40"/>
        <v>405.37504970731857</v>
      </c>
      <c r="O115" s="19">
        <f>IF( A115&lt;Forudsætninger!$C$14,(G115/100)*Forudsætninger!$C$13,(Forudsætninger!$C$15/1000)*Forudsætninger!$C$13)</f>
        <v>1.2711561524768999</v>
      </c>
      <c r="P115" s="17" cm="1">
        <f t="array" ref="P115">INDEX('Model tilvækst, slagteform, fe'!$P$9:$P$375,MATCH(MIN(ABS('Model tilvækst, slagteform, fe'!$M$9:$M$375-G115)),ABS('Model tilvækst, slagteform, fe'!$M$9:$M$375-G115),0))*(1+Forudsætninger!$E$80)</f>
        <v>5.322447887737443</v>
      </c>
      <c r="Q115" s="17">
        <f t="shared" si="41"/>
        <v>7.1237643596755031</v>
      </c>
      <c r="R115" s="17">
        <f t="shared" si="42"/>
        <v>6.0944771885764988</v>
      </c>
      <c r="S115" s="17">
        <f t="shared" si="43"/>
        <v>3.1778547565815471</v>
      </c>
      <c r="T115" s="19">
        <f>(P115)*IF(N115&lt;Forudsætninger!$B$228,IF(N115&lt;Forudsætninger!$B$227,Forudsætninger!$B$225,Forudsætninger!$C$9),Forudsætninger!$C$11)+O115</f>
        <v>13.725684209782516</v>
      </c>
      <c r="U115" s="5">
        <f>Forudsætninger!$E$68+((K115-(Forudsætninger!$E$84)))*0.01</f>
        <v>5.7113819276528304</v>
      </c>
      <c r="V115" s="2">
        <f>U115+Forudsætninger!$E$69</f>
        <v>5.7113819276528304</v>
      </c>
      <c r="W115">
        <f t="shared" si="33"/>
        <v>0</v>
      </c>
      <c r="X115">
        <f>IF(A115+Forudsætninger!$E$60&gt;248,IF(A115+Forudsætninger!$E$60&lt;365,IF(K115&gt;180,IF(K115&lt;260,1,0),0),0),0)</f>
        <v>0</v>
      </c>
      <c r="Y115" s="22">
        <f>IF(X115=0,0,IF('Vækstfunktion, kry kvie'!A115&lt;Forudsætninger!$E$66,Forudsætninger!$E$67+(('Vækstfunktion, kry kvie'!A115-Forudsætninger!$E$66)/7)*Forudsætninger!$E$64,Forudsætninger!$E$67))</f>
        <v>0</v>
      </c>
      <c r="Z115" s="19">
        <f t="shared" si="47"/>
        <v>1547.5096607812986</v>
      </c>
      <c r="AA115" s="19">
        <f>Forudsætninger!$E$62+Forudsætninger!$C$16</f>
        <v>1575</v>
      </c>
      <c r="AB115" s="19">
        <f>IF(K115&gt;Forudsætninger!$C$48,IF(K115&gt;Forudsætninger!$C$49,IF(K115&gt;Forudsætninger!$C$50,Forudsætninger!$E$50,Forudsætninger!$E$49+Forudsætninger!$F$50*(K115-Forudsætninger!$C$49)),Forudsætninger!$E$48+Forudsætninger!$F$49*(K115-Forudsætninger!$C$48)),Forudsætninger!$E$48)+IF(K115&gt;Forudsætninger!$C$50,Forudsætninger!$G$50,IF(K115&gt;Forudsætninger!$C$49,Forudsætninger!$G$49+Forudsætninger!$H$50*(K115-Forudsætninger!$C$49),IF(K115&gt;Forudsætninger!$C$48,Forudsætninger!$G$48+Forudsætninger!$H$49*(K115-Forudsætninger!$C$48),Forudsætninger!$G$48)))*(U115-Forudsætninger!$H$48)</f>
        <v>35.171138192765284</v>
      </c>
      <c r="AC115" s="19">
        <f>IF(K115&gt;Forudsætninger!$C$52,IF(K115&gt;Forudsætninger!$C$53,IF(K115&gt;Forudsætninger!$C$54,Forudsætninger!$E$54,Forudsætninger!$E$53+Forudsætninger!$F$54*(K115-Forudsætninger!$C$53)),Forudsætninger!$E$52+Forudsætninger!$F$53*(K115-Forudsætninger!$C$52)),Forudsætninger!$E$52)+IF(K115&gt;Forudsætninger!$C$54,Forudsætninger!$G$54,IF(K115&gt;Forudsætninger!$C$53,Forudsætninger!$G$53+Forudsætninger!$H$54*(K115-Forudsætninger!$C$53),IF(K115&gt;Forudsætninger!$C$52,Forudsætninger!$G$52+Forudsætninger!$H$53*(K115-Forudsætninger!$C$52),Forudsætninger!$G$52)))*(V115-Forudsætninger!$H$52)</f>
        <v>30.077845481913208</v>
      </c>
      <c r="AD115" s="19">
        <f t="shared" si="34"/>
        <v>2992.1988646037403</v>
      </c>
      <c r="AE115" s="19">
        <f t="shared" si="35"/>
        <v>30.077845481913208</v>
      </c>
      <c r="AF115">
        <f>IF(G115&lt;=Forudsætninger!$C$97,Forudsætninger!$C$98,(IF(G115&lt;=Forudsætninger!$D$97,Forudsætninger!$D$98,IF(G115&lt;=Forudsætninger!$E$97,Forudsætninger!$E$98,IF(G115&lt;=Forudsætninger!$F$97,Forudsætninger!$F$98,IF(G115&lt;=Forudsætninger!$G$97,Forudsætninger!$G$98,IF(G115&lt;=Forudsætninger!$H$97,Forudsætninger!$H$98,IF(G115&lt;=Forudsætninger!$I$97,Forudsætninger!$I$98,Forudsætninger!$I$98))))))))</f>
        <v>2.2000000000000002</v>
      </c>
      <c r="AG115" s="1">
        <f t="shared" si="44"/>
        <v>2.2000000000000002</v>
      </c>
      <c r="AH115" s="1">
        <f t="shared" si="48"/>
        <v>248.59999999999948</v>
      </c>
      <c r="AI115" s="1">
        <f t="shared" si="36"/>
        <v>2.1999999999999953</v>
      </c>
      <c r="AJ115" s="20">
        <f>+(W115*Forudsætninger!$C$12)</f>
        <v>0</v>
      </c>
      <c r="AK115" s="20">
        <f>Forudsætninger!$C$17</f>
        <v>250</v>
      </c>
      <c r="AL115" s="20">
        <f>IF(A115&lt;92,Forudsætninger!$C$20,Forudsætninger!$C$21)</f>
        <v>1.0566762728146013</v>
      </c>
      <c r="AM115" s="20">
        <f t="shared" si="45"/>
        <v>387.90990168133936</v>
      </c>
      <c r="AN115" s="19">
        <f>IFERROR(AD115+AJ115-AA115-Z115-AK115-AM115-Forudsætninger!$E$75,-999999)</f>
        <v>-959.4374591955135</v>
      </c>
      <c r="AO115" s="19">
        <f>IFERROR(AN115/(A115+Forudsætninger!$E$74),-999999)</f>
        <v>-8.4905969840310931</v>
      </c>
      <c r="AP115" s="19">
        <f>IFERROR(((365/(A115+Forudsætninger!$E$74))*AN115)/(AI115+Forudsætninger!$E$73),-999999)</f>
        <v>-1341.587835139115</v>
      </c>
      <c r="AQ115" s="18">
        <f t="shared" si="37"/>
        <v>113</v>
      </c>
      <c r="AR115" s="18">
        <f t="shared" si="49"/>
        <v>3760.4195624626377</v>
      </c>
      <c r="AS115" s="18">
        <f t="shared" si="29"/>
        <v>4.9000000000000004</v>
      </c>
      <c r="AT115" s="50">
        <f t="shared" si="50"/>
        <v>7.8744165390800163</v>
      </c>
      <c r="AU115" s="50">
        <f t="shared" si="51"/>
        <v>0.14611619217063421</v>
      </c>
      <c r="AV115" s="2">
        <f t="shared" si="52"/>
        <v>23.087623438217179</v>
      </c>
      <c r="AW115" s="16">
        <f t="shared" si="46"/>
        <v>-5.057765995700656</v>
      </c>
      <c r="AZ115" s="16"/>
      <c r="BA115" s="2"/>
    </row>
    <row r="116" spans="1:53" x14ac:dyDescent="0.25">
      <c r="A116">
        <v>114</v>
      </c>
      <c r="B116" s="1">
        <f>ROUND((A116+Forudsætninger!$E$60)/30.4,1)</f>
        <v>4.9000000000000004</v>
      </c>
      <c r="C116" s="1">
        <f>VLOOKUP((A116+Forudsætninger!$E$60),'Model tilvækst, slagteform, fe'!A:D,4,FALSE)</f>
        <v>212.32797900741573</v>
      </c>
      <c r="D116" s="3">
        <f t="shared" si="53"/>
        <v>1582.1337945329503</v>
      </c>
      <c r="E116" s="3">
        <f>(1+Forudsætninger!$E$78)*C116</f>
        <v>195.34174068682248</v>
      </c>
      <c r="F116" s="2">
        <f t="shared" si="54"/>
        <v>1.613022048812659</v>
      </c>
      <c r="G116" s="1">
        <f t="shared" si="30"/>
        <v>196.95476273563514</v>
      </c>
      <c r="H116" s="3">
        <f t="shared" si="38"/>
        <v>1392.2777391890122</v>
      </c>
      <c r="I116" s="3">
        <f t="shared" si="31"/>
        <v>1131.1821292599575</v>
      </c>
      <c r="J116" s="1">
        <f>VLOOKUP((A116+Forudsætninger!$E$60),'Model tilvækst, slagteform, fe'!G:K,4,FALSE)*(1+Forudsætninger!$E$79)</f>
        <v>50.889887728765736</v>
      </c>
      <c r="K116" s="17">
        <f t="shared" si="32"/>
        <v>100.23005763262167</v>
      </c>
      <c r="L116" s="17">
        <f t="shared" si="39"/>
        <v>748.23582450554227</v>
      </c>
      <c r="M116" s="3">
        <f>((K116-(('Model tilvækst, slagteform, fe'!$J$9/100)*'Model tilvækst, slagteform, fe'!$D$9))*1000/(A116+Forudsætninger!$E$60))</f>
        <v>533.3043299851895</v>
      </c>
      <c r="N116" s="17">
        <f t="shared" si="40"/>
        <v>410.72093957931145</v>
      </c>
      <c r="O116" s="19">
        <f>IF( A116&lt;Forudsætninger!$C$14,(G116/100)*Forudsætninger!$C$13,(Forudsætninger!$C$15/1000)*Forudsætninger!$C$13)</f>
        <v>1.2802059577816285</v>
      </c>
      <c r="P116" s="17" cm="1">
        <f t="array" ref="P116">INDEX('Model tilvækst, slagteform, fe'!$P$9:$P$375,MATCH(MIN(ABS('Model tilvækst, slagteform, fe'!$M$9:$M$375-G116)),ABS('Model tilvækst, slagteform, fe'!$M$9:$M$375-G116),0))*(1+Forudsætninger!$E$80)</f>
        <v>5.3458898719928865</v>
      </c>
      <c r="Q116" s="17">
        <f t="shared" si="41"/>
        <v>7.1446590725933481</v>
      </c>
      <c r="R116" s="17">
        <f t="shared" si="42"/>
        <v>6.1061593798064191</v>
      </c>
      <c r="S116" s="17">
        <f t="shared" si="43"/>
        <v>3.1850001571583171</v>
      </c>
      <c r="T116" s="19">
        <f>(P116)*IF(N116&lt;Forudsætninger!$B$228,IF(N116&lt;Forudsætninger!$B$227,Forudsætninger!$B$225,Forudsætninger!$C$9),Forudsætninger!$C$11)+O116</f>
        <v>13.789588258244983</v>
      </c>
      <c r="U116" s="5">
        <f>Forudsætninger!$E$68+((K116-(Forudsætninger!$E$84)))*0.01</f>
        <v>5.7188642858978858</v>
      </c>
      <c r="V116" s="2">
        <f>U116+Forudsætninger!$E$69</f>
        <v>5.7188642858978858</v>
      </c>
      <c r="W116">
        <f t="shared" si="33"/>
        <v>0</v>
      </c>
      <c r="X116">
        <f>IF(A116+Forudsætninger!$E$60&gt;248,IF(A116+Forudsætninger!$E$60&lt;365,IF(K116&gt;180,IF(K116&lt;260,1,0),0),0),0)</f>
        <v>0</v>
      </c>
      <c r="Y116" s="22">
        <f>IF(X116=0,0,IF('Vækstfunktion, kry kvie'!A116&lt;Forudsætninger!$E$66,Forudsætninger!$E$67+(('Vækstfunktion, kry kvie'!A116-Forudsætninger!$E$66)/7)*Forudsætninger!$E$64,Forudsætninger!$E$67))</f>
        <v>0</v>
      </c>
      <c r="Z116" s="19">
        <f t="shared" si="47"/>
        <v>1561.2992490395436</v>
      </c>
      <c r="AA116" s="19">
        <f>Forudsætninger!$E$62+Forudsætninger!$C$16</f>
        <v>1575</v>
      </c>
      <c r="AB116" s="19">
        <f>IF(K116&gt;Forudsætninger!$C$48,IF(K116&gt;Forudsætninger!$C$49,IF(K116&gt;Forudsætninger!$C$50,Forudsætninger!$E$50,Forudsætninger!$E$49+Forudsætninger!$F$50*(K116-Forudsætninger!$C$49)),Forudsætninger!$E$48+Forudsætninger!$F$49*(K116-Forudsætninger!$C$48)),Forudsætninger!$E$48)+IF(K116&gt;Forudsætninger!$C$50,Forudsætninger!$G$50,IF(K116&gt;Forudsætninger!$C$49,Forudsætninger!$G$49+Forudsætninger!$H$50*(K116-Forudsætninger!$C$49),IF(K116&gt;Forudsætninger!$C$48,Forudsætninger!$G$48+Forudsætninger!$H$49*(K116-Forudsætninger!$C$48),Forudsætninger!$G$48)))*(U116-Forudsætninger!$H$48)</f>
        <v>35.171886428589787</v>
      </c>
      <c r="AC116" s="19">
        <f>IF(K116&gt;Forudsætninger!$C$52,IF(K116&gt;Forudsætninger!$C$53,IF(K116&gt;Forudsætninger!$C$54,Forudsætninger!$E$54,Forudsætninger!$E$53+Forudsætninger!$F$54*(K116-Forudsætninger!$C$53)),Forudsætninger!$E$52+Forudsætninger!$F$53*(K116-Forudsætninger!$C$52)),Forudsætninger!$E$52)+IF(K116&gt;Forudsætninger!$C$54,Forudsætninger!$G$54,IF(K116&gt;Forudsætninger!$C$53,Forudsætninger!$G$53+Forudsætninger!$H$54*(K116-Forudsætninger!$C$53),IF(K116&gt;Forudsætninger!$C$52,Forudsætninger!$G$52+Forudsætninger!$H$53*(K116-Forudsætninger!$C$52),Forudsætninger!$G$52)))*(V116-Forudsætninger!$H$52)</f>
        <v>30.079716071474468</v>
      </c>
      <c r="AD116" s="19">
        <f t="shared" si="34"/>
        <v>3014.8916754167822</v>
      </c>
      <c r="AE116" s="19">
        <f t="shared" si="35"/>
        <v>30.079716071474468</v>
      </c>
      <c r="AF116">
        <f>IF(G116&lt;=Forudsætninger!$C$97,Forudsætninger!$C$98,(IF(G116&lt;=Forudsætninger!$D$97,Forudsætninger!$D$98,IF(G116&lt;=Forudsætninger!$E$97,Forudsætninger!$E$98,IF(G116&lt;=Forudsætninger!$F$97,Forudsætninger!$F$98,IF(G116&lt;=Forudsætninger!$G$97,Forudsætninger!$G$98,IF(G116&lt;=Forudsætninger!$H$97,Forudsætninger!$H$98,IF(G116&lt;=Forudsætninger!$I$97,Forudsætninger!$I$98,Forudsætninger!$I$98))))))))</f>
        <v>2.2000000000000002</v>
      </c>
      <c r="AG116" s="1">
        <f t="shared" si="44"/>
        <v>2.2000000000000002</v>
      </c>
      <c r="AH116" s="1">
        <f t="shared" si="48"/>
        <v>250.79999999999947</v>
      </c>
      <c r="AI116" s="1">
        <f t="shared" si="36"/>
        <v>2.1999999999999953</v>
      </c>
      <c r="AJ116" s="20">
        <f>+(W116*Forudsætninger!$C$12)</f>
        <v>0</v>
      </c>
      <c r="AK116" s="20">
        <f>Forudsætninger!$C$17</f>
        <v>250</v>
      </c>
      <c r="AL116" s="20">
        <f>IF(A116&lt;92,Forudsætninger!$C$20,Forudsætninger!$C$21)</f>
        <v>1.0566762728146013</v>
      </c>
      <c r="AM116" s="20">
        <f t="shared" si="45"/>
        <v>388.96657795415399</v>
      </c>
      <c r="AN116" s="19">
        <f>IFERROR(AD116+AJ116-AA116-Z116-AK116-AM116-Forudsætninger!$E$75,-999999)</f>
        <v>-951.59091291353127</v>
      </c>
      <c r="AO116" s="19">
        <f>IFERROR(AN116/(A116+Forudsætninger!$E$74),-999999)</f>
        <v>-8.3472887097678186</v>
      </c>
      <c r="AP116" s="19">
        <f>IFERROR(((365/(A116+Forudsætninger!$E$74))*AN116)/(AI116+Forudsætninger!$E$73),-999999)</f>
        <v>-1318.9438870412382</v>
      </c>
      <c r="AQ116" s="18">
        <f t="shared" si="37"/>
        <v>114</v>
      </c>
      <c r="AR116" s="18">
        <f t="shared" si="49"/>
        <v>3775.2658269936974</v>
      </c>
      <c r="AS116" s="18">
        <f t="shared" si="29"/>
        <v>4.9000000000000004</v>
      </c>
      <c r="AT116" s="50">
        <f t="shared" si="50"/>
        <v>7.8465462819822278</v>
      </c>
      <c r="AU116" s="50">
        <f t="shared" si="51"/>
        <v>0.14330827426327453</v>
      </c>
      <c r="AV116" s="2">
        <f t="shared" si="52"/>
        <v>22.643948097876773</v>
      </c>
      <c r="AW116" s="16">
        <f t="shared" si="46"/>
        <v>-4.9353011838541869</v>
      </c>
      <c r="AZ116" s="16"/>
      <c r="BA116" s="2"/>
    </row>
    <row r="117" spans="1:53" x14ac:dyDescent="0.25">
      <c r="A117">
        <v>115</v>
      </c>
      <c r="B117" s="1">
        <f>ROUND((A117+Forudsætninger!$E$60)/30.4,1)</f>
        <v>5</v>
      </c>
      <c r="C117" s="1">
        <f>VLOOKUP((A117+Forudsætninger!$E$60),'Model tilvækst, slagteform, fe'!A:D,4,FALSE)</f>
        <v>213.91104038310442</v>
      </c>
      <c r="D117" s="3">
        <f t="shared" si="53"/>
        <v>1583.0613756886862</v>
      </c>
      <c r="E117" s="3">
        <f>(1+Forudsætninger!$E$78)*C117</f>
        <v>196.79815715245607</v>
      </c>
      <c r="F117" s="2">
        <f t="shared" si="54"/>
        <v>1.5496995937851115</v>
      </c>
      <c r="G117" s="1">
        <f t="shared" si="30"/>
        <v>198.34785674624118</v>
      </c>
      <c r="H117" s="3">
        <f t="shared" si="38"/>
        <v>1393.0940106060348</v>
      </c>
      <c r="I117" s="3">
        <f t="shared" si="31"/>
        <v>1133.4596238803581</v>
      </c>
      <c r="J117" s="1">
        <f>VLOOKUP((A117+Forudsætninger!$E$60),'Model tilvækst, slagteform, fe'!G:K,4,FALSE)*(1+Forudsætninger!$E$79)</f>
        <v>50.910232554460116</v>
      </c>
      <c r="K117" s="17">
        <f t="shared" si="32"/>
        <v>100.97935513629878</v>
      </c>
      <c r="L117" s="17">
        <f t="shared" si="39"/>
        <v>749.29750367711279</v>
      </c>
      <c r="M117" s="3">
        <f>((K117-(('Model tilvækst, slagteform, fe'!$J$9/100)*'Model tilvækst, slagteform, fe'!$D$9))*1000/(A117+Forudsætninger!$E$60))</f>
        <v>534.73474835401009</v>
      </c>
      <c r="N117" s="17">
        <f t="shared" si="40"/>
        <v>416.09018380463766</v>
      </c>
      <c r="O117" s="19">
        <f>IF( A117&lt;Forudsætninger!$C$14,(G117/100)*Forudsætninger!$C$13,(Forudsætninger!$C$15/1000)*Forudsætninger!$C$13)</f>
        <v>1.2892610688505677</v>
      </c>
      <c r="P117" s="17" cm="1">
        <f t="array" ref="P117">INDEX('Model tilvækst, slagteform, fe'!$P$9:$P$375,MATCH(MIN(ABS('Model tilvækst, slagteform, fe'!$M$9:$M$375-G117)),ABS('Model tilvækst, slagteform, fe'!$M$9:$M$375-G117),0))*(1+Forudsætninger!$E$80)</f>
        <v>5.3692442253262342</v>
      </c>
      <c r="Q117" s="17">
        <f t="shared" si="41"/>
        <v>7.1657041415153957</v>
      </c>
      <c r="R117" s="17">
        <f t="shared" si="42"/>
        <v>6.1178324124558658</v>
      </c>
      <c r="S117" s="17">
        <f t="shared" si="43"/>
        <v>3.1921520935681698</v>
      </c>
      <c r="T117" s="19">
        <f>(P117)*IF(N117&lt;Forudsætninger!$B$228,IF(N117&lt;Forudsætninger!$B$227,Forudsætninger!$B$225,Forudsætninger!$C$9),Forudsætninger!$C$11)+O117</f>
        <v>13.853292556113955</v>
      </c>
      <c r="U117" s="5">
        <f>Forudsætninger!$E$68+((K117-(Forudsætninger!$E$84)))*0.01</f>
        <v>5.7263572609346571</v>
      </c>
      <c r="V117" s="2">
        <f>U117+Forudsætninger!$E$69</f>
        <v>5.7263572609346571</v>
      </c>
      <c r="W117">
        <f t="shared" si="33"/>
        <v>0</v>
      </c>
      <c r="X117">
        <f>IF(A117+Forudsætninger!$E$60&gt;248,IF(A117+Forudsætninger!$E$60&lt;365,IF(K117&gt;180,IF(K117&lt;260,1,0),0),0),0)</f>
        <v>0</v>
      </c>
      <c r="Y117" s="22">
        <f>IF(X117=0,0,IF('Vækstfunktion, kry kvie'!A117&lt;Forudsætninger!$E$66,Forudsætninger!$E$67+(('Vækstfunktion, kry kvie'!A117-Forudsætninger!$E$66)/7)*Forudsætninger!$E$64,Forudsætninger!$E$67))</f>
        <v>0</v>
      </c>
      <c r="Z117" s="19">
        <f t="shared" si="47"/>
        <v>1575.1525415956576</v>
      </c>
      <c r="AA117" s="19">
        <f>Forudsætninger!$E$62+Forudsætninger!$C$16</f>
        <v>1575</v>
      </c>
      <c r="AB117" s="19">
        <f>IF(K117&gt;Forudsætninger!$C$48,IF(K117&gt;Forudsætninger!$C$49,IF(K117&gt;Forudsætninger!$C$50,Forudsætninger!$E$50,Forudsætninger!$E$49+Forudsætninger!$F$50*(K117-Forudsætninger!$C$49)),Forudsætninger!$E$48+Forudsætninger!$F$49*(K117-Forudsætninger!$C$48)),Forudsætninger!$E$48)+IF(K117&gt;Forudsætninger!$C$50,Forudsætninger!$G$50,IF(K117&gt;Forudsætninger!$C$49,Forudsætninger!$G$49+Forudsætninger!$H$50*(K117-Forudsætninger!$C$49),IF(K117&gt;Forudsætninger!$C$48,Forudsætninger!$G$48+Forudsætninger!$H$49*(K117-Forudsætninger!$C$48),Forudsætninger!$G$48)))*(U117-Forudsætninger!$H$48)</f>
        <v>35.172635726093468</v>
      </c>
      <c r="AC117" s="19">
        <f>IF(K117&gt;Forudsætninger!$C$52,IF(K117&gt;Forudsætninger!$C$53,IF(K117&gt;Forudsætninger!$C$54,Forudsætninger!$E$54,Forudsætninger!$E$53+Forudsætninger!$F$54*(K117-Forudsætninger!$C$53)),Forudsætninger!$E$52+Forudsætninger!$F$53*(K117-Forudsætninger!$C$52)),Forudsætninger!$E$52)+IF(K117&gt;Forudsætninger!$C$54,Forudsætninger!$G$54,IF(K117&gt;Forudsætninger!$C$53,Forudsætninger!$G$53+Forudsætninger!$H$54*(K117-Forudsætninger!$C$53),IF(K117&gt;Forudsætninger!$C$52,Forudsætninger!$G$52+Forudsætninger!$H$53*(K117-Forudsætninger!$C$52),Forudsætninger!$G$52)))*(V117-Forudsætninger!$H$52)</f>
        <v>30.081589315233664</v>
      </c>
      <c r="AD117" s="19">
        <f t="shared" si="34"/>
        <v>3037.619490527271</v>
      </c>
      <c r="AE117" s="19">
        <f t="shared" si="35"/>
        <v>30.081589315233664</v>
      </c>
      <c r="AF117">
        <f>IF(G117&lt;=Forudsætninger!$C$97,Forudsætninger!$C$98,(IF(G117&lt;=Forudsætninger!$D$97,Forudsætninger!$D$98,IF(G117&lt;=Forudsætninger!$E$97,Forudsætninger!$E$98,IF(G117&lt;=Forudsætninger!$F$97,Forudsætninger!$F$98,IF(G117&lt;=Forudsætninger!$G$97,Forudsætninger!$G$98,IF(G117&lt;=Forudsætninger!$H$97,Forudsætninger!$H$98,IF(G117&lt;=Forudsætninger!$I$97,Forudsætninger!$I$98,Forudsætninger!$I$98))))))))</f>
        <v>2.2000000000000002</v>
      </c>
      <c r="AG117" s="1">
        <f t="shared" si="44"/>
        <v>2.2000000000000002</v>
      </c>
      <c r="AH117" s="1">
        <f t="shared" si="48"/>
        <v>252.99999999999946</v>
      </c>
      <c r="AI117" s="1">
        <f t="shared" si="36"/>
        <v>2.1999999999999953</v>
      </c>
      <c r="AJ117" s="20">
        <f>+(W117*Forudsætninger!$C$12)</f>
        <v>0</v>
      </c>
      <c r="AK117" s="20">
        <f>Forudsætninger!$C$17</f>
        <v>250</v>
      </c>
      <c r="AL117" s="20">
        <f>IF(A117&lt;92,Forudsætninger!$C$20,Forudsætninger!$C$21)</f>
        <v>1.0566762728146013</v>
      </c>
      <c r="AM117" s="20">
        <f t="shared" si="45"/>
        <v>390.02325422696862</v>
      </c>
      <c r="AN117" s="19">
        <f>IFERROR(AD117+AJ117-AA117-Z117-AK117-AM117-Forudsætninger!$E$75,-999999)</f>
        <v>-943.77306663197112</v>
      </c>
      <c r="AO117" s="19">
        <f>IFERROR(AN117/(A117+Forudsætninger!$E$74),-999999)</f>
        <v>-8.2067223185388798</v>
      </c>
      <c r="AP117" s="19">
        <f>IFERROR(((365/(A117+Forudsætninger!$E$74))*AN117)/(AI117+Forudsætninger!$E$73),-999999)</f>
        <v>-1296.7331802020333</v>
      </c>
      <c r="AQ117" s="18">
        <f t="shared" si="37"/>
        <v>115</v>
      </c>
      <c r="AR117" s="18">
        <f t="shared" si="49"/>
        <v>3790.1757958226262</v>
      </c>
      <c r="AS117" s="18">
        <f t="shared" si="29"/>
        <v>5</v>
      </c>
      <c r="AT117" s="50">
        <f t="shared" si="50"/>
        <v>7.8178462815601506</v>
      </c>
      <c r="AU117" s="50">
        <f t="shared" si="51"/>
        <v>0.14056639122893877</v>
      </c>
      <c r="AV117" s="2">
        <f t="shared" si="52"/>
        <v>22.210706839204931</v>
      </c>
      <c r="AW117" s="16">
        <f t="shared" si="46"/>
        <v>-4.8152157600435004</v>
      </c>
      <c r="AZ117" s="16"/>
      <c r="BA117" s="2"/>
    </row>
    <row r="118" spans="1:53" x14ac:dyDescent="0.25">
      <c r="A118">
        <v>116</v>
      </c>
      <c r="B118" s="1">
        <f>ROUND((A118+Forudsætninger!$E$60)/30.4,1)</f>
        <v>5</v>
      </c>
      <c r="C118" s="1">
        <f>VLOOKUP((A118+Forudsætninger!$E$60),'Model tilvækst, slagteform, fe'!A:D,4,FALSE)</f>
        <v>215.49494736305232</v>
      </c>
      <c r="D118" s="3">
        <f t="shared" si="53"/>
        <v>1583.9069799478978</v>
      </c>
      <c r="E118" s="3">
        <f>(1+Forudsætninger!$E$78)*C118</f>
        <v>198.25535157400813</v>
      </c>
      <c r="F118" s="2">
        <f t="shared" si="54"/>
        <v>1.4863433145871956</v>
      </c>
      <c r="G118" s="1">
        <f t="shared" si="30"/>
        <v>199.74169488859533</v>
      </c>
      <c r="H118" s="3">
        <f t="shared" si="38"/>
        <v>1393.8381423541557</v>
      </c>
      <c r="I118" s="3">
        <f t="shared" si="31"/>
        <v>1135.7042662809943</v>
      </c>
      <c r="J118" s="1">
        <f>VLOOKUP((A118+Forudsætninger!$E$60),'Model tilvækst, slagteform, fe'!G:K,4,FALSE)*(1+Forudsætninger!$E$79)</f>
        <v>50.930618291025297</v>
      </c>
      <c r="K118" s="17">
        <f t="shared" si="32"/>
        <v>101.72968019173487</v>
      </c>
      <c r="L118" s="17">
        <f t="shared" si="39"/>
        <v>750.32505543609318</v>
      </c>
      <c r="M118" s="3">
        <f>((K118-(('Model tilvækst, slagteform, fe'!$J$9/100)*'Model tilvækst, slagteform, fe'!$D$9))*1000/(A118+Forudsætninger!$E$60))</f>
        <v>536.15310563744492</v>
      </c>
      <c r="N118" s="17">
        <f t="shared" si="40"/>
        <v>421.48269603553308</v>
      </c>
      <c r="O118" s="19">
        <f>IF( A118&lt;Forudsætninger!$C$14,(G118/100)*Forudsætninger!$C$13,(Forudsætninger!$C$15/1000)*Forudsætninger!$C$13)</f>
        <v>1.2983210167758696</v>
      </c>
      <c r="P118" s="17" cm="1">
        <f t="array" ref="P118">INDEX('Model tilvækst, slagteform, fe'!$P$9:$P$375,MATCH(MIN(ABS('Model tilvækst, slagteform, fe'!$M$9:$M$375-G118)),ABS('Model tilvækst, slagteform, fe'!$M$9:$M$375-G118),0))*(1+Forudsætninger!$E$80)</f>
        <v>5.3925122308954361</v>
      </c>
      <c r="Q118" s="17">
        <f t="shared" si="41"/>
        <v>7.1869014526794359</v>
      </c>
      <c r="R118" s="17">
        <f t="shared" si="42"/>
        <v>6.1294978316077007</v>
      </c>
      <c r="S118" s="17">
        <f t="shared" si="43"/>
        <v>3.1993113219922615</v>
      </c>
      <c r="T118" s="19">
        <f>(P118)*IF(N118&lt;Forudsætninger!$B$228,IF(N118&lt;Forudsætninger!$B$227,Forudsætninger!$B$225,Forudsætninger!$C$9),Forudsætninger!$C$11)+O118</f>
        <v>13.91679963707119</v>
      </c>
      <c r="U118" s="5">
        <f>Forudsætninger!$E$68+((K118-(Forudsætninger!$E$84)))*0.01</f>
        <v>5.7338605114890182</v>
      </c>
      <c r="V118" s="2">
        <f>U118+Forudsætninger!$E$69</f>
        <v>5.7338605114890182</v>
      </c>
      <c r="W118">
        <f t="shared" si="33"/>
        <v>0</v>
      </c>
      <c r="X118">
        <f>IF(A118+Forudsætninger!$E$60&gt;248,IF(A118+Forudsætninger!$E$60&lt;365,IF(K118&gt;180,IF(K118&lt;260,1,0),0),0),0)</f>
        <v>0</v>
      </c>
      <c r="Y118" s="22">
        <f>IF(X118=0,0,IF('Vækstfunktion, kry kvie'!A118&lt;Forudsætninger!$E$66,Forudsætninger!$E$67+(('Vækstfunktion, kry kvie'!A118-Forudsætninger!$E$66)/7)*Forudsætninger!$E$64,Forudsætninger!$E$67))</f>
        <v>0</v>
      </c>
      <c r="Z118" s="19">
        <f t="shared" si="47"/>
        <v>1589.0693412327287</v>
      </c>
      <c r="AA118" s="19">
        <f>Forudsætninger!$E$62+Forudsætninger!$C$16</f>
        <v>1575</v>
      </c>
      <c r="AB118" s="19">
        <f>IF(K118&gt;Forudsætninger!$C$48,IF(K118&gt;Forudsætninger!$C$49,IF(K118&gt;Forudsætninger!$C$50,Forudsætninger!$E$50,Forudsætninger!$E$49+Forudsætninger!$F$50*(K118-Forudsætninger!$C$49)),Forudsætninger!$E$48+Forudsætninger!$F$49*(K118-Forudsætninger!$C$48)),Forudsætninger!$E$48)+IF(K118&gt;Forudsætninger!$C$50,Forudsætninger!$G$50,IF(K118&gt;Forudsætninger!$C$49,Forudsætninger!$G$49+Forudsætninger!$H$50*(K118-Forudsætninger!$C$49),IF(K118&gt;Forudsætninger!$C$48,Forudsætninger!$G$48+Forudsætninger!$H$49*(K118-Forudsætninger!$C$48),Forudsætninger!$G$48)))*(U118-Forudsætninger!$H$48)</f>
        <v>35.173386051148903</v>
      </c>
      <c r="AC118" s="19">
        <f>IF(K118&gt;Forudsætninger!$C$52,IF(K118&gt;Forudsætninger!$C$53,IF(K118&gt;Forudsætninger!$C$54,Forudsætninger!$E$54,Forudsætninger!$E$53+Forudsætninger!$F$54*(K118-Forudsætninger!$C$53)),Forudsætninger!$E$52+Forudsætninger!$F$53*(K118-Forudsætninger!$C$52)),Forudsætninger!$E$52)+IF(K118&gt;Forudsætninger!$C$54,Forudsætninger!$G$54,IF(K118&gt;Forudsætninger!$C$53,Forudsætninger!$G$53+Forudsætninger!$H$54*(K118-Forudsætninger!$C$53),IF(K118&gt;Forudsætninger!$C$52,Forudsætninger!$G$52+Forudsætninger!$H$53*(K118-Forudsætninger!$C$52),Forudsætninger!$G$52)))*(V118-Forudsætninger!$H$52)</f>
        <v>30.083465127872252</v>
      </c>
      <c r="AD118" s="19">
        <f t="shared" si="34"/>
        <v>3060.3812865176524</v>
      </c>
      <c r="AE118" s="19">
        <f t="shared" si="35"/>
        <v>30.083465127872248</v>
      </c>
      <c r="AF118">
        <f>IF(G118&lt;=Forudsætninger!$C$97,Forudsætninger!$C$98,(IF(G118&lt;=Forudsætninger!$D$97,Forudsætninger!$D$98,IF(G118&lt;=Forudsætninger!$E$97,Forudsætninger!$E$98,IF(G118&lt;=Forudsætninger!$F$97,Forudsætninger!$F$98,IF(G118&lt;=Forudsætninger!$G$97,Forudsætninger!$G$98,IF(G118&lt;=Forudsætninger!$H$97,Forudsætninger!$H$98,IF(G118&lt;=Forudsætninger!$I$97,Forudsætninger!$I$98,Forudsætninger!$I$98))))))))</f>
        <v>2.2000000000000002</v>
      </c>
      <c r="AG118" s="1">
        <f t="shared" si="44"/>
        <v>2.2000000000000002</v>
      </c>
      <c r="AH118" s="1">
        <f t="shared" si="48"/>
        <v>255.19999999999945</v>
      </c>
      <c r="AI118" s="1">
        <f t="shared" si="36"/>
        <v>2.1999999999999953</v>
      </c>
      <c r="AJ118" s="20">
        <f>+(W118*Forudsætninger!$C$12)</f>
        <v>0</v>
      </c>
      <c r="AK118" s="20">
        <f>Forudsætninger!$C$17</f>
        <v>250</v>
      </c>
      <c r="AL118" s="20">
        <f>IF(A118&lt;92,Forudsætninger!$C$20,Forudsætninger!$C$21)</f>
        <v>1.0566762728146013</v>
      </c>
      <c r="AM118" s="20">
        <f t="shared" si="45"/>
        <v>391.07993049978325</v>
      </c>
      <c r="AN118" s="19">
        <f>IFERROR(AD118+AJ118-AA118-Z118-AK118-AM118-Forudsætninger!$E$75,-999999)</f>
        <v>-935.98474655147538</v>
      </c>
      <c r="AO118" s="19">
        <f>IFERROR(AN118/(A118+Forudsætninger!$E$74),-999999)</f>
        <v>-8.0688340219954782</v>
      </c>
      <c r="AP118" s="19">
        <f>IFERROR(((365/(A118+Forudsætninger!$E$74))*AN118)/(AI118+Forudsætninger!$E$73),-999999)</f>
        <v>-1274.9456355101106</v>
      </c>
      <c r="AQ118" s="18">
        <f t="shared" si="37"/>
        <v>116</v>
      </c>
      <c r="AR118" s="18">
        <f t="shared" si="49"/>
        <v>3805.1492717325118</v>
      </c>
      <c r="AS118" s="18">
        <f t="shared" si="29"/>
        <v>5</v>
      </c>
      <c r="AT118" s="50">
        <f t="shared" si="50"/>
        <v>7.7883200804957369</v>
      </c>
      <c r="AU118" s="50">
        <f t="shared" si="51"/>
        <v>0.13788829654340162</v>
      </c>
      <c r="AV118" s="2">
        <f t="shared" si="52"/>
        <v>21.787544691922676</v>
      </c>
      <c r="AW118" s="16">
        <f t="shared" si="46"/>
        <v>-4.6974553107904491</v>
      </c>
      <c r="AZ118" s="16"/>
      <c r="BA118" s="2"/>
    </row>
    <row r="119" spans="1:53" x14ac:dyDescent="0.25">
      <c r="A119">
        <v>117</v>
      </c>
      <c r="B119" s="1">
        <f>ROUND((A119+Forudsætninger!$E$60)/30.4,1)</f>
        <v>5</v>
      </c>
      <c r="C119" s="1">
        <f>VLOOKUP((A119+Forudsætninger!$E$60),'Model tilvækst, slagteform, fe'!A:D,4,FALSE)</f>
        <v>217.07961855538335</v>
      </c>
      <c r="D119" s="3">
        <f t="shared" si="53"/>
        <v>1584.6711923310295</v>
      </c>
      <c r="E119" s="3">
        <f>(1+Forudsætninger!$E$78)*C119</f>
        <v>199.71324907095268</v>
      </c>
      <c r="F119" s="2">
        <f t="shared" si="54"/>
        <v>1.4229564668939545</v>
      </c>
      <c r="G119" s="1">
        <f t="shared" si="30"/>
        <v>201.13620553784665</v>
      </c>
      <c r="H119" s="3">
        <f t="shared" si="38"/>
        <v>1394.5106492513162</v>
      </c>
      <c r="I119" s="3">
        <f t="shared" si="31"/>
        <v>1137.916286648262</v>
      </c>
      <c r="J119" s="1">
        <f>VLOOKUP((A119+Forudsætninger!$E$60),'Model tilvækst, slagteform, fe'!G:K,4,FALSE)*(1+Forudsætninger!$E$79)</f>
        <v>50.951045145954602</v>
      </c>
      <c r="K119" s="17">
        <f t="shared" si="32"/>
        <v>102.48099888844828</v>
      </c>
      <c r="L119" s="17">
        <f t="shared" si="39"/>
        <v>751.31869671341178</v>
      </c>
      <c r="M119" s="3">
        <f>((K119-(('Model tilvækst, slagteform, fe'!$J$9/100)*'Model tilvækst, slagteform, fe'!$D$9))*1000/(A119+Forudsætninger!$E$60))</f>
        <v>537.559416690229</v>
      </c>
      <c r="N119" s="17">
        <f t="shared" si="40"/>
        <v>426.92149036690631</v>
      </c>
      <c r="O119" s="19">
        <f>IF( A119&lt;Forudsætninger!$C$14,(G119/100)*Forudsætninger!$C$13,(Forudsætninger!$C$15/1000)*Forudsætninger!$C$13)</f>
        <v>1.3073853359960033</v>
      </c>
      <c r="P119" s="17" cm="1">
        <f t="array" ref="P119">INDEX('Model tilvækst, slagteform, fe'!$P$9:$P$375,MATCH(MIN(ABS('Model tilvækst, slagteform, fe'!$M$9:$M$375-G119)),ABS('Model tilvækst, slagteform, fe'!$M$9:$M$375-G119),0))*(1+Forudsætninger!$E$80)</f>
        <v>5.4387943313732139</v>
      </c>
      <c r="Q119" s="17">
        <f t="shared" si="41"/>
        <v>7.238997718497914</v>
      </c>
      <c r="R119" s="17">
        <f t="shared" si="42"/>
        <v>6.1414894320860993</v>
      </c>
      <c r="S119" s="17">
        <f t="shared" si="43"/>
        <v>3.2066520796669788</v>
      </c>
      <c r="T119" s="19">
        <f>(P119)*IF(N119&lt;Forudsætninger!$B$228,IF(N119&lt;Forudsætninger!$B$227,Forudsætninger!$B$225,Forudsætninger!$C$9),Forudsætninger!$C$11)+O119</f>
        <v>14.034164071409322</v>
      </c>
      <c r="U119" s="5">
        <f>Forudsætninger!$E$68+((K119-(Forudsætninger!$E$84)))*0.01</f>
        <v>5.7413736984561519</v>
      </c>
      <c r="V119" s="2">
        <f>U119+Forudsætninger!$E$69</f>
        <v>5.7413736984561519</v>
      </c>
      <c r="W119">
        <f t="shared" si="33"/>
        <v>0</v>
      </c>
      <c r="X119">
        <f>IF(A119+Forudsætninger!$E$60&gt;248,IF(A119+Forudsætninger!$E$60&lt;365,IF(K119&gt;180,IF(K119&lt;260,1,0),0),0),0)</f>
        <v>0</v>
      </c>
      <c r="Y119" s="22">
        <f>IF(X119=0,0,IF('Vækstfunktion, kry kvie'!A119&lt;Forudsætninger!$E$66,Forudsætninger!$E$67+(('Vækstfunktion, kry kvie'!A119-Forudsætninger!$E$66)/7)*Forudsætninger!$E$64,Forudsætninger!$E$67))</f>
        <v>0</v>
      </c>
      <c r="Z119" s="19">
        <f t="shared" si="47"/>
        <v>1603.103505304138</v>
      </c>
      <c r="AA119" s="19">
        <f>Forudsætninger!$E$62+Forudsætninger!$C$16</f>
        <v>1575</v>
      </c>
      <c r="AB119" s="19">
        <f>IF(K119&gt;Forudsætninger!$C$48,IF(K119&gt;Forudsætninger!$C$49,IF(K119&gt;Forudsætninger!$C$50,Forudsætninger!$E$50,Forudsætninger!$E$49+Forudsætninger!$F$50*(K119-Forudsætninger!$C$49)),Forudsætninger!$E$48+Forudsætninger!$F$49*(K119-Forudsætninger!$C$48)),Forudsætninger!$E$48)+IF(K119&gt;Forudsætninger!$C$50,Forudsætninger!$G$50,IF(K119&gt;Forudsætninger!$C$49,Forudsætninger!$G$49+Forudsætninger!$H$50*(K119-Forudsætninger!$C$49),IF(K119&gt;Forudsætninger!$C$48,Forudsætninger!$G$48+Forudsætninger!$H$49*(K119-Forudsætninger!$C$48),Forudsætninger!$G$48)))*(U119-Forudsætninger!$H$48)</f>
        <v>35.174137369845617</v>
      </c>
      <c r="AC119" s="19">
        <f>IF(K119&gt;Forudsætninger!$C$52,IF(K119&gt;Forudsætninger!$C$53,IF(K119&gt;Forudsætninger!$C$54,Forudsætninger!$E$54,Forudsætninger!$E$53+Forudsætninger!$F$54*(K119-Forudsætninger!$C$53)),Forudsætninger!$E$52+Forudsætninger!$F$53*(K119-Forudsætninger!$C$52)),Forudsætninger!$E$52)+IF(K119&gt;Forudsætninger!$C$54,Forudsætninger!$G$54,IF(K119&gt;Forudsætninger!$C$53,Forudsætninger!$G$53+Forudsætninger!$H$54*(K119-Forudsætninger!$C$53),IF(K119&gt;Forudsætninger!$C$52,Forudsætninger!$G$52+Forudsætninger!$H$53*(K119-Forudsætninger!$C$52),Forudsætninger!$G$52)))*(V119-Forudsætninger!$H$52)</f>
        <v>30.085343424614038</v>
      </c>
      <c r="AD119" s="19">
        <f t="shared" si="34"/>
        <v>3083.176046056456</v>
      </c>
      <c r="AE119" s="19">
        <f t="shared" si="35"/>
        <v>30.085343424614038</v>
      </c>
      <c r="AF119">
        <f>IF(G119&lt;=Forudsætninger!$C$97,Forudsætninger!$C$98,(IF(G119&lt;=Forudsætninger!$D$97,Forudsætninger!$D$98,IF(G119&lt;=Forudsætninger!$E$97,Forudsætninger!$E$98,IF(G119&lt;=Forudsætninger!$F$97,Forudsætninger!$F$98,IF(G119&lt;=Forudsætninger!$G$97,Forudsætninger!$G$98,IF(G119&lt;=Forudsætninger!$H$97,Forudsætninger!$H$98,IF(G119&lt;=Forudsætninger!$I$97,Forudsætninger!$I$98,Forudsætninger!$I$98))))))))</f>
        <v>3.2</v>
      </c>
      <c r="AG119" s="1">
        <f t="shared" si="44"/>
        <v>3.2</v>
      </c>
      <c r="AH119" s="1">
        <f t="shared" si="48"/>
        <v>258.39999999999947</v>
      </c>
      <c r="AI119" s="1">
        <f t="shared" si="36"/>
        <v>2.2085470085470038</v>
      </c>
      <c r="AJ119" s="20">
        <f>+(W119*Forudsætninger!$C$12)</f>
        <v>0</v>
      </c>
      <c r="AK119" s="20">
        <f>Forudsætninger!$C$17</f>
        <v>250</v>
      </c>
      <c r="AL119" s="20">
        <f>IF(A119&lt;92,Forudsætninger!$C$20,Forudsætninger!$C$21)</f>
        <v>1.0566762728146013</v>
      </c>
      <c r="AM119" s="20">
        <f t="shared" si="45"/>
        <v>392.13660677259787</v>
      </c>
      <c r="AN119" s="19">
        <f>IFERROR(AD119+AJ119-AA119-Z119-AK119-AM119-Forudsætninger!$E$75,-999999)</f>
        <v>-928.28082735689566</v>
      </c>
      <c r="AO119" s="19">
        <f>IFERROR(AN119/(A119+Forudsætninger!$E$74),-999999)</f>
        <v>-7.934024165443553</v>
      </c>
      <c r="AP119" s="19">
        <f>IFERROR(((365/(A119+Forudsætninger!$E$74))*AN119)/(AI119+Forudsætninger!$E$73),-999999)</f>
        <v>-1249.0231208215712</v>
      </c>
      <c r="AQ119" s="18">
        <f t="shared" si="37"/>
        <v>117</v>
      </c>
      <c r="AR119" s="18">
        <f t="shared" si="49"/>
        <v>3820.2401120767358</v>
      </c>
      <c r="AS119" s="18">
        <f t="shared" si="29"/>
        <v>5</v>
      </c>
      <c r="AT119" s="50">
        <f t="shared" si="50"/>
        <v>7.7039191945797256</v>
      </c>
      <c r="AU119" s="50">
        <f t="shared" si="51"/>
        <v>0.13480985655192512</v>
      </c>
      <c r="AV119" s="2">
        <f t="shared" si="52"/>
        <v>25.922514688539422</v>
      </c>
      <c r="AW119" s="16">
        <f t="shared" si="46"/>
        <v>-4.5824292357632288</v>
      </c>
      <c r="AZ119" s="16"/>
      <c r="BA119" s="2"/>
    </row>
    <row r="120" spans="1:53" x14ac:dyDescent="0.25">
      <c r="A120">
        <v>118</v>
      </c>
      <c r="B120" s="1">
        <f>ROUND((A120+Forudsætninger!$E$60)/30.4,1)</f>
        <v>5.0999999999999996</v>
      </c>
      <c r="C120" s="1">
        <f>VLOOKUP((A120+Forudsætninger!$E$60),'Model tilvækst, slagteform, fe'!A:D,4,FALSE)</f>
        <v>218.66497315324233</v>
      </c>
      <c r="D120" s="3">
        <f t="shared" si="53"/>
        <v>1585.3545978589807</v>
      </c>
      <c r="E120" s="3">
        <f>(1+Forudsætninger!$E$78)*C120</f>
        <v>201.17177530098294</v>
      </c>
      <c r="F120" s="2">
        <f t="shared" si="54"/>
        <v>1.3595422829795953</v>
      </c>
      <c r="G120" s="1">
        <f t="shared" si="30"/>
        <v>202.53131758396253</v>
      </c>
      <c r="H120" s="3">
        <f t="shared" si="38"/>
        <v>1395.1120461158837</v>
      </c>
      <c r="I120" s="3">
        <f t="shared" si="31"/>
        <v>1140.0959117284963</v>
      </c>
      <c r="J120" s="1">
        <f>VLOOKUP((A120+Forudsætninger!$E$60),'Model tilvækst, slagteform, fe'!G:K,4,FALSE)*(1+Forudsætninger!$E$79)</f>
        <v>50.971513326741324</v>
      </c>
      <c r="K120" s="17">
        <f t="shared" si="32"/>
        <v>103.23327753313426</v>
      </c>
      <c r="L120" s="17">
        <f t="shared" si="39"/>
        <v>752.27864468597261</v>
      </c>
      <c r="M120" s="3">
        <f>((K120-(('Model tilvækst, slagteform, fe'!$J$9/100)*'Model tilvækst, slagteform, fe'!$D$9))*1000/(A120+Forudsætninger!$E$60))</f>
        <v>538.95369739149999</v>
      </c>
      <c r="N120" s="17">
        <f t="shared" si="40"/>
        <v>432.383301359504</v>
      </c>
      <c r="O120" s="19">
        <f>IF( A120&lt;Forudsætninger!$C$14,(G120/100)*Forudsætninger!$C$13,(Forudsætninger!$C$15/1000)*Forudsætninger!$C$13)</f>
        <v>1.3164535642957564</v>
      </c>
      <c r="P120" s="17" cm="1">
        <f t="array" ref="P120">INDEX('Model tilvækst, slagteform, fe'!$P$9:$P$375,MATCH(MIN(ABS('Model tilvækst, slagteform, fe'!$M$9:$M$375-G120)),ABS('Model tilvækst, slagteform, fe'!$M$9:$M$375-G120),0))*(1+Forudsætninger!$E$80)</f>
        <v>5.4618109925976901</v>
      </c>
      <c r="Q120" s="17">
        <f t="shared" si="41"/>
        <v>7.2603562937475656</v>
      </c>
      <c r="R120" s="17">
        <f t="shared" si="42"/>
        <v>6.1534680906026002</v>
      </c>
      <c r="S120" s="17">
        <f t="shared" si="43"/>
        <v>3.2139973734342462</v>
      </c>
      <c r="T120" s="19">
        <f>(P120)*IF(N120&lt;Forudsætninger!$B$228,IF(N120&lt;Forudsætninger!$B$227,Forudsætninger!$B$225,Forudsætninger!$C$9),Forudsætninger!$C$11)+O120</f>
        <v>14.097091286974351</v>
      </c>
      <c r="U120" s="5">
        <f>Forudsætninger!$E$68+((K120-(Forudsætninger!$E$84)))*0.01</f>
        <v>5.7488964849030122</v>
      </c>
      <c r="V120" s="2">
        <f>U120+Forudsætninger!$E$69</f>
        <v>5.7488964849030122</v>
      </c>
      <c r="W120">
        <f t="shared" si="33"/>
        <v>0</v>
      </c>
      <c r="X120">
        <f>IF(A120+Forudsætninger!$E$60&gt;248,IF(A120+Forudsætninger!$E$60&lt;365,IF(K120&gt;180,IF(K120&lt;260,1,0),0),0),0)</f>
        <v>0</v>
      </c>
      <c r="Y120" s="22">
        <f>IF(X120=0,0,IF('Vækstfunktion, kry kvie'!A120&lt;Forudsætninger!$E$66,Forudsætninger!$E$67+(('Vækstfunktion, kry kvie'!A120-Forudsætninger!$E$66)/7)*Forudsætninger!$E$64,Forudsætninger!$E$67))</f>
        <v>0</v>
      </c>
      <c r="Z120" s="19">
        <f t="shared" si="47"/>
        <v>1617.2005965911123</v>
      </c>
      <c r="AA120" s="19">
        <f>Forudsætninger!$E$62+Forudsætninger!$C$16</f>
        <v>1575</v>
      </c>
      <c r="AB120" s="19">
        <f>IF(K120&gt;Forudsætninger!$C$48,IF(K120&gt;Forudsætninger!$C$49,IF(K120&gt;Forudsætninger!$C$50,Forudsætninger!$E$50,Forudsætninger!$E$49+Forudsætninger!$F$50*(K120-Forudsætninger!$C$49)),Forudsætninger!$E$48+Forudsætninger!$F$49*(K120-Forudsætninger!$C$48)),Forudsætninger!$E$48)+IF(K120&gt;Forudsætninger!$C$50,Forudsætninger!$G$50,IF(K120&gt;Forudsætninger!$C$49,Forudsætninger!$G$49+Forudsætninger!$H$50*(K120-Forudsætninger!$C$49),IF(K120&gt;Forudsætninger!$C$48,Forudsætninger!$G$48+Forudsætninger!$H$49*(K120-Forudsætninger!$C$48),Forudsætninger!$G$48)))*(U120-Forudsætninger!$H$48)</f>
        <v>35.1748896484903</v>
      </c>
      <c r="AC120" s="19">
        <f>IF(K120&gt;Forudsætninger!$C$52,IF(K120&gt;Forudsætninger!$C$53,IF(K120&gt;Forudsætninger!$C$54,Forudsætninger!$E$54,Forudsætninger!$E$53+Forudsætninger!$F$54*(K120-Forudsætninger!$C$53)),Forudsætninger!$E$52+Forudsætninger!$F$53*(K120-Forudsætninger!$C$52)),Forudsætninger!$E$52)+IF(K120&gt;Forudsætninger!$C$54,Forudsætninger!$G$54,IF(K120&gt;Forudsætninger!$C$53,Forudsætninger!$G$53+Forudsætninger!$H$54*(K120-Forudsætninger!$C$53),IF(K120&gt;Forudsætninger!$C$52,Forudsætninger!$G$52+Forudsætninger!$H$53*(K120-Forudsætninger!$C$52),Forudsætninger!$G$52)))*(V120-Forudsætninger!$H$52)</f>
        <v>30.087224121225752</v>
      </c>
      <c r="AD120" s="19">
        <f t="shared" si="34"/>
        <v>3106.0027579081093</v>
      </c>
      <c r="AE120" s="19">
        <f t="shared" si="35"/>
        <v>30.087224121225749</v>
      </c>
      <c r="AF120">
        <f>IF(G120&lt;=Forudsætninger!$C$97,Forudsætninger!$C$98,(IF(G120&lt;=Forudsætninger!$D$97,Forudsætninger!$D$98,IF(G120&lt;=Forudsætninger!$E$97,Forudsætninger!$E$98,IF(G120&lt;=Forudsætninger!$F$97,Forudsætninger!$F$98,IF(G120&lt;=Forudsætninger!$G$97,Forudsætninger!$G$98,IF(G120&lt;=Forudsætninger!$H$97,Forudsætninger!$H$98,IF(G120&lt;=Forudsætninger!$I$97,Forudsætninger!$I$98,Forudsætninger!$I$98))))))))</f>
        <v>3.2</v>
      </c>
      <c r="AG120" s="1">
        <f t="shared" si="44"/>
        <v>3.2</v>
      </c>
      <c r="AH120" s="1">
        <f t="shared" si="48"/>
        <v>261.59999999999945</v>
      </c>
      <c r="AI120" s="1">
        <f t="shared" si="36"/>
        <v>2.2169491525423681</v>
      </c>
      <c r="AJ120" s="20">
        <f>+(W120*Forudsætninger!$C$12)</f>
        <v>0</v>
      </c>
      <c r="AK120" s="20">
        <f>Forudsætninger!$C$17</f>
        <v>250</v>
      </c>
      <c r="AL120" s="20">
        <f>IF(A120&lt;92,Forudsætninger!$C$20,Forudsætninger!$C$21)</f>
        <v>1.0566762728146013</v>
      </c>
      <c r="AM120" s="20">
        <f t="shared" si="45"/>
        <v>393.1932830454125</v>
      </c>
      <c r="AN120" s="19">
        <f>IFERROR(AD120+AJ120-AA120-Z120-AK120-AM120-Forudsætninger!$E$75,-999999)</f>
        <v>-920.60788306503139</v>
      </c>
      <c r="AO120" s="19">
        <f>IFERROR(AN120/(A120+Forudsætninger!$E$74),-999999)</f>
        <v>-7.8017617208900969</v>
      </c>
      <c r="AP120" s="19">
        <f>IFERROR(((365/(A120+Forudsætninger!$E$74))*AN120)/(AI120+Forudsætninger!$E$73),-999999)</f>
        <v>-1223.7667613035808</v>
      </c>
      <c r="AQ120" s="18">
        <f t="shared" si="37"/>
        <v>118</v>
      </c>
      <c r="AR120" s="18">
        <f t="shared" si="49"/>
        <v>3835.3938796365246</v>
      </c>
      <c r="AS120" s="18">
        <f t="shared" si="29"/>
        <v>5.0999999999999996</v>
      </c>
      <c r="AT120" s="50">
        <f t="shared" si="50"/>
        <v>7.672944291864269</v>
      </c>
      <c r="AU120" s="50">
        <f t="shared" si="51"/>
        <v>0.13226244455345615</v>
      </c>
      <c r="AV120" s="2">
        <f t="shared" si="52"/>
        <v>25.256359517990404</v>
      </c>
      <c r="AW120" s="16">
        <f t="shared" si="46"/>
        <v>-4.4696152544035499</v>
      </c>
      <c r="AZ120" s="16"/>
      <c r="BA120" s="2"/>
    </row>
    <row r="121" spans="1:53" x14ac:dyDescent="0.25">
      <c r="A121">
        <v>119</v>
      </c>
      <c r="B121" s="1">
        <f>ROUND((A121+Forudsætninger!$E$60)/30.4,1)</f>
        <v>5.0999999999999996</v>
      </c>
      <c r="C121" s="1">
        <f>VLOOKUP((A121+Forudsætninger!$E$60),'Model tilvækst, slagteform, fe'!A:D,4,FALSE)</f>
        <v>220.25093093479447</v>
      </c>
      <c r="D121" s="3">
        <f t="shared" si="53"/>
        <v>1585.9577815521391</v>
      </c>
      <c r="E121" s="3">
        <f>(1+Forudsætninger!$E$78)*C121</f>
        <v>202.63085646001093</v>
      </c>
      <c r="F121" s="2">
        <f t="shared" si="54"/>
        <v>1.2961039717175098</v>
      </c>
      <c r="G121" s="1">
        <f t="shared" si="30"/>
        <v>203.92696043172845</v>
      </c>
      <c r="H121" s="3">
        <f t="shared" si="38"/>
        <v>1395.6428477659131</v>
      </c>
      <c r="I121" s="3">
        <f t="shared" si="31"/>
        <v>1142.2433649725081</v>
      </c>
      <c r="J121" s="1">
        <f>VLOOKUP((A121+Forudsætninger!$E$60),'Model tilvækst, slagteform, fe'!G:K,4,FALSE)*(1+Forudsætninger!$E$79)</f>
        <v>50.992023040878799</v>
      </c>
      <c r="K121" s="17">
        <f t="shared" si="32"/>
        <v>103.98648264991076</v>
      </c>
      <c r="L121" s="17">
        <f t="shared" si="39"/>
        <v>753.20511677649904</v>
      </c>
      <c r="M121" s="3">
        <f>((K121-(('Model tilvækst, slagteform, fe'!$J$9/100)*'Model tilvækst, slagteform, fe'!$D$9))*1000/(A121+Forudsætninger!$E$60))</f>
        <v>540.33596461333877</v>
      </c>
      <c r="N121" s="17">
        <f t="shared" si="40"/>
        <v>437.8680477981938</v>
      </c>
      <c r="O121" s="19">
        <f>IF( A121&lt;Forudsætninger!$C$14,(G121/100)*Forudsætninger!$C$13,(Forudsætninger!$C$15/1000)*Forudsætninger!$C$13)</f>
        <v>1.3255252428062352</v>
      </c>
      <c r="P121" s="17" cm="1">
        <f t="array" ref="P121">INDEX('Model tilvækst, slagteform, fe'!$P$9:$P$375,MATCH(MIN(ABS('Model tilvækst, slagteform, fe'!$M$9:$M$375-G121)),ABS('Model tilvækst, slagteform, fe'!$M$9:$M$375-G121),0))*(1+Forudsætninger!$E$80)</f>
        <v>5.4847464386898244</v>
      </c>
      <c r="Q121" s="17">
        <f t="shared" si="41"/>
        <v>7.2818762333465807</v>
      </c>
      <c r="R121" s="17">
        <f t="shared" si="42"/>
        <v>6.1654354952696195</v>
      </c>
      <c r="S121" s="17">
        <f t="shared" si="43"/>
        <v>3.2213480416794891</v>
      </c>
      <c r="T121" s="19">
        <f>(P121)*IF(N121&lt;Forudsætninger!$B$228,IF(N121&lt;Forudsætninger!$B$227,Forudsætninger!$B$225,Forudsætninger!$C$9),Forudsætninger!$C$11)+O121</f>
        <v>14.159831909340422</v>
      </c>
      <c r="U121" s="5">
        <f>Forudsætninger!$E$68+((K121-(Forudsætninger!$E$84)))*0.01</f>
        <v>5.7564285360707768</v>
      </c>
      <c r="V121" s="2">
        <f>U121+Forudsætninger!$E$69</f>
        <v>5.7564285360707768</v>
      </c>
      <c r="W121">
        <f t="shared" si="33"/>
        <v>0</v>
      </c>
      <c r="X121">
        <f>IF(A121+Forudsætninger!$E$60&gt;248,IF(A121+Forudsætninger!$E$60&lt;365,IF(K121&gt;180,IF(K121&lt;260,1,0),0),0),0)</f>
        <v>0</v>
      </c>
      <c r="Y121" s="22">
        <f>IF(X121=0,0,IF('Vækstfunktion, kry kvie'!A121&lt;Forudsætninger!$E$66,Forudsætninger!$E$67+(('Vækstfunktion, kry kvie'!A121-Forudsætninger!$E$66)/7)*Forudsætninger!$E$64,Forudsætninger!$E$67))</f>
        <v>0</v>
      </c>
      <c r="Z121" s="19">
        <f t="shared" si="47"/>
        <v>1631.3604285004528</v>
      </c>
      <c r="AA121" s="19">
        <f>Forudsætninger!$E$62+Forudsætninger!$C$16</f>
        <v>1575</v>
      </c>
      <c r="AB121" s="19">
        <f>IF(K121&gt;Forudsætninger!$C$48,IF(K121&gt;Forudsætninger!$C$49,IF(K121&gt;Forudsætninger!$C$50,Forudsætninger!$E$50,Forudsætninger!$E$49+Forudsætninger!$F$50*(K121-Forudsætninger!$C$49)),Forudsætninger!$E$48+Forudsætninger!$F$49*(K121-Forudsætninger!$C$48)),Forudsætninger!$E$48)+IF(K121&gt;Forudsætninger!$C$50,Forudsætninger!$G$50,IF(K121&gt;Forudsætninger!$C$49,Forudsætninger!$G$49+Forudsætninger!$H$50*(K121-Forudsætninger!$C$49),IF(K121&gt;Forudsætninger!$C$48,Forudsætninger!$G$48+Forudsætninger!$H$49*(K121-Forudsætninger!$C$48),Forudsætninger!$G$48)))*(U121-Forudsætninger!$H$48)</f>
        <v>35.17564285360708</v>
      </c>
      <c r="AC121" s="19">
        <f>IF(K121&gt;Forudsætninger!$C$52,IF(K121&gt;Forudsætninger!$C$53,IF(K121&gt;Forudsætninger!$C$54,Forudsætninger!$E$54,Forudsætninger!$E$53+Forudsætninger!$F$54*(K121-Forudsætninger!$C$53)),Forudsætninger!$E$52+Forudsætninger!$F$53*(K121-Forudsætninger!$C$52)),Forudsætninger!$E$52)+IF(K121&gt;Forudsætninger!$C$54,Forudsætninger!$G$54,IF(K121&gt;Forudsætninger!$C$53,Forudsætninger!$G$53+Forudsætninger!$H$54*(K121-Forudsætninger!$C$53),IF(K121&gt;Forudsætninger!$C$52,Forudsætninger!$G$52+Forudsætninger!$H$53*(K121-Forudsætninger!$C$52),Forudsætninger!$G$52)))*(V121-Forudsætninger!$H$52)</f>
        <v>30.089107134017691</v>
      </c>
      <c r="AD121" s="19">
        <f t="shared" si="34"/>
        <v>3128.8604169428368</v>
      </c>
      <c r="AE121" s="19">
        <f t="shared" si="35"/>
        <v>30.089107134017691</v>
      </c>
      <c r="AF121">
        <f>IF(G121&lt;=Forudsætninger!$C$97,Forudsætninger!$C$98,(IF(G121&lt;=Forudsætninger!$D$97,Forudsætninger!$D$98,IF(G121&lt;=Forudsætninger!$E$97,Forudsætninger!$E$98,IF(G121&lt;=Forudsætninger!$F$97,Forudsætninger!$F$98,IF(G121&lt;=Forudsætninger!$G$97,Forudsætninger!$G$98,IF(G121&lt;=Forudsætninger!$H$97,Forudsætninger!$H$98,IF(G121&lt;=Forudsætninger!$I$97,Forudsætninger!$I$98,Forudsætninger!$I$98))))))))</f>
        <v>3.2</v>
      </c>
      <c r="AG121" s="1">
        <f t="shared" si="44"/>
        <v>3.2</v>
      </c>
      <c r="AH121" s="1">
        <f t="shared" si="48"/>
        <v>264.79999999999944</v>
      </c>
      <c r="AI121" s="1">
        <f t="shared" si="36"/>
        <v>2.2252100840336086</v>
      </c>
      <c r="AJ121" s="20">
        <f>+(W121*Forudsætninger!$C$12)</f>
        <v>0</v>
      </c>
      <c r="AK121" s="20">
        <f>Forudsætninger!$C$17</f>
        <v>250</v>
      </c>
      <c r="AL121" s="20">
        <f>IF(A121&lt;92,Forudsætninger!$C$20,Forudsætninger!$C$21)</f>
        <v>1.0566762728146013</v>
      </c>
      <c r="AM121" s="20">
        <f t="shared" si="45"/>
        <v>394.24995931822713</v>
      </c>
      <c r="AN121" s="19">
        <f>IFERROR(AD121+AJ121-AA121-Z121-AK121-AM121-Forudsætninger!$E$75,-999999)</f>
        <v>-912.96673221245908</v>
      </c>
      <c r="AO121" s="19">
        <f>IFERROR(AN121/(A121+Forudsætninger!$E$74),-999999)</f>
        <v>-7.6719893463231852</v>
      </c>
      <c r="AP121" s="19">
        <f>IFERROR(((365/(A121+Forudsætninger!$E$74))*AN121)/(AI121+Forudsætninger!$E$73),-999999)</f>
        <v>-1199.1538279806698</v>
      </c>
      <c r="AQ121" s="18">
        <f t="shared" si="37"/>
        <v>119</v>
      </c>
      <c r="AR121" s="18">
        <f t="shared" si="49"/>
        <v>3850.61038781868</v>
      </c>
      <c r="AS121" s="18">
        <f t="shared" si="29"/>
        <v>5.0999999999999996</v>
      </c>
      <c r="AT121" s="50">
        <f t="shared" si="50"/>
        <v>7.6411508525723093</v>
      </c>
      <c r="AU121" s="50">
        <f t="shared" si="51"/>
        <v>0.12977237456691171</v>
      </c>
      <c r="AV121" s="2">
        <f t="shared" si="52"/>
        <v>24.612933322910976</v>
      </c>
      <c r="AW121" s="16">
        <f t="shared" si="46"/>
        <v>-4.3589644781027896</v>
      </c>
      <c r="AZ121" s="16"/>
      <c r="BA121" s="2"/>
    </row>
    <row r="122" spans="1:53" x14ac:dyDescent="0.25">
      <c r="A122">
        <v>120</v>
      </c>
      <c r="B122" s="1">
        <f>ROUND((A122+Forudsætninger!$E$60)/30.4,1)</f>
        <v>5.0999999999999996</v>
      </c>
      <c r="C122" s="1">
        <f>VLOOKUP((A122+Forudsætninger!$E$60),'Model tilvækst, slagteform, fe'!A:D,4,FALSE)</f>
        <v>221.83741226322562</v>
      </c>
      <c r="D122" s="3">
        <f t="shared" si="53"/>
        <v>1586.4813284311481</v>
      </c>
      <c r="E122" s="3">
        <f>(1+Forudsætninger!$E$78)*C122</f>
        <v>204.09041928216757</v>
      </c>
      <c r="F122" s="2">
        <f t="shared" si="54"/>
        <v>1.2326447185802638</v>
      </c>
      <c r="G122" s="1">
        <f t="shared" si="30"/>
        <v>205.32306400074785</v>
      </c>
      <c r="H122" s="3">
        <f t="shared" si="38"/>
        <v>1396.1035690194024</v>
      </c>
      <c r="I122" s="3">
        <f t="shared" si="31"/>
        <v>1144.3588666728986</v>
      </c>
      <c r="J122" s="1">
        <f>VLOOKUP((A122+Forudsætninger!$E$60),'Model tilvækst, slagteform, fe'!G:K,4,FALSE)*(1+Forudsætninger!$E$79)</f>
        <v>51.012574495860335</v>
      </c>
      <c r="K122" s="17">
        <f t="shared" si="32"/>
        <v>104.74058098056447</v>
      </c>
      <c r="L122" s="17">
        <f t="shared" si="39"/>
        <v>754.09833065371856</v>
      </c>
      <c r="M122" s="3">
        <f>((K122-(('Model tilvækst, slagteform, fe'!$J$9/100)*'Model tilvækst, slagteform, fe'!$D$9))*1000/(A122+Forudsætninger!$E$60))</f>
        <v>541.70623619052071</v>
      </c>
      <c r="N122" s="17">
        <f t="shared" si="40"/>
        <v>443.37564975100139</v>
      </c>
      <c r="O122" s="19">
        <f>IF( A122&lt;Forudsætninger!$C$14,(G122/100)*Forudsætninger!$C$13,(Forudsætninger!$C$15/1000)*Forudsætninger!$C$13)</f>
        <v>1.3345999160048612</v>
      </c>
      <c r="P122" s="17" cm="1">
        <f t="array" ref="P122">INDEX('Model tilvækst, slagteform, fe'!$P$9:$P$375,MATCH(MIN(ABS('Model tilvækst, slagteform, fe'!$M$9:$M$375-G122)),ABS('Model tilvækst, slagteform, fe'!$M$9:$M$375-G122),0))*(1+Forudsætninger!$E$80)</f>
        <v>5.5076019528075699</v>
      </c>
      <c r="Q122" s="17">
        <f t="shared" si="41"/>
        <v>7.3035594019059786</v>
      </c>
      <c r="R122" s="17">
        <f t="shared" si="42"/>
        <v>6.1773932857360423</v>
      </c>
      <c r="S122" s="17">
        <f t="shared" si="43"/>
        <v>3.2287049009377391</v>
      </c>
      <c r="T122" s="19">
        <f>(P122)*IF(N122&lt;Forudsætninger!$B$228,IF(N122&lt;Forudsætninger!$B$227,Forudsætninger!$B$225,Forudsætninger!$C$9),Forudsætninger!$C$11)+O122</f>
        <v>14.222388485574573</v>
      </c>
      <c r="U122" s="5">
        <f>Forudsætninger!$E$68+((K122-(Forudsætninger!$E$84)))*0.01</f>
        <v>5.7639695193773139</v>
      </c>
      <c r="V122" s="2">
        <f>U122+Forudsætninger!$E$69</f>
        <v>5.7639695193773139</v>
      </c>
      <c r="W122">
        <f t="shared" si="33"/>
        <v>0</v>
      </c>
      <c r="X122">
        <f>IF(A122+Forudsætninger!$E$60&gt;248,IF(A122+Forudsætninger!$E$60&lt;365,IF(K122&gt;180,IF(K122&lt;260,1,0),0),0),0)</f>
        <v>0</v>
      </c>
      <c r="Y122" s="22">
        <f>IF(X122=0,0,IF('Vækstfunktion, kry kvie'!A122&lt;Forudsætninger!$E$66,Forudsætninger!$E$67+(('Vækstfunktion, kry kvie'!A122-Forudsætninger!$E$66)/7)*Forudsætninger!$E$64,Forudsætninger!$E$67))</f>
        <v>0</v>
      </c>
      <c r="Z122" s="19">
        <f t="shared" si="47"/>
        <v>1645.5828169860274</v>
      </c>
      <c r="AA122" s="19">
        <f>Forudsætninger!$E$62+Forudsætninger!$C$16</f>
        <v>1575</v>
      </c>
      <c r="AB122" s="19">
        <f>IF(K122&gt;Forudsætninger!$C$48,IF(K122&gt;Forudsætninger!$C$49,IF(K122&gt;Forudsætninger!$C$50,Forudsætninger!$E$50,Forudsætninger!$E$49+Forudsætninger!$F$50*(K122-Forudsætninger!$C$49)),Forudsætninger!$E$48+Forudsætninger!$F$49*(K122-Forudsætninger!$C$48)),Forudsætninger!$E$48)+IF(K122&gt;Forudsætninger!$C$50,Forudsætninger!$G$50,IF(K122&gt;Forudsætninger!$C$49,Forudsætninger!$G$49+Forudsætninger!$H$50*(K122-Forudsætninger!$C$49),IF(K122&gt;Forudsætninger!$C$48,Forudsætninger!$G$48+Forudsætninger!$H$49*(K122-Forudsætninger!$C$48),Forudsætninger!$G$48)))*(U122-Forudsætninger!$H$48)</f>
        <v>35.176396951937733</v>
      </c>
      <c r="AC122" s="19">
        <f>IF(K122&gt;Forudsætninger!$C$52,IF(K122&gt;Forudsætninger!$C$53,IF(K122&gt;Forudsætninger!$C$54,Forudsætninger!$E$54,Forudsætninger!$E$53+Forudsætninger!$F$54*(K122-Forudsætninger!$C$53)),Forudsætninger!$E$52+Forudsætninger!$F$53*(K122-Forudsætninger!$C$52)),Forudsætninger!$E$52)+IF(K122&gt;Forudsætninger!$C$54,Forudsætninger!$G$54,IF(K122&gt;Forudsætninger!$C$53,Forudsætninger!$G$53+Forudsætninger!$H$54*(K122-Forudsætninger!$C$53),IF(K122&gt;Forudsætninger!$C$52,Forudsætninger!$G$52+Forudsætninger!$H$53*(K122-Forudsætninger!$C$52),Forudsætninger!$G$52)))*(V122-Forudsætninger!$H$52)</f>
        <v>30.090992379844327</v>
      </c>
      <c r="AD122" s="19">
        <f t="shared" si="34"/>
        <v>3151.7480241466333</v>
      </c>
      <c r="AE122" s="19">
        <f t="shared" si="35"/>
        <v>30.090992379844327</v>
      </c>
      <c r="AF122">
        <f>IF(G122&lt;=Forudsætninger!$C$97,Forudsætninger!$C$98,(IF(G122&lt;=Forudsætninger!$D$97,Forudsætninger!$D$98,IF(G122&lt;=Forudsætninger!$E$97,Forudsætninger!$E$98,IF(G122&lt;=Forudsætninger!$F$97,Forudsætninger!$F$98,IF(G122&lt;=Forudsætninger!$G$97,Forudsætninger!$G$98,IF(G122&lt;=Forudsætninger!$H$97,Forudsætninger!$H$98,IF(G122&lt;=Forudsætninger!$I$97,Forudsætninger!$I$98,Forudsætninger!$I$98))))))))</f>
        <v>3.2</v>
      </c>
      <c r="AG122" s="1">
        <f t="shared" si="44"/>
        <v>3.2</v>
      </c>
      <c r="AH122" s="1">
        <f t="shared" si="48"/>
        <v>267.99999999999943</v>
      </c>
      <c r="AI122" s="1">
        <f t="shared" si="36"/>
        <v>2.2333333333333285</v>
      </c>
      <c r="AJ122" s="20">
        <f>+(W122*Forudsætninger!$C$12)</f>
        <v>0</v>
      </c>
      <c r="AK122" s="20">
        <f>Forudsætninger!$C$17</f>
        <v>250</v>
      </c>
      <c r="AL122" s="20">
        <f>IF(A122&lt;92,Forudsætninger!$C$20,Forudsætninger!$C$21)</f>
        <v>1.0566762728146013</v>
      </c>
      <c r="AM122" s="20">
        <f t="shared" si="45"/>
        <v>395.30663559104175</v>
      </c>
      <c r="AN122" s="19">
        <f>IFERROR(AD122+AJ122-AA122-Z122-AK122-AM122-Forudsætninger!$E$75,-999999)</f>
        <v>-905.35818976705173</v>
      </c>
      <c r="AO122" s="19">
        <f>IFERROR(AN122/(A122+Forudsætninger!$E$74),-999999)</f>
        <v>-7.544651581392098</v>
      </c>
      <c r="AP122" s="19">
        <f>IFERROR(((365/(A122+Forudsætninger!$E$74))*AN122)/(AI122+Forudsætninger!$E$73),-999999)</f>
        <v>-1175.162657414561</v>
      </c>
      <c r="AQ122" s="18">
        <f t="shared" si="37"/>
        <v>120</v>
      </c>
      <c r="AR122" s="18">
        <f t="shared" si="49"/>
        <v>3865.8894525770693</v>
      </c>
      <c r="AS122" s="18">
        <f t="shared" si="29"/>
        <v>5.0999999999999996</v>
      </c>
      <c r="AT122" s="50">
        <f t="shared" si="50"/>
        <v>7.6085424454073518</v>
      </c>
      <c r="AU122" s="50">
        <f t="shared" si="51"/>
        <v>0.12733776493108717</v>
      </c>
      <c r="AV122" s="2">
        <f t="shared" si="52"/>
        <v>23.991170566108849</v>
      </c>
      <c r="AW122" s="16">
        <f t="shared" si="46"/>
        <v>-4.250429618133416</v>
      </c>
      <c r="AZ122" s="16"/>
      <c r="BA122" s="2"/>
    </row>
    <row r="123" spans="1:53" x14ac:dyDescent="0.25">
      <c r="A123">
        <v>121</v>
      </c>
      <c r="B123" s="1">
        <f>ROUND((A123+Forudsætninger!$E$60)/30.4,1)</f>
        <v>5.2</v>
      </c>
      <c r="C123" s="1">
        <f>VLOOKUP((A123+Forudsætninger!$E$60),'Model tilvækst, slagteform, fe'!A:D,4,FALSE)</f>
        <v>223.42433808674238</v>
      </c>
      <c r="D123" s="3">
        <f t="shared" si="53"/>
        <v>1586.9258235167649</v>
      </c>
      <c r="E123" s="3">
        <f>(1+Forudsætninger!$E$78)*C123</f>
        <v>205.550391039803</v>
      </c>
      <c r="F123" s="2">
        <f t="shared" si="54"/>
        <v>1.1691676856395932</v>
      </c>
      <c r="G123" s="1">
        <f t="shared" si="30"/>
        <v>206.7195587254426</v>
      </c>
      <c r="H123" s="3">
        <f t="shared" si="38"/>
        <v>1396.4947246947474</v>
      </c>
      <c r="I123" s="3">
        <f t="shared" si="31"/>
        <v>1146.442634094567</v>
      </c>
      <c r="J123" s="1">
        <f>VLOOKUP((A123+Forudsætninger!$E$60),'Model tilvækst, slagteform, fe'!G:K,4,FALSE)*(1+Forudsætninger!$E$79)</f>
        <v>51.033167899179269</v>
      </c>
      <c r="K123" s="17">
        <f t="shared" si="32"/>
        <v>105.4955394847976</v>
      </c>
      <c r="L123" s="17">
        <f t="shared" si="39"/>
        <v>754.95850423313016</v>
      </c>
      <c r="M123" s="3">
        <f>((K123-(('Model tilvækst, slagteform, fe'!$J$9/100)*'Model tilvækst, slagteform, fe'!$D$9))*1000/(A123+Forudsætninger!$E$60))</f>
        <v>543.06453089142906</v>
      </c>
      <c r="N123" s="17">
        <f t="shared" si="40"/>
        <v>448.92872806875312</v>
      </c>
      <c r="O123" s="19">
        <f>IF( A123&lt;Forudsætninger!$C$14,(G123/100)*Forudsætninger!$C$13,(Forudsætninger!$C$15/1000)*Forudsætninger!$C$13)</f>
        <v>1.3436771317153768</v>
      </c>
      <c r="P123" s="17" cm="1">
        <f t="array" ref="P123">INDEX('Model tilvækst, slagteform, fe'!$P$9:$P$375,MATCH(MIN(ABS('Model tilvækst, slagteform, fe'!$M$9:$M$375-G123)),ABS('Model tilvækst, slagteform, fe'!$M$9:$M$375-G123),0))*(1+Forudsætninger!$E$80)</f>
        <v>5.553078317751698</v>
      </c>
      <c r="Q123" s="17">
        <f t="shared" si="41"/>
        <v>7.3554748858579853</v>
      </c>
      <c r="R123" s="17">
        <f t="shared" si="42"/>
        <v>6.1896560271890024</v>
      </c>
      <c r="S123" s="17">
        <f t="shared" si="43"/>
        <v>3.2362323827549413</v>
      </c>
      <c r="T123" s="19">
        <f>(P123)*IF(N123&lt;Forudsætninger!$B$228,IF(N123&lt;Forudsætninger!$B$227,Forudsætninger!$B$225,Forudsætninger!$C$9),Forudsætninger!$C$11)+O123</f>
        <v>14.337880395254349</v>
      </c>
      <c r="U123" s="5">
        <f>Forudsætninger!$E$68+((K123-(Forudsætninger!$E$84)))*0.01</f>
        <v>5.771519104419645</v>
      </c>
      <c r="V123" s="2">
        <f>U123+Forudsætninger!$E$69</f>
        <v>5.771519104419645</v>
      </c>
      <c r="W123">
        <f t="shared" si="33"/>
        <v>0</v>
      </c>
      <c r="X123">
        <f>IF(A123+Forudsætninger!$E$60&gt;248,IF(A123+Forudsætninger!$E$60&lt;365,IF(K123&gt;180,IF(K123&lt;260,1,0),0),0),0)</f>
        <v>0</v>
      </c>
      <c r="Y123" s="22">
        <f>IF(X123=0,0,IF('Vækstfunktion, kry kvie'!A123&lt;Forudsætninger!$E$66,Forudsætninger!$E$67+(('Vækstfunktion, kry kvie'!A123-Forudsætninger!$E$66)/7)*Forudsætninger!$E$64,Forudsætninger!$E$67))</f>
        <v>0</v>
      </c>
      <c r="Z123" s="19">
        <f t="shared" si="47"/>
        <v>1659.9206973812818</v>
      </c>
      <c r="AA123" s="19">
        <f>Forudsætninger!$E$62+Forudsætninger!$C$16</f>
        <v>1575</v>
      </c>
      <c r="AB123" s="19">
        <f>IF(K123&gt;Forudsætninger!$C$48,IF(K123&gt;Forudsætninger!$C$49,IF(K123&gt;Forudsætninger!$C$50,Forudsætninger!$E$50,Forudsætninger!$E$49+Forudsætninger!$F$50*(K123-Forudsætninger!$C$49)),Forudsætninger!$E$48+Forudsætninger!$F$49*(K123-Forudsætninger!$C$48)),Forudsætninger!$E$48)+IF(K123&gt;Forudsætninger!$C$50,Forudsætninger!$G$50,IF(K123&gt;Forudsætninger!$C$49,Forudsætninger!$G$49+Forudsætninger!$H$50*(K123-Forudsætninger!$C$49),IF(K123&gt;Forudsætninger!$C$48,Forudsætninger!$G$48+Forudsætninger!$H$49*(K123-Forudsætninger!$C$48),Forudsætninger!$G$48)))*(U123-Forudsætninger!$H$48)</f>
        <v>35.177151910441964</v>
      </c>
      <c r="AC123" s="19">
        <f>IF(K123&gt;Forudsætninger!$C$52,IF(K123&gt;Forudsætninger!$C$53,IF(K123&gt;Forudsætninger!$C$54,Forudsætninger!$E$54,Forudsætninger!$E$53+Forudsætninger!$F$54*(K123-Forudsætninger!$C$53)),Forudsætninger!$E$52+Forudsætninger!$F$53*(K123-Forudsætninger!$C$52)),Forudsætninger!$E$52)+IF(K123&gt;Forudsætninger!$C$54,Forudsætninger!$G$54,IF(K123&gt;Forudsætninger!$C$53,Forudsætninger!$G$53+Forudsætninger!$H$54*(K123-Forudsætninger!$C$53),IF(K123&gt;Forudsætninger!$C$52,Forudsætninger!$G$52+Forudsætninger!$H$53*(K123-Forudsætninger!$C$52),Forudsætninger!$G$52)))*(V123-Forudsætninger!$H$52)</f>
        <v>30.092879776104908</v>
      </c>
      <c r="AD123" s="19">
        <f t="shared" si="34"/>
        <v>3174.6645866313424</v>
      </c>
      <c r="AE123" s="19">
        <f t="shared" si="35"/>
        <v>30.092879776104908</v>
      </c>
      <c r="AF123">
        <f>IF(G123&lt;=Forudsætninger!$C$97,Forudsætninger!$C$98,(IF(G123&lt;=Forudsætninger!$D$97,Forudsætninger!$D$98,IF(G123&lt;=Forudsætninger!$E$97,Forudsætninger!$E$98,IF(G123&lt;=Forudsætninger!$F$97,Forudsætninger!$F$98,IF(G123&lt;=Forudsætninger!$G$97,Forudsætninger!$G$98,IF(G123&lt;=Forudsætninger!$H$97,Forudsætninger!$H$98,IF(G123&lt;=Forudsætninger!$I$97,Forudsætninger!$I$98,Forudsætninger!$I$98))))))))</f>
        <v>3.2</v>
      </c>
      <c r="AG123" s="1">
        <f t="shared" si="44"/>
        <v>3.2</v>
      </c>
      <c r="AH123" s="1">
        <f t="shared" si="48"/>
        <v>271.19999999999942</v>
      </c>
      <c r="AI123" s="1">
        <f t="shared" si="36"/>
        <v>2.2413223140495822</v>
      </c>
      <c r="AJ123" s="20">
        <f>+(W123*Forudsætninger!$C$12)</f>
        <v>0</v>
      </c>
      <c r="AK123" s="20">
        <f>Forudsætninger!$C$17</f>
        <v>250</v>
      </c>
      <c r="AL123" s="20">
        <f>IF(A123&lt;92,Forudsætninger!$C$20,Forudsætninger!$C$21)</f>
        <v>1.0566762728146013</v>
      </c>
      <c r="AM123" s="20">
        <f t="shared" si="45"/>
        <v>396.36331186385638</v>
      </c>
      <c r="AN123" s="19">
        <f>IFERROR(AD123+AJ123-AA123-Z123-AK123-AM123-Forudsætninger!$E$75,-999999)</f>
        <v>-897.83618395041151</v>
      </c>
      <c r="AO123" s="19">
        <f>IFERROR(AN123/(A123+Forudsætninger!$E$74),-999999)</f>
        <v>-7.4201337516562935</v>
      </c>
      <c r="AP123" s="19">
        <f>IFERROR(((365/(A123+Forudsætninger!$E$74))*AN123)/(AI123+Forudsætninger!$E$73),-999999)</f>
        <v>-1151.8407336891528</v>
      </c>
      <c r="AQ123" s="18">
        <f t="shared" si="37"/>
        <v>121</v>
      </c>
      <c r="AR123" s="18">
        <f t="shared" si="49"/>
        <v>3881.2840092451379</v>
      </c>
      <c r="AS123" s="18">
        <f t="shared" si="29"/>
        <v>5.2</v>
      </c>
      <c r="AT123" s="50">
        <f t="shared" si="50"/>
        <v>7.5220058166402168</v>
      </c>
      <c r="AU123" s="50">
        <f t="shared" si="51"/>
        <v>0.1245178297358045</v>
      </c>
      <c r="AV123" s="2">
        <f t="shared" si="52"/>
        <v>23.321923725408169</v>
      </c>
      <c r="AW123" s="16">
        <f t="shared" si="46"/>
        <v>-4.1444039015417777</v>
      </c>
      <c r="AZ123" s="16"/>
      <c r="BA123" s="2"/>
    </row>
    <row r="124" spans="1:53" x14ac:dyDescent="0.25">
      <c r="A124">
        <v>122</v>
      </c>
      <c r="B124" s="1">
        <f>ROUND((A124+Forudsætninger!$E$60)/30.4,1)</f>
        <v>5.2</v>
      </c>
      <c r="C124" s="1">
        <f>VLOOKUP((A124+Forudsætninger!$E$60),'Model tilvækst, slagteform, fe'!A:D,4,FALSE)</f>
        <v>225.01162993857176</v>
      </c>
      <c r="D124" s="3">
        <f t="shared" si="53"/>
        <v>1587.2918518293773</v>
      </c>
      <c r="E124" s="3">
        <f>(1+Forudsætninger!$E$78)*C124</f>
        <v>207.01069954348603</v>
      </c>
      <c r="F124" s="2">
        <f t="shared" si="54"/>
        <v>1.1056760115664181</v>
      </c>
      <c r="G124" s="1">
        <f t="shared" si="30"/>
        <v>208.11637555505246</v>
      </c>
      <c r="H124" s="3">
        <f t="shared" si="38"/>
        <v>1396.8168296098611</v>
      </c>
      <c r="I124" s="3">
        <f t="shared" si="31"/>
        <v>1148.4948815987905</v>
      </c>
      <c r="J124" s="1">
        <f>VLOOKUP((A124+Forudsætninger!$E$60),'Model tilvækst, slagteform, fe'!G:K,4,FALSE)*(1+Forudsætninger!$E$79)</f>
        <v>51.053803458328908</v>
      </c>
      <c r="K124" s="17">
        <f t="shared" si="32"/>
        <v>106.25132534047414</v>
      </c>
      <c r="L124" s="17">
        <f t="shared" si="39"/>
        <v>755.78585567653533</v>
      </c>
      <c r="M124" s="3">
        <f>((K124-(('Model tilvækst, slagteform, fe'!$J$9/100)*'Model tilvækst, slagteform, fe'!$D$9))*1000/(A124+Forudsætninger!$E$60))</f>
        <v>544.41086839006891</v>
      </c>
      <c r="N124" s="17">
        <f t="shared" si="40"/>
        <v>454.5044298036471</v>
      </c>
      <c r="O124" s="19">
        <f>IF( A124&lt;Forudsætninger!$C$14,(G124/100)*Forudsætninger!$C$13,(Forudsætninger!$C$15/1000)*Forudsætninger!$C$13)</f>
        <v>1.352756441107841</v>
      </c>
      <c r="P124" s="17" cm="1">
        <f t="array" ref="P124">INDEX('Model tilvækst, slagteform, fe'!$P$9:$P$375,MATCH(MIN(ABS('Model tilvækst, slagteform, fe'!$M$9:$M$375-G124)),ABS('Model tilvækst, slagteform, fe'!$M$9:$M$375-G124),0))*(1+Forudsætninger!$E$80)</f>
        <v>5.5757017348939799</v>
      </c>
      <c r="Q124" s="17">
        <f t="shared" si="41"/>
        <v>7.3773565528067966</v>
      </c>
      <c r="R124" s="17">
        <f t="shared" si="42"/>
        <v>6.2019048029454966</v>
      </c>
      <c r="S124" s="17">
        <f t="shared" si="43"/>
        <v>3.2437638213462776</v>
      </c>
      <c r="T124" s="19">
        <f>(P124)*IF(N124&lt;Forudsætninger!$B$228,IF(N124&lt;Forudsætninger!$B$227,Forudsætninger!$B$225,Forudsætninger!$C$9),Forudsætninger!$C$11)+O124</f>
        <v>14.399898500759754</v>
      </c>
      <c r="U124" s="5">
        <f>Forudsætninger!$E$68+((K124-(Forudsætninger!$E$84)))*0.01</f>
        <v>5.7790769629764105</v>
      </c>
      <c r="V124" s="2">
        <f>U124+Forudsætninger!$E$69</f>
        <v>5.7790769629764105</v>
      </c>
      <c r="W124">
        <f t="shared" si="33"/>
        <v>0</v>
      </c>
      <c r="X124">
        <f>IF(A124+Forudsætninger!$E$60&gt;248,IF(A124+Forudsætninger!$E$60&lt;365,IF(K124&gt;180,IF(K124&lt;260,1,0),0),0),0)</f>
        <v>0</v>
      </c>
      <c r="Y124" s="22">
        <f>IF(X124=0,0,IF('Vækstfunktion, kry kvie'!A124&lt;Forudsætninger!$E$66,Forudsætninger!$E$67+(('Vækstfunktion, kry kvie'!A124-Forudsætninger!$E$66)/7)*Forudsætninger!$E$64,Forudsætninger!$E$67))</f>
        <v>0</v>
      </c>
      <c r="Z124" s="19">
        <f t="shared" si="47"/>
        <v>1674.3205958820415</v>
      </c>
      <c r="AA124" s="19">
        <f>Forudsætninger!$E$62+Forudsætninger!$C$16</f>
        <v>1575</v>
      </c>
      <c r="AB124" s="19">
        <f>IF(K124&gt;Forudsætninger!$C$48,IF(K124&gt;Forudsætninger!$C$49,IF(K124&gt;Forudsætninger!$C$50,Forudsætninger!$E$50,Forudsætninger!$E$49+Forudsætninger!$F$50*(K124-Forudsætninger!$C$49)),Forudsætninger!$E$48+Forudsætninger!$F$49*(K124-Forudsætninger!$C$48)),Forudsætninger!$E$48)+IF(K124&gt;Forudsætninger!$C$50,Forudsætninger!$G$50,IF(K124&gt;Forudsætninger!$C$49,Forudsætninger!$G$49+Forudsætninger!$H$50*(K124-Forudsætninger!$C$49),IF(K124&gt;Forudsætninger!$C$48,Forudsætninger!$G$48+Forudsætninger!$H$49*(K124-Forudsætninger!$C$48),Forudsætninger!$G$48)))*(U124-Forudsætninger!$H$48)</f>
        <v>35.177907696297645</v>
      </c>
      <c r="AC124" s="19">
        <f>IF(K124&gt;Forudsætninger!$C$52,IF(K124&gt;Forudsætninger!$C$53,IF(K124&gt;Forudsætninger!$C$54,Forudsætninger!$E$54,Forudsætninger!$E$53+Forudsætninger!$F$54*(K124-Forudsætninger!$C$53)),Forudsætninger!$E$52+Forudsætninger!$F$53*(K124-Forudsætninger!$C$52)),Forudsætninger!$E$52)+IF(K124&gt;Forudsætninger!$C$54,Forudsætninger!$G$54,IF(K124&gt;Forudsætninger!$C$53,Forudsætninger!$G$53+Forudsætninger!$H$54*(K124-Forudsætninger!$C$53),IF(K124&gt;Forudsætninger!$C$52,Forudsætninger!$G$52+Forudsætninger!$H$53*(K124-Forudsætninger!$C$52),Forudsætninger!$G$52)))*(V124-Forudsætninger!$H$52)</f>
        <v>30.0947692407441</v>
      </c>
      <c r="AD124" s="19">
        <f t="shared" si="34"/>
        <v>3197.6091176447953</v>
      </c>
      <c r="AE124" s="19">
        <f t="shared" si="35"/>
        <v>30.0947692407441</v>
      </c>
      <c r="AF124">
        <f>IF(G124&lt;=Forudsætninger!$C$97,Forudsætninger!$C$98,(IF(G124&lt;=Forudsætninger!$D$97,Forudsætninger!$D$98,IF(G124&lt;=Forudsætninger!$E$97,Forudsætninger!$E$98,IF(G124&lt;=Forudsætninger!$F$97,Forudsætninger!$F$98,IF(G124&lt;=Forudsætninger!$G$97,Forudsætninger!$G$98,IF(G124&lt;=Forudsætninger!$H$97,Forudsætninger!$H$98,IF(G124&lt;=Forudsætninger!$I$97,Forudsætninger!$I$98,Forudsætninger!$I$98))))))))</f>
        <v>3.2</v>
      </c>
      <c r="AG124" s="1">
        <f t="shared" si="44"/>
        <v>3.2</v>
      </c>
      <c r="AH124" s="1">
        <f t="shared" si="48"/>
        <v>274.39999999999941</v>
      </c>
      <c r="AI124" s="1">
        <f t="shared" si="36"/>
        <v>2.2491803278688476</v>
      </c>
      <c r="AJ124" s="20">
        <f>+(W124*Forudsætninger!$C$12)</f>
        <v>0</v>
      </c>
      <c r="AK124" s="20">
        <f>Forudsætninger!$C$17</f>
        <v>250</v>
      </c>
      <c r="AL124" s="20">
        <f>IF(A124&lt;92,Forudsætninger!$C$20,Forudsætninger!$C$21)</f>
        <v>1.0566762728146013</v>
      </c>
      <c r="AM124" s="20">
        <f t="shared" si="45"/>
        <v>397.41998813667101</v>
      </c>
      <c r="AN124" s="19">
        <f>IFERROR(AD124+AJ124-AA124-Z124-AK124-AM124-Forudsætninger!$E$75,-999999)</f>
        <v>-890.34822771053302</v>
      </c>
      <c r="AO124" s="19">
        <f>IFERROR(AN124/(A124+Forudsætninger!$E$74),-999999)</f>
        <v>-7.297936292709287</v>
      </c>
      <c r="AP124" s="19">
        <f>IFERROR(((365/(A124+Forudsætninger!$E$74))*AN124)/(AI124+Forudsætninger!$E$73),-999999)</f>
        <v>-1129.0984056505638</v>
      </c>
      <c r="AQ124" s="18">
        <f t="shared" si="37"/>
        <v>122</v>
      </c>
      <c r="AR124" s="18">
        <f t="shared" si="49"/>
        <v>3896.740584018713</v>
      </c>
      <c r="AS124" s="18">
        <f t="shared" si="29"/>
        <v>5.2</v>
      </c>
      <c r="AT124" s="50">
        <f t="shared" si="50"/>
        <v>7.4879562398784856</v>
      </c>
      <c r="AU124" s="50">
        <f t="shared" si="51"/>
        <v>0.12219745894700651</v>
      </c>
      <c r="AV124" s="2">
        <f t="shared" si="52"/>
        <v>22.742328038588994</v>
      </c>
      <c r="AW124" s="16">
        <f t="shared" si="46"/>
        <v>-4.0403954063431309</v>
      </c>
      <c r="AZ124" s="16"/>
      <c r="BA124" s="2"/>
    </row>
    <row r="125" spans="1:53" x14ac:dyDescent="0.25">
      <c r="A125">
        <v>123</v>
      </c>
      <c r="B125" s="1">
        <f>ROUND((A125+Forudsætninger!$E$60)/30.4,1)</f>
        <v>5.2</v>
      </c>
      <c r="C125" s="1">
        <f>VLOOKUP((A125+Forudsætninger!$E$60),'Model tilvækst, slagteform, fe'!A:D,4,FALSE)</f>
        <v>226.59920993696144</v>
      </c>
      <c r="D125" s="3">
        <f t="shared" si="53"/>
        <v>1587.5799983896854</v>
      </c>
      <c r="E125" s="3">
        <f>(1+Forudsætninger!$E$78)*C125</f>
        <v>208.47127314200455</v>
      </c>
      <c r="F125" s="2">
        <f t="shared" si="54"/>
        <v>1.0421728116308306</v>
      </c>
      <c r="G125" s="1">
        <f t="shared" si="30"/>
        <v>209.51344595363537</v>
      </c>
      <c r="H125" s="3">
        <f>(G125-G124)*1000</f>
        <v>1397.0703985829118</v>
      </c>
      <c r="I125" s="3">
        <f t="shared" si="31"/>
        <v>1150.5158207612633</v>
      </c>
      <c r="J125" s="1">
        <f>VLOOKUP((A125+Forudsætninger!$E$60),'Model tilvækst, slagteform, fe'!G:K,4,FALSE)*(1+Forudsætninger!$E$79)</f>
        <v>51.074481380802546</v>
      </c>
      <c r="K125" s="17">
        <f t="shared" si="32"/>
        <v>107.00790594386731</v>
      </c>
      <c r="L125" s="17">
        <f t="shared" si="39"/>
        <v>756.58060339317501</v>
      </c>
      <c r="M125" s="3">
        <f>((K125-(('Model tilvækst, slagteform, fe'!$J$9/100)*'Model tilvækst, slagteform, fe'!$D$9))*1000/(A125+Forudsætninger!$E$60))</f>
        <v>545.74526923914505</v>
      </c>
      <c r="N125" s="17">
        <f t="shared" si="40"/>
        <v>460.1026801563408</v>
      </c>
      <c r="O125" s="19">
        <f>IF( A125&lt;Forudsætninger!$C$14,(G125/100)*Forudsætninger!$C$13,(Forudsætninger!$C$15/1000)*Forudsætninger!$C$13)</f>
        <v>1.3618373986986299</v>
      </c>
      <c r="P125" s="17" cm="1">
        <f t="array" ref="P125">INDEX('Model tilvækst, slagteform, fe'!$P$9:$P$375,MATCH(MIN(ABS('Model tilvækst, slagteform, fe'!$M$9:$M$375-G125)),ABS('Model tilvækst, slagteform, fe'!$M$9:$M$375-G125),0))*(1+Forudsætninger!$E$80)</f>
        <v>5.5982503526936789</v>
      </c>
      <c r="Q125" s="17">
        <f t="shared" si="41"/>
        <v>7.399410357054073</v>
      </c>
      <c r="R125" s="17">
        <f t="shared" si="42"/>
        <v>6.214141356194629</v>
      </c>
      <c r="S125" s="17">
        <f t="shared" si="43"/>
        <v>3.2513000941768184</v>
      </c>
      <c r="T125" s="19">
        <f>(P125)*IF(N125&lt;Forudsætninger!$B$228,IF(N125&lt;Forudsætninger!$B$227,Forudsætninger!$B$225,Forudsætninger!$C$9),Forudsætninger!$C$11)+O125</f>
        <v>14.461743224001838</v>
      </c>
      <c r="U125" s="5">
        <f>Forudsætninger!$E$68+((K125-(Forudsætninger!$E$84)))*0.01</f>
        <v>5.7866427690103421</v>
      </c>
      <c r="V125" s="2">
        <f>U125+Forudsætninger!$E$69</f>
        <v>5.7866427690103421</v>
      </c>
      <c r="W125">
        <f t="shared" si="33"/>
        <v>0</v>
      </c>
      <c r="X125">
        <f>IF(A125+Forudsætninger!$E$60&gt;248,IF(A125+Forudsætninger!$E$60&lt;365,IF(K125&gt;180,IF(K125&lt;260,1,0),0),0),0)</f>
        <v>0</v>
      </c>
      <c r="Y125" s="22">
        <f>IF(X125=0,0,IF('Vækstfunktion, kry kvie'!A125&lt;Forudsætninger!$E$66,Forudsætninger!$E$67+(('Vækstfunktion, kry kvie'!A125-Forudsætninger!$E$66)/7)*Forudsætninger!$E$64,Forudsætninger!$E$67))</f>
        <v>0</v>
      </c>
      <c r="Z125" s="19">
        <f t="shared" si="47"/>
        <v>1688.7823391060433</v>
      </c>
      <c r="AA125" s="19">
        <f>Forudsætninger!$E$62+Forudsætninger!$C$16</f>
        <v>1575</v>
      </c>
      <c r="AB125" s="19">
        <f>IF(K125&gt;Forudsætninger!$C$48,IF(K125&gt;Forudsætninger!$C$49,IF(K125&gt;Forudsætninger!$C$50,Forudsætninger!$E$50,Forudsætninger!$E$49+Forudsætninger!$F$50*(K125-Forudsætninger!$C$49)),Forudsætninger!$E$48+Forudsætninger!$F$49*(K125-Forudsætninger!$C$48)),Forudsætninger!$E$48)+IF(K125&gt;Forudsætninger!$C$50,Forudsætninger!$G$50,IF(K125&gt;Forudsætninger!$C$49,Forudsætninger!$G$49+Forudsætninger!$H$50*(K125-Forudsætninger!$C$49),IF(K125&gt;Forudsætninger!$C$48,Forudsætninger!$G$48+Forudsætninger!$H$49*(K125-Forudsætninger!$C$48),Forudsætninger!$G$48)))*(U125-Forudsætninger!$H$48)</f>
        <v>35.178664276901031</v>
      </c>
      <c r="AC125" s="19">
        <f>IF(K125&gt;Forudsætninger!$C$52,IF(K125&gt;Forudsætninger!$C$53,IF(K125&gt;Forudsætninger!$C$54,Forudsætninger!$E$54,Forudsætninger!$E$53+Forudsætninger!$F$54*(K125-Forudsætninger!$C$53)),Forudsætninger!$E$52+Forudsætninger!$F$53*(K125-Forudsætninger!$C$52)),Forudsætninger!$E$52)+IF(K125&gt;Forudsætninger!$C$54,Forudsætninger!$G$54,IF(K125&gt;Forudsætninger!$C$53,Forudsætninger!$G$53+Forudsætninger!$H$54*(K125-Forudsætninger!$C$53),IF(K125&gt;Forudsætninger!$C$52,Forudsætninger!$G$52+Forudsætninger!$H$53*(K125-Forudsætninger!$C$52),Forudsætninger!$G$52)))*(V125-Forudsætninger!$H$52)</f>
        <v>30.096660692252584</v>
      </c>
      <c r="AD125" s="19">
        <f t="shared" si="34"/>
        <v>3220.5806365810531</v>
      </c>
      <c r="AE125" s="19">
        <f t="shared" si="35"/>
        <v>30.096660692252584</v>
      </c>
      <c r="AF125">
        <f>IF(G125&lt;=Forudsætninger!$C$97,Forudsætninger!$C$98,(IF(G125&lt;=Forudsætninger!$D$97,Forudsætninger!$D$98,IF(G125&lt;=Forudsætninger!$E$97,Forudsætninger!$E$98,IF(G125&lt;=Forudsætninger!$F$97,Forudsætninger!$F$98,IF(G125&lt;=Forudsætninger!$G$97,Forudsætninger!$G$98,IF(G125&lt;=Forudsætninger!$H$97,Forudsætninger!$H$98,IF(G125&lt;=Forudsætninger!$I$97,Forudsætninger!$I$98,Forudsætninger!$I$98))))))))</f>
        <v>3.2</v>
      </c>
      <c r="AG125" s="1">
        <f t="shared" si="44"/>
        <v>3.2</v>
      </c>
      <c r="AH125" s="1">
        <f t="shared" si="48"/>
        <v>277.5999999999994</v>
      </c>
      <c r="AI125" s="1">
        <f t="shared" si="36"/>
        <v>2.2569105691056861</v>
      </c>
      <c r="AJ125" s="20">
        <f>+(W125*Forudsætninger!$C$12)</f>
        <v>0</v>
      </c>
      <c r="AK125" s="20">
        <f>Forudsætninger!$C$17</f>
        <v>250</v>
      </c>
      <c r="AL125" s="20">
        <f>IF(A125&lt;92,Forudsætninger!$C$20,Forudsætninger!$C$21)</f>
        <v>1.0566762728146013</v>
      </c>
      <c r="AM125" s="20">
        <f t="shared" si="45"/>
        <v>398.47666440948564</v>
      </c>
      <c r="AN125" s="19">
        <f>IFERROR(AD125+AJ125-AA125-Z125-AK125-AM125-Forudsætninger!$E$75,-999999)</f>
        <v>-882.89512827109172</v>
      </c>
      <c r="AO125" s="19">
        <f>IFERROR(AN125/(A125+Forudsætninger!$E$74),-999999)</f>
        <v>-7.1780091729357052</v>
      </c>
      <c r="AP125" s="19">
        <f>IFERROR(((365/(A125+Forudsætninger!$E$74))*AN125)/(AI125+Forudsætninger!$E$73),-999999)</f>
        <v>-1106.9169162193837</v>
      </c>
      <c r="AQ125" s="18">
        <f t="shared" si="37"/>
        <v>123</v>
      </c>
      <c r="AR125" s="18">
        <f t="shared" si="49"/>
        <v>3912.259003515529</v>
      </c>
      <c r="AS125" s="18">
        <f t="shared" si="29"/>
        <v>5.2</v>
      </c>
      <c r="AT125" s="50">
        <f t="shared" si="50"/>
        <v>7.4530994394413028</v>
      </c>
      <c r="AU125" s="50">
        <f t="shared" si="51"/>
        <v>0.11992711977358184</v>
      </c>
      <c r="AV125" s="2">
        <f t="shared" si="52"/>
        <v>22.181489431180125</v>
      </c>
      <c r="AW125" s="16">
        <f t="shared" si="46"/>
        <v>-3.9383614948098056</v>
      </c>
      <c r="AZ125" s="16"/>
      <c r="BA125" s="2"/>
    </row>
    <row r="126" spans="1:53" x14ac:dyDescent="0.25">
      <c r="A126">
        <v>124</v>
      </c>
      <c r="B126" s="1">
        <f>ROUND((A126+Forudsætninger!$E$60)/30.4,1)</f>
        <v>5.3</v>
      </c>
      <c r="C126" s="1">
        <f>VLOOKUP((A126+Forudsætninger!$E$60),'Model tilvækst, slagteform, fe'!A:D,4,FALSE)</f>
        <v>228.18700078517981</v>
      </c>
      <c r="D126" s="3">
        <f t="shared" si="53"/>
        <v>1587.7908482183614</v>
      </c>
      <c r="E126" s="3">
        <f>(1+Forudsætninger!$E$78)*C126</f>
        <v>209.93204072236543</v>
      </c>
      <c r="F126" s="2">
        <f t="shared" si="54"/>
        <v>0.97866117770209615</v>
      </c>
      <c r="G126" s="1">
        <f t="shared" si="30"/>
        <v>210.91070190006752</v>
      </c>
      <c r="H126" s="3">
        <f t="shared" si="38"/>
        <v>1397.2559464321535</v>
      </c>
      <c r="I126" s="3">
        <f t="shared" si="31"/>
        <v>1152.5056604844156</v>
      </c>
      <c r="J126" s="1">
        <f>VLOOKUP((A126+Forudsætninger!$E$60),'Model tilvækst, slagteform, fe'!G:K,4,FALSE)*(1+Forudsætninger!$E$79)</f>
        <v>51.095201874093533</v>
      </c>
      <c r="K126" s="17">
        <f t="shared" si="32"/>
        <v>107.76524890990713</v>
      </c>
      <c r="L126" s="17">
        <f t="shared" si="39"/>
        <v>757.34296603981477</v>
      </c>
      <c r="M126" s="3">
        <f>((K126-(('Model tilvækst, slagteform, fe'!$J$9/100)*'Model tilvækst, slagteform, fe'!$D$9))*1000/(A126+Forudsætninger!$E$60))</f>
        <v>547.06775484414925</v>
      </c>
      <c r="N126" s="17">
        <f t="shared" si="40"/>
        <v>465.72340561064954</v>
      </c>
      <c r="O126" s="19">
        <f>IF( A126&lt;Forudsætninger!$C$14,(G126/100)*Forudsætninger!$C$13,(Forudsætninger!$C$15/1000)*Forudsætninger!$C$13)</f>
        <v>1.3709195623504389</v>
      </c>
      <c r="P126" s="17" cm="1">
        <f t="array" ref="P126">INDEX('Model tilvækst, slagteform, fe'!$P$9:$P$375,MATCH(MIN(ABS('Model tilvækst, slagteform, fe'!$M$9:$M$375-G126)),ABS('Model tilvækst, slagteform, fe'!$M$9:$M$375-G126),0))*(1+Forudsætninger!$E$80)</f>
        <v>5.6207254543087419</v>
      </c>
      <c r="Q126" s="17">
        <f t="shared" si="41"/>
        <v>7.4216381564878109</v>
      </c>
      <c r="R126" s="17">
        <f t="shared" si="42"/>
        <v>6.2263673807136124</v>
      </c>
      <c r="S126" s="17">
        <f t="shared" si="43"/>
        <v>3.2588420560435964</v>
      </c>
      <c r="T126" s="19">
        <f>(P126)*IF(N126&lt;Forudsætninger!$B$228,IF(N126&lt;Forudsætninger!$B$227,Forudsætninger!$B$225,Forudsætninger!$C$9),Forudsætninger!$C$11)+O126</f>
        <v>14.523417125432895</v>
      </c>
      <c r="U126" s="5">
        <f>Forudsætninger!$E$68+((K126-(Forudsætninger!$E$84)))*0.01</f>
        <v>5.7942161986707408</v>
      </c>
      <c r="V126" s="2">
        <f>U126+Forudsætninger!$E$69</f>
        <v>5.7942161986707408</v>
      </c>
      <c r="W126">
        <f t="shared" si="33"/>
        <v>0</v>
      </c>
      <c r="X126">
        <f>IF(A126+Forudsætninger!$E$60&gt;248,IF(A126+Forudsætninger!$E$60&lt;365,IF(K126&gt;180,IF(K126&lt;260,1,0),0),0),0)</f>
        <v>0</v>
      </c>
      <c r="Y126" s="22">
        <f>IF(X126=0,0,IF('Vækstfunktion, kry kvie'!A126&lt;Forudsætninger!$E$66,Forudsætninger!$E$67+(('Vækstfunktion, kry kvie'!A126-Forudsætninger!$E$66)/7)*Forudsætninger!$E$64,Forudsætninger!$E$67))</f>
        <v>0</v>
      </c>
      <c r="Z126" s="19">
        <f t="shared" si="47"/>
        <v>1703.3057562314762</v>
      </c>
      <c r="AA126" s="19">
        <f>Forudsætninger!$E$62+Forudsætninger!$C$16</f>
        <v>1575</v>
      </c>
      <c r="AB126" s="19">
        <f>IF(K126&gt;Forudsætninger!$C$48,IF(K126&gt;Forudsætninger!$C$49,IF(K126&gt;Forudsætninger!$C$50,Forudsætninger!$E$50,Forudsætninger!$E$49+Forudsætninger!$F$50*(K126-Forudsætninger!$C$49)),Forudsætninger!$E$48+Forudsætninger!$F$49*(K126-Forudsætninger!$C$48)),Forudsætninger!$E$48)+IF(K126&gt;Forudsætninger!$C$50,Forudsætninger!$G$50,IF(K126&gt;Forudsætninger!$C$49,Forudsætninger!$G$49+Forudsætninger!$H$50*(K126-Forudsætninger!$C$49),IF(K126&gt;Forudsætninger!$C$48,Forudsætninger!$G$48+Forudsætninger!$H$49*(K126-Forudsætninger!$C$48),Forudsætninger!$G$48)))*(U126-Forudsætninger!$H$48)</f>
        <v>35.179421619867078</v>
      </c>
      <c r="AC126" s="19">
        <f>IF(K126&gt;Forudsætninger!$C$52,IF(K126&gt;Forudsætninger!$C$53,IF(K126&gt;Forudsætninger!$C$54,Forudsætninger!$E$54,Forudsætninger!$E$53+Forudsætninger!$F$54*(K126-Forudsætninger!$C$53)),Forudsætninger!$E$52+Forudsætninger!$F$53*(K126-Forudsætninger!$C$52)),Forudsætninger!$E$52)+IF(K126&gt;Forudsætninger!$C$54,Forudsætninger!$G$54,IF(K126&gt;Forudsætninger!$C$53,Forudsætninger!$G$53+Forudsætninger!$H$54*(K126-Forudsætninger!$C$53),IF(K126&gt;Forudsætninger!$C$52,Forudsætninger!$G$52+Forudsætninger!$H$53*(K126-Forudsætninger!$C$52),Forudsætninger!$G$52)))*(V126-Forudsætninger!$H$52)</f>
        <v>30.098554049667683</v>
      </c>
      <c r="AD126" s="19">
        <f t="shared" si="34"/>
        <v>3243.5781689907312</v>
      </c>
      <c r="AE126" s="19">
        <f t="shared" si="35"/>
        <v>30.098554049667683</v>
      </c>
      <c r="AF126">
        <f>IF(G126&lt;=Forudsætninger!$C$97,Forudsætninger!$C$98,(IF(G126&lt;=Forudsætninger!$D$97,Forudsætninger!$D$98,IF(G126&lt;=Forudsætninger!$E$97,Forudsætninger!$E$98,IF(G126&lt;=Forudsætninger!$F$97,Forudsætninger!$F$98,IF(G126&lt;=Forudsætninger!$G$97,Forudsætninger!$G$98,IF(G126&lt;=Forudsætninger!$H$97,Forudsætninger!$H$98,IF(G126&lt;=Forudsætninger!$I$97,Forudsætninger!$I$98,Forudsætninger!$I$98))))))))</f>
        <v>3.2</v>
      </c>
      <c r="AG126" s="1">
        <f t="shared" si="44"/>
        <v>3.2</v>
      </c>
      <c r="AH126" s="1">
        <f t="shared" si="48"/>
        <v>280.79999999999939</v>
      </c>
      <c r="AI126" s="1">
        <f t="shared" si="36"/>
        <v>2.2645161290322533</v>
      </c>
      <c r="AJ126" s="20">
        <f>+(W126*Forudsætninger!$C$12)</f>
        <v>0</v>
      </c>
      <c r="AK126" s="20">
        <f>Forudsætninger!$C$17</f>
        <v>250</v>
      </c>
      <c r="AL126" s="20">
        <f>IF(A126&lt;92,Forudsætninger!$C$20,Forudsætninger!$C$21)</f>
        <v>1.0566762728146013</v>
      </c>
      <c r="AM126" s="20">
        <f t="shared" si="45"/>
        <v>399.53334068230026</v>
      </c>
      <c r="AN126" s="19">
        <f>IFERROR(AD126+AJ126-AA126-Z126-AK126-AM126-Forudsætninger!$E$75,-999999)</f>
        <v>-875.47768925966102</v>
      </c>
      <c r="AO126" s="19">
        <f>IFERROR(AN126/(A126+Forudsætninger!$E$74),-999999)</f>
        <v>-7.0603039456424277</v>
      </c>
      <c r="AP126" s="19">
        <f>IFERROR(((365/(A126+Forudsætninger!$E$74))*AN126)/(AI126+Forudsætninger!$E$73),-999999)</f>
        <v>-1085.2783473025979</v>
      </c>
      <c r="AQ126" s="18">
        <f t="shared" si="37"/>
        <v>124</v>
      </c>
      <c r="AR126" s="18">
        <f t="shared" si="49"/>
        <v>3927.8390969137763</v>
      </c>
      <c r="AS126" s="18">
        <f t="shared" si="29"/>
        <v>5.3</v>
      </c>
      <c r="AT126" s="50">
        <f t="shared" si="50"/>
        <v>7.4174390114307016</v>
      </c>
      <c r="AU126" s="50">
        <f t="shared" si="51"/>
        <v>0.11770522729327748</v>
      </c>
      <c r="AV126" s="2">
        <f t="shared" si="52"/>
        <v>21.638568916785744</v>
      </c>
      <c r="AW126" s="16">
        <f t="shared" si="46"/>
        <v>-3.838260875623877</v>
      </c>
      <c r="AZ126" s="16"/>
      <c r="BA126" s="2"/>
    </row>
    <row r="127" spans="1:53" x14ac:dyDescent="0.25">
      <c r="A127">
        <v>125</v>
      </c>
      <c r="B127" s="1">
        <f>ROUND((A127+Forudsætninger!$E$60)/30.4,1)</f>
        <v>5.3</v>
      </c>
      <c r="C127" s="1">
        <f>VLOOKUP((A127+Forudsætninger!$E$60),'Model tilvækst, slagteform, fe'!A:D,4,FALSE)</f>
        <v>229.77492577151568</v>
      </c>
      <c r="D127" s="3">
        <f t="shared" si="53"/>
        <v>1587.924986335878</v>
      </c>
      <c r="E127" s="3">
        <f>(1+Forudsætninger!$E$78)*C127</f>
        <v>211.39293170979442</v>
      </c>
      <c r="F127" s="2">
        <f t="shared" si="54"/>
        <v>0.91514417824866101</v>
      </c>
      <c r="G127" s="1">
        <f t="shared" si="30"/>
        <v>212.30807588804308</v>
      </c>
      <c r="H127" s="3">
        <f t="shared" si="38"/>
        <v>1397.3739879755556</v>
      </c>
      <c r="I127" s="3">
        <f t="shared" si="31"/>
        <v>1154.4646071043446</v>
      </c>
      <c r="J127" s="1">
        <f>VLOOKUP((A127+Forudsætninger!$E$60),'Model tilvækst, slagteform, fe'!G:K,4,FALSE)*(1+Forudsætninger!$E$79)</f>
        <v>51.115965145695164</v>
      </c>
      <c r="K127" s="17">
        <f t="shared" si="32"/>
        <v>108.52332207242814</v>
      </c>
      <c r="L127" s="17">
        <f t="shared" si="39"/>
        <v>758.07316252101486</v>
      </c>
      <c r="M127" s="3">
        <f>((K127-(('Model tilvækst, slagteform, fe'!$J$9/100)*'Model tilvækst, slagteform, fe'!$D$9))*1000/(A127+Forudsætninger!$E$60))</f>
        <v>548.37834743841552</v>
      </c>
      <c r="N127" s="17">
        <f t="shared" si="40"/>
        <v>471.36653393354663</v>
      </c>
      <c r="O127" s="19">
        <f>IF( A127&lt;Forudsætninger!$C$14,(G127/100)*Forudsætninger!$C$13,(Forudsætninger!$C$15/1000)*Forudsætninger!$C$13)</f>
        <v>1.3800024932722801</v>
      </c>
      <c r="P127" s="17" cm="1">
        <f t="array" ref="P127">INDEX('Model tilvækst, slagteform, fe'!$P$9:$P$375,MATCH(MIN(ABS('Model tilvækst, slagteform, fe'!$M$9:$M$375-G127)),ABS('Model tilvækst, slagteform, fe'!$M$9:$M$375-G127),0))*(1+Forudsætninger!$E$80)</f>
        <v>5.6431283228971205</v>
      </c>
      <c r="Q127" s="17">
        <f t="shared" si="41"/>
        <v>7.4440418179830825</v>
      </c>
      <c r="R127" s="17">
        <f t="shared" si="42"/>
        <v>6.2385845229207559</v>
      </c>
      <c r="S127" s="17">
        <f t="shared" si="43"/>
        <v>3.2663905400501747</v>
      </c>
      <c r="T127" s="19">
        <f>(P127)*IF(N127&lt;Forudsætninger!$B$228,IF(N127&lt;Forudsætninger!$B$227,Forudsætninger!$B$225,Forudsætninger!$C$9),Forudsætninger!$C$11)+O127</f>
        <v>14.584922768851541</v>
      </c>
      <c r="U127" s="5">
        <f>Forudsætninger!$E$68+((K127-(Forudsætninger!$E$84)))*0.01</f>
        <v>5.8017969302959509</v>
      </c>
      <c r="V127" s="2">
        <f>U127+Forudsætninger!$E$69</f>
        <v>5.8017969302959509</v>
      </c>
      <c r="W127">
        <f t="shared" si="33"/>
        <v>0</v>
      </c>
      <c r="X127">
        <f>IF(A127+Forudsætninger!$E$60&gt;248,IF(A127+Forudsætninger!$E$60&lt;365,IF(K127&gt;180,IF(K127&lt;260,1,0),0),0),0)</f>
        <v>0</v>
      </c>
      <c r="Y127" s="22">
        <f>IF(X127=0,0,IF('Vækstfunktion, kry kvie'!A127&lt;Forudsætninger!$E$66,Forudsætninger!$E$67+(('Vækstfunktion, kry kvie'!A127-Forudsætninger!$E$66)/7)*Forudsætninger!$E$64,Forudsætninger!$E$67))</f>
        <v>0</v>
      </c>
      <c r="Z127" s="19">
        <f t="shared" si="47"/>
        <v>1717.8906790003277</v>
      </c>
      <c r="AA127" s="19">
        <f>Forudsætninger!$E$62+Forudsætninger!$C$16</f>
        <v>1575</v>
      </c>
      <c r="AB127" s="19">
        <f>IF(K127&gt;Forudsætninger!$C$48,IF(K127&gt;Forudsætninger!$C$49,IF(K127&gt;Forudsætninger!$C$50,Forudsætninger!$E$50,Forudsætninger!$E$49+Forudsætninger!$F$50*(K127-Forudsætninger!$C$49)),Forudsætninger!$E$48+Forudsætninger!$F$49*(K127-Forudsætninger!$C$48)),Forudsætninger!$E$48)+IF(K127&gt;Forudsætninger!$C$50,Forudsætninger!$G$50,IF(K127&gt;Forudsætninger!$C$49,Forudsætninger!$G$49+Forudsætninger!$H$50*(K127-Forudsætninger!$C$49),IF(K127&gt;Forudsætninger!$C$48,Forudsætninger!$G$48+Forudsætninger!$H$49*(K127-Forudsætninger!$C$48),Forudsætninger!$G$48)))*(U127-Forudsætninger!$H$48)</f>
        <v>35.180179693029594</v>
      </c>
      <c r="AC127" s="19">
        <f>IF(K127&gt;Forudsætninger!$C$52,IF(K127&gt;Forudsætninger!$C$53,IF(K127&gt;Forudsætninger!$C$54,Forudsætninger!$E$54,Forudsætninger!$E$53+Forudsætninger!$F$54*(K127-Forudsætninger!$C$53)),Forudsætninger!$E$52+Forudsætninger!$F$53*(K127-Forudsætninger!$C$52)),Forudsætninger!$E$52)+IF(K127&gt;Forudsætninger!$C$54,Forudsætninger!$G$54,IF(K127&gt;Forudsætninger!$C$53,Forudsætninger!$G$53+Forudsætninger!$H$54*(K127-Forudsætninger!$C$53),IF(K127&gt;Forudsætninger!$C$52,Forudsætninger!$G$52+Forudsætninger!$H$53*(K127-Forudsætninger!$C$52),Forudsætninger!$G$52)))*(V127-Forudsætninger!$H$52)</f>
        <v>30.100449232573986</v>
      </c>
      <c r="AD127" s="19">
        <f t="shared" si="34"/>
        <v>3266.6007465913995</v>
      </c>
      <c r="AE127" s="19">
        <f t="shared" si="35"/>
        <v>30.10044923257399</v>
      </c>
      <c r="AF127">
        <f>IF(G127&lt;=Forudsætninger!$C$97,Forudsætninger!$C$98,(IF(G127&lt;=Forudsætninger!$D$97,Forudsætninger!$D$98,IF(G127&lt;=Forudsætninger!$E$97,Forudsætninger!$E$98,IF(G127&lt;=Forudsætninger!$F$97,Forudsætninger!$F$98,IF(G127&lt;=Forudsætninger!$G$97,Forudsætninger!$G$98,IF(G127&lt;=Forudsætninger!$H$97,Forudsætninger!$H$98,IF(G127&lt;=Forudsætninger!$I$97,Forudsætninger!$I$98,Forudsætninger!$I$98))))))))</f>
        <v>3.2</v>
      </c>
      <c r="AG127" s="1">
        <f t="shared" si="44"/>
        <v>3.2</v>
      </c>
      <c r="AH127" s="1">
        <f t="shared" si="48"/>
        <v>283.99999999999937</v>
      </c>
      <c r="AI127" s="1">
        <f t="shared" si="36"/>
        <v>2.2719999999999949</v>
      </c>
      <c r="AJ127" s="20">
        <f>+(W127*Forudsætninger!$C$12)</f>
        <v>0</v>
      </c>
      <c r="AK127" s="20">
        <f>Forudsætninger!$C$17</f>
        <v>250</v>
      </c>
      <c r="AL127" s="20">
        <f>IF(A127&lt;92,Forudsætninger!$C$20,Forudsætninger!$C$21)</f>
        <v>1.0566762728146013</v>
      </c>
      <c r="AM127" s="20">
        <f t="shared" si="45"/>
        <v>400.59001695511489</v>
      </c>
      <c r="AN127" s="19">
        <f>IFERROR(AD127+AJ127-AA127-Z127-AK127-AM127-Forudsætninger!$E$75,-999999)</f>
        <v>-868.09671070065895</v>
      </c>
      <c r="AO127" s="19">
        <f>IFERROR(AN127/(A127+Forudsætninger!$E$74),-999999)</f>
        <v>-6.9447736856052718</v>
      </c>
      <c r="AP127" s="19">
        <f>IFERROR(((365/(A127+Forudsætninger!$E$74))*AN127)/(AI127+Forudsætninger!$E$73),-999999)</f>
        <v>-1064.1655731511039</v>
      </c>
      <c r="AQ127" s="18">
        <f t="shared" si="37"/>
        <v>125</v>
      </c>
      <c r="AR127" s="18">
        <f t="shared" si="49"/>
        <v>3943.4806959554426</v>
      </c>
      <c r="AS127" s="18">
        <f t="shared" si="29"/>
        <v>5.3</v>
      </c>
      <c r="AT127" s="50">
        <f t="shared" si="50"/>
        <v>7.3809785590020738</v>
      </c>
      <c r="AU127" s="50">
        <f t="shared" si="51"/>
        <v>0.11553026003715594</v>
      </c>
      <c r="AV127" s="2">
        <f t="shared" si="52"/>
        <v>21.112774151494023</v>
      </c>
      <c r="AW127" s="16">
        <f t="shared" si="46"/>
        <v>-3.7400535499643524</v>
      </c>
      <c r="AZ127" s="16"/>
      <c r="BA127" s="2"/>
    </row>
    <row r="128" spans="1:53" x14ac:dyDescent="0.25">
      <c r="A128">
        <v>126</v>
      </c>
      <c r="B128" s="1">
        <f>ROUND((A128+Forudsætninger!$E$60)/30.4,1)</f>
        <v>5.3</v>
      </c>
      <c r="C128" s="1">
        <f>VLOOKUP((A128+Forudsætninger!$E$60),'Model tilvækst, slagteform, fe'!A:D,4,FALSE)</f>
        <v>231.36290876927865</v>
      </c>
      <c r="D128" s="3">
        <f t="shared" si="53"/>
        <v>1587.982997762964</v>
      </c>
      <c r="E128" s="3">
        <f>(1+Forudsætninger!$E$78)*C128</f>
        <v>212.85387606773637</v>
      </c>
      <c r="F128" s="2">
        <f t="shared" si="54"/>
        <v>0.8516248583381425</v>
      </c>
      <c r="G128" s="1">
        <f t="shared" si="30"/>
        <v>213.70550092607451</v>
      </c>
      <c r="H128" s="3">
        <f t="shared" si="38"/>
        <v>1397.4250380314288</v>
      </c>
      <c r="I128" s="3">
        <f t="shared" si="31"/>
        <v>1156.3928644926548</v>
      </c>
      <c r="J128" s="1">
        <f>VLOOKUP((A128+Forudsætninger!$E$60),'Model tilvækst, slagteform, fe'!G:K,4,FALSE)*(1+Forudsætninger!$E$79)</f>
        <v>51.136771403100774</v>
      </c>
      <c r="K128" s="17">
        <f t="shared" si="32"/>
        <v>109.28209348441814</v>
      </c>
      <c r="L128" s="17">
        <f t="shared" si="39"/>
        <v>758.77141198999709</v>
      </c>
      <c r="M128" s="3">
        <f>((K128-(('Model tilvækst, slagteform, fe'!$J$9/100)*'Model tilvækst, slagteform, fe'!$D$9))*1000/(A128+Forudsætninger!$E$60))</f>
        <v>549.67707005910427</v>
      </c>
      <c r="N128" s="17">
        <f t="shared" si="40"/>
        <v>477.05425642717228</v>
      </c>
      <c r="O128" s="19">
        <f>IF( A128&lt;Forudsætninger!$C$14,(G128/100)*Forudsætninger!$C$13,(Forudsætninger!$C$15/1000)*Forudsætninger!$C$13)</f>
        <v>1.3890857560194845</v>
      </c>
      <c r="P128" s="17" cm="1">
        <f t="array" ref="P128">INDEX('Model tilvækst, slagteform, fe'!$P$9:$P$375,MATCH(MIN(ABS('Model tilvækst, slagteform, fe'!$M$9:$M$375-G128)),ABS('Model tilvækst, slagteform, fe'!$M$9:$M$375-G128),0))*(1+Forudsætninger!$E$80)</f>
        <v>5.687722493625631</v>
      </c>
      <c r="Q128" s="17">
        <f t="shared" si="41"/>
        <v>7.4959630842030363</v>
      </c>
      <c r="R128" s="17">
        <f t="shared" si="42"/>
        <v>6.2510860975104103</v>
      </c>
      <c r="S128" s="17">
        <f t="shared" si="43"/>
        <v>3.2740991479052783</v>
      </c>
      <c r="T128" s="19">
        <f>(P128)*IF(N128&lt;Forudsætninger!$B$228,IF(N128&lt;Forudsætninger!$B$227,Forudsætninger!$B$225,Forudsætninger!$C$9),Forudsætninger!$C$11)+O128</f>
        <v>14.698356391103461</v>
      </c>
      <c r="U128" s="5">
        <f>Forudsætninger!$E$68+((K128-(Forudsætninger!$E$84)))*0.01</f>
        <v>5.8093846444158501</v>
      </c>
      <c r="V128" s="2">
        <f>U128+Forudsætninger!$E$69</f>
        <v>5.8093846444158501</v>
      </c>
      <c r="W128">
        <f t="shared" si="33"/>
        <v>0</v>
      </c>
      <c r="X128">
        <f>IF(A128+Forudsætninger!$E$60&gt;248,IF(A128+Forudsætninger!$E$60&lt;365,IF(K128&gt;180,IF(K128&lt;260,1,0),0),0),0)</f>
        <v>0</v>
      </c>
      <c r="Y128" s="22">
        <f>IF(X128=0,0,IF('Vækstfunktion, kry kvie'!A128&lt;Forudsætninger!$E$66,Forudsætninger!$E$67+(('Vækstfunktion, kry kvie'!A128-Forudsætninger!$E$66)/7)*Forudsætninger!$E$64,Forudsætninger!$E$67))</f>
        <v>0</v>
      </c>
      <c r="Z128" s="19">
        <f t="shared" si="47"/>
        <v>1732.5890353914313</v>
      </c>
      <c r="AA128" s="19">
        <f>Forudsætninger!$E$62+Forudsætninger!$C$16</f>
        <v>1575</v>
      </c>
      <c r="AB128" s="19">
        <f>IF(K128&gt;Forudsætninger!$C$48,IF(K128&gt;Forudsætninger!$C$49,IF(K128&gt;Forudsætninger!$C$50,Forudsætninger!$E$50,Forudsætninger!$E$49+Forudsætninger!$F$50*(K128-Forudsætninger!$C$49)),Forudsætninger!$E$48+Forudsætninger!$F$49*(K128-Forudsætninger!$C$48)),Forudsætninger!$E$48)+IF(K128&gt;Forudsætninger!$C$50,Forudsætninger!$G$50,IF(K128&gt;Forudsætninger!$C$49,Forudsætninger!$G$49+Forudsætninger!$H$50*(K128-Forudsætninger!$C$49),IF(K128&gt;Forudsætninger!$C$48,Forudsætninger!$G$48+Forudsætninger!$H$49*(K128-Forudsætninger!$C$48),Forudsætninger!$G$48)))*(U128-Forudsætninger!$H$48)</f>
        <v>35.180938464441589</v>
      </c>
      <c r="AC128" s="19">
        <f>IF(K128&gt;Forudsætninger!$C$52,IF(K128&gt;Forudsætninger!$C$53,IF(K128&gt;Forudsætninger!$C$54,Forudsætninger!$E$54,Forudsætninger!$E$53+Forudsætninger!$F$54*(K128-Forudsætninger!$C$53)),Forudsætninger!$E$52+Forudsætninger!$F$53*(K128-Forudsætninger!$C$52)),Forudsætninger!$E$52)+IF(K128&gt;Forudsætninger!$C$54,Forudsætninger!$G$54,IF(K128&gt;Forudsætninger!$C$53,Forudsætninger!$G$53+Forudsætninger!$H$54*(K128-Forudsætninger!$C$53),IF(K128&gt;Forudsætninger!$C$52,Forudsætninger!$G$52+Forudsætninger!$H$53*(K128-Forudsætninger!$C$52),Forudsætninger!$G$52)))*(V128-Forudsætninger!$H$52)</f>
        <v>30.102346161103959</v>
      </c>
      <c r="AD128" s="19">
        <f t="shared" si="34"/>
        <v>3289.6474072780784</v>
      </c>
      <c r="AE128" s="19">
        <f t="shared" si="35"/>
        <v>30.102346161103959</v>
      </c>
      <c r="AF128">
        <f>IF(G128&lt;=Forudsætninger!$C$97,Forudsætninger!$C$98,(IF(G128&lt;=Forudsætninger!$D$97,Forudsætninger!$D$98,IF(G128&lt;=Forudsætninger!$E$97,Forudsætninger!$E$98,IF(G128&lt;=Forudsætninger!$F$97,Forudsætninger!$F$98,IF(G128&lt;=Forudsætninger!$G$97,Forudsætninger!$G$98,IF(G128&lt;=Forudsætninger!$H$97,Forudsætninger!$H$98,IF(G128&lt;=Forudsætninger!$I$97,Forudsætninger!$I$98,Forudsætninger!$I$98))))))))</f>
        <v>3.2</v>
      </c>
      <c r="AG128" s="1">
        <f t="shared" si="44"/>
        <v>3.2</v>
      </c>
      <c r="AH128" s="1">
        <f t="shared" si="48"/>
        <v>287.19999999999936</v>
      </c>
      <c r="AI128" s="1">
        <f t="shared" si="36"/>
        <v>2.2793650793650744</v>
      </c>
      <c r="AJ128" s="20">
        <f>+(W128*Forudsætninger!$C$12)</f>
        <v>0</v>
      </c>
      <c r="AK128" s="20">
        <f>Forudsætninger!$C$17</f>
        <v>250</v>
      </c>
      <c r="AL128" s="20">
        <f>IF(A128&lt;92,Forudsætninger!$C$20,Forudsætninger!$C$21)</f>
        <v>1.0566762728146013</v>
      </c>
      <c r="AM128" s="20">
        <f t="shared" si="45"/>
        <v>401.64669322792952</v>
      </c>
      <c r="AN128" s="19">
        <f>IFERROR(AD128+AJ128-AA128-Z128-AK128-AM128-Forudsætninger!$E$75,-999999)</f>
        <v>-860.80508267789821</v>
      </c>
      <c r="AO128" s="19">
        <f>IFERROR(AN128/(A128+Forudsætninger!$E$74),-999999)</f>
        <v>-6.8317863704595094</v>
      </c>
      <c r="AP128" s="19">
        <f>IFERROR(((365/(A128+Forudsætninger!$E$74))*AN128)/(AI128+Forudsætninger!$E$73),-999999)</f>
        <v>-1043.6253742690278</v>
      </c>
      <c r="AQ128" s="18">
        <f t="shared" si="37"/>
        <v>126</v>
      </c>
      <c r="AR128" s="18">
        <f t="shared" si="49"/>
        <v>3959.2357286193605</v>
      </c>
      <c r="AS128" s="18">
        <f t="shared" si="29"/>
        <v>5.3</v>
      </c>
      <c r="AT128" s="50">
        <f t="shared" si="50"/>
        <v>7.2916280227607331</v>
      </c>
      <c r="AU128" s="50">
        <f t="shared" si="51"/>
        <v>0.11298731514576232</v>
      </c>
      <c r="AV128" s="2">
        <f t="shared" si="52"/>
        <v>20.540198882076083</v>
      </c>
      <c r="AW128" s="16">
        <f t="shared" si="46"/>
        <v>-3.6441142019838786</v>
      </c>
      <c r="AZ128" s="16"/>
      <c r="BA128" s="2"/>
    </row>
    <row r="129" spans="1:53" x14ac:dyDescent="0.25">
      <c r="A129">
        <v>127</v>
      </c>
      <c r="B129" s="1">
        <f>ROUND((A129+Forudsætninger!$E$60)/30.4,1)</f>
        <v>5.4</v>
      </c>
      <c r="C129" s="1">
        <f>VLOOKUP((A129+Forudsætninger!$E$60),'Model tilvækst, slagteform, fe'!A:D,4,FALSE)</f>
        <v>232.95087423679882</v>
      </c>
      <c r="D129" s="3">
        <f t="shared" si="53"/>
        <v>1587.9654675201778</v>
      </c>
      <c r="E129" s="3">
        <f>(1+Forudsætninger!$E$78)*C129</f>
        <v>214.31480429785492</v>
      </c>
      <c r="F129" s="2">
        <f t="shared" si="54"/>
        <v>0.78810623963733539</v>
      </c>
      <c r="G129" s="1">
        <f t="shared" si="30"/>
        <v>215.10291053749225</v>
      </c>
      <c r="H129" s="3">
        <f t="shared" si="38"/>
        <v>1397.4096114177428</v>
      </c>
      <c r="I129" s="3">
        <f t="shared" si="31"/>
        <v>1158.2906341534822</v>
      </c>
      <c r="J129" s="1">
        <f>VLOOKUP((A129+Forudsætninger!$E$60),'Model tilvækst, slagteform, fe'!G:K,4,FALSE)*(1+Forudsætninger!$E$79)</f>
        <v>51.157620853803657</v>
      </c>
      <c r="K129" s="17">
        <f t="shared" si="32"/>
        <v>110.04153141826676</v>
      </c>
      <c r="L129" s="17">
        <f t="shared" si="39"/>
        <v>759.43793384861635</v>
      </c>
      <c r="M129" s="3">
        <f>((K129-(('Model tilvækst, slagteform, fe'!$J$9/100)*'Model tilvækst, slagteform, fe'!$D$9))*1000/(A129+Forudsætninger!$E$60))</f>
        <v>550.96394652407059</v>
      </c>
      <c r="N129" s="17">
        <f t="shared" si="40"/>
        <v>482.76417278925396</v>
      </c>
      <c r="O129" s="19">
        <f>IF( A129&lt;Forudsætninger!$C$14,(G129/100)*Forudsætninger!$C$13,(Forudsætninger!$C$15/1000)*Forudsætninger!$C$13)</f>
        <v>1.3981689184936996</v>
      </c>
      <c r="P129" s="17" cm="1">
        <f t="array" ref="P129">INDEX('Model tilvækst, slagteform, fe'!$P$9:$P$375,MATCH(MIN(ABS('Model tilvækst, slagteform, fe'!$M$9:$M$375-G129)),ABS('Model tilvækst, slagteform, fe'!$M$9:$M$375-G129),0))*(1+Forudsætninger!$E$80)</f>
        <v>5.7099163620816631</v>
      </c>
      <c r="Q129" s="17">
        <f t="shared" si="41"/>
        <v>7.5186083122624972</v>
      </c>
      <c r="R129" s="17">
        <f t="shared" si="42"/>
        <v>6.2635753123697642</v>
      </c>
      <c r="S129" s="17">
        <f t="shared" si="43"/>
        <v>3.2818125149618398</v>
      </c>
      <c r="T129" s="19">
        <f>(P129)*IF(N129&lt;Forudsætninger!$B$228,IF(N129&lt;Forudsætninger!$B$227,Forudsætninger!$B$225,Forudsætninger!$C$9),Forudsætninger!$C$11)+O129</f>
        <v>14.75937320576479</v>
      </c>
      <c r="U129" s="5">
        <f>Forudsætninger!$E$68+((K129-(Forudsætninger!$E$84)))*0.01</f>
        <v>5.8169790237543371</v>
      </c>
      <c r="V129" s="2">
        <f>U129+Forudsætninger!$E$69</f>
        <v>5.8169790237543371</v>
      </c>
      <c r="W129">
        <f t="shared" si="33"/>
        <v>0</v>
      </c>
      <c r="X129">
        <f>IF(A129+Forudsætninger!$E$60&gt;248,IF(A129+Forudsætninger!$E$60&lt;365,IF(K129&gt;180,IF(K129&lt;260,1,0),0),0),0)</f>
        <v>0</v>
      </c>
      <c r="Y129" s="22">
        <f>IF(X129=0,0,IF('Vækstfunktion, kry kvie'!A129&lt;Forudsætninger!$E$66,Forudsætninger!$E$67+(('Vækstfunktion, kry kvie'!A129-Forudsætninger!$E$66)/7)*Forudsætninger!$E$64,Forudsætninger!$E$67))</f>
        <v>0</v>
      </c>
      <c r="Z129" s="19">
        <f t="shared" si="47"/>
        <v>1747.3484085971961</v>
      </c>
      <c r="AA129" s="19">
        <f>Forudsætninger!$E$62+Forudsætninger!$C$16</f>
        <v>1575</v>
      </c>
      <c r="AB129" s="19">
        <f>IF(K129&gt;Forudsætninger!$C$48,IF(K129&gt;Forudsætninger!$C$49,IF(K129&gt;Forudsætninger!$C$50,Forudsætninger!$E$50,Forudsætninger!$E$49+Forudsætninger!$F$50*(K129-Forudsætninger!$C$49)),Forudsætninger!$E$48+Forudsætninger!$F$49*(K129-Forudsætninger!$C$48)),Forudsætninger!$E$48)+IF(K129&gt;Forudsætninger!$C$50,Forudsætninger!$G$50,IF(K129&gt;Forudsætninger!$C$49,Forudsætninger!$G$49+Forudsætninger!$H$50*(K129-Forudsætninger!$C$49),IF(K129&gt;Forudsætninger!$C$48,Forudsætninger!$G$48+Forudsætninger!$H$49*(K129-Forudsætninger!$C$48),Forudsætninger!$G$48)))*(U129-Forudsætninger!$H$48)</f>
        <v>35.181697902375433</v>
      </c>
      <c r="AC129" s="19">
        <f>IF(K129&gt;Forudsætninger!$C$52,IF(K129&gt;Forudsætninger!$C$53,IF(K129&gt;Forudsætninger!$C$54,Forudsætninger!$E$54,Forudsætninger!$E$53+Forudsætninger!$F$54*(K129-Forudsætninger!$C$53)),Forudsætninger!$E$52+Forudsætninger!$F$53*(K129-Forudsætninger!$C$52)),Forudsætninger!$E$52)+IF(K129&gt;Forudsætninger!$C$54,Forudsætninger!$G$54,IF(K129&gt;Forudsætninger!$C$53,Forudsætninger!$G$53+Forudsætninger!$H$54*(K129-Forudsætninger!$C$53),IF(K129&gt;Forudsætninger!$C$52,Forudsætninger!$G$52+Forudsætninger!$H$53*(K129-Forudsætninger!$C$52),Forudsætninger!$G$52)))*(V129-Forudsætninger!$H$52)</f>
        <v>30.104244755938584</v>
      </c>
      <c r="AD129" s="19">
        <f t="shared" si="34"/>
        <v>3312.7171951338078</v>
      </c>
      <c r="AE129" s="19">
        <f t="shared" si="35"/>
        <v>30.104244755938581</v>
      </c>
      <c r="AF129">
        <f>IF(G129&lt;=Forudsætninger!$C$97,Forudsætninger!$C$98,(IF(G129&lt;=Forudsætninger!$D$97,Forudsætninger!$D$98,IF(G129&lt;=Forudsætninger!$E$97,Forudsætninger!$E$98,IF(G129&lt;=Forudsætninger!$F$97,Forudsætninger!$F$98,IF(G129&lt;=Forudsætninger!$G$97,Forudsætninger!$G$98,IF(G129&lt;=Forudsætninger!$H$97,Forudsætninger!$H$98,IF(G129&lt;=Forudsætninger!$I$97,Forudsætninger!$I$98,Forudsætninger!$I$98))))))))</f>
        <v>3.2</v>
      </c>
      <c r="AG129" s="1">
        <f t="shared" si="44"/>
        <v>3.2</v>
      </c>
      <c r="AH129" s="1">
        <f t="shared" si="48"/>
        <v>290.39999999999935</v>
      </c>
      <c r="AI129" s="1">
        <f t="shared" si="36"/>
        <v>2.2866141732283412</v>
      </c>
      <c r="AJ129" s="20">
        <f>+(W129*Forudsætninger!$C$12)</f>
        <v>0</v>
      </c>
      <c r="AK129" s="20">
        <f>Forudsætninger!$C$17</f>
        <v>250</v>
      </c>
      <c r="AL129" s="20">
        <f>IF(A129&lt;92,Forudsætninger!$C$20,Forudsætninger!$C$21)</f>
        <v>1.0566762728146013</v>
      </c>
      <c r="AM129" s="20">
        <f t="shared" si="45"/>
        <v>402.70336950074415</v>
      </c>
      <c r="AN129" s="19">
        <f>IFERROR(AD129+AJ129-AA129-Z129-AK129-AM129-Forudsætninger!$E$75,-999999)</f>
        <v>-853.55134430074838</v>
      </c>
      <c r="AO129" s="19">
        <f>IFERROR(AN129/(A129+Forudsætninger!$E$74),-999999)</f>
        <v>-6.7208767267775462</v>
      </c>
      <c r="AP129" s="19">
        <f>IFERROR(((365/(A129+Forudsætninger!$E$74))*AN129)/(AI129+Forudsætninger!$E$73),-999999)</f>
        <v>-1023.5773587074082</v>
      </c>
      <c r="AQ129" s="18">
        <f t="shared" si="37"/>
        <v>127</v>
      </c>
      <c r="AR129" s="18">
        <f t="shared" si="49"/>
        <v>3975.0517780979399</v>
      </c>
      <c r="AS129" s="18">
        <f t="shared" si="29"/>
        <v>5.4</v>
      </c>
      <c r="AT129" s="50">
        <f t="shared" si="50"/>
        <v>7.2537383771498298</v>
      </c>
      <c r="AU129" s="50">
        <f t="shared" si="51"/>
        <v>0.11090964368196321</v>
      </c>
      <c r="AV129" s="2">
        <f t="shared" si="52"/>
        <v>20.04801556161965</v>
      </c>
      <c r="AW129" s="16">
        <f t="shared" si="46"/>
        <v>-3.5499840535433402</v>
      </c>
      <c r="AZ129" s="16"/>
      <c r="BA129" s="2"/>
    </row>
    <row r="130" spans="1:53" x14ac:dyDescent="0.25">
      <c r="A130">
        <v>128</v>
      </c>
      <c r="B130" s="1">
        <f>ROUND((A130+Forudsætninger!$E$60)/30.4,1)</f>
        <v>5.4</v>
      </c>
      <c r="C130" s="1">
        <f>VLOOKUP((A130+Forudsætninger!$E$60),'Model tilvækst, slagteform, fe'!A:D,4,FALSE)</f>
        <v>234.53874721742682</v>
      </c>
      <c r="D130" s="3">
        <f t="shared" si="53"/>
        <v>1587.8729806279921</v>
      </c>
      <c r="E130" s="3">
        <f>(1+Forudsætninger!$E$78)*C130</f>
        <v>215.77564744003269</v>
      </c>
      <c r="F130" s="2">
        <f t="shared" si="54"/>
        <v>0.72459132041221574</v>
      </c>
      <c r="G130" s="1">
        <f t="shared" si="30"/>
        <v>216.50023876044489</v>
      </c>
      <c r="H130" s="3">
        <f t="shared" si="38"/>
        <v>1397.3282229526376</v>
      </c>
      <c r="I130" s="3">
        <f t="shared" si="31"/>
        <v>1160.1581153159757</v>
      </c>
      <c r="J130" s="1">
        <f>VLOOKUP((A130+Forudsætninger!$E$60),'Model tilvækst, slagteform, fe'!G:K,4,FALSE)*(1+Forudsætninger!$E$79)</f>
        <v>51.178513705297156</v>
      </c>
      <c r="K130" s="17">
        <f t="shared" si="32"/>
        <v>110.80160436601535</v>
      </c>
      <c r="L130" s="17">
        <f t="shared" si="39"/>
        <v>760.07294774859702</v>
      </c>
      <c r="M130" s="3">
        <f>((K130-(('Model tilvækst, slagteform, fe'!$J$9/100)*'Model tilvækst, slagteform, fe'!$D$9))*1000/(A130+Forudsætninger!$E$60))</f>
        <v>552.23900140958597</v>
      </c>
      <c r="N130" s="17">
        <f t="shared" si="40"/>
        <v>488.49621591939678</v>
      </c>
      <c r="O130" s="19">
        <f>IF( A130&lt;Forudsætninger!$C$14,(G130/100)*Forudsætninger!$C$13,(Forudsætninger!$C$15/1000)*Forudsætninger!$C$13)</f>
        <v>1.4072515519428919</v>
      </c>
      <c r="P130" s="17" cm="1">
        <f t="array" ref="P130">INDEX('Model tilvækst, slagteform, fe'!$P$9:$P$375,MATCH(MIN(ABS('Model tilvækst, slagteform, fe'!$M$9:$M$375-G130)),ABS('Model tilvækst, slagteform, fe'!$M$9:$M$375-G130),0))*(1+Forudsætninger!$E$80)</f>
        <v>5.7320431301428156</v>
      </c>
      <c r="Q130" s="17">
        <f t="shared" si="41"/>
        <v>7.5414381568527498</v>
      </c>
      <c r="R130" s="17">
        <f t="shared" si="42"/>
        <v>6.276053886926551</v>
      </c>
      <c r="S130" s="17">
        <f t="shared" si="43"/>
        <v>3.2895315185817369</v>
      </c>
      <c r="T130" s="19">
        <f>(P130)*IF(N130&lt;Forudsætninger!$B$228,IF(N130&lt;Forudsætninger!$B$227,Forudsætninger!$B$225,Forudsætninger!$C$9),Forudsætninger!$C$11)+O130</f>
        <v>14.820232476477079</v>
      </c>
      <c r="U130" s="5">
        <f>Forudsætninger!$E$68+((K130-(Forudsætninger!$E$84)))*0.01</f>
        <v>5.8245797532318226</v>
      </c>
      <c r="V130" s="2">
        <f>U130+Forudsætninger!$E$69</f>
        <v>5.8245797532318226</v>
      </c>
      <c r="W130">
        <f t="shared" si="33"/>
        <v>0</v>
      </c>
      <c r="X130">
        <f>IF(A130+Forudsætninger!$E$60&gt;248,IF(A130+Forudsætninger!$E$60&lt;365,IF(K130&gt;180,IF(K130&lt;260,1,0),0),0),0)</f>
        <v>0</v>
      </c>
      <c r="Y130" s="22">
        <f>IF(X130=0,0,IF('Vækstfunktion, kry kvie'!A130&lt;Forudsætninger!$E$66,Forudsætninger!$E$67+(('Vækstfunktion, kry kvie'!A130-Forudsætninger!$E$66)/7)*Forudsætninger!$E$64,Forudsætninger!$E$67))</f>
        <v>0</v>
      </c>
      <c r="Z130" s="19">
        <f t="shared" si="47"/>
        <v>1762.1686410736731</v>
      </c>
      <c r="AA130" s="19">
        <f>Forudsætninger!$E$62+Forudsætninger!$C$16</f>
        <v>1575</v>
      </c>
      <c r="AB130" s="19">
        <f>IF(K130&gt;Forudsætninger!$C$48,IF(K130&gt;Forudsætninger!$C$49,IF(K130&gt;Forudsætninger!$C$50,Forudsætninger!$E$50,Forudsætninger!$E$49+Forudsætninger!$F$50*(K130-Forudsætninger!$C$49)),Forudsætninger!$E$48+Forudsætninger!$F$49*(K130-Forudsætninger!$C$48)),Forudsætninger!$E$48)+IF(K130&gt;Forudsætninger!$C$50,Forudsætninger!$G$50,IF(K130&gt;Forudsætninger!$C$49,Forudsætninger!$G$49+Forudsætninger!$H$50*(K130-Forudsætninger!$C$49),IF(K130&gt;Forudsætninger!$C$48,Forudsætninger!$G$48+Forudsætninger!$H$49*(K130-Forudsætninger!$C$48),Forudsætninger!$G$48)))*(U130-Forudsætninger!$H$48)</f>
        <v>35.182457975323182</v>
      </c>
      <c r="AC130" s="19">
        <f>IF(K130&gt;Forudsætninger!$C$52,IF(K130&gt;Forudsætninger!$C$53,IF(K130&gt;Forudsætninger!$C$54,Forudsætninger!$E$54,Forudsætninger!$E$53+Forudsætninger!$F$54*(K130-Forudsætninger!$C$53)),Forudsætninger!$E$52+Forudsætninger!$F$53*(K130-Forudsætninger!$C$52)),Forudsætninger!$E$52)+IF(K130&gt;Forudsætninger!$C$54,Forudsætninger!$G$54,IF(K130&gt;Forudsætninger!$C$53,Forudsætninger!$G$53+Forudsætninger!$H$54*(K130-Forudsætninger!$C$53),IF(K130&gt;Forudsætninger!$C$52,Forudsætninger!$G$52+Forudsætninger!$H$53*(K130-Forudsætninger!$C$52),Forudsætninger!$G$52)))*(V130-Forudsætninger!$H$52)</f>
        <v>30.106144938307953</v>
      </c>
      <c r="AD130" s="19">
        <f t="shared" si="34"/>
        <v>3335.8091604403135</v>
      </c>
      <c r="AE130" s="19">
        <f t="shared" si="35"/>
        <v>30.106144938307953</v>
      </c>
      <c r="AF130">
        <f>IF(G130&lt;=Forudsætninger!$C$97,Forudsætninger!$C$98,(IF(G130&lt;=Forudsætninger!$D$97,Forudsætninger!$D$98,IF(G130&lt;=Forudsætninger!$E$97,Forudsætninger!$E$98,IF(G130&lt;=Forudsætninger!$F$97,Forudsætninger!$F$98,IF(G130&lt;=Forudsætninger!$G$97,Forudsætninger!$G$98,IF(G130&lt;=Forudsætninger!$H$97,Forudsætninger!$H$98,IF(G130&lt;=Forudsætninger!$I$97,Forudsætninger!$I$98,Forudsætninger!$I$98))))))))</f>
        <v>3.2</v>
      </c>
      <c r="AG130" s="1">
        <f t="shared" si="44"/>
        <v>3.2</v>
      </c>
      <c r="AH130" s="1">
        <f t="shared" si="48"/>
        <v>293.59999999999934</v>
      </c>
      <c r="AI130" s="1">
        <f t="shared" si="36"/>
        <v>2.2937499999999948</v>
      </c>
      <c r="AJ130" s="20">
        <f>+(W130*Forudsætninger!$C$12)</f>
        <v>0</v>
      </c>
      <c r="AK130" s="20">
        <f>Forudsætninger!$C$17</f>
        <v>250</v>
      </c>
      <c r="AL130" s="20">
        <f>IF(A130&lt;92,Forudsætninger!$C$20,Forudsætninger!$C$21)</f>
        <v>1.0566762728146013</v>
      </c>
      <c r="AM130" s="20">
        <f t="shared" si="45"/>
        <v>403.76004577355877</v>
      </c>
      <c r="AN130" s="19">
        <f>IFERROR(AD130+AJ130-AA130-Z130-AK130-AM130-Forudsætninger!$E$75,-999999)</f>
        <v>-846.33628774353429</v>
      </c>
      <c r="AO130" s="19">
        <f>IFERROR(AN130/(A130+Forudsætninger!$E$74),-999999)</f>
        <v>-6.6120022479963616</v>
      </c>
      <c r="AP130" s="19">
        <f>IFERROR(((365/(A130+Forudsætninger!$E$74))*AN130)/(AI130+Forudsætninger!$E$73),-999999)</f>
        <v>-1004.0065815990337</v>
      </c>
      <c r="AQ130" s="18">
        <f t="shared" si="37"/>
        <v>128</v>
      </c>
      <c r="AR130" s="18">
        <f t="shared" si="49"/>
        <v>3990.9286868472318</v>
      </c>
      <c r="AS130" s="18">
        <f t="shared" ref="AS130:AS193" si="55">B130</f>
        <v>5.4</v>
      </c>
      <c r="AT130" s="50">
        <f t="shared" si="50"/>
        <v>7.2150565572140977</v>
      </c>
      <c r="AU130" s="50">
        <f t="shared" si="51"/>
        <v>0.10887447878118461</v>
      </c>
      <c r="AV130" s="2">
        <f t="shared" si="52"/>
        <v>19.5707771083745</v>
      </c>
      <c r="AW130" s="16">
        <f t="shared" si="46"/>
        <v>-3.4576268903904337</v>
      </c>
      <c r="AZ130" s="16"/>
      <c r="BA130" s="2"/>
    </row>
    <row r="131" spans="1:53" x14ac:dyDescent="0.25">
      <c r="A131">
        <v>129</v>
      </c>
      <c r="B131" s="1">
        <f>ROUND((A131+Forudsætninger!$E$60)/30.4,1)</f>
        <v>5.4</v>
      </c>
      <c r="C131" s="1">
        <f>VLOOKUP((A131+Forudsætninger!$E$60),'Model tilvækst, slagteform, fe'!A:D,4,FALSE)</f>
        <v>236.12645333953404</v>
      </c>
      <c r="D131" s="3">
        <f t="shared" si="53"/>
        <v>1587.7061221072211</v>
      </c>
      <c r="E131" s="3">
        <f>(1+Forudsætninger!$E$78)*C131</f>
        <v>217.23633707237133</v>
      </c>
      <c r="F131" s="2">
        <f t="shared" si="54"/>
        <v>0.66108307552792689</v>
      </c>
      <c r="G131" s="1">
        <f t="shared" ref="G131:G194" si="56">E131+F131</f>
        <v>217.89742014789925</v>
      </c>
      <c r="H131" s="3">
        <f t="shared" si="38"/>
        <v>1397.181387454367</v>
      </c>
      <c r="I131" s="3">
        <f t="shared" ref="I131:I194" si="57">(G131-$G$2)*1000/A131</f>
        <v>1161.9955050224748</v>
      </c>
      <c r="J131" s="1">
        <f>VLOOKUP((A131+Forudsætninger!$E$60),'Model tilvækst, slagteform, fe'!G:K,4,FALSE)*(1+Forudsætninger!$E$79)</f>
        <v>51.199450165074573</v>
      </c>
      <c r="K131" s="17">
        <f t="shared" ref="K131:K194" si="58">G131*(J131/100)</f>
        <v>111.56228103960686</v>
      </c>
      <c r="L131" s="17">
        <f t="shared" si="39"/>
        <v>760.67667359150448</v>
      </c>
      <c r="M131" s="3">
        <f>((K131-(('Model tilvækst, slagteform, fe'!$J$9/100)*'Model tilvækst, slagteform, fe'!$D$9))*1000/(A131+Forudsætninger!$E$60))</f>
        <v>553.50226002887041</v>
      </c>
      <c r="N131" s="17">
        <f t="shared" si="40"/>
        <v>494.25032000036384</v>
      </c>
      <c r="O131" s="19">
        <f>IF( A131&lt;Forudsætninger!$C$14,(G131/100)*Forudsætninger!$C$13,(Forudsætninger!$C$15/1000)*Forudsætninger!$C$13)</f>
        <v>1.416333230961345</v>
      </c>
      <c r="P131" s="17" cm="1">
        <f t="array" ref="P131">INDEX('Model tilvækst, slagteform, fe'!$P$9:$P$375,MATCH(MIN(ABS('Model tilvækst, slagteform, fe'!$M$9:$M$375-G131)),ABS('Model tilvækst, slagteform, fe'!$M$9:$M$375-G131),0))*(1+Forudsætninger!$E$80)</f>
        <v>5.7541040809670401</v>
      </c>
      <c r="Q131" s="17">
        <f t="shared" si="41"/>
        <v>7.5644544926023141</v>
      </c>
      <c r="R131" s="17">
        <f t="shared" si="42"/>
        <v>6.2885234933913638</v>
      </c>
      <c r="S131" s="17">
        <f t="shared" si="43"/>
        <v>3.297257014248157</v>
      </c>
      <c r="T131" s="19">
        <f>(P131)*IF(N131&lt;Forudsætninger!$B$228,IF(N131&lt;Forudsætninger!$B$227,Forudsætninger!$B$225,Forudsætninger!$C$9),Forudsætninger!$C$11)+O131</f>
        <v>14.880936780424218</v>
      </c>
      <c r="U131" s="5">
        <f>Forudsætninger!$E$68+((K131-(Forudsætninger!$E$84)))*0.01</f>
        <v>5.8321865199677383</v>
      </c>
      <c r="V131" s="2">
        <f>U131+Forudsætninger!$E$69</f>
        <v>5.8321865199677383</v>
      </c>
      <c r="W131">
        <f t="shared" ref="W131:W194" si="59">IF(K131&gt;130,1,0)</f>
        <v>0</v>
      </c>
      <c r="X131">
        <f>IF(A131+Forudsætninger!$E$60&gt;248,IF(A131+Forudsætninger!$E$60&lt;365,IF(K131&gt;180,IF(K131&lt;260,1,0),0),0),0)</f>
        <v>0</v>
      </c>
      <c r="Y131" s="22">
        <f>IF(X131=0,0,IF('Vækstfunktion, kry kvie'!A131&lt;Forudsætninger!$E$66,Forudsætninger!$E$67+(('Vækstfunktion, kry kvie'!A131-Forudsætninger!$E$66)/7)*Forudsætninger!$E$64,Forudsætninger!$E$67))</f>
        <v>0</v>
      </c>
      <c r="Z131" s="19">
        <f t="shared" si="47"/>
        <v>1777.0495778540974</v>
      </c>
      <c r="AA131" s="19">
        <f>Forudsætninger!$E$62+Forudsætninger!$C$16</f>
        <v>1575</v>
      </c>
      <c r="AB131" s="19">
        <f>IF(K131&gt;Forudsætninger!$C$48,IF(K131&gt;Forudsætninger!$C$49,IF(K131&gt;Forudsætninger!$C$50,Forudsætninger!$E$50,Forudsætninger!$E$49+Forudsætninger!$F$50*(K131-Forudsætninger!$C$49)),Forudsætninger!$E$48+Forudsætninger!$F$49*(K131-Forudsætninger!$C$48)),Forudsætninger!$E$48)+IF(K131&gt;Forudsætninger!$C$50,Forudsætninger!$G$50,IF(K131&gt;Forudsætninger!$C$49,Forudsætninger!$G$49+Forudsætninger!$H$50*(K131-Forudsætninger!$C$49),IF(K131&gt;Forudsætninger!$C$48,Forudsætninger!$G$48+Forudsætninger!$H$49*(K131-Forudsætninger!$C$48),Forudsætninger!$G$48)))*(U131-Forudsætninger!$H$48)</f>
        <v>35.183218651996775</v>
      </c>
      <c r="AC131" s="19">
        <f>IF(K131&gt;Forudsætninger!$C$52,IF(K131&gt;Forudsætninger!$C$53,IF(K131&gt;Forudsætninger!$C$54,Forudsætninger!$E$54,Forudsætninger!$E$53+Forudsætninger!$F$54*(K131-Forudsætninger!$C$53)),Forudsætninger!$E$52+Forudsætninger!$F$53*(K131-Forudsætninger!$C$52)),Forudsætninger!$E$52)+IF(K131&gt;Forudsætninger!$C$54,Forudsætninger!$G$54,IF(K131&gt;Forudsætninger!$C$53,Forudsætninger!$G$53+Forudsætninger!$H$54*(K131-Forudsætninger!$C$53),IF(K131&gt;Forudsætninger!$C$52,Forudsætninger!$G$52+Forudsætninger!$H$53*(K131-Forudsætninger!$C$52),Forudsætninger!$G$52)))*(V131-Forudsætninger!$H$52)</f>
        <v>30.108046629991932</v>
      </c>
      <c r="AD131" s="19">
        <f t="shared" ref="AD131:AD194" si="60">(K131*(Y131*AB131+((1-Y131)*AC131)))</f>
        <v>3358.9223596887482</v>
      </c>
      <c r="AE131" s="19">
        <f t="shared" ref="AE131:AE194" si="61">AD131/K131</f>
        <v>30.108046629991932</v>
      </c>
      <c r="AF131">
        <f>IF(G131&lt;=Forudsætninger!$C$97,Forudsætninger!$C$98,(IF(G131&lt;=Forudsætninger!$D$97,Forudsætninger!$D$98,IF(G131&lt;=Forudsætninger!$E$97,Forudsætninger!$E$98,IF(G131&lt;=Forudsætninger!$F$97,Forudsætninger!$F$98,IF(G131&lt;=Forudsætninger!$G$97,Forudsætninger!$G$98,IF(G131&lt;=Forudsætninger!$H$97,Forudsætninger!$H$98,IF(G131&lt;=Forudsætninger!$I$97,Forudsætninger!$I$98,Forudsætninger!$I$98))))))))</f>
        <v>3.2</v>
      </c>
      <c r="AG131" s="1">
        <f t="shared" si="44"/>
        <v>3.2</v>
      </c>
      <c r="AH131" s="1">
        <f t="shared" si="48"/>
        <v>296.79999999999933</v>
      </c>
      <c r="AI131" s="1">
        <f t="shared" ref="AI131:AI194" si="62">AH131/A131</f>
        <v>2.3007751937984442</v>
      </c>
      <c r="AJ131" s="20">
        <f>+(W131*Forudsætninger!$C$12)</f>
        <v>0</v>
      </c>
      <c r="AK131" s="20">
        <f>Forudsætninger!$C$17</f>
        <v>250</v>
      </c>
      <c r="AL131" s="20">
        <f>IF(A131&lt;92,Forudsætninger!$C$20,Forudsætninger!$C$21)</f>
        <v>1.0566762728146013</v>
      </c>
      <c r="AM131" s="20">
        <f t="shared" si="45"/>
        <v>404.8167220463734</v>
      </c>
      <c r="AN131" s="19">
        <f>IFERROR(AD131+AJ131-AA131-Z131-AK131-AM131-Forudsætninger!$E$75,-999999)</f>
        <v>-839.16070154833835</v>
      </c>
      <c r="AO131" s="19">
        <f>IFERROR(AN131/(A131+Forudsætninger!$E$74),-999999)</f>
        <v>-6.5051217174289793</v>
      </c>
      <c r="AP131" s="19">
        <f>IFERROR(((365/(A131+Forudsætninger!$E$74))*AN131)/(AI131+Forudsætninger!$E$73),-999999)</f>
        <v>-984.89873007217022</v>
      </c>
      <c r="AQ131" s="18">
        <f t="shared" ref="AQ131:AQ194" si="63">A131</f>
        <v>129</v>
      </c>
      <c r="AR131" s="18">
        <f t="shared" si="49"/>
        <v>4006.8662999004705</v>
      </c>
      <c r="AS131" s="18">
        <f t="shared" si="55"/>
        <v>5.4</v>
      </c>
      <c r="AT131" s="50">
        <f t="shared" si="50"/>
        <v>7.1755861951959332</v>
      </c>
      <c r="AU131" s="50">
        <f t="shared" si="51"/>
        <v>0.10688053056738234</v>
      </c>
      <c r="AV131" s="2">
        <f t="shared" si="52"/>
        <v>19.107851526863442</v>
      </c>
      <c r="AW131" s="16">
        <f t="shared" si="46"/>
        <v>-3.3670075930384882</v>
      </c>
      <c r="AZ131" s="16"/>
      <c r="BA131" s="2"/>
    </row>
    <row r="132" spans="1:53" x14ac:dyDescent="0.25">
      <c r="A132">
        <v>130</v>
      </c>
      <c r="B132" s="1">
        <f>ROUND((A132+Forudsætninger!$E$60)/30.4,1)</f>
        <v>5.5</v>
      </c>
      <c r="C132" s="1">
        <f>VLOOKUP((A132+Forudsætninger!$E$60),'Model tilvækst, slagteform, fe'!A:D,4,FALSE)</f>
        <v>237.71391881651249</v>
      </c>
      <c r="D132" s="3">
        <f t="shared" si="53"/>
        <v>1587.4654769784513</v>
      </c>
      <c r="E132" s="3">
        <f>(1+Forudsætninger!$E$78)*C132</f>
        <v>218.6968053111915</v>
      </c>
      <c r="F132" s="2">
        <f t="shared" si="54"/>
        <v>0.59758445644878888</v>
      </c>
      <c r="G132" s="1">
        <f t="shared" si="56"/>
        <v>219.2943897676403</v>
      </c>
      <c r="H132" s="3">
        <f t="shared" ref="H132:H195" si="64">(G132-G131)*1000</f>
        <v>1396.9696197410428</v>
      </c>
      <c r="I132" s="3">
        <f t="shared" si="57"/>
        <v>1163.8029982126177</v>
      </c>
      <c r="J132" s="1">
        <f>VLOOKUP((A132+Forudsætninger!$E$60),'Model tilvækst, slagteform, fe'!G:K,4,FALSE)*(1+Forudsætninger!$E$79)</f>
        <v>51.220430440629229</v>
      </c>
      <c r="K132" s="17">
        <f t="shared" si="58"/>
        <v>112.32353037113654</v>
      </c>
      <c r="L132" s="17">
        <f t="shared" ref="L132:L195" si="65">(K132-K131)*1000</f>
        <v>761.2493315296831</v>
      </c>
      <c r="M132" s="3">
        <f>((K132-(('Model tilvækst, slagteform, fe'!$J$9/100)*'Model tilvækst, slagteform, fe'!$D$9))*1000/(A132+Forudsætninger!$E$60))</f>
        <v>554.75374841140535</v>
      </c>
      <c r="N132" s="17">
        <f t="shared" ref="N132:N195" si="66">N131+P132</f>
        <v>500.02642049807611</v>
      </c>
      <c r="O132" s="19">
        <f>IF( A132&lt;Forudsætninger!$C$14,(G132/100)*Forudsætninger!$C$13,(Forudsætninger!$C$15/1000)*Forudsætninger!$C$13)</f>
        <v>1.425413533489662</v>
      </c>
      <c r="P132" s="17" cm="1">
        <f t="array" ref="P132">INDEX('Model tilvækst, slagteform, fe'!$P$9:$P$375,MATCH(MIN(ABS('Model tilvækst, slagteform, fe'!$M$9:$M$375-G132)),ABS('Model tilvækst, slagteform, fe'!$M$9:$M$375-G132),0))*(1+Forudsætninger!$E$80)</f>
        <v>5.7761004977122861</v>
      </c>
      <c r="Q132" s="17">
        <f t="shared" ref="Q132:Q195" si="67">P132/(L132/1000)</f>
        <v>7.5876592050407083</v>
      </c>
      <c r="R132" s="17">
        <f t="shared" ref="R132:R195" si="68">N132/(K132-$K$2)</f>
        <v>6.300985758656771</v>
      </c>
      <c r="S132" s="17">
        <f t="shared" ref="S132:S195" si="69">N132/(G132-$G$2)</f>
        <v>3.3049898364772319</v>
      </c>
      <c r="T132" s="19">
        <f>(P132)*IF(N132&lt;Forudsætninger!$B$228,IF(N132&lt;Forudsætninger!$B$227,Forudsætninger!$B$225,Forudsætninger!$C$9),Forudsætninger!$C$11)+O132</f>
        <v>14.941488698136411</v>
      </c>
      <c r="U132" s="5">
        <f>Forudsætninger!$E$68+((K132-(Forudsætninger!$E$84)))*0.01</f>
        <v>5.8397990132830344</v>
      </c>
      <c r="V132" s="2">
        <f>U132+Forudsætninger!$E$69</f>
        <v>5.8397990132830344</v>
      </c>
      <c r="W132">
        <f t="shared" si="59"/>
        <v>0</v>
      </c>
      <c r="X132">
        <f>IF(A132+Forudsætninger!$E$60&gt;248,IF(A132+Forudsætninger!$E$60&lt;365,IF(K132&gt;180,IF(K132&lt;260,1,0),0),0),0)</f>
        <v>0</v>
      </c>
      <c r="Y132" s="22">
        <f>IF(X132=0,0,IF('Vækstfunktion, kry kvie'!A132&lt;Forudsætninger!$E$66,Forudsætninger!$E$67+(('Vækstfunktion, kry kvie'!A132-Forudsætninger!$E$66)/7)*Forudsætninger!$E$64,Forudsætninger!$E$67))</f>
        <v>0</v>
      </c>
      <c r="Z132" s="19">
        <f t="shared" si="47"/>
        <v>1791.9910665522339</v>
      </c>
      <c r="AA132" s="19">
        <f>Forudsætninger!$E$62+Forudsætninger!$C$16</f>
        <v>1575</v>
      </c>
      <c r="AB132" s="19">
        <f>IF(K132&gt;Forudsætninger!$C$48,IF(K132&gt;Forudsætninger!$C$49,IF(K132&gt;Forudsætninger!$C$50,Forudsætninger!$E$50,Forudsætninger!$E$49+Forudsætninger!$F$50*(K132-Forudsætninger!$C$49)),Forudsætninger!$E$48+Forudsætninger!$F$49*(K132-Forudsætninger!$C$48)),Forudsætninger!$E$48)+IF(K132&gt;Forudsætninger!$C$50,Forudsætninger!$G$50,IF(K132&gt;Forudsætninger!$C$49,Forudsætninger!$G$49+Forudsætninger!$H$50*(K132-Forudsætninger!$C$49),IF(K132&gt;Forudsætninger!$C$48,Forudsætninger!$G$48+Forudsætninger!$H$49*(K132-Forudsætninger!$C$48),Forudsætninger!$G$48)))*(U132-Forudsætninger!$H$48)</f>
        <v>35.183979901328307</v>
      </c>
      <c r="AC132" s="19">
        <f>IF(K132&gt;Forudsætninger!$C$52,IF(K132&gt;Forudsætninger!$C$53,IF(K132&gt;Forudsætninger!$C$54,Forudsætninger!$E$54,Forudsætninger!$E$53+Forudsætninger!$F$54*(K132-Forudsætninger!$C$53)),Forudsætninger!$E$52+Forudsætninger!$F$53*(K132-Forudsætninger!$C$52)),Forudsætninger!$E$52)+IF(K132&gt;Forudsætninger!$C$54,Forudsætninger!$G$54,IF(K132&gt;Forudsætninger!$C$53,Forudsætninger!$G$53+Forudsætninger!$H$54*(K132-Forudsætninger!$C$53),IF(K132&gt;Forudsætninger!$C$52,Forudsætninger!$G$52+Forudsætninger!$H$53*(K132-Forudsætninger!$C$52),Forudsætninger!$G$52)))*(V132-Forudsætninger!$H$52)</f>
        <v>30.109949753320755</v>
      </c>
      <c r="AD132" s="19">
        <f t="shared" si="60"/>
        <v>3382.0558555905191</v>
      </c>
      <c r="AE132" s="19">
        <f t="shared" si="61"/>
        <v>30.109949753320755</v>
      </c>
      <c r="AF132">
        <f>IF(G132&lt;=Forudsætninger!$C$97,Forudsætninger!$C$98,(IF(G132&lt;=Forudsætninger!$D$97,Forudsætninger!$D$98,IF(G132&lt;=Forudsætninger!$E$97,Forudsætninger!$E$98,IF(G132&lt;=Forudsætninger!$F$97,Forudsætninger!$F$98,IF(G132&lt;=Forudsætninger!$G$97,Forudsætninger!$G$98,IF(G132&lt;=Forudsætninger!$H$97,Forudsætninger!$H$98,IF(G132&lt;=Forudsætninger!$I$97,Forudsætninger!$I$98,Forudsætninger!$I$98))))))))</f>
        <v>3.2</v>
      </c>
      <c r="AG132" s="1">
        <f t="shared" ref="AG132:AG195" si="70">IF(AF132&lt;=3.2,IF(AF132&lt;=2.2,2.2,3.2),4.4)</f>
        <v>3.2</v>
      </c>
      <c r="AH132" s="1">
        <f t="shared" si="48"/>
        <v>299.99999999999932</v>
      </c>
      <c r="AI132" s="1">
        <f t="shared" si="62"/>
        <v>2.3076923076923026</v>
      </c>
      <c r="AJ132" s="20">
        <f>+(W132*Forudsætninger!$C$12)</f>
        <v>0</v>
      </c>
      <c r="AK132" s="20">
        <f>Forudsætninger!$C$17</f>
        <v>250</v>
      </c>
      <c r="AL132" s="20">
        <f>IF(A132&lt;92,Forudsætninger!$C$20,Forudsætninger!$C$21)</f>
        <v>1.0566762728146013</v>
      </c>
      <c r="AM132" s="20">
        <f t="shared" ref="AM132:AM195" si="71">AL132+AM131</f>
        <v>405.87339831918803</v>
      </c>
      <c r="AN132" s="19">
        <f>IFERROR(AD132+AJ132-AA132-Z132-AK132-AM132-Forudsætninger!$E$75,-999999)</f>
        <v>-832.02537061751866</v>
      </c>
      <c r="AO132" s="19">
        <f>IFERROR(AN132/(A132+Forudsætninger!$E$74),-999999)</f>
        <v>-6.4001951585962971</v>
      </c>
      <c r="AP132" s="19">
        <f>IFERROR(((365/(A132+Forudsætninger!$E$74))*AN132)/(AI132+Forudsætninger!$E$73),-999999)</f>
        <v>-966.24008996307657</v>
      </c>
      <c r="AQ132" s="18">
        <f t="shared" si="63"/>
        <v>130</v>
      </c>
      <c r="AR132" s="18">
        <f t="shared" si="49"/>
        <v>4022.8644648714217</v>
      </c>
      <c r="AS132" s="18">
        <f t="shared" si="55"/>
        <v>5.5</v>
      </c>
      <c r="AT132" s="50">
        <f t="shared" si="50"/>
        <v>7.1353309308196913</v>
      </c>
      <c r="AU132" s="50">
        <f t="shared" si="51"/>
        <v>0.1049265588326822</v>
      </c>
      <c r="AV132" s="2">
        <f t="shared" si="52"/>
        <v>18.658640109093653</v>
      </c>
      <c r="AW132" s="16">
        <f t="shared" ref="AW132:AW195" si="72">((AN132+AM132)/A132)</f>
        <v>-3.2780920946025431</v>
      </c>
      <c r="AZ132" s="16"/>
      <c r="BA132" s="2"/>
    </row>
    <row r="133" spans="1:53" x14ac:dyDescent="0.25">
      <c r="A133">
        <v>131</v>
      </c>
      <c r="B133" s="1">
        <f>ROUND((A133+Forudsætninger!$E$60)/30.4,1)</f>
        <v>5.5</v>
      </c>
      <c r="C133" s="1">
        <f>VLOOKUP((A133+Forudsætninger!$E$60),'Model tilvækst, slagteform, fe'!A:D,4,FALSE)</f>
        <v>239.30107044677442</v>
      </c>
      <c r="D133" s="3">
        <f t="shared" si="53"/>
        <v>1587.1516302619284</v>
      </c>
      <c r="E133" s="3">
        <f>(1+Forudsætninger!$E$78)*C133</f>
        <v>220.15698481103249</v>
      </c>
      <c r="F133" s="2">
        <f t="shared" si="54"/>
        <v>0.53409839123831171</v>
      </c>
      <c r="G133" s="1">
        <f t="shared" si="56"/>
        <v>220.69108320227079</v>
      </c>
      <c r="H133" s="3">
        <f t="shared" si="64"/>
        <v>1396.6934346304924</v>
      </c>
      <c r="I133" s="3">
        <f t="shared" si="57"/>
        <v>1165.5807878035939</v>
      </c>
      <c r="J133" s="1">
        <f>VLOOKUP((A133+Forudsætninger!$E$60),'Model tilvækst, slagteform, fe'!G:K,4,FALSE)*(1+Forudsætninger!$E$79)</f>
        <v>51.241454739454433</v>
      </c>
      <c r="K133" s="17">
        <f t="shared" si="58"/>
        <v>113.0853215131033</v>
      </c>
      <c r="L133" s="17">
        <f t="shared" si="65"/>
        <v>761.79114196675357</v>
      </c>
      <c r="M133" s="3">
        <f>((K133-(('Model tilvækst, slagteform, fe'!$J$9/100)*'Model tilvækst, slagteform, fe'!$D$9))*1000/(A133+Forudsætninger!$E$60))</f>
        <v>555.99349328299422</v>
      </c>
      <c r="N133" s="17">
        <f t="shared" si="66"/>
        <v>505.84632535967376</v>
      </c>
      <c r="O133" s="19">
        <f>IF( A133&lt;Forudsætninger!$C$14,(G133/100)*Forudsætninger!$C$13,(Forudsætninger!$C$15/1000)*Forudsætninger!$C$13)</f>
        <v>1.4344920408147601</v>
      </c>
      <c r="P133" s="17" cm="1">
        <f t="array" ref="P133">INDEX('Model tilvækst, slagteform, fe'!$P$9:$P$375,MATCH(MIN(ABS('Model tilvækst, slagteform, fe'!$M$9:$M$375-G133)),ABS('Model tilvækst, slagteform, fe'!$M$9:$M$375-G133),0))*(1+Forudsætninger!$E$80)</f>
        <v>5.8199048615976476</v>
      </c>
      <c r="Q133" s="17">
        <f t="shared" si="67"/>
        <v>7.639764419644095</v>
      </c>
      <c r="R133" s="17">
        <f t="shared" si="68"/>
        <v>6.3137152512202981</v>
      </c>
      <c r="S133" s="17">
        <f t="shared" si="69"/>
        <v>3.3128740379002757</v>
      </c>
      <c r="T133" s="19">
        <f>(P133)*IF(N133&lt;Forudsætninger!$B$228,IF(N133&lt;Forudsætninger!$B$227,Forudsætninger!$B$225,Forudsætninger!$C$9),Forudsætninger!$C$11)+O133</f>
        <v>15.053069416953255</v>
      </c>
      <c r="U133" s="5">
        <f>Forudsætninger!$E$68+((K133-(Forudsætninger!$E$84)))*0.01</f>
        <v>5.8474169247027019</v>
      </c>
      <c r="V133" s="2">
        <f>U133+Forudsætninger!$E$69</f>
        <v>5.8474169247027019</v>
      </c>
      <c r="W133">
        <f t="shared" si="59"/>
        <v>0</v>
      </c>
      <c r="X133">
        <f>IF(A133+Forudsætninger!$E$60&gt;248,IF(A133+Forudsætninger!$E$60&lt;365,IF(K133&gt;180,IF(K133&lt;260,1,0),0),0),0)</f>
        <v>0</v>
      </c>
      <c r="Y133" s="22">
        <f>IF(X133=0,0,IF('Vækstfunktion, kry kvie'!A133&lt;Forudsætninger!$E$66,Forudsætninger!$E$67+(('Vækstfunktion, kry kvie'!A133-Forudsætninger!$E$66)/7)*Forudsætninger!$E$64,Forudsætninger!$E$67))</f>
        <v>0</v>
      </c>
      <c r="Z133" s="19">
        <f t="shared" ref="Z133:Z196" si="73">Z132+T133</f>
        <v>1807.0441359691872</v>
      </c>
      <c r="AA133" s="19">
        <f>Forudsætninger!$E$62+Forudsætninger!$C$16</f>
        <v>1575</v>
      </c>
      <c r="AB133" s="19">
        <f>IF(K133&gt;Forudsætninger!$C$48,IF(K133&gt;Forudsætninger!$C$49,IF(K133&gt;Forudsætninger!$C$50,Forudsætninger!$E$50,Forudsætninger!$E$49+Forudsætninger!$F$50*(K133-Forudsætninger!$C$49)),Forudsætninger!$E$48+Forudsætninger!$F$49*(K133-Forudsætninger!$C$48)),Forudsætninger!$E$48)+IF(K133&gt;Forudsætninger!$C$50,Forudsætninger!$G$50,IF(K133&gt;Forudsætninger!$C$49,Forudsætninger!$G$49+Forudsætninger!$H$50*(K133-Forudsætninger!$C$49),IF(K133&gt;Forudsætninger!$C$48,Forudsætninger!$G$48+Forudsætninger!$H$49*(K133-Forudsætninger!$C$48),Forudsætninger!$G$48)))*(U133-Forudsætninger!$H$48)</f>
        <v>35.184741692470269</v>
      </c>
      <c r="AC133" s="19">
        <f>IF(K133&gt;Forudsætninger!$C$52,IF(K133&gt;Forudsætninger!$C$53,IF(K133&gt;Forudsætninger!$C$54,Forudsætninger!$E$54,Forudsætninger!$E$53+Forudsætninger!$F$54*(K133-Forudsætninger!$C$53)),Forudsætninger!$E$52+Forudsætninger!$F$53*(K133-Forudsætninger!$C$52)),Forudsætninger!$E$52)+IF(K133&gt;Forudsætninger!$C$54,Forudsætninger!$G$54,IF(K133&gt;Forudsætninger!$C$53,Forudsætninger!$G$53+Forudsætninger!$H$54*(K133-Forudsætninger!$C$53),IF(K133&gt;Forudsætninger!$C$52,Forudsætninger!$G$52+Forudsætninger!$H$53*(K133-Forudsætninger!$C$52),Forudsætninger!$G$52)))*(V133-Forudsætninger!$H$52)</f>
        <v>30.111854231175673</v>
      </c>
      <c r="AD133" s="19">
        <f t="shared" si="60"/>
        <v>3405.208717088201</v>
      </c>
      <c r="AE133" s="19">
        <f t="shared" si="61"/>
        <v>30.111854231175673</v>
      </c>
      <c r="AF133">
        <f>IF(G133&lt;=Forudsætninger!$C$97,Forudsætninger!$C$98,(IF(G133&lt;=Forudsætninger!$D$97,Forudsætninger!$D$98,IF(G133&lt;=Forudsætninger!$E$97,Forudsætninger!$E$98,IF(G133&lt;=Forudsætninger!$F$97,Forudsætninger!$F$98,IF(G133&lt;=Forudsætninger!$G$97,Forudsætninger!$G$98,IF(G133&lt;=Forudsætninger!$H$97,Forudsætninger!$H$98,IF(G133&lt;=Forudsætninger!$I$97,Forudsætninger!$I$98,Forudsætninger!$I$98))))))))</f>
        <v>3.2</v>
      </c>
      <c r="AG133" s="1">
        <f t="shared" si="70"/>
        <v>3.2</v>
      </c>
      <c r="AH133" s="1">
        <f t="shared" ref="AH133:AH196" si="74">AH132+AG133</f>
        <v>303.19999999999931</v>
      </c>
      <c r="AI133" s="1">
        <f t="shared" si="62"/>
        <v>2.3145038167938878</v>
      </c>
      <c r="AJ133" s="20">
        <f>+(W133*Forudsætninger!$C$12)</f>
        <v>0</v>
      </c>
      <c r="AK133" s="20">
        <f>Forudsætninger!$C$17</f>
        <v>250</v>
      </c>
      <c r="AL133" s="20">
        <f>IF(A133&lt;92,Forudsætninger!$C$20,Forudsætninger!$C$21)</f>
        <v>1.0566762728146013</v>
      </c>
      <c r="AM133" s="20">
        <f t="shared" si="71"/>
        <v>406.93007459200265</v>
      </c>
      <c r="AN133" s="19">
        <f>IFERROR(AD133+AJ133-AA133-Z133-AK133-AM133-Forudsætninger!$E$75,-999999)</f>
        <v>-824.9822548096048</v>
      </c>
      <c r="AO133" s="19">
        <f>IFERROR(AN133/(A133+Forudsætninger!$E$74),-999999)</f>
        <v>-6.2975744641954563</v>
      </c>
      <c r="AP133" s="19">
        <f>IFERROR(((365/(A133+Forudsætninger!$E$74))*AN133)/(AI133+Forudsætninger!$E$73),-999999)</f>
        <v>-948.07632947799641</v>
      </c>
      <c r="AQ133" s="18">
        <f t="shared" si="63"/>
        <v>131</v>
      </c>
      <c r="AR133" s="18">
        <f t="shared" ref="AR133:AR196" si="75">AA133+Z133+AK133+AM133</f>
        <v>4038.9742105611899</v>
      </c>
      <c r="AS133" s="18">
        <f t="shared" si="55"/>
        <v>5.5</v>
      </c>
      <c r="AT133" s="50">
        <f t="shared" ref="AT133:AT196" si="76">AN133-AN132</f>
        <v>7.043115807913864</v>
      </c>
      <c r="AU133" s="50">
        <f t="shared" ref="AU133:AU196" si="77">AO133-AO132</f>
        <v>0.10262069440084076</v>
      </c>
      <c r="AV133" s="2">
        <f t="shared" ref="AV133:AV196" si="78">AP133-AP132</f>
        <v>18.163760485080161</v>
      </c>
      <c r="AW133" s="16">
        <f t="shared" si="72"/>
        <v>-3.1912380169282608</v>
      </c>
      <c r="AZ133" s="16"/>
      <c r="BA133" s="2"/>
    </row>
    <row r="134" spans="1:53" x14ac:dyDescent="0.25">
      <c r="A134">
        <v>132</v>
      </c>
      <c r="B134" s="1">
        <f>ROUND((A134+Forudsætninger!$E$60)/30.4,1)</f>
        <v>5.5</v>
      </c>
      <c r="C134" s="1">
        <f>VLOOKUP((A134+Forudsætninger!$E$60),'Model tilvækst, slagteform, fe'!A:D,4,FALSE)</f>
        <v>240.88783561375337</v>
      </c>
      <c r="D134" s="3">
        <f t="shared" ref="D134:D197" si="79">(C134-C133)*1000</f>
        <v>1586.7651669789495</v>
      </c>
      <c r="E134" s="3">
        <f>(1+Forudsætninger!$E$78)*C134</f>
        <v>221.61680876465311</v>
      </c>
      <c r="F134" s="2">
        <f>MAX(F133-((D134/1000)/30),0)</f>
        <v>0.48120621900568006</v>
      </c>
      <c r="G134" s="1">
        <f t="shared" si="56"/>
        <v>222.0980149836588</v>
      </c>
      <c r="H134" s="3">
        <f t="shared" si="64"/>
        <v>1406.9317813880104</v>
      </c>
      <c r="I134" s="3">
        <f t="shared" si="57"/>
        <v>1167.4092044216575</v>
      </c>
      <c r="J134" s="1">
        <f>VLOOKUP((A134+Forudsætninger!$E$60),'Model tilvækst, slagteform, fe'!G:K,4,FALSE)*(1+Forudsætninger!$E$79)</f>
        <v>51.26252326904352</v>
      </c>
      <c r="K134" s="17">
        <f t="shared" si="58"/>
        <v>113.85304661108187</v>
      </c>
      <c r="L134" s="17">
        <f t="shared" si="65"/>
        <v>767.72509797856969</v>
      </c>
      <c r="M134" s="3">
        <f>((K134-(('Model tilvækst, slagteform, fe'!$J$9/100)*'Model tilvækst, slagteform, fe'!$D$9))*1000/(A134+Forudsætninger!$E$60))</f>
        <v>557.25380045380132</v>
      </c>
      <c r="N134" s="17">
        <f t="shared" si="66"/>
        <v>511.68804073472739</v>
      </c>
      <c r="O134" s="19">
        <f>IF( A134&lt;Forudsætninger!$C$14,(G134/100)*Forudsætninger!$C$13,(Forudsætninger!$C$15/1000)*Forudsætninger!$C$13)</f>
        <v>1.4436370973937822</v>
      </c>
      <c r="P134" s="17" cm="1">
        <f t="array" ref="P134">INDEX('Model tilvækst, slagteform, fe'!$P$9:$P$375,MATCH(MIN(ABS('Model tilvækst, slagteform, fe'!$M$9:$M$375-G134)),ABS('Model tilvækst, slagteform, fe'!$M$9:$M$375-G134),0))*(1+Forudsætninger!$E$80)</f>
        <v>5.8417153750536661</v>
      </c>
      <c r="Q134" s="17">
        <f t="shared" si="67"/>
        <v>7.6091238783712809</v>
      </c>
      <c r="R134" s="17">
        <f t="shared" si="68"/>
        <v>6.3260104955949519</v>
      </c>
      <c r="S134" s="17">
        <f t="shared" si="69"/>
        <v>3.320536223578149</v>
      </c>
      <c r="T134" s="19">
        <f>(P134)*IF(N134&lt;Forudsætninger!$B$228,IF(N134&lt;Forudsætninger!$B$227,Forudsætninger!$B$225,Forudsætninger!$C$9),Forudsætninger!$C$11)+O134</f>
        <v>15.113251075019361</v>
      </c>
      <c r="U134" s="5">
        <f>Forudsætninger!$E$68+((K134-(Forudsætninger!$E$84)))*0.01</f>
        <v>5.8550941756824875</v>
      </c>
      <c r="V134" s="2">
        <f>U134+Forudsætninger!$E$69</f>
        <v>5.8550941756824875</v>
      </c>
      <c r="W134">
        <f t="shared" si="59"/>
        <v>0</v>
      </c>
      <c r="X134">
        <f>IF(A134+Forudsætninger!$E$60&gt;248,IF(A134+Forudsætninger!$E$60&lt;365,IF(K134&gt;180,IF(K134&lt;260,1,0),0),0),0)</f>
        <v>0</v>
      </c>
      <c r="Y134" s="22">
        <f>IF(X134=0,0,IF('Vækstfunktion, kry kvie'!A134&lt;Forudsætninger!$E$66,Forudsætninger!$E$67+(('Vækstfunktion, kry kvie'!A134-Forudsætninger!$E$66)/7)*Forudsætninger!$E$64,Forudsætninger!$E$67))</f>
        <v>0</v>
      </c>
      <c r="Z134" s="19">
        <f t="shared" si="73"/>
        <v>1822.1573870442066</v>
      </c>
      <c r="AA134" s="19">
        <f>Forudsætninger!$E$62+Forudsætninger!$C$16</f>
        <v>1575</v>
      </c>
      <c r="AB134" s="19">
        <f>IF(K134&gt;Forudsætninger!$C$48,IF(K134&gt;Forudsætninger!$C$49,IF(K134&gt;Forudsætninger!$C$50,Forudsætninger!$E$50,Forudsætninger!$E$49+Forudsætninger!$F$50*(K134-Forudsætninger!$C$49)),Forudsætninger!$E$48+Forudsætninger!$F$49*(K134-Forudsætninger!$C$48)),Forudsætninger!$E$48)+IF(K134&gt;Forudsætninger!$C$50,Forudsætninger!$G$50,IF(K134&gt;Forudsætninger!$C$49,Forudsætninger!$G$49+Forudsætninger!$H$50*(K134-Forudsætninger!$C$49),IF(K134&gt;Forudsætninger!$C$48,Forudsætninger!$G$48+Forudsætninger!$H$49*(K134-Forudsætninger!$C$48),Forudsætninger!$G$48)))*(U134-Forudsætninger!$H$48)</f>
        <v>35.185509417568248</v>
      </c>
      <c r="AC134" s="19">
        <f>IF(K134&gt;Forudsætninger!$C$52,IF(K134&gt;Forudsætninger!$C$53,IF(K134&gt;Forudsætninger!$C$54,Forudsætninger!$E$54,Forudsætninger!$E$53+Forudsætninger!$F$54*(K134-Forudsætninger!$C$53)),Forudsætninger!$E$52+Forudsætninger!$F$53*(K134-Forudsætninger!$C$52)),Forudsætninger!$E$52)+IF(K134&gt;Forudsætninger!$C$54,Forudsætninger!$G$54,IF(K134&gt;Forudsætninger!$C$53,Forudsætninger!$G$53+Forudsætninger!$H$54*(K134-Forudsætninger!$C$53),IF(K134&gt;Forudsætninger!$C$52,Forudsætninger!$G$52+Forudsætninger!$H$53*(K134-Forudsætninger!$C$52),Forudsætninger!$G$52)))*(V134-Forudsætninger!$H$52)</f>
        <v>30.113773543920619</v>
      </c>
      <c r="AD134" s="19">
        <f t="shared" si="60"/>
        <v>3428.5448629315583</v>
      </c>
      <c r="AE134" s="19">
        <f t="shared" si="61"/>
        <v>30.113773543920619</v>
      </c>
      <c r="AF134">
        <f>IF(G134&lt;=Forudsætninger!$C$97,Forudsætninger!$C$98,(IF(G134&lt;=Forudsætninger!$D$97,Forudsætninger!$D$98,IF(G134&lt;=Forudsætninger!$E$97,Forudsætninger!$E$98,IF(G134&lt;=Forudsætninger!$F$97,Forudsætninger!$F$98,IF(G134&lt;=Forudsætninger!$G$97,Forudsætninger!$G$98,IF(G134&lt;=Forudsætninger!$H$97,Forudsætninger!$H$98,IF(G134&lt;=Forudsætninger!$I$97,Forudsætninger!$I$98,Forudsætninger!$I$98))))))))</f>
        <v>3.2</v>
      </c>
      <c r="AG134" s="1">
        <f t="shared" si="70"/>
        <v>3.2</v>
      </c>
      <c r="AH134" s="1">
        <f t="shared" si="74"/>
        <v>306.3999999999993</v>
      </c>
      <c r="AI134" s="1">
        <f t="shared" si="62"/>
        <v>2.321212121212116</v>
      </c>
      <c r="AJ134" s="20">
        <f>+(W134*Forudsætninger!$C$12)</f>
        <v>0</v>
      </c>
      <c r="AK134" s="20">
        <f>Forudsætninger!$C$17</f>
        <v>250</v>
      </c>
      <c r="AL134" s="20">
        <f>IF(A134&lt;92,Forudsætninger!$C$20,Forudsætninger!$C$21)</f>
        <v>1.0566762728146013</v>
      </c>
      <c r="AM134" s="20">
        <f t="shared" si="71"/>
        <v>407.98675086481728</v>
      </c>
      <c r="AN134" s="19">
        <f>IFERROR(AD134+AJ134-AA134-Z134-AK134-AM134-Forudsætninger!$E$75,-999999)</f>
        <v>-817.81603631408143</v>
      </c>
      <c r="AO134" s="19">
        <f>IFERROR(AN134/(A134+Forudsætninger!$E$74),-999999)</f>
        <v>-6.1955760326824354</v>
      </c>
      <c r="AP134" s="19">
        <f>IFERROR(((365/(A134+Forudsætninger!$E$74))*AN134)/(AI134+Forudsætninger!$E$73),-999999)</f>
        <v>-930.14724309684789</v>
      </c>
      <c r="AQ134" s="18">
        <f t="shared" si="63"/>
        <v>132</v>
      </c>
      <c r="AR134" s="18">
        <f t="shared" si="75"/>
        <v>4055.1441379090238</v>
      </c>
      <c r="AS134" s="18">
        <f t="shared" si="55"/>
        <v>5.5</v>
      </c>
      <c r="AT134" s="50">
        <f t="shared" si="76"/>
        <v>7.166218495523367</v>
      </c>
      <c r="AU134" s="50">
        <f t="shared" si="77"/>
        <v>0.1019984315130209</v>
      </c>
      <c r="AV134" s="2">
        <f t="shared" si="78"/>
        <v>17.929086381148522</v>
      </c>
      <c r="AW134" s="16">
        <f t="shared" si="72"/>
        <v>-3.1047673140095768</v>
      </c>
      <c r="AZ134" s="16"/>
      <c r="BA134" s="2"/>
    </row>
    <row r="135" spans="1:53" x14ac:dyDescent="0.25">
      <c r="A135">
        <v>133</v>
      </c>
      <c r="B135" s="1">
        <f>ROUND((A135+Forudsætninger!$E$60)/30.4,1)</f>
        <v>5.6</v>
      </c>
      <c r="C135" s="1">
        <f>VLOOKUP((A135+Forudsætninger!$E$60),'Model tilvækst, slagteform, fe'!A:D,4,FALSE)</f>
        <v>242.47414228590276</v>
      </c>
      <c r="D135" s="3">
        <f t="shared" si="79"/>
        <v>1586.3066721493908</v>
      </c>
      <c r="E135" s="3">
        <f>(1+Forudsætninger!$E$78)*C135</f>
        <v>223.07621090303056</v>
      </c>
      <c r="F135" s="2">
        <f t="shared" ref="F135:F144" si="80">MAX(F134-((D135/1000)/30),0)</f>
        <v>0.42832932993403372</v>
      </c>
      <c r="G135" s="1">
        <f t="shared" si="56"/>
        <v>223.50454023296459</v>
      </c>
      <c r="H135" s="3">
        <f t="shared" si="64"/>
        <v>1406.5252493057869</v>
      </c>
      <c r="I135" s="3">
        <f t="shared" si="57"/>
        <v>1169.2070694207864</v>
      </c>
      <c r="J135" s="1">
        <f>VLOOKUP((A135+Forudsætninger!$E$60),'Model tilvækst, slagteform, fe'!G:K,4,FALSE)*(1+Forudsætninger!$E$79)</f>
        <v>51.283636236889784</v>
      </c>
      <c r="K135" s="17">
        <f t="shared" si="58"/>
        <v>114.62125538600654</v>
      </c>
      <c r="L135" s="17">
        <f t="shared" si="65"/>
        <v>768.20877492467332</v>
      </c>
      <c r="M135" s="3">
        <f>((K135-(('Model tilvækst, slagteform, fe'!$J$9/100)*'Model tilvækst, slagteform, fe'!$D$9))*1000/(A135+Forudsætninger!$E$60))</f>
        <v>558.50205474061113</v>
      </c>
      <c r="N135" s="17">
        <f t="shared" si="66"/>
        <v>517.55150722178985</v>
      </c>
      <c r="O135" s="19">
        <f>IF( A135&lt;Forudsætninger!$C$14,(G135/100)*Forudsætninger!$C$13,(Forudsætninger!$C$15/1000)*Forudsætninger!$C$13)</f>
        <v>1.4527795115142699</v>
      </c>
      <c r="P135" s="17" cm="1">
        <f t="array" ref="P135">INDEX('Model tilvækst, slagteform, fe'!$P$9:$P$375,MATCH(MIN(ABS('Model tilvækst, slagteform, fe'!$M$9:$M$375-G135)),ABS('Model tilvækst, slagteform, fe'!$M$9:$M$375-G135),0))*(1+Forudsætninger!$E$80)</f>
        <v>5.8634664870625093</v>
      </c>
      <c r="Q135" s="17">
        <f t="shared" si="67"/>
        <v>7.632647111636353</v>
      </c>
      <c r="R135" s="17">
        <f t="shared" si="68"/>
        <v>6.3383033724877516</v>
      </c>
      <c r="S135" s="17">
        <f t="shared" si="69"/>
        <v>3.3282083368526423</v>
      </c>
      <c r="T135" s="19">
        <f>(P135)*IF(N135&lt;Forudsætninger!$B$228,IF(N135&lt;Forudsætninger!$B$227,Forudsætninger!$B$225,Forudsætninger!$C$9),Forudsætninger!$C$11)+O135</f>
        <v>15.173291091240541</v>
      </c>
      <c r="U135" s="5">
        <f>Forudsætninger!$E$68+((K135-(Forudsætninger!$E$84)))*0.01</f>
        <v>5.8627762634317344</v>
      </c>
      <c r="V135" s="2">
        <f>U135+Forudsætninger!$E$69</f>
        <v>5.8627762634317344</v>
      </c>
      <c r="W135">
        <f t="shared" si="59"/>
        <v>0</v>
      </c>
      <c r="X135">
        <f>IF(A135+Forudsætninger!$E$60&gt;248,IF(A135+Forudsætninger!$E$60&lt;365,IF(K135&gt;180,IF(K135&lt;260,1,0),0),0),0)</f>
        <v>0</v>
      </c>
      <c r="Y135" s="22">
        <f>IF(X135=0,0,IF('Vækstfunktion, kry kvie'!A135&lt;Forudsætninger!$E$66,Forudsætninger!$E$67+(('Vækstfunktion, kry kvie'!A135-Forudsætninger!$E$66)/7)*Forudsætninger!$E$64,Forudsætninger!$E$67))</f>
        <v>0</v>
      </c>
      <c r="Z135" s="19">
        <f t="shared" si="73"/>
        <v>1837.3306781354472</v>
      </c>
      <c r="AA135" s="19">
        <f>Forudsætninger!$E$62+Forudsætninger!$C$16</f>
        <v>1575</v>
      </c>
      <c r="AB135" s="19">
        <f>IF(K135&gt;Forudsætninger!$C$48,IF(K135&gt;Forudsætninger!$C$49,IF(K135&gt;Forudsætninger!$C$50,Forudsætninger!$E$50,Forudsætninger!$E$49+Forudsætninger!$F$50*(K135-Forudsætninger!$C$49)),Forudsætninger!$E$48+Forudsætninger!$F$49*(K135-Forudsætninger!$C$48)),Forudsætninger!$E$48)+IF(K135&gt;Forudsætninger!$C$50,Forudsætninger!$G$50,IF(K135&gt;Forudsætninger!$C$49,Forudsætninger!$G$49+Forudsætninger!$H$50*(K135-Forudsætninger!$C$49),IF(K135&gt;Forudsætninger!$C$48,Forudsætninger!$G$48+Forudsætninger!$H$49*(K135-Forudsætninger!$C$48),Forudsætninger!$G$48)))*(U135-Forudsætninger!$H$48)</f>
        <v>35.186277626343177</v>
      </c>
      <c r="AC135" s="19">
        <f>IF(K135&gt;Forudsætninger!$C$52,IF(K135&gt;Forudsætninger!$C$53,IF(K135&gt;Forudsætninger!$C$54,Forudsætninger!$E$54,Forudsætninger!$E$53+Forudsætninger!$F$54*(K135-Forudsætninger!$C$53)),Forudsætninger!$E$52+Forudsætninger!$F$53*(K135-Forudsætninger!$C$52)),Forudsætninger!$E$52)+IF(K135&gt;Forudsætninger!$C$54,Forudsætninger!$G$54,IF(K135&gt;Forudsætninger!$C$53,Forudsætninger!$G$53+Forudsætninger!$H$54*(K135-Forudsætninger!$C$53),IF(K135&gt;Forudsætninger!$C$52,Forudsætninger!$G$52+Forudsætninger!$H$53*(K135-Forudsætninger!$C$52),Forudsætninger!$G$52)))*(V135-Forudsætninger!$H$52)</f>
        <v>30.115694065857934</v>
      </c>
      <c r="AD135" s="19">
        <f t="shared" si="60"/>
        <v>3451.8986606495437</v>
      </c>
      <c r="AE135" s="19">
        <f t="shared" si="61"/>
        <v>30.115694065857934</v>
      </c>
      <c r="AF135">
        <f>IF(G135&lt;=Forudsætninger!$C$97,Forudsætninger!$C$98,(IF(G135&lt;=Forudsætninger!$D$97,Forudsætninger!$D$98,IF(G135&lt;=Forudsætninger!$E$97,Forudsætninger!$E$98,IF(G135&lt;=Forudsætninger!$F$97,Forudsætninger!$F$98,IF(G135&lt;=Forudsætninger!$G$97,Forudsætninger!$G$98,IF(G135&lt;=Forudsætninger!$H$97,Forudsætninger!$H$98,IF(G135&lt;=Forudsætninger!$I$97,Forudsætninger!$I$98,Forudsætninger!$I$98))))))))</f>
        <v>3.2</v>
      </c>
      <c r="AG135" s="1">
        <f t="shared" si="70"/>
        <v>3.2</v>
      </c>
      <c r="AH135" s="1">
        <f t="shared" si="74"/>
        <v>309.59999999999928</v>
      </c>
      <c r="AI135" s="1">
        <f t="shared" si="62"/>
        <v>2.3278195488721751</v>
      </c>
      <c r="AJ135" s="20">
        <f>+(W135*Forudsætninger!$C$12)</f>
        <v>0</v>
      </c>
      <c r="AK135" s="20">
        <f>Forudsætninger!$C$17</f>
        <v>250</v>
      </c>
      <c r="AL135" s="20">
        <f>IF(A135&lt;92,Forudsætninger!$C$20,Forudsætninger!$C$21)</f>
        <v>1.0566762728146013</v>
      </c>
      <c r="AM135" s="20">
        <f t="shared" si="71"/>
        <v>409.04342713763191</v>
      </c>
      <c r="AN135" s="19">
        <f>IFERROR(AD135+AJ135-AA135-Z135-AK135-AM135-Forudsætninger!$E$75,-999999)</f>
        <v>-810.69220596015123</v>
      </c>
      <c r="AO135" s="19">
        <f>IFERROR(AN135/(A135+Forudsætninger!$E$74),-999999)</f>
        <v>-6.0954301200011374</v>
      </c>
      <c r="AP135" s="19">
        <f>IFERROR(((365/(A135+Forudsætninger!$E$74))*AN135)/(AI135+Forudsætninger!$E$73),-999999)</f>
        <v>-912.63194391467744</v>
      </c>
      <c r="AQ135" s="18">
        <f t="shared" si="63"/>
        <v>133</v>
      </c>
      <c r="AR135" s="18">
        <f t="shared" si="75"/>
        <v>4071.3741052730793</v>
      </c>
      <c r="AS135" s="18">
        <f t="shared" si="55"/>
        <v>5.6</v>
      </c>
      <c r="AT135" s="50">
        <f t="shared" si="76"/>
        <v>7.1238303539302024</v>
      </c>
      <c r="AU135" s="50">
        <f t="shared" si="77"/>
        <v>0.10014591268129802</v>
      </c>
      <c r="AV135" s="2">
        <f t="shared" si="78"/>
        <v>17.515299182170452</v>
      </c>
      <c r="AW135" s="16">
        <f t="shared" si="72"/>
        <v>-3.019915630244506</v>
      </c>
      <c r="AZ135" s="16"/>
      <c r="BA135" s="2"/>
    </row>
    <row r="136" spans="1:53" x14ac:dyDescent="0.25">
      <c r="A136">
        <v>134</v>
      </c>
      <c r="B136" s="1">
        <f>ROUND((A136+Forudsætninger!$E$60)/30.4,1)</f>
        <v>5.6</v>
      </c>
      <c r="C136" s="1">
        <f>VLOOKUP((A136+Forudsætninger!$E$60),'Model tilvækst, slagteform, fe'!A:D,4,FALSE)</f>
        <v>244.05991901669705</v>
      </c>
      <c r="D136" s="3">
        <f t="shared" si="79"/>
        <v>1585.7767307942936</v>
      </c>
      <c r="E136" s="3">
        <f>(1+Forudsætninger!$E$78)*C136</f>
        <v>224.53512549536129</v>
      </c>
      <c r="F136" s="2">
        <f t="shared" si="80"/>
        <v>0.37547010557422394</v>
      </c>
      <c r="G136" s="1">
        <f t="shared" si="56"/>
        <v>224.91059560093552</v>
      </c>
      <c r="H136" s="3">
        <f t="shared" si="64"/>
        <v>1406.0553679709358</v>
      </c>
      <c r="I136" s="3">
        <f t="shared" si="57"/>
        <v>1170.9745940368323</v>
      </c>
      <c r="J136" s="1">
        <f>VLOOKUP((A136+Forudsætninger!$E$60),'Model tilvækst, slagteform, fe'!G:K,4,FALSE)*(1+Forudsætninger!$E$79)</f>
        <v>51.304793850486561</v>
      </c>
      <c r="K136" s="17">
        <f t="shared" si="58"/>
        <v>115.38991742096147</v>
      </c>
      <c r="L136" s="17">
        <f t="shared" si="65"/>
        <v>768.66203495492869</v>
      </c>
      <c r="M136" s="3">
        <f>((K136-(('Model tilvækst, slagteform, fe'!$J$9/100)*'Model tilvækst, slagteform, fe'!$D$9))*1000/(A136+Forudsætninger!$E$60))</f>
        <v>559.7382899183425</v>
      </c>
      <c r="N136" s="17">
        <f t="shared" si="66"/>
        <v>523.43666670257198</v>
      </c>
      <c r="O136" s="19">
        <f>IF( A136&lt;Forudsætninger!$C$14,(G136/100)*Forudsætninger!$C$13,(Forudsætninger!$C$15/1000)*Forudsætninger!$C$13)</f>
        <v>1.4619188714060811</v>
      </c>
      <c r="P136" s="17" cm="1">
        <f t="array" ref="P136">INDEX('Model tilvækst, slagteform, fe'!$P$9:$P$375,MATCH(MIN(ABS('Model tilvækst, slagteform, fe'!$M$9:$M$375-G136)),ABS('Model tilvækst, slagteform, fe'!$M$9:$M$375-G136),0))*(1+Forudsætninger!$E$80)</f>
        <v>5.8851594807821295</v>
      </c>
      <c r="Q136" s="17">
        <f t="shared" si="67"/>
        <v>7.6563680956705662</v>
      </c>
      <c r="R136" s="17">
        <f t="shared" si="68"/>
        <v>6.3505953701440401</v>
      </c>
      <c r="S136" s="17">
        <f t="shared" si="69"/>
        <v>3.3358911467891414</v>
      </c>
      <c r="T136" s="19">
        <f>(P136)*IF(N136&lt;Forudsætninger!$B$228,IF(N136&lt;Forudsætninger!$B$227,Forudsætninger!$B$225,Forudsætninger!$C$9),Forudsætninger!$C$11)+O136</f>
        <v>15.233192056436263</v>
      </c>
      <c r="U136" s="5">
        <f>Forudsætninger!$E$68+((K136-(Forudsætninger!$E$84)))*0.01</f>
        <v>5.8704628837812836</v>
      </c>
      <c r="V136" s="2">
        <f>U136+Forudsætninger!$E$69</f>
        <v>5.8704628837812836</v>
      </c>
      <c r="W136">
        <f t="shared" si="59"/>
        <v>0</v>
      </c>
      <c r="X136">
        <f>IF(A136+Forudsætninger!$E$60&gt;248,IF(A136+Forudsætninger!$E$60&lt;365,IF(K136&gt;180,IF(K136&lt;260,1,0),0),0),0)</f>
        <v>0</v>
      </c>
      <c r="Y136" s="22">
        <f>IF(X136=0,0,IF('Vækstfunktion, kry kvie'!A136&lt;Forudsætninger!$E$66,Forudsætninger!$E$67+(('Vækstfunktion, kry kvie'!A136-Forudsætninger!$E$66)/7)*Forudsætninger!$E$64,Forudsætninger!$E$67))</f>
        <v>0</v>
      </c>
      <c r="Z136" s="19">
        <f t="shared" si="73"/>
        <v>1852.5638701918836</v>
      </c>
      <c r="AA136" s="19">
        <f>Forudsætninger!$E$62+Forudsætninger!$C$16</f>
        <v>1575</v>
      </c>
      <c r="AB136" s="19">
        <f>IF(K136&gt;Forudsætninger!$C$48,IF(K136&gt;Forudsætninger!$C$49,IF(K136&gt;Forudsætninger!$C$50,Forudsætninger!$E$50,Forudsætninger!$E$49+Forudsætninger!$F$50*(K136-Forudsætninger!$C$49)),Forudsætninger!$E$48+Forudsætninger!$F$49*(K136-Forudsætninger!$C$48)),Forudsætninger!$E$48)+IF(K136&gt;Forudsætninger!$C$50,Forudsætninger!$G$50,IF(K136&gt;Forudsætninger!$C$49,Forudsætninger!$G$49+Forudsætninger!$H$50*(K136-Forudsætninger!$C$49),IF(K136&gt;Forudsætninger!$C$48,Forudsætninger!$G$48+Forudsætninger!$H$49*(K136-Forudsætninger!$C$48),Forudsætninger!$G$48)))*(U136-Forudsætninger!$H$48)</f>
        <v>35.187046288378127</v>
      </c>
      <c r="AC136" s="19">
        <f>IF(K136&gt;Forudsætninger!$C$52,IF(K136&gt;Forudsætninger!$C$53,IF(K136&gt;Forudsætninger!$C$54,Forudsætninger!$E$54,Forudsætninger!$E$53+Forudsætninger!$F$54*(K136-Forudsætninger!$C$53)),Forudsætninger!$E$52+Forudsætninger!$F$53*(K136-Forudsætninger!$C$52)),Forudsætninger!$E$52)+IF(K136&gt;Forudsætninger!$C$54,Forudsætninger!$G$54,IF(K136&gt;Forudsætninger!$C$53,Forudsætninger!$G$53+Forudsætninger!$H$54*(K136-Forudsætninger!$C$53),IF(K136&gt;Forudsætninger!$C$52,Forudsætninger!$G$52+Forudsætninger!$H$53*(K136-Forudsætninger!$C$52),Forudsætninger!$G$52)))*(V136-Forudsætninger!$H$52)</f>
        <v>30.11761572094532</v>
      </c>
      <c r="AD136" s="19">
        <f t="shared" si="60"/>
        <v>3475.2691909561313</v>
      </c>
      <c r="AE136" s="19">
        <f t="shared" si="61"/>
        <v>30.11761572094532</v>
      </c>
      <c r="AF136">
        <f>IF(G136&lt;=Forudsætninger!$C$97,Forudsætninger!$C$98,(IF(G136&lt;=Forudsætninger!$D$97,Forudsætninger!$D$98,IF(G136&lt;=Forudsætninger!$E$97,Forudsætninger!$E$98,IF(G136&lt;=Forudsætninger!$F$97,Forudsætninger!$F$98,IF(G136&lt;=Forudsætninger!$G$97,Forudsætninger!$G$98,IF(G136&lt;=Forudsætninger!$H$97,Forudsætninger!$H$98,IF(G136&lt;=Forudsætninger!$I$97,Forudsætninger!$I$98,Forudsætninger!$I$98))))))))</f>
        <v>3.2</v>
      </c>
      <c r="AG136" s="1">
        <f t="shared" si="70"/>
        <v>3.2</v>
      </c>
      <c r="AH136" s="1">
        <f t="shared" si="74"/>
        <v>312.79999999999927</v>
      </c>
      <c r="AI136" s="1">
        <f t="shared" si="62"/>
        <v>2.3343283582089498</v>
      </c>
      <c r="AJ136" s="20">
        <f>+(W136*Forudsætninger!$C$12)</f>
        <v>0</v>
      </c>
      <c r="AK136" s="20">
        <f>Forudsætninger!$C$17</f>
        <v>250</v>
      </c>
      <c r="AL136" s="20">
        <f>IF(A136&lt;92,Forudsætninger!$C$20,Forudsætninger!$C$21)</f>
        <v>1.0566762728146013</v>
      </c>
      <c r="AM136" s="20">
        <f t="shared" si="71"/>
        <v>410.10010341044654</v>
      </c>
      <c r="AN136" s="19">
        <f>IFERROR(AD136+AJ136-AA136-Z136-AK136-AM136-Forudsætninger!$E$75,-999999)</f>
        <v>-803.61154398281462</v>
      </c>
      <c r="AO136" s="19">
        <f>IFERROR(AN136/(A136+Forudsætninger!$E$74),-999999)</f>
        <v>-5.9971010744986168</v>
      </c>
      <c r="AP136" s="19">
        <f>IFERROR(((365/(A136+Forudsætninger!$E$74))*AN136)/(AI136+Forudsætninger!$E$73),-999999)</f>
        <v>-895.51875665179216</v>
      </c>
      <c r="AQ136" s="18">
        <f t="shared" si="63"/>
        <v>134</v>
      </c>
      <c r="AR136" s="18">
        <f t="shared" si="75"/>
        <v>4087.6639736023299</v>
      </c>
      <c r="AS136" s="18">
        <f t="shared" si="55"/>
        <v>5.6</v>
      </c>
      <c r="AT136" s="50">
        <f t="shared" si="76"/>
        <v>7.0806619773366037</v>
      </c>
      <c r="AU136" s="50">
        <f t="shared" si="77"/>
        <v>9.8329045502520529E-2</v>
      </c>
      <c r="AV136" s="2">
        <f t="shared" si="78"/>
        <v>17.113187262885276</v>
      </c>
      <c r="AW136" s="16">
        <f t="shared" si="72"/>
        <v>-2.9366525415848366</v>
      </c>
      <c r="AZ136" s="16"/>
      <c r="BA136" s="2"/>
    </row>
    <row r="137" spans="1:53" x14ac:dyDescent="0.25">
      <c r="A137">
        <v>135</v>
      </c>
      <c r="B137" s="1">
        <f>ROUND((A137+Forudsætninger!$E$60)/30.4,1)</f>
        <v>5.6</v>
      </c>
      <c r="C137" s="1">
        <f>VLOOKUP((A137+Forudsætninger!$E$60),'Model tilvækst, slagteform, fe'!A:D,4,FALSE)</f>
        <v>245.64509494463124</v>
      </c>
      <c r="D137" s="3">
        <f t="shared" si="79"/>
        <v>1585.1759279341877</v>
      </c>
      <c r="E137" s="3">
        <f>(1+Forudsætninger!$E$78)*C137</f>
        <v>225.99348734906076</v>
      </c>
      <c r="F137" s="2">
        <f t="shared" si="80"/>
        <v>0.32263090797641769</v>
      </c>
      <c r="G137" s="1">
        <f t="shared" si="56"/>
        <v>226.31611825703717</v>
      </c>
      <c r="H137" s="3">
        <f t="shared" si="64"/>
        <v>1405.5226561016525</v>
      </c>
      <c r="I137" s="3">
        <f t="shared" si="57"/>
        <v>1172.7119870891643</v>
      </c>
      <c r="J137" s="1">
        <f>VLOOKUP((A137+Forudsætninger!$E$60),'Model tilvækst, slagteform, fe'!G:K,4,FALSE)*(1+Forudsætninger!$E$79)</f>
        <v>51.32599631732716</v>
      </c>
      <c r="K137" s="17">
        <f t="shared" si="58"/>
        <v>116.15900252212468</v>
      </c>
      <c r="L137" s="17">
        <f t="shared" si="65"/>
        <v>769.08510116321338</v>
      </c>
      <c r="M137" s="3">
        <f>((K137-(('Model tilvækst, slagteform, fe'!$J$9/100)*'Model tilvækst, slagteform, fe'!$D$9))*1000/(A137+Forudsætninger!$E$60))</f>
        <v>560.96254027649957</v>
      </c>
      <c r="N137" s="17">
        <f t="shared" si="66"/>
        <v>529.36504294855752</v>
      </c>
      <c r="O137" s="19">
        <f>IF( A137&lt;Forudsætninger!$C$14,(G137/100)*Forudsætninger!$C$13,(Forudsætninger!$C$15/1000)*Forudsætninger!$C$13)</f>
        <v>1.4710547686707418</v>
      </c>
      <c r="P137" s="17" cm="1">
        <f t="array" ref="P137">INDEX('Model tilvækst, slagteform, fe'!$P$9:$P$375,MATCH(MIN(ABS('Model tilvækst, slagteform, fe'!$M$9:$M$375-G137)),ABS('Model tilvækst, slagteform, fe'!$M$9:$M$375-G137),0))*(1+Forudsætninger!$E$80)</f>
        <v>5.9283762459855032</v>
      </c>
      <c r="Q137" s="17">
        <f t="shared" si="67"/>
        <v>7.7083488381442429</v>
      </c>
      <c r="R137" s="17">
        <f t="shared" si="68"/>
        <v>6.3631473444008924</v>
      </c>
      <c r="S137" s="17">
        <f t="shared" si="69"/>
        <v>3.3437217181455696</v>
      </c>
      <c r="T137" s="19">
        <f>(P137)*IF(N137&lt;Forudsætninger!$B$228,IF(N137&lt;Forudsætninger!$B$227,Forudsætninger!$B$225,Forudsætninger!$C$9),Forudsætninger!$C$11)+O137</f>
        <v>15.343455184276818</v>
      </c>
      <c r="U137" s="5">
        <f>Forudsætninger!$E$68+((K137-(Forudsætninger!$E$84)))*0.01</f>
        <v>5.8781537347929156</v>
      </c>
      <c r="V137" s="2">
        <f>U137+Forudsætninger!$E$69</f>
        <v>5.8781537347929156</v>
      </c>
      <c r="W137">
        <f t="shared" si="59"/>
        <v>0</v>
      </c>
      <c r="X137">
        <f>IF(A137+Forudsætninger!$E$60&gt;248,IF(A137+Forudsætninger!$E$60&lt;365,IF(K137&gt;180,IF(K137&lt;260,1,0),0),0),0)</f>
        <v>0</v>
      </c>
      <c r="Y137" s="22">
        <f>IF(X137=0,0,IF('Vækstfunktion, kry kvie'!A137&lt;Forudsætninger!$E$66,Forudsætninger!$E$67+(('Vækstfunktion, kry kvie'!A137-Forudsætninger!$E$66)/7)*Forudsætninger!$E$64,Forudsætninger!$E$67))</f>
        <v>0</v>
      </c>
      <c r="Z137" s="19">
        <f t="shared" si="73"/>
        <v>1867.9073253761603</v>
      </c>
      <c r="AA137" s="19">
        <f>Forudsætninger!$E$62+Forudsætninger!$C$16</f>
        <v>1575</v>
      </c>
      <c r="AB137" s="19">
        <f>IF(K137&gt;Forudsætninger!$C$48,IF(K137&gt;Forudsætninger!$C$49,IF(K137&gt;Forudsætninger!$C$50,Forudsætninger!$E$50,Forudsætninger!$E$49+Forudsætninger!$F$50*(K137-Forudsætninger!$C$49)),Forudsætninger!$E$48+Forudsætninger!$F$49*(K137-Forudsætninger!$C$48)),Forudsætninger!$E$48)+IF(K137&gt;Forudsætninger!$C$50,Forudsætninger!$G$50,IF(K137&gt;Forudsætninger!$C$49,Forudsætninger!$G$49+Forudsætninger!$H$50*(K137-Forudsætninger!$C$49),IF(K137&gt;Forudsætninger!$C$48,Forudsætninger!$G$48+Forudsætninger!$H$49*(K137-Forudsætninger!$C$48),Forudsætninger!$G$48)))*(U137-Forudsætninger!$H$48)</f>
        <v>35.187815373479289</v>
      </c>
      <c r="AC137" s="19">
        <f>IF(K137&gt;Forudsætninger!$C$52,IF(K137&gt;Forudsætninger!$C$53,IF(K137&gt;Forudsætninger!$C$54,Forudsætninger!$E$54,Forudsætninger!$E$53+Forudsætninger!$F$54*(K137-Forudsætninger!$C$53)),Forudsætninger!$E$52+Forudsætninger!$F$53*(K137-Forudsætninger!$C$52)),Forudsætninger!$E$52)+IF(K137&gt;Forudsætninger!$C$54,Forudsætninger!$G$54,IF(K137&gt;Forudsætninger!$C$53,Forudsætninger!$G$53+Forudsætninger!$H$54*(K137-Forudsætninger!$C$53),IF(K137&gt;Forudsætninger!$C$52,Forudsætninger!$G$52+Forudsætninger!$H$53*(K137-Forudsætninger!$C$52),Forudsætninger!$G$52)))*(V137-Forudsætninger!$H$52)</f>
        <v>30.119538433698228</v>
      </c>
      <c r="AD137" s="19">
        <f t="shared" si="60"/>
        <v>3498.6555408851837</v>
      </c>
      <c r="AE137" s="19">
        <f t="shared" si="61"/>
        <v>30.119538433698228</v>
      </c>
      <c r="AF137">
        <f>IF(G137&lt;=Forudsætninger!$C$97,Forudsætninger!$C$98,(IF(G137&lt;=Forudsætninger!$D$97,Forudsætninger!$D$98,IF(G137&lt;=Forudsætninger!$E$97,Forudsætninger!$E$98,IF(G137&lt;=Forudsætninger!$F$97,Forudsætninger!$F$98,IF(G137&lt;=Forudsætninger!$G$97,Forudsætninger!$G$98,IF(G137&lt;=Forudsætninger!$H$97,Forudsætninger!$H$98,IF(G137&lt;=Forudsætninger!$I$97,Forudsætninger!$I$98,Forudsætninger!$I$98))))))))</f>
        <v>3.2</v>
      </c>
      <c r="AG137" s="1">
        <f t="shared" si="70"/>
        <v>3.2</v>
      </c>
      <c r="AH137" s="1">
        <f t="shared" si="74"/>
        <v>315.99999999999926</v>
      </c>
      <c r="AI137" s="1">
        <f t="shared" si="62"/>
        <v>2.3407407407407352</v>
      </c>
      <c r="AJ137" s="20">
        <f>+(W137*Forudsætninger!$C$12)</f>
        <v>0</v>
      </c>
      <c r="AK137" s="20">
        <f>Forudsætninger!$C$17</f>
        <v>250</v>
      </c>
      <c r="AL137" s="20">
        <f>IF(A137&lt;92,Forudsætninger!$C$20,Forudsætninger!$C$21)</f>
        <v>1.0566762728146013</v>
      </c>
      <c r="AM137" s="20">
        <f t="shared" si="71"/>
        <v>411.15677968326116</v>
      </c>
      <c r="AN137" s="19">
        <f>IFERROR(AD137+AJ137-AA137-Z137-AK137-AM137-Forudsætninger!$E$75,-999999)</f>
        <v>-796.62532551085371</v>
      </c>
      <c r="AO137" s="19">
        <f>IFERROR(AN137/(A137+Forudsætninger!$E$74),-999999)</f>
        <v>-5.9009283371174348</v>
      </c>
      <c r="AP137" s="19">
        <f>IFERROR(((365/(A137+Forudsætninger!$E$74))*AN137)/(AI137+Forudsætninger!$E$73),-999999)</f>
        <v>-878.85218017670331</v>
      </c>
      <c r="AQ137" s="18">
        <f t="shared" si="63"/>
        <v>135</v>
      </c>
      <c r="AR137" s="18">
        <f t="shared" si="75"/>
        <v>4104.0641050594213</v>
      </c>
      <c r="AS137" s="18">
        <f t="shared" si="55"/>
        <v>5.6</v>
      </c>
      <c r="AT137" s="50">
        <f t="shared" si="76"/>
        <v>6.9862184719609104</v>
      </c>
      <c r="AU137" s="50">
        <f t="shared" si="77"/>
        <v>9.6172737381182039E-2</v>
      </c>
      <c r="AV137" s="2">
        <f t="shared" si="78"/>
        <v>16.666576475088846</v>
      </c>
      <c r="AW137" s="16">
        <f t="shared" si="72"/>
        <v>-2.8553225616858708</v>
      </c>
      <c r="AZ137" s="16"/>
      <c r="BA137" s="2"/>
    </row>
    <row r="138" spans="1:53" x14ac:dyDescent="0.25">
      <c r="A138">
        <v>136</v>
      </c>
      <c r="B138" s="1">
        <f>ROUND((A138+Forudsætninger!$E$60)/30.4,1)</f>
        <v>5.7</v>
      </c>
      <c r="C138" s="1">
        <f>VLOOKUP((A138+Forudsætninger!$E$60),'Model tilvækst, slagteform, fe'!A:D,4,FALSE)</f>
        <v>247.22959979322084</v>
      </c>
      <c r="D138" s="3">
        <f t="shared" si="79"/>
        <v>1584.5048485896029</v>
      </c>
      <c r="E138" s="3">
        <f>(1+Forudsætninger!$E$78)*C138</f>
        <v>227.45123180976319</v>
      </c>
      <c r="F138" s="2">
        <f t="shared" si="80"/>
        <v>0.26981407969009757</v>
      </c>
      <c r="G138" s="1">
        <f t="shared" si="56"/>
        <v>227.72104588945328</v>
      </c>
      <c r="H138" s="3">
        <f t="shared" si="64"/>
        <v>1404.9276324161042</v>
      </c>
      <c r="I138" s="3">
        <f t="shared" si="57"/>
        <v>1174.4194550695095</v>
      </c>
      <c r="J138" s="1">
        <f>VLOOKUP((A138+Forudsætninger!$E$60),'Model tilvækst, slagteform, fe'!G:K,4,FALSE)*(1+Forudsætninger!$E$79)</f>
        <v>51.347243844904909</v>
      </c>
      <c r="K138" s="17">
        <f t="shared" si="58"/>
        <v>116.92848071902539</v>
      </c>
      <c r="L138" s="17">
        <f t="shared" si="65"/>
        <v>769.47819690070673</v>
      </c>
      <c r="M138" s="3">
        <f>((K138-(('Model tilvækst, slagteform, fe'!$J$9/100)*'Model tilvækst, slagteform, fe'!$D$9))*1000/(A138+Forudsætninger!$E$60))</f>
        <v>562.17484060571007</v>
      </c>
      <c r="N138" s="17">
        <f t="shared" si="66"/>
        <v>535.31494553234268</v>
      </c>
      <c r="O138" s="19">
        <f>IF( A138&lt;Forudsætninger!$C$14,(G138/100)*Forudsætninger!$C$13,(Forudsætninger!$C$15/1000)*Forudsætninger!$C$13)</f>
        <v>1.4801867982814463</v>
      </c>
      <c r="P138" s="17" cm="1">
        <f t="array" ref="P138">INDEX('Model tilvækst, slagteform, fe'!$P$9:$P$375,MATCH(MIN(ABS('Model tilvækst, slagteform, fe'!$M$9:$M$375-G138)),ABS('Model tilvækst, slagteform, fe'!$M$9:$M$375-G138),0))*(1+Forudsætninger!$E$80)</f>
        <v>5.9499025837851569</v>
      </c>
      <c r="Q138" s="17">
        <f t="shared" si="67"/>
        <v>7.7323861907330054</v>
      </c>
      <c r="R138" s="17">
        <f t="shared" si="68"/>
        <v>6.3756959004939375</v>
      </c>
      <c r="S138" s="17">
        <f t="shared" si="69"/>
        <v>3.351561734092618</v>
      </c>
      <c r="T138" s="19">
        <f>(P138)*IF(N138&lt;Forudsætninger!$B$228,IF(N138&lt;Forudsætninger!$B$227,Forudsætninger!$B$225,Forudsætninger!$C$9),Forudsætninger!$C$11)+O138</f>
        <v>15.402958844338713</v>
      </c>
      <c r="U138" s="5">
        <f>Forudsætninger!$E$68+((K138-(Forudsætninger!$E$84)))*0.01</f>
        <v>5.8858485167619232</v>
      </c>
      <c r="V138" s="2">
        <f>U138+Forudsætninger!$E$69</f>
        <v>5.8858485167619232</v>
      </c>
      <c r="W138">
        <f t="shared" si="59"/>
        <v>0</v>
      </c>
      <c r="X138">
        <f>IF(A138+Forudsætninger!$E$60&gt;248,IF(A138+Forudsætninger!$E$60&lt;365,IF(K138&gt;180,IF(K138&lt;260,1,0),0),0),0)</f>
        <v>0</v>
      </c>
      <c r="Y138" s="22">
        <f>IF(X138=0,0,IF('Vækstfunktion, kry kvie'!A138&lt;Forudsætninger!$E$66,Forudsætninger!$E$67+(('Vækstfunktion, kry kvie'!A138-Forudsætninger!$E$66)/7)*Forudsætninger!$E$64,Forudsætninger!$E$67))</f>
        <v>0</v>
      </c>
      <c r="Z138" s="19">
        <f t="shared" si="73"/>
        <v>1883.3102842204989</v>
      </c>
      <c r="AA138" s="19">
        <f>Forudsætninger!$E$62+Forudsætninger!$C$16</f>
        <v>1575</v>
      </c>
      <c r="AB138" s="19">
        <f>IF(K138&gt;Forudsætninger!$C$48,IF(K138&gt;Forudsætninger!$C$49,IF(K138&gt;Forudsætninger!$C$50,Forudsætninger!$E$50,Forudsætninger!$E$49+Forudsætninger!$F$50*(K138-Forudsætninger!$C$49)),Forudsætninger!$E$48+Forudsætninger!$F$49*(K138-Forudsætninger!$C$48)),Forudsætninger!$E$48)+IF(K138&gt;Forudsætninger!$C$50,Forudsætninger!$G$50,IF(K138&gt;Forudsætninger!$C$49,Forudsætninger!$G$49+Forudsætninger!$H$50*(K138-Forudsætninger!$C$49),IF(K138&gt;Forudsætninger!$C$48,Forudsætninger!$G$48+Forudsætninger!$H$49*(K138-Forudsætninger!$C$48),Forudsætninger!$G$48)))*(U138-Forudsætninger!$H$48)</f>
        <v>35.18858485167619</v>
      </c>
      <c r="AC138" s="19">
        <f>IF(K138&gt;Forudsætninger!$C$52,IF(K138&gt;Forudsætninger!$C$53,IF(K138&gt;Forudsætninger!$C$54,Forudsætninger!$E$54,Forudsætninger!$E$53+Forudsætninger!$F$54*(K138-Forudsætninger!$C$53)),Forudsætninger!$E$52+Forudsætninger!$F$53*(K138-Forudsætninger!$C$52)),Forudsætninger!$E$52)+IF(K138&gt;Forudsætninger!$C$54,Forudsætninger!$G$54,IF(K138&gt;Forudsætninger!$C$53,Forudsætninger!$G$53+Forudsætninger!$H$54*(K138-Forudsætninger!$C$53),IF(K138&gt;Forudsætninger!$C$52,Forudsætninger!$G$52+Forudsætninger!$H$53*(K138-Forudsætninger!$C$52),Forudsætninger!$G$52)))*(V138-Forudsætninger!$H$52)</f>
        <v>30.12146212919048</v>
      </c>
      <c r="AD138" s="19">
        <f t="shared" si="60"/>
        <v>3522.0568038019023</v>
      </c>
      <c r="AE138" s="19">
        <f t="shared" si="61"/>
        <v>30.12146212919048</v>
      </c>
      <c r="AF138">
        <f>IF(G138&lt;=Forudsætninger!$C$97,Forudsætninger!$C$98,(IF(G138&lt;=Forudsætninger!$D$97,Forudsætninger!$D$98,IF(G138&lt;=Forudsætninger!$E$97,Forudsætninger!$E$98,IF(G138&lt;=Forudsætninger!$F$97,Forudsætninger!$F$98,IF(G138&lt;=Forudsætninger!$G$97,Forudsætninger!$G$98,IF(G138&lt;=Forudsætninger!$H$97,Forudsætninger!$H$98,IF(G138&lt;=Forudsætninger!$I$97,Forudsætninger!$I$98,Forudsætninger!$I$98))))))))</f>
        <v>3.2</v>
      </c>
      <c r="AG138" s="1">
        <f t="shared" si="70"/>
        <v>3.2</v>
      </c>
      <c r="AH138" s="1">
        <f t="shared" si="74"/>
        <v>319.19999999999925</v>
      </c>
      <c r="AI138" s="1">
        <f t="shared" si="62"/>
        <v>2.3470588235294061</v>
      </c>
      <c r="AJ138" s="20">
        <f>+(W138*Forudsætninger!$C$12)</f>
        <v>0</v>
      </c>
      <c r="AK138" s="20">
        <f>Forudsætninger!$C$17</f>
        <v>250</v>
      </c>
      <c r="AL138" s="20">
        <f>IF(A138&lt;92,Forudsætninger!$C$20,Forudsætninger!$C$21)</f>
        <v>1.0566762728146013</v>
      </c>
      <c r="AM138" s="20">
        <f t="shared" si="71"/>
        <v>412.21345595607579</v>
      </c>
      <c r="AN138" s="19">
        <f>IFERROR(AD138+AJ138-AA138-Z138-AK138-AM138-Forudsætninger!$E$75,-999999)</f>
        <v>-789.68369771128823</v>
      </c>
      <c r="AO138" s="19">
        <f>IFERROR(AN138/(A138+Forudsætninger!$E$74),-999999)</f>
        <v>-5.8064977772888842</v>
      </c>
      <c r="AP138" s="19">
        <f>IFERROR(((365/(A138+Forudsætninger!$E$74))*AN138)/(AI138+Forudsætninger!$E$73),-999999)</f>
        <v>-862.56448906099126</v>
      </c>
      <c r="AQ138" s="18">
        <f t="shared" si="63"/>
        <v>136</v>
      </c>
      <c r="AR138" s="18">
        <f t="shared" si="75"/>
        <v>4120.5237401765744</v>
      </c>
      <c r="AS138" s="18">
        <f t="shared" si="55"/>
        <v>5.7</v>
      </c>
      <c r="AT138" s="50">
        <f t="shared" si="76"/>
        <v>6.9416277995654809</v>
      </c>
      <c r="AU138" s="50">
        <f t="shared" si="77"/>
        <v>9.4430559828550642E-2</v>
      </c>
      <c r="AV138" s="2">
        <f t="shared" si="78"/>
        <v>16.28769111571205</v>
      </c>
      <c r="AW138" s="16">
        <f t="shared" si="72"/>
        <v>-2.7755164834942092</v>
      </c>
      <c r="AZ138" s="16"/>
      <c r="BA138" s="2"/>
    </row>
    <row r="139" spans="1:53" x14ac:dyDescent="0.25">
      <c r="A139">
        <v>137</v>
      </c>
      <c r="B139" s="1">
        <f>ROUND((A139+Forudsætninger!$E$60)/30.4,1)</f>
        <v>5.7</v>
      </c>
      <c r="C139" s="1">
        <f>VLOOKUP((A139+Forudsætninger!$E$60),'Model tilvækst, slagteform, fe'!A:D,4,FALSE)</f>
        <v>248.81336387100194</v>
      </c>
      <c r="D139" s="3">
        <f t="shared" si="79"/>
        <v>1583.7640777810975</v>
      </c>
      <c r="E139" s="3">
        <f>(1+Forudsætninger!$E$78)*C139</f>
        <v>228.9082947613218</v>
      </c>
      <c r="F139" s="2">
        <f t="shared" si="80"/>
        <v>0.21702194376406098</v>
      </c>
      <c r="G139" s="1">
        <f t="shared" si="56"/>
        <v>229.12531670508585</v>
      </c>
      <c r="H139" s="3">
        <f t="shared" si="64"/>
        <v>1404.2708156325716</v>
      </c>
      <c r="I139" s="3">
        <f t="shared" si="57"/>
        <v>1176.0972022269041</v>
      </c>
      <c r="J139" s="1">
        <f>VLOOKUP((A139+Forudsætninger!$E$60),'Model tilvækst, slagteform, fe'!G:K,4,FALSE)*(1+Forudsætninger!$E$79)</f>
        <v>51.368536640713103</v>
      </c>
      <c r="K139" s="17">
        <f t="shared" si="58"/>
        <v>117.69832226480196</v>
      </c>
      <c r="L139" s="17">
        <f t="shared" si="65"/>
        <v>769.84154577657193</v>
      </c>
      <c r="M139" s="3">
        <f>((K139-(('Model tilvækst, slagteform, fe'!$J$9/100)*'Model tilvækst, slagteform, fe'!$D$9))*1000/(A139+Forudsætninger!$E$60))</f>
        <v>563.37522618473236</v>
      </c>
      <c r="N139" s="17">
        <f t="shared" si="66"/>
        <v>541.28632132205121</v>
      </c>
      <c r="O139" s="19">
        <f>IF( A139&lt;Forudsætninger!$C$14,(G139/100)*Forudsætninger!$C$13,(Forudsætninger!$C$15/1000)*Forudsætninger!$C$13)</f>
        <v>1.4893145585830583</v>
      </c>
      <c r="P139" s="17" cm="1">
        <f t="array" ref="P139">INDEX('Model tilvækst, slagteform, fe'!$P$9:$P$375,MATCH(MIN(ABS('Model tilvækst, slagteform, fe'!$M$9:$M$375-G139)),ABS('Model tilvækst, slagteform, fe'!$M$9:$M$375-G139),0))*(1+Forudsætninger!$E$80)</f>
        <v>5.9713757897085538</v>
      </c>
      <c r="Q139" s="17">
        <f t="shared" si="67"/>
        <v>7.7566296888861368</v>
      </c>
      <c r="R139" s="17">
        <f t="shared" si="68"/>
        <v>6.388242572566611</v>
      </c>
      <c r="S139" s="17">
        <f t="shared" si="69"/>
        <v>3.3594119930438326</v>
      </c>
      <c r="T139" s="19">
        <f>(P139)*IF(N139&lt;Forudsætninger!$B$228,IF(N139&lt;Forudsætninger!$B$227,Forudsætninger!$B$225,Forudsætninger!$C$9),Forudsætninger!$C$11)+O139</f>
        <v>15.462333906501073</v>
      </c>
      <c r="U139" s="5">
        <f>Forudsætninger!$E$68+((K139-(Forudsætninger!$E$84)))*0.01</f>
        <v>5.8935469322196887</v>
      </c>
      <c r="V139" s="2">
        <f>U139+Forudsætninger!$E$69</f>
        <v>5.8935469322196887</v>
      </c>
      <c r="W139">
        <f t="shared" si="59"/>
        <v>0</v>
      </c>
      <c r="X139">
        <f>IF(A139+Forudsætninger!$E$60&gt;248,IF(A139+Forudsætninger!$E$60&lt;365,IF(K139&gt;180,IF(K139&lt;260,1,0),0),0),0)</f>
        <v>0</v>
      </c>
      <c r="Y139" s="22">
        <f>IF(X139=0,0,IF('Vækstfunktion, kry kvie'!A139&lt;Forudsætninger!$E$66,Forudsætninger!$E$67+(('Vækstfunktion, kry kvie'!A139-Forudsætninger!$E$66)/7)*Forudsætninger!$E$64,Forudsætninger!$E$67))</f>
        <v>0</v>
      </c>
      <c r="Z139" s="19">
        <f t="shared" si="73"/>
        <v>1898.772618127</v>
      </c>
      <c r="AA139" s="19">
        <f>Forudsætninger!$E$62+Forudsætninger!$C$16</f>
        <v>1575</v>
      </c>
      <c r="AB139" s="19">
        <f>IF(K139&gt;Forudsætninger!$C$48,IF(K139&gt;Forudsætninger!$C$49,IF(K139&gt;Forudsætninger!$C$50,Forudsætninger!$E$50,Forudsætninger!$E$49+Forudsætninger!$F$50*(K139-Forudsætninger!$C$49)),Forudsætninger!$E$48+Forudsætninger!$F$49*(K139-Forudsætninger!$C$48)),Forudsætninger!$E$48)+IF(K139&gt;Forudsætninger!$C$50,Forudsætninger!$G$50,IF(K139&gt;Forudsætninger!$C$49,Forudsætninger!$G$49+Forudsætninger!$H$50*(K139-Forudsætninger!$C$49),IF(K139&gt;Forudsætninger!$C$48,Forudsætninger!$G$48+Forudsætninger!$H$49*(K139-Forudsætninger!$C$48),Forudsætninger!$G$48)))*(U139-Forudsætninger!$H$48)</f>
        <v>35.189354693221972</v>
      </c>
      <c r="AC139" s="19">
        <f>IF(K139&gt;Forudsætninger!$C$52,IF(K139&gt;Forudsætninger!$C$53,IF(K139&gt;Forudsætninger!$C$54,Forudsætninger!$E$54,Forudsætninger!$E$53+Forudsætninger!$F$54*(K139-Forudsætninger!$C$53)),Forudsætninger!$E$52+Forudsætninger!$F$53*(K139-Forudsætninger!$C$52)),Forudsætninger!$E$52)+IF(K139&gt;Forudsætninger!$C$54,Forudsætninger!$G$54,IF(K139&gt;Forudsætninger!$C$53,Forudsætninger!$G$53+Forudsætninger!$H$54*(K139-Forudsætninger!$C$53),IF(K139&gt;Forudsætninger!$C$52,Forudsætninger!$G$52+Forudsætninger!$H$53*(K139-Forudsætninger!$C$52),Forudsætninger!$G$52)))*(V139-Forudsætninger!$H$52)</f>
        <v>30.123386733054922</v>
      </c>
      <c r="AD139" s="19">
        <f t="shared" si="60"/>
        <v>3545.4720794143582</v>
      </c>
      <c r="AE139" s="19">
        <f t="shared" si="61"/>
        <v>30.123386733054922</v>
      </c>
      <c r="AF139">
        <f>IF(G139&lt;=Forudsætninger!$C$97,Forudsætninger!$C$98,(IF(G139&lt;=Forudsætninger!$D$97,Forudsætninger!$D$98,IF(G139&lt;=Forudsætninger!$E$97,Forudsætninger!$E$98,IF(G139&lt;=Forudsætninger!$F$97,Forudsætninger!$F$98,IF(G139&lt;=Forudsætninger!$G$97,Forudsætninger!$G$98,IF(G139&lt;=Forudsætninger!$H$97,Forudsætninger!$H$98,IF(G139&lt;=Forudsætninger!$I$97,Forudsætninger!$I$98,Forudsætninger!$I$98))))))))</f>
        <v>3.2</v>
      </c>
      <c r="AG139" s="1">
        <f t="shared" si="70"/>
        <v>3.2</v>
      </c>
      <c r="AH139" s="1">
        <f t="shared" si="74"/>
        <v>322.39999999999924</v>
      </c>
      <c r="AI139" s="1">
        <f t="shared" si="62"/>
        <v>2.3532846715328413</v>
      </c>
      <c r="AJ139" s="20">
        <f>+(W139*Forudsætninger!$C$12)</f>
        <v>0</v>
      </c>
      <c r="AK139" s="20">
        <f>Forudsætninger!$C$17</f>
        <v>250</v>
      </c>
      <c r="AL139" s="20">
        <f>IF(A139&lt;92,Forudsætninger!$C$20,Forudsætninger!$C$21)</f>
        <v>1.0566762728146013</v>
      </c>
      <c r="AM139" s="20">
        <f t="shared" si="71"/>
        <v>413.27013222889042</v>
      </c>
      <c r="AN139" s="19">
        <f>IFERROR(AD139+AJ139-AA139-Z139-AK139-AM139-Forudsætninger!$E$75,-999999)</f>
        <v>-782.787432278148</v>
      </c>
      <c r="AO139" s="19">
        <f>IFERROR(AN139/(A139+Forudsætninger!$E$74),-999999)</f>
        <v>-5.7137768779426859</v>
      </c>
      <c r="AP139" s="19">
        <f>IFERROR(((365/(A139+Forudsætninger!$E$74))*AN139)/(AI139+Forudsætninger!$E$73),-999999)</f>
        <v>-846.64536931141936</v>
      </c>
      <c r="AQ139" s="18">
        <f t="shared" si="63"/>
        <v>137</v>
      </c>
      <c r="AR139" s="18">
        <f t="shared" si="75"/>
        <v>4137.0427503558903</v>
      </c>
      <c r="AS139" s="18">
        <f t="shared" si="55"/>
        <v>5.7</v>
      </c>
      <c r="AT139" s="50">
        <f t="shared" si="76"/>
        <v>6.8962654331402291</v>
      </c>
      <c r="AU139" s="50">
        <f t="shared" si="77"/>
        <v>9.2720899346198316E-2</v>
      </c>
      <c r="AV139" s="2">
        <f t="shared" si="78"/>
        <v>15.919119749571905</v>
      </c>
      <c r="AW139" s="16">
        <f t="shared" si="72"/>
        <v>-2.69720656970261</v>
      </c>
      <c r="AZ139" s="16"/>
      <c r="BA139" s="2"/>
    </row>
    <row r="140" spans="1:53" x14ac:dyDescent="0.25">
      <c r="A140">
        <v>138</v>
      </c>
      <c r="B140" s="1">
        <f>ROUND((A140+Forudsætninger!$E$60)/30.4,1)</f>
        <v>5.7</v>
      </c>
      <c r="C140" s="1">
        <f>VLOOKUP((A140+Forudsætninger!$E$60),'Model tilvækst, slagteform, fe'!A:D,4,FALSE)</f>
        <v>250.39631807153148</v>
      </c>
      <c r="D140" s="3">
        <f t="shared" si="79"/>
        <v>1582.9542005295423</v>
      </c>
      <c r="E140" s="3">
        <f>(1+Forudsætninger!$E$78)*C140</f>
        <v>230.36461262580897</v>
      </c>
      <c r="F140" s="2">
        <f t="shared" si="80"/>
        <v>0.16425680374640955</v>
      </c>
      <c r="G140" s="1">
        <f t="shared" si="56"/>
        <v>230.52886942955539</v>
      </c>
      <c r="H140" s="3">
        <f t="shared" si="64"/>
        <v>1403.5527244695345</v>
      </c>
      <c r="I140" s="3">
        <f t="shared" si="57"/>
        <v>1177.7454306489519</v>
      </c>
      <c r="J140" s="1">
        <f>VLOOKUP((A140+Forudsætninger!$E$60),'Model tilvækst, slagteform, fe'!G:K,4,FALSE)*(1+Forudsætninger!$E$79)</f>
        <v>51.389874912245077</v>
      </c>
      <c r="K140" s="17">
        <f t="shared" si="58"/>
        <v>118.46849763646131</v>
      </c>
      <c r="L140" s="17">
        <f t="shared" si="65"/>
        <v>770.17537165934868</v>
      </c>
      <c r="M140" s="3">
        <f>((K140-(('Model tilvækst, slagteform, fe'!$J$9/100)*'Model tilvækst, slagteform, fe'!$D$9))*1000/(A140+Forudsætninger!$E$60))</f>
        <v>564.56373276791987</v>
      </c>
      <c r="N140" s="17">
        <f t="shared" si="66"/>
        <v>547.27911617401355</v>
      </c>
      <c r="O140" s="19">
        <f>IF( A140&lt;Forudsætninger!$C$14,(G140/100)*Forudsætninger!$C$13,(Forudsætninger!$C$15/1000)*Forudsætninger!$C$13)</f>
        <v>1.49843765129211</v>
      </c>
      <c r="P140" s="17" cm="1">
        <f t="array" ref="P140">INDEX('Model tilvækst, slagteform, fe'!$P$9:$P$375,MATCH(MIN(ABS('Model tilvækst, slagteform, fe'!$M$9:$M$375-G140)),ABS('Model tilvækst, slagteform, fe'!$M$9:$M$375-G140),0))*(1+Forudsætninger!$E$80)</f>
        <v>5.9927948519623238</v>
      </c>
      <c r="Q140" s="17">
        <f t="shared" si="67"/>
        <v>7.781078274485461</v>
      </c>
      <c r="R140" s="17">
        <f t="shared" si="68"/>
        <v>6.4007888284410051</v>
      </c>
      <c r="S140" s="17">
        <f t="shared" si="69"/>
        <v>3.3672732610203742</v>
      </c>
      <c r="T140" s="19">
        <f>(P140)*IF(N140&lt;Forudsætninger!$B$228,IF(N140&lt;Forudsætninger!$B$227,Forudsætninger!$B$225,Forudsætninger!$C$9),Forudsætninger!$C$11)+O140</f>
        <v>15.521577604883948</v>
      </c>
      <c r="U140" s="5">
        <f>Forudsætninger!$E$68+((K140-(Forudsætninger!$E$84)))*0.01</f>
        <v>5.9012486859362827</v>
      </c>
      <c r="V140" s="2">
        <f>U140+Forudsætninger!$E$69</f>
        <v>5.9012486859362827</v>
      </c>
      <c r="W140">
        <f t="shared" si="59"/>
        <v>0</v>
      </c>
      <c r="X140">
        <f>IF(A140+Forudsætninger!$E$60&gt;248,IF(A140+Forudsætninger!$E$60&lt;365,IF(K140&gt;180,IF(K140&lt;260,1,0),0),0),0)</f>
        <v>0</v>
      </c>
      <c r="Y140" s="22">
        <f>IF(X140=0,0,IF('Vækstfunktion, kry kvie'!A140&lt;Forudsætninger!$E$66,Forudsætninger!$E$67+(('Vækstfunktion, kry kvie'!A140-Forudsætninger!$E$66)/7)*Forudsætninger!$E$64,Forudsætninger!$E$67))</f>
        <v>0</v>
      </c>
      <c r="Z140" s="19">
        <f t="shared" si="73"/>
        <v>1914.294195731884</v>
      </c>
      <c r="AA140" s="19">
        <f>Forudsætninger!$E$62+Forudsætninger!$C$16</f>
        <v>1575</v>
      </c>
      <c r="AB140" s="19">
        <f>IF(K140&gt;Forudsætninger!$C$48,IF(K140&gt;Forudsætninger!$C$49,IF(K140&gt;Forudsætninger!$C$50,Forudsætninger!$E$50,Forudsætninger!$E$49+Forudsætninger!$F$50*(K140-Forudsætninger!$C$49)),Forudsætninger!$E$48+Forudsætninger!$F$49*(K140-Forudsætninger!$C$48)),Forudsætninger!$E$48)+IF(K140&gt;Forudsætninger!$C$50,Forudsætninger!$G$50,IF(K140&gt;Forudsætninger!$C$49,Forudsætninger!$G$49+Forudsætninger!$H$50*(K140-Forudsætninger!$C$49),IF(K140&gt;Forudsætninger!$C$48,Forudsætninger!$G$48+Forudsætninger!$H$49*(K140-Forudsætninger!$C$48),Forudsætninger!$G$48)))*(U140-Forudsætninger!$H$48)</f>
        <v>35.190124868593628</v>
      </c>
      <c r="AC140" s="19">
        <f>IF(K140&gt;Forudsætninger!$C$52,IF(K140&gt;Forudsætninger!$C$53,IF(K140&gt;Forudsætninger!$C$54,Forudsætninger!$E$54,Forudsætninger!$E$53+Forudsætninger!$F$54*(K140-Forudsætninger!$C$53)),Forudsætninger!$E$52+Forudsætninger!$F$53*(K140-Forudsætninger!$C$52)),Forudsætninger!$E$52)+IF(K140&gt;Forudsætninger!$C$54,Forudsætninger!$G$54,IF(K140&gt;Forudsætninger!$C$53,Forudsætninger!$G$53+Forudsætninger!$H$54*(K140-Forudsætninger!$C$53),IF(K140&gt;Forudsætninger!$C$52,Forudsætninger!$G$52+Forudsætninger!$H$53*(K140-Forudsætninger!$C$52),Forudsætninger!$G$52)))*(V140-Forudsætninger!$H$52)</f>
        <v>30.125312171484069</v>
      </c>
      <c r="AD140" s="19">
        <f t="shared" si="60"/>
        <v>3568.9004737851196</v>
      </c>
      <c r="AE140" s="19">
        <f t="shared" si="61"/>
        <v>30.125312171484069</v>
      </c>
      <c r="AF140">
        <f>IF(G140&lt;=Forudsætninger!$C$97,Forudsætninger!$C$98,(IF(G140&lt;=Forudsætninger!$D$97,Forudsætninger!$D$98,IF(G140&lt;=Forudsætninger!$E$97,Forudsætninger!$E$98,IF(G140&lt;=Forudsætninger!$F$97,Forudsætninger!$F$98,IF(G140&lt;=Forudsætninger!$G$97,Forudsætninger!$G$98,IF(G140&lt;=Forudsætninger!$H$97,Forudsætninger!$H$98,IF(G140&lt;=Forudsætninger!$I$97,Forudsætninger!$I$98,Forudsætninger!$I$98))))))))</f>
        <v>3.2</v>
      </c>
      <c r="AG140" s="1">
        <f t="shared" si="70"/>
        <v>3.2</v>
      </c>
      <c r="AH140" s="1">
        <f t="shared" si="74"/>
        <v>325.59999999999923</v>
      </c>
      <c r="AI140" s="1">
        <f t="shared" si="62"/>
        <v>2.3594202898550667</v>
      </c>
      <c r="AJ140" s="20">
        <f>+(W140*Forudsætninger!$C$12)</f>
        <v>0</v>
      </c>
      <c r="AK140" s="20">
        <f>Forudsætninger!$C$17</f>
        <v>250</v>
      </c>
      <c r="AL140" s="20">
        <f>IF(A140&lt;92,Forudsætninger!$C$20,Forudsætninger!$C$21)</f>
        <v>1.0566762728146013</v>
      </c>
      <c r="AM140" s="20">
        <f t="shared" si="71"/>
        <v>414.32680850170505</v>
      </c>
      <c r="AN140" s="19">
        <f>IFERROR(AD140+AJ140-AA140-Z140-AK140-AM140-Forudsætninger!$E$75,-999999)</f>
        <v>-775.93729178508522</v>
      </c>
      <c r="AO140" s="19">
        <f>IFERROR(AN140/(A140+Forudsætninger!$E$74),-999999)</f>
        <v>-5.6227339984426461</v>
      </c>
      <c r="AP140" s="19">
        <f>IFERROR(((365/(A140+Forudsætninger!$E$74))*AN140)/(AI140+Forudsætninger!$E$73),-999999)</f>
        <v>-831.08489788589941</v>
      </c>
      <c r="AQ140" s="18">
        <f t="shared" si="63"/>
        <v>138</v>
      </c>
      <c r="AR140" s="18">
        <f t="shared" si="75"/>
        <v>4153.6210042335888</v>
      </c>
      <c r="AS140" s="18">
        <f t="shared" si="55"/>
        <v>5.7</v>
      </c>
      <c r="AT140" s="50">
        <f t="shared" si="76"/>
        <v>6.8501404930627814</v>
      </c>
      <c r="AU140" s="50">
        <f t="shared" si="77"/>
        <v>9.1042879500039753E-2</v>
      </c>
      <c r="AV140" s="2">
        <f t="shared" si="78"/>
        <v>15.56047142551995</v>
      </c>
      <c r="AW140" s="16">
        <f t="shared" si="72"/>
        <v>-2.6203658208940594</v>
      </c>
      <c r="AZ140" s="16"/>
      <c r="BA140" s="2"/>
    </row>
    <row r="141" spans="1:53" x14ac:dyDescent="0.25">
      <c r="A141">
        <v>139</v>
      </c>
      <c r="B141" s="1">
        <f>ROUND((A141+Forudsætninger!$E$60)/30.4,1)</f>
        <v>5.8</v>
      </c>
      <c r="C141" s="1">
        <f>VLOOKUP((A141+Forudsætninger!$E$60),'Model tilvækst, slagteform, fe'!A:D,4,FALSE)</f>
        <v>251.97839387338664</v>
      </c>
      <c r="D141" s="3">
        <f t="shared" si="79"/>
        <v>1582.0758018551544</v>
      </c>
      <c r="E141" s="3">
        <f>(1+Forudsætninger!$E$78)*C141</f>
        <v>231.82012236351571</v>
      </c>
      <c r="F141" s="2">
        <f t="shared" si="80"/>
        <v>0.11152094368457108</v>
      </c>
      <c r="G141" s="1">
        <f t="shared" si="56"/>
        <v>231.93164330720029</v>
      </c>
      <c r="H141" s="3">
        <f t="shared" si="64"/>
        <v>1402.7738776449041</v>
      </c>
      <c r="I141" s="3">
        <f t="shared" si="57"/>
        <v>1179.3643403395704</v>
      </c>
      <c r="J141" s="1">
        <f>VLOOKUP((A141+Forudsætninger!$E$60),'Model tilvækst, slagteform, fe'!G:K,4,FALSE)*(1+Forudsætninger!$E$79)</f>
        <v>51.411258866994139</v>
      </c>
      <c r="K141" s="17">
        <f t="shared" si="58"/>
        <v>119.23897753513822</v>
      </c>
      <c r="L141" s="17">
        <f t="shared" si="65"/>
        <v>770.47989867691058</v>
      </c>
      <c r="M141" s="3">
        <f>((K141-(('Model tilvækst, slagteform, fe'!$J$9/100)*'Model tilvækst, slagteform, fe'!$D$9))*1000/(A141+Forudsætninger!$E$60))</f>
        <v>565.74039657311414</v>
      </c>
      <c r="N141" s="17">
        <f t="shared" si="66"/>
        <v>553.29327329845773</v>
      </c>
      <c r="O141" s="19">
        <f>IF( A141&lt;Forudsætninger!$C$14,(G141/100)*Forudsætninger!$C$13,(Forudsætninger!$C$15/1000)*Forudsætninger!$C$13)</f>
        <v>1.5075556814968019</v>
      </c>
      <c r="P141" s="17" cm="1">
        <f t="array" ref="P141">INDEX('Model tilvækst, slagteform, fe'!$P$9:$P$375,MATCH(MIN(ABS('Model tilvækst, slagteform, fe'!$M$9:$M$375-G141)),ABS('Model tilvækst, slagteform, fe'!$M$9:$M$375-G141),0))*(1+Forudsætninger!$E$80)</f>
        <v>6.0141571244441856</v>
      </c>
      <c r="Q141" s="17">
        <f t="shared" si="67"/>
        <v>7.8057287863990519</v>
      </c>
      <c r="R141" s="17">
        <f t="shared" si="68"/>
        <v>6.4133360533878676</v>
      </c>
      <c r="S141" s="17">
        <f t="shared" si="69"/>
        <v>3.3751462630165419</v>
      </c>
      <c r="T141" s="19">
        <f>(P141)*IF(N141&lt;Forudsætninger!$B$228,IF(N141&lt;Forudsætninger!$B$227,Forudsætninger!$B$225,Forudsætninger!$C$9),Forudsætninger!$C$11)+O141</f>
        <v>15.580683352696196</v>
      </c>
      <c r="U141" s="5">
        <f>Forudsætninger!$E$68+((K141-(Forudsætninger!$E$84)))*0.01</f>
        <v>5.9089534849230514</v>
      </c>
      <c r="V141" s="2">
        <f>U141+Forudsætninger!$E$69</f>
        <v>5.9089534849230514</v>
      </c>
      <c r="W141">
        <f t="shared" si="59"/>
        <v>0</v>
      </c>
      <c r="X141">
        <f>IF(A141+Forudsætninger!$E$60&gt;248,IF(A141+Forudsætninger!$E$60&lt;365,IF(K141&gt;180,IF(K141&lt;260,1,0),0),0),0)</f>
        <v>0</v>
      </c>
      <c r="Y141" s="22">
        <f>IF(X141=0,0,IF('Vækstfunktion, kry kvie'!A141&lt;Forudsætninger!$E$66,Forudsætninger!$E$67+(('Vækstfunktion, kry kvie'!A141-Forudsætninger!$E$66)/7)*Forudsætninger!$E$64,Forudsætninger!$E$67))</f>
        <v>0</v>
      </c>
      <c r="Z141" s="19">
        <f t="shared" si="73"/>
        <v>1929.8748790845802</v>
      </c>
      <c r="AA141" s="19">
        <f>Forudsætninger!$E$62+Forudsætninger!$C$16</f>
        <v>1575</v>
      </c>
      <c r="AB141" s="19">
        <f>IF(K141&gt;Forudsætninger!$C$48,IF(K141&gt;Forudsætninger!$C$49,IF(K141&gt;Forudsætninger!$C$50,Forudsætninger!$E$50,Forudsætninger!$E$49+Forudsætninger!$F$50*(K141-Forudsætninger!$C$49)),Forudsætninger!$E$48+Forudsætninger!$F$49*(K141-Forudsætninger!$C$48)),Forudsætninger!$E$48)+IF(K141&gt;Forudsætninger!$C$50,Forudsætninger!$G$50,IF(K141&gt;Forudsætninger!$C$49,Forudsætninger!$G$49+Forudsætninger!$H$50*(K141-Forudsætninger!$C$49),IF(K141&gt;Forudsætninger!$C$48,Forudsætninger!$G$48+Forudsætninger!$H$49*(K141-Forudsætninger!$C$48),Forudsætninger!$G$48)))*(U141-Forudsætninger!$H$48)</f>
        <v>35.190895348492305</v>
      </c>
      <c r="AC141" s="19">
        <f>IF(K141&gt;Forudsætninger!$C$52,IF(K141&gt;Forudsætninger!$C$53,IF(K141&gt;Forudsætninger!$C$54,Forudsætninger!$E$54,Forudsætninger!$E$53+Forudsætninger!$F$54*(K141-Forudsætninger!$C$53)),Forudsætninger!$E$52+Forudsætninger!$F$53*(K141-Forudsætninger!$C$52)),Forudsætninger!$E$52)+IF(K141&gt;Forudsætninger!$C$54,Forudsætninger!$G$54,IF(K141&gt;Forudsætninger!$C$53,Forudsætninger!$G$53+Forudsætninger!$H$54*(K141-Forudsætninger!$C$53),IF(K141&gt;Forudsætninger!$C$52,Forudsætninger!$G$52+Forudsætninger!$H$53*(K141-Forudsætninger!$C$52),Forudsætninger!$G$52)))*(V141-Forudsætninger!$H$52)</f>
        <v>30.12723837123076</v>
      </c>
      <c r="AD141" s="19">
        <f t="shared" si="60"/>
        <v>3592.3410993429388</v>
      </c>
      <c r="AE141" s="19">
        <f t="shared" si="61"/>
        <v>30.12723837123076</v>
      </c>
      <c r="AF141">
        <f>IF(G141&lt;=Forudsætninger!$C$97,Forudsætninger!$C$98,(IF(G141&lt;=Forudsætninger!$D$97,Forudsætninger!$D$98,IF(G141&lt;=Forudsætninger!$E$97,Forudsætninger!$E$98,IF(G141&lt;=Forudsætninger!$F$97,Forudsætninger!$F$98,IF(G141&lt;=Forudsætninger!$G$97,Forudsætninger!$G$98,IF(G141&lt;=Forudsætninger!$H$97,Forudsætninger!$H$98,IF(G141&lt;=Forudsætninger!$I$97,Forudsætninger!$I$98,Forudsætninger!$I$98))))))))</f>
        <v>3.2</v>
      </c>
      <c r="AG141" s="1">
        <f t="shared" si="70"/>
        <v>3.2</v>
      </c>
      <c r="AH141" s="1">
        <f t="shared" si="74"/>
        <v>328.79999999999922</v>
      </c>
      <c r="AI141" s="1">
        <f t="shared" si="62"/>
        <v>2.3654676258992748</v>
      </c>
      <c r="AJ141" s="20">
        <f>+(W141*Forudsætninger!$C$12)</f>
        <v>0</v>
      </c>
      <c r="AK141" s="20">
        <f>Forudsætninger!$C$17</f>
        <v>250</v>
      </c>
      <c r="AL141" s="20">
        <f>IF(A141&lt;92,Forudsætninger!$C$20,Forudsætninger!$C$21)</f>
        <v>1.0566762728146013</v>
      </c>
      <c r="AM141" s="20">
        <f t="shared" si="71"/>
        <v>415.38348477451967</v>
      </c>
      <c r="AN141" s="19">
        <f>IFERROR(AD141+AJ141-AA141-Z141-AK141-AM141-Forudsætninger!$E$75,-999999)</f>
        <v>-769.13402585277697</v>
      </c>
      <c r="AO141" s="19">
        <f>IFERROR(AN141/(A141+Forudsætninger!$E$74),-999999)</f>
        <v>-5.5333383154876037</v>
      </c>
      <c r="AP141" s="19">
        <f>IFERROR(((365/(A141+Forudsætninger!$E$74))*AN141)/(AI141+Forudsætninger!$E$73),-999999)</f>
        <v>-815.87351982407006</v>
      </c>
      <c r="AQ141" s="18">
        <f t="shared" si="63"/>
        <v>139</v>
      </c>
      <c r="AR141" s="18">
        <f t="shared" si="75"/>
        <v>4170.2583638590995</v>
      </c>
      <c r="AS141" s="18">
        <f t="shared" si="55"/>
        <v>5.8</v>
      </c>
      <c r="AT141" s="50">
        <f t="shared" si="76"/>
        <v>6.8032659323082498</v>
      </c>
      <c r="AU141" s="50">
        <f t="shared" si="77"/>
        <v>8.939568295504241E-2</v>
      </c>
      <c r="AV141" s="2">
        <f t="shared" si="78"/>
        <v>15.21137806182935</v>
      </c>
      <c r="AW141" s="16">
        <f t="shared" si="72"/>
        <v>-2.5449679214263115</v>
      </c>
      <c r="AZ141" s="16"/>
      <c r="BA141" s="2"/>
    </row>
    <row r="142" spans="1:53" x14ac:dyDescent="0.25">
      <c r="A142">
        <v>140</v>
      </c>
      <c r="B142" s="1">
        <f>ROUND((A142+Forudsætninger!$E$60)/30.4,1)</f>
        <v>5.8</v>
      </c>
      <c r="C142" s="1">
        <f>VLOOKUP((A142+Forudsætninger!$E$60),'Model tilvækst, slagteform, fe'!A:D,4,FALSE)</f>
        <v>253.55952334016544</v>
      </c>
      <c r="D142" s="3">
        <f t="shared" si="79"/>
        <v>1581.1294667788047</v>
      </c>
      <c r="E142" s="3">
        <f>(1+Forudsætninger!$E$78)*C142</f>
        <v>233.27476147295221</v>
      </c>
      <c r="F142" s="2">
        <f t="shared" si="80"/>
        <v>5.881662812527759E-2</v>
      </c>
      <c r="G142" s="1">
        <f t="shared" si="56"/>
        <v>233.33357810107748</v>
      </c>
      <c r="H142" s="3">
        <f t="shared" si="64"/>
        <v>1401.9347938771887</v>
      </c>
      <c r="I142" s="3">
        <f t="shared" si="57"/>
        <v>1180.9541292934105</v>
      </c>
      <c r="J142" s="1">
        <f>VLOOKUP((A142+Forudsætninger!$E$60),'Model tilvækst, slagteform, fe'!G:K,4,FALSE)*(1+Forudsætninger!$E$79)</f>
        <v>51.432688712453611</v>
      </c>
      <c r="K142" s="17">
        <f t="shared" si="58"/>
        <v>120.00973288635701</v>
      </c>
      <c r="L142" s="17">
        <f t="shared" si="65"/>
        <v>770.75535121879568</v>
      </c>
      <c r="M142" s="3">
        <f>((K142-(('Model tilvækst, slagteform, fe'!$J$9/100)*'Model tilvækst, slagteform, fe'!$D$9))*1000/(A142+Forudsætninger!$E$60))</f>
        <v>566.90525426996453</v>
      </c>
      <c r="N142" s="17">
        <f t="shared" si="66"/>
        <v>559.34997385048973</v>
      </c>
      <c r="O142" s="19">
        <f>IF( A142&lt;Forudsætninger!$C$14,(G142/100)*Forudsætninger!$C$13,(Forudsætninger!$C$15/1000)*Forudsætninger!$C$13)</f>
        <v>1.5166682576570036</v>
      </c>
      <c r="P142" s="17" cm="1">
        <f t="array" ref="P142">INDEX('Model tilvækst, slagteform, fe'!$P$9:$P$375,MATCH(MIN(ABS('Model tilvækst, slagteform, fe'!$M$9:$M$375-G142)),ABS('Model tilvækst, slagteform, fe'!$M$9:$M$375-G142),0))*(1+Forudsætninger!$E$80)</f>
        <v>6.0567005520320008</v>
      </c>
      <c r="Q142" s="17">
        <f t="shared" si="67"/>
        <v>7.8581362327936333</v>
      </c>
      <c r="R142" s="17">
        <f t="shared" si="68"/>
        <v>6.4261295774976999</v>
      </c>
      <c r="S142" s="17">
        <f t="shared" si="69"/>
        <v>3.3831601558186106</v>
      </c>
      <c r="T142" s="19">
        <f>(P142)*IF(N142&lt;Forudsætninger!$B$228,IF(N142&lt;Forudsætninger!$B$227,Forudsætninger!$B$225,Forudsætninger!$C$9),Forudsætninger!$C$11)+O142</f>
        <v>15.689347549411885</v>
      </c>
      <c r="U142" s="5">
        <f>Forudsætninger!$E$68+((K142-(Forudsætninger!$E$84)))*0.01</f>
        <v>5.9166610384352394</v>
      </c>
      <c r="V142" s="2">
        <f>U142+Forudsætninger!$E$69</f>
        <v>5.9166610384352394</v>
      </c>
      <c r="W142">
        <f t="shared" si="59"/>
        <v>0</v>
      </c>
      <c r="X142">
        <f>IF(A142+Forudsætninger!$E$60&gt;248,IF(A142+Forudsætninger!$E$60&lt;365,IF(K142&gt;180,IF(K142&lt;260,1,0),0),0),0)</f>
        <v>0</v>
      </c>
      <c r="Y142" s="22">
        <f>IF(X142=0,0,IF('Vækstfunktion, kry kvie'!A142&lt;Forudsætninger!$E$66,Forudsætninger!$E$67+(('Vækstfunktion, kry kvie'!A142-Forudsætninger!$E$66)/7)*Forudsætninger!$E$64,Forudsætninger!$E$67))</f>
        <v>0</v>
      </c>
      <c r="Z142" s="19">
        <f t="shared" si="73"/>
        <v>1945.5642266339921</v>
      </c>
      <c r="AA142" s="19">
        <f>Forudsætninger!$E$62+Forudsætninger!$C$16</f>
        <v>1575</v>
      </c>
      <c r="AB142" s="19">
        <f>IF(K142&gt;Forudsætninger!$C$48,IF(K142&gt;Forudsætninger!$C$49,IF(K142&gt;Forudsætninger!$C$50,Forudsætninger!$E$50,Forudsætninger!$E$49+Forudsætninger!$F$50*(K142-Forudsætninger!$C$49)),Forudsætninger!$E$48+Forudsætninger!$F$49*(K142-Forudsætninger!$C$48)),Forudsætninger!$E$48)+IF(K142&gt;Forudsætninger!$C$50,Forudsætninger!$G$50,IF(K142&gt;Forudsætninger!$C$49,Forudsætninger!$G$49+Forudsætninger!$H$50*(K142-Forudsætninger!$C$49),IF(K142&gt;Forudsætninger!$C$48,Forudsætninger!$G$48+Forudsætninger!$H$49*(K142-Forudsætninger!$C$48),Forudsætninger!$G$48)))*(U142-Forudsætninger!$H$48)</f>
        <v>35.191666103843524</v>
      </c>
      <c r="AC142" s="19">
        <f>IF(K142&gt;Forudsætninger!$C$52,IF(K142&gt;Forudsætninger!$C$53,IF(K142&gt;Forudsætninger!$C$54,Forudsætninger!$E$54,Forudsætninger!$E$53+Forudsætninger!$F$54*(K142-Forudsætninger!$C$53)),Forudsætninger!$E$52+Forudsætninger!$F$53*(K142-Forudsætninger!$C$52)),Forudsætninger!$E$52)+IF(K142&gt;Forudsætninger!$C$54,Forudsætninger!$G$54,IF(K142&gt;Forudsætninger!$C$53,Forudsætninger!$G$53+Forudsætninger!$H$54*(K142-Forudsætninger!$C$53),IF(K142&gt;Forudsætninger!$C$52,Forudsætninger!$G$52+Forudsætninger!$H$53*(K142-Forudsætninger!$C$52),Forudsætninger!$G$52)))*(V142-Forudsætninger!$H$52)</f>
        <v>30.129165259608808</v>
      </c>
      <c r="AD142" s="19">
        <f t="shared" si="60"/>
        <v>3615.7930748945605</v>
      </c>
      <c r="AE142" s="19">
        <f t="shared" si="61"/>
        <v>30.129165259608808</v>
      </c>
      <c r="AF142">
        <f>IF(G142&lt;=Forudsætninger!$C$97,Forudsætninger!$C$98,(IF(G142&lt;=Forudsætninger!$D$97,Forudsætninger!$D$98,IF(G142&lt;=Forudsætninger!$E$97,Forudsætninger!$E$98,IF(G142&lt;=Forudsætninger!$F$97,Forudsætninger!$F$98,IF(G142&lt;=Forudsætninger!$G$97,Forudsætninger!$G$98,IF(G142&lt;=Forudsætninger!$H$97,Forudsætninger!$H$98,IF(G142&lt;=Forudsætninger!$I$97,Forudsætninger!$I$98,Forudsætninger!$I$98))))))))</f>
        <v>3.2</v>
      </c>
      <c r="AG142" s="1">
        <f t="shared" si="70"/>
        <v>3.2</v>
      </c>
      <c r="AH142" s="1">
        <f t="shared" si="74"/>
        <v>331.9999999999992</v>
      </c>
      <c r="AI142" s="1">
        <f t="shared" si="62"/>
        <v>2.3714285714285657</v>
      </c>
      <c r="AJ142" s="20">
        <f>+(W142*Forudsætninger!$C$12)</f>
        <v>0</v>
      </c>
      <c r="AK142" s="20">
        <f>Forudsætninger!$C$17</f>
        <v>250</v>
      </c>
      <c r="AL142" s="20">
        <f>IF(A142&lt;92,Forudsætninger!$C$20,Forudsætninger!$C$21)</f>
        <v>1.0566762728146013</v>
      </c>
      <c r="AM142" s="20">
        <f t="shared" si="71"/>
        <v>416.4401610473343</v>
      </c>
      <c r="AN142" s="19">
        <f>IFERROR(AD142+AJ142-AA142-Z142-AK142-AM142-Forudsætninger!$E$75,-999999)</f>
        <v>-762.42807412338175</v>
      </c>
      <c r="AO142" s="19">
        <f>IFERROR(AN142/(A142+Forudsætninger!$E$74),-999999)</f>
        <v>-5.4459148151670123</v>
      </c>
      <c r="AP142" s="19">
        <f>IFERROR(((365/(A142+Forudsætninger!$E$74))*AN142)/(AI142+Forudsætninger!$E$73),-999999)</f>
        <v>-801.05425174160916</v>
      </c>
      <c r="AQ142" s="18">
        <f t="shared" si="63"/>
        <v>140</v>
      </c>
      <c r="AR142" s="18">
        <f t="shared" si="75"/>
        <v>4187.0043876813261</v>
      </c>
      <c r="AS142" s="18">
        <f t="shared" si="55"/>
        <v>5.8</v>
      </c>
      <c r="AT142" s="50">
        <f t="shared" si="76"/>
        <v>6.705951729395224</v>
      </c>
      <c r="AU142" s="50">
        <f t="shared" si="77"/>
        <v>8.742350032059143E-2</v>
      </c>
      <c r="AV142" s="2">
        <f t="shared" si="78"/>
        <v>14.819268082460894</v>
      </c>
      <c r="AW142" s="16">
        <f t="shared" si="72"/>
        <v>-2.471342236257482</v>
      </c>
      <c r="AZ142" s="16"/>
      <c r="BA142" s="2"/>
    </row>
    <row r="143" spans="1:53" x14ac:dyDescent="0.25">
      <c r="A143">
        <v>141</v>
      </c>
      <c r="B143" s="1">
        <f>ROUND((A143+Forudsætninger!$E$60)/30.4,1)</f>
        <v>5.8</v>
      </c>
      <c r="C143" s="1">
        <f>VLOOKUP((A143+Forudsætninger!$E$60),'Model tilvækst, slagteform, fe'!A:D,4,FALSE)</f>
        <v>255.13963912048658</v>
      </c>
      <c r="D143" s="3">
        <f t="shared" si="79"/>
        <v>1580.1157803211368</v>
      </c>
      <c r="E143" s="3">
        <f>(1+Forudsætninger!$E$78)*C143</f>
        <v>234.72846799084766</v>
      </c>
      <c r="F143" s="2">
        <f t="shared" si="80"/>
        <v>6.1461021145730321E-3</v>
      </c>
      <c r="G143" s="1">
        <f t="shared" si="56"/>
        <v>234.73461409296223</v>
      </c>
      <c r="H143" s="3">
        <f t="shared" si="64"/>
        <v>1401.0359918847541</v>
      </c>
      <c r="I143" s="3">
        <f t="shared" si="57"/>
        <v>1182.5149935671081</v>
      </c>
      <c r="J143" s="1">
        <f>VLOOKUP((A143+Forudsætninger!$E$60),'Model tilvækst, slagteform, fe'!G:K,4,FALSE)*(1+Forudsætninger!$E$79)</f>
        <v>51.454164656116809</v>
      </c>
      <c r="K143" s="17">
        <f t="shared" si="58"/>
        <v>120.78073484029315</v>
      </c>
      <c r="L143" s="17">
        <f t="shared" si="65"/>
        <v>771.00195393613546</v>
      </c>
      <c r="M143" s="3">
        <f>((K143-(('Model tilvækst, slagteform, fe'!$J$9/100)*'Model tilvækst, slagteform, fe'!$D$9))*1000/(A143+Forudsætninger!$E$60))</f>
        <v>568.0583429686435</v>
      </c>
      <c r="N143" s="17">
        <f t="shared" si="66"/>
        <v>565.42785018359757</v>
      </c>
      <c r="O143" s="19">
        <f>IF( A143&lt;Forudsætninger!$C$14,(G143/100)*Forudsætninger!$C$13,(Forudsætninger!$C$15/1000)*Forudsætninger!$C$13)</f>
        <v>1.5257749916042544</v>
      </c>
      <c r="P143" s="17" cm="1">
        <f t="array" ref="P143">INDEX('Model tilvækst, slagteform, fe'!$P$9:$P$375,MATCH(MIN(ABS('Model tilvækst, slagteform, fe'!$M$9:$M$375-G143)),ABS('Model tilvækst, slagteform, fe'!$M$9:$M$375-G143),0))*(1+Forudsætninger!$E$80)</f>
        <v>6.0778763331078638</v>
      </c>
      <c r="Q143" s="17">
        <f t="shared" si="67"/>
        <v>7.8830881064295122</v>
      </c>
      <c r="R143" s="17">
        <f t="shared" si="68"/>
        <v>6.4389215821561629</v>
      </c>
      <c r="S143" s="17">
        <f t="shared" si="69"/>
        <v>3.3911845675208476</v>
      </c>
      <c r="T143" s="19">
        <f>(P143)*IF(N143&lt;Forudsætninger!$B$228,IF(N143&lt;Forudsætninger!$B$227,Forudsætninger!$B$225,Forudsætninger!$C$9),Forudsætninger!$C$11)+O143</f>
        <v>15.748005611076655</v>
      </c>
      <c r="U143" s="5">
        <f>Forudsætninger!$E$68+((K143-(Forudsætninger!$E$84)))*0.01</f>
        <v>5.924371057974601</v>
      </c>
      <c r="V143" s="2">
        <f>U143+Forudsætninger!$E$69</f>
        <v>5.924371057974601</v>
      </c>
      <c r="W143">
        <f t="shared" si="59"/>
        <v>0</v>
      </c>
      <c r="X143">
        <f>IF(A143+Forudsætninger!$E$60&gt;248,IF(A143+Forudsætninger!$E$60&lt;365,IF(K143&gt;180,IF(K143&lt;260,1,0),0),0),0)</f>
        <v>0</v>
      </c>
      <c r="Y143" s="22">
        <f>IF(X143=0,0,IF('Vækstfunktion, kry kvie'!A143&lt;Forudsætninger!$E$66,Forudsætninger!$E$67+(('Vækstfunktion, kry kvie'!A143-Forudsætninger!$E$66)/7)*Forudsætninger!$E$64,Forudsætninger!$E$67))</f>
        <v>0</v>
      </c>
      <c r="Z143" s="19">
        <f t="shared" si="73"/>
        <v>1961.3122322450688</v>
      </c>
      <c r="AA143" s="19">
        <f>Forudsætninger!$E$62+Forudsætninger!$C$16</f>
        <v>1575</v>
      </c>
      <c r="AB143" s="19">
        <f>IF(K143&gt;Forudsætninger!$C$48,IF(K143&gt;Forudsætninger!$C$49,IF(K143&gt;Forudsætninger!$C$50,Forudsætninger!$E$50,Forudsætninger!$E$49+Forudsætninger!$F$50*(K143-Forudsætninger!$C$49)),Forudsætninger!$E$48+Forudsætninger!$F$49*(K143-Forudsætninger!$C$48)),Forudsætninger!$E$48)+IF(K143&gt;Forudsætninger!$C$50,Forudsætninger!$G$50,IF(K143&gt;Forudsætninger!$C$49,Forudsætninger!$G$49+Forudsætninger!$H$50*(K143-Forudsætninger!$C$49),IF(K143&gt;Forudsætninger!$C$48,Forudsætninger!$G$48+Forudsætninger!$H$49*(K143-Forudsætninger!$C$48),Forudsætninger!$G$48)))*(U143-Forudsætninger!$H$48)</f>
        <v>35.19243710579746</v>
      </c>
      <c r="AC143" s="19">
        <f>IF(K143&gt;Forudsætninger!$C$52,IF(K143&gt;Forudsætninger!$C$53,IF(K143&gt;Forudsætninger!$C$54,Forudsætninger!$E$54,Forudsætninger!$E$53+Forudsætninger!$F$54*(K143-Forudsætninger!$C$53)),Forudsætninger!$E$52+Forudsætninger!$F$53*(K143-Forudsætninger!$C$52)),Forudsætninger!$E$52)+IF(K143&gt;Forudsætninger!$C$54,Forudsætninger!$G$54,IF(K143&gt;Forudsætninger!$C$53,Forudsætninger!$G$53+Forudsætninger!$H$54*(K143-Forudsætninger!$C$53),IF(K143&gt;Forudsætninger!$C$52,Forudsætninger!$G$52+Forudsætninger!$H$53*(K143-Forudsætninger!$C$52),Forudsætninger!$G$52)))*(V143-Forudsætninger!$H$52)</f>
        <v>30.131092764493648</v>
      </c>
      <c r="AD143" s="19">
        <f t="shared" si="60"/>
        <v>3639.2555256365827</v>
      </c>
      <c r="AE143" s="19">
        <f t="shared" si="61"/>
        <v>30.131092764493648</v>
      </c>
      <c r="AF143">
        <f>IF(G143&lt;=Forudsætninger!$C$97,Forudsætninger!$C$98,(IF(G143&lt;=Forudsætninger!$D$97,Forudsætninger!$D$98,IF(G143&lt;=Forudsætninger!$E$97,Forudsætninger!$E$98,IF(G143&lt;=Forudsætninger!$F$97,Forudsætninger!$F$98,IF(G143&lt;=Forudsætninger!$G$97,Forudsætninger!$G$98,IF(G143&lt;=Forudsætninger!$H$97,Forudsætninger!$H$98,IF(G143&lt;=Forudsætninger!$I$97,Forudsætninger!$I$98,Forudsætninger!$I$98))))))))</f>
        <v>3.2</v>
      </c>
      <c r="AG143" s="1">
        <f t="shared" si="70"/>
        <v>3.2</v>
      </c>
      <c r="AH143" s="1">
        <f t="shared" si="74"/>
        <v>335.19999999999919</v>
      </c>
      <c r="AI143" s="1">
        <f t="shared" si="62"/>
        <v>2.3773049645390012</v>
      </c>
      <c r="AJ143" s="20">
        <f>+(W143*Forudsætninger!$C$12)</f>
        <v>0</v>
      </c>
      <c r="AK143" s="20">
        <f>Forudsætninger!$C$17</f>
        <v>250</v>
      </c>
      <c r="AL143" s="20">
        <f>IF(A143&lt;92,Forudsætninger!$C$20,Forudsætninger!$C$21)</f>
        <v>1.0566762728146013</v>
      </c>
      <c r="AM143" s="20">
        <f t="shared" si="71"/>
        <v>417.49683732014893</v>
      </c>
      <c r="AN143" s="19">
        <f>IFERROR(AD143+AJ143-AA143-Z143-AK143-AM143-Forudsætninger!$E$75,-999999)</f>
        <v>-755.77030526525084</v>
      </c>
      <c r="AO143" s="19">
        <f>IFERROR(AN143/(A143+Forudsætninger!$E$74),-999999)</f>
        <v>-5.3600730869875948</v>
      </c>
      <c r="AP143" s="19">
        <f>IFERROR(((365/(A143+Forudsætninger!$E$74))*AN143)/(AI143+Forudsætninger!$E$73),-999999)</f>
        <v>-786.56485820711475</v>
      </c>
      <c r="AQ143" s="18">
        <f t="shared" si="63"/>
        <v>141</v>
      </c>
      <c r="AR143" s="18">
        <f t="shared" si="75"/>
        <v>4203.8090695652181</v>
      </c>
      <c r="AS143" s="18">
        <f t="shared" si="55"/>
        <v>5.8</v>
      </c>
      <c r="AT143" s="50">
        <f t="shared" si="76"/>
        <v>6.6577688581309076</v>
      </c>
      <c r="AU143" s="50">
        <f t="shared" si="77"/>
        <v>8.5841728179417487E-2</v>
      </c>
      <c r="AV143" s="2">
        <f t="shared" si="78"/>
        <v>14.489393534494411</v>
      </c>
      <c r="AW143" s="16">
        <f t="shared" si="72"/>
        <v>-2.3991026095397299</v>
      </c>
      <c r="AZ143" s="16"/>
      <c r="BA143" s="2"/>
    </row>
    <row r="144" spans="1:53" x14ac:dyDescent="0.25">
      <c r="A144">
        <v>142</v>
      </c>
      <c r="B144" s="1">
        <f>ROUND((A144+Forudsætninger!$E$60)/30.4,1)</f>
        <v>5.9</v>
      </c>
      <c r="C144" s="1">
        <f>VLOOKUP((A144+Forudsætninger!$E$60),'Model tilvækst, slagteform, fe'!A:D,4,FALSE)</f>
        <v>256.71867444798909</v>
      </c>
      <c r="D144" s="3">
        <f t="shared" si="79"/>
        <v>1579.0353275025097</v>
      </c>
      <c r="E144" s="3">
        <f>(1+Forudsætninger!$E$78)*C144</f>
        <v>236.18118049214996</v>
      </c>
      <c r="F144" s="2">
        <f t="shared" si="80"/>
        <v>0</v>
      </c>
      <c r="G144" s="1">
        <f t="shared" si="56"/>
        <v>236.18118049214996</v>
      </c>
      <c r="H144" s="3">
        <f t="shared" si="64"/>
        <v>1446.5663991877307</v>
      </c>
      <c r="I144" s="3">
        <f t="shared" si="57"/>
        <v>1184.3745105080982</v>
      </c>
      <c r="J144" s="1">
        <f>VLOOKUP((A144+Forudsætninger!$E$60),'Model tilvækst, slagteform, fe'!G:K,4,FALSE)*(1+Forudsætninger!$E$79)</f>
        <v>51.475686905477048</v>
      </c>
      <c r="K144" s="17">
        <f t="shared" si="58"/>
        <v>121.57588499979875</v>
      </c>
      <c r="L144" s="17">
        <f t="shared" si="65"/>
        <v>795.15015950559587</v>
      </c>
      <c r="M144" s="3">
        <f>((K144-(('Model tilvækst, slagteform, fe'!$J$9/100)*'Model tilvækst, slagteform, fe'!$D$9))*1000/(A144+Forudsætninger!$E$60))</f>
        <v>569.33413969076116</v>
      </c>
      <c r="N144" s="17">
        <f t="shared" si="66"/>
        <v>571.52683475994922</v>
      </c>
      <c r="O144" s="19">
        <f>IF( A144&lt;Forudsætninger!$C$14,(G144/100)*Forudsætninger!$C$13,(Forudsætninger!$C$15/1000)*Forudsætninger!$C$13)</f>
        <v>1.5351776731989748</v>
      </c>
      <c r="P144" s="17" cm="1">
        <f t="array" ref="P144">INDEX('Model tilvækst, slagteform, fe'!$P$9:$P$375,MATCH(MIN(ABS('Model tilvækst, slagteform, fe'!$M$9:$M$375-G144)),ABS('Model tilvækst, slagteform, fe'!$M$9:$M$375-G144),0))*(1+Forudsætninger!$E$80)</f>
        <v>6.0989845763516373</v>
      </c>
      <c r="Q144" s="17">
        <f t="shared" si="67"/>
        <v>7.6702299602679203</v>
      </c>
      <c r="R144" s="17">
        <f t="shared" si="68"/>
        <v>6.4499709419752298</v>
      </c>
      <c r="S144" s="17">
        <f t="shared" si="69"/>
        <v>3.3982805512928711</v>
      </c>
      <c r="T144" s="19">
        <f>(P144)*IF(N144&lt;Forudsætninger!$B$228,IF(N144&lt;Forudsætninger!$B$227,Forudsætninger!$B$225,Forudsætninger!$C$9),Forudsætninger!$C$11)+O144</f>
        <v>15.806801581861805</v>
      </c>
      <c r="U144" s="5">
        <f>Forudsætninger!$E$68+((K144-(Forudsætninger!$E$84)))*0.01</f>
        <v>5.9323225595696565</v>
      </c>
      <c r="V144" s="2">
        <f>U144+Forudsætninger!$E$69</f>
        <v>5.9323225595696565</v>
      </c>
      <c r="W144">
        <f t="shared" si="59"/>
        <v>0</v>
      </c>
      <c r="X144">
        <f>IF(A144+Forudsætninger!$E$60&gt;248,IF(A144+Forudsætninger!$E$60&lt;365,IF(K144&gt;180,IF(K144&lt;260,1,0),0),0),0)</f>
        <v>0</v>
      </c>
      <c r="Y144" s="22">
        <f>IF(X144=0,0,IF('Vækstfunktion, kry kvie'!A144&lt;Forudsætninger!$E$66,Forudsætninger!$E$67+(('Vækstfunktion, kry kvie'!A144-Forudsætninger!$E$66)/7)*Forudsætninger!$E$64,Forudsætninger!$E$67))</f>
        <v>0</v>
      </c>
      <c r="Z144" s="19">
        <f t="shared" si="73"/>
        <v>1977.1190338269307</v>
      </c>
      <c r="AA144" s="19">
        <f>Forudsætninger!$E$62+Forudsætninger!$C$16</f>
        <v>1575</v>
      </c>
      <c r="AB144" s="19">
        <f>IF(K144&gt;Forudsætninger!$C$48,IF(K144&gt;Forudsætninger!$C$49,IF(K144&gt;Forudsætninger!$C$50,Forudsætninger!$E$50,Forudsætninger!$E$49+Forudsætninger!$F$50*(K144-Forudsætninger!$C$49)),Forudsætninger!$E$48+Forudsætninger!$F$49*(K144-Forudsætninger!$C$48)),Forudsætninger!$E$48)+IF(K144&gt;Forudsætninger!$C$50,Forudsætninger!$G$50,IF(K144&gt;Forudsætninger!$C$49,Forudsætninger!$G$49+Forudsætninger!$H$50*(K144-Forudsætninger!$C$49),IF(K144&gt;Forudsætninger!$C$48,Forudsætninger!$G$48+Forudsætninger!$H$49*(K144-Forudsætninger!$C$48),Forudsætninger!$G$48)))*(U144-Forudsætninger!$H$48)</f>
        <v>35.193232255956964</v>
      </c>
      <c r="AC144" s="19">
        <f>IF(K144&gt;Forudsætninger!$C$52,IF(K144&gt;Forudsætninger!$C$53,IF(K144&gt;Forudsætninger!$C$54,Forudsætninger!$E$54,Forudsætninger!$E$53+Forudsætninger!$F$54*(K144-Forudsætninger!$C$53)),Forudsætninger!$E$52+Forudsætninger!$F$53*(K144-Forudsætninger!$C$52)),Forudsætninger!$E$52)+IF(K144&gt;Forudsætninger!$C$54,Forudsætninger!$G$54,IF(K144&gt;Forudsætninger!$C$53,Forudsætninger!$G$53+Forudsætninger!$H$54*(K144-Forudsætninger!$C$53),IF(K144&gt;Forudsætninger!$C$52,Forudsætninger!$G$52+Forudsætninger!$H$53*(K144-Forudsætninger!$C$52),Forudsætninger!$G$52)))*(V144-Forudsætninger!$H$52)</f>
        <v>30.133080639892412</v>
      </c>
      <c r="AD144" s="19">
        <f t="shared" si="60"/>
        <v>3663.4559465652219</v>
      </c>
      <c r="AE144" s="19">
        <f t="shared" si="61"/>
        <v>30.133080639892412</v>
      </c>
      <c r="AF144">
        <f>IF(G144&lt;=Forudsætninger!$C$97,Forudsætninger!$C$98,(IF(G144&lt;=Forudsætninger!$D$97,Forudsætninger!$D$98,IF(G144&lt;=Forudsætninger!$E$97,Forudsætninger!$E$98,IF(G144&lt;=Forudsætninger!$F$97,Forudsætninger!$F$98,IF(G144&lt;=Forudsætninger!$G$97,Forudsætninger!$G$98,IF(G144&lt;=Forudsætninger!$H$97,Forudsætninger!$H$98,IF(G144&lt;=Forudsætninger!$I$97,Forudsætninger!$I$98,Forudsætninger!$I$98))))))))</f>
        <v>3.2</v>
      </c>
      <c r="AG144" s="1">
        <f t="shared" si="70"/>
        <v>3.2</v>
      </c>
      <c r="AH144" s="1">
        <f t="shared" si="74"/>
        <v>338.39999999999918</v>
      </c>
      <c r="AI144" s="1">
        <f t="shared" si="62"/>
        <v>2.3830985915492899</v>
      </c>
      <c r="AJ144" s="20">
        <f>+(W144*Forudsætninger!$C$12)</f>
        <v>0</v>
      </c>
      <c r="AK144" s="20">
        <f>Forudsætninger!$C$17</f>
        <v>250</v>
      </c>
      <c r="AL144" s="20">
        <f>IF(A144&lt;92,Forudsætninger!$C$20,Forudsætninger!$C$21)</f>
        <v>1.0566762728146013</v>
      </c>
      <c r="AM144" s="20">
        <f t="shared" si="71"/>
        <v>418.55351359296355</v>
      </c>
      <c r="AN144" s="19">
        <f>IFERROR(AD144+AJ144-AA144-Z144-AK144-AM144-Forudsætninger!$E$75,-999999)</f>
        <v>-748.43336219128821</v>
      </c>
      <c r="AO144" s="19">
        <f>IFERROR(AN144/(A144+Forudsætninger!$E$74),-999999)</f>
        <v>-5.2706574802203399</v>
      </c>
      <c r="AP144" s="19">
        <f>IFERROR(((365/(A144+Forudsætninger!$E$74))*AN144)/(AI144+Forudsætninger!$E$73),-999999)</f>
        <v>-771.64617027235988</v>
      </c>
      <c r="AQ144" s="18">
        <f t="shared" si="63"/>
        <v>142</v>
      </c>
      <c r="AR144" s="18">
        <f t="shared" si="75"/>
        <v>4220.6725474198938</v>
      </c>
      <c r="AS144" s="18">
        <f t="shared" si="55"/>
        <v>5.9</v>
      </c>
      <c r="AT144" s="50">
        <f t="shared" si="76"/>
        <v>7.3369430739626296</v>
      </c>
      <c r="AU144" s="50">
        <f t="shared" si="77"/>
        <v>8.9415606767254907E-2</v>
      </c>
      <c r="AV144" s="2">
        <f t="shared" si="78"/>
        <v>14.918687934754871</v>
      </c>
      <c r="AW144" s="16">
        <f t="shared" si="72"/>
        <v>-2.3230975253403146</v>
      </c>
      <c r="AZ144" s="16"/>
      <c r="BA144" s="2"/>
    </row>
    <row r="145" spans="1:53" x14ac:dyDescent="0.25">
      <c r="A145">
        <v>143</v>
      </c>
      <c r="B145" s="1">
        <f>ROUND((A145+Forudsætninger!$E$60)/30.4,1)</f>
        <v>5.9</v>
      </c>
      <c r="C145" s="1">
        <f>VLOOKUP((A145+Forudsætninger!$E$60),'Model tilvækst, slagteform, fe'!A:D,4,FALSE)</f>
        <v>258.29656314133285</v>
      </c>
      <c r="D145" s="3">
        <f t="shared" si="79"/>
        <v>1577.8886933437661</v>
      </c>
      <c r="E145" s="3">
        <f>(1+Forudsætninger!$E$78)*C145</f>
        <v>237.63283809002624</v>
      </c>
      <c r="F145" s="2">
        <f>MAX(F144-((D145/1000)/35),0)</f>
        <v>0</v>
      </c>
      <c r="G145" s="1">
        <f t="shared" si="56"/>
        <v>237.63283809002624</v>
      </c>
      <c r="H145" s="3">
        <f t="shared" si="64"/>
        <v>1451.6575978762774</v>
      </c>
      <c r="I145" s="3">
        <f t="shared" si="57"/>
        <v>1186.2436230071764</v>
      </c>
      <c r="J145" s="1">
        <f>VLOOKUP((A145+Forudsætninger!$E$60),'Model tilvækst, slagteform, fe'!G:K,4,FALSE)*(1+Forudsætninger!$E$79)</f>
        <v>51.497255668027655</v>
      </c>
      <c r="K145" s="17">
        <f t="shared" si="58"/>
        <v>122.37439018241102</v>
      </c>
      <c r="L145" s="17">
        <f t="shared" si="65"/>
        <v>798.50518261227421</v>
      </c>
      <c r="M145" s="3">
        <f>((K145-(('Model tilvækst, slagteform, fe'!$J$9/100)*'Model tilvækst, slagteform, fe'!$D$9))*1000/(A145+Forudsætninger!$E$60))</f>
        <v>570.61442484674728</v>
      </c>
      <c r="N145" s="17">
        <f t="shared" si="66"/>
        <v>577.64685735469754</v>
      </c>
      <c r="O145" s="19">
        <f>IF( A145&lt;Forudsætninger!$C$14,(G145/100)*Forudsætninger!$C$13,(Forudsætninger!$C$15/1000)*Forudsætninger!$C$13)</f>
        <v>1.5446134475851707</v>
      </c>
      <c r="P145" s="17" cm="1">
        <f t="array" ref="P145">INDEX('Model tilvækst, slagteform, fe'!$P$9:$P$375,MATCH(MIN(ABS('Model tilvækst, slagteform, fe'!$M$9:$M$375-G145)),ABS('Model tilvækst, slagteform, fe'!$M$9:$M$375-G145),0))*(1+Forudsætninger!$E$80)</f>
        <v>6.1200225947482725</v>
      </c>
      <c r="Q145" s="17">
        <f t="shared" si="67"/>
        <v>7.6643492465845879</v>
      </c>
      <c r="R145" s="17">
        <f t="shared" si="68"/>
        <v>6.4608166207779947</v>
      </c>
      <c r="S145" s="17">
        <f t="shared" si="69"/>
        <v>3.4052773263637386</v>
      </c>
      <c r="T145" s="19">
        <f>(P145)*IF(N145&lt;Forudsætninger!$B$228,IF(N145&lt;Forudsætninger!$B$227,Forudsætninger!$B$225,Forudsætninger!$C$9),Forudsætninger!$C$11)+O145</f>
        <v>15.865466319296127</v>
      </c>
      <c r="U145" s="5">
        <f>Forudsætninger!$E$68+((K145-(Forudsætninger!$E$84)))*0.01</f>
        <v>5.9403076113957791</v>
      </c>
      <c r="V145" s="2">
        <f>U145+Forudsætninger!$E$69</f>
        <v>5.9403076113957791</v>
      </c>
      <c r="W145">
        <f t="shared" si="59"/>
        <v>0</v>
      </c>
      <c r="X145">
        <f>IF(A145+Forudsætninger!$E$60&gt;248,IF(A145+Forudsætninger!$E$60&lt;365,IF(K145&gt;180,IF(K145&lt;260,1,0),0),0),0)</f>
        <v>0</v>
      </c>
      <c r="Y145" s="22">
        <f>IF(X145=0,0,IF('Vækstfunktion, kry kvie'!A145&lt;Forudsætninger!$E$66,Forudsætninger!$E$67+(('Vækstfunktion, kry kvie'!A145-Forudsætninger!$E$66)/7)*Forudsætninger!$E$64,Forudsætninger!$E$67))</f>
        <v>0</v>
      </c>
      <c r="Z145" s="19">
        <f t="shared" si="73"/>
        <v>1992.9845001462268</v>
      </c>
      <c r="AA145" s="19">
        <f>Forudsætninger!$E$62+Forudsætninger!$C$16</f>
        <v>1575</v>
      </c>
      <c r="AB145" s="19">
        <f>IF(K145&gt;Forudsætninger!$C$48,IF(K145&gt;Forudsætninger!$C$49,IF(K145&gt;Forudsætninger!$C$50,Forudsætninger!$E$50,Forudsætninger!$E$49+Forudsætninger!$F$50*(K145-Forudsætninger!$C$49)),Forudsætninger!$E$48+Forudsætninger!$F$49*(K145-Forudsætninger!$C$48)),Forudsætninger!$E$48)+IF(K145&gt;Forudsætninger!$C$50,Forudsætninger!$G$50,IF(K145&gt;Forudsætninger!$C$49,Forudsætninger!$G$49+Forudsætninger!$H$50*(K145-Forudsætninger!$C$49),IF(K145&gt;Forudsætninger!$C$48,Forudsætninger!$G$48+Forudsætninger!$H$49*(K145-Forudsætninger!$C$48),Forudsætninger!$G$48)))*(U145-Forudsætninger!$H$48)</f>
        <v>35.19403076113958</v>
      </c>
      <c r="AC145" s="19">
        <f>IF(K145&gt;Forudsætninger!$C$52,IF(K145&gt;Forudsætninger!$C$53,IF(K145&gt;Forudsætninger!$C$54,Forudsætninger!$E$54,Forudsætninger!$E$53+Forudsætninger!$F$54*(K145-Forudsætninger!$C$53)),Forudsætninger!$E$52+Forudsætninger!$F$53*(K145-Forudsætninger!$C$52)),Forudsætninger!$E$52)+IF(K145&gt;Forudsætninger!$C$54,Forudsætninger!$G$54,IF(K145&gt;Forudsætninger!$C$53,Forudsætninger!$G$53+Forudsætninger!$H$54*(K145-Forudsætninger!$C$53),IF(K145&gt;Forudsætninger!$C$52,Forudsætninger!$G$52+Forudsætninger!$H$53*(K145-Forudsætninger!$C$52),Forudsætninger!$G$52)))*(V145-Forudsætninger!$H$52)</f>
        <v>30.135076902848944</v>
      </c>
      <c r="AD145" s="19">
        <f t="shared" si="60"/>
        <v>3687.761659086199</v>
      </c>
      <c r="AE145" s="19">
        <f t="shared" si="61"/>
        <v>30.135076902848944</v>
      </c>
      <c r="AF145">
        <f>IF(G145&lt;=Forudsætninger!$C$97,Forudsætninger!$C$98,(IF(G145&lt;=Forudsætninger!$D$97,Forudsætninger!$D$98,IF(G145&lt;=Forudsætninger!$E$97,Forudsætninger!$E$98,IF(G145&lt;=Forudsætninger!$F$97,Forudsætninger!$F$98,IF(G145&lt;=Forudsætninger!$G$97,Forudsætninger!$G$98,IF(G145&lt;=Forudsætninger!$H$97,Forudsætninger!$H$98,IF(G145&lt;=Forudsætninger!$I$97,Forudsætninger!$I$98,Forudsætninger!$I$98))))))))</f>
        <v>3.2</v>
      </c>
      <c r="AG145" s="1">
        <f t="shared" si="70"/>
        <v>3.2</v>
      </c>
      <c r="AH145" s="1">
        <f t="shared" si="74"/>
        <v>341.59999999999917</v>
      </c>
      <c r="AI145" s="1">
        <f t="shared" si="62"/>
        <v>2.3888111888111832</v>
      </c>
      <c r="AJ145" s="20">
        <f>+(W145*Forudsætninger!$C$12)</f>
        <v>0</v>
      </c>
      <c r="AK145" s="20">
        <f>Forudsætninger!$C$17</f>
        <v>250</v>
      </c>
      <c r="AL145" s="20">
        <f>IF(A145&lt;92,Forudsætninger!$C$20,Forudsætninger!$C$21)</f>
        <v>1.0566762728146013</v>
      </c>
      <c r="AM145" s="20">
        <f t="shared" si="71"/>
        <v>419.61018986577818</v>
      </c>
      <c r="AN145" s="19">
        <f>IFERROR(AD145+AJ145-AA145-Z145-AK145-AM145-Forudsætninger!$E$75,-999999)</f>
        <v>-741.04979226242187</v>
      </c>
      <c r="AO145" s="19">
        <f>IFERROR(AN145/(A145+Forudsætninger!$E$74),-999999)</f>
        <v>-5.1821663794574953</v>
      </c>
      <c r="AP145" s="19">
        <f>IFERROR(((365/(A145+Forudsætninger!$E$74))*AN145)/(AI145+Forudsætninger!$E$73),-999999)</f>
        <v>-756.95624262106355</v>
      </c>
      <c r="AQ145" s="18">
        <f t="shared" si="63"/>
        <v>143</v>
      </c>
      <c r="AR145" s="18">
        <f t="shared" si="75"/>
        <v>4237.5946900120052</v>
      </c>
      <c r="AS145" s="18">
        <f t="shared" si="55"/>
        <v>5.9</v>
      </c>
      <c r="AT145" s="50">
        <f t="shared" si="76"/>
        <v>7.3835699288663363</v>
      </c>
      <c r="AU145" s="50">
        <f t="shared" si="77"/>
        <v>8.849110076284461E-2</v>
      </c>
      <c r="AV145" s="2">
        <f t="shared" si="78"/>
        <v>14.68992765129633</v>
      </c>
      <c r="AW145" s="16">
        <f t="shared" si="72"/>
        <v>-2.2478293873891166</v>
      </c>
      <c r="AZ145" s="16"/>
      <c r="BA145" s="2"/>
    </row>
    <row r="146" spans="1:53" x14ac:dyDescent="0.25">
      <c r="A146">
        <v>144</v>
      </c>
      <c r="B146" s="1">
        <f>ROUND((A146+Forudsætninger!$E$60)/30.4,1)</f>
        <v>5.9</v>
      </c>
      <c r="C146" s="1">
        <f>VLOOKUP((A146+Forudsætninger!$E$60),'Model tilvækst, slagteform, fe'!A:D,4,FALSE)</f>
        <v>259.8732396041982</v>
      </c>
      <c r="D146" s="3">
        <f t="shared" si="79"/>
        <v>1576.6764628653505</v>
      </c>
      <c r="E146" s="3">
        <f>(1+Forudsætninger!$E$78)*C146</f>
        <v>239.08338043586235</v>
      </c>
      <c r="F146" s="2">
        <f t="shared" ref="F146:F164" si="81">MAX(F145-((D146/1000)/35),0)</f>
        <v>0</v>
      </c>
      <c r="G146" s="1">
        <f t="shared" si="56"/>
        <v>239.08338043586235</v>
      </c>
      <c r="H146" s="3">
        <f t="shared" si="64"/>
        <v>1450.5423458361122</v>
      </c>
      <c r="I146" s="3">
        <f t="shared" si="57"/>
        <v>1188.0790308045996</v>
      </c>
      <c r="J146" s="1">
        <f>VLOOKUP((A146+Forudsætninger!$E$60),'Model tilvækst, slagteform, fe'!G:K,4,FALSE)*(1+Forudsætninger!$E$79)</f>
        <v>51.518871151261934</v>
      </c>
      <c r="K146" s="17">
        <f t="shared" si="58"/>
        <v>123.17305871083332</v>
      </c>
      <c r="L146" s="17">
        <f t="shared" si="65"/>
        <v>798.66852842229719</v>
      </c>
      <c r="M146" s="3">
        <f>((K146-(('Model tilvækst, slagteform, fe'!$J$9/100)*'Model tilvækst, slagteform, fe'!$D$9))*1000/(A146+Forudsætninger!$E$60))</f>
        <v>571.88139208883365</v>
      </c>
      <c r="N146" s="17">
        <f t="shared" si="66"/>
        <v>583.80873456363747</v>
      </c>
      <c r="O146" s="19">
        <f>IF( A146&lt;Forudsætninger!$C$14,(G146/100)*Forudsætninger!$C$13,(Forudsætninger!$C$15/1000)*Forudsætninger!$C$13)</f>
        <v>1.5540419728331054</v>
      </c>
      <c r="P146" s="17" cm="1">
        <f t="array" ref="P146">INDEX('Model tilvækst, slagteform, fe'!$P$9:$P$375,MATCH(MIN(ABS('Model tilvækst, slagteform, fe'!$M$9:$M$375-G146)),ABS('Model tilvækst, slagteform, fe'!$M$9:$M$375-G146),0))*(1+Forudsætninger!$E$80)</f>
        <v>6.1618772089399538</v>
      </c>
      <c r="Q146" s="17">
        <f t="shared" si="67"/>
        <v>7.7151872017697087</v>
      </c>
      <c r="R146" s="17">
        <f t="shared" si="68"/>
        <v>6.4719225564787175</v>
      </c>
      <c r="S146" s="17">
        <f t="shared" si="69"/>
        <v>3.4124222532679158</v>
      </c>
      <c r="T146" s="19">
        <f>(P146)*IF(N146&lt;Forudsætninger!$B$228,IF(N146&lt;Forudsætninger!$B$227,Forudsætninger!$B$225,Forudsætninger!$C$9),Forudsætninger!$C$11)+O146</f>
        <v>15.972834641752595</v>
      </c>
      <c r="U146" s="5">
        <f>Forudsætninger!$E$68+((K146-(Forudsætninger!$E$84)))*0.01</f>
        <v>5.9482942966800021</v>
      </c>
      <c r="V146" s="2">
        <f>U146+Forudsætninger!$E$69</f>
        <v>5.9482942966800021</v>
      </c>
      <c r="W146">
        <f t="shared" si="59"/>
        <v>0</v>
      </c>
      <c r="X146">
        <f>IF(A146+Forudsætninger!$E$60&gt;248,IF(A146+Forudsætninger!$E$60&lt;365,IF(K146&gt;180,IF(K146&lt;260,1,0),0),0),0)</f>
        <v>0</v>
      </c>
      <c r="Y146" s="22">
        <f>IF(X146=0,0,IF('Vækstfunktion, kry kvie'!A146&lt;Forudsætninger!$E$66,Forudsætninger!$E$67+(('Vækstfunktion, kry kvie'!A146-Forudsætninger!$E$66)/7)*Forudsætninger!$E$64,Forudsætninger!$E$67))</f>
        <v>0</v>
      </c>
      <c r="Z146" s="19">
        <f t="shared" si="73"/>
        <v>2008.9573347879793</v>
      </c>
      <c r="AA146" s="19">
        <f>Forudsætninger!$E$62+Forudsætninger!$C$16</f>
        <v>1575</v>
      </c>
      <c r="AB146" s="19">
        <f>IF(K146&gt;Forudsætninger!$C$48,IF(K146&gt;Forudsætninger!$C$49,IF(K146&gt;Forudsætninger!$C$50,Forudsætninger!$E$50,Forudsætninger!$E$49+Forudsætninger!$F$50*(K146-Forudsætninger!$C$49)),Forudsætninger!$E$48+Forudsætninger!$F$49*(K146-Forudsætninger!$C$48)),Forudsætninger!$E$48)+IF(K146&gt;Forudsætninger!$C$50,Forudsætninger!$G$50,IF(K146&gt;Forudsætninger!$C$49,Forudsætninger!$G$49+Forudsætninger!$H$50*(K146-Forudsætninger!$C$49),IF(K146&gt;Forudsætninger!$C$48,Forudsætninger!$G$48+Forudsætninger!$H$49*(K146-Forudsætninger!$C$48),Forudsætninger!$G$48)))*(U146-Forudsætninger!$H$48)</f>
        <v>35.194829429667998</v>
      </c>
      <c r="AC146" s="19">
        <f>IF(K146&gt;Forudsætninger!$C$52,IF(K146&gt;Forudsætninger!$C$53,IF(K146&gt;Forudsætninger!$C$54,Forudsætninger!$E$54,Forudsætninger!$E$53+Forudsætninger!$F$54*(K146-Forudsætninger!$C$53)),Forudsætninger!$E$52+Forudsætninger!$F$53*(K146-Forudsætninger!$C$52)),Forudsætninger!$E$52)+IF(K146&gt;Forudsætninger!$C$54,Forudsætninger!$G$54,IF(K146&gt;Forudsætninger!$C$53,Forudsætninger!$G$53+Forudsætninger!$H$54*(K146-Forudsætninger!$C$53),IF(K146&gt;Forudsætninger!$C$52,Forudsætninger!$G$52+Forudsætninger!$H$53*(K146-Forudsætninger!$C$52),Forudsætninger!$G$52)))*(V146-Forudsætninger!$H$52)</f>
        <v>30.13707357417</v>
      </c>
      <c r="AD146" s="19">
        <f t="shared" si="60"/>
        <v>3712.0755327239444</v>
      </c>
      <c r="AE146" s="19">
        <f t="shared" si="61"/>
        <v>30.13707357417</v>
      </c>
      <c r="AF146">
        <f>IF(G146&lt;=Forudsætninger!$C$97,Forudsætninger!$C$98,(IF(G146&lt;=Forudsætninger!$D$97,Forudsætninger!$D$98,IF(G146&lt;=Forudsætninger!$E$97,Forudsætninger!$E$98,IF(G146&lt;=Forudsætninger!$F$97,Forudsætninger!$F$98,IF(G146&lt;=Forudsætninger!$G$97,Forudsætninger!$G$98,IF(G146&lt;=Forudsætninger!$H$97,Forudsætninger!$H$98,IF(G146&lt;=Forudsætninger!$I$97,Forudsætninger!$I$98,Forudsætninger!$I$98))))))))</f>
        <v>3.2</v>
      </c>
      <c r="AG146" s="1">
        <f t="shared" si="70"/>
        <v>3.2</v>
      </c>
      <c r="AH146" s="1">
        <f t="shared" si="74"/>
        <v>344.79999999999916</v>
      </c>
      <c r="AI146" s="1">
        <f t="shared" si="62"/>
        <v>2.3944444444444386</v>
      </c>
      <c r="AJ146" s="20">
        <f>+(W146*Forudsætninger!$C$12)</f>
        <v>0</v>
      </c>
      <c r="AK146" s="20">
        <f>Forudsætninger!$C$17</f>
        <v>250</v>
      </c>
      <c r="AL146" s="20">
        <f>IF(A146&lt;92,Forudsætninger!$C$20,Forudsætninger!$C$21)</f>
        <v>1.0566762728146013</v>
      </c>
      <c r="AM146" s="20">
        <f t="shared" si="71"/>
        <v>420.66686613859281</v>
      </c>
      <c r="AN146" s="19">
        <f>IFERROR(AD146+AJ146-AA146-Z146-AK146-AM146-Forudsætninger!$E$75,-999999)</f>
        <v>-733.76542953924354</v>
      </c>
      <c r="AO146" s="19">
        <f>IFERROR(AN146/(A146+Forudsætninger!$E$74),-999999)</f>
        <v>-5.0955932606891912</v>
      </c>
      <c r="AP146" s="19">
        <f>IFERROR(((365/(A146+Forudsætninger!$E$74))*AN146)/(AI146+Forudsætninger!$E$73),-999999)</f>
        <v>-742.63637361863505</v>
      </c>
      <c r="AQ146" s="18">
        <f t="shared" si="63"/>
        <v>144</v>
      </c>
      <c r="AR146" s="18">
        <f t="shared" si="75"/>
        <v>4254.6242009265725</v>
      </c>
      <c r="AS146" s="18">
        <f t="shared" si="55"/>
        <v>5.9</v>
      </c>
      <c r="AT146" s="50">
        <f t="shared" si="76"/>
        <v>7.284362723178333</v>
      </c>
      <c r="AU146" s="50">
        <f t="shared" si="77"/>
        <v>8.6573118768304091E-2</v>
      </c>
      <c r="AV146" s="2">
        <f t="shared" si="78"/>
        <v>14.319869002428504</v>
      </c>
      <c r="AW146" s="16">
        <f t="shared" si="72"/>
        <v>-2.1742955791711855</v>
      </c>
      <c r="AZ146" s="16"/>
      <c r="BA146" s="2"/>
    </row>
    <row r="147" spans="1:53" x14ac:dyDescent="0.25">
      <c r="A147">
        <v>145</v>
      </c>
      <c r="B147" s="1">
        <f>ROUND((A147+Forudsætninger!$E$60)/30.4,1)</f>
        <v>6</v>
      </c>
      <c r="C147" s="1">
        <f>VLOOKUP((A147+Forudsætninger!$E$60),'Model tilvækst, slagteform, fe'!A:D,4,FALSE)</f>
        <v>261.44863882528614</v>
      </c>
      <c r="D147" s="3">
        <f t="shared" si="79"/>
        <v>1575.3992210879346</v>
      </c>
      <c r="E147" s="3">
        <f>(1+Forudsætninger!$E$78)*C147</f>
        <v>240.53274771926326</v>
      </c>
      <c r="F147" s="2">
        <f t="shared" si="81"/>
        <v>0</v>
      </c>
      <c r="G147" s="1">
        <f t="shared" si="56"/>
        <v>240.53274771926326</v>
      </c>
      <c r="H147" s="3">
        <f t="shared" si="64"/>
        <v>1449.3672834009033</v>
      </c>
      <c r="I147" s="3">
        <f t="shared" si="57"/>
        <v>1189.8810187535396</v>
      </c>
      <c r="J147" s="1">
        <f>VLOOKUP((A147+Forudsætninger!$E$60),'Model tilvækst, slagteform, fe'!G:K,4,FALSE)*(1+Forudsætninger!$E$79)</f>
        <v>51.540533562673218</v>
      </c>
      <c r="K147" s="17">
        <f t="shared" si="58"/>
        <v>123.97186156746697</v>
      </c>
      <c r="L147" s="17">
        <f t="shared" si="65"/>
        <v>798.80285663365669</v>
      </c>
      <c r="M147" s="3">
        <f>((K147-(('Model tilvækst, slagteform, fe'!$J$9/100)*'Model tilvækst, slagteform, fe'!$D$9))*1000/(A147+Forudsætninger!$E$60))</f>
        <v>573.13510183770006</v>
      </c>
      <c r="N147" s="17">
        <f t="shared" si="66"/>
        <v>589.99142299434243</v>
      </c>
      <c r="O147" s="19">
        <f>IF( A147&lt;Forudsætninger!$C$14,(G147/100)*Forudsætninger!$C$13,(Forudsætninger!$C$15/1000)*Forudsætninger!$C$13)</f>
        <v>1.5634628601752114</v>
      </c>
      <c r="P147" s="17" cm="1">
        <f t="array" ref="P147">INDEX('Model tilvækst, slagteform, fe'!$P$9:$P$375,MATCH(MIN(ABS('Model tilvækst, slagteform, fe'!$M$9:$M$375-G147)),ABS('Model tilvækst, slagteform, fe'!$M$9:$M$375-G147),0))*(1+Forudsætninger!$E$80)</f>
        <v>6.1826884307049061</v>
      </c>
      <c r="Q147" s="17">
        <f t="shared" si="67"/>
        <v>7.7399428148770157</v>
      </c>
      <c r="R147" s="17">
        <f t="shared" si="68"/>
        <v>6.4830526715208787</v>
      </c>
      <c r="S147" s="17">
        <f t="shared" si="69"/>
        <v>3.4195909518252572</v>
      </c>
      <c r="T147" s="19">
        <f>(P147)*IF(N147&lt;Forudsætninger!$B$228,IF(N147&lt;Forudsætninger!$B$227,Forudsætninger!$B$225,Forudsætninger!$C$9),Forudsætninger!$C$11)+O147</f>
        <v>16.030953788024689</v>
      </c>
      <c r="U147" s="5">
        <f>Forudsætninger!$E$68+((K147-(Forudsætninger!$E$84)))*0.01</f>
        <v>5.956282325246339</v>
      </c>
      <c r="V147" s="2">
        <f>U147+Forudsætninger!$E$69</f>
        <v>5.956282325246339</v>
      </c>
      <c r="W147">
        <f t="shared" si="59"/>
        <v>0</v>
      </c>
      <c r="X147">
        <f>IF(A147+Forudsætninger!$E$60&gt;248,IF(A147+Forudsætninger!$E$60&lt;365,IF(K147&gt;180,IF(K147&lt;260,1,0),0),0),0)</f>
        <v>0</v>
      </c>
      <c r="Y147" s="22">
        <f>IF(X147=0,0,IF('Vækstfunktion, kry kvie'!A147&lt;Forudsætninger!$E$66,Forudsætninger!$E$67+(('Vækstfunktion, kry kvie'!A147-Forudsætninger!$E$66)/7)*Forudsætninger!$E$64,Forudsætninger!$E$67))</f>
        <v>0</v>
      </c>
      <c r="Z147" s="19">
        <f t="shared" si="73"/>
        <v>2024.9882885760039</v>
      </c>
      <c r="AA147" s="19">
        <f>Forudsætninger!$E$62+Forudsætninger!$C$16</f>
        <v>1575</v>
      </c>
      <c r="AB147" s="19">
        <f>IF(K147&gt;Forudsætninger!$C$48,IF(K147&gt;Forudsætninger!$C$49,IF(K147&gt;Forudsætninger!$C$50,Forudsætninger!$E$50,Forudsætninger!$E$49+Forudsætninger!$F$50*(K147-Forudsætninger!$C$49)),Forudsætninger!$E$48+Forudsætninger!$F$49*(K147-Forudsætninger!$C$48)),Forudsætninger!$E$48)+IF(K147&gt;Forudsætninger!$C$50,Forudsætninger!$G$50,IF(K147&gt;Forudsætninger!$C$49,Forudsætninger!$G$49+Forudsætninger!$H$50*(K147-Forudsætninger!$C$49),IF(K147&gt;Forudsætninger!$C$48,Forudsætninger!$G$48+Forudsætninger!$H$49*(K147-Forudsætninger!$C$48),Forudsætninger!$G$48)))*(U147-Forudsætninger!$H$48)</f>
        <v>35.195628232524633</v>
      </c>
      <c r="AC147" s="19">
        <f>IF(K147&gt;Forudsætninger!$C$52,IF(K147&gt;Forudsætninger!$C$53,IF(K147&gt;Forudsætninger!$C$54,Forudsætninger!$E$54,Forudsætninger!$E$53+Forudsætninger!$F$54*(K147-Forudsætninger!$C$53)),Forudsætninger!$E$52+Forudsætninger!$F$53*(K147-Forudsætninger!$C$52)),Forudsætninger!$E$52)+IF(K147&gt;Forudsætninger!$C$54,Forudsætninger!$G$54,IF(K147&gt;Forudsætninger!$C$53,Forudsætninger!$G$53+Forudsætninger!$H$54*(K147-Forudsætninger!$C$53),IF(K147&gt;Forudsætninger!$C$52,Forudsætninger!$G$52+Forudsætninger!$H$53*(K147-Forudsætninger!$C$52),Forudsætninger!$G$52)))*(V147-Forudsætninger!$H$52)</f>
        <v>30.139070581311582</v>
      </c>
      <c r="AD147" s="19">
        <f t="shared" si="60"/>
        <v>3736.3966858784756</v>
      </c>
      <c r="AE147" s="19">
        <f t="shared" si="61"/>
        <v>30.139070581311582</v>
      </c>
      <c r="AF147">
        <f>IF(G147&lt;=Forudsætninger!$C$97,Forudsætninger!$C$98,(IF(G147&lt;=Forudsætninger!$D$97,Forudsætninger!$D$98,IF(G147&lt;=Forudsætninger!$E$97,Forudsætninger!$E$98,IF(G147&lt;=Forudsætninger!$F$97,Forudsætninger!$F$98,IF(G147&lt;=Forudsætninger!$G$97,Forudsætninger!$G$98,IF(G147&lt;=Forudsætninger!$H$97,Forudsætninger!$H$98,IF(G147&lt;=Forudsætninger!$I$97,Forudsætninger!$I$98,Forudsætninger!$I$98))))))))</f>
        <v>3.2</v>
      </c>
      <c r="AG147" s="1">
        <f t="shared" si="70"/>
        <v>3.2</v>
      </c>
      <c r="AH147" s="1">
        <f t="shared" si="74"/>
        <v>347.99999999999915</v>
      </c>
      <c r="AI147" s="1">
        <f t="shared" si="62"/>
        <v>2.3999999999999941</v>
      </c>
      <c r="AJ147" s="20">
        <f>+(W147*Forudsætninger!$C$12)</f>
        <v>0</v>
      </c>
      <c r="AK147" s="20">
        <f>Forudsætninger!$C$17</f>
        <v>250</v>
      </c>
      <c r="AL147" s="20">
        <f>IF(A147&lt;92,Forudsætninger!$C$20,Forudsætninger!$C$21)</f>
        <v>1.0566762728146013</v>
      </c>
      <c r="AM147" s="20">
        <f t="shared" si="71"/>
        <v>421.72354241140744</v>
      </c>
      <c r="AN147" s="19">
        <f>IFERROR(AD147+AJ147-AA147-Z147-AK147-AM147-Forudsætninger!$E$75,-999999)</f>
        <v>-726.5319064455515</v>
      </c>
      <c r="AO147" s="19">
        <f>IFERROR(AN147/(A147+Forudsætninger!$E$74),-999999)</f>
        <v>-5.0105648720382865</v>
      </c>
      <c r="AP147" s="19">
        <f>IFERROR(((365/(A147+Forudsætninger!$E$74))*AN147)/(AI147+Forudsætninger!$E$73),-999999)</f>
        <v>-728.62795947967277</v>
      </c>
      <c r="AQ147" s="18">
        <f t="shared" si="63"/>
        <v>145</v>
      </c>
      <c r="AR147" s="18">
        <f t="shared" si="75"/>
        <v>4271.7118309874113</v>
      </c>
      <c r="AS147" s="18">
        <f t="shared" si="55"/>
        <v>6</v>
      </c>
      <c r="AT147" s="50">
        <f t="shared" si="76"/>
        <v>7.2335230936920425</v>
      </c>
      <c r="AU147" s="50">
        <f t="shared" si="77"/>
        <v>8.5028388650904674E-2</v>
      </c>
      <c r="AV147" s="2">
        <f t="shared" si="78"/>
        <v>14.00841413896228</v>
      </c>
      <c r="AW147" s="16">
        <f t="shared" si="72"/>
        <v>-2.1021266485113386</v>
      </c>
      <c r="AZ147" s="16"/>
      <c r="BA147" s="2"/>
    </row>
    <row r="148" spans="1:53" x14ac:dyDescent="0.25">
      <c r="A148">
        <v>146</v>
      </c>
      <c r="B148" s="1">
        <f>ROUND((A148+Forudsætninger!$E$60)/30.4,1)</f>
        <v>6</v>
      </c>
      <c r="C148" s="1">
        <f>VLOOKUP((A148+Forudsætninger!$E$60),'Model tilvækst, slagteform, fe'!A:D,4,FALSE)</f>
        <v>263.0226963783183</v>
      </c>
      <c r="D148" s="3">
        <f t="shared" si="79"/>
        <v>1574.0575530321621</v>
      </c>
      <c r="E148" s="3">
        <f>(1+Forudsætninger!$E$78)*C148</f>
        <v>241.98088066805283</v>
      </c>
      <c r="F148" s="2">
        <f t="shared" si="81"/>
        <v>0</v>
      </c>
      <c r="G148" s="1">
        <f t="shared" si="56"/>
        <v>241.98088066805283</v>
      </c>
      <c r="H148" s="3">
        <f t="shared" si="64"/>
        <v>1448.1329487895778</v>
      </c>
      <c r="I148" s="3">
        <f t="shared" si="57"/>
        <v>1191.6498675894029</v>
      </c>
      <c r="J148" s="1">
        <f>VLOOKUP((A148+Forudsætninger!$E$60),'Model tilvækst, slagteform, fe'!G:K,4,FALSE)*(1+Forudsætninger!$E$79)</f>
        <v>51.562243109754796</v>
      </c>
      <c r="K148" s="17">
        <f t="shared" si="58"/>
        <v>124.77076996918703</v>
      </c>
      <c r="L148" s="17">
        <f t="shared" si="65"/>
        <v>798.90840172005539</v>
      </c>
      <c r="M148" s="3">
        <f>((K148-(('Model tilvækst, slagteform, fe'!$J$9/100)*'Model tilvækst, slagteform, fe'!$D$9))*1000/(A148+Forudsætninger!$E$60))</f>
        <v>574.37561447441635</v>
      </c>
      <c r="N148" s="17">
        <f t="shared" si="66"/>
        <v>596.19484167390499</v>
      </c>
      <c r="O148" s="19">
        <f>IF( A148&lt;Forudsætninger!$C$14,(G148/100)*Forudsætninger!$C$13,(Forudsætninger!$C$15/1000)*Forudsætninger!$C$13)</f>
        <v>1.5728757243423435</v>
      </c>
      <c r="P148" s="17" cm="1">
        <f t="array" ref="P148">INDEX('Model tilvækst, slagteform, fe'!$P$9:$P$375,MATCH(MIN(ABS('Model tilvækst, slagteform, fe'!$M$9:$M$375-G148)),ABS('Model tilvækst, slagteform, fe'!$M$9:$M$375-G148),0))*(1+Forudsætninger!$E$80)</f>
        <v>6.2034186795625423</v>
      </c>
      <c r="Q148" s="17">
        <f t="shared" si="67"/>
        <v>7.7648684958207204</v>
      </c>
      <c r="R148" s="17">
        <f t="shared" si="68"/>
        <v>6.4942074399771954</v>
      </c>
      <c r="S148" s="17">
        <f t="shared" si="69"/>
        <v>3.4267836752212797</v>
      </c>
      <c r="T148" s="19">
        <f>(P148)*IF(N148&lt;Forudsætninger!$B$228,IF(N148&lt;Forudsætninger!$B$227,Forudsætninger!$B$225,Forudsætninger!$C$9),Forudsætninger!$C$11)+O148</f>
        <v>16.088875434518691</v>
      </c>
      <c r="U148" s="5">
        <f>Forudsætninger!$E$68+((K148-(Forudsætninger!$E$84)))*0.01</f>
        <v>5.9642714092635396</v>
      </c>
      <c r="V148" s="2">
        <f>U148+Forudsætninger!$E$69</f>
        <v>5.9642714092635396</v>
      </c>
      <c r="W148">
        <f t="shared" si="59"/>
        <v>0</v>
      </c>
      <c r="X148">
        <f>IF(A148+Forudsætninger!$E$60&gt;248,IF(A148+Forudsætninger!$E$60&lt;365,IF(K148&gt;180,IF(K148&lt;260,1,0),0),0),0)</f>
        <v>0</v>
      </c>
      <c r="Y148" s="22">
        <f>IF(X148=0,0,IF('Vækstfunktion, kry kvie'!A148&lt;Forudsætninger!$E$66,Forudsætninger!$E$67+(('Vækstfunktion, kry kvie'!A148-Forudsætninger!$E$66)/7)*Forudsætninger!$E$64,Forudsætninger!$E$67))</f>
        <v>0</v>
      </c>
      <c r="Z148" s="19">
        <f t="shared" si="73"/>
        <v>2041.0771640105227</v>
      </c>
      <c r="AA148" s="19">
        <f>Forudsætninger!$E$62+Forudsætninger!$C$16</f>
        <v>1575</v>
      </c>
      <c r="AB148" s="19">
        <f>IF(K148&gt;Forudsætninger!$C$48,IF(K148&gt;Forudsætninger!$C$49,IF(K148&gt;Forudsætninger!$C$50,Forudsætninger!$E$50,Forudsætninger!$E$49+Forudsætninger!$F$50*(K148-Forudsætninger!$C$49)),Forudsætninger!$E$48+Forudsætninger!$F$49*(K148-Forudsætninger!$C$48)),Forudsætninger!$E$48)+IF(K148&gt;Forudsætninger!$C$50,Forudsætninger!$G$50,IF(K148&gt;Forudsætninger!$C$49,Forudsætninger!$G$49+Forudsætninger!$H$50*(K148-Forudsætninger!$C$49),IF(K148&gt;Forudsætninger!$C$48,Forudsætninger!$G$48+Forudsætninger!$H$49*(K148-Forudsætninger!$C$48),Forudsætninger!$G$48)))*(U148-Forudsætninger!$H$48)</f>
        <v>35.196427140926353</v>
      </c>
      <c r="AC148" s="19">
        <f>IF(K148&gt;Forudsætninger!$C$52,IF(K148&gt;Forudsætninger!$C$53,IF(K148&gt;Forudsætninger!$C$54,Forudsætninger!$E$54,Forudsætninger!$E$53+Forudsætninger!$F$54*(K148-Forudsætninger!$C$53)),Forudsætninger!$E$52+Forudsætninger!$F$53*(K148-Forudsætninger!$C$52)),Forudsætninger!$E$52)+IF(K148&gt;Forudsætninger!$C$54,Forudsætninger!$G$54,IF(K148&gt;Forudsætninger!$C$53,Forudsætninger!$G$53+Forudsætninger!$H$54*(K148-Forudsætninger!$C$53),IF(K148&gt;Forudsætninger!$C$52,Forudsætninger!$G$52+Forudsætninger!$H$53*(K148-Forudsætninger!$C$52),Forudsætninger!$G$52)))*(V148-Forudsætninger!$H$52)</f>
        <v>30.141067852315885</v>
      </c>
      <c r="AD148" s="19">
        <f t="shared" si="60"/>
        <v>3760.7242436269635</v>
      </c>
      <c r="AE148" s="19">
        <f t="shared" si="61"/>
        <v>30.141067852315885</v>
      </c>
      <c r="AF148">
        <f>IF(G148&lt;=Forudsætninger!$C$97,Forudsætninger!$C$98,(IF(G148&lt;=Forudsætninger!$D$97,Forudsætninger!$D$98,IF(G148&lt;=Forudsætninger!$E$97,Forudsætninger!$E$98,IF(G148&lt;=Forudsætninger!$F$97,Forudsætninger!$F$98,IF(G148&lt;=Forudsætninger!$G$97,Forudsætninger!$G$98,IF(G148&lt;=Forudsætninger!$H$97,Forudsætninger!$H$98,IF(G148&lt;=Forudsætninger!$I$97,Forudsætninger!$I$98,Forudsætninger!$I$98))))))))</f>
        <v>3.2</v>
      </c>
      <c r="AG148" s="1">
        <f t="shared" si="70"/>
        <v>3.2</v>
      </c>
      <c r="AH148" s="1">
        <f t="shared" si="74"/>
        <v>351.19999999999914</v>
      </c>
      <c r="AI148" s="1">
        <f t="shared" si="62"/>
        <v>2.4054794520547884</v>
      </c>
      <c r="AJ148" s="20">
        <f>+(W148*Forudsætninger!$C$12)</f>
        <v>0</v>
      </c>
      <c r="AK148" s="20">
        <f>Forudsætninger!$C$17</f>
        <v>250</v>
      </c>
      <c r="AL148" s="20">
        <f>IF(A148&lt;92,Forudsætninger!$C$20,Forudsætninger!$C$21)</f>
        <v>1.0566762728146013</v>
      </c>
      <c r="AM148" s="20">
        <f t="shared" si="71"/>
        <v>422.78021868422206</v>
      </c>
      <c r="AN148" s="19">
        <f>IFERROR(AD148+AJ148-AA148-Z148-AK148-AM148-Forudsætninger!$E$75,-999999)</f>
        <v>-719.34990040439709</v>
      </c>
      <c r="AO148" s="19">
        <f>IFERROR(AN148/(A148+Forudsætninger!$E$74),-999999)</f>
        <v>-4.927054112358884</v>
      </c>
      <c r="AP148" s="19">
        <f>IFERROR(((365/(A148+Forudsætninger!$E$74))*AN148)/(AI148+Forudsætninger!$E$73),-999999)</f>
        <v>-714.92325232153132</v>
      </c>
      <c r="AQ148" s="18">
        <f t="shared" si="63"/>
        <v>146</v>
      </c>
      <c r="AR148" s="18">
        <f t="shared" si="75"/>
        <v>4288.857382694745</v>
      </c>
      <c r="AS148" s="18">
        <f t="shared" si="55"/>
        <v>6</v>
      </c>
      <c r="AT148" s="50">
        <f t="shared" si="76"/>
        <v>7.1820060411544091</v>
      </c>
      <c r="AU148" s="50">
        <f t="shared" si="77"/>
        <v>8.3510759679402469E-2</v>
      </c>
      <c r="AV148" s="2">
        <f t="shared" si="78"/>
        <v>13.704707158141446</v>
      </c>
      <c r="AW148" s="16">
        <f t="shared" si="72"/>
        <v>-2.0312991898642125</v>
      </c>
      <c r="AZ148" s="16"/>
      <c r="BA148" s="2"/>
    </row>
    <row r="149" spans="1:53" x14ac:dyDescent="0.25">
      <c r="A149">
        <v>147</v>
      </c>
      <c r="B149" s="1">
        <f>ROUND((A149+Forudsætninger!$E$60)/30.4,1)</f>
        <v>6</v>
      </c>
      <c r="C149" s="1">
        <f>VLOOKUP((A149+Forudsætninger!$E$60),'Model tilvækst, slagteform, fe'!A:D,4,FALSE)</f>
        <v>264.59534842203686</v>
      </c>
      <c r="D149" s="3">
        <f t="shared" si="79"/>
        <v>1572.6520437185627</v>
      </c>
      <c r="E149" s="3">
        <f>(1+Forudsætninger!$E$78)*C149</f>
        <v>243.42772054827392</v>
      </c>
      <c r="F149" s="2">
        <f t="shared" si="81"/>
        <v>0</v>
      </c>
      <c r="G149" s="1">
        <f t="shared" si="56"/>
        <v>243.42772054827392</v>
      </c>
      <c r="H149" s="3">
        <f t="shared" si="64"/>
        <v>1446.8398802210913</v>
      </c>
      <c r="I149" s="3">
        <f t="shared" si="57"/>
        <v>1193.3858540698907</v>
      </c>
      <c r="J149" s="1">
        <f>VLOOKUP((A149+Forudsætninger!$E$60),'Model tilvækst, slagteform, fe'!G:K,4,FALSE)*(1+Forudsætninger!$E$79)</f>
        <v>51.584000000000003</v>
      </c>
      <c r="K149" s="17">
        <f t="shared" si="58"/>
        <v>125.56975536762164</v>
      </c>
      <c r="L149" s="17">
        <f t="shared" si="65"/>
        <v>798.98539843460981</v>
      </c>
      <c r="M149" s="3">
        <f>((K149-(('Model tilvækst, slagteform, fe'!$J$9/100)*'Model tilvækst, slagteform, fe'!$D$9))*1000/(A149+Forudsætninger!$E$60))</f>
        <v>575.60299034305126</v>
      </c>
      <c r="N149" s="17">
        <f t="shared" si="66"/>
        <v>602.41890694240283</v>
      </c>
      <c r="O149" s="19">
        <f>IF( A149&lt;Forudsætninger!$C$14,(G149/100)*Forudsætninger!$C$13,(Forudsætninger!$C$15/1000)*Forudsætninger!$C$13)</f>
        <v>1.5822801835637805</v>
      </c>
      <c r="P149" s="17" cm="1">
        <f t="array" ref="P149">INDEX('Model tilvækst, slagteform, fe'!$P$9:$P$375,MATCH(MIN(ABS('Model tilvækst, slagteform, fe'!$M$9:$M$375-G149)),ABS('Model tilvækst, slagteform, fe'!$M$9:$M$375-G149),0))*(1+Forudsætninger!$E$80)</f>
        <v>6.2240652684978119</v>
      </c>
      <c r="Q149" s="17">
        <f t="shared" si="67"/>
        <v>7.7899612191814027</v>
      </c>
      <c r="R149" s="17">
        <f t="shared" si="68"/>
        <v>6.5053872877387713</v>
      </c>
      <c r="S149" s="17">
        <f t="shared" si="69"/>
        <v>3.4340006531443823</v>
      </c>
      <c r="T149" s="19">
        <f>(P149)*IF(N149&lt;Forudsætninger!$B$228,IF(N149&lt;Forudsætninger!$B$227,Forudsætninger!$B$225,Forudsætninger!$C$9),Forudsætninger!$C$11)+O149</f>
        <v>16.146592911848661</v>
      </c>
      <c r="U149" s="5">
        <f>Forudsætninger!$E$68+((K149-(Forudsætninger!$E$84)))*0.01</f>
        <v>5.9722612632478853</v>
      </c>
      <c r="V149" s="2">
        <f>U149+Forudsætninger!$E$69</f>
        <v>5.9722612632478853</v>
      </c>
      <c r="W149">
        <f t="shared" si="59"/>
        <v>0</v>
      </c>
      <c r="X149">
        <f>IF(A149+Forudsætninger!$E$60&gt;248,IF(A149+Forudsætninger!$E$60&lt;365,IF(K149&gt;180,IF(K149&lt;260,1,0),0),0),0)</f>
        <v>0</v>
      </c>
      <c r="Y149" s="22">
        <f>IF(X149=0,0,IF('Vækstfunktion, kry kvie'!A149&lt;Forudsætninger!$E$66,Forudsætninger!$E$67+(('Vækstfunktion, kry kvie'!A149-Forudsætninger!$E$66)/7)*Forudsætninger!$E$64,Forudsætninger!$E$67))</f>
        <v>0</v>
      </c>
      <c r="Z149" s="19">
        <f t="shared" si="73"/>
        <v>2057.2237569223712</v>
      </c>
      <c r="AA149" s="19">
        <f>Forudsætninger!$E$62+Forudsætninger!$C$16</f>
        <v>1575</v>
      </c>
      <c r="AB149" s="19">
        <f>IF(K149&gt;Forudsætninger!$C$48,IF(K149&gt;Forudsætninger!$C$49,IF(K149&gt;Forudsætninger!$C$50,Forudsætninger!$E$50,Forudsætninger!$E$49+Forudsætninger!$F$50*(K149-Forudsætninger!$C$49)),Forudsætninger!$E$48+Forudsætninger!$F$49*(K149-Forudsætninger!$C$48)),Forudsætninger!$E$48)+IF(K149&gt;Forudsætninger!$C$50,Forudsætninger!$G$50,IF(K149&gt;Forudsætninger!$C$49,Forudsætninger!$G$49+Forudsætninger!$H$50*(K149-Forudsætninger!$C$49),IF(K149&gt;Forudsætninger!$C$48,Forudsætninger!$G$48+Forudsætninger!$H$49*(K149-Forudsætninger!$C$48),Forudsætninger!$G$48)))*(U149-Forudsætninger!$H$48)</f>
        <v>35.197226126324786</v>
      </c>
      <c r="AC149" s="19">
        <f>IF(K149&gt;Forudsætninger!$C$52,IF(K149&gt;Forudsætninger!$C$53,IF(K149&gt;Forudsætninger!$C$54,Forudsætninger!$E$54,Forudsætninger!$E$53+Forudsætninger!$F$54*(K149-Forudsætninger!$C$53)),Forudsætninger!$E$52+Forudsætninger!$F$53*(K149-Forudsætninger!$C$52)),Forudsætninger!$E$52)+IF(K149&gt;Forudsætninger!$C$54,Forudsætninger!$G$54,IF(K149&gt;Forudsætninger!$C$53,Forudsætninger!$G$53+Forudsætninger!$H$54*(K149-Forudsætninger!$C$53),IF(K149&gt;Forudsætninger!$C$52,Forudsætninger!$G$52+Forudsætninger!$H$53*(K149-Forudsætninger!$C$52),Forudsætninger!$G$52)))*(V149-Forudsætninger!$H$52)</f>
        <v>30.14306531581197</v>
      </c>
      <c r="AD149" s="19">
        <f t="shared" si="60"/>
        <v>3785.05733773675</v>
      </c>
      <c r="AE149" s="19">
        <f t="shared" si="61"/>
        <v>30.14306531581197</v>
      </c>
      <c r="AF149">
        <f>IF(G149&lt;=Forudsætninger!$C$97,Forudsætninger!$C$98,(IF(G149&lt;=Forudsætninger!$D$97,Forudsætninger!$D$98,IF(G149&lt;=Forudsætninger!$E$97,Forudsætninger!$E$98,IF(G149&lt;=Forudsætninger!$F$97,Forudsætninger!$F$98,IF(G149&lt;=Forudsætninger!$G$97,Forudsætninger!$G$98,IF(G149&lt;=Forudsætninger!$H$97,Forudsætninger!$H$98,IF(G149&lt;=Forudsætninger!$I$97,Forudsætninger!$I$98,Forudsætninger!$I$98))))))))</f>
        <v>3.2</v>
      </c>
      <c r="AG149" s="1">
        <f t="shared" si="70"/>
        <v>3.2</v>
      </c>
      <c r="AH149" s="1">
        <f t="shared" si="74"/>
        <v>354.39999999999912</v>
      </c>
      <c r="AI149" s="1">
        <f t="shared" si="62"/>
        <v>2.4108843537414906</v>
      </c>
      <c r="AJ149" s="20">
        <f>+(W149*Forudsætninger!$C$12)</f>
        <v>0</v>
      </c>
      <c r="AK149" s="20">
        <f>Forudsætninger!$C$17</f>
        <v>250</v>
      </c>
      <c r="AL149" s="20">
        <f>IF(A149&lt;92,Forudsætninger!$C$20,Forudsætninger!$C$21)</f>
        <v>1.0566762728146013</v>
      </c>
      <c r="AM149" s="20">
        <f t="shared" si="71"/>
        <v>423.83689495703669</v>
      </c>
      <c r="AN149" s="19">
        <f>IFERROR(AD149+AJ149-AA149-Z149-AK149-AM149-Forudsætninger!$E$75,-999999)</f>
        <v>-712.22007547927376</v>
      </c>
      <c r="AO149" s="19">
        <f>IFERROR(AN149/(A149+Forudsætninger!$E$74),-999999)</f>
        <v>-4.8450345270698891</v>
      </c>
      <c r="AP149" s="19">
        <f>IFERROR(((365/(A149+Forudsætninger!$E$74))*AN149)/(AI149+Forudsætninger!$E$73),-999999)</f>
        <v>-701.51476792491439</v>
      </c>
      <c r="AQ149" s="18">
        <f t="shared" si="63"/>
        <v>147</v>
      </c>
      <c r="AR149" s="18">
        <f t="shared" si="75"/>
        <v>4306.0606518794075</v>
      </c>
      <c r="AS149" s="18">
        <f t="shared" si="55"/>
        <v>6</v>
      </c>
      <c r="AT149" s="50">
        <f t="shared" si="76"/>
        <v>7.1298249251233301</v>
      </c>
      <c r="AU149" s="50">
        <f t="shared" si="77"/>
        <v>8.201958528899489E-2</v>
      </c>
      <c r="AV149" s="2">
        <f t="shared" si="78"/>
        <v>13.408484396616927</v>
      </c>
      <c r="AW149" s="16">
        <f t="shared" si="72"/>
        <v>-1.9617903436886877</v>
      </c>
      <c r="AZ149" s="16"/>
      <c r="BA149" s="2"/>
    </row>
    <row r="150" spans="1:53" x14ac:dyDescent="0.25">
      <c r="A150">
        <v>148</v>
      </c>
      <c r="B150" s="1">
        <f>ROUND((A150+Forudsætninger!$E$60)/30.4,1)</f>
        <v>6.1</v>
      </c>
      <c r="C150" s="1">
        <f>VLOOKUP((A150+Forudsætninger!$E$60),'Model tilvækst, slagteform, fe'!A:D,4,FALSE)</f>
        <v>266.1665317002047</v>
      </c>
      <c r="D150" s="3">
        <f t="shared" si="79"/>
        <v>1571.1832781678368</v>
      </c>
      <c r="E150" s="3">
        <f>(1+Forudsætninger!$E$78)*C150</f>
        <v>244.87320916418832</v>
      </c>
      <c r="F150" s="2">
        <f t="shared" si="81"/>
        <v>0</v>
      </c>
      <c r="G150" s="1">
        <f t="shared" si="56"/>
        <v>244.87320916418832</v>
      </c>
      <c r="H150" s="3">
        <f t="shared" si="64"/>
        <v>1445.4886159143996</v>
      </c>
      <c r="I150" s="3">
        <f t="shared" si="57"/>
        <v>1195.0892511093807</v>
      </c>
      <c r="J150" s="1">
        <f>VLOOKUP((A150+Forudsætninger!$E$60),'Model tilvækst, slagteform, fe'!G:K,4,FALSE)*(1+Forudsætninger!$E$79)</f>
        <v>51.605803661383199</v>
      </c>
      <c r="K150" s="17">
        <f t="shared" si="58"/>
        <v>126.36878754059923</v>
      </c>
      <c r="L150" s="17">
        <f t="shared" si="65"/>
        <v>799.03217297758999</v>
      </c>
      <c r="M150" s="3">
        <f>((K150-(('Model tilvækst, slagteform, fe'!$J$9/100)*'Model tilvækst, slagteform, fe'!$D$9))*1000/(A150+Forudsætninger!$E$60))</f>
        <v>576.81727937910864</v>
      </c>
      <c r="N150" s="17">
        <f t="shared" si="66"/>
        <v>608.68400366094386</v>
      </c>
      <c r="O150" s="19">
        <f>IF( A150&lt;Forudsætninger!$C$14,(G150/100)*Forudsætninger!$C$13,(Forudsætninger!$C$15/1000)*Forudsætninger!$C$13)</f>
        <v>1.591675859567224</v>
      </c>
      <c r="P150" s="17" cm="1">
        <f t="array" ref="P150">INDEX('Model tilvækst, slagteform, fe'!$P$9:$P$375,MATCH(MIN(ABS('Model tilvækst, slagteform, fe'!$M$9:$M$375-G150)),ABS('Model tilvækst, slagteform, fe'!$M$9:$M$375-G150),0))*(1+Forudsætninger!$E$80)</f>
        <v>6.265096718541078</v>
      </c>
      <c r="Q150" s="17">
        <f t="shared" si="67"/>
        <v>7.8408566393443477</v>
      </c>
      <c r="R150" s="17">
        <f t="shared" si="68"/>
        <v>6.5168119005227094</v>
      </c>
      <c r="S150" s="17">
        <f t="shared" si="69"/>
        <v>3.4413578321853882</v>
      </c>
      <c r="T150" s="19">
        <f>(P150)*IF(N150&lt;Forudsætninger!$B$228,IF(N150&lt;Forudsætninger!$B$227,Forudsætninger!$B$225,Forudsætninger!$C$9),Forudsætninger!$C$11)+O150</f>
        <v>16.252002180953344</v>
      </c>
      <c r="U150" s="5">
        <f>Forudsætninger!$E$68+((K150-(Forudsætninger!$E$84)))*0.01</f>
        <v>5.9802515849776618</v>
      </c>
      <c r="V150" s="2">
        <f>U150+Forudsætninger!$E$69</f>
        <v>5.9802515849776618</v>
      </c>
      <c r="W150">
        <f t="shared" si="59"/>
        <v>0</v>
      </c>
      <c r="X150">
        <f>IF(A150+Forudsætninger!$E$60&gt;248,IF(A150+Forudsætninger!$E$60&lt;365,IF(K150&gt;180,IF(K150&lt;260,1,0),0),0),0)</f>
        <v>0</v>
      </c>
      <c r="Y150" s="22">
        <f>IF(X150=0,0,IF('Vækstfunktion, kry kvie'!A150&lt;Forudsætninger!$E$66,Forudsætninger!$E$67+(('Vækstfunktion, kry kvie'!A150-Forudsætninger!$E$66)/7)*Forudsætninger!$E$64,Forudsætninger!$E$67))</f>
        <v>0</v>
      </c>
      <c r="Z150" s="19">
        <f t="shared" si="73"/>
        <v>2073.4757591033244</v>
      </c>
      <c r="AA150" s="19">
        <f>Forudsætninger!$E$62+Forudsætninger!$C$16</f>
        <v>1575</v>
      </c>
      <c r="AB150" s="19">
        <f>IF(K150&gt;Forudsætninger!$C$48,IF(K150&gt;Forudsætninger!$C$49,IF(K150&gt;Forudsætninger!$C$50,Forudsætninger!$E$50,Forudsætninger!$E$49+Forudsætninger!$F$50*(K150-Forudsætninger!$C$49)),Forudsætninger!$E$48+Forudsætninger!$F$49*(K150-Forudsætninger!$C$48)),Forudsætninger!$E$48)+IF(K150&gt;Forudsætninger!$C$50,Forudsætninger!$G$50,IF(K150&gt;Forudsætninger!$C$49,Forudsætninger!$G$49+Forudsætninger!$H$50*(K150-Forudsætninger!$C$49),IF(K150&gt;Forudsætninger!$C$48,Forudsætninger!$G$48+Forudsætninger!$H$49*(K150-Forudsætninger!$C$48),Forudsætninger!$G$48)))*(U150-Forudsætninger!$H$48)</f>
        <v>35.198025158497764</v>
      </c>
      <c r="AC150" s="19">
        <f>IF(K150&gt;Forudsætninger!$C$52,IF(K150&gt;Forudsætninger!$C$53,IF(K150&gt;Forudsætninger!$C$54,Forudsætninger!$E$54,Forudsætninger!$E$53+Forudsætninger!$F$54*(K150-Forudsætninger!$C$53)),Forudsætninger!$E$52+Forudsætninger!$F$53*(K150-Forudsætninger!$C$52)),Forudsætninger!$E$52)+IF(K150&gt;Forudsætninger!$C$54,Forudsætninger!$G$54,IF(K150&gt;Forudsætninger!$C$53,Forudsætninger!$G$53+Forudsætninger!$H$54*(K150-Forudsætninger!$C$53),IF(K150&gt;Forudsætninger!$C$52,Forudsætninger!$G$52+Forudsætninger!$H$53*(K150-Forudsætninger!$C$52),Forudsætninger!$G$52)))*(V150-Forudsætninger!$H$52)</f>
        <v>30.145062896244415</v>
      </c>
      <c r="AD150" s="19">
        <f t="shared" si="60"/>
        <v>3809.3950485335113</v>
      </c>
      <c r="AE150" s="19">
        <f t="shared" si="61"/>
        <v>30.145062896244415</v>
      </c>
      <c r="AF150">
        <f>IF(G150&lt;=Forudsætninger!$C$97,Forudsætninger!$C$98,(IF(G150&lt;=Forudsætninger!$D$97,Forudsætninger!$D$98,IF(G150&lt;=Forudsætninger!$E$97,Forudsætninger!$E$98,IF(G150&lt;=Forudsætninger!$F$97,Forudsætninger!$F$98,IF(G150&lt;=Forudsætninger!$G$97,Forudsætninger!$G$98,IF(G150&lt;=Forudsætninger!$H$97,Forudsætninger!$H$98,IF(G150&lt;=Forudsætninger!$I$97,Forudsætninger!$I$98,Forudsætninger!$I$98))))))))</f>
        <v>3.2</v>
      </c>
      <c r="AG150" s="1">
        <f t="shared" si="70"/>
        <v>3.2</v>
      </c>
      <c r="AH150" s="1">
        <f t="shared" si="74"/>
        <v>357.59999999999911</v>
      </c>
      <c r="AI150" s="1">
        <f t="shared" si="62"/>
        <v>2.4162162162162102</v>
      </c>
      <c r="AJ150" s="20">
        <f>+(W150*Forudsætninger!$C$12)</f>
        <v>0</v>
      </c>
      <c r="AK150" s="20">
        <f>Forudsætninger!$C$17</f>
        <v>250</v>
      </c>
      <c r="AL150" s="20">
        <f>IF(A150&lt;92,Forudsætninger!$C$20,Forudsætninger!$C$21)</f>
        <v>1.0566762728146013</v>
      </c>
      <c r="AM150" s="20">
        <f t="shared" si="71"/>
        <v>424.89357122985132</v>
      </c>
      <c r="AN150" s="19">
        <f>IFERROR(AD150+AJ150-AA150-Z150-AK150-AM150-Forudsætninger!$E$75,-999999)</f>
        <v>-705.19104313628031</v>
      </c>
      <c r="AO150" s="19">
        <f>IFERROR(AN150/(A150+Forudsætninger!$E$74),-999999)</f>
        <v>-4.7648043455154072</v>
      </c>
      <c r="AP150" s="19">
        <f>IFERROR(((365/(A150+Forudsætninger!$E$74))*AN150)/(AI150+Forudsætninger!$E$73),-999999)</f>
        <v>-688.44209571184058</v>
      </c>
      <c r="AQ150" s="18">
        <f t="shared" si="63"/>
        <v>148</v>
      </c>
      <c r="AR150" s="18">
        <f t="shared" si="75"/>
        <v>4323.3693303331756</v>
      </c>
      <c r="AS150" s="18">
        <f t="shared" si="55"/>
        <v>6.1</v>
      </c>
      <c r="AT150" s="50">
        <f t="shared" si="76"/>
        <v>7.029032342993446</v>
      </c>
      <c r="AU150" s="50">
        <f t="shared" si="77"/>
        <v>8.0230181554481916E-2</v>
      </c>
      <c r="AV150" s="2">
        <f t="shared" si="78"/>
        <v>13.072672213073815</v>
      </c>
      <c r="AW150" s="16">
        <f t="shared" si="72"/>
        <v>-1.8939018372056013</v>
      </c>
      <c r="AZ150" s="16"/>
      <c r="BA150" s="2"/>
    </row>
    <row r="151" spans="1:53" x14ac:dyDescent="0.25">
      <c r="A151">
        <v>149</v>
      </c>
      <c r="B151" s="1">
        <f>ROUND((A151+Forudsætninger!$E$60)/30.4,1)</f>
        <v>6.1</v>
      </c>
      <c r="C151" s="1">
        <f>VLOOKUP((A151+Forudsætninger!$E$60),'Model tilvækst, slagteform, fe'!A:D,4,FALSE)</f>
        <v>267.73618354160516</v>
      </c>
      <c r="D151" s="3">
        <f t="shared" si="79"/>
        <v>1569.6518414004572</v>
      </c>
      <c r="E151" s="3">
        <f>(1+Forudsætninger!$E$78)*C151</f>
        <v>246.31728885827675</v>
      </c>
      <c r="F151" s="2">
        <f t="shared" si="81"/>
        <v>0</v>
      </c>
      <c r="G151" s="1">
        <f t="shared" si="56"/>
        <v>246.31728885827675</v>
      </c>
      <c r="H151" s="3">
        <f t="shared" si="64"/>
        <v>1444.0796940884297</v>
      </c>
      <c r="I151" s="3">
        <f t="shared" si="57"/>
        <v>1196.7603279078978</v>
      </c>
      <c r="J151" s="1">
        <f>VLOOKUP((A151+Forudsætninger!$E$60),'Model tilvækst, slagteform, fe'!G:K,4,FALSE)*(1+Forudsætninger!$E$79)</f>
        <v>51.627650403802853</v>
      </c>
      <c r="K151" s="17">
        <f t="shared" si="58"/>
        <v>127.16782877587634</v>
      </c>
      <c r="L151" s="17">
        <f t="shared" si="65"/>
        <v>799.0412352771159</v>
      </c>
      <c r="M151" s="3">
        <f>((K151-(('Model tilvækst, slagteform, fe'!$J$9/100)*'Model tilvækst, slagteform, fe'!$D$9))*1000/(A151+Forudsætninger!$E$60))</f>
        <v>578.01848995153023</v>
      </c>
      <c r="N151" s="17">
        <f t="shared" si="66"/>
        <v>614.96947986656289</v>
      </c>
      <c r="O151" s="19">
        <f>IF( A151&lt;Forudsætninger!$C$14,(G151/100)*Forudsætninger!$C$13,(Forudsætninger!$C$15/1000)*Forudsætninger!$C$13)</f>
        <v>1.6010623775787989</v>
      </c>
      <c r="P151" s="17" cm="1">
        <f t="array" ref="P151">INDEX('Model tilvækst, slagteform, fe'!$P$9:$P$375,MATCH(MIN(ABS('Model tilvækst, slagteform, fe'!$M$9:$M$375-G151)),ABS('Model tilvækst, slagteform, fe'!$M$9:$M$375-G151),0))*(1+Forudsætninger!$E$80)</f>
        <v>6.2854762056189823</v>
      </c>
      <c r="Q151" s="17">
        <f t="shared" si="67"/>
        <v>7.8662726379059942</v>
      </c>
      <c r="R151" s="17">
        <f t="shared" si="68"/>
        <v>6.5282584138862809</v>
      </c>
      <c r="S151" s="17">
        <f t="shared" si="69"/>
        <v>3.4487372694149085</v>
      </c>
      <c r="T151" s="19">
        <f>(P151)*IF(N151&lt;Forudsætninger!$B$228,IF(N151&lt;Forudsætninger!$B$227,Forudsætninger!$B$225,Forudsætninger!$C$9),Forudsætninger!$C$11)+O151</f>
        <v>16.309076698727218</v>
      </c>
      <c r="U151" s="5">
        <f>Forudsætninger!$E$68+((K151-(Forudsætninger!$E$84)))*0.01</f>
        <v>5.9882419973304328</v>
      </c>
      <c r="V151" s="2">
        <f>U151+Forudsætninger!$E$69</f>
        <v>5.9882419973304328</v>
      </c>
      <c r="W151">
        <f t="shared" si="59"/>
        <v>0</v>
      </c>
      <c r="X151">
        <f>IF(A151+Forudsætninger!$E$60&gt;248,IF(A151+Forudsætninger!$E$60&lt;365,IF(K151&gt;180,IF(K151&lt;260,1,0),0),0),0)</f>
        <v>0</v>
      </c>
      <c r="Y151" s="22">
        <f>IF(X151=0,0,IF('Vækstfunktion, kry kvie'!A151&lt;Forudsætninger!$E$66,Forudsætninger!$E$67+(('Vækstfunktion, kry kvie'!A151-Forudsætninger!$E$66)/7)*Forudsætninger!$E$64,Forudsætninger!$E$67))</f>
        <v>0</v>
      </c>
      <c r="Z151" s="19">
        <f t="shared" si="73"/>
        <v>2089.7848358020515</v>
      </c>
      <c r="AA151" s="19">
        <f>Forudsætninger!$E$62+Forudsætninger!$C$16</f>
        <v>1575</v>
      </c>
      <c r="AB151" s="19">
        <f>IF(K151&gt;Forudsætninger!$C$48,IF(K151&gt;Forudsætninger!$C$49,IF(K151&gt;Forudsætninger!$C$50,Forudsætninger!$E$50,Forudsætninger!$E$49+Forudsætninger!$F$50*(K151-Forudsætninger!$C$49)),Forudsætninger!$E$48+Forudsætninger!$F$49*(K151-Forudsætninger!$C$48)),Forudsætninger!$E$48)+IF(K151&gt;Forudsætninger!$C$50,Forudsætninger!$G$50,IF(K151&gt;Forudsætninger!$C$49,Forudsætninger!$G$49+Forudsætninger!$H$50*(K151-Forudsætninger!$C$49),IF(K151&gt;Forudsætninger!$C$48,Forudsætninger!$G$48+Forudsætninger!$H$49*(K151-Forudsætninger!$C$48),Forudsætninger!$G$48)))*(U151-Forudsætninger!$H$48)</f>
        <v>35.198824199733046</v>
      </c>
      <c r="AC151" s="19">
        <f>IF(K151&gt;Forudsætninger!$C$52,IF(K151&gt;Forudsætninger!$C$53,IF(K151&gt;Forudsætninger!$C$54,Forudsætninger!$E$54,Forudsætninger!$E$53+Forudsætninger!$F$54*(K151-Forudsætninger!$C$53)),Forudsætninger!$E$52+Forudsætninger!$F$53*(K151-Forudsætninger!$C$52)),Forudsætninger!$E$52)+IF(K151&gt;Forudsætninger!$C$54,Forudsætninger!$G$54,IF(K151&gt;Forudsætninger!$C$53,Forudsætninger!$G$53+Forudsætninger!$H$54*(K151-Forudsætninger!$C$53),IF(K151&gt;Forudsætninger!$C$52,Forudsætninger!$G$52+Forudsætninger!$H$53*(K151-Forudsætninger!$C$52),Forudsætninger!$G$52)))*(V151-Forudsætninger!$H$52)</f>
        <v>30.147060499332607</v>
      </c>
      <c r="AD151" s="19">
        <f t="shared" si="60"/>
        <v>3833.7362276751142</v>
      </c>
      <c r="AE151" s="19">
        <f t="shared" si="61"/>
        <v>30.147060499332607</v>
      </c>
      <c r="AF151">
        <f>IF(G151&lt;=Forudsætninger!$C$97,Forudsætninger!$C$98,(IF(G151&lt;=Forudsætninger!$D$97,Forudsætninger!$D$98,IF(G151&lt;=Forudsætninger!$E$97,Forudsætninger!$E$98,IF(G151&lt;=Forudsætninger!$F$97,Forudsætninger!$F$98,IF(G151&lt;=Forudsætninger!$G$97,Forudsætninger!$G$98,IF(G151&lt;=Forudsætninger!$H$97,Forudsætninger!$H$98,IF(G151&lt;=Forudsætninger!$I$97,Forudsætninger!$I$98,Forudsætninger!$I$98))))))))</f>
        <v>3.2</v>
      </c>
      <c r="AG151" s="1">
        <f t="shared" si="70"/>
        <v>3.2</v>
      </c>
      <c r="AH151" s="1">
        <f t="shared" si="74"/>
        <v>360.7999999999991</v>
      </c>
      <c r="AI151" s="1">
        <f t="shared" si="62"/>
        <v>2.4214765100671078</v>
      </c>
      <c r="AJ151" s="20">
        <f>+(W151*Forudsætninger!$C$12)</f>
        <v>0</v>
      </c>
      <c r="AK151" s="20">
        <f>Forudsætninger!$C$17</f>
        <v>250</v>
      </c>
      <c r="AL151" s="20">
        <f>IF(A151&lt;92,Forudsætninger!$C$20,Forudsætninger!$C$21)</f>
        <v>1.0566762728146013</v>
      </c>
      <c r="AM151" s="20">
        <f t="shared" si="71"/>
        <v>425.95024750266595</v>
      </c>
      <c r="AN151" s="19">
        <f>IFERROR(AD151+AJ151-AA151-Z151-AK151-AM151-Forudsætninger!$E$75,-999999)</f>
        <v>-698.21561696621905</v>
      </c>
      <c r="AO151" s="19">
        <f>IFERROR(AN151/(A151+Forudsætninger!$E$74),-999999)</f>
        <v>-4.6860108521222754</v>
      </c>
      <c r="AP151" s="19">
        <f>IFERROR(((365/(A151+Forudsætninger!$E$74))*AN151)/(AI151+Forudsætninger!$E$73),-999999)</f>
        <v>-675.65073356311302</v>
      </c>
      <c r="AQ151" s="18">
        <f t="shared" si="63"/>
        <v>149</v>
      </c>
      <c r="AR151" s="18">
        <f t="shared" si="75"/>
        <v>4340.7350833047176</v>
      </c>
      <c r="AS151" s="18">
        <f t="shared" si="55"/>
        <v>6.1</v>
      </c>
      <c r="AT151" s="50">
        <f t="shared" si="76"/>
        <v>6.9754261700612687</v>
      </c>
      <c r="AU151" s="50">
        <f t="shared" si="77"/>
        <v>7.8793493393131797E-2</v>
      </c>
      <c r="AV151" s="2">
        <f t="shared" si="78"/>
        <v>12.791362148727558</v>
      </c>
      <c r="AW151" s="16">
        <f t="shared" si="72"/>
        <v>-1.8272843588157925</v>
      </c>
      <c r="AZ151" s="16"/>
      <c r="BA151" s="2"/>
    </row>
    <row r="152" spans="1:53" x14ac:dyDescent="0.25">
      <c r="A152">
        <v>150</v>
      </c>
      <c r="B152" s="1">
        <f>ROUND((A152+Forudsætninger!$E$60)/30.4,1)</f>
        <v>6.1</v>
      </c>
      <c r="C152" s="1">
        <f>VLOOKUP((A152+Forudsætninger!$E$60),'Model tilvækst, slagteform, fe'!A:D,4,FALSE)</f>
        <v>269.30424186004223</v>
      </c>
      <c r="D152" s="3">
        <f t="shared" si="79"/>
        <v>1568.0583184370676</v>
      </c>
      <c r="E152" s="3">
        <f>(1+Forudsætninger!$E$78)*C152</f>
        <v>247.75990251123886</v>
      </c>
      <c r="F152" s="2">
        <f t="shared" si="81"/>
        <v>0</v>
      </c>
      <c r="G152" s="1">
        <f t="shared" si="56"/>
        <v>247.75990251123886</v>
      </c>
      <c r="H152" s="3">
        <f t="shared" si="64"/>
        <v>1442.613652962109</v>
      </c>
      <c r="I152" s="3">
        <f t="shared" si="57"/>
        <v>1198.3993500749259</v>
      </c>
      <c r="J152" s="1">
        <f>VLOOKUP((A152+Forudsætninger!$E$60),'Model tilvækst, slagteform, fe'!G:K,4,FALSE)*(1+Forudsætninger!$E$79)</f>
        <v>51.649535757638489</v>
      </c>
      <c r="K152" s="17">
        <f t="shared" si="58"/>
        <v>127.96683944063257</v>
      </c>
      <c r="L152" s="17">
        <f t="shared" si="65"/>
        <v>799.01066475622429</v>
      </c>
      <c r="M152" s="3">
        <f>((K152-(('Model tilvækst, slagteform, fe'!$J$9/100)*'Model tilvækst, slagteform, fe'!$D$9))*1000/(A152+Forudsætninger!$E$60))</f>
        <v>579.20661992359851</v>
      </c>
      <c r="N152" s="17">
        <f t="shared" si="66"/>
        <v>621.27524115127721</v>
      </c>
      <c r="O152" s="19">
        <f>IF( A152&lt;Forudsætninger!$C$14,(G152/100)*Forudsætninger!$C$13,(Forudsætninger!$C$15/1000)*Forudsætninger!$C$13)</f>
        <v>1.6104393663230527</v>
      </c>
      <c r="P152" s="17" cm="1">
        <f t="array" ref="P152">INDEX('Model tilvækst, slagteform, fe'!$P$9:$P$375,MATCH(MIN(ABS('Model tilvækst, slagteform, fe'!$M$9:$M$375-G152)),ABS('Model tilvækst, slagteform, fe'!$M$9:$M$375-G152),0))*(1+Forudsætninger!$E$80)</f>
        <v>6.3057612847143414</v>
      </c>
      <c r="Q152" s="17">
        <f t="shared" si="67"/>
        <v>7.8919613502758565</v>
      </c>
      <c r="R152" s="17">
        <f t="shared" si="68"/>
        <v>6.5397280064615666</v>
      </c>
      <c r="S152" s="17">
        <f t="shared" si="69"/>
        <v>3.4561391749332651</v>
      </c>
      <c r="T152" s="19">
        <f>(P152)*IF(N152&lt;Forudsætninger!$B$228,IF(N152&lt;Forudsætninger!$B$227,Forudsætninger!$B$225,Forudsætninger!$C$9),Forudsætninger!$C$11)+O152</f>
        <v>16.36592077255461</v>
      </c>
      <c r="U152" s="5">
        <f>Forudsætninger!$E$68+((K152-(Forudsætninger!$E$84)))*0.01</f>
        <v>5.9962321039779951</v>
      </c>
      <c r="V152" s="2">
        <f>U152+Forudsætninger!$E$69</f>
        <v>5.9962321039779951</v>
      </c>
      <c r="W152">
        <f t="shared" si="59"/>
        <v>0</v>
      </c>
      <c r="X152">
        <f>IF(A152+Forudsætninger!$E$60&gt;248,IF(A152+Forudsætninger!$E$60&lt;365,IF(K152&gt;180,IF(K152&lt;260,1,0),0),0),0)</f>
        <v>0</v>
      </c>
      <c r="Y152" s="22">
        <f>IF(X152=0,0,IF('Vækstfunktion, kry kvie'!A152&lt;Forudsætninger!$E$66,Forudsætninger!$E$67+(('Vækstfunktion, kry kvie'!A152-Forudsætninger!$E$66)/7)*Forudsætninger!$E$64,Forudsætninger!$E$67))</f>
        <v>0</v>
      </c>
      <c r="Z152" s="19">
        <f t="shared" si="73"/>
        <v>2106.150756574606</v>
      </c>
      <c r="AA152" s="19">
        <f>Forudsætninger!$E$62+Forudsætninger!$C$16</f>
        <v>1575</v>
      </c>
      <c r="AB152" s="19">
        <f>IF(K152&gt;Forudsætninger!$C$48,IF(K152&gt;Forudsætninger!$C$49,IF(K152&gt;Forudsætninger!$C$50,Forudsætninger!$E$50,Forudsætninger!$E$49+Forudsætninger!$F$50*(K152-Forudsætninger!$C$49)),Forudsætninger!$E$48+Forudsætninger!$F$49*(K152-Forudsætninger!$C$48)),Forudsætninger!$E$48)+IF(K152&gt;Forudsætninger!$C$50,Forudsætninger!$G$50,IF(K152&gt;Forudsætninger!$C$49,Forudsætninger!$G$49+Forudsætninger!$H$50*(K152-Forudsætninger!$C$49),IF(K152&gt;Forudsætninger!$C$48,Forudsætninger!$G$48+Forudsætninger!$H$49*(K152-Forudsætninger!$C$48),Forudsætninger!$G$48)))*(U152-Forudsætninger!$H$48)</f>
        <v>35.199623210397803</v>
      </c>
      <c r="AC152" s="19">
        <f>IF(K152&gt;Forudsætninger!$C$52,IF(K152&gt;Forudsætninger!$C$53,IF(K152&gt;Forudsætninger!$C$54,Forudsætninger!$E$54,Forudsætninger!$E$53+Forudsætninger!$F$54*(K152-Forudsætninger!$C$53)),Forudsætninger!$E$52+Forudsætninger!$F$53*(K152-Forudsætninger!$C$52)),Forudsætninger!$E$52)+IF(K152&gt;Forudsætninger!$C$54,Forudsætninger!$G$54,IF(K152&gt;Forudsætninger!$C$53,Forudsætninger!$G$53+Forudsætninger!$H$54*(K152-Forudsætninger!$C$53),IF(K152&gt;Forudsætninger!$C$52,Forudsætninger!$G$52+Forudsætninger!$H$53*(K152-Forudsætninger!$C$52),Forudsætninger!$G$52)))*(V152-Forudsætninger!$H$52)</f>
        <v>30.149058025994499</v>
      </c>
      <c r="AD152" s="19">
        <f t="shared" si="60"/>
        <v>3858.0796676987529</v>
      </c>
      <c r="AE152" s="19">
        <f t="shared" si="61"/>
        <v>30.149058025994499</v>
      </c>
      <c r="AF152">
        <f>IF(G152&lt;=Forudsætninger!$C$97,Forudsætninger!$C$98,(IF(G152&lt;=Forudsætninger!$D$97,Forudsætninger!$D$98,IF(G152&lt;=Forudsætninger!$E$97,Forudsætninger!$E$98,IF(G152&lt;=Forudsætninger!$F$97,Forudsætninger!$F$98,IF(G152&lt;=Forudsætninger!$G$97,Forudsætninger!$G$98,IF(G152&lt;=Forudsætninger!$H$97,Forudsætninger!$H$98,IF(G152&lt;=Forudsætninger!$I$97,Forudsætninger!$I$98,Forudsætninger!$I$98))))))))</f>
        <v>3.2</v>
      </c>
      <c r="AG152" s="1">
        <f t="shared" si="70"/>
        <v>3.2</v>
      </c>
      <c r="AH152" s="1">
        <f t="shared" si="74"/>
        <v>363.99999999999909</v>
      </c>
      <c r="AI152" s="1">
        <f t="shared" si="62"/>
        <v>2.4266666666666605</v>
      </c>
      <c r="AJ152" s="20">
        <f>+(W152*Forudsætninger!$C$12)</f>
        <v>0</v>
      </c>
      <c r="AK152" s="20">
        <f>Forudsætninger!$C$17</f>
        <v>250</v>
      </c>
      <c r="AL152" s="20">
        <f>IF(A152&lt;92,Forudsætninger!$C$20,Forudsætninger!$C$21)</f>
        <v>1.0566762728146013</v>
      </c>
      <c r="AM152" s="20">
        <f t="shared" si="71"/>
        <v>427.00692377548057</v>
      </c>
      <c r="AN152" s="19">
        <f>IFERROR(AD152+AJ152-AA152-Z152-AK152-AM152-Forudsætninger!$E$75,-999999)</f>
        <v>-691.2947739879495</v>
      </c>
      <c r="AO152" s="19">
        <f>IFERROR(AN152/(A152+Forudsætninger!$E$74),-999999)</f>
        <v>-4.60863182658633</v>
      </c>
      <c r="AP152" s="19">
        <f>IFERROR(((365/(A152+Forudsætninger!$E$74))*AN152)/(AI152+Forudsætninger!$E$73),-999999)</f>
        <v>-663.13427728147735</v>
      </c>
      <c r="AQ152" s="18">
        <f t="shared" si="63"/>
        <v>150</v>
      </c>
      <c r="AR152" s="18">
        <f t="shared" si="75"/>
        <v>4358.1576803500866</v>
      </c>
      <c r="AS152" s="18">
        <f t="shared" si="55"/>
        <v>6.1</v>
      </c>
      <c r="AT152" s="50">
        <f t="shared" si="76"/>
        <v>6.9208429782695475</v>
      </c>
      <c r="AU152" s="50">
        <f t="shared" si="77"/>
        <v>7.7379025535945445E-2</v>
      </c>
      <c r="AV152" s="2">
        <f t="shared" si="78"/>
        <v>12.516456281635669</v>
      </c>
      <c r="AW152" s="16">
        <f t="shared" si="72"/>
        <v>-1.7619190014164594</v>
      </c>
      <c r="AZ152" s="16"/>
      <c r="BA152" s="2"/>
    </row>
    <row r="153" spans="1:53" x14ac:dyDescent="0.25">
      <c r="A153">
        <v>151</v>
      </c>
      <c r="B153" s="1">
        <f>ROUND((A153+Forudsætninger!$E$60)/30.4,1)</f>
        <v>6.2</v>
      </c>
      <c r="C153" s="1">
        <f>VLOOKUP((A153+Forudsætninger!$E$60),'Model tilvækst, slagteform, fe'!A:D,4,FALSE)</f>
        <v>270.87064515434054</v>
      </c>
      <c r="D153" s="3">
        <f t="shared" si="79"/>
        <v>1566.4032942983113</v>
      </c>
      <c r="E153" s="3">
        <f>(1+Forudsætninger!$E$78)*C153</f>
        <v>249.20099354199331</v>
      </c>
      <c r="F153" s="2">
        <f t="shared" si="81"/>
        <v>0</v>
      </c>
      <c r="G153" s="1">
        <f t="shared" si="56"/>
        <v>249.20099354199331</v>
      </c>
      <c r="H153" s="3">
        <f t="shared" si="64"/>
        <v>1441.0910307544498</v>
      </c>
      <c r="I153" s="3">
        <f t="shared" si="57"/>
        <v>1200.0065797483001</v>
      </c>
      <c r="J153" s="1">
        <f>VLOOKUP((A153+Forudsætninger!$E$60),'Model tilvækst, slagteform, fe'!G:K,4,FALSE)*(1+Forudsætninger!$E$79)</f>
        <v>51.671455253269635</v>
      </c>
      <c r="K153" s="17">
        <f t="shared" si="58"/>
        <v>128.76577986875444</v>
      </c>
      <c r="L153" s="17">
        <f t="shared" si="65"/>
        <v>798.94042812186683</v>
      </c>
      <c r="M153" s="3">
        <f>((K153-(('Model tilvækst, slagteform, fe'!$J$9/100)*'Model tilvækst, slagteform, fe'!$D$9))*1000/(A153+Forudsætninger!$E$60))</f>
        <v>580.38166702626302</v>
      </c>
      <c r="N153" s="17">
        <f t="shared" si="66"/>
        <v>627.60119042008932</v>
      </c>
      <c r="O153" s="19">
        <f>IF( A153&lt;Forudsætninger!$C$14,(G153/100)*Forudsætninger!$C$13,(Forudsætninger!$C$15/1000)*Forudsætninger!$C$13)</f>
        <v>1.6198064580229565</v>
      </c>
      <c r="P153" s="17" cm="1">
        <f t="array" ref="P153">INDEX('Model tilvækst, slagteform, fe'!$P$9:$P$375,MATCH(MIN(ABS('Model tilvækst, slagteform, fe'!$M$9:$M$375-G153)),ABS('Model tilvækst, slagteform, fe'!$M$9:$M$375-G153),0))*(1+Forudsætninger!$E$80)</f>
        <v>6.3259492688121064</v>
      </c>
      <c r="Q153" s="17">
        <f t="shared" si="67"/>
        <v>7.9179235974865128</v>
      </c>
      <c r="R153" s="17">
        <f t="shared" si="68"/>
        <v>6.5512218107930718</v>
      </c>
      <c r="S153" s="17">
        <f t="shared" si="69"/>
        <v>3.4635637374396779</v>
      </c>
      <c r="T153" s="19">
        <f>(P153)*IF(N153&lt;Forudsætninger!$B$228,IF(N153&lt;Forudsætninger!$B$227,Forudsætninger!$B$225,Forudsætninger!$C$9),Forudsætninger!$C$11)+O153</f>
        <v>16.422527747043283</v>
      </c>
      <c r="U153" s="5">
        <f>Forudsætninger!$E$68+((K153-(Forudsætninger!$E$84)))*0.01</f>
        <v>6.0042215082592136</v>
      </c>
      <c r="V153" s="2">
        <f>U153+Forudsætninger!$E$69</f>
        <v>6.0042215082592136</v>
      </c>
      <c r="W153">
        <f t="shared" si="59"/>
        <v>0</v>
      </c>
      <c r="X153">
        <f>IF(A153+Forudsætninger!$E$60&gt;248,IF(A153+Forudsætninger!$E$60&lt;365,IF(K153&gt;180,IF(K153&lt;260,1,0),0),0),0)</f>
        <v>0</v>
      </c>
      <c r="Y153" s="22">
        <f>IF(X153=0,0,IF('Vækstfunktion, kry kvie'!A153&lt;Forudsætninger!$E$66,Forudsætninger!$E$67+(('Vækstfunktion, kry kvie'!A153-Forudsætninger!$E$66)/7)*Forudsætninger!$E$64,Forudsætninger!$E$67))</f>
        <v>0</v>
      </c>
      <c r="Z153" s="19">
        <f t="shared" si="73"/>
        <v>2122.5732843216492</v>
      </c>
      <c r="AA153" s="19">
        <f>Forudsætninger!$E$62+Forudsætninger!$C$16</f>
        <v>1575</v>
      </c>
      <c r="AB153" s="19">
        <f>IF(K153&gt;Forudsætninger!$C$48,IF(K153&gt;Forudsætninger!$C$49,IF(K153&gt;Forudsætninger!$C$50,Forudsætninger!$E$50,Forudsætninger!$E$49+Forudsætninger!$F$50*(K153-Forudsætninger!$C$49)),Forudsætninger!$E$48+Forudsætninger!$F$49*(K153-Forudsætninger!$C$48)),Forudsætninger!$E$48)+IF(K153&gt;Forudsætninger!$C$50,Forudsætninger!$G$50,IF(K153&gt;Forudsætninger!$C$49,Forudsætninger!$G$49+Forudsætninger!$H$50*(K153-Forudsætninger!$C$49),IF(K153&gt;Forudsætninger!$C$48,Forudsætninger!$G$48+Forudsætninger!$H$49*(K153-Forudsætninger!$C$48),Forudsætninger!$G$48)))*(U153-Forudsætninger!$H$48)</f>
        <v>35.200422150825922</v>
      </c>
      <c r="AC153" s="19">
        <f>IF(K153&gt;Forudsætninger!$C$52,IF(K153&gt;Forudsætninger!$C$53,IF(K153&gt;Forudsætninger!$C$54,Forudsætninger!$E$54,Forudsætninger!$E$53+Forudsætninger!$F$54*(K153-Forudsætninger!$C$53)),Forudsætninger!$E$52+Forudsætninger!$F$53*(K153-Forudsætninger!$C$52)),Forudsætninger!$E$52)+IF(K153&gt;Forudsætninger!$C$54,Forudsætninger!$G$54,IF(K153&gt;Forudsætninger!$C$53,Forudsætninger!$G$53+Forudsætninger!$H$54*(K153-Forudsætninger!$C$53),IF(K153&gt;Forudsætninger!$C$52,Forudsætninger!$G$52+Forudsætninger!$H$53*(K153-Forudsætninger!$C$52),Forudsætninger!$G$52)))*(V153-Forudsætninger!$H$52)</f>
        <v>30.1510553770648</v>
      </c>
      <c r="AD153" s="19">
        <f t="shared" si="60"/>
        <v>3882.4241594937507</v>
      </c>
      <c r="AE153" s="19">
        <f t="shared" si="61"/>
        <v>30.1510553770648</v>
      </c>
      <c r="AF153">
        <f>IF(G153&lt;=Forudsætninger!$C$97,Forudsætninger!$C$98,(IF(G153&lt;=Forudsætninger!$D$97,Forudsætninger!$D$98,IF(G153&lt;=Forudsætninger!$E$97,Forudsætninger!$E$98,IF(G153&lt;=Forudsætninger!$F$97,Forudsætninger!$F$98,IF(G153&lt;=Forudsætninger!$G$97,Forudsætninger!$G$98,IF(G153&lt;=Forudsætninger!$H$97,Forudsætninger!$H$98,IF(G153&lt;=Forudsætninger!$I$97,Forudsætninger!$I$98,Forudsætninger!$I$98))))))))</f>
        <v>3.2</v>
      </c>
      <c r="AG153" s="1">
        <f t="shared" si="70"/>
        <v>3.2</v>
      </c>
      <c r="AH153" s="1">
        <f t="shared" si="74"/>
        <v>367.19999999999908</v>
      </c>
      <c r="AI153" s="1">
        <f t="shared" si="62"/>
        <v>2.4317880794701927</v>
      </c>
      <c r="AJ153" s="20">
        <f>+(W153*Forudsætninger!$C$12)</f>
        <v>0</v>
      </c>
      <c r="AK153" s="20">
        <f>Forudsætninger!$C$17</f>
        <v>250</v>
      </c>
      <c r="AL153" s="20">
        <f>IF(A153&lt;92,Forudsætninger!$C$20,Forudsætninger!$C$21)</f>
        <v>1.0566762728146013</v>
      </c>
      <c r="AM153" s="20">
        <f t="shared" si="71"/>
        <v>428.0636000482952</v>
      </c>
      <c r="AN153" s="19">
        <f>IFERROR(AD153+AJ153-AA153-Z153-AK153-AM153-Forudsætninger!$E$75,-999999)</f>
        <v>-684.42948621280948</v>
      </c>
      <c r="AO153" s="19">
        <f>IFERROR(AN153/(A153+Forudsætninger!$E$74),-999999)</f>
        <v>-4.5326456040583407</v>
      </c>
      <c r="AP153" s="19">
        <f>IFERROR(((365/(A153+Forudsætninger!$E$74))*AN153)/(AI153+Forudsætninger!$E$73),-999999)</f>
        <v>-650.88653882826418</v>
      </c>
      <c r="AQ153" s="18">
        <f t="shared" si="63"/>
        <v>151</v>
      </c>
      <c r="AR153" s="18">
        <f t="shared" si="75"/>
        <v>4375.6368843699447</v>
      </c>
      <c r="AS153" s="18">
        <f t="shared" si="55"/>
        <v>6.2</v>
      </c>
      <c r="AT153" s="50">
        <f t="shared" si="76"/>
        <v>6.8652877751400183</v>
      </c>
      <c r="AU153" s="50">
        <f t="shared" si="77"/>
        <v>7.5986222527989256E-2</v>
      </c>
      <c r="AV153" s="2">
        <f t="shared" si="78"/>
        <v>12.247738453213174</v>
      </c>
      <c r="AW153" s="16">
        <f t="shared" si="72"/>
        <v>-1.6977873255928098</v>
      </c>
      <c r="AZ153" s="16"/>
      <c r="BA153" s="2"/>
    </row>
    <row r="154" spans="1:53" x14ac:dyDescent="0.25">
      <c r="A154">
        <v>152</v>
      </c>
      <c r="B154" s="1">
        <f>ROUND((A154+Forudsætninger!$E$60)/30.4,1)</f>
        <v>6.2</v>
      </c>
      <c r="C154" s="1">
        <f>VLOOKUP((A154+Forudsætninger!$E$60),'Model tilvækst, slagteform, fe'!A:D,4,FALSE)</f>
        <v>272.43533250834543</v>
      </c>
      <c r="D154" s="3">
        <f t="shared" si="79"/>
        <v>1564.6873540048887</v>
      </c>
      <c r="E154" s="3">
        <f>(1+Forudsætninger!$E$78)*C154</f>
        <v>250.64050590767781</v>
      </c>
      <c r="F154" s="2">
        <f t="shared" si="81"/>
        <v>0</v>
      </c>
      <c r="G154" s="1">
        <f t="shared" si="56"/>
        <v>250.64050590767781</v>
      </c>
      <c r="H154" s="3">
        <f t="shared" si="64"/>
        <v>1439.512365684493</v>
      </c>
      <c r="I154" s="3">
        <f t="shared" si="57"/>
        <v>1201.5822757084068</v>
      </c>
      <c r="J154" s="1">
        <f>VLOOKUP((A154+Forudsætninger!$E$60),'Model tilvækst, slagteform, fe'!G:K,4,FALSE)*(1+Forudsætninger!$E$79)</f>
        <v>51.693404421075805</v>
      </c>
      <c r="K154" s="17">
        <f t="shared" si="58"/>
        <v>129.56461036188628</v>
      </c>
      <c r="L154" s="17">
        <f t="shared" si="65"/>
        <v>798.83049313184529</v>
      </c>
      <c r="M154" s="3">
        <f>((K154-(('Model tilvækst, slagteform, fe'!$J$9/100)*'Model tilvækst, slagteform, fe'!$D$9))*1000/(A154+Forudsætninger!$E$60))</f>
        <v>581.54362886725016</v>
      </c>
      <c r="N154" s="17">
        <f t="shared" si="66"/>
        <v>633.96721362404401</v>
      </c>
      <c r="O154" s="19">
        <f>IF( A154&lt;Forudsætninger!$C$14,(G154/100)*Forudsætninger!$C$13,(Forudsætninger!$C$15/1000)*Forudsætninger!$C$13)</f>
        <v>1.6291632883999059</v>
      </c>
      <c r="P154" s="17" cm="1">
        <f t="array" ref="P154">INDEX('Model tilvækst, slagteform, fe'!$P$9:$P$375,MATCH(MIN(ABS('Model tilvækst, slagteform, fe'!$M$9:$M$375-G154)),ABS('Model tilvækst, slagteform, fe'!$M$9:$M$375-G154),0))*(1+Forudsætninger!$E$80)</f>
        <v>6.3660232039546791</v>
      </c>
      <c r="Q154" s="17">
        <f t="shared" si="67"/>
        <v>7.9691790169356747</v>
      </c>
      <c r="R154" s="17">
        <f t="shared" si="68"/>
        <v>6.5629478113619477</v>
      </c>
      <c r="S154" s="17">
        <f t="shared" si="69"/>
        <v>3.4711205516727239</v>
      </c>
      <c r="T154" s="19">
        <f>(P154)*IF(N154&lt;Forudsætninger!$B$228,IF(N154&lt;Forudsætninger!$B$227,Forudsætninger!$B$225,Forudsætninger!$C$9),Forudsætninger!$C$11)+O154</f>
        <v>16.525657585653853</v>
      </c>
      <c r="U154" s="5">
        <f>Forudsætninger!$E$68+((K154-(Forudsætninger!$E$84)))*0.01</f>
        <v>6.0122098131905322</v>
      </c>
      <c r="V154" s="2">
        <f>U154+Forudsætninger!$E$69</f>
        <v>6.0122098131905322</v>
      </c>
      <c r="W154">
        <f t="shared" si="59"/>
        <v>0</v>
      </c>
      <c r="X154">
        <f>IF(A154+Forudsætninger!$E$60&gt;248,IF(A154+Forudsætninger!$E$60&lt;365,IF(K154&gt;180,IF(K154&lt;260,1,0),0),0),0)</f>
        <v>0</v>
      </c>
      <c r="Y154" s="22">
        <f>IF(X154=0,0,IF('Vækstfunktion, kry kvie'!A154&lt;Forudsætninger!$E$66,Forudsætninger!$E$67+(('Vækstfunktion, kry kvie'!A154-Forudsætninger!$E$66)/7)*Forudsætninger!$E$64,Forudsætninger!$E$67))</f>
        <v>0</v>
      </c>
      <c r="Z154" s="19">
        <f>Z153+T154</f>
        <v>2139.098941907303</v>
      </c>
      <c r="AA154" s="19">
        <f>Forudsætninger!$E$62+Forudsætninger!$C$16</f>
        <v>1575</v>
      </c>
      <c r="AB154" s="19">
        <f>IF(K154&gt;Forudsætninger!$C$48,IF(K154&gt;Forudsætninger!$C$49,IF(K154&gt;Forudsætninger!$C$50,Forudsætninger!$E$50,Forudsætninger!$E$49+Forudsætninger!$F$50*(K154-Forudsætninger!$C$49)),Forudsætninger!$E$48+Forudsætninger!$F$49*(K154-Forudsætninger!$C$48)),Forudsætninger!$E$48)+IF(K154&gt;Forudsætninger!$C$50,Forudsætninger!$G$50,IF(K154&gt;Forudsætninger!$C$49,Forudsætninger!$G$49+Forudsætninger!$H$50*(K154-Forudsætninger!$C$49),IF(K154&gt;Forudsætninger!$C$48,Forudsætninger!$G$48+Forudsætninger!$H$49*(K154-Forudsætninger!$C$48),Forudsætninger!$G$48)))*(U154-Forudsætninger!$H$48)</f>
        <v>35.201220981319054</v>
      </c>
      <c r="AC154" s="19">
        <f>IF(K154&gt;Forudsætninger!$C$52,IF(K154&gt;Forudsætninger!$C$53,IF(K154&gt;Forudsætninger!$C$54,Forudsætninger!$E$54,Forudsætninger!$E$53+Forudsætninger!$F$54*(K154-Forudsætninger!$C$53)),Forudsætninger!$E$52+Forudsætninger!$F$53*(K154-Forudsætninger!$C$52)),Forudsætninger!$E$52)+IF(K154&gt;Forudsætninger!$C$54,Forudsætninger!$G$54,IF(K154&gt;Forudsætninger!$C$53,Forudsætninger!$G$53+Forudsætninger!$H$54*(K154-Forudsætninger!$C$53),IF(K154&gt;Forudsætninger!$C$52,Forudsætninger!$G$52+Forudsætninger!$H$53*(K154-Forudsætninger!$C$52),Forudsætninger!$G$52)))*(V154-Forudsætninger!$H$52)</f>
        <v>30.153052453297633</v>
      </c>
      <c r="AD154" s="19">
        <f t="shared" si="60"/>
        <v>3906.7684923330271</v>
      </c>
      <c r="AE154" s="19">
        <f t="shared" si="61"/>
        <v>30.153052453297633</v>
      </c>
      <c r="AF154">
        <f>IF(G154&lt;=Forudsætninger!$C$97,Forudsætninger!$C$98,(IF(G154&lt;=Forudsætninger!$D$97,Forudsætninger!$D$98,IF(G154&lt;=Forudsætninger!$E$97,Forudsætninger!$E$98,IF(G154&lt;=Forudsætninger!$F$97,Forudsætninger!$F$98,IF(G154&lt;=Forudsætninger!$G$97,Forudsætninger!$G$98,IF(G154&lt;=Forudsætninger!$H$97,Forudsætninger!$H$98,IF(G154&lt;=Forudsætninger!$I$97,Forudsætninger!$I$98,Forudsætninger!$I$98))))))))</f>
        <v>3.2</v>
      </c>
      <c r="AG154" s="1">
        <f t="shared" si="70"/>
        <v>3.2</v>
      </c>
      <c r="AH154" s="1">
        <f t="shared" si="74"/>
        <v>370.39999999999907</v>
      </c>
      <c r="AI154" s="1">
        <f t="shared" si="62"/>
        <v>2.4368421052631519</v>
      </c>
      <c r="AJ154" s="20">
        <f>+(W154*Forudsætninger!$C$12)</f>
        <v>0</v>
      </c>
      <c r="AK154" s="20">
        <f>Forudsætninger!$C$17</f>
        <v>250</v>
      </c>
      <c r="AL154" s="20">
        <f>IF(A154&lt;92,Forudsætninger!$C$20,Forudsætninger!$C$21)</f>
        <v>1.0566762728146013</v>
      </c>
      <c r="AM154" s="20">
        <f t="shared" si="71"/>
        <v>429.12027632110983</v>
      </c>
      <c r="AN154" s="19">
        <f>IFERROR(AD154+AJ154-AA154-Z154-AK154-AM154-Forudsætninger!$E$75,-999999)</f>
        <v>-677.66748723200158</v>
      </c>
      <c r="AO154" s="19">
        <f>IFERROR(AN154/(A154+Forudsætninger!$E$74),-999999)</f>
        <v>-4.4583387317894845</v>
      </c>
      <c r="AP154" s="19">
        <f>IFERROR(((365/(A154+Forudsætninger!$E$74))*AN154)/(AI154+Forudsætninger!$E$73),-999999)</f>
        <v>-638.94563143129039</v>
      </c>
      <c r="AQ154" s="18">
        <f t="shared" si="63"/>
        <v>152</v>
      </c>
      <c r="AR154" s="18">
        <f t="shared" si="75"/>
        <v>4393.2192182284125</v>
      </c>
      <c r="AS154" s="18">
        <f t="shared" si="55"/>
        <v>6.2</v>
      </c>
      <c r="AT154" s="50">
        <f t="shared" si="76"/>
        <v>6.7619989808079026</v>
      </c>
      <c r="AU154" s="50">
        <f t="shared" si="77"/>
        <v>7.4306872268856239E-2</v>
      </c>
      <c r="AV154" s="2">
        <f t="shared" si="78"/>
        <v>11.940907396973785</v>
      </c>
      <c r="AW154" s="16">
        <f t="shared" si="72"/>
        <v>-1.6351790191506037</v>
      </c>
      <c r="AZ154" s="16"/>
      <c r="BA154" s="2"/>
    </row>
    <row r="155" spans="1:53" x14ac:dyDescent="0.25">
      <c r="A155">
        <v>153</v>
      </c>
      <c r="B155" s="1">
        <f>ROUND((A155+Forudsætninger!$E$60)/30.4,1)</f>
        <v>6.2</v>
      </c>
      <c r="C155" s="1">
        <f>VLOOKUP((A155+Forudsætninger!$E$60),'Model tilvækst, slagteform, fe'!A:D,4,FALSE)</f>
        <v>273.99824359092258</v>
      </c>
      <c r="D155" s="3">
        <f t="shared" si="79"/>
        <v>1562.911082577159</v>
      </c>
      <c r="E155" s="3">
        <f>(1+Forudsætninger!$E$78)*C155</f>
        <v>252.0783841036488</v>
      </c>
      <c r="F155" s="2">
        <f t="shared" si="81"/>
        <v>0</v>
      </c>
      <c r="G155" s="1">
        <f t="shared" si="56"/>
        <v>252.0783841036488</v>
      </c>
      <c r="H155" s="3">
        <f t="shared" si="64"/>
        <v>1437.8781959709954</v>
      </c>
      <c r="I155" s="3">
        <f t="shared" si="57"/>
        <v>1203.1266934879006</v>
      </c>
      <c r="J155" s="1">
        <f>VLOOKUP((A155+Forudsætninger!$E$60),'Model tilvækst, slagteform, fe'!G:K,4,FALSE)*(1+Forudsætninger!$E$79)</f>
        <v>51.715378791436507</v>
      </c>
      <c r="K155" s="17">
        <f t="shared" si="58"/>
        <v>130.36329119053426</v>
      </c>
      <c r="L155" s="17">
        <f t="shared" si="65"/>
        <v>798.68082864797429</v>
      </c>
      <c r="M155" s="3">
        <f>((K155-(('Model tilvækst, slagteform, fe'!$J$9/100)*'Model tilvækst, slagteform, fe'!$D$9))*1000/(A155+Forudsætninger!$E$60))</f>
        <v>582.6925029401641</v>
      </c>
      <c r="N155" s="17">
        <f t="shared" si="66"/>
        <v>640.35311740501345</v>
      </c>
      <c r="O155" s="19">
        <f>IF( A155&lt;Forudsætninger!$C$14,(G155/100)*Forudsætninger!$C$13,(Forudsætninger!$C$15/1000)*Forudsætninger!$C$13)</f>
        <v>1.6385094966737175</v>
      </c>
      <c r="P155" s="17" cm="1">
        <f t="array" ref="P155">INDEX('Model tilvækst, slagteform, fe'!$P$9:$P$375,MATCH(MIN(ABS('Model tilvækst, slagteform, fe'!$M$9:$M$375-G155)),ABS('Model tilvækst, slagteform, fe'!$M$9:$M$375-G155),0))*(1+Forudsætninger!$E$80)</f>
        <v>6.3859037809693948</v>
      </c>
      <c r="Q155" s="17">
        <f t="shared" si="67"/>
        <v>7.9955641251331935</v>
      </c>
      <c r="R155" s="17">
        <f t="shared" si="68"/>
        <v>6.5746956853655467</v>
      </c>
      <c r="S155" s="17">
        <f t="shared" si="69"/>
        <v>3.4786980585642828</v>
      </c>
      <c r="T155" s="19">
        <f>(P155)*IF(N155&lt;Forudsætninger!$B$228,IF(N155&lt;Forudsætninger!$B$227,Forudsætninger!$B$225,Forudsætninger!$C$9),Forudsætninger!$C$11)+O155</f>
        <v>16.5815243441421</v>
      </c>
      <c r="U155" s="5">
        <f>Forudsætninger!$E$68+((K155-(Forudsætninger!$E$84)))*0.01</f>
        <v>6.0201966214770115</v>
      </c>
      <c r="V155" s="2">
        <f>U155+Forudsætninger!$E$69</f>
        <v>6.0201966214770115</v>
      </c>
      <c r="W155">
        <f t="shared" si="59"/>
        <v>1</v>
      </c>
      <c r="X155">
        <f>IF(A155+Forudsætninger!$E$60&gt;248,IF(A155+Forudsætninger!$E$60&lt;365,IF(K155&gt;180,IF(K155&lt;260,1,0),0),0),0)</f>
        <v>0</v>
      </c>
      <c r="Y155" s="22">
        <f>IF(X155=0,0,IF('Vækstfunktion, kry kvie'!A155&lt;Forudsætninger!$E$66,Forudsætninger!$E$67+(('Vækstfunktion, kry kvie'!A155-Forudsætninger!$E$66)/7)*Forudsætninger!$E$64,Forudsætninger!$E$67))</f>
        <v>0</v>
      </c>
      <c r="Z155" s="19">
        <f t="shared" si="73"/>
        <v>2155.6804662514451</v>
      </c>
      <c r="AA155" s="19">
        <f>Forudsætninger!$E$62+Forudsætninger!$C$16</f>
        <v>1575</v>
      </c>
      <c r="AB155" s="19">
        <f>IF(K155&gt;Forudsætninger!$C$48,IF(K155&gt;Forudsætninger!$C$49,IF(K155&gt;Forudsætninger!$C$50,Forudsætninger!$E$50,Forudsætninger!$E$49+Forudsætninger!$F$50*(K155-Forudsætninger!$C$49)),Forudsætninger!$E$48+Forudsætninger!$F$49*(K155-Forudsætninger!$C$48)),Forudsætninger!$E$48)+IF(K155&gt;Forudsætninger!$C$50,Forudsætninger!$G$50,IF(K155&gt;Forudsætninger!$C$49,Forudsætninger!$G$49+Forudsætninger!$H$50*(K155-Forudsætninger!$C$49),IF(K155&gt;Forudsætninger!$C$48,Forudsætninger!$G$48+Forudsætninger!$H$49*(K155-Forudsætninger!$C$48),Forudsætninger!$G$48)))*(U155-Forudsætninger!$H$48)</f>
        <v>35.202019662147698</v>
      </c>
      <c r="AC155" s="19">
        <f>IF(K155&gt;Forudsætninger!$C$52,IF(K155&gt;Forudsætninger!$C$53,IF(K155&gt;Forudsætninger!$C$54,Forudsætninger!$E$54,Forudsætninger!$E$53+Forudsætninger!$F$54*(K155-Forudsætninger!$C$53)),Forudsætninger!$E$52+Forudsætninger!$F$53*(K155-Forudsætninger!$C$52)),Forudsætninger!$E$52)+IF(K155&gt;Forudsætninger!$C$54,Forudsætninger!$G$54,IF(K155&gt;Forudsætninger!$C$53,Forudsætninger!$G$53+Forudsætninger!$H$54*(K155-Forudsætninger!$C$53),IF(K155&gt;Forudsætninger!$C$52,Forudsætninger!$G$52+Forudsætninger!$H$53*(K155-Forudsætninger!$C$52),Forudsætninger!$G$52)))*(V155-Forudsætninger!$H$52)</f>
        <v>30.155049155369252</v>
      </c>
      <c r="AD155" s="19">
        <f t="shared" si="60"/>
        <v>3931.111453906276</v>
      </c>
      <c r="AE155" s="19">
        <f t="shared" si="61"/>
        <v>30.155049155369252</v>
      </c>
      <c r="AF155">
        <f>IF(G155&lt;=Forudsætninger!$C$97,Forudsætninger!$C$98,(IF(G155&lt;=Forudsætninger!$D$97,Forudsætninger!$D$98,IF(G155&lt;=Forudsætninger!$E$97,Forudsætninger!$E$98,IF(G155&lt;=Forudsætninger!$F$97,Forudsætninger!$F$98,IF(G155&lt;=Forudsætninger!$G$97,Forudsætninger!$G$98,IF(G155&lt;=Forudsætninger!$H$97,Forudsætninger!$H$98,IF(G155&lt;=Forudsætninger!$I$97,Forudsætninger!$I$98,Forudsætninger!$I$98))))))))</f>
        <v>3.2</v>
      </c>
      <c r="AG155" s="1">
        <f t="shared" si="70"/>
        <v>3.2</v>
      </c>
      <c r="AH155" s="1">
        <f t="shared" si="74"/>
        <v>373.59999999999906</v>
      </c>
      <c r="AI155" s="1">
        <f t="shared" si="62"/>
        <v>2.4418300653594711</v>
      </c>
      <c r="AJ155" s="20">
        <f>+(W155*Forudsætninger!$C$12)</f>
        <v>900</v>
      </c>
      <c r="AK155" s="20">
        <f>Forudsætninger!$C$17</f>
        <v>250</v>
      </c>
      <c r="AL155" s="20">
        <f>IF(A155&lt;92,Forudsætninger!$C$20,Forudsætninger!$C$21)</f>
        <v>1.0566762728146013</v>
      </c>
      <c r="AM155" s="20">
        <f t="shared" si="71"/>
        <v>430.17695259392445</v>
      </c>
      <c r="AN155" s="19">
        <f>IFERROR(AD155+AJ155-AA155-Z155-AK155-AM155-Forudsætninger!$E$75,-999999)</f>
        <v>229.03727372429111</v>
      </c>
      <c r="AO155" s="19">
        <f>IFERROR(AN155/(A155+Forudsætninger!$E$74),-999999)</f>
        <v>1.4969756452568046</v>
      </c>
      <c r="AP155" s="19">
        <f>IFERROR(((365/(A155+Forudsætninger!$E$74))*AN155)/(AI155+Forudsætninger!$E$73),-999999)</f>
        <v>214.1193169309901</v>
      </c>
      <c r="AQ155" s="18">
        <f t="shared" si="63"/>
        <v>153</v>
      </c>
      <c r="AR155" s="18">
        <f t="shared" si="75"/>
        <v>4410.8574188453695</v>
      </c>
      <c r="AS155" s="18">
        <f t="shared" si="55"/>
        <v>6.2</v>
      </c>
      <c r="AT155" s="50">
        <f t="shared" si="76"/>
        <v>906.70476095629272</v>
      </c>
      <c r="AU155" s="50">
        <f t="shared" si="77"/>
        <v>5.9553143770462889</v>
      </c>
      <c r="AV155" s="2">
        <f t="shared" si="78"/>
        <v>853.06494836228046</v>
      </c>
      <c r="AW155" s="16">
        <f t="shared" si="72"/>
        <v>4.3085897144981411</v>
      </c>
      <c r="AZ155" s="16"/>
      <c r="BA155" s="2"/>
    </row>
    <row r="156" spans="1:53" x14ac:dyDescent="0.25">
      <c r="A156">
        <v>154</v>
      </c>
      <c r="B156" s="1">
        <f>ROUND((A156+Forudsætninger!$E$60)/30.4,1)</f>
        <v>6.3</v>
      </c>
      <c r="C156" s="1">
        <f>VLOOKUP((A156+Forudsætninger!$E$60),'Model tilvækst, slagteform, fe'!A:D,4,FALSE)</f>
        <v>275.55931865595852</v>
      </c>
      <c r="D156" s="3">
        <f t="shared" si="79"/>
        <v>1561.0750650359364</v>
      </c>
      <c r="E156" s="3">
        <f>(1+Forudsætninger!$E$78)*C156</f>
        <v>253.51457316348186</v>
      </c>
      <c r="F156" s="2">
        <f t="shared" si="81"/>
        <v>0</v>
      </c>
      <c r="G156" s="1">
        <f t="shared" si="56"/>
        <v>253.51457316348186</v>
      </c>
      <c r="H156" s="3">
        <f t="shared" si="64"/>
        <v>1436.1890598330547</v>
      </c>
      <c r="I156" s="3">
        <f t="shared" si="57"/>
        <v>1204.640085477155</v>
      </c>
      <c r="J156" s="1">
        <f>VLOOKUP((A156+Forudsætninger!$E$60),'Model tilvækst, slagteform, fe'!G:K,4,FALSE)*(1+Forudsætninger!$E$79)</f>
        <v>51.737373894731284</v>
      </c>
      <c r="K156" s="17">
        <f t="shared" si="58"/>
        <v>131.16178259522272</v>
      </c>
      <c r="L156" s="17">
        <f t="shared" si="65"/>
        <v>798.49140468846258</v>
      </c>
      <c r="M156" s="3">
        <f>((K156-(('Model tilvækst, slagteform, fe'!$J$9/100)*'Model tilvækst, slagteform, fe'!$D$9))*1000/(A156+Forudsætninger!$E$60))</f>
        <v>583.82828663357611</v>
      </c>
      <c r="N156" s="17">
        <f t="shared" si="66"/>
        <v>646.75879391993976</v>
      </c>
      <c r="O156" s="19">
        <f>IF( A156&lt;Forudsætninger!$C$14,(G156/100)*Forudsætninger!$C$13,(Forudsætninger!$C$15/1000)*Forudsætninger!$C$13)</f>
        <v>1.6478447255626321</v>
      </c>
      <c r="P156" s="17" cm="1">
        <f t="array" ref="P156">INDEX('Model tilvækst, slagteform, fe'!$P$9:$P$375,MATCH(MIN(ABS('Model tilvækst, slagteform, fe'!$M$9:$M$375-G156)),ABS('Model tilvækst, slagteform, fe'!$M$9:$M$375-G156),0))*(1+Forudsætninger!$E$80)</f>
        <v>6.4056765149263368</v>
      </c>
      <c r="Q156" s="17">
        <f t="shared" si="67"/>
        <v>8.0222235046168837</v>
      </c>
      <c r="R156" s="17">
        <f t="shared" si="68"/>
        <v>6.5864665214160754</v>
      </c>
      <c r="S156" s="17">
        <f t="shared" si="69"/>
        <v>3.4862964288524845</v>
      </c>
      <c r="T156" s="19">
        <f>(P156)*IF(N156&lt;Forudsætninger!$B$228,IF(N156&lt;Forudsætninger!$B$227,Forudsætninger!$B$225,Forudsætninger!$C$9),Forudsætninger!$C$11)+O156</f>
        <v>16.63712777049026</v>
      </c>
      <c r="U156" s="5">
        <f>Forudsætninger!$E$68+((K156-(Forudsætninger!$E$84)))*0.01</f>
        <v>6.0281815355238964</v>
      </c>
      <c r="V156" s="2">
        <f>U156+Forudsætninger!$E$69</f>
        <v>6.0281815355238964</v>
      </c>
      <c r="W156">
        <f t="shared" si="59"/>
        <v>1</v>
      </c>
      <c r="X156">
        <f>IF(A156+Forudsætninger!$E$60&gt;248,IF(A156+Forudsætninger!$E$60&lt;365,IF(K156&gt;180,IF(K156&lt;260,1,0),0),0),0)</f>
        <v>0</v>
      </c>
      <c r="Y156" s="22">
        <f>IF(X156=0,0,IF('Vækstfunktion, kry kvie'!A156&lt;Forudsætninger!$E$66,Forudsætninger!$E$67+(('Vækstfunktion, kry kvie'!A156-Forudsætninger!$E$66)/7)*Forudsætninger!$E$64,Forudsætninger!$E$67))</f>
        <v>0</v>
      </c>
      <c r="Z156" s="19">
        <f t="shared" si="73"/>
        <v>2172.3175940219353</v>
      </c>
      <c r="AA156" s="19">
        <f>Forudsætninger!$E$62+Forudsætninger!$C$16</f>
        <v>1575</v>
      </c>
      <c r="AB156" s="19">
        <f>IF(K156&gt;Forudsætninger!$C$48,IF(K156&gt;Forudsætninger!$C$49,IF(K156&gt;Forudsætninger!$C$50,Forudsætninger!$E$50,Forudsætninger!$E$49+Forudsætninger!$F$50*(K156-Forudsætninger!$C$49)),Forudsætninger!$E$48+Forudsætninger!$F$49*(K156-Forudsætninger!$C$48)),Forudsætninger!$E$48)+IF(K156&gt;Forudsætninger!$C$50,Forudsætninger!$G$50,IF(K156&gt;Forudsætninger!$C$49,Forudsætninger!$G$49+Forudsætninger!$H$50*(K156-Forudsætninger!$C$49),IF(K156&gt;Forudsætninger!$C$48,Forudsætninger!$G$48+Forudsætninger!$H$49*(K156-Forudsætninger!$C$48),Forudsætninger!$G$48)))*(U156-Forudsætninger!$H$48)</f>
        <v>35.202818153552393</v>
      </c>
      <c r="AC156" s="19">
        <f>IF(K156&gt;Forudsætninger!$C$52,IF(K156&gt;Forudsætninger!$C$53,IF(K156&gt;Forudsætninger!$C$54,Forudsætninger!$E$54,Forudsætninger!$E$53+Forudsætninger!$F$54*(K156-Forudsætninger!$C$53)),Forudsætninger!$E$52+Forudsætninger!$F$53*(K156-Forudsætninger!$C$52)),Forudsætninger!$E$52)+IF(K156&gt;Forudsætninger!$C$54,Forudsætninger!$G$54,IF(K156&gt;Forudsætninger!$C$53,Forudsætninger!$G$53+Forudsætninger!$H$54*(K156-Forudsætninger!$C$53),IF(K156&gt;Forudsætninger!$C$52,Forudsætninger!$G$52+Forudsætninger!$H$53*(K156-Forudsætninger!$C$52),Forudsætninger!$G$52)))*(V156-Forudsætninger!$H$52)</f>
        <v>30.157045383880973</v>
      </c>
      <c r="AD156" s="19">
        <f t="shared" si="60"/>
        <v>3955.4518303548612</v>
      </c>
      <c r="AE156" s="19">
        <f t="shared" si="61"/>
        <v>30.157045383880973</v>
      </c>
      <c r="AF156">
        <f>IF(G156&lt;=Forudsætninger!$C$97,Forudsætninger!$C$98,(IF(G156&lt;=Forudsætninger!$D$97,Forudsætninger!$D$98,IF(G156&lt;=Forudsætninger!$E$97,Forudsætninger!$E$98,IF(G156&lt;=Forudsætninger!$F$97,Forudsætninger!$F$98,IF(G156&lt;=Forudsætninger!$G$97,Forudsætninger!$G$98,IF(G156&lt;=Forudsætninger!$H$97,Forudsætninger!$H$98,IF(G156&lt;=Forudsætninger!$I$97,Forudsætninger!$I$98,Forudsætninger!$I$98))))))))</f>
        <v>3.2</v>
      </c>
      <c r="AG156" s="1">
        <f t="shared" si="70"/>
        <v>3.2</v>
      </c>
      <c r="AH156" s="1">
        <f t="shared" si="74"/>
        <v>376.79999999999905</v>
      </c>
      <c r="AI156" s="1">
        <f t="shared" si="62"/>
        <v>2.4467532467532407</v>
      </c>
      <c r="AJ156" s="20">
        <f>+(W156*Forudsætninger!$C$12)</f>
        <v>900</v>
      </c>
      <c r="AK156" s="20">
        <f>Forudsætninger!$C$17</f>
        <v>250</v>
      </c>
      <c r="AL156" s="20">
        <f>IF(A156&lt;92,Forudsætninger!$C$20,Forudsætninger!$C$21)</f>
        <v>1.0566762728146013</v>
      </c>
      <c r="AM156" s="20">
        <f t="shared" si="71"/>
        <v>431.23362886673908</v>
      </c>
      <c r="AN156" s="19">
        <f>IFERROR(AD156+AJ156-AA156-Z156-AK156-AM156-Forudsætninger!$E$75,-999999)</f>
        <v>235.68384612957098</v>
      </c>
      <c r="AO156" s="19">
        <f>IFERROR(AN156/(A156+Forudsætninger!$E$74),-999999)</f>
        <v>1.5304145852569544</v>
      </c>
      <c r="AP156" s="19">
        <f>IFERROR(((365/(A156+Forudsætninger!$E$74))*AN156)/(AI156+Forudsætninger!$E$73),-999999)</f>
        <v>218.48073306571249</v>
      </c>
      <c r="AQ156" s="18">
        <f t="shared" si="63"/>
        <v>154</v>
      </c>
      <c r="AR156" s="18">
        <f t="shared" si="75"/>
        <v>4428.5512228886746</v>
      </c>
      <c r="AS156" s="18">
        <f t="shared" si="55"/>
        <v>6.3</v>
      </c>
      <c r="AT156" s="50">
        <f t="shared" si="76"/>
        <v>6.6465724052798691</v>
      </c>
      <c r="AU156" s="50">
        <f t="shared" si="77"/>
        <v>3.3438940000149797E-2</v>
      </c>
      <c r="AV156" s="2">
        <f t="shared" si="78"/>
        <v>4.3614161347223899</v>
      </c>
      <c r="AW156" s="16">
        <f t="shared" si="72"/>
        <v>4.3306329545214934</v>
      </c>
      <c r="AZ156" s="16"/>
      <c r="BA156" s="2"/>
    </row>
    <row r="157" spans="1:53" x14ac:dyDescent="0.25">
      <c r="A157">
        <v>155</v>
      </c>
      <c r="B157" s="1">
        <f>ROUND((A157+Forudsætninger!$E$60)/30.4,1)</f>
        <v>6.3</v>
      </c>
      <c r="C157" s="1">
        <f>VLOOKUP((A157+Forudsætninger!$E$60),'Model tilvækst, slagteform, fe'!A:D,4,FALSE)</f>
        <v>277.11849854236027</v>
      </c>
      <c r="D157" s="3">
        <f t="shared" si="79"/>
        <v>1559.1798864017505</v>
      </c>
      <c r="E157" s="3">
        <f>(1+Forudsætninger!$E$78)*C157</f>
        <v>254.94901865897145</v>
      </c>
      <c r="F157" s="2">
        <f t="shared" si="81"/>
        <v>0</v>
      </c>
      <c r="G157" s="1">
        <f t="shared" si="56"/>
        <v>254.94901865897145</v>
      </c>
      <c r="H157" s="3">
        <f t="shared" si="64"/>
        <v>1434.445495489598</v>
      </c>
      <c r="I157" s="3">
        <f t="shared" si="57"/>
        <v>1206.1227010256223</v>
      </c>
      <c r="J157" s="1">
        <f>VLOOKUP((A157+Forudsætninger!$E$60),'Model tilvækst, slagteform, fe'!G:K,4,FALSE)*(1+Forudsætninger!$E$79)</f>
        <v>51.759385261339638</v>
      </c>
      <c r="K157" s="17">
        <f t="shared" si="58"/>
        <v>131.96004478770172</v>
      </c>
      <c r="L157" s="17">
        <f t="shared" si="65"/>
        <v>798.26219247900099</v>
      </c>
      <c r="M157" s="3">
        <f>((K157-(('Model tilvækst, slagteform, fe'!$J$9/100)*'Model tilvækst, slagteform, fe'!$D$9))*1000/(A157+Forudsætninger!$E$60))</f>
        <v>584.95097724009668</v>
      </c>
      <c r="N157" s="17">
        <f t="shared" si="66"/>
        <v>653.18413263875027</v>
      </c>
      <c r="O157" s="19">
        <f>IF( A157&lt;Forudsætninger!$C$14,(G157/100)*Forudsætninger!$C$13,(Forudsætninger!$C$15/1000)*Forudsætninger!$C$13)</f>
        <v>1.6571686212833143</v>
      </c>
      <c r="P157" s="17" cm="1">
        <f t="array" ref="P157">INDEX('Model tilvækst, slagteform, fe'!$P$9:$P$375,MATCH(MIN(ABS('Model tilvækst, slagteform, fe'!$M$9:$M$375-G157)),ABS('Model tilvækst, slagteform, fe'!$M$9:$M$375-G157),0))*(1+Forudsætninger!$E$80)</f>
        <v>6.4253387188104583</v>
      </c>
      <c r="Q157" s="17">
        <f t="shared" si="67"/>
        <v>8.0491582582116123</v>
      </c>
      <c r="R157" s="17">
        <f t="shared" si="68"/>
        <v>6.5982613669291466</v>
      </c>
      <c r="S157" s="17">
        <f t="shared" si="69"/>
        <v>3.4939158136490427</v>
      </c>
      <c r="T157" s="19">
        <f>(P157)*IF(N157&lt;Forudsætninger!$B$228,IF(N157&lt;Forudsætninger!$B$227,Forudsætninger!$B$225,Forudsætninger!$C$9),Forudsætninger!$C$11)+O157</f>
        <v>16.692461223299784</v>
      </c>
      <c r="U157" s="5">
        <f>Forudsætninger!$E$68+((K157-(Forudsætninger!$E$84)))*0.01</f>
        <v>6.0361641574486864</v>
      </c>
      <c r="V157" s="2">
        <f>U157+Forudsætninger!$E$69</f>
        <v>6.0361641574486864</v>
      </c>
      <c r="W157">
        <f t="shared" si="59"/>
        <v>1</v>
      </c>
      <c r="X157">
        <f>IF(A157+Forudsætninger!$E$60&gt;248,IF(A157+Forudsætninger!$E$60&lt;365,IF(K157&gt;180,IF(K157&lt;260,1,0),0),0),0)</f>
        <v>0</v>
      </c>
      <c r="Y157" s="22">
        <f>IF(X157=0,0,IF('Vækstfunktion, kry kvie'!A157&lt;Forudsætninger!$E$66,Forudsætninger!$E$67+(('Vækstfunktion, kry kvie'!A157-Forudsætninger!$E$66)/7)*Forudsætninger!$E$64,Forudsætninger!$E$67))</f>
        <v>0</v>
      </c>
      <c r="Z157" s="19">
        <f t="shared" si="73"/>
        <v>2189.010055245235</v>
      </c>
      <c r="AA157" s="19">
        <f>Forudsætninger!$E$62+Forudsætninger!$C$16</f>
        <v>1575</v>
      </c>
      <c r="AB157" s="19">
        <f>IF(K157&gt;Forudsætninger!$C$48,IF(K157&gt;Forudsætninger!$C$49,IF(K157&gt;Forudsætninger!$C$50,Forudsætninger!$E$50,Forudsætninger!$E$49+Forudsætninger!$F$50*(K157-Forudsætninger!$C$49)),Forudsætninger!$E$48+Forudsætninger!$F$49*(K157-Forudsætninger!$C$48)),Forudsætninger!$E$48)+IF(K157&gt;Forudsætninger!$C$50,Forudsætninger!$G$50,IF(K157&gt;Forudsætninger!$C$49,Forudsætninger!$G$49+Forudsætninger!$H$50*(K157-Forudsætninger!$C$49),IF(K157&gt;Forudsætninger!$C$48,Forudsætninger!$G$48+Forudsætninger!$H$49*(K157-Forudsætninger!$C$48),Forudsætninger!$G$48)))*(U157-Forudsætninger!$H$48)</f>
        <v>35.203616415744868</v>
      </c>
      <c r="AC157" s="19">
        <f>IF(K157&gt;Forudsætninger!$C$52,IF(K157&gt;Forudsætninger!$C$53,IF(K157&gt;Forudsætninger!$C$54,Forudsætninger!$E$54,Forudsætninger!$E$53+Forudsætninger!$F$54*(K157-Forudsætninger!$C$53)),Forudsætninger!$E$52+Forudsætninger!$F$53*(K157-Forudsætninger!$C$52)),Forudsætninger!$E$52)+IF(K157&gt;Forudsætninger!$C$54,Forudsætninger!$G$54,IF(K157&gt;Forudsætninger!$C$53,Forudsætninger!$G$53+Forudsætninger!$H$54*(K157-Forudsætninger!$C$53),IF(K157&gt;Forudsætninger!$C$52,Forudsætninger!$G$52+Forudsætninger!$H$53*(K157-Forudsætninger!$C$52),Forudsætninger!$G$52)))*(V157-Forudsætninger!$H$52)</f>
        <v>30.159041039362169</v>
      </c>
      <c r="AD157" s="19">
        <f t="shared" si="60"/>
        <v>3979.7884063083661</v>
      </c>
      <c r="AE157" s="19">
        <f t="shared" si="61"/>
        <v>30.159041039362169</v>
      </c>
      <c r="AF157">
        <f>IF(G157&lt;=Forudsætninger!$C$97,Forudsætninger!$C$98,(IF(G157&lt;=Forudsætninger!$D$97,Forudsætninger!$D$98,IF(G157&lt;=Forudsætninger!$E$97,Forudsætninger!$E$98,IF(G157&lt;=Forudsætninger!$F$97,Forudsætninger!$F$98,IF(G157&lt;=Forudsætninger!$G$97,Forudsætninger!$G$98,IF(G157&lt;=Forudsætninger!$H$97,Forudsætninger!$H$98,IF(G157&lt;=Forudsætninger!$I$97,Forudsætninger!$I$98,Forudsætninger!$I$98))))))))</f>
        <v>3.2</v>
      </c>
      <c r="AG157" s="1">
        <f t="shared" si="70"/>
        <v>3.2</v>
      </c>
      <c r="AH157" s="1">
        <f t="shared" si="74"/>
        <v>379.99999999999903</v>
      </c>
      <c r="AI157" s="1">
        <f t="shared" si="62"/>
        <v>2.4516129032258003</v>
      </c>
      <c r="AJ157" s="20">
        <f>+(W157*Forudsætninger!$C$12)</f>
        <v>900</v>
      </c>
      <c r="AK157" s="20">
        <f>Forudsætninger!$C$17</f>
        <v>250</v>
      </c>
      <c r="AL157" s="20">
        <f>IF(A157&lt;92,Forudsætninger!$C$20,Forudsætninger!$C$21)</f>
        <v>1.0566762728146013</v>
      </c>
      <c r="AM157" s="20">
        <f t="shared" si="71"/>
        <v>432.29030513955371</v>
      </c>
      <c r="AN157" s="19">
        <f>IFERROR(AD157+AJ157-AA157-Z157-AK157-AM157-Forudsætninger!$E$75,-999999)</f>
        <v>242.27128458696117</v>
      </c>
      <c r="AO157" s="19">
        <f>IFERROR(AN157/(A157+Forudsætninger!$E$74),-999999)</f>
        <v>1.5630405457223302</v>
      </c>
      <c r="AP157" s="19">
        <f>IFERROR(((365/(A157+Forudsætninger!$E$74))*AN157)/(AI157+Forudsætninger!$E$73),-999999)</f>
        <v>222.71507083299596</v>
      </c>
      <c r="AQ157" s="18">
        <f t="shared" si="63"/>
        <v>155</v>
      </c>
      <c r="AR157" s="18">
        <f t="shared" si="75"/>
        <v>4446.3003603847883</v>
      </c>
      <c r="AS157" s="18">
        <f t="shared" si="55"/>
        <v>6.3</v>
      </c>
      <c r="AT157" s="50">
        <f t="shared" si="76"/>
        <v>6.5874384573901921</v>
      </c>
      <c r="AU157" s="50">
        <f t="shared" si="77"/>
        <v>3.2625960465375803E-2</v>
      </c>
      <c r="AV157" s="2">
        <f t="shared" si="78"/>
        <v>4.2343377672834777</v>
      </c>
      <c r="AW157" s="16">
        <f t="shared" si="72"/>
        <v>4.3520102563000957</v>
      </c>
      <c r="AZ157" s="16"/>
      <c r="BA157" s="2"/>
    </row>
    <row r="158" spans="1:53" x14ac:dyDescent="0.25">
      <c r="A158">
        <v>156</v>
      </c>
      <c r="B158" s="1">
        <f>ROUND((A158+Forudsætninger!$E$60)/30.4,1)</f>
        <v>6.3</v>
      </c>
      <c r="C158" s="1">
        <f>VLOOKUP((A158+Forudsætninger!$E$60),'Model tilvækst, slagteform, fe'!A:D,4,FALSE)</f>
        <v>278.67572467405552</v>
      </c>
      <c r="D158" s="3">
        <f t="shared" si="79"/>
        <v>1557.2261316952449</v>
      </c>
      <c r="E158" s="3">
        <f>(1+Forudsætninger!$E$78)*C158</f>
        <v>256.38166670013106</v>
      </c>
      <c r="F158" s="2">
        <f t="shared" si="81"/>
        <v>0</v>
      </c>
      <c r="G158" s="1">
        <f t="shared" si="56"/>
        <v>256.38166670013106</v>
      </c>
      <c r="H158" s="3">
        <f t="shared" si="64"/>
        <v>1432.6480411596094</v>
      </c>
      <c r="I158" s="3">
        <f t="shared" si="57"/>
        <v>1207.5747865393016</v>
      </c>
      <c r="J158" s="1">
        <f>VLOOKUP((A158+Forudsætninger!$E$60),'Model tilvækst, slagteform, fe'!G:K,4,FALSE)*(1+Forudsætninger!$E$79)</f>
        <v>51.781408421641075</v>
      </c>
      <c r="K158" s="17">
        <f t="shared" si="58"/>
        <v>132.75803795220543</v>
      </c>
      <c r="L158" s="17">
        <f t="shared" si="65"/>
        <v>797.99316450370839</v>
      </c>
      <c r="M158" s="3">
        <f>((K158-(('Model tilvækst, slagteform, fe'!$J$9/100)*'Model tilvækst, slagteform, fe'!$D$9))*1000/(A158+Forudsætninger!$E$60))</f>
        <v>586.06057196542804</v>
      </c>
      <c r="N158" s="17">
        <f t="shared" si="66"/>
        <v>659.6484534270503</v>
      </c>
      <c r="O158" s="19">
        <f>IF( A158&lt;Forudsætninger!$C$14,(G158/100)*Forudsætninger!$C$13,(Forudsætninger!$C$15/1000)*Forudsætninger!$C$13)</f>
        <v>1.6664808335508521</v>
      </c>
      <c r="P158" s="17" cm="1">
        <f t="array" ref="P158">INDEX('Model tilvækst, slagteform, fe'!$P$9:$P$375,MATCH(MIN(ABS('Model tilvækst, slagteform, fe'!$M$9:$M$375-G158)),ABS('Model tilvækst, slagteform, fe'!$M$9:$M$375-G158),0))*(1+Forudsætninger!$E$80)</f>
        <v>6.464320788300058</v>
      </c>
      <c r="Q158" s="17">
        <f t="shared" si="67"/>
        <v>8.1007220059590086</v>
      </c>
      <c r="R158" s="17">
        <f t="shared" si="68"/>
        <v>6.6102759669402928</v>
      </c>
      <c r="S158" s="17">
        <f t="shared" si="69"/>
        <v>3.5016595031887534</v>
      </c>
      <c r="T158" s="19">
        <f>(P158)*IF(N158&lt;Forudsætninger!$B$228,IF(N158&lt;Forudsætninger!$B$227,Forudsætninger!$B$225,Forudsætninger!$C$9),Forudsætninger!$C$11)+O158</f>
        <v>16.792991478172986</v>
      </c>
      <c r="U158" s="5">
        <f>Forudsætninger!$E$68+((K158-(Forudsætninger!$E$84)))*0.01</f>
        <v>6.0441440890937237</v>
      </c>
      <c r="V158" s="2">
        <f>U158+Forudsætninger!$E$69</f>
        <v>6.0441440890937237</v>
      </c>
      <c r="W158">
        <f t="shared" si="59"/>
        <v>1</v>
      </c>
      <c r="X158">
        <f>IF(A158+Forudsætninger!$E$60&gt;248,IF(A158+Forudsætninger!$E$60&lt;365,IF(K158&gt;180,IF(K158&lt;260,1,0),0),0),0)</f>
        <v>0</v>
      </c>
      <c r="Y158" s="22">
        <f>IF(X158=0,0,IF('Vækstfunktion, kry kvie'!A158&lt;Forudsætninger!$E$66,Forudsætninger!$E$67+(('Vækstfunktion, kry kvie'!A158-Forudsætninger!$E$66)/7)*Forudsætninger!$E$64,Forudsætninger!$E$67))</f>
        <v>0</v>
      </c>
      <c r="Z158" s="19">
        <f t="shared" si="73"/>
        <v>2205.803046723408</v>
      </c>
      <c r="AA158" s="19">
        <f>Forudsætninger!$E$62+Forudsætninger!$C$16</f>
        <v>1575</v>
      </c>
      <c r="AB158" s="19">
        <f>IF(K158&gt;Forudsætninger!$C$48,IF(K158&gt;Forudsætninger!$C$49,IF(K158&gt;Forudsætninger!$C$50,Forudsætninger!$E$50,Forudsætninger!$E$49+Forudsætninger!$F$50*(K158-Forudsætninger!$C$49)),Forudsætninger!$E$48+Forudsætninger!$F$49*(K158-Forudsætninger!$C$48)),Forudsætninger!$E$48)+IF(K158&gt;Forudsætninger!$C$50,Forudsætninger!$G$50,IF(K158&gt;Forudsætninger!$C$49,Forudsætninger!$G$49+Forudsætninger!$H$50*(K158-Forudsætninger!$C$49),IF(K158&gt;Forudsætninger!$C$48,Forudsætninger!$G$48+Forudsætninger!$H$49*(K158-Forudsætninger!$C$48),Forudsætninger!$G$48)))*(U158-Forudsætninger!$H$48)</f>
        <v>35.204414408909372</v>
      </c>
      <c r="AC158" s="19">
        <f>IF(K158&gt;Forudsætninger!$C$52,IF(K158&gt;Forudsætninger!$C$53,IF(K158&gt;Forudsætninger!$C$54,Forudsætninger!$E$54,Forudsætninger!$E$53+Forudsætninger!$F$54*(K158-Forudsætninger!$C$53)),Forudsætninger!$E$52+Forudsætninger!$F$53*(K158-Forudsætninger!$C$52)),Forudsætninger!$E$52)+IF(K158&gt;Forudsætninger!$C$54,Forudsætninger!$G$54,IF(K158&gt;Forudsætninger!$C$53,Forudsætninger!$G$53+Forudsætninger!$H$54*(K158-Forudsætninger!$C$53),IF(K158&gt;Forudsætninger!$C$52,Forudsætninger!$G$52+Forudsætninger!$H$53*(K158-Forudsætninger!$C$52),Forudsætninger!$G$52)))*(V158-Forudsætninger!$H$52)</f>
        <v>30.161036022273429</v>
      </c>
      <c r="AD158" s="19">
        <f t="shared" si="60"/>
        <v>4004.1199649228111</v>
      </c>
      <c r="AE158" s="19">
        <f t="shared" si="61"/>
        <v>30.161036022273429</v>
      </c>
      <c r="AF158">
        <f>IF(G158&lt;=Forudsætninger!$C$97,Forudsætninger!$C$98,(IF(G158&lt;=Forudsætninger!$D$97,Forudsætninger!$D$98,IF(G158&lt;=Forudsætninger!$E$97,Forudsætninger!$E$98,IF(G158&lt;=Forudsætninger!$F$97,Forudsætninger!$F$98,IF(G158&lt;=Forudsætninger!$G$97,Forudsætninger!$G$98,IF(G158&lt;=Forudsætninger!$H$97,Forudsætninger!$H$98,IF(G158&lt;=Forudsætninger!$I$97,Forudsætninger!$I$98,Forudsætninger!$I$98))))))))</f>
        <v>3.2</v>
      </c>
      <c r="AG158" s="1">
        <f t="shared" si="70"/>
        <v>3.2</v>
      </c>
      <c r="AH158" s="1">
        <f t="shared" si="74"/>
        <v>383.19999999999902</v>
      </c>
      <c r="AI158" s="1">
        <f t="shared" si="62"/>
        <v>2.4564102564102503</v>
      </c>
      <c r="AJ158" s="20">
        <f>+(W158*Forudsætninger!$C$12)</f>
        <v>900</v>
      </c>
      <c r="AK158" s="20">
        <f>Forudsætninger!$C$17</f>
        <v>250</v>
      </c>
      <c r="AL158" s="20">
        <f>IF(A158&lt;92,Forudsætninger!$C$20,Forudsætninger!$C$21)</f>
        <v>1.0566762728146013</v>
      </c>
      <c r="AM158" s="20">
        <f t="shared" si="71"/>
        <v>433.34698141236834</v>
      </c>
      <c r="AN158" s="19">
        <f>IFERROR(AD158+AJ158-AA158-Z158-AK158-AM158-Forudsætninger!$E$75,-999999)</f>
        <v>248.75317545041892</v>
      </c>
      <c r="AO158" s="19">
        <f>IFERROR(AN158/(A158+Forudsætninger!$E$74),-999999)</f>
        <v>1.5945716375026855</v>
      </c>
      <c r="AP158" s="19">
        <f>IFERROR(((365/(A158+Forudsætninger!$E$74))*AN158)/(AI158+Forudsætninger!$E$73),-999999)</f>
        <v>226.78316774753503</v>
      </c>
      <c r="AQ158" s="18">
        <f t="shared" si="63"/>
        <v>156</v>
      </c>
      <c r="AR158" s="18">
        <f t="shared" si="75"/>
        <v>4464.1500281357767</v>
      </c>
      <c r="AS158" s="18">
        <f t="shared" si="55"/>
        <v>6.3</v>
      </c>
      <c r="AT158" s="50">
        <f t="shared" si="76"/>
        <v>6.4818908634577497</v>
      </c>
      <c r="AU158" s="50">
        <f t="shared" si="77"/>
        <v>3.1531091780355291E-2</v>
      </c>
      <c r="AV158" s="2">
        <f t="shared" si="78"/>
        <v>4.0680969145390691</v>
      </c>
      <c r="AW158" s="16">
        <f t="shared" si="72"/>
        <v>4.3724369029665846</v>
      </c>
      <c r="AZ158" s="16"/>
      <c r="BA158" s="2"/>
    </row>
    <row r="159" spans="1:53" x14ac:dyDescent="0.25">
      <c r="A159">
        <v>157</v>
      </c>
      <c r="B159" s="1">
        <f>ROUND((A159+Forudsætninger!$E$60)/30.4,1)</f>
        <v>6.3</v>
      </c>
      <c r="C159" s="1">
        <f>VLOOKUP((A159+Forudsætninger!$E$60),'Model tilvækst, slagteform, fe'!A:D,4,FALSE)</f>
        <v>280.23093905999241</v>
      </c>
      <c r="D159" s="3">
        <f t="shared" si="79"/>
        <v>1555.2143859368925</v>
      </c>
      <c r="E159" s="3">
        <f>(1+Forudsætninger!$E$78)*C159</f>
        <v>257.81246393519302</v>
      </c>
      <c r="F159" s="2">
        <f t="shared" si="81"/>
        <v>0</v>
      </c>
      <c r="G159" s="1">
        <f t="shared" si="56"/>
        <v>257.81246393519302</v>
      </c>
      <c r="H159" s="3">
        <f t="shared" si="64"/>
        <v>1430.7972350619593</v>
      </c>
      <c r="I159" s="3">
        <f t="shared" si="57"/>
        <v>1208.9965855744779</v>
      </c>
      <c r="J159" s="1">
        <f>VLOOKUP((A159+Forudsætninger!$E$60),'Model tilvækst, slagteform, fe'!G:K,4,FALSE)*(1+Forudsætninger!$E$79)</f>
        <v>51.803438906015131</v>
      </c>
      <c r="K159" s="17">
        <f t="shared" si="58"/>
        <v>133.55572224676001</v>
      </c>
      <c r="L159" s="17">
        <f t="shared" si="65"/>
        <v>797.68429455458545</v>
      </c>
      <c r="M159" s="3">
        <f>((K159-(('Model tilvækst, slagteform, fe'!$J$9/100)*'Model tilvækst, slagteform, fe'!$D$9))*1000/(A159+Forudsætninger!$E$60))</f>
        <v>587.15706793739253</v>
      </c>
      <c r="N159" s="17">
        <f t="shared" si="66"/>
        <v>666.13208870692574</v>
      </c>
      <c r="O159" s="19">
        <f>IF( A159&lt;Forudsætninger!$C$14,(G159/100)*Forudsætninger!$C$13,(Forudsætninger!$C$15/1000)*Forudsætninger!$C$13)</f>
        <v>1.6757810155787547</v>
      </c>
      <c r="P159" s="17" cm="1">
        <f t="array" ref="P159">INDEX('Model tilvækst, slagteform, fe'!$P$9:$P$375,MATCH(MIN(ABS('Model tilvækst, slagteform, fe'!$M$9:$M$375-G159)),ABS('Model tilvækst, slagteform, fe'!$M$9:$M$375-G159),0))*(1+Forudsætninger!$E$80)</f>
        <v>6.483635279875446</v>
      </c>
      <c r="Q159" s="17">
        <f t="shared" si="67"/>
        <v>8.1280718752220231</v>
      </c>
      <c r="R159" s="17">
        <f t="shared" si="68"/>
        <v>6.6223122868185849</v>
      </c>
      <c r="S159" s="17">
        <f t="shared" si="69"/>
        <v>3.5094222734201521</v>
      </c>
      <c r="T159" s="19">
        <f>(P159)*IF(N159&lt;Forudsætninger!$B$228,IF(N159&lt;Forudsætninger!$B$227,Forudsætninger!$B$225,Forudsætninger!$C$9),Forudsætninger!$C$11)+O159</f>
        <v>16.847487570487296</v>
      </c>
      <c r="U159" s="5">
        <f>Forudsætninger!$E$68+((K159-(Forudsætninger!$E$84)))*0.01</f>
        <v>6.0521209320392693</v>
      </c>
      <c r="V159" s="2">
        <f>U159+Forudsætninger!$E$69</f>
        <v>6.0521209320392693</v>
      </c>
      <c r="W159">
        <f t="shared" si="59"/>
        <v>1</v>
      </c>
      <c r="X159">
        <f>IF(A159+Forudsætninger!$E$60&gt;248,IF(A159+Forudsætninger!$E$60&lt;365,IF(K159&gt;180,IF(K159&lt;260,1,0),0),0),0)</f>
        <v>0</v>
      </c>
      <c r="Y159" s="22">
        <f>IF(X159=0,0,IF('Vækstfunktion, kry kvie'!A159&lt;Forudsætninger!$E$66,Forudsætninger!$E$67+(('Vækstfunktion, kry kvie'!A159-Forudsætninger!$E$66)/7)*Forudsætninger!$E$64,Forudsætninger!$E$67))</f>
        <v>0</v>
      </c>
      <c r="Z159" s="19">
        <f t="shared" si="73"/>
        <v>2222.6505342938954</v>
      </c>
      <c r="AA159" s="19">
        <f>Forudsætninger!$E$62+Forudsætninger!$C$16</f>
        <v>1575</v>
      </c>
      <c r="AB159" s="19">
        <f>IF(K159&gt;Forudsætninger!$C$48,IF(K159&gt;Forudsætninger!$C$49,IF(K159&gt;Forudsætninger!$C$50,Forudsætninger!$E$50,Forudsætninger!$E$49+Forudsætninger!$F$50*(K159-Forudsætninger!$C$49)),Forudsætninger!$E$48+Forudsætninger!$F$49*(K159-Forudsætninger!$C$48)),Forudsætninger!$E$48)+IF(K159&gt;Forudsætninger!$C$50,Forudsætninger!$G$50,IF(K159&gt;Forudsætninger!$C$49,Forudsætninger!$G$49+Forudsætninger!$H$50*(K159-Forudsætninger!$C$49),IF(K159&gt;Forudsætninger!$C$48,Forudsætninger!$G$48+Forudsætninger!$H$49*(K159-Forudsætninger!$C$48),Forudsætninger!$G$48)))*(U159-Forudsætninger!$H$48)</f>
        <v>35.205212093203926</v>
      </c>
      <c r="AC159" s="19">
        <f>IF(K159&gt;Forudsætninger!$C$52,IF(K159&gt;Forudsætninger!$C$53,IF(K159&gt;Forudsætninger!$C$54,Forudsætninger!$E$54,Forudsætninger!$E$53+Forudsætninger!$F$54*(K159-Forudsætninger!$C$53)),Forudsætninger!$E$52+Forudsætninger!$F$53*(K159-Forudsætninger!$C$52)),Forudsætninger!$E$52)+IF(K159&gt;Forudsætninger!$C$54,Forudsætninger!$G$54,IF(K159&gt;Forudsætninger!$C$53,Forudsætninger!$G$53+Forudsætninger!$H$54*(K159-Forudsætninger!$C$53),IF(K159&gt;Forudsætninger!$C$52,Forudsætninger!$G$52+Forudsætninger!$H$53*(K159-Forudsætninger!$C$52),Forudsætninger!$G$52)))*(V159-Forudsætninger!$H$52)</f>
        <v>30.163030233009817</v>
      </c>
      <c r="AD159" s="19">
        <f t="shared" si="60"/>
        <v>4028.4452879204841</v>
      </c>
      <c r="AE159" s="19">
        <f t="shared" si="61"/>
        <v>30.163030233009817</v>
      </c>
      <c r="AF159">
        <f>IF(G159&lt;=Forudsætninger!$C$97,Forudsætninger!$C$98,(IF(G159&lt;=Forudsætninger!$D$97,Forudsætninger!$D$98,IF(G159&lt;=Forudsætninger!$E$97,Forudsætninger!$E$98,IF(G159&lt;=Forudsætninger!$F$97,Forudsætninger!$F$98,IF(G159&lt;=Forudsætninger!$G$97,Forudsætninger!$G$98,IF(G159&lt;=Forudsætninger!$H$97,Forudsætninger!$H$98,IF(G159&lt;=Forudsætninger!$I$97,Forudsætninger!$I$98,Forudsætninger!$I$98))))))))</f>
        <v>3.2</v>
      </c>
      <c r="AG159" s="1">
        <f t="shared" si="70"/>
        <v>3.2</v>
      </c>
      <c r="AH159" s="1">
        <f t="shared" si="74"/>
        <v>386.39999999999901</v>
      </c>
      <c r="AI159" s="1">
        <f t="shared" si="62"/>
        <v>2.4611464968152803</v>
      </c>
      <c r="AJ159" s="20">
        <f>+(W159*Forudsætninger!$C$12)</f>
        <v>900</v>
      </c>
      <c r="AK159" s="20">
        <f>Forudsætninger!$C$17</f>
        <v>250</v>
      </c>
      <c r="AL159" s="20">
        <f>IF(A159&lt;92,Forudsætninger!$C$20,Forudsætninger!$C$21)</f>
        <v>1.0566762728146013</v>
      </c>
      <c r="AM159" s="20">
        <f t="shared" si="71"/>
        <v>434.40365768518296</v>
      </c>
      <c r="AN159" s="19">
        <f>IFERROR(AD159+AJ159-AA159-Z159-AK159-AM159-Forudsætninger!$E$75,-999999)</f>
        <v>255.17433460478955</v>
      </c>
      <c r="AO159" s="19">
        <f>IFERROR(AN159/(A159+Forudsætninger!$E$74),-999999)</f>
        <v>1.6253142331515258</v>
      </c>
      <c r="AP159" s="19">
        <f>IFERROR(((365/(A159+Forudsætninger!$E$74))*AN159)/(AI159+Forudsætninger!$E$73),-999999)</f>
        <v>230.72963591732955</v>
      </c>
      <c r="AQ159" s="18">
        <f t="shared" si="63"/>
        <v>157</v>
      </c>
      <c r="AR159" s="18">
        <f t="shared" si="75"/>
        <v>4482.0541919790785</v>
      </c>
      <c r="AS159" s="18">
        <f t="shared" si="55"/>
        <v>6.3</v>
      </c>
      <c r="AT159" s="50">
        <f t="shared" si="76"/>
        <v>6.4211591543706277</v>
      </c>
      <c r="AU159" s="50">
        <f t="shared" si="77"/>
        <v>3.0742595648840298E-2</v>
      </c>
      <c r="AV159" s="2">
        <f t="shared" si="78"/>
        <v>3.9464681697945139</v>
      </c>
      <c r="AW159" s="16">
        <f t="shared" si="72"/>
        <v>4.3922165114010987</v>
      </c>
      <c r="AZ159" s="16"/>
      <c r="BA159" s="2"/>
    </row>
    <row r="160" spans="1:53" x14ac:dyDescent="0.25">
      <c r="A160">
        <v>158</v>
      </c>
      <c r="B160" s="1">
        <f>ROUND((A160+Forudsætninger!$E$60)/30.4,1)</f>
        <v>6.4</v>
      </c>
      <c r="C160" s="1">
        <f>VLOOKUP((A160+Forudsætninger!$E$60),'Model tilvækst, slagteform, fe'!A:D,4,FALSE)</f>
        <v>281.78408429413986</v>
      </c>
      <c r="D160" s="3">
        <f t="shared" si="79"/>
        <v>1553.1452341474505</v>
      </c>
      <c r="E160" s="3">
        <f>(1+Forudsætninger!$E$78)*C160</f>
        <v>259.24135755060865</v>
      </c>
      <c r="F160" s="2">
        <f t="shared" si="81"/>
        <v>0</v>
      </c>
      <c r="G160" s="1">
        <f t="shared" si="56"/>
        <v>259.24135755060865</v>
      </c>
      <c r="H160" s="3">
        <f t="shared" si="64"/>
        <v>1428.8936154156318</v>
      </c>
      <c r="I160" s="3">
        <f t="shared" si="57"/>
        <v>1210.3883389279029</v>
      </c>
      <c r="J160" s="1">
        <f>VLOOKUP((A160+Forudsætninger!$E$60),'Model tilvækst, slagteform, fe'!G:K,4,FALSE)*(1+Forudsætninger!$E$79)</f>
        <v>51.825472244841336</v>
      </c>
      <c r="K160" s="17">
        <f t="shared" si="58"/>
        <v>134.35305780454055</v>
      </c>
      <c r="L160" s="17">
        <f t="shared" si="65"/>
        <v>797.3355577805421</v>
      </c>
      <c r="M160" s="3">
        <f>((K160-(('Model tilvækst, slagteform, fe'!$J$9/100)*'Model tilvækst, slagteform, fe'!$D$9))*1000/(A160+Forudsætninger!$E$60))</f>
        <v>588.24046221493461</v>
      </c>
      <c r="N160" s="17">
        <f t="shared" si="66"/>
        <v>672.63491720024354</v>
      </c>
      <c r="O160" s="19">
        <f>IF( A160&lt;Forudsætninger!$C$14,(G160/100)*Forudsætninger!$C$13,(Forudsætninger!$C$15/1000)*Forudsætninger!$C$13)</f>
        <v>1.6850688240789562</v>
      </c>
      <c r="P160" s="17" cm="1">
        <f t="array" ref="P160">INDEX('Model tilvækst, slagteform, fe'!$P$9:$P$375,MATCH(MIN(ABS('Model tilvækst, slagteform, fe'!$M$9:$M$375-G160)),ABS('Model tilvækst, slagteform, fe'!$M$9:$M$375-G160),0))*(1+Forudsætninger!$E$80)</f>
        <v>6.502828493317832</v>
      </c>
      <c r="Q160" s="17">
        <f t="shared" si="67"/>
        <v>8.1556986012502204</v>
      </c>
      <c r="R160" s="17">
        <f t="shared" si="68"/>
        <v>6.6343713364563319</v>
      </c>
      <c r="S160" s="17">
        <f t="shared" si="69"/>
        <v>3.5172042586146284</v>
      </c>
      <c r="T160" s="19">
        <f>(P160)*IF(N160&lt;Forudsætninger!$B$228,IF(N160&lt;Forudsætninger!$B$227,Forudsætninger!$B$225,Forudsætninger!$C$9),Forudsætninger!$C$11)+O160</f>
        <v>16.901687498442683</v>
      </c>
      <c r="U160" s="5">
        <f>Forudsætninger!$E$68+((K160-(Forudsætninger!$E$84)))*0.01</f>
        <v>6.0600942876170745</v>
      </c>
      <c r="V160" s="2">
        <f>U160+Forudsætninger!$E$69</f>
        <v>6.0600942876170745</v>
      </c>
      <c r="W160">
        <f t="shared" si="59"/>
        <v>1</v>
      </c>
      <c r="X160">
        <f>IF(A160+Forudsætninger!$E$60&gt;248,IF(A160+Forudsætninger!$E$60&lt;365,IF(K160&gt;180,IF(K160&lt;260,1,0),0),0),0)</f>
        <v>0</v>
      </c>
      <c r="Y160" s="22">
        <f>IF(X160=0,0,IF('Vækstfunktion, kry kvie'!A160&lt;Forudsætninger!$E$66,Forudsætninger!$E$67+(('Vækstfunktion, kry kvie'!A160-Forudsætninger!$E$66)/7)*Forudsætninger!$E$64,Forudsætninger!$E$67))</f>
        <v>0</v>
      </c>
      <c r="Z160" s="19">
        <f t="shared" si="73"/>
        <v>2239.5522217923381</v>
      </c>
      <c r="AA160" s="19">
        <f>Forudsætninger!$E$62+Forudsætninger!$C$16</f>
        <v>1575</v>
      </c>
      <c r="AB160" s="19">
        <f>IF(K160&gt;Forudsætninger!$C$48,IF(K160&gt;Forudsætninger!$C$49,IF(K160&gt;Forudsætninger!$C$50,Forudsætninger!$E$50,Forudsætninger!$E$49+Forudsætninger!$F$50*(K160-Forudsætninger!$C$49)),Forudsætninger!$E$48+Forudsætninger!$F$49*(K160-Forudsætninger!$C$48)),Forudsætninger!$E$48)+IF(K160&gt;Forudsætninger!$C$50,Forudsætninger!$G$50,IF(K160&gt;Forudsætninger!$C$49,Forudsætninger!$G$49+Forudsætninger!$H$50*(K160-Forudsætninger!$C$49),IF(K160&gt;Forudsætninger!$C$48,Forudsætninger!$G$48+Forudsætninger!$H$49*(K160-Forudsætninger!$C$48),Forudsætninger!$G$48)))*(U160-Forudsætninger!$H$48)</f>
        <v>35.20600942876171</v>
      </c>
      <c r="AC160" s="19">
        <f>IF(K160&gt;Forudsætninger!$C$52,IF(K160&gt;Forudsætninger!$C$53,IF(K160&gt;Forudsætninger!$C$54,Forudsætninger!$E$54,Forudsætninger!$E$53+Forudsætninger!$F$54*(K160-Forudsætninger!$C$53)),Forudsætninger!$E$52+Forudsætninger!$F$53*(K160-Forudsætninger!$C$52)),Forudsætninger!$E$52)+IF(K160&gt;Forudsætninger!$C$54,Forudsætninger!$G$54,IF(K160&gt;Forudsætninger!$C$53,Forudsætninger!$G$53+Forudsætninger!$H$54*(K160-Forudsætninger!$C$53),IF(K160&gt;Forudsætninger!$C$52,Forudsætninger!$G$52+Forudsætninger!$H$53*(K160-Forudsætninger!$C$52),Forudsætninger!$G$52)))*(V160-Forudsætninger!$H$52)</f>
        <v>30.165023571904268</v>
      </c>
      <c r="AD160" s="19">
        <f t="shared" si="60"/>
        <v>4052.7631556313827</v>
      </c>
      <c r="AE160" s="19">
        <f t="shared" si="61"/>
        <v>30.165023571904268</v>
      </c>
      <c r="AF160">
        <f>IF(G160&lt;=Forudsætninger!$C$97,Forudsætninger!$C$98,(IF(G160&lt;=Forudsætninger!$D$97,Forudsætninger!$D$98,IF(G160&lt;=Forudsætninger!$E$97,Forudsætninger!$E$98,IF(G160&lt;=Forudsætninger!$F$97,Forudsætninger!$F$98,IF(G160&lt;=Forudsætninger!$G$97,Forudsætninger!$G$98,IF(G160&lt;=Forudsætninger!$H$97,Forudsætninger!$H$98,IF(G160&lt;=Forudsætninger!$I$97,Forudsætninger!$I$98,Forudsætninger!$I$98))))))))</f>
        <v>3.2</v>
      </c>
      <c r="AG160" s="1">
        <f t="shared" si="70"/>
        <v>3.2</v>
      </c>
      <c r="AH160" s="1">
        <f t="shared" si="74"/>
        <v>389.599999999999</v>
      </c>
      <c r="AI160" s="1">
        <f t="shared" si="62"/>
        <v>2.4658227848101202</v>
      </c>
      <c r="AJ160" s="20">
        <f>+(W160*Forudsætninger!$C$12)</f>
        <v>900</v>
      </c>
      <c r="AK160" s="20">
        <f>Forudsætninger!$C$17</f>
        <v>250</v>
      </c>
      <c r="AL160" s="20">
        <f>IF(A160&lt;92,Forudsætninger!$C$20,Forudsætninger!$C$21)</f>
        <v>1.0566762728146013</v>
      </c>
      <c r="AM160" s="20">
        <f t="shared" si="71"/>
        <v>435.46033395799759</v>
      </c>
      <c r="AN160" s="19">
        <f>IFERROR(AD160+AJ160-AA160-Z160-AK160-AM160-Forudsætninger!$E$75,-999999)</f>
        <v>261.53383854443121</v>
      </c>
      <c r="AO160" s="19">
        <f>IFERROR(AN160/(A160+Forudsætninger!$E$74),-999999)</f>
        <v>1.6552774591419697</v>
      </c>
      <c r="AP160" s="19">
        <f>IFERROR(((365/(A160+Forudsætninger!$E$74))*AN160)/(AI160+Forudsætninger!$E$73),-999999)</f>
        <v>234.5566147445025</v>
      </c>
      <c r="AQ160" s="18">
        <f t="shared" si="63"/>
        <v>158</v>
      </c>
      <c r="AR160" s="18">
        <f t="shared" si="75"/>
        <v>4500.0125557503361</v>
      </c>
      <c r="AS160" s="18">
        <f t="shared" si="55"/>
        <v>6.4</v>
      </c>
      <c r="AT160" s="50">
        <f t="shared" si="76"/>
        <v>6.3595039396416553</v>
      </c>
      <c r="AU160" s="50">
        <f t="shared" si="77"/>
        <v>2.9963225990443876E-2</v>
      </c>
      <c r="AV160" s="2">
        <f t="shared" si="78"/>
        <v>3.826978827172951</v>
      </c>
      <c r="AW160" s="16">
        <f t="shared" si="72"/>
        <v>4.4113555221672707</v>
      </c>
      <c r="AZ160" s="16"/>
      <c r="BA160" s="2"/>
    </row>
    <row r="161" spans="1:53" x14ac:dyDescent="0.25">
      <c r="A161">
        <v>159</v>
      </c>
      <c r="B161" s="1">
        <f>ROUND((A161+Forudsætninger!$E$60)/30.4,1)</f>
        <v>6.4</v>
      </c>
      <c r="C161" s="1">
        <f>VLOOKUP((A161+Forudsætninger!$E$60),'Model tilvækst, slagteform, fe'!A:D,4,FALSE)</f>
        <v>283.33510355548736</v>
      </c>
      <c r="D161" s="3">
        <f t="shared" si="79"/>
        <v>1551.0192613475056</v>
      </c>
      <c r="E161" s="3">
        <f>(1+Forudsætninger!$E$78)*C161</f>
        <v>260.66829527104841</v>
      </c>
      <c r="F161" s="2">
        <f t="shared" si="81"/>
        <v>0</v>
      </c>
      <c r="G161" s="1">
        <f t="shared" si="56"/>
        <v>260.66829527104841</v>
      </c>
      <c r="H161" s="3">
        <f t="shared" si="64"/>
        <v>1426.9377204397529</v>
      </c>
      <c r="I161" s="3">
        <f t="shared" si="57"/>
        <v>1211.7502847235749</v>
      </c>
      <c r="J161" s="1">
        <f>VLOOKUP((A161+Forudsætninger!$E$60),'Model tilvækst, slagteform, fe'!G:K,4,FALSE)*(1+Forudsætninger!$E$79)</f>
        <v>51.847503968499204</v>
      </c>
      <c r="K161" s="17">
        <f t="shared" si="58"/>
        <v>135.15000473527607</v>
      </c>
      <c r="L161" s="17">
        <f t="shared" si="65"/>
        <v>796.94693073551548</v>
      </c>
      <c r="M161" s="3">
        <f>((K161-(('Model tilvækst, slagteform, fe'!$J$9/100)*'Model tilvækst, slagteform, fe'!$D$9))*1000/(A161+Forudsætninger!$E$60))</f>
        <v>589.31075179709137</v>
      </c>
      <c r="N161" s="17">
        <f t="shared" si="66"/>
        <v>679.15681494185571</v>
      </c>
      <c r="O161" s="19">
        <f>IF( A161&lt;Forudsætninger!$C$14,(G161/100)*Forudsætninger!$C$13,(Forudsætninger!$C$15/1000)*Forudsætninger!$C$13)</f>
        <v>1.6943439192618146</v>
      </c>
      <c r="P161" s="17" cm="1">
        <f t="array" ref="P161">INDEX('Model tilvækst, slagteform, fe'!$P$9:$P$375,MATCH(MIN(ABS('Model tilvækst, slagteform, fe'!$M$9:$M$375-G161)),ABS('Model tilvækst, slagteform, fe'!$M$9:$M$375-G161),0))*(1+Forudsætninger!$E$80)</f>
        <v>6.52189774161217</v>
      </c>
      <c r="Q161" s="17">
        <f t="shared" si="67"/>
        <v>8.1836035626525376</v>
      </c>
      <c r="R161" s="17">
        <f t="shared" si="68"/>
        <v>6.6464540887150898</v>
      </c>
      <c r="S161" s="17">
        <f t="shared" si="69"/>
        <v>3.5250055749255922</v>
      </c>
      <c r="T161" s="19">
        <f>(P161)*IF(N161&lt;Forudsætninger!$B$228,IF(N161&lt;Forudsætninger!$B$227,Forudsætninger!$B$225,Forudsætninger!$C$9),Forudsætninger!$C$11)+O161</f>
        <v>16.955584634634292</v>
      </c>
      <c r="U161" s="5">
        <f>Forudsætninger!$E$68+((K161-(Forudsætninger!$E$84)))*0.01</f>
        <v>6.0680637569244302</v>
      </c>
      <c r="V161" s="2">
        <f>U161+Forudsætninger!$E$69</f>
        <v>6.0680637569244302</v>
      </c>
      <c r="W161">
        <f t="shared" si="59"/>
        <v>1</v>
      </c>
      <c r="X161">
        <f>IF(A161+Forudsætninger!$E$60&gt;248,IF(A161+Forudsætninger!$E$60&lt;365,IF(K161&gt;180,IF(K161&lt;260,1,0),0),0),0)</f>
        <v>0</v>
      </c>
      <c r="Y161" s="22">
        <f>IF(X161=0,0,IF('Vækstfunktion, kry kvie'!A161&lt;Forudsætninger!$E$66,Forudsætninger!$E$67+(('Vækstfunktion, kry kvie'!A161-Forudsætninger!$E$66)/7)*Forudsætninger!$E$64,Forudsætninger!$E$67))</f>
        <v>0</v>
      </c>
      <c r="Z161" s="19">
        <f t="shared" si="73"/>
        <v>2256.5078064269724</v>
      </c>
      <c r="AA161" s="19">
        <f>Forudsætninger!$E$62+Forudsætninger!$C$16</f>
        <v>1575</v>
      </c>
      <c r="AB161" s="19">
        <f>IF(K161&gt;Forudsætninger!$C$48,IF(K161&gt;Forudsætninger!$C$49,IF(K161&gt;Forudsætninger!$C$50,Forudsætninger!$E$50,Forudsætninger!$E$49+Forudsætninger!$F$50*(K161-Forudsætninger!$C$49)),Forudsætninger!$E$48+Forudsætninger!$F$49*(K161-Forudsætninger!$C$48)),Forudsætninger!$E$48)+IF(K161&gt;Forudsætninger!$C$50,Forudsætninger!$G$50,IF(K161&gt;Forudsætninger!$C$49,Forudsætninger!$G$49+Forudsætninger!$H$50*(K161-Forudsætninger!$C$49),IF(K161&gt;Forudsætninger!$C$48,Forudsætninger!$G$48+Forudsætninger!$H$49*(K161-Forudsætninger!$C$48),Forudsætninger!$G$48)))*(U161-Forudsætninger!$H$48)</f>
        <v>35.206806375692445</v>
      </c>
      <c r="AC161" s="19">
        <f>IF(K161&gt;Forudsætninger!$C$52,IF(K161&gt;Forudsætninger!$C$53,IF(K161&gt;Forudsætninger!$C$54,Forudsætninger!$E$54,Forudsætninger!$E$53+Forudsætninger!$F$54*(K161-Forudsætninger!$C$53)),Forudsætninger!$E$52+Forudsætninger!$F$53*(K161-Forudsætninger!$C$52)),Forudsætninger!$E$52)+IF(K161&gt;Forudsætninger!$C$54,Forudsætninger!$G$54,IF(K161&gt;Forudsætninger!$C$53,Forudsætninger!$G$53+Forudsætninger!$H$54*(K161-Forudsætninger!$C$53),IF(K161&gt;Forudsætninger!$C$52,Forudsætninger!$G$52+Forudsætninger!$H$53*(K161-Forudsætninger!$C$52),Forudsætninger!$G$52)))*(V161-Forudsætninger!$H$52)</f>
        <v>30.167015939231106</v>
      </c>
      <c r="AD161" s="19">
        <f t="shared" si="60"/>
        <v>4077.0723470362327</v>
      </c>
      <c r="AE161" s="19">
        <f t="shared" si="61"/>
        <v>30.167015939231106</v>
      </c>
      <c r="AF161">
        <f>IF(G161&lt;=Forudsætninger!$C$97,Forudsætninger!$C$98,(IF(G161&lt;=Forudsætninger!$D$97,Forudsætninger!$D$98,IF(G161&lt;=Forudsætninger!$E$97,Forudsætninger!$E$98,IF(G161&lt;=Forudsætninger!$F$97,Forudsætninger!$F$98,IF(G161&lt;=Forudsætninger!$G$97,Forudsætninger!$G$98,IF(G161&lt;=Forudsætninger!$H$97,Forudsætninger!$H$98,IF(G161&lt;=Forudsætninger!$I$97,Forudsætninger!$I$98,Forudsætninger!$I$98))))))))</f>
        <v>3.2</v>
      </c>
      <c r="AG161" s="1">
        <f t="shared" si="70"/>
        <v>3.2</v>
      </c>
      <c r="AH161" s="1">
        <f t="shared" si="74"/>
        <v>392.79999999999899</v>
      </c>
      <c r="AI161" s="1">
        <f t="shared" si="62"/>
        <v>2.4704402515723207</v>
      </c>
      <c r="AJ161" s="20">
        <f>+(W161*Forudsætninger!$C$12)</f>
        <v>900</v>
      </c>
      <c r="AK161" s="20">
        <f>Forudsætninger!$C$17</f>
        <v>250</v>
      </c>
      <c r="AL161" s="20">
        <f>IF(A161&lt;92,Forudsætninger!$C$20,Forudsætninger!$C$21)</f>
        <v>1.0566762728146013</v>
      </c>
      <c r="AM161" s="20">
        <f t="shared" si="71"/>
        <v>436.51701023081222</v>
      </c>
      <c r="AN161" s="19">
        <f>IFERROR(AD161+AJ161-AA161-Z161-AK161-AM161-Forudsætninger!$E$75,-999999)</f>
        <v>267.83076904183235</v>
      </c>
      <c r="AO161" s="19">
        <f>IFERROR(AN161/(A161+Forudsætninger!$E$74),-999999)</f>
        <v>1.6844702455461154</v>
      </c>
      <c r="AP161" s="19">
        <f>IFERROR(((365/(A161+Forudsætninger!$E$74))*AN161)/(AI161+Forudsætninger!$E$73),-999999)</f>
        <v>238.26617928847659</v>
      </c>
      <c r="AQ161" s="18">
        <f t="shared" si="63"/>
        <v>159</v>
      </c>
      <c r="AR161" s="18">
        <f t="shared" si="75"/>
        <v>4518.0248166577849</v>
      </c>
      <c r="AS161" s="18">
        <f t="shared" si="55"/>
        <v>6.4</v>
      </c>
      <c r="AT161" s="50">
        <f t="shared" si="76"/>
        <v>6.2969304974011493</v>
      </c>
      <c r="AU161" s="50">
        <f t="shared" si="77"/>
        <v>2.9192786404145687E-2</v>
      </c>
      <c r="AV161" s="2">
        <f t="shared" si="78"/>
        <v>3.7095645439740963</v>
      </c>
      <c r="AW161" s="16">
        <f t="shared" si="72"/>
        <v>4.429860246997765</v>
      </c>
      <c r="AZ161" s="16"/>
      <c r="BA161" s="2"/>
    </row>
    <row r="162" spans="1:53" x14ac:dyDescent="0.25">
      <c r="A162">
        <v>160</v>
      </c>
      <c r="B162" s="1">
        <f>ROUND((A162+Forudsætninger!$E$60)/30.4,1)</f>
        <v>6.4</v>
      </c>
      <c r="C162" s="1">
        <f>VLOOKUP((A162+Forudsætninger!$E$60),'Model tilvækst, slagteform, fe'!A:D,4,FALSE)</f>
        <v>284.8839406080449</v>
      </c>
      <c r="D162" s="3">
        <f t="shared" si="79"/>
        <v>1548.8370525575306</v>
      </c>
      <c r="E162" s="3">
        <f>(1+Forudsætninger!$E$78)*C162</f>
        <v>262.09322535940129</v>
      </c>
      <c r="F162" s="2">
        <f t="shared" si="81"/>
        <v>0</v>
      </c>
      <c r="G162" s="1">
        <f t="shared" si="56"/>
        <v>262.09322535940129</v>
      </c>
      <c r="H162" s="3">
        <f t="shared" si="64"/>
        <v>1424.9300883528804</v>
      </c>
      <c r="I162" s="3">
        <f t="shared" si="57"/>
        <v>1213.0826584962581</v>
      </c>
      <c r="J162" s="1">
        <f>VLOOKUP((A162+Forudsætninger!$E$60),'Model tilvækst, slagteform, fe'!G:K,4,FALSE)*(1+Forudsætninger!$E$79)</f>
        <v>51.869529607368236</v>
      </c>
      <c r="K162" s="17">
        <f t="shared" si="58"/>
        <v>135.94652312670101</v>
      </c>
      <c r="L162" s="17">
        <f t="shared" si="65"/>
        <v>796.51839142493941</v>
      </c>
      <c r="M162" s="3">
        <f>((K162-(('Model tilvækst, slagteform, fe'!$J$9/100)*'Model tilvækst, slagteform, fe'!$D$9))*1000/(A162+Forudsætninger!$E$60))</f>
        <v>590.36793363192737</v>
      </c>
      <c r="N162" s="17">
        <f t="shared" si="66"/>
        <v>685.71646853655227</v>
      </c>
      <c r="O162" s="19">
        <f>IF( A162&lt;Forudsætninger!$C$14,(G162/100)*Forudsætninger!$C$13,(Forudsætninger!$C$15/1000)*Forudsætninger!$C$13)</f>
        <v>1.7036059648361084</v>
      </c>
      <c r="P162" s="17" cm="1">
        <f t="array" ref="P162">INDEX('Model tilvækst, slagteform, fe'!$P$9:$P$375,MATCH(MIN(ABS('Model tilvækst, slagteform, fe'!$M$9:$M$375-G162)),ABS('Model tilvækst, slagteform, fe'!$M$9:$M$375-G162),0))*(1+Forudsætninger!$E$80)</f>
        <v>6.5596535946965187</v>
      </c>
      <c r="Q162" s="17">
        <f t="shared" si="67"/>
        <v>8.2354075754127436</v>
      </c>
      <c r="R162" s="17">
        <f t="shared" si="68"/>
        <v>6.6587441696254439</v>
      </c>
      <c r="S162" s="17">
        <f t="shared" si="69"/>
        <v>3.5329232499836873</v>
      </c>
      <c r="T162" s="19">
        <f>(P162)*IF(N162&lt;Forudsætninger!$B$228,IF(N162&lt;Forudsætninger!$B$227,Forudsætninger!$B$225,Forudsætninger!$C$9),Forudsætninger!$C$11)+O162</f>
        <v>17.053195376425961</v>
      </c>
      <c r="U162" s="5">
        <f>Forudsætninger!$E$68+((K162-(Forudsætninger!$E$84)))*0.01</f>
        <v>6.0760289408386789</v>
      </c>
      <c r="V162" s="2">
        <f>U162+Forudsætninger!$E$69</f>
        <v>6.0760289408386789</v>
      </c>
      <c r="W162">
        <f t="shared" si="59"/>
        <v>1</v>
      </c>
      <c r="X162">
        <f>IF(A162+Forudsætninger!$E$60&gt;248,IF(A162+Forudsætninger!$E$60&lt;365,IF(K162&gt;180,IF(K162&lt;260,1,0),0),0),0)</f>
        <v>0</v>
      </c>
      <c r="Y162" s="22">
        <f>IF(X162=0,0,IF('Vækstfunktion, kry kvie'!A162&lt;Forudsætninger!$E$66,Forudsætninger!$E$67+(('Vækstfunktion, kry kvie'!A162-Forudsætninger!$E$66)/7)*Forudsætninger!$E$64,Forudsætninger!$E$67))</f>
        <v>0</v>
      </c>
      <c r="Z162" s="19">
        <f t="shared" si="73"/>
        <v>2273.5610018033985</v>
      </c>
      <c r="AA162" s="19">
        <f>Forudsætninger!$E$62+Forudsætninger!$C$16</f>
        <v>1575</v>
      </c>
      <c r="AB162" s="19">
        <f>IF(K162&gt;Forudsætninger!$C$48,IF(K162&gt;Forudsætninger!$C$49,IF(K162&gt;Forudsætninger!$C$50,Forudsætninger!$E$50,Forudsætninger!$E$49+Forudsætninger!$F$50*(K162-Forudsætninger!$C$49)),Forudsætninger!$E$48+Forudsætninger!$F$49*(K162-Forudsætninger!$C$48)),Forudsætninger!$E$48)+IF(K162&gt;Forudsætninger!$C$50,Forudsætninger!$G$50,IF(K162&gt;Forudsætninger!$C$49,Forudsætninger!$G$49+Forudsætninger!$H$50*(K162-Forudsætninger!$C$49),IF(K162&gt;Forudsætninger!$C$48,Forudsætninger!$G$48+Forudsætninger!$H$49*(K162-Forudsætninger!$C$48),Forudsætninger!$G$48)))*(U162-Forudsætninger!$H$48)</f>
        <v>35.20760289408387</v>
      </c>
      <c r="AC162" s="19">
        <f>IF(K162&gt;Forudsætninger!$C$52,IF(K162&gt;Forudsætninger!$C$53,IF(K162&gt;Forudsætninger!$C$54,Forudsætninger!$E$54,Forudsætninger!$E$53+Forudsætninger!$F$54*(K162-Forudsætninger!$C$53)),Forudsætninger!$E$52+Forudsætninger!$F$53*(K162-Forudsætninger!$C$52)),Forudsætninger!$E$52)+IF(K162&gt;Forudsætninger!$C$54,Forudsætninger!$G$54,IF(K162&gt;Forudsætninger!$C$53,Forudsætninger!$G$53+Forudsætninger!$H$54*(K162-Forudsætninger!$C$53),IF(K162&gt;Forudsætninger!$C$52,Forudsætninger!$G$52+Forudsætninger!$H$53*(K162-Forudsætninger!$C$52),Forudsætninger!$G$52)))*(V162-Forudsætninger!$H$52)</f>
        <v>30.169007235209669</v>
      </c>
      <c r="AD162" s="19">
        <f t="shared" si="60"/>
        <v>4101.371639811041</v>
      </c>
      <c r="AE162" s="19">
        <f t="shared" si="61"/>
        <v>30.169007235209666</v>
      </c>
      <c r="AF162">
        <f>IF(G162&lt;=Forudsætninger!$C$97,Forudsætninger!$C$98,(IF(G162&lt;=Forudsætninger!$D$97,Forudsætninger!$D$98,IF(G162&lt;=Forudsætninger!$E$97,Forudsætninger!$E$98,IF(G162&lt;=Forudsætninger!$F$97,Forudsætninger!$F$98,IF(G162&lt;=Forudsætninger!$G$97,Forudsætninger!$G$98,IF(G162&lt;=Forudsætninger!$H$97,Forudsætninger!$H$98,IF(G162&lt;=Forudsætninger!$I$97,Forudsætninger!$I$98,Forudsætninger!$I$98))))))))</f>
        <v>3.2</v>
      </c>
      <c r="AG162" s="1">
        <f t="shared" si="70"/>
        <v>3.2</v>
      </c>
      <c r="AH162" s="1">
        <f t="shared" si="74"/>
        <v>395.99999999999898</v>
      </c>
      <c r="AI162" s="1">
        <f t="shared" si="62"/>
        <v>2.4749999999999934</v>
      </c>
      <c r="AJ162" s="20">
        <f>+(W162*Forudsætninger!$C$12)</f>
        <v>900</v>
      </c>
      <c r="AK162" s="20">
        <f>Forudsætninger!$C$17</f>
        <v>250</v>
      </c>
      <c r="AL162" s="20">
        <f>IF(A162&lt;92,Forudsætninger!$C$20,Forudsætninger!$C$21)</f>
        <v>1.0566762728146013</v>
      </c>
      <c r="AM162" s="20">
        <f t="shared" si="71"/>
        <v>437.57368650362685</v>
      </c>
      <c r="AN162" s="19">
        <f>IFERROR(AD162+AJ162-AA162-Z162-AK162-AM162-Forudsætninger!$E$75,-999999)</f>
        <v>274.02019016739973</v>
      </c>
      <c r="AO162" s="19">
        <f>IFERROR(AN162/(A162+Forudsætninger!$E$74),-999999)</f>
        <v>1.7126261885462484</v>
      </c>
      <c r="AP162" s="19">
        <f>IFERROR(((365/(A162+Forudsætninger!$E$74))*AN162)/(AI162+Forudsætninger!$E$73),-999999)</f>
        <v>241.82149277345542</v>
      </c>
      <c r="AQ162" s="18">
        <f t="shared" si="63"/>
        <v>160</v>
      </c>
      <c r="AR162" s="18">
        <f t="shared" si="75"/>
        <v>4536.1346883070255</v>
      </c>
      <c r="AS162" s="18">
        <f t="shared" si="55"/>
        <v>6.4</v>
      </c>
      <c r="AT162" s="50">
        <f t="shared" si="76"/>
        <v>6.1894211255673781</v>
      </c>
      <c r="AU162" s="50">
        <f t="shared" si="77"/>
        <v>2.8155943000133021E-2</v>
      </c>
      <c r="AV162" s="2">
        <f t="shared" si="78"/>
        <v>3.555313484978825</v>
      </c>
      <c r="AW162" s="16">
        <f t="shared" si="72"/>
        <v>4.4474617291939165</v>
      </c>
      <c r="AZ162" s="16"/>
      <c r="BA162" s="2"/>
    </row>
    <row r="163" spans="1:53" x14ac:dyDescent="0.25">
      <c r="A163">
        <v>161</v>
      </c>
      <c r="B163" s="1">
        <f>ROUND((A163+Forudsætninger!$E$60)/30.4,1)</f>
        <v>6.5</v>
      </c>
      <c r="C163" s="1">
        <f>VLOOKUP((A163+Forudsætninger!$E$60),'Model tilvækst, slagteform, fe'!A:D,4,FALSE)</f>
        <v>286.43053980084318</v>
      </c>
      <c r="D163" s="3">
        <f t="shared" si="79"/>
        <v>1546.5991927982827</v>
      </c>
      <c r="E163" s="3">
        <f>(1+Forudsætninger!$E$78)*C163</f>
        <v>263.51609661677571</v>
      </c>
      <c r="F163" s="2">
        <f t="shared" si="81"/>
        <v>0</v>
      </c>
      <c r="G163" s="1">
        <f t="shared" si="56"/>
        <v>263.51609661677571</v>
      </c>
      <c r="H163" s="3">
        <f t="shared" si="64"/>
        <v>1422.8712573744247</v>
      </c>
      <c r="I163" s="3">
        <f t="shared" si="57"/>
        <v>1214.3856932718988</v>
      </c>
      <c r="J163" s="1">
        <f>VLOOKUP((A163+Forudsætninger!$E$60),'Model tilvækst, slagteform, fe'!G:K,4,FALSE)*(1+Forudsætninger!$E$79)</f>
        <v>51.891544691827967</v>
      </c>
      <c r="K163" s="17">
        <f t="shared" si="58"/>
        <v>136.74257304605473</v>
      </c>
      <c r="L163" s="17">
        <f t="shared" si="65"/>
        <v>796.04991935372027</v>
      </c>
      <c r="M163" s="3">
        <f>((K163-(('Model tilvækst, slagteform, fe'!$J$9/100)*'Model tilvækst, slagteform, fe'!$D$9))*1000/(A163+Forudsætninger!$E$60))</f>
        <v>591.41200462543895</v>
      </c>
      <c r="N163" s="17">
        <f t="shared" si="66"/>
        <v>692.29480336200868</v>
      </c>
      <c r="O163" s="19">
        <f>IF( A163&lt;Forudsætninger!$C$14,(G163/100)*Forudsætninger!$C$13,(Forudsætninger!$C$15/1000)*Forudsætninger!$C$13)</f>
        <v>1.7128546280090422</v>
      </c>
      <c r="P163" s="17" cm="1">
        <f t="array" ref="P163">INDEX('Model tilvækst, slagteform, fe'!$P$9:$P$375,MATCH(MIN(ABS('Model tilvækst, slagteform, fe'!$M$9:$M$375-G163)),ABS('Model tilvækst, slagteform, fe'!$M$9:$M$375-G163),0))*(1+Forudsætninger!$E$80)</f>
        <v>6.5783348254564391</v>
      </c>
      <c r="Q163" s="17">
        <f t="shared" si="67"/>
        <v>8.2637214897240554</v>
      </c>
      <c r="R163" s="17">
        <f t="shared" si="68"/>
        <v>6.6710557186518349</v>
      </c>
      <c r="S163" s="17">
        <f t="shared" si="69"/>
        <v>3.5408583504965914</v>
      </c>
      <c r="T163" s="19">
        <f>(P163)*IF(N163&lt;Forudsætninger!$B$228,IF(N163&lt;Forudsætninger!$B$227,Forudsætninger!$B$225,Forudsætninger!$C$9),Forudsætninger!$C$11)+O163</f>
        <v>17.10615811957711</v>
      </c>
      <c r="U163" s="5">
        <f>Forudsætninger!$E$68+((K163-(Forudsætninger!$E$84)))*0.01</f>
        <v>6.0839894400322168</v>
      </c>
      <c r="V163" s="2">
        <f>U163+Forudsætninger!$E$69</f>
        <v>6.0839894400322168</v>
      </c>
      <c r="W163">
        <f t="shared" si="59"/>
        <v>1</v>
      </c>
      <c r="X163">
        <f>IF(A163+Forudsætninger!$E$60&gt;248,IF(A163+Forudsætninger!$E$60&lt;365,IF(K163&gt;180,IF(K163&lt;260,1,0),0),0),0)</f>
        <v>0</v>
      </c>
      <c r="Y163" s="22">
        <f>IF(X163=0,0,IF('Vækstfunktion, kry kvie'!A163&lt;Forudsætninger!$E$66,Forudsætninger!$E$67+(('Vækstfunktion, kry kvie'!A163-Forudsætninger!$E$66)/7)*Forudsætninger!$E$64,Forudsætninger!$E$67))</f>
        <v>0</v>
      </c>
      <c r="Z163" s="19">
        <f t="shared" si="73"/>
        <v>2290.6671599229758</v>
      </c>
      <c r="AA163" s="19">
        <f>Forudsætninger!$E$62+Forudsætninger!$C$16</f>
        <v>1575</v>
      </c>
      <c r="AB163" s="19">
        <f>IF(K163&gt;Forudsætninger!$C$48,IF(K163&gt;Forudsætninger!$C$49,IF(K163&gt;Forudsætninger!$C$50,Forudsætninger!$E$50,Forudsætninger!$E$49+Forudsætninger!$F$50*(K163-Forudsætninger!$C$49)),Forudsætninger!$E$48+Forudsætninger!$F$49*(K163-Forudsætninger!$C$48)),Forudsætninger!$E$48)+IF(K163&gt;Forudsætninger!$C$50,Forudsætninger!$G$50,IF(K163&gt;Forudsætninger!$C$49,Forudsætninger!$G$49+Forudsætninger!$H$50*(K163-Forudsætninger!$C$49),IF(K163&gt;Forudsætninger!$C$48,Forudsætninger!$G$48+Forudsætninger!$H$49*(K163-Forudsætninger!$C$48),Forudsætninger!$G$48)))*(U163-Forudsætninger!$H$48)</f>
        <v>35.208398944003221</v>
      </c>
      <c r="AC163" s="19">
        <f>IF(K163&gt;Forudsætninger!$C$52,IF(K163&gt;Forudsætninger!$C$53,IF(K163&gt;Forudsætninger!$C$54,Forudsætninger!$E$54,Forudsætninger!$E$53+Forudsætninger!$F$54*(K163-Forudsætninger!$C$53)),Forudsætninger!$E$52+Forudsætninger!$F$53*(K163-Forudsætninger!$C$52)),Forudsætninger!$E$52)+IF(K163&gt;Forudsætninger!$C$54,Forudsætninger!$G$54,IF(K163&gt;Forudsætninger!$C$53,Forudsætninger!$G$53+Forudsætninger!$H$54*(K163-Forudsætninger!$C$53),IF(K163&gt;Forudsætninger!$C$52,Forudsætninger!$G$52+Forudsætninger!$H$53*(K163-Forudsætninger!$C$52),Forudsætninger!$G$52)))*(V163-Forudsætninger!$H$52)</f>
        <v>30.170997360008052</v>
      </c>
      <c r="AD163" s="19">
        <f t="shared" si="60"/>
        <v>4125.6598103732258</v>
      </c>
      <c r="AE163" s="19">
        <f t="shared" si="61"/>
        <v>30.170997360008055</v>
      </c>
      <c r="AF163">
        <f>IF(G163&lt;=Forudsætninger!$C$97,Forudsætninger!$C$98,(IF(G163&lt;=Forudsætninger!$D$97,Forudsætninger!$D$98,IF(G163&lt;=Forudsætninger!$E$97,Forudsætninger!$E$98,IF(G163&lt;=Forudsætninger!$F$97,Forudsætninger!$F$98,IF(G163&lt;=Forudsætninger!$G$97,Forudsætninger!$G$98,IF(G163&lt;=Forudsætninger!$H$97,Forudsætninger!$H$98,IF(G163&lt;=Forudsætninger!$I$97,Forudsætninger!$I$98,Forudsætninger!$I$98))))))))</f>
        <v>3.2</v>
      </c>
      <c r="AG163" s="1">
        <f t="shared" si="70"/>
        <v>3.2</v>
      </c>
      <c r="AH163" s="1">
        <f t="shared" si="74"/>
        <v>399.19999999999897</v>
      </c>
      <c r="AI163" s="1">
        <f t="shared" si="62"/>
        <v>2.4795031055900556</v>
      </c>
      <c r="AJ163" s="20">
        <f>+(W163*Forudsætninger!$C$12)</f>
        <v>900</v>
      </c>
      <c r="AK163" s="20">
        <f>Forudsætninger!$C$17</f>
        <v>250</v>
      </c>
      <c r="AL163" s="20">
        <f>IF(A163&lt;92,Forudsætninger!$C$20,Forudsætninger!$C$21)</f>
        <v>1.0566762728146013</v>
      </c>
      <c r="AM163" s="20">
        <f t="shared" si="71"/>
        <v>438.63036277644147</v>
      </c>
      <c r="AN163" s="19">
        <f>IFERROR(AD163+AJ163-AA163-Z163-AK163-AM163-Forudsætninger!$E$75,-999999)</f>
        <v>280.14552633719279</v>
      </c>
      <c r="AO163" s="19">
        <f>IFERROR(AN163/(A163+Forudsætninger!$E$74),-999999)</f>
        <v>1.7400343250757315</v>
      </c>
      <c r="AP163" s="19">
        <f>IFERROR(((365/(A163+Forudsætninger!$E$74))*AN163)/(AI163+Forudsætninger!$E$73),-999999)</f>
        <v>245.26424675127882</v>
      </c>
      <c r="AQ163" s="18">
        <f t="shared" si="63"/>
        <v>161</v>
      </c>
      <c r="AR163" s="18">
        <f t="shared" si="75"/>
        <v>4554.2975226994176</v>
      </c>
      <c r="AS163" s="18">
        <f t="shared" si="55"/>
        <v>6.5</v>
      </c>
      <c r="AT163" s="50">
        <f t="shared" si="76"/>
        <v>6.1253361697930586</v>
      </c>
      <c r="AU163" s="50">
        <f t="shared" si="77"/>
        <v>2.7408136529483151E-2</v>
      </c>
      <c r="AV163" s="2">
        <f t="shared" si="78"/>
        <v>3.4427539778234006</v>
      </c>
      <c r="AW163" s="16">
        <f t="shared" si="72"/>
        <v>4.4644465162337532</v>
      </c>
      <c r="AZ163" s="16"/>
      <c r="BA163" s="2"/>
    </row>
    <row r="164" spans="1:53" x14ac:dyDescent="0.25">
      <c r="A164">
        <v>162</v>
      </c>
      <c r="B164" s="1">
        <f>ROUND((A164+Forudsætninger!$E$60)/30.4,1)</f>
        <v>6.5</v>
      </c>
      <c r="C164" s="1">
        <f>VLOOKUP((A164+Forudsætninger!$E$60),'Model tilvækst, slagteform, fe'!A:D,4,FALSE)</f>
        <v>287.97484606793347</v>
      </c>
      <c r="D164" s="3">
        <f t="shared" si="79"/>
        <v>1544.3062670902918</v>
      </c>
      <c r="E164" s="3">
        <f>(1+Forudsætninger!$E$78)*C164</f>
        <v>264.93685838249883</v>
      </c>
      <c r="F164" s="2">
        <f t="shared" si="81"/>
        <v>0</v>
      </c>
      <c r="G164" s="1">
        <f t="shared" si="56"/>
        <v>264.93685838249883</v>
      </c>
      <c r="H164" s="3">
        <f t="shared" si="64"/>
        <v>1420.761765723114</v>
      </c>
      <c r="I164" s="3">
        <f t="shared" si="57"/>
        <v>1215.6596196450544</v>
      </c>
      <c r="J164" s="1">
        <f>VLOOKUP((A164+Forudsætninger!$E$60),'Model tilvækst, slagteform, fe'!G:K,4,FALSE)*(1+Forudsætninger!$E$79)</f>
        <v>51.913544752257899</v>
      </c>
      <c r="K164" s="17">
        <f t="shared" si="58"/>
        <v>137.53811454162468</v>
      </c>
      <c r="L164" s="17">
        <f t="shared" si="65"/>
        <v>795.54149556994957</v>
      </c>
      <c r="M164" s="3">
        <f>((K164-(('Model tilvækst, slagteform, fe'!$J$9/100)*'Model tilvækst, slagteform, fe'!$D$9))*1000/(A164+Forudsætninger!$E$60))</f>
        <v>592.44296165041123</v>
      </c>
      <c r="N164" s="17">
        <f t="shared" si="66"/>
        <v>698.89168470501681</v>
      </c>
      <c r="O164" s="19">
        <f>IF( A164&lt;Forudsætninger!$C$14,(G164/100)*Forudsætninger!$C$13,(Forudsætninger!$C$15/1000)*Forudsætninger!$C$13)</f>
        <v>1.7220895794862425</v>
      </c>
      <c r="P164" s="17" cm="1">
        <f t="array" ref="P164">INDEX('Model tilvækst, slagteform, fe'!$P$9:$P$375,MATCH(MIN(ABS('Model tilvækst, slagteform, fe'!$M$9:$M$375-G164)),ABS('Model tilvækst, slagteform, fe'!$M$9:$M$375-G164),0))*(1+Forudsætninger!$E$80)</f>
        <v>6.5968813430081292</v>
      </c>
      <c r="Q164" s="17">
        <f t="shared" si="67"/>
        <v>8.2923158373805848</v>
      </c>
      <c r="R164" s="17">
        <f t="shared" si="68"/>
        <v>6.683389676140802</v>
      </c>
      <c r="S164" s="17">
        <f t="shared" si="69"/>
        <v>3.5488109764988773</v>
      </c>
      <c r="T164" s="19">
        <f>(P164)*IF(N164&lt;Forudsætninger!$B$228,IF(N164&lt;Forudsætninger!$B$227,Forudsætninger!$B$225,Forudsætninger!$C$9),Forudsætninger!$C$11)+O164</f>
        <v>17.158791922125264</v>
      </c>
      <c r="U164" s="5">
        <f>Forudsætninger!$E$68+((K164-(Forudsætninger!$E$84)))*0.01</f>
        <v>6.0919448549879158</v>
      </c>
      <c r="V164" s="2">
        <f>U164+Forudsætninger!$E$69</f>
        <v>6.0919448549879158</v>
      </c>
      <c r="W164">
        <f t="shared" si="59"/>
        <v>1</v>
      </c>
      <c r="X164">
        <f>IF(A164+Forudsætninger!$E$60&gt;248,IF(A164+Forudsætninger!$E$60&lt;365,IF(K164&gt;180,IF(K164&lt;260,1,0),0),0),0)</f>
        <v>0</v>
      </c>
      <c r="Y164" s="22">
        <f>IF(X164=0,0,IF('Vækstfunktion, kry kvie'!A164&lt;Forudsætninger!$E$66,Forudsætninger!$E$67+(('Vækstfunktion, kry kvie'!A164-Forudsætninger!$E$66)/7)*Forudsætninger!$E$64,Forudsætninger!$E$67))</f>
        <v>0</v>
      </c>
      <c r="Z164" s="19">
        <f t="shared" si="73"/>
        <v>2307.8259518451009</v>
      </c>
      <c r="AA164" s="19">
        <f>Forudsætninger!$E$62+Forudsætninger!$C$16</f>
        <v>1575</v>
      </c>
      <c r="AB164" s="19">
        <f>IF(K164&gt;Forudsætninger!$C$48,IF(K164&gt;Forudsætninger!$C$49,IF(K164&gt;Forudsætninger!$C$50,Forudsætninger!$E$50,Forudsætninger!$E$49+Forudsætninger!$F$50*(K164-Forudsætninger!$C$49)),Forudsætninger!$E$48+Forudsætninger!$F$49*(K164-Forudsætninger!$C$48)),Forudsætninger!$E$48)+IF(K164&gt;Forudsætninger!$C$50,Forudsætninger!$G$50,IF(K164&gt;Forudsætninger!$C$49,Forudsætninger!$G$49+Forudsætninger!$H$50*(K164-Forudsætninger!$C$49),IF(K164&gt;Forudsætninger!$C$48,Forudsætninger!$G$48+Forudsætninger!$H$49*(K164-Forudsætninger!$C$48),Forudsætninger!$G$48)))*(U164-Forudsætninger!$H$48)</f>
        <v>35.209194485498791</v>
      </c>
      <c r="AC164" s="19">
        <f>IF(K164&gt;Forudsætninger!$C$52,IF(K164&gt;Forudsætninger!$C$53,IF(K164&gt;Forudsætninger!$C$54,Forudsætninger!$E$54,Forudsætninger!$E$53+Forudsætninger!$F$54*(K164-Forudsætninger!$C$53)),Forudsætninger!$E$52+Forudsætninger!$F$53*(K164-Forudsætninger!$C$52)),Forudsætninger!$E$52)+IF(K164&gt;Forudsætninger!$C$54,Forudsætninger!$G$54,IF(K164&gt;Forudsætninger!$C$53,Forudsætninger!$G$53+Forudsætninger!$H$54*(K164-Forudsætninger!$C$53),IF(K164&gt;Forudsætninger!$C$52,Forudsætninger!$G$52+Forudsætninger!$H$53*(K164-Forudsætninger!$C$52),Forudsætninger!$G$52)))*(V164-Forudsætninger!$H$52)</f>
        <v>30.172986213746977</v>
      </c>
      <c r="AD164" s="19">
        <f t="shared" si="60"/>
        <v>4149.9356339291944</v>
      </c>
      <c r="AE164" s="19">
        <f t="shared" si="61"/>
        <v>30.172986213746981</v>
      </c>
      <c r="AF164">
        <f>IF(G164&lt;=Forudsætninger!$C$97,Forudsætninger!$C$98,(IF(G164&lt;=Forudsætninger!$D$97,Forudsætninger!$D$98,IF(G164&lt;=Forudsætninger!$E$97,Forudsætninger!$E$98,IF(G164&lt;=Forudsætninger!$F$97,Forudsætninger!$F$98,IF(G164&lt;=Forudsætninger!$G$97,Forudsætninger!$G$98,IF(G164&lt;=Forudsætninger!$H$97,Forudsætninger!$H$98,IF(G164&lt;=Forudsætninger!$I$97,Forudsætninger!$I$98,Forudsætninger!$I$98))))))))</f>
        <v>3.2</v>
      </c>
      <c r="AG164" s="1">
        <f t="shared" si="70"/>
        <v>3.2</v>
      </c>
      <c r="AH164" s="1">
        <f t="shared" si="74"/>
        <v>402.39999999999895</v>
      </c>
      <c r="AI164" s="1">
        <f t="shared" si="62"/>
        <v>2.4839506172839441</v>
      </c>
      <c r="AJ164" s="20">
        <f>+(W164*Forudsætninger!$C$12)</f>
        <v>900</v>
      </c>
      <c r="AK164" s="20">
        <f>Forudsætninger!$C$17</f>
        <v>250</v>
      </c>
      <c r="AL164" s="20">
        <f>IF(A164&lt;92,Forudsætninger!$C$20,Forudsætninger!$C$21)</f>
        <v>1.0566762728146013</v>
      </c>
      <c r="AM164" s="20">
        <f t="shared" si="71"/>
        <v>439.6870390492561</v>
      </c>
      <c r="AN164" s="19">
        <f>IFERROR(AD164+AJ164-AA164-Z164-AK164-AM164-Forudsætninger!$E$75,-999999)</f>
        <v>286.20588169822156</v>
      </c>
      <c r="AO164" s="19">
        <f>IFERROR(AN164/(A164+Forudsætninger!$E$74),-999999)</f>
        <v>1.7667029734458122</v>
      </c>
      <c r="AP164" s="19">
        <f>IFERROR(((365/(A164+Forudsætninger!$E$74))*AN164)/(AI164+Forudsætninger!$E$73),-999999)</f>
        <v>248.59632292573207</v>
      </c>
      <c r="AQ164" s="18">
        <f t="shared" si="63"/>
        <v>162</v>
      </c>
      <c r="AR164" s="18">
        <f t="shared" si="75"/>
        <v>4572.5129908943572</v>
      </c>
      <c r="AS164" s="18">
        <f t="shared" si="55"/>
        <v>6.5</v>
      </c>
      <c r="AT164" s="50">
        <f t="shared" si="76"/>
        <v>6.060355361028769</v>
      </c>
      <c r="AU164" s="50">
        <f t="shared" si="77"/>
        <v>2.666864837008065E-2</v>
      </c>
      <c r="AV164" s="2">
        <f t="shared" si="78"/>
        <v>3.332076174453249</v>
      </c>
      <c r="AW164" s="16">
        <f t="shared" si="72"/>
        <v>4.4808204984412203</v>
      </c>
      <c r="AZ164" s="16"/>
      <c r="BA164" s="2"/>
    </row>
    <row r="165" spans="1:53" x14ac:dyDescent="0.25">
      <c r="A165">
        <v>163</v>
      </c>
      <c r="B165" s="1">
        <f>ROUND((A165+Forudsætninger!$E$60)/30.4,1)</f>
        <v>6.5</v>
      </c>
      <c r="C165" s="1">
        <f>VLOOKUP((A165+Forudsætninger!$E$60),'Model tilvækst, slagteform, fe'!A:D,4,FALSE)</f>
        <v>289.51680492838767</v>
      </c>
      <c r="D165" s="3">
        <f t="shared" si="79"/>
        <v>1541.9588604542014</v>
      </c>
      <c r="E165" s="3">
        <f>(1+Forudsætninger!$E$78)*C165</f>
        <v>266.35546053411667</v>
      </c>
      <c r="F165" s="2">
        <f t="shared" ref="F165:F195" si="82">MAX(F164-((D165/1000)/15),0)</f>
        <v>0</v>
      </c>
      <c r="G165" s="1">
        <f t="shared" si="56"/>
        <v>266.35546053411667</v>
      </c>
      <c r="H165" s="3">
        <f t="shared" si="64"/>
        <v>1418.6021516178471</v>
      </c>
      <c r="I165" s="3">
        <f t="shared" si="57"/>
        <v>1216.9046658534764</v>
      </c>
      <c r="J165" s="1">
        <f>VLOOKUP((A165+Forudsætninger!$E$60),'Model tilvækst, slagteform, fe'!G:K,4,FALSE)*(1+Forudsætninger!$E$79)</f>
        <v>51.935525319037581</v>
      </c>
      <c r="K165" s="17">
        <f t="shared" si="58"/>
        <v>138.33310764433531</v>
      </c>
      <c r="L165" s="17">
        <f t="shared" si="65"/>
        <v>794.9931027106345</v>
      </c>
      <c r="M165" s="3">
        <f>((K165-(('Model tilvækst, slagteform, fe'!$J$9/100)*'Model tilvækst, slagteform, fe'!$D$9))*1000/(A165+Forudsætninger!$E$60))</f>
        <v>593.46080155523657</v>
      </c>
      <c r="N165" s="17">
        <f t="shared" si="66"/>
        <v>705.50697516535331</v>
      </c>
      <c r="O165" s="19">
        <f>IF( A165&lt;Forudsætninger!$C$14,(G165/100)*Forudsætninger!$C$13,(Forudsætninger!$C$15/1000)*Forudsætninger!$C$13)</f>
        <v>1.7313104934717585</v>
      </c>
      <c r="P165" s="17" cm="1">
        <f t="array" ref="P165">INDEX('Model tilvækst, slagteform, fe'!$P$9:$P$375,MATCH(MIN(ABS('Model tilvækst, slagteform, fe'!$M$9:$M$375-G165)),ABS('Model tilvækst, slagteform, fe'!$M$9:$M$375-G165),0))*(1+Forudsætninger!$E$80)</f>
        <v>6.615290460336543</v>
      </c>
      <c r="Q165" s="17">
        <f t="shared" si="67"/>
        <v>8.3211922691918101</v>
      </c>
      <c r="R165" s="17">
        <f t="shared" si="68"/>
        <v>6.6957469489713155</v>
      </c>
      <c r="S165" s="17">
        <f t="shared" si="69"/>
        <v>3.5567812111933654</v>
      </c>
      <c r="T165" s="19">
        <f>(P165)*IF(N165&lt;Forudsætninger!$B$228,IF(N165&lt;Forudsætninger!$B$227,Forudsætninger!$B$225,Forudsætninger!$C$9),Forudsætninger!$C$11)+O165</f>
        <v>17.211090170659268</v>
      </c>
      <c r="U165" s="5">
        <f>Forudsætninger!$E$68+((K165-(Forudsætninger!$E$84)))*0.01</f>
        <v>6.0998947860150228</v>
      </c>
      <c r="V165" s="2">
        <f>U165+Forudsætninger!$E$69</f>
        <v>6.0998947860150228</v>
      </c>
      <c r="W165">
        <f t="shared" si="59"/>
        <v>1</v>
      </c>
      <c r="X165">
        <f>IF(A165+Forudsætninger!$E$60&gt;248,IF(A165+Forudsætninger!$E$60&lt;365,IF(K165&gt;180,IF(K165&lt;260,1,0),0),0),0)</f>
        <v>0</v>
      </c>
      <c r="Y165" s="22">
        <f>IF(X165=0,0,IF('Vækstfunktion, kry kvie'!A165&lt;Forudsætninger!$E$66,Forudsætninger!$E$67+(('Vækstfunktion, kry kvie'!A165-Forudsætninger!$E$66)/7)*Forudsætninger!$E$64,Forudsætninger!$E$67))</f>
        <v>0</v>
      </c>
      <c r="Z165" s="19">
        <f t="shared" si="73"/>
        <v>2325.0370420157601</v>
      </c>
      <c r="AA165" s="19">
        <f>Forudsætninger!$E$62+Forudsætninger!$C$16</f>
        <v>1575</v>
      </c>
      <c r="AB165" s="19">
        <f>IF(K165&gt;Forudsætninger!$C$48,IF(K165&gt;Forudsætninger!$C$49,IF(K165&gt;Forudsætninger!$C$50,Forudsætninger!$E$50,Forudsætninger!$E$49+Forudsætninger!$F$50*(K165-Forudsætninger!$C$49)),Forudsætninger!$E$48+Forudsætninger!$F$49*(K165-Forudsætninger!$C$48)),Forudsætninger!$E$48)+IF(K165&gt;Forudsætninger!$C$50,Forudsætninger!$G$50,IF(K165&gt;Forudsætninger!$C$49,Forudsætninger!$G$49+Forudsætninger!$H$50*(K165-Forudsætninger!$C$49),IF(K165&gt;Forudsætninger!$C$48,Forudsætninger!$G$48+Forudsætninger!$H$49*(K165-Forudsætninger!$C$48),Forudsætninger!$G$48)))*(U165-Forudsætninger!$H$48)</f>
        <v>35.2099894786015</v>
      </c>
      <c r="AC165" s="19">
        <f>IF(K165&gt;Forudsætninger!$C$52,IF(K165&gt;Forudsætninger!$C$53,IF(K165&gt;Forudsætninger!$C$54,Forudsætninger!$E$54,Forudsætninger!$E$53+Forudsætninger!$F$54*(K165-Forudsætninger!$C$53)),Forudsætninger!$E$52+Forudsætninger!$F$53*(K165-Forudsætninger!$C$52)),Forudsætninger!$E$52)+IF(K165&gt;Forudsætninger!$C$54,Forudsætninger!$G$54,IF(K165&gt;Forudsætninger!$C$53,Forudsætninger!$G$53+Forudsætninger!$H$54*(K165-Forudsætninger!$C$53),IF(K165&gt;Forudsætninger!$C$52,Forudsætninger!$G$52+Forudsætninger!$H$53*(K165-Forudsætninger!$C$52),Forudsætninger!$G$52)))*(V165-Forudsætninger!$H$52)</f>
        <v>30.174973696503756</v>
      </c>
      <c r="AD165" s="19">
        <f t="shared" si="60"/>
        <v>4174.1978845234407</v>
      </c>
      <c r="AE165" s="19">
        <f t="shared" si="61"/>
        <v>30.174973696503756</v>
      </c>
      <c r="AF165">
        <f>IF(G165&lt;=Forudsætninger!$C$97,Forudsætninger!$C$98,(IF(G165&lt;=Forudsætninger!$D$97,Forudsætninger!$D$98,IF(G165&lt;=Forudsætninger!$E$97,Forudsætninger!$E$98,IF(G165&lt;=Forudsætninger!$F$97,Forudsætninger!$F$98,IF(G165&lt;=Forudsætninger!$G$97,Forudsætninger!$G$98,IF(G165&lt;=Forudsætninger!$H$97,Forudsætninger!$H$98,IF(G165&lt;=Forudsætninger!$I$97,Forudsætninger!$I$98,Forudsætninger!$I$98))))))))</f>
        <v>3.2</v>
      </c>
      <c r="AG165" s="1">
        <f t="shared" si="70"/>
        <v>3.2</v>
      </c>
      <c r="AH165" s="1">
        <f t="shared" si="74"/>
        <v>405.59999999999894</v>
      </c>
      <c r="AI165" s="1">
        <f t="shared" si="62"/>
        <v>2.4883435582822022</v>
      </c>
      <c r="AJ165" s="20">
        <f>+(W165*Forudsætninger!$C$12)</f>
        <v>900</v>
      </c>
      <c r="AK165" s="20">
        <f>Forudsætninger!$C$17</f>
        <v>250</v>
      </c>
      <c r="AL165" s="20">
        <f>IF(A165&lt;92,Forudsætninger!$C$20,Forudsætninger!$C$21)</f>
        <v>1.0566762728146013</v>
      </c>
      <c r="AM165" s="20">
        <f t="shared" si="71"/>
        <v>440.74371532207073</v>
      </c>
      <c r="AN165" s="19">
        <f>IFERROR(AD165+AJ165-AA165-Z165-AK165-AM165-Forudsætninger!$E$75,-999999)</f>
        <v>292.20036584899412</v>
      </c>
      <c r="AO165" s="19">
        <f>IFERROR(AN165/(A165+Forudsætninger!$E$74),-999999)</f>
        <v>1.7926402812821725</v>
      </c>
      <c r="AP165" s="19">
        <f>IFERROR(((365/(A165+Forudsætninger!$E$74))*AN165)/(AI165+Forudsætninger!$E$73),-999999)</f>
        <v>251.81954887465616</v>
      </c>
      <c r="AQ165" s="18">
        <f t="shared" si="63"/>
        <v>163</v>
      </c>
      <c r="AR165" s="18">
        <f t="shared" si="75"/>
        <v>4590.7807573378304</v>
      </c>
      <c r="AS165" s="18">
        <f t="shared" si="55"/>
        <v>6.5</v>
      </c>
      <c r="AT165" s="50">
        <f t="shared" si="76"/>
        <v>5.9944841507725641</v>
      </c>
      <c r="AU165" s="50">
        <f t="shared" si="77"/>
        <v>2.5937307836360279E-2</v>
      </c>
      <c r="AV165" s="2">
        <f t="shared" si="78"/>
        <v>3.223225948924096</v>
      </c>
      <c r="AW165" s="16">
        <f t="shared" si="72"/>
        <v>4.4965894550372081</v>
      </c>
      <c r="AZ165" s="16"/>
      <c r="BA165" s="2"/>
    </row>
    <row r="166" spans="1:53" x14ac:dyDescent="0.25">
      <c r="A166">
        <v>164</v>
      </c>
      <c r="B166" s="1">
        <f>ROUND((A166+Forudsætninger!$E$60)/30.4,1)</f>
        <v>6.6</v>
      </c>
      <c r="C166" s="1">
        <f>VLOOKUP((A166+Forudsætninger!$E$60),'Model tilvækst, slagteform, fe'!A:D,4,FALSE)</f>
        <v>291.05636248629821</v>
      </c>
      <c r="D166" s="3">
        <f t="shared" si="79"/>
        <v>1539.5575579105412</v>
      </c>
      <c r="E166" s="3">
        <f>(1+Forudsætninger!$E$78)*C166</f>
        <v>267.77185348739437</v>
      </c>
      <c r="F166" s="2">
        <f t="shared" si="82"/>
        <v>0</v>
      </c>
      <c r="G166" s="1">
        <f t="shared" si="56"/>
        <v>267.77185348739437</v>
      </c>
      <c r="H166" s="3">
        <f t="shared" si="64"/>
        <v>1416.3929532776933</v>
      </c>
      <c r="I166" s="3">
        <f t="shared" si="57"/>
        <v>1218.1210578499656</v>
      </c>
      <c r="J166" s="1">
        <f>VLOOKUP((A166+Forudsætninger!$E$60),'Model tilvækst, slagteform, fe'!G:K,4,FALSE)*(1+Forudsætninger!$E$79)</f>
        <v>51.957481922546499</v>
      </c>
      <c r="K166" s="17">
        <f t="shared" si="58"/>
        <v>139.12751236938064</v>
      </c>
      <c r="L166" s="17">
        <f t="shared" si="65"/>
        <v>794.40472504532522</v>
      </c>
      <c r="M166" s="3">
        <f>((K166-(('Model tilvækst, slagteform, fe'!$J$9/100)*'Model tilvækst, slagteform, fe'!$D$9))*1000/(A166+Forudsætninger!$E$60))</f>
        <v>594.46552117268698</v>
      </c>
      <c r="N166" s="17">
        <f t="shared" si="66"/>
        <v>712.15866091161672</v>
      </c>
      <c r="O166" s="19">
        <f>IF( A166&lt;Forudsætninger!$C$14,(G166/100)*Forudsætninger!$C$13,(Forudsætninger!$C$15/1000)*Forudsætninger!$C$13)</f>
        <v>1.7405170476680636</v>
      </c>
      <c r="P166" s="17" cm="1">
        <f t="array" ref="P166">INDEX('Model tilvækst, slagteform, fe'!$P$9:$P$375,MATCH(MIN(ABS('Model tilvækst, slagteform, fe'!$M$9:$M$375-G166)),ABS('Model tilvækst, slagteform, fe'!$M$9:$M$375-G166),0))*(1+Forudsætninger!$E$80)</f>
        <v>6.6516857462633618</v>
      </c>
      <c r="Q166" s="17">
        <f t="shared" si="67"/>
        <v>8.3731699177441907</v>
      </c>
      <c r="R166" s="17">
        <f t="shared" si="68"/>
        <v>6.7082991551845144</v>
      </c>
      <c r="S166" s="17">
        <f t="shared" si="69"/>
        <v>3.5648598562787726</v>
      </c>
      <c r="T166" s="19">
        <f>(P166)*IF(N166&lt;Forudsætninger!$B$228,IF(N166&lt;Forudsætninger!$B$227,Forudsætninger!$B$225,Forudsætninger!$C$9),Forudsætninger!$C$11)+O166</f>
        <v>17.305461693924329</v>
      </c>
      <c r="U166" s="5">
        <f>Forudsætninger!$E$68+((K166-(Forudsætninger!$E$84)))*0.01</f>
        <v>6.1078388332654754</v>
      </c>
      <c r="V166" s="2">
        <f>U166+Forudsætninger!$E$69</f>
        <v>6.1078388332654754</v>
      </c>
      <c r="W166">
        <f t="shared" si="59"/>
        <v>1</v>
      </c>
      <c r="X166">
        <f>IF(A166+Forudsætninger!$E$60&gt;248,IF(A166+Forudsætninger!$E$60&lt;365,IF(K166&gt;180,IF(K166&lt;260,1,0),0),0),0)</f>
        <v>0</v>
      </c>
      <c r="Y166" s="22">
        <f>IF(X166=0,0,IF('Vækstfunktion, kry kvie'!A166&lt;Forudsætninger!$E$66,Forudsætninger!$E$67+(('Vækstfunktion, kry kvie'!A166-Forudsætninger!$E$66)/7)*Forudsætninger!$E$64,Forudsætninger!$E$67))</f>
        <v>0</v>
      </c>
      <c r="Z166" s="19">
        <f t="shared" si="73"/>
        <v>2342.3425037096845</v>
      </c>
      <c r="AA166" s="19">
        <f>Forudsætninger!$E$62+Forudsætninger!$C$16</f>
        <v>1575</v>
      </c>
      <c r="AB166" s="19">
        <f>IF(K166&gt;Forudsætninger!$C$48,IF(K166&gt;Forudsætninger!$C$49,IF(K166&gt;Forudsætninger!$C$50,Forudsætninger!$E$50,Forudsætninger!$E$49+Forudsætninger!$F$50*(K166-Forudsætninger!$C$49)),Forudsætninger!$E$48+Forudsætninger!$F$49*(K166-Forudsætninger!$C$48)),Forudsætninger!$E$48)+IF(K166&gt;Forudsætninger!$C$50,Forudsætninger!$G$50,IF(K166&gt;Forudsætninger!$C$49,Forudsætninger!$G$49+Forudsætninger!$H$50*(K166-Forudsætninger!$C$49),IF(K166&gt;Forudsætninger!$C$48,Forudsætninger!$G$48+Forudsætninger!$H$49*(K166-Forudsætninger!$C$48),Forudsætninger!$G$48)))*(U166-Forudsætninger!$H$48)</f>
        <v>35.210783883326549</v>
      </c>
      <c r="AC166" s="19">
        <f>IF(K166&gt;Forudsætninger!$C$52,IF(K166&gt;Forudsætninger!$C$53,IF(K166&gt;Forudsætninger!$C$54,Forudsætninger!$E$54,Forudsætninger!$E$53+Forudsætninger!$F$54*(K166-Forudsætninger!$C$53)),Forudsætninger!$E$52+Forudsætninger!$F$53*(K166-Forudsætninger!$C$52)),Forudsætninger!$E$52)+IF(K166&gt;Forudsætninger!$C$54,Forudsætninger!$G$54,IF(K166&gt;Forudsætninger!$C$53,Forudsætninger!$G$53+Forudsætninger!$H$54*(K166-Forudsætninger!$C$53),IF(K166&gt;Forudsætninger!$C$52,Forudsætninger!$G$52+Forudsætninger!$H$53*(K166-Forudsætninger!$C$52),Forudsætninger!$G$52)))*(V166-Forudsætninger!$H$52)</f>
        <v>30.176959708316367</v>
      </c>
      <c r="AD166" s="19">
        <f t="shared" si="60"/>
        <v>4198.4453350890863</v>
      </c>
      <c r="AE166" s="19">
        <f t="shared" si="61"/>
        <v>30.176959708316364</v>
      </c>
      <c r="AF166">
        <f>IF(G166&lt;=Forudsætninger!$C$97,Forudsætninger!$C$98,(IF(G166&lt;=Forudsætninger!$D$97,Forudsætninger!$D$98,IF(G166&lt;=Forudsætninger!$E$97,Forudsætninger!$E$98,IF(G166&lt;=Forudsætninger!$F$97,Forudsætninger!$F$98,IF(G166&lt;=Forudsætninger!$G$97,Forudsætninger!$G$98,IF(G166&lt;=Forudsætninger!$H$97,Forudsætninger!$H$98,IF(G166&lt;=Forudsætninger!$I$97,Forudsætninger!$I$98,Forudsætninger!$I$98))))))))</f>
        <v>3.2</v>
      </c>
      <c r="AG166" s="1">
        <f t="shared" si="70"/>
        <v>3.2</v>
      </c>
      <c r="AH166" s="1">
        <f t="shared" si="74"/>
        <v>408.79999999999893</v>
      </c>
      <c r="AI166" s="1">
        <f t="shared" si="62"/>
        <v>2.4926829268292616</v>
      </c>
      <c r="AJ166" s="20">
        <f>+(W166*Forudsætninger!$C$12)</f>
        <v>900</v>
      </c>
      <c r="AK166" s="20">
        <f>Forudsætninger!$C$17</f>
        <v>250</v>
      </c>
      <c r="AL166" s="20">
        <f>IF(A166&lt;92,Forudsætninger!$C$20,Forudsætninger!$C$21)</f>
        <v>1.0566762728146013</v>
      </c>
      <c r="AM166" s="20">
        <f t="shared" si="71"/>
        <v>441.80039159488535</v>
      </c>
      <c r="AN166" s="19">
        <f>IFERROR(AD166+AJ166-AA166-Z166-AK166-AM166-Forudsætninger!$E$75,-999999)</f>
        <v>298.08567844790059</v>
      </c>
      <c r="AO166" s="19">
        <f>IFERROR(AN166/(A166+Forudsætninger!$E$74),-999999)</f>
        <v>1.8175956002920768</v>
      </c>
      <c r="AP166" s="19">
        <f>IFERROR(((365/(A166+Forudsætninger!$E$74))*AN166)/(AI166+Forudsætninger!$E$73),-999999)</f>
        <v>254.8994298413551</v>
      </c>
      <c r="AQ166" s="18">
        <f t="shared" si="63"/>
        <v>164</v>
      </c>
      <c r="AR166" s="18">
        <f t="shared" si="75"/>
        <v>4609.1428953045697</v>
      </c>
      <c r="AS166" s="18">
        <f t="shared" si="55"/>
        <v>6.6</v>
      </c>
      <c r="AT166" s="50">
        <f t="shared" si="76"/>
        <v>5.8853125989064665</v>
      </c>
      <c r="AU166" s="50">
        <f t="shared" si="77"/>
        <v>2.4955319009904331E-2</v>
      </c>
      <c r="AV166" s="2">
        <f t="shared" si="78"/>
        <v>3.0798809666989371</v>
      </c>
      <c r="AW166" s="16">
        <f t="shared" si="72"/>
        <v>4.5115004270901586</v>
      </c>
      <c r="AZ166" s="16"/>
      <c r="BA166" s="2"/>
    </row>
    <row r="167" spans="1:53" x14ac:dyDescent="0.25">
      <c r="A167">
        <v>165</v>
      </c>
      <c r="B167" s="1">
        <f>ROUND((A167+Forudsætninger!$E$60)/30.4,1)</f>
        <v>6.6</v>
      </c>
      <c r="C167" s="1">
        <f>VLOOKUP((A167+Forudsætninger!$E$60),'Model tilvækst, slagteform, fe'!A:D,4,FALSE)</f>
        <v>292.59346543077828</v>
      </c>
      <c r="D167" s="3">
        <f t="shared" si="79"/>
        <v>1537.1029444800683</v>
      </c>
      <c r="E167" s="3">
        <f>(1+Forudsætninger!$E$78)*C167</f>
        <v>269.18598819631603</v>
      </c>
      <c r="F167" s="2">
        <f t="shared" si="82"/>
        <v>0</v>
      </c>
      <c r="G167" s="1">
        <f t="shared" si="56"/>
        <v>269.18598819631603</v>
      </c>
      <c r="H167" s="3">
        <f t="shared" si="64"/>
        <v>1414.1347089216652</v>
      </c>
      <c r="I167" s="3">
        <f t="shared" si="57"/>
        <v>1219.3090193716123</v>
      </c>
      <c r="J167" s="1">
        <f>VLOOKUP((A167+Forudsætninger!$E$60),'Model tilvækst, slagteform, fe'!G:K,4,FALSE)*(1+Forudsætninger!$E$79)</f>
        <v>51.979410093164191</v>
      </c>
      <c r="K167" s="17">
        <f t="shared" si="58"/>
        <v>139.92128871789967</v>
      </c>
      <c r="L167" s="17">
        <f t="shared" si="65"/>
        <v>793.77634851903167</v>
      </c>
      <c r="M167" s="3">
        <f>((K167-(('Model tilvækst, slagteform, fe'!$J$9/100)*'Model tilvækst, slagteform, fe'!$D$9))*1000/(A167+Forudsætninger!$E$60))</f>
        <v>595.4571173286389</v>
      </c>
      <c r="N167" s="17">
        <f t="shared" si="66"/>
        <v>718.82832745244843</v>
      </c>
      <c r="O167" s="19">
        <f>IF( A167&lt;Forudsætninger!$C$14,(G167/100)*Forudsætninger!$C$13,(Forudsætninger!$C$15/1000)*Forudsætninger!$C$13)</f>
        <v>1.7497089232760543</v>
      </c>
      <c r="P167" s="17" cm="1">
        <f t="array" ref="P167">INDEX('Model tilvækst, slagteform, fe'!$P$9:$P$375,MATCH(MIN(ABS('Model tilvækst, slagteform, fe'!$M$9:$M$375-G167)),ABS('Model tilvækst, slagteform, fe'!$M$9:$M$375-G167),0))*(1+Forudsætninger!$E$80)</f>
        <v>6.6696665408316749</v>
      </c>
      <c r="Q167" s="17">
        <f t="shared" si="67"/>
        <v>8.4024505810426806</v>
      </c>
      <c r="R167" s="17">
        <f t="shared" si="68"/>
        <v>6.7208725007937087</v>
      </c>
      <c r="S167" s="17">
        <f t="shared" si="69"/>
        <v>3.572954229551117</v>
      </c>
      <c r="T167" s="19">
        <f>(P167)*IF(N167&lt;Forudsætninger!$B$228,IF(N167&lt;Forudsætninger!$B$227,Forudsætninger!$B$225,Forudsætninger!$C$9),Forudsætninger!$C$11)+O167</f>
        <v>17.356728628822172</v>
      </c>
      <c r="U167" s="5">
        <f>Forudsætninger!$E$68+((K167-(Forudsætninger!$E$84)))*0.01</f>
        <v>6.1157765967506661</v>
      </c>
      <c r="V167" s="2">
        <f>U167+Forudsætninger!$E$69</f>
        <v>6.1157765967506661</v>
      </c>
      <c r="W167">
        <f t="shared" si="59"/>
        <v>1</v>
      </c>
      <c r="X167">
        <f>IF(A167+Forudsætninger!$E$60&gt;248,IF(A167+Forudsætninger!$E$60&lt;365,IF(K167&gt;180,IF(K167&lt;260,1,0),0),0),0)</f>
        <v>0</v>
      </c>
      <c r="Y167" s="22">
        <f>IF(X167=0,0,IF('Vækstfunktion, kry kvie'!A167&lt;Forudsætninger!$E$66,Forudsætninger!$E$67+(('Vækstfunktion, kry kvie'!A167-Forudsætninger!$E$66)/7)*Forudsætninger!$E$64,Forudsætninger!$E$67))</f>
        <v>0</v>
      </c>
      <c r="Z167" s="19">
        <f t="shared" si="73"/>
        <v>2359.6992323385066</v>
      </c>
      <c r="AA167" s="19">
        <f>Forudsætninger!$E$62+Forudsætninger!$C$16</f>
        <v>1575</v>
      </c>
      <c r="AB167" s="19">
        <f>IF(K167&gt;Forudsætninger!$C$48,IF(K167&gt;Forudsætninger!$C$49,IF(K167&gt;Forudsætninger!$C$50,Forudsætninger!$E$50,Forudsætninger!$E$49+Forudsætninger!$F$50*(K167-Forudsætninger!$C$49)),Forudsætninger!$E$48+Forudsætninger!$F$49*(K167-Forudsætninger!$C$48)),Forudsætninger!$E$48)+IF(K167&gt;Forudsætninger!$C$50,Forudsætninger!$G$50,IF(K167&gt;Forudsætninger!$C$49,Forudsætninger!$G$49+Forudsætninger!$H$50*(K167-Forudsætninger!$C$49),IF(K167&gt;Forudsætninger!$C$48,Forudsætninger!$G$48+Forudsætninger!$H$49*(K167-Forudsætninger!$C$48),Forudsætninger!$G$48)))*(U167-Forudsætninger!$H$48)</f>
        <v>35.211577659675065</v>
      </c>
      <c r="AC167" s="19">
        <f>IF(K167&gt;Forudsætninger!$C$52,IF(K167&gt;Forudsætninger!$C$53,IF(K167&gt;Forudsætninger!$C$54,Forudsætninger!$E$54,Forudsætninger!$E$53+Forudsætninger!$F$54*(K167-Forudsætninger!$C$53)),Forudsætninger!$E$52+Forudsætninger!$F$53*(K167-Forudsætninger!$C$52)),Forudsætninger!$E$52)+IF(K167&gt;Forudsætninger!$C$54,Forudsætninger!$G$54,IF(K167&gt;Forudsætninger!$C$53,Forudsætninger!$G$53+Forudsætninger!$H$54*(K167-Forudsætninger!$C$53),IF(K167&gt;Forudsætninger!$C$52,Forudsætninger!$G$52+Forudsætninger!$H$53*(K167-Forudsætninger!$C$52),Forudsætninger!$G$52)))*(V167-Forudsætninger!$H$52)</f>
        <v>30.178944149187664</v>
      </c>
      <c r="AD167" s="19">
        <f t="shared" si="60"/>
        <v>4222.6767574998566</v>
      </c>
      <c r="AE167" s="19">
        <f t="shared" si="61"/>
        <v>30.178944149187668</v>
      </c>
      <c r="AF167">
        <f>IF(G167&lt;=Forudsætninger!$C$97,Forudsætninger!$C$98,(IF(G167&lt;=Forudsætninger!$D$97,Forudsætninger!$D$98,IF(G167&lt;=Forudsætninger!$E$97,Forudsætninger!$E$98,IF(G167&lt;=Forudsætninger!$F$97,Forudsætninger!$F$98,IF(G167&lt;=Forudsætninger!$G$97,Forudsætninger!$G$98,IF(G167&lt;=Forudsætninger!$H$97,Forudsætninger!$H$98,IF(G167&lt;=Forudsætninger!$I$97,Forudsætninger!$I$98,Forudsætninger!$I$98))))))))</f>
        <v>3.2</v>
      </c>
      <c r="AG167" s="1">
        <f t="shared" si="70"/>
        <v>3.2</v>
      </c>
      <c r="AH167" s="1">
        <f t="shared" si="74"/>
        <v>411.99999999999892</v>
      </c>
      <c r="AI167" s="1">
        <f t="shared" si="62"/>
        <v>2.4969696969696904</v>
      </c>
      <c r="AJ167" s="20">
        <f>+(W167*Forudsætninger!$C$12)</f>
        <v>900</v>
      </c>
      <c r="AK167" s="20">
        <f>Forudsætninger!$C$17</f>
        <v>250</v>
      </c>
      <c r="AL167" s="20">
        <f>IF(A167&lt;92,Forudsætninger!$C$20,Forudsætninger!$C$21)</f>
        <v>1.0566762728146013</v>
      </c>
      <c r="AM167" s="20">
        <f t="shared" si="71"/>
        <v>442.85706786769998</v>
      </c>
      <c r="AN167" s="19">
        <f>IFERROR(AD167+AJ167-AA167-Z167-AK167-AM167-Forudsætninger!$E$75,-999999)</f>
        <v>303.9036959570343</v>
      </c>
      <c r="AO167" s="19">
        <f>IFERROR(AN167/(A167+Forudsætninger!$E$74),-999999)</f>
        <v>1.8418405815577836</v>
      </c>
      <c r="AP167" s="19">
        <f>IFERROR(((365/(A167+Forudsætninger!$E$74))*AN167)/(AI167+Forudsætninger!$E$73),-999999)</f>
        <v>257.87480884416556</v>
      </c>
      <c r="AQ167" s="18">
        <f t="shared" si="63"/>
        <v>165</v>
      </c>
      <c r="AR167" s="18">
        <f t="shared" si="75"/>
        <v>4627.5563002062063</v>
      </c>
      <c r="AS167" s="18">
        <f t="shared" si="55"/>
        <v>6.6</v>
      </c>
      <c r="AT167" s="50">
        <f t="shared" si="76"/>
        <v>5.8180175091337105</v>
      </c>
      <c r="AU167" s="50">
        <f t="shared" si="77"/>
        <v>2.4244981265706844E-2</v>
      </c>
      <c r="AV167" s="2">
        <f t="shared" si="78"/>
        <v>2.9753790028104561</v>
      </c>
      <c r="AW167" s="16">
        <f t="shared" si="72"/>
        <v>4.5258228110589958</v>
      </c>
      <c r="AZ167" s="16"/>
      <c r="BA167" s="2"/>
    </row>
    <row r="168" spans="1:53" x14ac:dyDescent="0.25">
      <c r="A168">
        <v>166</v>
      </c>
      <c r="B168" s="1">
        <f>ROUND((A168+Forudsætninger!$E$60)/30.4,1)</f>
        <v>6.6</v>
      </c>
      <c r="C168" s="1">
        <f>VLOOKUP((A168+Forudsætninger!$E$60),'Model tilvækst, slagteform, fe'!A:D,4,FALSE)</f>
        <v>294.12806103596142</v>
      </c>
      <c r="D168" s="3">
        <f t="shared" si="79"/>
        <v>1534.5956051831422</v>
      </c>
      <c r="E168" s="3">
        <f>(1+Forudsætninger!$E$78)*C168</f>
        <v>270.59781615308452</v>
      </c>
      <c r="F168" s="2">
        <f t="shared" si="82"/>
        <v>0</v>
      </c>
      <c r="G168" s="1">
        <f t="shared" si="56"/>
        <v>270.59781615308452</v>
      </c>
      <c r="H168" s="3">
        <f t="shared" si="64"/>
        <v>1411.8279567684908</v>
      </c>
      <c r="I168" s="3">
        <f t="shared" si="57"/>
        <v>1220.4687720065333</v>
      </c>
      <c r="J168" s="1">
        <f>VLOOKUP((A168+Forudsætninger!$E$60),'Model tilvækst, slagteform, fe'!G:K,4,FALSE)*(1+Forudsætninger!$E$79)</f>
        <v>52.001305361270191</v>
      </c>
      <c r="K168" s="17">
        <f t="shared" si="58"/>
        <v>140.71439667869399</v>
      </c>
      <c r="L168" s="17">
        <f t="shared" si="65"/>
        <v>793.10796079431611</v>
      </c>
      <c r="M168" s="3">
        <f>((K168-(('Model tilvækst, slagteform, fe'!$J$9/100)*'Model tilvækst, slagteform, fe'!$D$9))*1000/(A168+Forudsætninger!$E$60))</f>
        <v>596.43558685074618</v>
      </c>
      <c r="N168" s="17">
        <f t="shared" si="66"/>
        <v>725.51582663956492</v>
      </c>
      <c r="O168" s="19">
        <f>IF( A168&lt;Forudsætninger!$C$14,(G168/100)*Forudsætninger!$C$13,(Forudsætninger!$C$15/1000)*Forudsætninger!$C$13)</f>
        <v>1.7588858049950493</v>
      </c>
      <c r="P168" s="17" cm="1">
        <f t="array" ref="P168">INDEX('Model tilvækst, slagteform, fe'!$P$9:$P$375,MATCH(MIN(ABS('Model tilvækst, slagteform, fe'!$M$9:$M$375-G168)),ABS('Model tilvækst, slagteform, fe'!$M$9:$M$375-G168),0))*(1+Forudsætninger!$E$80)</f>
        <v>6.687499187116531</v>
      </c>
      <c r="Q168" s="17">
        <f t="shared" si="67"/>
        <v>8.4320162168323769</v>
      </c>
      <c r="R168" s="17">
        <f t="shared" si="68"/>
        <v>6.7334678640386043</v>
      </c>
      <c r="S168" s="17">
        <f t="shared" si="69"/>
        <v>3.5810643984995347</v>
      </c>
      <c r="T168" s="19">
        <f>(P168)*IF(N168&lt;Forudsætninger!$B$228,IF(N168&lt;Forudsætninger!$B$227,Forudsætninger!$B$225,Forudsætninger!$C$9),Forudsætninger!$C$11)+O168</f>
        <v>17.407633902847731</v>
      </c>
      <c r="U168" s="5">
        <f>Forudsætninger!$E$68+((K168-(Forudsætninger!$E$84)))*0.01</f>
        <v>6.1237076763586087</v>
      </c>
      <c r="V168" s="2">
        <f>U168+Forudsætninger!$E$69</f>
        <v>6.1237076763586087</v>
      </c>
      <c r="W168">
        <f t="shared" si="59"/>
        <v>1</v>
      </c>
      <c r="X168">
        <f>IF(A168+Forudsætninger!$E$60&gt;248,IF(A168+Forudsætninger!$E$60&lt;365,IF(K168&gt;180,IF(K168&lt;260,1,0),0),0),0)</f>
        <v>0</v>
      </c>
      <c r="Y168" s="22">
        <f>IF(X168=0,0,IF('Vækstfunktion, kry kvie'!A168&lt;Forudsætninger!$E$66,Forudsætninger!$E$67+(('Vækstfunktion, kry kvie'!A168-Forudsætninger!$E$66)/7)*Forudsætninger!$E$64,Forudsætninger!$E$67))</f>
        <v>0</v>
      </c>
      <c r="Z168" s="19">
        <f t="shared" si="73"/>
        <v>2377.1068662413545</v>
      </c>
      <c r="AA168" s="19">
        <f>Forudsætninger!$E$62+Forudsætninger!$C$16</f>
        <v>1575</v>
      </c>
      <c r="AB168" s="19">
        <f>IF(K168&gt;Forudsætninger!$C$48,IF(K168&gt;Forudsætninger!$C$49,IF(K168&gt;Forudsætninger!$C$50,Forudsætninger!$E$50,Forudsætninger!$E$49+Forudsætninger!$F$50*(K168-Forudsætninger!$C$49)),Forudsætninger!$E$48+Forudsætninger!$F$49*(K168-Forudsætninger!$C$48)),Forudsætninger!$E$48)+IF(K168&gt;Forudsætninger!$C$50,Forudsætninger!$G$50,IF(K168&gt;Forudsætninger!$C$49,Forudsætninger!$G$49+Forudsætninger!$H$50*(K168-Forudsætninger!$C$49),IF(K168&gt;Forudsætninger!$C$48,Forudsætninger!$G$48+Forudsætninger!$H$49*(K168-Forudsætninger!$C$48),Forudsætninger!$G$48)))*(U168-Forudsætninger!$H$48)</f>
        <v>35.212370767635861</v>
      </c>
      <c r="AC168" s="19">
        <f>IF(K168&gt;Forudsætninger!$C$52,IF(K168&gt;Forudsætninger!$C$53,IF(K168&gt;Forudsætninger!$C$54,Forudsætninger!$E$54,Forudsætninger!$E$53+Forudsætninger!$F$54*(K168-Forudsætninger!$C$53)),Forudsætninger!$E$52+Forudsætninger!$F$53*(K168-Forudsætninger!$C$52)),Forudsætninger!$E$52)+IF(K168&gt;Forudsætninger!$C$54,Forudsætninger!$G$54,IF(K168&gt;Forudsætninger!$C$53,Forudsætninger!$G$53+Forudsætninger!$H$54*(K168-Forudsætninger!$C$53),IF(K168&gt;Forudsætninger!$C$52,Forudsætninger!$G$52+Forudsætninger!$H$53*(K168-Forudsætninger!$C$52),Forudsætninger!$G$52)))*(V168-Forudsætninger!$H$52)</f>
        <v>30.18092691908965</v>
      </c>
      <c r="AD168" s="19">
        <f t="shared" si="60"/>
        <v>4246.8909226234546</v>
      </c>
      <c r="AE168" s="19">
        <f t="shared" si="61"/>
        <v>30.18092691908965</v>
      </c>
      <c r="AF168">
        <f>IF(G168&lt;=Forudsætninger!$C$97,Forudsætninger!$C$98,(IF(G168&lt;=Forudsætninger!$D$97,Forudsætninger!$D$98,IF(G168&lt;=Forudsætninger!$E$97,Forudsætninger!$E$98,IF(G168&lt;=Forudsætninger!$F$97,Forudsætninger!$F$98,IF(G168&lt;=Forudsætninger!$G$97,Forudsætninger!$G$98,IF(G168&lt;=Forudsætninger!$H$97,Forudsætninger!$H$98,IF(G168&lt;=Forudsætninger!$I$97,Forudsætninger!$I$98,Forudsætninger!$I$98))))))))</f>
        <v>3.2</v>
      </c>
      <c r="AG168" s="1">
        <f t="shared" si="70"/>
        <v>3.2</v>
      </c>
      <c r="AH168" s="1">
        <f t="shared" si="74"/>
        <v>415.19999999999891</v>
      </c>
      <c r="AI168" s="1">
        <f t="shared" si="62"/>
        <v>2.5012048192771017</v>
      </c>
      <c r="AJ168" s="20">
        <f>+(W168*Forudsætninger!$C$12)</f>
        <v>900</v>
      </c>
      <c r="AK168" s="20">
        <f>Forudsætninger!$C$17</f>
        <v>250</v>
      </c>
      <c r="AL168" s="20">
        <f>IF(A168&lt;92,Forudsætninger!$C$20,Forudsætninger!$C$21)</f>
        <v>1.0566762728146013</v>
      </c>
      <c r="AM168" s="20">
        <f t="shared" si="71"/>
        <v>443.91374414051461</v>
      </c>
      <c r="AN168" s="19">
        <f>IFERROR(AD168+AJ168-AA168-Z168-AK168-AM168-Forudsætninger!$E$75,-999999)</f>
        <v>309.65355090496962</v>
      </c>
      <c r="AO168" s="19">
        <f>IFERROR(AN168/(A168+Forudsætninger!$E$74),-999999)</f>
        <v>1.8653828367769254</v>
      </c>
      <c r="AP168" s="19">
        <f>IFERROR(((365/(A168+Forudsætninger!$E$74))*AN168)/(AI168+Forudsætninger!$E$73),-999999)</f>
        <v>260.74734942166333</v>
      </c>
      <c r="AQ168" s="18">
        <f t="shared" si="63"/>
        <v>166</v>
      </c>
      <c r="AR168" s="18">
        <f t="shared" si="75"/>
        <v>4646.0206103818691</v>
      </c>
      <c r="AS168" s="18">
        <f t="shared" si="55"/>
        <v>6.6</v>
      </c>
      <c r="AT168" s="50">
        <f t="shared" si="76"/>
        <v>5.7498549479353187</v>
      </c>
      <c r="AU168" s="50">
        <f t="shared" si="77"/>
        <v>2.3542255219141772E-2</v>
      </c>
      <c r="AV168" s="2">
        <f t="shared" si="78"/>
        <v>2.872540577497773</v>
      </c>
      <c r="AW168" s="16">
        <f t="shared" si="72"/>
        <v>4.5395620183462908</v>
      </c>
      <c r="AZ168" s="16"/>
      <c r="BA168" s="2"/>
    </row>
    <row r="169" spans="1:53" x14ac:dyDescent="0.25">
      <c r="A169">
        <v>167</v>
      </c>
      <c r="B169" s="1">
        <f>ROUND((A169+Forudsætninger!$E$60)/30.4,1)</f>
        <v>6.7</v>
      </c>
      <c r="C169" s="1">
        <f>VLOOKUP((A169+Forudsætninger!$E$60),'Model tilvækst, slagteform, fe'!A:D,4,FALSE)</f>
        <v>295.660097161002</v>
      </c>
      <c r="D169" s="3">
        <f t="shared" si="79"/>
        <v>1532.0361250405767</v>
      </c>
      <c r="E169" s="3">
        <f>(1+Forudsætninger!$E$78)*C169</f>
        <v>272.00728938812188</v>
      </c>
      <c r="F169" s="2">
        <f t="shared" si="82"/>
        <v>0</v>
      </c>
      <c r="G169" s="1">
        <f t="shared" si="56"/>
        <v>272.00728938812188</v>
      </c>
      <c r="H169" s="3">
        <f t="shared" si="64"/>
        <v>1409.4732350373533</v>
      </c>
      <c r="I169" s="3">
        <f t="shared" si="57"/>
        <v>1221.6005352582147</v>
      </c>
      <c r="J169" s="1">
        <f>VLOOKUP((A169+Forudsætninger!$E$60),'Model tilvækst, slagteform, fe'!G:K,4,FALSE)*(1+Forudsætninger!$E$79)</f>
        <v>52.023163257243979</v>
      </c>
      <c r="K169" s="17">
        <f t="shared" si="58"/>
        <v>141.50679622998672</v>
      </c>
      <c r="L169" s="17">
        <f t="shared" si="65"/>
        <v>792.39955129273199</v>
      </c>
      <c r="M169" s="3">
        <f>((K169-(('Model tilvækst, slagteform, fe'!$J$9/100)*'Model tilvækst, slagteform, fe'!$D$9))*1000/(A169+Forudsætninger!$E$60))</f>
        <v>597.40092657706145</v>
      </c>
      <c r="N169" s="17">
        <f t="shared" si="66"/>
        <v>732.22100763766775</v>
      </c>
      <c r="O169" s="19">
        <f>IF( A169&lt;Forudsætninger!$C$14,(G169/100)*Forudsætninger!$C$13,(Forudsætninger!$C$15/1000)*Forudsætninger!$C$13)</f>
        <v>1.7680473810227924</v>
      </c>
      <c r="P169" s="17" cm="1">
        <f t="array" ref="P169">INDEX('Model tilvækst, slagteform, fe'!$P$9:$P$375,MATCH(MIN(ABS('Model tilvækst, slagteform, fe'!$M$9:$M$375-G169)),ABS('Model tilvækst, slagteform, fe'!$M$9:$M$375-G169),0))*(1+Forudsætninger!$E$80)</f>
        <v>6.7051809981028816</v>
      </c>
      <c r="Q169" s="17">
        <f t="shared" si="67"/>
        <v>8.4618687468511986</v>
      </c>
      <c r="R169" s="17">
        <f t="shared" si="68"/>
        <v>6.7460860927503106</v>
      </c>
      <c r="S169" s="17">
        <f t="shared" si="69"/>
        <v>3.5891904148808353</v>
      </c>
      <c r="T169" s="19">
        <f>(P169)*IF(N169&lt;Forudsætninger!$B$228,IF(N169&lt;Forudsætninger!$B$227,Forudsætninger!$B$225,Forudsætninger!$C$9),Forudsætninger!$C$11)+O169</f>
        <v>17.458170916583533</v>
      </c>
      <c r="U169" s="5">
        <f>Forudsætninger!$E$68+((K169-(Forudsætninger!$E$84)))*0.01</f>
        <v>6.1316316718715367</v>
      </c>
      <c r="V169" s="2">
        <f>U169+Forudsætninger!$E$69</f>
        <v>6.1316316718715367</v>
      </c>
      <c r="W169">
        <f t="shared" si="59"/>
        <v>1</v>
      </c>
      <c r="X169">
        <f>IF(A169+Forudsætninger!$E$60&gt;248,IF(A169+Forudsætninger!$E$60&lt;365,IF(K169&gt;180,IF(K169&lt;260,1,0),0),0),0)</f>
        <v>0</v>
      </c>
      <c r="Y169" s="22">
        <f>IF(X169=0,0,IF('Vækstfunktion, kry kvie'!A169&lt;Forudsætninger!$E$66,Forudsætninger!$E$67+(('Vækstfunktion, kry kvie'!A169-Forudsætninger!$E$66)/7)*Forudsætninger!$E$64,Forudsætninger!$E$67))</f>
        <v>0</v>
      </c>
      <c r="Z169" s="19">
        <f t="shared" si="73"/>
        <v>2394.5650371579381</v>
      </c>
      <c r="AA169" s="19">
        <f>Forudsætninger!$E$62+Forudsætninger!$C$16</f>
        <v>1575</v>
      </c>
      <c r="AB169" s="19">
        <f>IF(K169&gt;Forudsætninger!$C$48,IF(K169&gt;Forudsætninger!$C$49,IF(K169&gt;Forudsætninger!$C$50,Forudsætninger!$E$50,Forudsætninger!$E$49+Forudsætninger!$F$50*(K169-Forudsætninger!$C$49)),Forudsætninger!$E$48+Forudsætninger!$F$49*(K169-Forudsætninger!$C$48)),Forudsætninger!$E$48)+IF(K169&gt;Forudsætninger!$C$50,Forudsætninger!$G$50,IF(K169&gt;Forudsætninger!$C$49,Forudsætninger!$G$49+Forudsætninger!$H$50*(K169-Forudsætninger!$C$49),IF(K169&gt;Forudsætninger!$C$48,Forudsætninger!$G$48+Forudsætninger!$H$49*(K169-Forudsætninger!$C$48),Forudsætninger!$G$48)))*(U169-Forudsætninger!$H$48)</f>
        <v>35.213163167187155</v>
      </c>
      <c r="AC169" s="19">
        <f>IF(K169&gt;Forudsætninger!$C$52,IF(K169&gt;Forudsætninger!$C$53,IF(K169&gt;Forudsætninger!$C$54,Forudsætninger!$E$54,Forudsætninger!$E$53+Forudsætninger!$F$54*(K169-Forudsætninger!$C$53)),Forudsætninger!$E$52+Forudsætninger!$F$53*(K169-Forudsætninger!$C$52)),Forudsætninger!$E$52)+IF(K169&gt;Forudsætninger!$C$54,Forudsætninger!$G$54,IF(K169&gt;Forudsætninger!$C$53,Forudsætninger!$G$53+Forudsætninger!$H$54*(K169-Forudsætninger!$C$53),IF(K169&gt;Forudsætninger!$C$52,Forudsætninger!$G$52+Forudsætninger!$H$53*(K169-Forudsætninger!$C$52),Forudsætninger!$G$52)))*(V169-Forudsætninger!$H$52)</f>
        <v>30.182907917967881</v>
      </c>
      <c r="AD169" s="19">
        <f t="shared" si="60"/>
        <v>4271.086600376334</v>
      </c>
      <c r="AE169" s="19">
        <f t="shared" si="61"/>
        <v>30.182907917967885</v>
      </c>
      <c r="AF169">
        <f>IF(G169&lt;=Forudsætninger!$C$97,Forudsætninger!$C$98,(IF(G169&lt;=Forudsætninger!$D$97,Forudsætninger!$D$98,IF(G169&lt;=Forudsætninger!$E$97,Forudsætninger!$E$98,IF(G169&lt;=Forudsætninger!$F$97,Forudsætninger!$F$98,IF(G169&lt;=Forudsætninger!$G$97,Forudsætninger!$G$98,IF(G169&lt;=Forudsætninger!$H$97,Forudsætninger!$H$98,IF(G169&lt;=Forudsætninger!$I$97,Forudsætninger!$I$98,Forudsætninger!$I$98))))))))</f>
        <v>3.2</v>
      </c>
      <c r="AG169" s="1">
        <f t="shared" si="70"/>
        <v>3.2</v>
      </c>
      <c r="AH169" s="1">
        <f t="shared" si="74"/>
        <v>418.3999999999989</v>
      </c>
      <c r="AI169" s="1">
        <f t="shared" si="62"/>
        <v>2.5053892215568796</v>
      </c>
      <c r="AJ169" s="20">
        <f>+(W169*Forudsætninger!$C$12)</f>
        <v>900</v>
      </c>
      <c r="AK169" s="20">
        <f>Forudsætninger!$C$17</f>
        <v>250</v>
      </c>
      <c r="AL169" s="20">
        <f>IF(A169&lt;92,Forudsætninger!$C$20,Forudsætninger!$C$21)</f>
        <v>1.0566762728146013</v>
      </c>
      <c r="AM169" s="20">
        <f t="shared" si="71"/>
        <v>444.97042041332924</v>
      </c>
      <c r="AN169" s="19">
        <f>IFERROR(AD169+AJ169-AA169-Z169-AK169-AM169-Forudsætninger!$E$75,-999999)</f>
        <v>315.33438146845083</v>
      </c>
      <c r="AO169" s="19">
        <f>IFERROR(AN169/(A169+Forudsætninger!$E$74),-999999)</f>
        <v>1.8882298291524002</v>
      </c>
      <c r="AP169" s="19">
        <f>IFERROR(((365/(A169+Forudsætninger!$E$74))*AN169)/(AI169+Forudsætninger!$E$73),-999999)</f>
        <v>263.51866940491527</v>
      </c>
      <c r="AQ169" s="18">
        <f t="shared" si="63"/>
        <v>167</v>
      </c>
      <c r="AR169" s="18">
        <f t="shared" si="75"/>
        <v>4664.5354575712672</v>
      </c>
      <c r="AS169" s="18">
        <f t="shared" si="55"/>
        <v>6.7</v>
      </c>
      <c r="AT169" s="50">
        <f t="shared" si="76"/>
        <v>5.6808305634812086</v>
      </c>
      <c r="AU169" s="50">
        <f t="shared" si="77"/>
        <v>2.2846992375474828E-2</v>
      </c>
      <c r="AV169" s="2">
        <f t="shared" si="78"/>
        <v>2.7713199832519422</v>
      </c>
      <c r="AW169" s="16">
        <f t="shared" si="72"/>
        <v>4.5527233645615572</v>
      </c>
      <c r="AZ169" s="16"/>
      <c r="BA169" s="2"/>
    </row>
    <row r="170" spans="1:53" x14ac:dyDescent="0.25">
      <c r="A170">
        <v>168</v>
      </c>
      <c r="B170" s="1">
        <f>ROUND((A170+Forudsætninger!$E$60)/30.4,1)</f>
        <v>6.7</v>
      </c>
      <c r="C170" s="1">
        <f>VLOOKUP((A170+Forudsætninger!$E$60),'Model tilvækst, slagteform, fe'!A:D,4,FALSE)</f>
        <v>297.18952225007496</v>
      </c>
      <c r="D170" s="3">
        <f t="shared" si="79"/>
        <v>1529.4250890729586</v>
      </c>
      <c r="E170" s="3">
        <f>(1+Forudsætninger!$E$78)*C170</f>
        <v>273.41436047006897</v>
      </c>
      <c r="F170" s="2">
        <f t="shared" si="82"/>
        <v>0</v>
      </c>
      <c r="G170" s="1">
        <f t="shared" si="56"/>
        <v>273.41436047006897</v>
      </c>
      <c r="H170" s="3">
        <f t="shared" si="64"/>
        <v>1407.0710819470946</v>
      </c>
      <c r="I170" s="3">
        <f t="shared" si="57"/>
        <v>1222.7045266075534</v>
      </c>
      <c r="J170" s="1">
        <f>VLOOKUP((A170+Forudsætninger!$E$60),'Model tilvækst, slagteform, fe'!G:K,4,FALSE)*(1+Forudsætninger!$E$79)</f>
        <v>52.04497931146512</v>
      </c>
      <c r="K170" s="17">
        <f t="shared" si="58"/>
        <v>142.29844734122207</v>
      </c>
      <c r="L170" s="17">
        <f t="shared" si="65"/>
        <v>791.65111123535326</v>
      </c>
      <c r="M170" s="3">
        <f>((K170-(('Model tilvækst, slagteform, fe'!$J$9/100)*'Model tilvækst, slagteform, fe'!$D$9))*1000/(A170+Forudsætninger!$E$60))</f>
        <v>598.35313336460206</v>
      </c>
      <c r="N170" s="17">
        <f t="shared" si="66"/>
        <v>738.94371692444349</v>
      </c>
      <c r="O170" s="19">
        <f>IF( A170&lt;Forudsætninger!$C$14,(G170/100)*Forudsætninger!$C$13,(Forudsætninger!$C$15/1000)*Forudsætninger!$C$13)</f>
        <v>1.7771933430554483</v>
      </c>
      <c r="P170" s="17" cm="1">
        <f t="array" ref="P170">INDEX('Model tilvækst, slagteform, fe'!$P$9:$P$375,MATCH(MIN(ABS('Model tilvækst, slagteform, fe'!$M$9:$M$375-G170)),ABS('Model tilvækst, slagteform, fe'!$M$9:$M$375-G170),0))*(1+Forudsætninger!$E$80)</f>
        <v>6.7227092867756841</v>
      </c>
      <c r="Q170" s="17">
        <f t="shared" si="67"/>
        <v>8.4920101688293617</v>
      </c>
      <c r="R170" s="17">
        <f t="shared" si="68"/>
        <v>6.7587280054846071</v>
      </c>
      <c r="S170" s="17">
        <f t="shared" si="69"/>
        <v>3.597332315196704</v>
      </c>
      <c r="T170" s="19">
        <f>(P170)*IF(N170&lt;Forudsætninger!$B$228,IF(N170&lt;Forudsætninger!$B$227,Forudsætninger!$B$225,Forudsætninger!$C$9),Forudsætninger!$C$11)+O170</f>
        <v>17.508333074110549</v>
      </c>
      <c r="U170" s="5">
        <f>Forudsætninger!$E$68+((K170-(Forudsætninger!$E$84)))*0.01</f>
        <v>6.1395481829838898</v>
      </c>
      <c r="V170" s="2">
        <f>U170+Forudsætninger!$E$69</f>
        <v>6.1395481829838898</v>
      </c>
      <c r="W170">
        <f t="shared" si="59"/>
        <v>1</v>
      </c>
      <c r="X170">
        <f>IF(A170+Forudsætninger!$E$60&gt;248,IF(A170+Forudsætninger!$E$60&lt;365,IF(K170&gt;180,IF(K170&lt;260,1,0),0),0),0)</f>
        <v>0</v>
      </c>
      <c r="Y170" s="22">
        <f>IF(X170=0,0,IF('Vækstfunktion, kry kvie'!A170&lt;Forudsætninger!$E$66,Forudsætninger!$E$67+(('Vækstfunktion, kry kvie'!A170-Forudsætninger!$E$66)/7)*Forudsætninger!$E$64,Forudsætninger!$E$67))</f>
        <v>0</v>
      </c>
      <c r="Z170" s="19">
        <f t="shared" si="73"/>
        <v>2412.0733702320485</v>
      </c>
      <c r="AA170" s="19">
        <f>Forudsætninger!$E$62+Forudsætninger!$C$16</f>
        <v>1575</v>
      </c>
      <c r="AB170" s="19">
        <f>IF(K170&gt;Forudsætninger!$C$48,IF(K170&gt;Forudsætninger!$C$49,IF(K170&gt;Forudsætninger!$C$50,Forudsætninger!$E$50,Forudsætninger!$E$49+Forudsætninger!$F$50*(K170-Forudsætninger!$C$49)),Forudsætninger!$E$48+Forudsætninger!$F$49*(K170-Forudsætninger!$C$48)),Forudsætninger!$E$48)+IF(K170&gt;Forudsætninger!$C$50,Forudsætninger!$G$50,IF(K170&gt;Forudsætninger!$C$49,Forudsætninger!$G$49+Forudsætninger!$H$50*(K170-Forudsætninger!$C$49),IF(K170&gt;Forudsætninger!$C$48,Forudsætninger!$G$48+Forudsætninger!$H$49*(K170-Forudsætninger!$C$48),Forudsætninger!$G$48)))*(U170-Forudsætninger!$H$48)</f>
        <v>35.21395481829839</v>
      </c>
      <c r="AC170" s="19">
        <f>IF(K170&gt;Forudsætninger!$C$52,IF(K170&gt;Forudsætninger!$C$53,IF(K170&gt;Forudsætninger!$C$54,Forudsætninger!$E$54,Forudsætninger!$E$53+Forudsætninger!$F$54*(K170-Forudsætninger!$C$53)),Forudsætninger!$E$52+Forudsætninger!$F$53*(K170-Forudsætninger!$C$52)),Forudsætninger!$E$52)+IF(K170&gt;Forudsætninger!$C$54,Forudsætninger!$G$54,IF(K170&gt;Forudsætninger!$C$53,Forudsætninger!$G$53+Forudsætninger!$H$54*(K170-Forudsætninger!$C$53),IF(K170&gt;Forudsætninger!$C$52,Forudsætninger!$G$52+Forudsætninger!$H$53*(K170-Forudsætninger!$C$52),Forudsætninger!$G$52)))*(V170-Forudsætninger!$H$52)</f>
        <v>30.18488704574597</v>
      </c>
      <c r="AD170" s="19">
        <f t="shared" si="60"/>
        <v>4295.2625597798196</v>
      </c>
      <c r="AE170" s="19">
        <f t="shared" si="61"/>
        <v>30.184887045745974</v>
      </c>
      <c r="AF170">
        <f>IF(G170&lt;=Forudsætninger!$C$97,Forudsætninger!$C$98,(IF(G170&lt;=Forudsætninger!$D$97,Forudsætninger!$D$98,IF(G170&lt;=Forudsætninger!$E$97,Forudsætninger!$E$98,IF(G170&lt;=Forudsætninger!$F$97,Forudsætninger!$F$98,IF(G170&lt;=Forudsætninger!$G$97,Forudsætninger!$G$98,IF(G170&lt;=Forudsætninger!$H$97,Forudsætninger!$H$98,IF(G170&lt;=Forudsætninger!$I$97,Forudsætninger!$I$98,Forudsætninger!$I$98))))))))</f>
        <v>3.2</v>
      </c>
      <c r="AG170" s="1">
        <f t="shared" si="70"/>
        <v>3.2</v>
      </c>
      <c r="AH170" s="1">
        <f t="shared" si="74"/>
        <v>421.59999999999889</v>
      </c>
      <c r="AI170" s="1">
        <f t="shared" si="62"/>
        <v>2.5095238095238028</v>
      </c>
      <c r="AJ170" s="20">
        <f>+(W170*Forudsætninger!$C$12)</f>
        <v>900</v>
      </c>
      <c r="AK170" s="20">
        <f>Forudsætninger!$C$17</f>
        <v>250</v>
      </c>
      <c r="AL170" s="20">
        <f>IF(A170&lt;92,Forudsætninger!$C$20,Forudsætninger!$C$21)</f>
        <v>1.0566762728146013</v>
      </c>
      <c r="AM170" s="20">
        <f t="shared" si="71"/>
        <v>446.02709668614386</v>
      </c>
      <c r="AN170" s="19">
        <f>IFERROR(AD170+AJ170-AA170-Z170-AK170-AM170-Forudsætninger!$E$75,-999999)</f>
        <v>320.9453315250114</v>
      </c>
      <c r="AO170" s="19">
        <f>IFERROR(AN170/(A170+Forudsætninger!$E$74),-999999)</f>
        <v>1.9103888781250677</v>
      </c>
      <c r="AP170" s="19">
        <f>IFERROR(((365/(A170+Forudsætninger!$E$74))*AN170)/(AI170+Forudsætninger!$E$73),-999999)</f>
        <v>266.19034268003418</v>
      </c>
      <c r="AQ170" s="18">
        <f t="shared" si="63"/>
        <v>168</v>
      </c>
      <c r="AR170" s="18">
        <f t="shared" si="75"/>
        <v>4683.1004669181921</v>
      </c>
      <c r="AS170" s="18">
        <f t="shared" si="55"/>
        <v>6.7</v>
      </c>
      <c r="AT170" s="50">
        <f t="shared" si="76"/>
        <v>5.6109500565605686</v>
      </c>
      <c r="AU170" s="50">
        <f t="shared" si="77"/>
        <v>2.2159048972667517E-2</v>
      </c>
      <c r="AV170" s="2">
        <f t="shared" si="78"/>
        <v>2.6716732751189056</v>
      </c>
      <c r="AW170" s="16">
        <f t="shared" si="72"/>
        <v>4.5653120726854484</v>
      </c>
      <c r="AZ170" s="16"/>
      <c r="BA170" s="2"/>
    </row>
    <row r="171" spans="1:53" x14ac:dyDescent="0.25">
      <c r="A171">
        <v>169</v>
      </c>
      <c r="B171" s="1">
        <f>ROUND((A171+Forudsætninger!$E$60)/30.4,1)</f>
        <v>6.7</v>
      </c>
      <c r="C171" s="1">
        <f>VLOOKUP((A171+Forudsætninger!$E$60),'Model tilvækst, slagteform, fe'!A:D,4,FALSE)</f>
        <v>298.71628533237572</v>
      </c>
      <c r="D171" s="3">
        <f t="shared" si="79"/>
        <v>1526.7630823007607</v>
      </c>
      <c r="E171" s="3">
        <f>(1+Forudsætninger!$E$78)*C171</f>
        <v>274.8189825057857</v>
      </c>
      <c r="F171" s="2">
        <f t="shared" si="82"/>
        <v>0</v>
      </c>
      <c r="G171" s="1">
        <f t="shared" si="56"/>
        <v>274.8189825057857</v>
      </c>
      <c r="H171" s="3">
        <f t="shared" si="64"/>
        <v>1404.6220357167272</v>
      </c>
      <c r="I171" s="3">
        <f t="shared" si="57"/>
        <v>1223.7809615726965</v>
      </c>
      <c r="J171" s="1">
        <f>VLOOKUP((A171+Forudsætninger!$E$60),'Model tilvækst, slagteform, fe'!G:K,4,FALSE)*(1+Forudsætninger!$E$79)</f>
        <v>52.066749054313092</v>
      </c>
      <c r="K171" s="17">
        <f t="shared" si="58"/>
        <v>143.08930997490404</v>
      </c>
      <c r="L171" s="17">
        <f t="shared" si="65"/>
        <v>790.86263368196796</v>
      </c>
      <c r="M171" s="3">
        <f>((K171-(('Model tilvækst, slagteform, fe'!$J$9/100)*'Model tilvækst, slagteform, fe'!$D$9))*1000/(A171+Forudsætninger!$E$60))</f>
        <v>599.29220409785751</v>
      </c>
      <c r="N171" s="17">
        <f t="shared" si="66"/>
        <v>745.70101147356399</v>
      </c>
      <c r="O171" s="19">
        <f>IF( A171&lt;Forudsætninger!$C$14,(G171/100)*Forudsætninger!$C$13,(Forudsætninger!$C$15/1000)*Forudsætninger!$C$13)</f>
        <v>1.7863233862876071</v>
      </c>
      <c r="P171" s="17" cm="1">
        <f t="array" ref="P171">INDEX('Model tilvækst, slagteform, fe'!$P$9:$P$375,MATCH(MIN(ABS('Model tilvækst, slagteform, fe'!$M$9:$M$375-G171)),ABS('Model tilvækst, slagteform, fe'!$M$9:$M$375-G171),0))*(1+Forudsætninger!$E$80)</f>
        <v>6.7572945491204575</v>
      </c>
      <c r="Q171" s="17">
        <f t="shared" si="67"/>
        <v>8.5442076301682874</v>
      </c>
      <c r="R171" s="17">
        <f t="shared" si="68"/>
        <v>6.7715507018231547</v>
      </c>
      <c r="S171" s="17">
        <f t="shared" si="69"/>
        <v>3.6055733494032793</v>
      </c>
      <c r="T171" s="19">
        <f>(P171)*IF(N171&lt;Forudsætninger!$B$228,IF(N171&lt;Forudsætninger!$B$227,Forudsætninger!$B$225,Forudsætninger!$C$9),Forudsætninger!$C$11)+O171</f>
        <v>17.598392631229476</v>
      </c>
      <c r="U171" s="5">
        <f>Forudsætninger!$E$68+((K171-(Forudsætninger!$E$84)))*0.01</f>
        <v>6.14745680932071</v>
      </c>
      <c r="V171" s="2">
        <f>U171+Forudsætninger!$E$69</f>
        <v>6.14745680932071</v>
      </c>
      <c r="W171">
        <f t="shared" si="59"/>
        <v>1</v>
      </c>
      <c r="X171">
        <f>IF(A171+Forudsætninger!$E$60&gt;248,IF(A171+Forudsætninger!$E$60&lt;365,IF(K171&gt;180,IF(K171&lt;260,1,0),0),0),0)</f>
        <v>0</v>
      </c>
      <c r="Y171" s="22">
        <f>IF(X171=0,0,IF('Vækstfunktion, kry kvie'!A171&lt;Forudsætninger!$E$66,Forudsætninger!$E$67+(('Vækstfunktion, kry kvie'!A171-Forudsætninger!$E$66)/7)*Forudsætninger!$E$64,Forudsætninger!$E$67))</f>
        <v>0</v>
      </c>
      <c r="Z171" s="19">
        <f t="shared" si="73"/>
        <v>2429.6717628632782</v>
      </c>
      <c r="AA171" s="19">
        <f>Forudsætninger!$E$62+Forudsætninger!$C$16</f>
        <v>1575</v>
      </c>
      <c r="AB171" s="19">
        <f>IF(K171&gt;Forudsætninger!$C$48,IF(K171&gt;Forudsætninger!$C$49,IF(K171&gt;Forudsætninger!$C$50,Forudsætninger!$E$50,Forudsætninger!$E$49+Forudsætninger!$F$50*(K171-Forudsætninger!$C$49)),Forudsætninger!$E$48+Forudsætninger!$F$49*(K171-Forudsætninger!$C$48)),Forudsætninger!$E$48)+IF(K171&gt;Forudsætninger!$C$50,Forudsætninger!$G$50,IF(K171&gt;Forudsætninger!$C$49,Forudsætninger!$G$49+Forudsætninger!$H$50*(K171-Forudsætninger!$C$49),IF(K171&gt;Forudsætninger!$C$48,Forudsætninger!$G$48+Forudsætninger!$H$49*(K171-Forudsætninger!$C$48),Forudsætninger!$G$48)))*(U171-Forudsætninger!$H$48)</f>
        <v>35.214745680932069</v>
      </c>
      <c r="AC171" s="19">
        <f>IF(K171&gt;Forudsætninger!$C$52,IF(K171&gt;Forudsætninger!$C$53,IF(K171&gt;Forudsætninger!$C$54,Forudsætninger!$E$54,Forudsætninger!$E$53+Forudsætninger!$F$54*(K171-Forudsætninger!$C$53)),Forudsætninger!$E$52+Forudsætninger!$F$53*(K171-Forudsætninger!$C$52)),Forudsætninger!$E$52)+IF(K171&gt;Forudsætninger!$C$54,Forudsætninger!$G$54,IF(K171&gt;Forudsætninger!$C$53,Forudsætninger!$G$53+Forudsætninger!$H$54*(K171-Forudsætninger!$C$53),IF(K171&gt;Forudsætninger!$C$52,Forudsætninger!$G$52+Forudsætninger!$H$53*(K171-Forudsætninger!$C$52),Forudsætninger!$G$52)))*(V171-Forudsætninger!$H$52)</f>
        <v>30.186864202330177</v>
      </c>
      <c r="AD171" s="19">
        <f t="shared" si="60"/>
        <v>4319.4175690175571</v>
      </c>
      <c r="AE171" s="19">
        <f t="shared" si="61"/>
        <v>30.186864202330177</v>
      </c>
      <c r="AF171">
        <f>IF(G171&lt;=Forudsætninger!$C$97,Forudsætninger!$C$98,(IF(G171&lt;=Forudsætninger!$D$97,Forudsætninger!$D$98,IF(G171&lt;=Forudsætninger!$E$97,Forudsætninger!$E$98,IF(G171&lt;=Forudsætninger!$F$97,Forudsætninger!$F$98,IF(G171&lt;=Forudsætninger!$G$97,Forudsætninger!$G$98,IF(G171&lt;=Forudsætninger!$H$97,Forudsætninger!$H$98,IF(G171&lt;=Forudsætninger!$I$97,Forudsætninger!$I$98,Forudsætninger!$I$98))))))))</f>
        <v>3.2</v>
      </c>
      <c r="AG171" s="1">
        <f t="shared" si="70"/>
        <v>3.2</v>
      </c>
      <c r="AH171" s="1">
        <f t="shared" si="74"/>
        <v>424.79999999999887</v>
      </c>
      <c r="AI171" s="1">
        <f t="shared" si="62"/>
        <v>2.5136094674556144</v>
      </c>
      <c r="AJ171" s="20">
        <f>+(W171*Forudsætninger!$C$12)</f>
        <v>900</v>
      </c>
      <c r="AK171" s="20">
        <f>Forudsætninger!$C$17</f>
        <v>250</v>
      </c>
      <c r="AL171" s="20">
        <f>IF(A171&lt;92,Forudsætninger!$C$20,Forudsætninger!$C$21)</f>
        <v>1.0566762728146013</v>
      </c>
      <c r="AM171" s="20">
        <f t="shared" si="71"/>
        <v>447.08377295895849</v>
      </c>
      <c r="AN171" s="19">
        <f>IFERROR(AD171+AJ171-AA171-Z171-AK171-AM171-Forudsætninger!$E$75,-999999)</f>
        <v>326.44527185870459</v>
      </c>
      <c r="AO171" s="19">
        <f>IFERROR(AN171/(A171+Forudsætninger!$E$74),-999999)</f>
        <v>1.9316288275662994</v>
      </c>
      <c r="AP171" s="19">
        <f>IFERROR(((365/(A171+Forudsætninger!$E$74))*AN171)/(AI171+Forudsætninger!$E$73),-999999)</f>
        <v>268.73074320220911</v>
      </c>
      <c r="AQ171" s="18">
        <f t="shared" si="63"/>
        <v>169</v>
      </c>
      <c r="AR171" s="18">
        <f t="shared" si="75"/>
        <v>4701.7555358222362</v>
      </c>
      <c r="AS171" s="18">
        <f t="shared" si="55"/>
        <v>6.7</v>
      </c>
      <c r="AT171" s="50">
        <f t="shared" si="76"/>
        <v>5.4999403336931891</v>
      </c>
      <c r="AU171" s="50">
        <f t="shared" si="77"/>
        <v>2.1239949441231643E-2</v>
      </c>
      <c r="AV171" s="2">
        <f t="shared" si="78"/>
        <v>2.5404005221749344</v>
      </c>
      <c r="AW171" s="16">
        <f t="shared" si="72"/>
        <v>4.577094939749486</v>
      </c>
      <c r="AZ171" s="16"/>
      <c r="BA171" s="2"/>
    </row>
    <row r="172" spans="1:53" x14ac:dyDescent="0.25">
      <c r="A172">
        <v>170</v>
      </c>
      <c r="B172" s="1">
        <f>ROUND((A172+Forudsætninger!$E$60)/30.4,1)</f>
        <v>6.8</v>
      </c>
      <c r="C172" s="1">
        <f>VLOOKUP((A172+Forudsætninger!$E$60),'Model tilvækst, slagteform, fe'!A:D,4,FALSE)</f>
        <v>300.24033602212046</v>
      </c>
      <c r="D172" s="3">
        <f t="shared" si="79"/>
        <v>1524.0506897447403</v>
      </c>
      <c r="E172" s="3">
        <f>(1+Forudsætninger!$E$78)*C172</f>
        <v>276.22110914035085</v>
      </c>
      <c r="F172" s="2">
        <f t="shared" si="82"/>
        <v>0</v>
      </c>
      <c r="G172" s="1">
        <f t="shared" si="56"/>
        <v>276.22110914035085</v>
      </c>
      <c r="H172" s="3">
        <f t="shared" si="64"/>
        <v>1402.1266345651497</v>
      </c>
      <c r="I172" s="3">
        <f t="shared" si="57"/>
        <v>1224.8300537667699</v>
      </c>
      <c r="J172" s="1">
        <f>VLOOKUP((A172+Forudsætninger!$E$60),'Model tilvækst, slagteform, fe'!G:K,4,FALSE)*(1+Forudsætninger!$E$79)</f>
        <v>52.08846801616744</v>
      </c>
      <c r="K172" s="17">
        <f t="shared" si="58"/>
        <v>143.87934408847462</v>
      </c>
      <c r="L172" s="17">
        <f t="shared" si="65"/>
        <v>790.0341135705844</v>
      </c>
      <c r="M172" s="3">
        <f>((K172-(('Model tilvækst, slagteform, fe'!$J$9/100)*'Model tilvækst, slagteform, fe'!$D$9))*1000/(A172+Forudsætninger!$E$60))</f>
        <v>600.21813569723963</v>
      </c>
      <c r="N172" s="17">
        <f t="shared" si="66"/>
        <v>752.47535762232633</v>
      </c>
      <c r="O172" s="19">
        <f>IF( A172&lt;Forudsætninger!$C$14,(G172/100)*Forudsætninger!$C$13,(Forudsætninger!$C$15/1000)*Forudsætninger!$C$13)</f>
        <v>1.7954372094122806</v>
      </c>
      <c r="P172" s="17" cm="1">
        <f t="array" ref="P172">INDEX('Model tilvækst, slagteform, fe'!$P$9:$P$375,MATCH(MIN(ABS('Model tilvækst, slagteform, fe'!$M$9:$M$375-G172)),ABS('Model tilvækst, slagteform, fe'!$M$9:$M$375-G172),0))*(1+Forudsætninger!$E$80)</f>
        <v>6.774346148762338</v>
      </c>
      <c r="Q172" s="17">
        <f t="shared" si="67"/>
        <v>8.5747514346506684</v>
      </c>
      <c r="R172" s="17">
        <f t="shared" si="68"/>
        <v>6.7843949521163003</v>
      </c>
      <c r="S172" s="17">
        <f t="shared" si="69"/>
        <v>3.6138283996706715</v>
      </c>
      <c r="T172" s="19">
        <f>(P172)*IF(N172&lt;Forudsætninger!$B$228,IF(N172&lt;Forudsætninger!$B$227,Forudsætninger!$B$225,Forudsætninger!$C$9),Forudsætninger!$C$11)+O172</f>
        <v>17.647407197516149</v>
      </c>
      <c r="U172" s="5">
        <f>Forudsætninger!$E$68+((K172-(Forudsætninger!$E$84)))*0.01</f>
        <v>6.1553571504564157</v>
      </c>
      <c r="V172" s="2">
        <f>U172+Forudsætninger!$E$69</f>
        <v>6.1553571504564157</v>
      </c>
      <c r="W172">
        <f t="shared" si="59"/>
        <v>1</v>
      </c>
      <c r="X172">
        <f>IF(A172+Forudsætninger!$E$60&gt;248,IF(A172+Forudsætninger!$E$60&lt;365,IF(K172&gt;180,IF(K172&lt;260,1,0),0),0),0)</f>
        <v>0</v>
      </c>
      <c r="Y172" s="22">
        <f>IF(X172=0,0,IF('Vækstfunktion, kry kvie'!A172&lt;Forudsætninger!$E$66,Forudsætninger!$E$67+(('Vækstfunktion, kry kvie'!A172-Forudsætninger!$E$66)/7)*Forudsætninger!$E$64,Forudsætninger!$E$67))</f>
        <v>0</v>
      </c>
      <c r="Z172" s="19">
        <f t="shared" si="73"/>
        <v>2447.3191700607945</v>
      </c>
      <c r="AA172" s="19">
        <f>Forudsætninger!$E$62+Forudsætninger!$C$16</f>
        <v>1575</v>
      </c>
      <c r="AB172" s="19">
        <f>IF(K172&gt;Forudsætninger!$C$48,IF(K172&gt;Forudsætninger!$C$49,IF(K172&gt;Forudsætninger!$C$50,Forudsætninger!$E$50,Forudsætninger!$E$49+Forudsætninger!$F$50*(K172-Forudsætninger!$C$49)),Forudsætninger!$E$48+Forudsætninger!$F$49*(K172-Forudsætninger!$C$48)),Forudsætninger!$E$48)+IF(K172&gt;Forudsætninger!$C$50,Forudsætninger!$G$50,IF(K172&gt;Forudsætninger!$C$49,Forudsætninger!$G$49+Forudsætninger!$H$50*(K172-Forudsætninger!$C$49),IF(K172&gt;Forudsætninger!$C$48,Forudsætninger!$G$48+Forudsætninger!$H$49*(K172-Forudsætninger!$C$48),Forudsætninger!$G$48)))*(U172-Forudsætninger!$H$48)</f>
        <v>35.21553571504564</v>
      </c>
      <c r="AC172" s="19">
        <f>IF(K172&gt;Forudsætninger!$C$52,IF(K172&gt;Forudsætninger!$C$53,IF(K172&gt;Forudsætninger!$C$54,Forudsætninger!$E$54,Forudsætninger!$E$53+Forudsætninger!$F$54*(K172-Forudsætninger!$C$53)),Forudsætninger!$E$52+Forudsætninger!$F$53*(K172-Forudsætninger!$C$52)),Forudsætninger!$E$52)+IF(K172&gt;Forudsætninger!$C$54,Forudsætninger!$G$54,IF(K172&gt;Forudsætninger!$C$53,Forudsætninger!$G$53+Forudsætninger!$H$54*(K172-Forudsætninger!$C$53),IF(K172&gt;Forudsætninger!$C$52,Forudsætninger!$G$52+Forudsætninger!$H$53*(K172-Forudsætninger!$C$52),Forudsætninger!$G$52)))*(V172-Forudsætninger!$H$52)</f>
        <v>30.188839287614101</v>
      </c>
      <c r="AD172" s="19">
        <f t="shared" si="60"/>
        <v>4343.5503954942906</v>
      </c>
      <c r="AE172" s="19">
        <f t="shared" si="61"/>
        <v>30.188839287614101</v>
      </c>
      <c r="AF172">
        <f>IF(G172&lt;=Forudsætninger!$C$97,Forudsætninger!$C$98,(IF(G172&lt;=Forudsætninger!$D$97,Forudsætninger!$D$98,IF(G172&lt;=Forudsætninger!$E$97,Forudsætninger!$E$98,IF(G172&lt;=Forudsætninger!$F$97,Forudsætninger!$F$98,IF(G172&lt;=Forudsætninger!$G$97,Forudsætninger!$G$98,IF(G172&lt;=Forudsætninger!$H$97,Forudsætninger!$H$98,IF(G172&lt;=Forudsætninger!$I$97,Forudsætninger!$I$98,Forudsætninger!$I$98))))))))</f>
        <v>3.2</v>
      </c>
      <c r="AG172" s="1">
        <f t="shared" si="70"/>
        <v>3.2</v>
      </c>
      <c r="AH172" s="1">
        <f t="shared" si="74"/>
        <v>427.99999999999886</v>
      </c>
      <c r="AI172" s="1">
        <f t="shared" si="62"/>
        <v>2.5176470588235227</v>
      </c>
      <c r="AJ172" s="20">
        <f>+(W172*Forudsætninger!$C$12)</f>
        <v>900</v>
      </c>
      <c r="AK172" s="20">
        <f>Forudsætninger!$C$17</f>
        <v>250</v>
      </c>
      <c r="AL172" s="20">
        <f>IF(A172&lt;92,Forudsætninger!$C$20,Forudsætninger!$C$21)</f>
        <v>1.0566762728146013</v>
      </c>
      <c r="AM172" s="20">
        <f t="shared" si="71"/>
        <v>448.14044923177312</v>
      </c>
      <c r="AN172" s="19">
        <f>IFERROR(AD172+AJ172-AA172-Z172-AK172-AM172-Forudsætninger!$E$75,-999999)</f>
        <v>331.87401486510714</v>
      </c>
      <c r="AO172" s="19">
        <f>IFERROR(AN172/(A172+Forudsætninger!$E$74),-999999)</f>
        <v>1.9522000874418066</v>
      </c>
      <c r="AP172" s="19">
        <f>IFERROR(((365/(A172+Forudsætninger!$E$74))*AN172)/(AI172+Forudsætninger!$E$73),-999999)</f>
        <v>271.1753199591771</v>
      </c>
      <c r="AQ172" s="18">
        <f t="shared" si="63"/>
        <v>170</v>
      </c>
      <c r="AR172" s="18">
        <f t="shared" si="75"/>
        <v>4720.4596192925683</v>
      </c>
      <c r="AS172" s="18">
        <f t="shared" si="55"/>
        <v>6.8</v>
      </c>
      <c r="AT172" s="50">
        <f t="shared" si="76"/>
        <v>5.4287430064025557</v>
      </c>
      <c r="AU172" s="50">
        <f t="shared" si="77"/>
        <v>2.0571259875507231E-2</v>
      </c>
      <c r="AV172" s="2">
        <f t="shared" si="78"/>
        <v>2.4445767569679901</v>
      </c>
      <c r="AW172" s="16">
        <f t="shared" si="72"/>
        <v>4.5883203770404721</v>
      </c>
      <c r="AZ172" s="16"/>
      <c r="BA172" s="2"/>
    </row>
    <row r="173" spans="1:53" x14ac:dyDescent="0.25">
      <c r="A173">
        <v>171</v>
      </c>
      <c r="B173" s="1">
        <f>ROUND((A173+Forudsætninger!$E$60)/30.4,1)</f>
        <v>6.8</v>
      </c>
      <c r="C173" s="1">
        <f>VLOOKUP((A173+Forudsætninger!$E$60),'Model tilvækst, slagteform, fe'!A:D,4,FALSE)</f>
        <v>301.76162451854589</v>
      </c>
      <c r="D173" s="3">
        <f t="shared" si="79"/>
        <v>1521.2884964254272</v>
      </c>
      <c r="E173" s="3">
        <f>(1+Forudsætninger!$E$78)*C173</f>
        <v>277.62069455706222</v>
      </c>
      <c r="F173" s="2">
        <f t="shared" si="82"/>
        <v>0</v>
      </c>
      <c r="G173" s="1">
        <f t="shared" si="56"/>
        <v>277.62069455706222</v>
      </c>
      <c r="H173" s="3">
        <f t="shared" si="64"/>
        <v>1399.5854167113748</v>
      </c>
      <c r="I173" s="3">
        <f t="shared" si="57"/>
        <v>1225.8520149535802</v>
      </c>
      <c r="J173" s="1">
        <f>VLOOKUP((A173+Forudsætninger!$E$60),'Model tilvækst, slagteform, fe'!G:K,4,FALSE)*(1+Forudsætninger!$E$79)</f>
        <v>52.110131727407669</v>
      </c>
      <c r="K173" s="17">
        <f t="shared" si="58"/>
        <v>144.66850963622923</v>
      </c>
      <c r="L173" s="17">
        <f t="shared" si="65"/>
        <v>789.16554775460668</v>
      </c>
      <c r="M173" s="3">
        <f>((K173-(('Model tilvækst, slagteform, fe'!$J$9/100)*'Model tilvækst, slagteform, fe'!$D$9))*1000/(A173+Forudsætninger!$E$60))</f>
        <v>601.13092512746857</v>
      </c>
      <c r="N173" s="17">
        <f t="shared" si="66"/>
        <v>759.26659110035678</v>
      </c>
      <c r="O173" s="19">
        <f>IF( A173&lt;Forudsætninger!$C$14,(G173/100)*Forudsætninger!$C$13,(Forudsætninger!$C$15/1000)*Forudsætninger!$C$13)</f>
        <v>1.8045345146209046</v>
      </c>
      <c r="P173" s="17" cm="1">
        <f t="array" ref="P173">INDEX('Model tilvækst, slagteform, fe'!$P$9:$P$375,MATCH(MIN(ABS('Model tilvækst, slagteform, fe'!$M$9:$M$375-G173)),ABS('Model tilvækst, slagteform, fe'!$M$9:$M$375-G173),0))*(1+Forudsætninger!$E$80)</f>
        <v>6.7912334780304873</v>
      </c>
      <c r="Q173" s="17">
        <f t="shared" si="67"/>
        <v>8.6055878862849706</v>
      </c>
      <c r="R173" s="17">
        <f t="shared" si="68"/>
        <v>6.7972615510761738</v>
      </c>
      <c r="S173" s="17">
        <f t="shared" si="69"/>
        <v>3.622097487582133</v>
      </c>
      <c r="T173" s="19">
        <f>(P173)*IF(N173&lt;Forudsætninger!$B$228,IF(N173&lt;Forudsætninger!$B$227,Forudsætninger!$B$225,Forudsætninger!$C$9),Forudsætninger!$C$11)+O173</f>
        <v>17.696020853212243</v>
      </c>
      <c r="U173" s="5">
        <f>Forudsætninger!$E$68+((K173-(Forudsætninger!$E$84)))*0.01</f>
        <v>6.1632488059339616</v>
      </c>
      <c r="V173" s="2">
        <f>U173+Forudsætninger!$E$69</f>
        <v>6.1632488059339616</v>
      </c>
      <c r="W173">
        <f t="shared" si="59"/>
        <v>1</v>
      </c>
      <c r="X173">
        <f>IF(A173+Forudsætninger!$E$60&gt;248,IF(A173+Forudsætninger!$E$60&lt;365,IF(K173&gt;180,IF(K173&lt;260,1,0),0),0),0)</f>
        <v>0</v>
      </c>
      <c r="Y173" s="22">
        <f>IF(X173=0,0,IF('Vækstfunktion, kry kvie'!A173&lt;Forudsætninger!$E$66,Forudsætninger!$E$67+(('Vækstfunktion, kry kvie'!A173-Forudsætninger!$E$66)/7)*Forudsætninger!$E$64,Forudsætninger!$E$67))</f>
        <v>0</v>
      </c>
      <c r="Z173" s="19">
        <f t="shared" si="73"/>
        <v>2465.0151909140068</v>
      </c>
      <c r="AA173" s="19">
        <f>Forudsætninger!$E$62+Forudsætninger!$C$16</f>
        <v>1575</v>
      </c>
      <c r="AB173" s="19">
        <f>IF(K173&gt;Forudsætninger!$C$48,IF(K173&gt;Forudsætninger!$C$49,IF(K173&gt;Forudsætninger!$C$50,Forudsætninger!$E$50,Forudsætninger!$E$49+Forudsætninger!$F$50*(K173-Forudsætninger!$C$49)),Forudsætninger!$E$48+Forudsætninger!$F$49*(K173-Forudsætninger!$C$48)),Forudsætninger!$E$48)+IF(K173&gt;Forudsætninger!$C$50,Forudsætninger!$G$50,IF(K173&gt;Forudsætninger!$C$49,Forudsætninger!$G$49+Forudsætninger!$H$50*(K173-Forudsætninger!$C$49),IF(K173&gt;Forudsætninger!$C$48,Forudsætninger!$G$48+Forudsætninger!$H$49*(K173-Forudsætninger!$C$48),Forudsætninger!$G$48)))*(U173-Forudsætninger!$H$48)</f>
        <v>35.216324880593397</v>
      </c>
      <c r="AC173" s="19">
        <f>IF(K173&gt;Forudsætninger!$C$52,IF(K173&gt;Forudsætninger!$C$53,IF(K173&gt;Forudsætninger!$C$54,Forudsætninger!$E$54,Forudsætninger!$E$53+Forudsætninger!$F$54*(K173-Forudsætninger!$C$53)),Forudsætninger!$E$52+Forudsætninger!$F$53*(K173-Forudsætninger!$C$52)),Forudsætninger!$E$52)+IF(K173&gt;Forudsætninger!$C$54,Forudsætninger!$G$54,IF(K173&gt;Forudsætninger!$C$53,Forudsætninger!$G$53+Forudsætninger!$H$54*(K173-Forudsætninger!$C$53),IF(K173&gt;Forudsætninger!$C$52,Forudsætninger!$G$52+Forudsætninger!$H$53*(K173-Forudsætninger!$C$52),Forudsætninger!$G$52)))*(V173-Forudsætninger!$H$52)</f>
        <v>30.190812201483489</v>
      </c>
      <c r="AD173" s="19">
        <f t="shared" si="60"/>
        <v>4367.6598058959007</v>
      </c>
      <c r="AE173" s="19">
        <f t="shared" si="61"/>
        <v>30.190812201483485</v>
      </c>
      <c r="AF173">
        <f>IF(G173&lt;=Forudsætninger!$C$97,Forudsætninger!$C$98,(IF(G173&lt;=Forudsætninger!$D$97,Forudsætninger!$D$98,IF(G173&lt;=Forudsætninger!$E$97,Forudsætninger!$E$98,IF(G173&lt;=Forudsætninger!$F$97,Forudsætninger!$F$98,IF(G173&lt;=Forudsætninger!$G$97,Forudsætninger!$G$98,IF(G173&lt;=Forudsætninger!$H$97,Forudsætninger!$H$98,IF(G173&lt;=Forudsætninger!$I$97,Forudsætninger!$I$98,Forudsætninger!$I$98))))))))</f>
        <v>3.2</v>
      </c>
      <c r="AG173" s="1">
        <f t="shared" si="70"/>
        <v>3.2</v>
      </c>
      <c r="AH173" s="1">
        <f t="shared" si="74"/>
        <v>431.19999999999885</v>
      </c>
      <c r="AI173" s="1">
        <f t="shared" si="62"/>
        <v>2.5216374269005781</v>
      </c>
      <c r="AJ173" s="20">
        <f>+(W173*Forudsætninger!$C$12)</f>
        <v>900</v>
      </c>
      <c r="AK173" s="20">
        <f>Forudsætninger!$C$17</f>
        <v>250</v>
      </c>
      <c r="AL173" s="20">
        <f>IF(A173&lt;92,Forudsætninger!$C$20,Forudsætninger!$C$21)</f>
        <v>1.0566762728146013</v>
      </c>
      <c r="AM173" s="20">
        <f t="shared" si="71"/>
        <v>449.19712550458775</v>
      </c>
      <c r="AN173" s="19">
        <f>IFERROR(AD173+AJ173-AA173-Z173-AK173-AM173-Forudsætninger!$E$75,-999999)</f>
        <v>337.2307281406903</v>
      </c>
      <c r="AO173" s="19">
        <f>IFERROR(AN173/(A173+Forudsætninger!$E$74),-999999)</f>
        <v>1.9721095212905866</v>
      </c>
      <c r="AP173" s="19">
        <f>IFERROR(((365/(A173+Forudsætninger!$E$74))*AN173)/(AI173+Forudsætninger!$E$73),-999999)</f>
        <v>273.52551225828819</v>
      </c>
      <c r="AQ173" s="18">
        <f t="shared" si="63"/>
        <v>171</v>
      </c>
      <c r="AR173" s="18">
        <f t="shared" si="75"/>
        <v>4739.2123164185941</v>
      </c>
      <c r="AS173" s="18">
        <f t="shared" si="55"/>
        <v>6.8</v>
      </c>
      <c r="AT173" s="50">
        <f t="shared" si="76"/>
        <v>5.3567132755831608</v>
      </c>
      <c r="AU173" s="50">
        <f t="shared" si="77"/>
        <v>1.9909433848779967E-2</v>
      </c>
      <c r="AV173" s="2">
        <f t="shared" si="78"/>
        <v>2.350192299111086</v>
      </c>
      <c r="AW173" s="16">
        <f t="shared" si="72"/>
        <v>4.5989932961712165</v>
      </c>
      <c r="AZ173" s="16"/>
      <c r="BA173" s="2"/>
    </row>
    <row r="174" spans="1:53" x14ac:dyDescent="0.25">
      <c r="A174">
        <v>172</v>
      </c>
      <c r="B174" s="1">
        <f>ROUND((A174+Forudsætninger!$E$60)/30.4,1)</f>
        <v>6.8</v>
      </c>
      <c r="C174" s="1">
        <f>VLOOKUP((A174+Forudsætninger!$E$60),'Model tilvækst, slagteform, fe'!A:D,4,FALSE)</f>
        <v>303.28010160590924</v>
      </c>
      <c r="D174" s="3">
        <f t="shared" si="79"/>
        <v>1518.4770873633511</v>
      </c>
      <c r="E174" s="3">
        <f>(1+Forudsætninger!$E$78)*C174</f>
        <v>279.01769347743652</v>
      </c>
      <c r="F174" s="2">
        <f t="shared" si="82"/>
        <v>0</v>
      </c>
      <c r="G174" s="1">
        <f t="shared" si="56"/>
        <v>279.01769347743652</v>
      </c>
      <c r="H174" s="3">
        <f t="shared" si="64"/>
        <v>1396.9989203743012</v>
      </c>
      <c r="I174" s="3">
        <f t="shared" si="57"/>
        <v>1226.8470551013752</v>
      </c>
      <c r="J174" s="1">
        <f>VLOOKUP((A174+Forudsætninger!$E$60),'Model tilvækst, slagteform, fe'!G:K,4,FALSE)*(1+Forudsætninger!$E$79)</f>
        <v>52.13173571841331</v>
      </c>
      <c r="K174" s="17">
        <f t="shared" si="58"/>
        <v>145.45676657126972</v>
      </c>
      <c r="L174" s="17">
        <f t="shared" si="65"/>
        <v>788.25693504049354</v>
      </c>
      <c r="M174" s="3">
        <f>((K174-(('Model tilvækst, slagteform, fe'!$J$9/100)*'Model tilvækst, slagteform, fe'!$D$9))*1000/(A174+Forudsætninger!$E$60))</f>
        <v>602.03056940589647</v>
      </c>
      <c r="N174" s="17">
        <f t="shared" si="66"/>
        <v>766.07454495026661</v>
      </c>
      <c r="O174" s="19">
        <f>IF( A174&lt;Forudsætninger!$C$14,(G174/100)*Forudsætninger!$C$13,(Forudsætninger!$C$15/1000)*Forudsætninger!$C$13)</f>
        <v>1.8136150076033375</v>
      </c>
      <c r="P174" s="17" cm="1">
        <f t="array" ref="P174">INDEX('Model tilvækst, slagteform, fe'!$P$9:$P$375,MATCH(MIN(ABS('Model tilvækst, slagteform, fe'!$M$9:$M$375-G174)),ABS('Model tilvækst, slagteform, fe'!$M$9:$M$375-G174),0))*(1+Forudsætninger!$E$80)</f>
        <v>6.8079538499098593</v>
      </c>
      <c r="Q174" s="17">
        <f t="shared" si="67"/>
        <v>8.636719256469501</v>
      </c>
      <c r="R174" s="17">
        <f t="shared" si="68"/>
        <v>6.8101512666289397</v>
      </c>
      <c r="S174" s="17">
        <f t="shared" si="69"/>
        <v>3.6303806203444293</v>
      </c>
      <c r="T174" s="19">
        <f>(P174)*IF(N174&lt;Forudsætninger!$B$228,IF(N174&lt;Forudsætninger!$B$227,Forudsætninger!$B$225,Forudsætninger!$C$9),Forudsætninger!$C$11)+O174</f>
        <v>17.744227016392408</v>
      </c>
      <c r="U174" s="5">
        <f>Forudsætninger!$E$68+((K174-(Forudsætninger!$E$84)))*0.01</f>
        <v>6.1711313752843662</v>
      </c>
      <c r="V174" s="2">
        <f>U174+Forudsætninger!$E$69</f>
        <v>6.1711313752843662</v>
      </c>
      <c r="W174">
        <f t="shared" si="59"/>
        <v>1</v>
      </c>
      <c r="X174">
        <f>IF(A174+Forudsætninger!$E$60&gt;248,IF(A174+Forudsætninger!$E$60&lt;365,IF(K174&gt;180,IF(K174&lt;260,1,0),0),0),0)</f>
        <v>0</v>
      </c>
      <c r="Y174" s="22">
        <f>IF(X174=0,0,IF('Vækstfunktion, kry kvie'!A174&lt;Forudsætninger!$E$66,Forudsætninger!$E$67+(('Vækstfunktion, kry kvie'!A174-Forudsætninger!$E$66)/7)*Forudsætninger!$E$64,Forudsætninger!$E$67))</f>
        <v>0</v>
      </c>
      <c r="Z174" s="19">
        <f t="shared" si="73"/>
        <v>2482.7594179303992</v>
      </c>
      <c r="AA174" s="19">
        <f>Forudsætninger!$E$62+Forudsætninger!$C$16</f>
        <v>1575</v>
      </c>
      <c r="AB174" s="19">
        <f>IF(K174&gt;Forudsætninger!$C$48,IF(K174&gt;Forudsætninger!$C$49,IF(K174&gt;Forudsætninger!$C$50,Forudsætninger!$E$50,Forudsætninger!$E$49+Forudsætninger!$F$50*(K174-Forudsætninger!$C$49)),Forudsætninger!$E$48+Forudsætninger!$F$49*(K174-Forudsætninger!$C$48)),Forudsætninger!$E$48)+IF(K174&gt;Forudsætninger!$C$50,Forudsætninger!$G$50,IF(K174&gt;Forudsætninger!$C$49,Forudsætninger!$G$49+Forudsætninger!$H$50*(K174-Forudsætninger!$C$49),IF(K174&gt;Forudsætninger!$C$48,Forudsætninger!$G$48+Forudsætninger!$H$49*(K174-Forudsætninger!$C$48),Forudsætninger!$G$48)))*(U174-Forudsætninger!$H$48)</f>
        <v>35.217113137528436</v>
      </c>
      <c r="AC174" s="19">
        <f>IF(K174&gt;Forudsætninger!$C$52,IF(K174&gt;Forudsætninger!$C$53,IF(K174&gt;Forudsætninger!$C$54,Forudsætninger!$E$54,Forudsætninger!$E$53+Forudsætninger!$F$54*(K174-Forudsætninger!$C$53)),Forudsætninger!$E$52+Forudsætninger!$F$53*(K174-Forudsætninger!$C$52)),Forudsætninger!$E$52)+IF(K174&gt;Forudsætninger!$C$54,Forudsætninger!$G$54,IF(K174&gt;Forudsætninger!$C$53,Forudsætninger!$G$53+Forudsætninger!$H$54*(K174-Forudsætninger!$C$53),IF(K174&gt;Forudsætninger!$C$52,Forudsætninger!$G$52+Forudsætninger!$H$53*(K174-Forudsætninger!$C$52),Forudsætninger!$G$52)))*(V174-Forudsætninger!$H$52)</f>
        <v>30.192782843821089</v>
      </c>
      <c r="AD174" s="19">
        <f t="shared" si="60"/>
        <v>4391.7445662507216</v>
      </c>
      <c r="AE174" s="19">
        <f t="shared" si="61"/>
        <v>30.192782843821089</v>
      </c>
      <c r="AF174">
        <f>IF(G174&lt;=Forudsætninger!$C$97,Forudsætninger!$C$98,(IF(G174&lt;=Forudsætninger!$D$97,Forudsætninger!$D$98,IF(G174&lt;=Forudsætninger!$E$97,Forudsætninger!$E$98,IF(G174&lt;=Forudsætninger!$F$97,Forudsætninger!$F$98,IF(G174&lt;=Forudsætninger!$G$97,Forudsætninger!$G$98,IF(G174&lt;=Forudsætninger!$H$97,Forudsætninger!$H$98,IF(G174&lt;=Forudsætninger!$I$97,Forudsætninger!$I$98,Forudsætninger!$I$98))))))))</f>
        <v>3.2</v>
      </c>
      <c r="AG174" s="1">
        <f t="shared" si="70"/>
        <v>3.2</v>
      </c>
      <c r="AH174" s="1">
        <f t="shared" si="74"/>
        <v>434.39999999999884</v>
      </c>
      <c r="AI174" s="1">
        <f t="shared" si="62"/>
        <v>2.5255813953488304</v>
      </c>
      <c r="AJ174" s="20">
        <f>+(W174*Forudsætninger!$C$12)</f>
        <v>900</v>
      </c>
      <c r="AK174" s="20">
        <f>Forudsætninger!$C$17</f>
        <v>250</v>
      </c>
      <c r="AL174" s="20">
        <f>IF(A174&lt;92,Forudsætninger!$C$20,Forudsætninger!$C$21)</f>
        <v>1.0566762728146013</v>
      </c>
      <c r="AM174" s="20">
        <f t="shared" si="71"/>
        <v>450.25380177740237</v>
      </c>
      <c r="AN174" s="19">
        <f>IFERROR(AD174+AJ174-AA174-Z174-AK174-AM174-Forudsætninger!$E$75,-999999)</f>
        <v>342.51458520630422</v>
      </c>
      <c r="AO174" s="19">
        <f>IFERROR(AN174/(A174+Forudsætninger!$E$74),-999999)</f>
        <v>1.9913638674785128</v>
      </c>
      <c r="AP174" s="19">
        <f>IFERROR(((365/(A174+Forudsætninger!$E$74))*AN174)/(AI174+Forudsætninger!$E$73),-999999)</f>
        <v>275.78272213955125</v>
      </c>
      <c r="AQ174" s="18">
        <f t="shared" si="63"/>
        <v>172</v>
      </c>
      <c r="AR174" s="18">
        <f t="shared" si="75"/>
        <v>4758.0132197078019</v>
      </c>
      <c r="AS174" s="18">
        <f t="shared" si="55"/>
        <v>6.8</v>
      </c>
      <c r="AT174" s="50">
        <f t="shared" si="76"/>
        <v>5.2838570656139154</v>
      </c>
      <c r="AU174" s="50">
        <f t="shared" si="77"/>
        <v>1.9254346187926208E-2</v>
      </c>
      <c r="AV174" s="2">
        <f t="shared" si="78"/>
        <v>2.2572098812630657</v>
      </c>
      <c r="AW174" s="16">
        <f t="shared" si="72"/>
        <v>4.6091185289750385</v>
      </c>
      <c r="AZ174" s="16"/>
      <c r="BA174" s="2"/>
    </row>
    <row r="175" spans="1:53" x14ac:dyDescent="0.25">
      <c r="A175">
        <v>173</v>
      </c>
      <c r="B175" s="1">
        <f>ROUND((A175+Forudsætninger!$E$60)/30.4,1)</f>
        <v>6.9</v>
      </c>
      <c r="C175" s="1">
        <f>VLOOKUP((A175+Forudsætninger!$E$60),'Model tilvækst, slagteform, fe'!A:D,4,FALSE)</f>
        <v>304.79571865348839</v>
      </c>
      <c r="D175" s="3">
        <f t="shared" si="79"/>
        <v>1515.6170475791555</v>
      </c>
      <c r="E175" s="3">
        <f>(1+Forudsætninger!$E$78)*C175</f>
        <v>280.41206116120935</v>
      </c>
      <c r="F175" s="2">
        <f t="shared" si="82"/>
        <v>0</v>
      </c>
      <c r="G175" s="1">
        <f t="shared" si="56"/>
        <v>280.41206116120935</v>
      </c>
      <c r="H175" s="3">
        <f t="shared" si="64"/>
        <v>1394.3676837728276</v>
      </c>
      <c r="I175" s="3">
        <f t="shared" si="57"/>
        <v>1227.8153824347362</v>
      </c>
      <c r="J175" s="1">
        <f>VLOOKUP((A175+Forudsætninger!$E$60),'Model tilvækst, slagteform, fe'!G:K,4,FALSE)*(1+Forudsætninger!$E$79)</f>
        <v>52.153275519563863</v>
      </c>
      <c r="K175" s="17">
        <f t="shared" si="58"/>
        <v>146.24407484749344</v>
      </c>
      <c r="L175" s="17">
        <f t="shared" si="65"/>
        <v>787.3082762237118</v>
      </c>
      <c r="M175" s="3">
        <f>((K175-(('Model tilvækst, slagteform, fe'!$J$9/100)*'Model tilvækst, slagteform, fe'!$D$9))*1000/(A175+Forudsætninger!$E$60))</f>
        <v>602.91706561076649</v>
      </c>
      <c r="N175" s="17">
        <f t="shared" si="66"/>
        <v>772.89904952765198</v>
      </c>
      <c r="O175" s="19">
        <f>IF( A175&lt;Forudsætninger!$C$14,(G175/100)*Forudsætninger!$C$13,(Forudsætninger!$C$15/1000)*Forudsætninger!$C$13)</f>
        <v>1.8226783975478609</v>
      </c>
      <c r="P175" s="17" cm="1">
        <f t="array" ref="P175">INDEX('Model tilvækst, slagteform, fe'!$P$9:$P$375,MATCH(MIN(ABS('Model tilvækst, slagteform, fe'!$M$9:$M$375-G175)),ABS('Model tilvækst, slagteform, fe'!$M$9:$M$375-G175),0))*(1+Forudsætninger!$E$80)</f>
        <v>6.8245045773854072</v>
      </c>
      <c r="Q175" s="17">
        <f t="shared" si="67"/>
        <v>8.6681478951533855</v>
      </c>
      <c r="R175" s="17">
        <f t="shared" si="68"/>
        <v>6.8230648408692733</v>
      </c>
      <c r="S175" s="17">
        <f t="shared" si="69"/>
        <v>3.6386777911874932</v>
      </c>
      <c r="T175" s="19">
        <f>(P175)*IF(N175&lt;Forudsætninger!$B$228,IF(N175&lt;Forudsætninger!$B$227,Forudsætninger!$B$225,Forudsætninger!$C$9),Forudsætninger!$C$11)+O175</f>
        <v>17.792019108629713</v>
      </c>
      <c r="U175" s="5">
        <f>Forudsætninger!$E$68+((K175-(Forudsætninger!$E$84)))*0.01</f>
        <v>6.1790044580466033</v>
      </c>
      <c r="V175" s="2">
        <f>U175+Forudsætninger!$E$69</f>
        <v>6.1790044580466033</v>
      </c>
      <c r="W175">
        <f t="shared" si="59"/>
        <v>1</v>
      </c>
      <c r="X175">
        <f>IF(A175+Forudsætninger!$E$60&gt;248,IF(A175+Forudsætninger!$E$60&lt;365,IF(K175&gt;180,IF(K175&lt;260,1,0),0),0),0)</f>
        <v>0</v>
      </c>
      <c r="Y175" s="22">
        <f>IF(X175=0,0,IF('Vækstfunktion, kry kvie'!A175&lt;Forudsætninger!$E$66,Forudsætninger!$E$67+(('Vækstfunktion, kry kvie'!A175-Forudsætninger!$E$66)/7)*Forudsætninger!$E$64,Forudsætninger!$E$67))</f>
        <v>0</v>
      </c>
      <c r="Z175" s="19">
        <f t="shared" si="73"/>
        <v>2500.5514370390288</v>
      </c>
      <c r="AA175" s="19">
        <f>Forudsætninger!$E$62+Forudsætninger!$C$16</f>
        <v>1575</v>
      </c>
      <c r="AB175" s="19">
        <f>IF(K175&gt;Forudsætninger!$C$48,IF(K175&gt;Forudsætninger!$C$49,IF(K175&gt;Forudsætninger!$C$50,Forudsætninger!$E$50,Forudsætninger!$E$49+Forudsætninger!$F$50*(K175-Forudsætninger!$C$49)),Forudsætninger!$E$48+Forudsætninger!$F$49*(K175-Forudsætninger!$C$48)),Forudsætninger!$E$48)+IF(K175&gt;Forudsætninger!$C$50,Forudsætninger!$G$50,IF(K175&gt;Forudsætninger!$C$49,Forudsætninger!$G$49+Forudsætninger!$H$50*(K175-Forudsætninger!$C$49),IF(K175&gt;Forudsætninger!$C$48,Forudsætninger!$G$48+Forudsætninger!$H$49*(K175-Forudsætninger!$C$48),Forudsætninger!$G$48)))*(U175-Forudsætninger!$H$48)</f>
        <v>35.217900445804659</v>
      </c>
      <c r="AC175" s="19">
        <f>IF(K175&gt;Forudsætninger!$C$52,IF(K175&gt;Forudsætninger!$C$53,IF(K175&gt;Forudsætninger!$C$54,Forudsætninger!$E$54,Forudsætninger!$E$53+Forudsætninger!$F$54*(K175-Forudsætninger!$C$53)),Forudsætninger!$E$52+Forudsætninger!$F$53*(K175-Forudsætninger!$C$52)),Forudsætninger!$E$52)+IF(K175&gt;Forudsætninger!$C$54,Forudsætninger!$G$54,IF(K175&gt;Forudsætninger!$C$53,Forudsætninger!$G$53+Forudsætninger!$H$54*(K175-Forudsætninger!$C$53),IF(K175&gt;Forudsætninger!$C$52,Forudsætninger!$G$52+Forudsætninger!$H$53*(K175-Forudsætninger!$C$52),Forudsætninger!$G$52)))*(V175-Forudsætninger!$H$52)</f>
        <v>30.19475111451165</v>
      </c>
      <c r="AD175" s="19">
        <f t="shared" si="60"/>
        <v>4415.8034419920778</v>
      </c>
      <c r="AE175" s="19">
        <f t="shared" si="61"/>
        <v>30.19475111451165</v>
      </c>
      <c r="AF175">
        <f>IF(G175&lt;=Forudsætninger!$C$97,Forudsætninger!$C$98,(IF(G175&lt;=Forudsætninger!$D$97,Forudsætninger!$D$98,IF(G175&lt;=Forudsætninger!$E$97,Forudsætninger!$E$98,IF(G175&lt;=Forudsætninger!$F$97,Forudsætninger!$F$98,IF(G175&lt;=Forudsætninger!$G$97,Forudsætninger!$G$98,IF(G175&lt;=Forudsætninger!$H$97,Forudsætninger!$H$98,IF(G175&lt;=Forudsætninger!$I$97,Forudsætninger!$I$98,Forudsætninger!$I$98))))))))</f>
        <v>3.2</v>
      </c>
      <c r="AG175" s="1">
        <f t="shared" si="70"/>
        <v>3.2</v>
      </c>
      <c r="AH175" s="1">
        <f t="shared" si="74"/>
        <v>437.59999999999883</v>
      </c>
      <c r="AI175" s="1">
        <f t="shared" si="62"/>
        <v>2.5294797687861204</v>
      </c>
      <c r="AJ175" s="20">
        <f>+(W175*Forudsætninger!$C$12)</f>
        <v>900</v>
      </c>
      <c r="AK175" s="20">
        <f>Forudsætninger!$C$17</f>
        <v>250</v>
      </c>
      <c r="AL175" s="20">
        <f>IF(A175&lt;92,Forudsætninger!$C$20,Forudsætninger!$C$21)</f>
        <v>1.0566762728146013</v>
      </c>
      <c r="AM175" s="20">
        <f t="shared" si="71"/>
        <v>451.310478050217</v>
      </c>
      <c r="AN175" s="19">
        <f>IFERROR(AD175+AJ175-AA175-Z175-AK175-AM175-Forudsætninger!$E$75,-999999)</f>
        <v>347.72476556621621</v>
      </c>
      <c r="AO175" s="19">
        <f>IFERROR(AN175/(A175+Forudsætninger!$E$74),-999999)</f>
        <v>2.0099697431573191</v>
      </c>
      <c r="AP175" s="19">
        <f>IFERROR(((365/(A175+Forudsætninger!$E$74))*AN175)/(AI175+Forudsætninger!$E$73),-999999)</f>
        <v>277.94831577353489</v>
      </c>
      <c r="AQ175" s="18">
        <f t="shared" si="63"/>
        <v>173</v>
      </c>
      <c r="AR175" s="18">
        <f t="shared" si="75"/>
        <v>4776.8619150892455</v>
      </c>
      <c r="AS175" s="18">
        <f t="shared" si="55"/>
        <v>6.9</v>
      </c>
      <c r="AT175" s="50">
        <f t="shared" si="76"/>
        <v>5.2101803599119876</v>
      </c>
      <c r="AU175" s="50">
        <f t="shared" si="77"/>
        <v>1.8605875678806338E-2</v>
      </c>
      <c r="AV175" s="2">
        <f t="shared" si="78"/>
        <v>2.165593633983633</v>
      </c>
      <c r="AW175" s="16">
        <f t="shared" si="72"/>
        <v>4.6187008301527932</v>
      </c>
      <c r="AZ175" s="16"/>
      <c r="BA175" s="2"/>
    </row>
    <row r="176" spans="1:53" x14ac:dyDescent="0.25">
      <c r="A176">
        <v>174</v>
      </c>
      <c r="B176" s="1">
        <f>ROUND((A176+Forudsætninger!$E$60)/30.4,1)</f>
        <v>6.9</v>
      </c>
      <c r="C176" s="1">
        <f>VLOOKUP((A176+Forudsætninger!$E$60),'Model tilvækst, slagteform, fe'!A:D,4,FALSE)</f>
        <v>306.3084276155821</v>
      </c>
      <c r="D176" s="3">
        <f t="shared" si="79"/>
        <v>1512.7089620937113</v>
      </c>
      <c r="E176" s="3">
        <f>(1+Forudsætninger!$E$78)*C176</f>
        <v>281.80375340633555</v>
      </c>
      <c r="F176" s="2">
        <f t="shared" si="82"/>
        <v>0</v>
      </c>
      <c r="G176" s="1">
        <f t="shared" si="56"/>
        <v>281.80375340633555</v>
      </c>
      <c r="H176" s="3">
        <f t="shared" si="64"/>
        <v>1391.6922451261939</v>
      </c>
      <c r="I176" s="3">
        <f t="shared" si="57"/>
        <v>1228.7572034846871</v>
      </c>
      <c r="J176" s="1">
        <f>VLOOKUP((A176+Forudsætninger!$E$60),'Model tilvækst, slagteform, fe'!G:K,4,FALSE)*(1+Forudsætninger!$E$79)</f>
        <v>52.174746661238864</v>
      </c>
      <c r="K176" s="17">
        <f t="shared" si="58"/>
        <v>147.03039442161787</v>
      </c>
      <c r="L176" s="17">
        <f t="shared" si="65"/>
        <v>786.31957412443398</v>
      </c>
      <c r="M176" s="3">
        <f>((K176-(('Model tilvækst, slagteform, fe'!$J$9/100)*'Model tilvækst, slagteform, fe'!$D$9))*1000/(A176+Forudsætninger!$E$60))</f>
        <v>603.79041088940301</v>
      </c>
      <c r="N176" s="17">
        <f t="shared" si="66"/>
        <v>779.7561358787168</v>
      </c>
      <c r="O176" s="19">
        <f>IF( A176&lt;Forudsætninger!$C$14,(G176/100)*Forudsætninger!$C$13,(Forudsætninger!$C$15/1000)*Forudsætninger!$C$13)</f>
        <v>1.8317243971411812</v>
      </c>
      <c r="P176" s="17" cm="1">
        <f t="array" ref="P176">INDEX('Model tilvækst, slagteform, fe'!$P$9:$P$375,MATCH(MIN(ABS('Model tilvækst, slagteform, fe'!$M$9:$M$375-G176)),ABS('Model tilvækst, slagteform, fe'!$M$9:$M$375-G176),0))*(1+Forudsætninger!$E$80)</f>
        <v>6.8570863510648552</v>
      </c>
      <c r="Q176" s="17">
        <f t="shared" si="67"/>
        <v>8.7204828376556875</v>
      </c>
      <c r="R176" s="17">
        <f t="shared" si="68"/>
        <v>6.836145046463594</v>
      </c>
      <c r="S176" s="17">
        <f t="shared" si="69"/>
        <v>3.6470647659621989</v>
      </c>
      <c r="T176" s="19">
        <f>(P176)*IF(N176&lt;Forudsætninger!$B$228,IF(N176&lt;Forudsætninger!$B$227,Forudsætninger!$B$225,Forudsætninger!$C$9),Forudsætninger!$C$11)+O176</f>
        <v>17.87730645863294</v>
      </c>
      <c r="U176" s="5">
        <f>Forudsætninger!$E$68+((K176-(Forudsætninger!$E$84)))*0.01</f>
        <v>6.1868676537878482</v>
      </c>
      <c r="V176" s="2">
        <f>U176+Forudsætninger!$E$69</f>
        <v>6.1868676537878482</v>
      </c>
      <c r="W176">
        <f t="shared" si="59"/>
        <v>1</v>
      </c>
      <c r="X176">
        <f>IF(A176+Forudsætninger!$E$60&gt;248,IF(A176+Forudsætninger!$E$60&lt;365,IF(K176&gt;180,IF(K176&lt;260,1,0),0),0),0)</f>
        <v>0</v>
      </c>
      <c r="Y176" s="22">
        <f>IF(X176=0,0,IF('Vækstfunktion, kry kvie'!A176&lt;Forudsætninger!$E$66,Forudsætninger!$E$67+(('Vækstfunktion, kry kvie'!A176-Forudsætninger!$E$66)/7)*Forudsætninger!$E$64,Forudsætninger!$E$67))</f>
        <v>0</v>
      </c>
      <c r="Z176" s="19">
        <f t="shared" si="73"/>
        <v>2518.4287434976618</v>
      </c>
      <c r="AA176" s="19">
        <f>Forudsætninger!$E$62+Forudsætninger!$C$16</f>
        <v>1575</v>
      </c>
      <c r="AB176" s="19">
        <f>IF(K176&gt;Forudsætninger!$C$48,IF(K176&gt;Forudsætninger!$C$49,IF(K176&gt;Forudsætninger!$C$50,Forudsætninger!$E$50,Forudsætninger!$E$49+Forudsætninger!$F$50*(K176-Forudsætninger!$C$49)),Forudsætninger!$E$48+Forudsætninger!$F$49*(K176-Forudsætninger!$C$48)),Forudsætninger!$E$48)+IF(K176&gt;Forudsætninger!$C$50,Forudsætninger!$G$50,IF(K176&gt;Forudsætninger!$C$49,Forudsætninger!$G$49+Forudsætninger!$H$50*(K176-Forudsætninger!$C$49),IF(K176&gt;Forudsætninger!$C$48,Forudsætninger!$G$48+Forudsætninger!$H$49*(K176-Forudsætninger!$C$48),Forudsætninger!$G$48)))*(U176-Forudsætninger!$H$48)</f>
        <v>35.218686765378784</v>
      </c>
      <c r="AC176" s="19">
        <f>IF(K176&gt;Forudsætninger!$C$52,IF(K176&gt;Forudsætninger!$C$53,IF(K176&gt;Forudsætninger!$C$54,Forudsætninger!$E$54,Forudsætninger!$E$53+Forudsætninger!$F$54*(K176-Forudsætninger!$C$53)),Forudsætninger!$E$52+Forudsætninger!$F$53*(K176-Forudsætninger!$C$52)),Forudsætninger!$E$52)+IF(K176&gt;Forudsætninger!$C$54,Forudsætninger!$G$54,IF(K176&gt;Forudsætninger!$C$53,Forudsætninger!$G$53+Forudsætninger!$H$54*(K176-Forudsætninger!$C$53),IF(K176&gt;Forudsætninger!$C$52,Forudsætninger!$G$52+Forudsætninger!$H$53*(K176-Forudsætninger!$C$52),Forudsætninger!$G$52)))*(V176-Forudsætninger!$H$52)</f>
        <v>30.196716913446959</v>
      </c>
      <c r="AD176" s="19">
        <f t="shared" si="60"/>
        <v>4439.8351980220459</v>
      </c>
      <c r="AE176" s="19">
        <f t="shared" si="61"/>
        <v>30.196716913446959</v>
      </c>
      <c r="AF176">
        <f>IF(G176&lt;=Forudsætninger!$C$97,Forudsætninger!$C$98,(IF(G176&lt;=Forudsætninger!$D$97,Forudsætninger!$D$98,IF(G176&lt;=Forudsætninger!$E$97,Forudsætninger!$E$98,IF(G176&lt;=Forudsætninger!$F$97,Forudsætninger!$F$98,IF(G176&lt;=Forudsætninger!$G$97,Forudsætninger!$G$98,IF(G176&lt;=Forudsætninger!$H$97,Forudsætninger!$H$98,IF(G176&lt;=Forudsætninger!$I$97,Forudsætninger!$I$98,Forudsætninger!$I$98))))))))</f>
        <v>3.2</v>
      </c>
      <c r="AG176" s="1">
        <f t="shared" si="70"/>
        <v>3.2</v>
      </c>
      <c r="AH176" s="1">
        <f t="shared" si="74"/>
        <v>440.79999999999882</v>
      </c>
      <c r="AI176" s="1">
        <f t="shared" si="62"/>
        <v>2.5333333333333266</v>
      </c>
      <c r="AJ176" s="20">
        <f>+(W176*Forudsætninger!$C$12)</f>
        <v>900</v>
      </c>
      <c r="AK176" s="20">
        <f>Forudsætninger!$C$17</f>
        <v>250</v>
      </c>
      <c r="AL176" s="20">
        <f>IF(A176&lt;92,Forudsætninger!$C$20,Forudsætninger!$C$21)</f>
        <v>1.0566762728146013</v>
      </c>
      <c r="AM176" s="20">
        <f t="shared" si="71"/>
        <v>452.36715432303163</v>
      </c>
      <c r="AN176" s="19">
        <f>IFERROR(AD176+AJ176-AA176-Z176-AK176-AM176-Forudsætninger!$E$75,-999999)</f>
        <v>352.82253886473666</v>
      </c>
      <c r="AO176" s="19">
        <f>IFERROR(AN176/(A176+Forudsætninger!$E$74),-999999)</f>
        <v>2.0277157406019346</v>
      </c>
      <c r="AP176" s="19">
        <f>IFERROR(((365/(A176+Forudsætninger!$E$74))*AN176)/(AI176+Forudsætninger!$E$73),-999999)</f>
        <v>279.99353542990224</v>
      </c>
      <c r="AQ176" s="18">
        <f t="shared" si="63"/>
        <v>174</v>
      </c>
      <c r="AR176" s="18">
        <f t="shared" si="75"/>
        <v>4795.7958978206934</v>
      </c>
      <c r="AS176" s="18">
        <f t="shared" si="55"/>
        <v>6.9</v>
      </c>
      <c r="AT176" s="50">
        <f t="shared" si="76"/>
        <v>5.0977732985204511</v>
      </c>
      <c r="AU176" s="50">
        <f t="shared" si="77"/>
        <v>1.7745997444615469E-2</v>
      </c>
      <c r="AV176" s="2">
        <f t="shared" si="78"/>
        <v>2.045219656367351</v>
      </c>
      <c r="AW176" s="16">
        <f t="shared" si="72"/>
        <v>4.627526972343496</v>
      </c>
      <c r="AZ176" s="16"/>
      <c r="BA176" s="2"/>
    </row>
    <row r="177" spans="1:53" x14ac:dyDescent="0.25">
      <c r="A177">
        <v>175</v>
      </c>
      <c r="B177" s="1">
        <f>ROUND((A177+Forudsætninger!$E$60)/30.4,1)</f>
        <v>6.9</v>
      </c>
      <c r="C177" s="1">
        <f>VLOOKUP((A177+Forudsætninger!$E$60),'Model tilvækst, slagteform, fe'!A:D,4,FALSE)</f>
        <v>307.81818103150931</v>
      </c>
      <c r="D177" s="3">
        <f t="shared" si="79"/>
        <v>1509.7534159272072</v>
      </c>
      <c r="E177" s="3">
        <f>(1+Forudsætninger!$E$78)*C177</f>
        <v>283.19272654898856</v>
      </c>
      <c r="F177" s="2">
        <f t="shared" si="82"/>
        <v>0</v>
      </c>
      <c r="G177" s="1">
        <f t="shared" si="56"/>
        <v>283.19272654898856</v>
      </c>
      <c r="H177" s="3">
        <f t="shared" si="64"/>
        <v>1388.9731426530147</v>
      </c>
      <c r="I177" s="3">
        <f t="shared" si="57"/>
        <v>1229.6727231370774</v>
      </c>
      <c r="J177" s="1">
        <f>VLOOKUP((A177+Forudsætninger!$E$60),'Model tilvækst, slagteform, fe'!G:K,4,FALSE)*(1+Forudsætninger!$E$79)</f>
        <v>52.196144673817848</v>
      </c>
      <c r="K177" s="17">
        <f t="shared" si="58"/>
        <v>147.81568525523943</v>
      </c>
      <c r="L177" s="17">
        <f t="shared" si="65"/>
        <v>785.29083362155916</v>
      </c>
      <c r="M177" s="3">
        <f>((K177-(('Model tilvækst, slagteform, fe'!$J$9/100)*'Model tilvækst, slagteform, fe'!$D$9))*1000/(A177+Forudsætninger!$E$60))</f>
        <v>604.65060246633254</v>
      </c>
      <c r="N177" s="17">
        <f t="shared" si="66"/>
        <v>786.62924790195552</v>
      </c>
      <c r="O177" s="19">
        <f>IF( A177&lt;Forudsætninger!$C$14,(G177/100)*Forudsætninger!$C$13,(Forudsætninger!$C$15/1000)*Forudsætninger!$C$13)</f>
        <v>1.8407527225684257</v>
      </c>
      <c r="P177" s="17" cm="1">
        <f t="array" ref="P177">INDEX('Model tilvækst, slagteform, fe'!$P$9:$P$375,MATCH(MIN(ABS('Model tilvækst, slagteform, fe'!$M$9:$M$375-G177)),ABS('Model tilvækst, slagteform, fe'!$M$9:$M$375-G177),0))*(1+Forudsætninger!$E$80)</f>
        <v>6.8731120232386633</v>
      </c>
      <c r="Q177" s="17">
        <f t="shared" si="67"/>
        <v>8.7523140841230003</v>
      </c>
      <c r="R177" s="17">
        <f t="shared" si="68"/>
        <v>6.8492470311241558</v>
      </c>
      <c r="S177" s="17">
        <f t="shared" si="69"/>
        <v>3.6554639207235455</v>
      </c>
      <c r="T177" s="19">
        <f>(P177)*IF(N177&lt;Forudsætninger!$B$228,IF(N177&lt;Forudsætninger!$B$227,Forudsætninger!$B$225,Forudsætninger!$C$9),Forudsætninger!$C$11)+O177</f>
        <v>17.923834856946897</v>
      </c>
      <c r="U177" s="5">
        <f>Forudsætninger!$E$68+((K177-(Forudsætninger!$E$84)))*0.01</f>
        <v>6.1947205621240631</v>
      </c>
      <c r="V177" s="2">
        <f>U177+Forudsætninger!$E$69</f>
        <v>6.1947205621240631</v>
      </c>
      <c r="W177">
        <f t="shared" si="59"/>
        <v>1</v>
      </c>
      <c r="X177">
        <f>IF(A177+Forudsætninger!$E$60&gt;248,IF(A177+Forudsætninger!$E$60&lt;365,IF(K177&gt;180,IF(K177&lt;260,1,0),0),0),0)</f>
        <v>0</v>
      </c>
      <c r="Y177" s="22">
        <f>IF(X177=0,0,IF('Vækstfunktion, kry kvie'!A177&lt;Forudsætninger!$E$66,Forudsætninger!$E$67+(('Vækstfunktion, kry kvie'!A177-Forudsætninger!$E$66)/7)*Forudsætninger!$E$64,Forudsætninger!$E$67))</f>
        <v>0</v>
      </c>
      <c r="Z177" s="19">
        <f t="shared" si="73"/>
        <v>2536.3525783546088</v>
      </c>
      <c r="AA177" s="19">
        <f>Forudsætninger!$E$62+Forudsætninger!$C$16</f>
        <v>1575</v>
      </c>
      <c r="AB177" s="19">
        <f>IF(K177&gt;Forudsætninger!$C$48,IF(K177&gt;Forudsætninger!$C$49,IF(K177&gt;Forudsætninger!$C$50,Forudsætninger!$E$50,Forudsætninger!$E$49+Forudsætninger!$F$50*(K177-Forudsætninger!$C$49)),Forudsætninger!$E$48+Forudsætninger!$F$49*(K177-Forudsætninger!$C$48)),Forudsætninger!$E$48)+IF(K177&gt;Forudsætninger!$C$50,Forudsætninger!$G$50,IF(K177&gt;Forudsætninger!$C$49,Forudsætninger!$G$49+Forudsætninger!$H$50*(K177-Forudsætninger!$C$49),IF(K177&gt;Forudsætninger!$C$48,Forudsætninger!$G$48+Forudsætninger!$H$49*(K177-Forudsætninger!$C$48),Forudsætninger!$G$48)))*(U177-Forudsætninger!$H$48)</f>
        <v>35.219472056212403</v>
      </c>
      <c r="AC177" s="19">
        <f>IF(K177&gt;Forudsætninger!$C$52,IF(K177&gt;Forudsætninger!$C$53,IF(K177&gt;Forudsætninger!$C$54,Forudsætninger!$E$54,Forudsætninger!$E$53+Forudsætninger!$F$54*(K177-Forudsætninger!$C$53)),Forudsætninger!$E$52+Forudsætninger!$F$53*(K177-Forudsætninger!$C$52)),Forudsætninger!$E$52)+IF(K177&gt;Forudsætninger!$C$54,Forudsætninger!$G$54,IF(K177&gt;Forudsætninger!$C$53,Forudsætninger!$G$53+Forudsætninger!$H$54*(K177-Forudsætninger!$C$53),IF(K177&gt;Forudsætninger!$C$52,Forudsætninger!$G$52+Forudsætninger!$H$53*(K177-Forudsætninger!$C$52),Forudsætninger!$G$52)))*(V177-Forudsætninger!$H$52)</f>
        <v>30.198680140531014</v>
      </c>
      <c r="AD177" s="19">
        <f t="shared" si="60"/>
        <v>4463.8385987763822</v>
      </c>
      <c r="AE177" s="19">
        <f t="shared" si="61"/>
        <v>30.198680140531014</v>
      </c>
      <c r="AF177">
        <f>IF(G177&lt;=Forudsætninger!$C$97,Forudsætninger!$C$98,(IF(G177&lt;=Forudsætninger!$D$97,Forudsætninger!$D$98,IF(G177&lt;=Forudsætninger!$E$97,Forudsætninger!$E$98,IF(G177&lt;=Forudsætninger!$F$97,Forudsætninger!$F$98,IF(G177&lt;=Forudsætninger!$G$97,Forudsætninger!$G$98,IF(G177&lt;=Forudsætninger!$H$97,Forudsætninger!$H$98,IF(G177&lt;=Forudsætninger!$I$97,Forudsætninger!$I$98,Forudsætninger!$I$98))))))))</f>
        <v>3.2</v>
      </c>
      <c r="AG177" s="1">
        <f t="shared" si="70"/>
        <v>3.2</v>
      </c>
      <c r="AH177" s="1">
        <f t="shared" si="74"/>
        <v>443.99999999999881</v>
      </c>
      <c r="AI177" s="1">
        <f t="shared" si="62"/>
        <v>2.5371428571428503</v>
      </c>
      <c r="AJ177" s="20">
        <f>+(W177*Forudsætninger!$C$12)</f>
        <v>900</v>
      </c>
      <c r="AK177" s="20">
        <f>Forudsætninger!$C$17</f>
        <v>250</v>
      </c>
      <c r="AL177" s="20">
        <f>IF(A177&lt;92,Forudsætninger!$C$20,Forudsætninger!$C$21)</f>
        <v>1.0566762728146013</v>
      </c>
      <c r="AM177" s="20">
        <f t="shared" si="71"/>
        <v>453.42383059584625</v>
      </c>
      <c r="AN177" s="19">
        <f>IFERROR(AD177+AJ177-AA177-Z177-AK177-AM177-Forudsætninger!$E$75,-999999)</f>
        <v>357.8454284893113</v>
      </c>
      <c r="AO177" s="19">
        <f>IFERROR(AN177/(A177+Forudsætninger!$E$74),-999999)</f>
        <v>2.0448310199389219</v>
      </c>
      <c r="AP177" s="19">
        <f>IFERROR(((365/(A177+Forudsætninger!$E$74))*AN177)/(AI177+Forudsætninger!$E$73),-999999)</f>
        <v>281.9505264945472</v>
      </c>
      <c r="AQ177" s="18">
        <f t="shared" si="63"/>
        <v>175</v>
      </c>
      <c r="AR177" s="18">
        <f t="shared" si="75"/>
        <v>4814.7764089504544</v>
      </c>
      <c r="AS177" s="18">
        <f t="shared" si="55"/>
        <v>6.9</v>
      </c>
      <c r="AT177" s="50">
        <f t="shared" si="76"/>
        <v>5.0228896245746455</v>
      </c>
      <c r="AU177" s="50">
        <f t="shared" si="77"/>
        <v>1.711527933698731E-2</v>
      </c>
      <c r="AV177" s="2">
        <f t="shared" si="78"/>
        <v>1.9569910646449671</v>
      </c>
      <c r="AW177" s="16">
        <f t="shared" si="72"/>
        <v>4.6358243376294714</v>
      </c>
      <c r="AZ177" s="16"/>
      <c r="BA177" s="2"/>
    </row>
    <row r="178" spans="1:53" x14ac:dyDescent="0.25">
      <c r="A178">
        <v>176</v>
      </c>
      <c r="B178" s="1">
        <f>ROUND((A178+Forudsætninger!$E$60)/30.4,1)</f>
        <v>7</v>
      </c>
      <c r="C178" s="1">
        <f>VLOOKUP((A178+Forudsætninger!$E$60),'Model tilvækst, slagteform, fe'!A:D,4,FALSE)</f>
        <v>309.32493202560983</v>
      </c>
      <c r="D178" s="3">
        <f t="shared" si="79"/>
        <v>1506.7509941005142</v>
      </c>
      <c r="E178" s="3">
        <f>(1+Forudsætninger!$E$78)*C178</f>
        <v>284.57893746356103</v>
      </c>
      <c r="F178" s="2">
        <f t="shared" si="82"/>
        <v>0</v>
      </c>
      <c r="G178" s="1">
        <f t="shared" si="56"/>
        <v>284.57893746356103</v>
      </c>
      <c r="H178" s="3">
        <f t="shared" si="64"/>
        <v>1386.210914572473</v>
      </c>
      <c r="I178" s="3">
        <f t="shared" si="57"/>
        <v>1230.5621446793241</v>
      </c>
      <c r="J178" s="1">
        <f>VLOOKUP((A178+Forudsætninger!$E$60),'Model tilvækst, slagteform, fe'!G:K,4,FALSE)*(1+Forudsætninger!$E$79)</f>
        <v>52.217465087680274</v>
      </c>
      <c r="K178" s="17">
        <f t="shared" si="58"/>
        <v>148.59990731692645</v>
      </c>
      <c r="L178" s="17">
        <f t="shared" si="65"/>
        <v>784.22206168701791</v>
      </c>
      <c r="M178" s="3">
        <f>((K178-(('Model tilvækst, slagteform, fe'!$J$9/100)*'Model tilvækst, slagteform, fe'!$D$9))*1000/(A178+Forudsætninger!$E$60))</f>
        <v>605.49763765133582</v>
      </c>
      <c r="N178" s="17">
        <f t="shared" si="66"/>
        <v>793.51820520490401</v>
      </c>
      <c r="O178" s="19">
        <f>IF( A178&lt;Forudsætninger!$C$14,(G178/100)*Forudsætninger!$C$13,(Forudsætninger!$C$15/1000)*Forudsætninger!$C$13)</f>
        <v>1.8497630935131468</v>
      </c>
      <c r="P178" s="17" cm="1">
        <f t="array" ref="P178">INDEX('Model tilvækst, slagteform, fe'!$P$9:$P$375,MATCH(MIN(ABS('Model tilvækst, slagteform, fe'!$M$9:$M$375-G178)),ABS('Model tilvækst, slagteform, fe'!$M$9:$M$375-G178),0))*(1+Forudsætninger!$E$80)</f>
        <v>6.888957302948465</v>
      </c>
      <c r="Q178" s="17">
        <f t="shared" si="67"/>
        <v>8.7844472114555732</v>
      </c>
      <c r="R178" s="17">
        <f t="shared" si="68"/>
        <v>6.8623715164859496</v>
      </c>
      <c r="S178" s="17">
        <f t="shared" si="69"/>
        <v>3.6638752341206393</v>
      </c>
      <c r="T178" s="19">
        <f>(P178)*IF(N178&lt;Forudsætninger!$B$228,IF(N178&lt;Forudsætninger!$B$227,Forudsætninger!$B$225,Forudsætninger!$C$9),Forudsætninger!$C$11)+O178</f>
        <v>17.969923182412554</v>
      </c>
      <c r="U178" s="5">
        <f>Forudsætninger!$E$68+((K178-(Forudsætninger!$E$84)))*0.01</f>
        <v>6.2025627827409338</v>
      </c>
      <c r="V178" s="2">
        <f>U178+Forudsætninger!$E$69</f>
        <v>6.2025627827409338</v>
      </c>
      <c r="W178">
        <f t="shared" si="59"/>
        <v>1</v>
      </c>
      <c r="X178">
        <f>IF(A178+Forudsætninger!$E$60&gt;248,IF(A178+Forudsætninger!$E$60&lt;365,IF(K178&gt;180,IF(K178&lt;260,1,0),0),0),0)</f>
        <v>0</v>
      </c>
      <c r="Y178" s="22">
        <f>IF(X178=0,0,IF('Vækstfunktion, kry kvie'!A178&lt;Forudsætninger!$E$66,Forudsætninger!$E$67+(('Vækstfunktion, kry kvie'!A178-Forudsætninger!$E$66)/7)*Forudsætninger!$E$64,Forudsætninger!$E$67))</f>
        <v>0</v>
      </c>
      <c r="Z178" s="19">
        <f t="shared" si="73"/>
        <v>2554.3225015370213</v>
      </c>
      <c r="AA178" s="19">
        <f>Forudsætninger!$E$62+Forudsætninger!$C$16</f>
        <v>1575</v>
      </c>
      <c r="AB178" s="19">
        <f>IF(K178&gt;Forudsætninger!$C$48,IF(K178&gt;Forudsætninger!$C$49,IF(K178&gt;Forudsætninger!$C$50,Forudsætninger!$E$50,Forudsætninger!$E$49+Forudsætninger!$F$50*(K178-Forudsætninger!$C$49)),Forudsætninger!$E$48+Forudsætninger!$F$49*(K178-Forudsætninger!$C$48)),Forudsætninger!$E$48)+IF(K178&gt;Forudsætninger!$C$50,Forudsætninger!$G$50,IF(K178&gt;Forudsætninger!$C$49,Forudsætninger!$G$49+Forudsætninger!$H$50*(K178-Forudsætninger!$C$49),IF(K178&gt;Forudsætninger!$C$48,Forudsætninger!$G$48+Forudsætninger!$H$49*(K178-Forudsætninger!$C$48),Forudsætninger!$G$48)))*(U178-Forudsætninger!$H$48)</f>
        <v>35.220256278274093</v>
      </c>
      <c r="AC178" s="19">
        <f>IF(K178&gt;Forudsætninger!$C$52,IF(K178&gt;Forudsætninger!$C$53,IF(K178&gt;Forudsætninger!$C$54,Forudsætninger!$E$54,Forudsætninger!$E$53+Forudsætninger!$F$54*(K178-Forudsætninger!$C$53)),Forudsætninger!$E$52+Forudsætninger!$F$53*(K178-Forudsætninger!$C$52)),Forudsætninger!$E$52)+IF(K178&gt;Forudsætninger!$C$54,Forudsætninger!$G$54,IF(K178&gt;Forudsætninger!$C$53,Forudsætninger!$G$53+Forudsætninger!$H$54*(K178-Forudsætninger!$C$53),IF(K178&gt;Forudsætninger!$C$52,Forudsætninger!$G$52+Forudsætninger!$H$53*(K178-Forudsætninger!$C$52),Forudsætninger!$G$52)))*(V178-Forudsætninger!$H$52)</f>
        <v>30.20064069568523</v>
      </c>
      <c r="AD178" s="19">
        <f t="shared" si="60"/>
        <v>4487.8124082906224</v>
      </c>
      <c r="AE178" s="19">
        <f t="shared" si="61"/>
        <v>30.20064069568523</v>
      </c>
      <c r="AF178">
        <f>IF(G178&lt;=Forudsætninger!$C$97,Forudsætninger!$C$98,(IF(G178&lt;=Forudsætninger!$D$97,Forudsætninger!$D$98,IF(G178&lt;=Forudsætninger!$E$97,Forudsætninger!$E$98,IF(G178&lt;=Forudsætninger!$F$97,Forudsætninger!$F$98,IF(G178&lt;=Forudsætninger!$G$97,Forudsætninger!$G$98,IF(G178&lt;=Forudsætninger!$H$97,Forudsætninger!$H$98,IF(G178&lt;=Forudsætninger!$I$97,Forudsætninger!$I$98,Forudsætninger!$I$98))))))))</f>
        <v>3.2</v>
      </c>
      <c r="AG178" s="1">
        <f t="shared" si="70"/>
        <v>3.2</v>
      </c>
      <c r="AH178" s="1">
        <f t="shared" si="74"/>
        <v>447.19999999999879</v>
      </c>
      <c r="AI178" s="1">
        <f t="shared" si="62"/>
        <v>2.5409090909090839</v>
      </c>
      <c r="AJ178" s="20">
        <f>+(W178*Forudsætninger!$C$12)</f>
        <v>900</v>
      </c>
      <c r="AK178" s="20">
        <f>Forudsætninger!$C$17</f>
        <v>250</v>
      </c>
      <c r="AL178" s="20">
        <f>IF(A178&lt;92,Forudsætninger!$C$20,Forudsætninger!$C$21)</f>
        <v>1.0566762728146013</v>
      </c>
      <c r="AM178" s="20">
        <f t="shared" si="71"/>
        <v>454.48050686866088</v>
      </c>
      <c r="AN178" s="19">
        <f>IFERROR(AD178+AJ178-AA178-Z178-AK178-AM178-Forudsætninger!$E$75,-999999)</f>
        <v>362.79263854832448</v>
      </c>
      <c r="AO178" s="19">
        <f>IFERROR(AN178/(A178+Forudsætninger!$E$74),-999999)</f>
        <v>2.0613218099336619</v>
      </c>
      <c r="AP178" s="19">
        <f>IFERROR(((365/(A178+Forudsætninger!$E$74))*AN178)/(AI178+Forudsætninger!$E$73),-999999)</f>
        <v>283.82054413181322</v>
      </c>
      <c r="AQ178" s="18">
        <f t="shared" si="63"/>
        <v>176</v>
      </c>
      <c r="AR178" s="18">
        <f t="shared" si="75"/>
        <v>4833.8030084056818</v>
      </c>
      <c r="AS178" s="18">
        <f t="shared" si="55"/>
        <v>7</v>
      </c>
      <c r="AT178" s="50">
        <f t="shared" si="76"/>
        <v>4.9472100590131731</v>
      </c>
      <c r="AU178" s="50">
        <f t="shared" si="77"/>
        <v>1.6490789994739963E-2</v>
      </c>
      <c r="AV178" s="2">
        <f t="shared" si="78"/>
        <v>1.8700176372660167</v>
      </c>
      <c r="AW178" s="16">
        <f t="shared" si="72"/>
        <v>4.6435974171419625</v>
      </c>
      <c r="AZ178" s="16"/>
      <c r="BA178" s="2"/>
    </row>
    <row r="179" spans="1:53" x14ac:dyDescent="0.25">
      <c r="A179">
        <v>177</v>
      </c>
      <c r="B179" s="1">
        <f>ROUND((A179+Forudsætninger!$E$60)/30.4,1)</f>
        <v>7</v>
      </c>
      <c r="C179" s="1">
        <f>VLOOKUP((A179+Forudsætninger!$E$60),'Model tilvækst, slagteform, fe'!A:D,4,FALSE)</f>
        <v>310.82863430724404</v>
      </c>
      <c r="D179" s="3">
        <f t="shared" si="79"/>
        <v>1503.7022816342187</v>
      </c>
      <c r="E179" s="3">
        <f>(1+Forudsætninger!$E$78)*C179</f>
        <v>285.96234356266456</v>
      </c>
      <c r="F179" s="2">
        <f t="shared" si="82"/>
        <v>0</v>
      </c>
      <c r="G179" s="1">
        <f t="shared" si="56"/>
        <v>285.96234356266456</v>
      </c>
      <c r="H179" s="3">
        <f t="shared" si="64"/>
        <v>1383.4060991035244</v>
      </c>
      <c r="I179" s="3">
        <f t="shared" si="57"/>
        <v>1231.4256698455624</v>
      </c>
      <c r="J179" s="1">
        <f>VLOOKUP((A179+Forudsætninger!$E$60),'Model tilvækst, slagteform, fe'!G:K,4,FALSE)*(1+Forudsætninger!$E$79)</f>
        <v>52.238703433205735</v>
      </c>
      <c r="K179" s="17">
        <f t="shared" si="58"/>
        <v>149.38302058434522</v>
      </c>
      <c r="L179" s="17">
        <f t="shared" si="65"/>
        <v>783.11326741876996</v>
      </c>
      <c r="M179" s="3">
        <f>((K179-(('Model tilvækst, slagteform, fe'!$J$9/100)*'Model tilvækst, slagteform, fe'!$D$9))*1000/(A179+Forudsætninger!$E$60))</f>
        <v>606.331513847427</v>
      </c>
      <c r="N179" s="17">
        <f t="shared" si="66"/>
        <v>800.42282470808323</v>
      </c>
      <c r="O179" s="19">
        <f>IF( A179&lt;Forudsætninger!$C$14,(G179/100)*Forudsætninger!$C$13,(Forudsætninger!$C$15/1000)*Forudsætninger!$C$13)</f>
        <v>1.8587552331573196</v>
      </c>
      <c r="P179" s="17" cm="1">
        <f t="array" ref="P179">INDEX('Model tilvækst, slagteform, fe'!$P$9:$P$375,MATCH(MIN(ABS('Model tilvækst, slagteform, fe'!$M$9:$M$375-G179)),ABS('Model tilvækst, slagteform, fe'!$M$9:$M$375-G179),0))*(1+Forudsætninger!$E$80)</f>
        <v>6.9046195031792159</v>
      </c>
      <c r="Q179" s="17">
        <f t="shared" si="67"/>
        <v>8.8168848497965353</v>
      </c>
      <c r="R179" s="17">
        <f t="shared" si="68"/>
        <v>6.8755192003841614</v>
      </c>
      <c r="S179" s="17">
        <f t="shared" si="69"/>
        <v>3.6722986715269936</v>
      </c>
      <c r="T179" s="19">
        <f>(P179)*IF(N179&lt;Forudsætninger!$B$228,IF(N179&lt;Forudsætninger!$B$227,Forudsætninger!$B$225,Forudsætninger!$C$9),Forudsætninger!$C$11)+O179</f>
        <v>18.015564870596684</v>
      </c>
      <c r="U179" s="5">
        <f>Forudsætninger!$E$68+((K179-(Forudsætninger!$E$84)))*0.01</f>
        <v>6.2103939154151213</v>
      </c>
      <c r="V179" s="2">
        <f>U179+Forudsætninger!$E$69</f>
        <v>6.2103939154151213</v>
      </c>
      <c r="W179">
        <f t="shared" si="59"/>
        <v>1</v>
      </c>
      <c r="X179">
        <f>IF(A179+Forudsætninger!$E$60&gt;248,IF(A179+Forudsætninger!$E$60&lt;365,IF(K179&gt;180,IF(K179&lt;260,1,0),0),0),0)</f>
        <v>0</v>
      </c>
      <c r="Y179" s="22">
        <f>IF(X179=0,0,IF('Vækstfunktion, kry kvie'!A179&lt;Forudsætninger!$E$66,Forudsætninger!$E$67+(('Vækstfunktion, kry kvie'!A179-Forudsætninger!$E$66)/7)*Forudsætninger!$E$64,Forudsætninger!$E$67))</f>
        <v>0</v>
      </c>
      <c r="Z179" s="19">
        <f t="shared" si="73"/>
        <v>2572.338066407618</v>
      </c>
      <c r="AA179" s="19">
        <f>Forudsætninger!$E$62+Forudsætninger!$C$16</f>
        <v>1575</v>
      </c>
      <c r="AB179" s="19">
        <f>IF(K179&gt;Forudsætninger!$C$48,IF(K179&gt;Forudsætninger!$C$49,IF(K179&gt;Forudsætninger!$C$50,Forudsætninger!$E$50,Forudsætninger!$E$49+Forudsætninger!$F$50*(K179-Forudsætninger!$C$49)),Forudsætninger!$E$48+Forudsætninger!$F$49*(K179-Forudsætninger!$C$48)),Forudsætninger!$E$48)+IF(K179&gt;Forudsætninger!$C$50,Forudsætninger!$G$50,IF(K179&gt;Forudsætninger!$C$49,Forudsætninger!$G$49+Forudsætninger!$H$50*(K179-Forudsætninger!$C$49),IF(K179&gt;Forudsætninger!$C$48,Forudsætninger!$G$48+Forudsætninger!$H$49*(K179-Forudsætninger!$C$48),Forudsætninger!$G$48)))*(U179-Forudsætninger!$H$48)</f>
        <v>35.22103939154151</v>
      </c>
      <c r="AC179" s="19">
        <f>IF(K179&gt;Forudsætninger!$C$52,IF(K179&gt;Forudsætninger!$C$53,IF(K179&gt;Forudsætninger!$C$54,Forudsætninger!$E$54,Forudsætninger!$E$53+Forudsætninger!$F$54*(K179-Forudsætninger!$C$53)),Forudsætninger!$E$52+Forudsætninger!$F$53*(K179-Forudsætninger!$C$52)),Forudsætninger!$E$52)+IF(K179&gt;Forudsætninger!$C$54,Forudsætninger!$G$54,IF(K179&gt;Forudsætninger!$C$53,Forudsætninger!$G$53+Forudsætninger!$H$54*(K179-Forudsætninger!$C$53),IF(K179&gt;Forudsætninger!$C$52,Forudsætninger!$G$52+Forudsætninger!$H$53*(K179-Forudsætninger!$C$52),Forudsætninger!$G$52)))*(V179-Forudsætninger!$H$52)</f>
        <v>30.20259847885378</v>
      </c>
      <c r="AD179" s="19">
        <f t="shared" si="60"/>
        <v>4511.755390267328</v>
      </c>
      <c r="AE179" s="19">
        <f t="shared" si="61"/>
        <v>30.202598478853783</v>
      </c>
      <c r="AF179">
        <f>IF(G179&lt;=Forudsætninger!$C$97,Forudsætninger!$C$98,(IF(G179&lt;=Forudsætninger!$D$97,Forudsætninger!$D$98,IF(G179&lt;=Forudsætninger!$E$97,Forudsætninger!$E$98,IF(G179&lt;=Forudsætninger!$F$97,Forudsætninger!$F$98,IF(G179&lt;=Forudsætninger!$G$97,Forudsætninger!$G$98,IF(G179&lt;=Forudsætninger!$H$97,Forudsætninger!$H$98,IF(G179&lt;=Forudsætninger!$I$97,Forudsætninger!$I$98,Forudsætninger!$I$98))))))))</f>
        <v>3.2</v>
      </c>
      <c r="AG179" s="1">
        <f t="shared" si="70"/>
        <v>3.2</v>
      </c>
      <c r="AH179" s="1">
        <f t="shared" si="74"/>
        <v>450.39999999999878</v>
      </c>
      <c r="AI179" s="1">
        <f t="shared" si="62"/>
        <v>2.5446327683615753</v>
      </c>
      <c r="AJ179" s="20">
        <f>+(W179*Forudsætninger!$C$12)</f>
        <v>900</v>
      </c>
      <c r="AK179" s="20">
        <f>Forudsætninger!$C$17</f>
        <v>250</v>
      </c>
      <c r="AL179" s="20">
        <f>IF(A179&lt;92,Forudsætninger!$C$20,Forudsætninger!$C$21)</f>
        <v>1.0566762728146013</v>
      </c>
      <c r="AM179" s="20">
        <f t="shared" si="71"/>
        <v>455.53718314147551</v>
      </c>
      <c r="AN179" s="19">
        <f>IFERROR(AD179+AJ179-AA179-Z179-AK179-AM179-Forudsætninger!$E$75,-999999)</f>
        <v>367.66337938161871</v>
      </c>
      <c r="AO179" s="19">
        <f>IFERROR(AN179/(A179+Forudsætninger!$E$74),-999999)</f>
        <v>2.0771942337944558</v>
      </c>
      <c r="AP179" s="19">
        <f>IFERROR(((365/(A179+Forudsætninger!$E$74))*AN179)/(AI179+Forudsætninger!$E$73),-999999)</f>
        <v>285.60481297867744</v>
      </c>
      <c r="AQ179" s="18">
        <f t="shared" si="63"/>
        <v>177</v>
      </c>
      <c r="AR179" s="18">
        <f t="shared" si="75"/>
        <v>4852.8752495490935</v>
      </c>
      <c r="AS179" s="18">
        <f t="shared" si="55"/>
        <v>7</v>
      </c>
      <c r="AT179" s="50">
        <f t="shared" si="76"/>
        <v>4.870740833294235</v>
      </c>
      <c r="AU179" s="50">
        <f t="shared" si="77"/>
        <v>1.5872423860793905E-2</v>
      </c>
      <c r="AV179" s="2">
        <f t="shared" si="78"/>
        <v>1.7842688468642223</v>
      </c>
      <c r="AW179" s="16">
        <f t="shared" si="72"/>
        <v>4.6508506357236961</v>
      </c>
      <c r="AZ179" s="16"/>
      <c r="BA179" s="2"/>
    </row>
    <row r="180" spans="1:53" x14ac:dyDescent="0.25">
      <c r="A180">
        <v>178</v>
      </c>
      <c r="B180" s="1">
        <f>ROUND((A180+Forudsætninger!$E$60)/30.4,1)</f>
        <v>7</v>
      </c>
      <c r="C180" s="1">
        <f>VLOOKUP((A180+Forudsætninger!$E$60),'Model tilvækst, slagteform, fe'!A:D,4,FALSE)</f>
        <v>312.32924217079261</v>
      </c>
      <c r="D180" s="3">
        <f t="shared" si="79"/>
        <v>1500.6078635485665</v>
      </c>
      <c r="E180" s="3">
        <f>(1+Forudsætninger!$E$78)*C180</f>
        <v>287.34290279712923</v>
      </c>
      <c r="F180" s="2">
        <f t="shared" si="82"/>
        <v>0</v>
      </c>
      <c r="G180" s="1">
        <f t="shared" si="56"/>
        <v>287.34290279712923</v>
      </c>
      <c r="H180" s="3">
        <f t="shared" si="64"/>
        <v>1380.5592344646698</v>
      </c>
      <c r="I180" s="3">
        <f t="shared" si="57"/>
        <v>1232.2634988602765</v>
      </c>
      <c r="J180" s="1">
        <f>VLOOKUP((A180+Forudsætninger!$E$60),'Model tilvækst, slagteform, fe'!G:K,4,FALSE)*(1+Forudsætninger!$E$79)</f>
        <v>52.259855240773703</v>
      </c>
      <c r="K180" s="17">
        <f t="shared" si="58"/>
        <v>150.16498504641683</v>
      </c>
      <c r="L180" s="17">
        <f t="shared" si="65"/>
        <v>781.9644620716133</v>
      </c>
      <c r="M180" s="3">
        <f>((K180-(('Model tilvækst, slagteform, fe'!$J$9/100)*'Model tilvækst, slagteform, fe'!$D$9))*1000/(A180+Forudsætninger!$E$60))</f>
        <v>607.15222855875504</v>
      </c>
      <c r="N180" s="17">
        <f t="shared" si="66"/>
        <v>807.34292064499914</v>
      </c>
      <c r="O180" s="19">
        <f>IF( A180&lt;Forudsætninger!$C$14,(G180/100)*Forudsætninger!$C$13,(Forudsætninger!$C$15/1000)*Forudsætninger!$C$13)</f>
        <v>1.86772886818134</v>
      </c>
      <c r="P180" s="17" cm="1">
        <f t="array" ref="P180">INDEX('Model tilvækst, slagteform, fe'!$P$9:$P$375,MATCH(MIN(ABS('Model tilvækst, slagteform, fe'!$M$9:$M$375-G180)),ABS('Model tilvækst, slagteform, fe'!$M$9:$M$375-G180),0))*(1+Forudsætninger!$E$80)</f>
        <v>6.920095936915871</v>
      </c>
      <c r="Q180" s="17">
        <f t="shared" si="67"/>
        <v>8.8496297115381175</v>
      </c>
      <c r="R180" s="17">
        <f t="shared" si="68"/>
        <v>6.8886907576613936</v>
      </c>
      <c r="S180" s="17">
        <f t="shared" si="69"/>
        <v>3.6807341853760023</v>
      </c>
      <c r="T180" s="19">
        <f>(P180)*IF(N180&lt;Forudsætninger!$B$228,IF(N180&lt;Forudsætninger!$B$227,Forudsætninger!$B$225,Forudsætninger!$C$9),Forudsætninger!$C$11)+O180</f>
        <v>18.06075336056448</v>
      </c>
      <c r="U180" s="5">
        <f>Forudsætninger!$E$68+((K180-(Forudsætninger!$E$84)))*0.01</f>
        <v>6.2182135600358377</v>
      </c>
      <c r="V180" s="2">
        <f>U180+Forudsætninger!$E$69</f>
        <v>6.2182135600358377</v>
      </c>
      <c r="W180">
        <f t="shared" si="59"/>
        <v>1</v>
      </c>
      <c r="X180">
        <f>IF(A180+Forudsætninger!$E$60&gt;248,IF(A180+Forudsætninger!$E$60&lt;365,IF(K180&gt;180,IF(K180&lt;260,1,0),0),0),0)</f>
        <v>0</v>
      </c>
      <c r="Y180" s="22">
        <f>IF(X180=0,0,IF('Vækstfunktion, kry kvie'!A180&lt;Forudsætninger!$E$66,Forudsætninger!$E$67+(('Vækstfunktion, kry kvie'!A180-Forudsætninger!$E$66)/7)*Forudsætninger!$E$64,Forudsætninger!$E$67))</f>
        <v>0</v>
      </c>
      <c r="Z180" s="19">
        <f t="shared" si="73"/>
        <v>2590.3988197681824</v>
      </c>
      <c r="AA180" s="19">
        <f>Forudsætninger!$E$62+Forudsætninger!$C$16</f>
        <v>1575</v>
      </c>
      <c r="AB180" s="19">
        <f>IF(K180&gt;Forudsætninger!$C$48,IF(K180&gt;Forudsætninger!$C$49,IF(K180&gt;Forudsætninger!$C$50,Forudsætninger!$E$50,Forudsætninger!$E$49+Forudsætninger!$F$50*(K180-Forudsætninger!$C$49)),Forudsætninger!$E$48+Forudsætninger!$F$49*(K180-Forudsætninger!$C$48)),Forudsætninger!$E$48)+IF(K180&gt;Forudsætninger!$C$50,Forudsætninger!$G$50,IF(K180&gt;Forudsætninger!$C$49,Forudsætninger!$G$49+Forudsætninger!$H$50*(K180-Forudsætninger!$C$49),IF(K180&gt;Forudsætninger!$C$48,Forudsætninger!$G$48+Forudsætninger!$H$49*(K180-Forudsætninger!$C$48),Forudsætninger!$G$48)))*(U180-Forudsætninger!$H$48)</f>
        <v>35.221821356003581</v>
      </c>
      <c r="AC180" s="19">
        <f>IF(K180&gt;Forudsætninger!$C$52,IF(K180&gt;Forudsætninger!$C$53,IF(K180&gt;Forudsætninger!$C$54,Forudsætninger!$E$54,Forudsætninger!$E$53+Forudsætninger!$F$54*(K180-Forudsætninger!$C$53)),Forudsætninger!$E$52+Forudsætninger!$F$53*(K180-Forudsætninger!$C$52)),Forudsætninger!$E$52)+IF(K180&gt;Forudsætninger!$C$54,Forudsætninger!$G$54,IF(K180&gt;Forudsætninger!$C$53,Forudsætninger!$G$53+Forudsætninger!$H$54*(K180-Forudsætninger!$C$53),IF(K180&gt;Forudsætninger!$C$52,Forudsætninger!$G$52+Forudsætninger!$H$53*(K180-Forudsætninger!$C$52),Forudsætninger!$G$52)))*(V180-Forudsætninger!$H$52)</f>
        <v>30.204553390008957</v>
      </c>
      <c r="AD180" s="19">
        <f t="shared" si="60"/>
        <v>4535.666308144394</v>
      </c>
      <c r="AE180" s="19">
        <f t="shared" si="61"/>
        <v>30.204553390008957</v>
      </c>
      <c r="AF180">
        <f>IF(G180&lt;=Forudsætninger!$C$97,Forudsætninger!$C$98,(IF(G180&lt;=Forudsætninger!$D$97,Forudsætninger!$D$98,IF(G180&lt;=Forudsætninger!$E$97,Forudsætninger!$E$98,IF(G180&lt;=Forudsætninger!$F$97,Forudsætninger!$F$98,IF(G180&lt;=Forudsætninger!$G$97,Forudsætninger!$G$98,IF(G180&lt;=Forudsætninger!$H$97,Forudsætninger!$H$98,IF(G180&lt;=Forudsætninger!$I$97,Forudsætninger!$I$98,Forudsætninger!$I$98))))))))</f>
        <v>3.2</v>
      </c>
      <c r="AG180" s="1">
        <f t="shared" si="70"/>
        <v>3.2</v>
      </c>
      <c r="AH180" s="1">
        <f t="shared" si="74"/>
        <v>453.59999999999877</v>
      </c>
      <c r="AI180" s="1">
        <f t="shared" si="62"/>
        <v>2.5483146067415663</v>
      </c>
      <c r="AJ180" s="20">
        <f>+(W180*Forudsætninger!$C$12)</f>
        <v>900</v>
      </c>
      <c r="AK180" s="20">
        <f>Forudsætninger!$C$17</f>
        <v>250</v>
      </c>
      <c r="AL180" s="20">
        <f>IF(A180&lt;92,Forudsætninger!$C$20,Forudsætninger!$C$21)</f>
        <v>1.0566762728146013</v>
      </c>
      <c r="AM180" s="20">
        <f t="shared" si="71"/>
        <v>456.59385941429014</v>
      </c>
      <c r="AN180" s="19">
        <f>IFERROR(AD180+AJ180-AA180-Z180-AK180-AM180-Forudsætninger!$E$75,-999999)</f>
        <v>372.45686762530556</v>
      </c>
      <c r="AO180" s="19">
        <f>IFERROR(AN180/(A180+Forudsætninger!$E$74),-999999)</f>
        <v>2.0924543125017165</v>
      </c>
      <c r="AP180" s="19">
        <f>IFERROR(((365/(A180+Forudsætninger!$E$74))*AN180)/(AI180+Forudsætninger!$E$73),-999999)</f>
        <v>287.30452826247279</v>
      </c>
      <c r="AQ180" s="18">
        <f t="shared" si="63"/>
        <v>178</v>
      </c>
      <c r="AR180" s="18">
        <f t="shared" si="75"/>
        <v>4871.9926791824728</v>
      </c>
      <c r="AS180" s="18">
        <f t="shared" si="55"/>
        <v>7</v>
      </c>
      <c r="AT180" s="50">
        <f t="shared" si="76"/>
        <v>4.793488243686852</v>
      </c>
      <c r="AU180" s="50">
        <f t="shared" si="77"/>
        <v>1.526007870726076E-2</v>
      </c>
      <c r="AV180" s="2">
        <f t="shared" si="78"/>
        <v>1.6997152837953422</v>
      </c>
      <c r="AW180" s="16">
        <f t="shared" si="72"/>
        <v>4.657588354155032</v>
      </c>
      <c r="AZ180" s="16"/>
      <c r="BA180" s="2"/>
    </row>
    <row r="181" spans="1:53" x14ac:dyDescent="0.25">
      <c r="A181">
        <v>179</v>
      </c>
      <c r="B181" s="1">
        <f>ROUND((A181+Forudsætninger!$E$60)/30.4,1)</f>
        <v>7.1</v>
      </c>
      <c r="C181" s="1">
        <f>VLOOKUP((A181+Forudsætninger!$E$60),'Model tilvækst, slagteform, fe'!A:D,4,FALSE)</f>
        <v>313.82671049565744</v>
      </c>
      <c r="D181" s="3">
        <f t="shared" si="79"/>
        <v>1497.4683248648262</v>
      </c>
      <c r="E181" s="3">
        <f>(1+Forudsætninger!$E$78)*C181</f>
        <v>288.72057365600483</v>
      </c>
      <c r="F181" s="2">
        <f t="shared" si="82"/>
        <v>0</v>
      </c>
      <c r="G181" s="1">
        <f t="shared" si="56"/>
        <v>288.72057365600483</v>
      </c>
      <c r="H181" s="3">
        <f t="shared" si="64"/>
        <v>1377.6708588756037</v>
      </c>
      <c r="I181" s="3">
        <f t="shared" si="57"/>
        <v>1233.0758304804738</v>
      </c>
      <c r="J181" s="1">
        <f>VLOOKUP((A181+Forudsætninger!$E$60),'Model tilvækst, slagteform, fe'!G:K,4,FALSE)*(1+Forudsætninger!$E$79)</f>
        <v>52.280916040763714</v>
      </c>
      <c r="K181" s="17">
        <f t="shared" si="58"/>
        <v>150.94576070550724</v>
      </c>
      <c r="L181" s="17">
        <f t="shared" si="65"/>
        <v>780.77565909040914</v>
      </c>
      <c r="M181" s="3">
        <f>((K181-(('Model tilvækst, slagteform, fe'!$J$9/100)*'Model tilvækst, slagteform, fe'!$D$9))*1000/(A181+Forudsætninger!$E$60))</f>
        <v>607.95977939843715</v>
      </c>
      <c r="N181" s="17">
        <f t="shared" si="66"/>
        <v>814.29340140184581</v>
      </c>
      <c r="O181" s="19">
        <f>IF( A181&lt;Forudsætninger!$C$14,(G181/100)*Forudsætninger!$C$13,(Forudsætninger!$C$15/1000)*Forudsætninger!$C$13)</f>
        <v>1.8766837287640314</v>
      </c>
      <c r="P181" s="17" cm="1">
        <f t="array" ref="P181">INDEX('Model tilvækst, slagteform, fe'!$P$9:$P$375,MATCH(MIN(ABS('Model tilvækst, slagteform, fe'!$M$9:$M$375-G181)),ABS('Model tilvækst, slagteform, fe'!$M$9:$M$375-G181),0))*(1+Forudsætninger!$E$80)</f>
        <v>6.9504807568467095</v>
      </c>
      <c r="Q181" s="17">
        <f t="shared" si="67"/>
        <v>8.9020202870359793</v>
      </c>
      <c r="R181" s="17">
        <f t="shared" si="68"/>
        <v>6.9020148029393367</v>
      </c>
      <c r="S181" s="17">
        <f t="shared" si="69"/>
        <v>3.6892501134530851</v>
      </c>
      <c r="T181" s="19">
        <f>(P181)*IF(N181&lt;Forudsætninger!$B$228,IF(N181&lt;Forudsætninger!$B$227,Forudsætninger!$B$225,Forudsætninger!$C$9),Forudsætninger!$C$11)+O181</f>
        <v>18.140808699785332</v>
      </c>
      <c r="U181" s="5">
        <f>Forudsætninger!$E$68+((K181-(Forudsætninger!$E$84)))*0.01</f>
        <v>6.226021316626742</v>
      </c>
      <c r="V181" s="2">
        <f>U181+Forudsætninger!$E$69</f>
        <v>6.226021316626742</v>
      </c>
      <c r="W181">
        <f t="shared" si="59"/>
        <v>1</v>
      </c>
      <c r="X181">
        <f>IF(A181+Forudsætninger!$E$60&gt;248,IF(A181+Forudsætninger!$E$60&lt;365,IF(K181&gt;180,IF(K181&lt;260,1,0),0),0),0)</f>
        <v>0</v>
      </c>
      <c r="Y181" s="22">
        <f>IF(X181=0,0,IF('Vækstfunktion, kry kvie'!A181&lt;Forudsætninger!$E$66,Forudsætninger!$E$67+(('Vækstfunktion, kry kvie'!A181-Forudsætninger!$E$66)/7)*Forudsætninger!$E$64,Forudsætninger!$E$67))</f>
        <v>0</v>
      </c>
      <c r="Z181" s="19">
        <f t="shared" si="73"/>
        <v>2608.5396284679678</v>
      </c>
      <c r="AA181" s="19">
        <f>Forudsætninger!$E$62+Forudsætninger!$C$16</f>
        <v>1575</v>
      </c>
      <c r="AB181" s="19">
        <f>IF(K181&gt;Forudsætninger!$C$48,IF(K181&gt;Forudsætninger!$C$49,IF(K181&gt;Forudsætninger!$C$50,Forudsætninger!$E$50,Forudsætninger!$E$49+Forudsætninger!$F$50*(K181-Forudsætninger!$C$49)),Forudsætninger!$E$48+Forudsætninger!$F$49*(K181-Forudsætninger!$C$48)),Forudsætninger!$E$48)+IF(K181&gt;Forudsætninger!$C$50,Forudsætninger!$G$50,IF(K181&gt;Forudsætninger!$C$49,Forudsætninger!$G$49+Forudsætninger!$H$50*(K181-Forudsætninger!$C$49),IF(K181&gt;Forudsætninger!$C$48,Forudsætninger!$G$48+Forudsætninger!$H$49*(K181-Forudsætninger!$C$48),Forudsætninger!$G$48)))*(U181-Forudsætninger!$H$48)</f>
        <v>35.222602131662676</v>
      </c>
      <c r="AC181" s="19">
        <f>IF(K181&gt;Forudsætninger!$C$52,IF(K181&gt;Forudsætninger!$C$53,IF(K181&gt;Forudsætninger!$C$54,Forudsætninger!$E$54,Forudsætninger!$E$53+Forudsætninger!$F$54*(K181-Forudsætninger!$C$53)),Forudsætninger!$E$52+Forudsætninger!$F$53*(K181-Forudsætninger!$C$52)),Forudsætninger!$E$52)+IF(K181&gt;Forudsætninger!$C$54,Forudsætninger!$G$54,IF(K181&gt;Forudsætninger!$C$53,Forudsætninger!$G$53+Forudsætninger!$H$54*(K181-Forudsætninger!$C$53),IF(K181&gt;Forudsætninger!$C$52,Forudsætninger!$G$52+Forudsætninger!$H$53*(K181-Forudsætninger!$C$52),Forudsætninger!$G$52)))*(V181-Forudsætninger!$H$52)</f>
        <v>30.206505329156684</v>
      </c>
      <c r="AD181" s="19">
        <f t="shared" si="60"/>
        <v>4559.5439251645139</v>
      </c>
      <c r="AE181" s="19">
        <f t="shared" si="61"/>
        <v>30.206505329156684</v>
      </c>
      <c r="AF181">
        <f>IF(G181&lt;=Forudsætninger!$C$97,Forudsætninger!$C$98,(IF(G181&lt;=Forudsætninger!$D$97,Forudsætninger!$D$98,IF(G181&lt;=Forudsætninger!$E$97,Forudsætninger!$E$98,IF(G181&lt;=Forudsætninger!$F$97,Forudsætninger!$F$98,IF(G181&lt;=Forudsætninger!$G$97,Forudsætninger!$G$98,IF(G181&lt;=Forudsætninger!$H$97,Forudsætninger!$H$98,IF(G181&lt;=Forudsætninger!$I$97,Forudsætninger!$I$98,Forudsætninger!$I$98))))))))</f>
        <v>3.2</v>
      </c>
      <c r="AG181" s="1">
        <f t="shared" si="70"/>
        <v>3.2</v>
      </c>
      <c r="AH181" s="1">
        <f t="shared" si="74"/>
        <v>456.79999999999876</v>
      </c>
      <c r="AI181" s="1">
        <f t="shared" si="62"/>
        <v>2.5519553072625629</v>
      </c>
      <c r="AJ181" s="20">
        <f>+(W181*Forudsætninger!$C$12)</f>
        <v>900</v>
      </c>
      <c r="AK181" s="20">
        <f>Forudsætninger!$C$17</f>
        <v>250</v>
      </c>
      <c r="AL181" s="20">
        <f>IF(A181&lt;92,Forudsætninger!$C$20,Forudsætninger!$C$21)</f>
        <v>1.0566762728146013</v>
      </c>
      <c r="AM181" s="20">
        <f t="shared" si="71"/>
        <v>457.65053568710476</v>
      </c>
      <c r="AN181" s="19">
        <f>IFERROR(AD181+AJ181-AA181-Z181-AK181-AM181-Forudsætninger!$E$75,-999999)</f>
        <v>377.13699967282548</v>
      </c>
      <c r="AO181" s="19">
        <f>IFERROR(AN181/(A181+Forudsætninger!$E$74),-999999)</f>
        <v>2.1069106126973489</v>
      </c>
      <c r="AP181" s="19">
        <f>IFERROR(((365/(A181+Forudsætninger!$E$74))*AN181)/(AI181+Forudsætninger!$E$73),-999999)</f>
        <v>288.89379605150509</v>
      </c>
      <c r="AQ181" s="18">
        <f t="shared" si="63"/>
        <v>179</v>
      </c>
      <c r="AR181" s="18">
        <f t="shared" si="75"/>
        <v>4891.190164155073</v>
      </c>
      <c r="AS181" s="18">
        <f t="shared" si="55"/>
        <v>7.1</v>
      </c>
      <c r="AT181" s="50">
        <f t="shared" si="76"/>
        <v>4.6801320475199191</v>
      </c>
      <c r="AU181" s="50">
        <f t="shared" si="77"/>
        <v>1.4456300195632377E-2</v>
      </c>
      <c r="AV181" s="2">
        <f t="shared" si="78"/>
        <v>1.5892677890323057</v>
      </c>
      <c r="AW181" s="16">
        <f t="shared" si="72"/>
        <v>4.6636175159772639</v>
      </c>
      <c r="AZ181" s="16"/>
      <c r="BA181" s="2"/>
    </row>
    <row r="182" spans="1:53" x14ac:dyDescent="0.25">
      <c r="A182">
        <v>180</v>
      </c>
      <c r="B182" s="1">
        <f>ROUND((A182+Forudsætninger!$E$60)/30.4,1)</f>
        <v>7.1</v>
      </c>
      <c r="C182" s="1">
        <f>VLOOKUP((A182+Forudsætninger!$E$60),'Model tilvækst, slagteform, fe'!A:D,4,FALSE)</f>
        <v>315.32099474626057</v>
      </c>
      <c r="D182" s="3">
        <f t="shared" si="79"/>
        <v>1494.2842506031297</v>
      </c>
      <c r="E182" s="3">
        <f>(1+Forudsætninger!$E$78)*C182</f>
        <v>290.09531516655971</v>
      </c>
      <c r="F182" s="2">
        <f t="shared" si="82"/>
        <v>0</v>
      </c>
      <c r="G182" s="1">
        <f t="shared" si="56"/>
        <v>290.09531516655971</v>
      </c>
      <c r="H182" s="3">
        <f t="shared" si="64"/>
        <v>1374.7415105548839</v>
      </c>
      <c r="I182" s="3">
        <f t="shared" si="57"/>
        <v>1233.8628620364429</v>
      </c>
      <c r="J182" s="1">
        <f>VLOOKUP((A182+Forudsætninger!$E$60),'Model tilvækst, slagteform, fe'!G:K,4,FALSE)*(1+Forudsætninger!$E$79)</f>
        <v>52.301881363555289</v>
      </c>
      <c r="K182" s="17">
        <f t="shared" si="58"/>
        <v>151.72530757964589</v>
      </c>
      <c r="L182" s="17">
        <f t="shared" si="65"/>
        <v>779.54687413864576</v>
      </c>
      <c r="M182" s="3">
        <f>((K182-(('Model tilvækst, slagteform, fe'!$J$9/100)*'Model tilvækst, slagteform, fe'!$D$9))*1000/(A182+Forudsætninger!$E$60))</f>
        <v>608.7541640963085</v>
      </c>
      <c r="N182" s="17">
        <f t="shared" si="66"/>
        <v>821.25878517085664</v>
      </c>
      <c r="O182" s="19">
        <f>IF( A182&lt;Forudsætninger!$C$14,(G182/100)*Forudsætninger!$C$13,(Forudsætninger!$C$15/1000)*Forudsætninger!$C$13)</f>
        <v>1.8856195485826384</v>
      </c>
      <c r="P182" s="17" cm="1">
        <f t="array" ref="P182">INDEX('Model tilvækst, slagteform, fe'!$P$9:$P$375,MATCH(MIN(ABS('Model tilvækst, slagteform, fe'!$M$9:$M$375-G182)),ABS('Model tilvækst, slagteform, fe'!$M$9:$M$375-G182),0))*(1+Forudsætninger!$E$80)</f>
        <v>6.9653837690108027</v>
      </c>
      <c r="Q182" s="17">
        <f t="shared" si="67"/>
        <v>8.9351699045771298</v>
      </c>
      <c r="R182" s="17">
        <f t="shared" si="68"/>
        <v>6.915360693332337</v>
      </c>
      <c r="S182" s="17">
        <f t="shared" si="69"/>
        <v>3.6977762658116227</v>
      </c>
      <c r="T182" s="19">
        <f>(P182)*IF(N182&lt;Forudsætninger!$B$228,IF(N182&lt;Forudsætninger!$B$227,Forudsætninger!$B$225,Forudsætninger!$C$9),Forudsætninger!$C$11)+O182</f>
        <v>18.184617568067917</v>
      </c>
      <c r="U182" s="5">
        <f>Forudsætninger!$E$68+((K182-(Forudsætninger!$E$84)))*0.01</f>
        <v>6.2338167853681279</v>
      </c>
      <c r="V182" s="2">
        <f>U182+Forudsætninger!$E$69</f>
        <v>6.2338167853681279</v>
      </c>
      <c r="W182">
        <f t="shared" si="59"/>
        <v>1</v>
      </c>
      <c r="X182">
        <f>IF(A182+Forudsætninger!$E$60&gt;248,IF(A182+Forudsætninger!$E$60&lt;365,IF(K182&gt;180,IF(K182&lt;260,1,0),0),0),0)</f>
        <v>0</v>
      </c>
      <c r="Y182" s="22">
        <f>IF(X182=0,0,IF('Vækstfunktion, kry kvie'!A182&lt;Forudsætninger!$E$66,Forudsætninger!$E$67+(('Vækstfunktion, kry kvie'!A182-Forudsætninger!$E$66)/7)*Forudsætninger!$E$64,Forudsætninger!$E$67))</f>
        <v>0</v>
      </c>
      <c r="Z182" s="19">
        <f t="shared" si="73"/>
        <v>2626.7242460360358</v>
      </c>
      <c r="AA182" s="19">
        <f>Forudsætninger!$E$62+Forudsætninger!$C$16</f>
        <v>1575</v>
      </c>
      <c r="AB182" s="19">
        <f>IF(K182&gt;Forudsætninger!$C$48,IF(K182&gt;Forudsætninger!$C$49,IF(K182&gt;Forudsætninger!$C$50,Forudsætninger!$E$50,Forudsætninger!$E$49+Forudsætninger!$F$50*(K182-Forudsætninger!$C$49)),Forudsætninger!$E$48+Forudsætninger!$F$49*(K182-Forudsætninger!$C$48)),Forudsætninger!$E$48)+IF(K182&gt;Forudsætninger!$C$50,Forudsætninger!$G$50,IF(K182&gt;Forudsætninger!$C$49,Forudsætninger!$G$49+Forudsætninger!$H$50*(K182-Forudsætninger!$C$49),IF(K182&gt;Forudsætninger!$C$48,Forudsætninger!$G$48+Forudsætninger!$H$49*(K182-Forudsætninger!$C$48),Forudsætninger!$G$48)))*(U182-Forudsætninger!$H$48)</f>
        <v>35.223381678536811</v>
      </c>
      <c r="AC182" s="19">
        <f>IF(K182&gt;Forudsætninger!$C$52,IF(K182&gt;Forudsætninger!$C$53,IF(K182&gt;Forudsætninger!$C$54,Forudsætninger!$E$54,Forudsætninger!$E$53+Forudsætninger!$F$54*(K182-Forudsætninger!$C$53)),Forudsætninger!$E$52+Forudsætninger!$F$53*(K182-Forudsætninger!$C$52)),Forudsætninger!$E$52)+IF(K182&gt;Forudsætninger!$C$54,Forudsætninger!$G$54,IF(K182&gt;Forudsætninger!$C$53,Forudsætninger!$G$53+Forudsætninger!$H$54*(K182-Forudsætninger!$C$53),IF(K182&gt;Forudsætninger!$C$52,Forudsætninger!$G$52+Forudsætninger!$H$53*(K182-Forudsætninger!$C$52),Forudsætninger!$G$52)))*(V182-Forudsætninger!$H$52)</f>
        <v>30.208454196342032</v>
      </c>
      <c r="AD182" s="19">
        <f t="shared" si="60"/>
        <v>4583.3870044456389</v>
      </c>
      <c r="AE182" s="19">
        <f t="shared" si="61"/>
        <v>30.208454196342029</v>
      </c>
      <c r="AF182">
        <f>IF(G182&lt;=Forudsætninger!$C$97,Forudsætninger!$C$98,(IF(G182&lt;=Forudsætninger!$D$97,Forudsætninger!$D$98,IF(G182&lt;=Forudsætninger!$E$97,Forudsætninger!$E$98,IF(G182&lt;=Forudsætninger!$F$97,Forudsætninger!$F$98,IF(G182&lt;=Forudsætninger!$G$97,Forudsætninger!$G$98,IF(G182&lt;=Forudsætninger!$H$97,Forudsætninger!$H$98,IF(G182&lt;=Forudsætninger!$I$97,Forudsætninger!$I$98,Forudsætninger!$I$98))))))))</f>
        <v>3.2</v>
      </c>
      <c r="AG182" s="1">
        <f t="shared" si="70"/>
        <v>3.2</v>
      </c>
      <c r="AH182" s="1">
        <f t="shared" si="74"/>
        <v>459.99999999999875</v>
      </c>
      <c r="AI182" s="1">
        <f t="shared" si="62"/>
        <v>2.5555555555555487</v>
      </c>
      <c r="AJ182" s="20">
        <f>+(W182*Forudsætninger!$C$12)</f>
        <v>900</v>
      </c>
      <c r="AK182" s="20">
        <f>Forudsætninger!$C$17</f>
        <v>250</v>
      </c>
      <c r="AL182" s="20">
        <f>IF(A182&lt;92,Forudsætninger!$C$20,Forudsætninger!$C$21)</f>
        <v>1.0566762728146013</v>
      </c>
      <c r="AM182" s="20">
        <f t="shared" si="71"/>
        <v>458.70721195991939</v>
      </c>
      <c r="AN182" s="19">
        <f>IFERROR(AD182+AJ182-AA182-Z182-AK182-AM182-Forudsætninger!$E$75,-999999)</f>
        <v>381.73878511306793</v>
      </c>
      <c r="AO182" s="19">
        <f>IFERROR(AN182/(A182+Forudsætninger!$E$74),-999999)</f>
        <v>2.1207710284059331</v>
      </c>
      <c r="AP182" s="19">
        <f>IFERROR(((365/(A182+Forudsætninger!$E$74))*AN182)/(AI182+Forudsætninger!$E$73),-999999)</f>
        <v>290.40153515270976</v>
      </c>
      <c r="AQ182" s="18">
        <f t="shared" si="63"/>
        <v>180</v>
      </c>
      <c r="AR182" s="18">
        <f t="shared" si="75"/>
        <v>4910.4314579959555</v>
      </c>
      <c r="AS182" s="18">
        <f t="shared" si="55"/>
        <v>7.1</v>
      </c>
      <c r="AT182" s="50">
        <f t="shared" si="76"/>
        <v>4.6017854402424518</v>
      </c>
      <c r="AU182" s="50">
        <f t="shared" si="77"/>
        <v>1.3860415708584206E-2</v>
      </c>
      <c r="AV182" s="2">
        <f t="shared" si="78"/>
        <v>1.5077391012046633</v>
      </c>
      <c r="AW182" s="16">
        <f t="shared" si="72"/>
        <v>4.6691444281832633</v>
      </c>
      <c r="AZ182" s="16"/>
      <c r="BA182" s="2"/>
    </row>
    <row r="183" spans="1:53" x14ac:dyDescent="0.25">
      <c r="A183">
        <v>181</v>
      </c>
      <c r="B183" s="1">
        <f>ROUND((A183+Forudsætninger!$E$60)/30.4,1)</f>
        <v>7.1</v>
      </c>
      <c r="C183" s="1">
        <f>VLOOKUP((A183+Forudsætninger!$E$60),'Model tilvækst, slagteform, fe'!A:D,4,FALSE)</f>
        <v>316.81205097204457</v>
      </c>
      <c r="D183" s="3">
        <f t="shared" si="79"/>
        <v>1491.056225784007</v>
      </c>
      <c r="E183" s="3">
        <f>(1+Forudsætninger!$E$78)*C183</f>
        <v>291.46708689428101</v>
      </c>
      <c r="F183" s="2">
        <f t="shared" si="82"/>
        <v>0</v>
      </c>
      <c r="G183" s="1">
        <f t="shared" si="56"/>
        <v>291.46708689428101</v>
      </c>
      <c r="H183" s="3">
        <f t="shared" si="64"/>
        <v>1371.7717277212955</v>
      </c>
      <c r="I183" s="3">
        <f t="shared" si="57"/>
        <v>1234.6247894711657</v>
      </c>
      <c r="J183" s="1">
        <f>VLOOKUP((A183+Forudsætninger!$E$60),'Model tilvækst, slagteform, fe'!G:K,4,FALSE)*(1+Forudsætninger!$E$79)</f>
        <v>52.322746739527936</v>
      </c>
      <c r="K183" s="17">
        <f t="shared" si="58"/>
        <v>152.50358570477448</v>
      </c>
      <c r="L183" s="17">
        <f t="shared" si="65"/>
        <v>778.27812512859396</v>
      </c>
      <c r="M183" s="3">
        <f>((K183-(('Model tilvækst, slagteform, fe'!$J$9/100)*'Model tilvækst, slagteform, fe'!$D$9))*1000/(A183+Forudsætninger!$E$60))</f>
        <v>609.53538050659552</v>
      </c>
      <c r="N183" s="17">
        <f t="shared" si="66"/>
        <v>828.2388754374773</v>
      </c>
      <c r="O183" s="19">
        <f>IF( A183&lt;Forudsætninger!$C$14,(G183/100)*Forudsætninger!$C$13,(Forudsætninger!$C$15/1000)*Forudsætninger!$C$13)</f>
        <v>1.8945360648128267</v>
      </c>
      <c r="P183" s="17" cm="1">
        <f t="array" ref="P183">INDEX('Model tilvækst, slagteform, fe'!$P$9:$P$375,MATCH(MIN(ABS('Model tilvækst, slagteform, fe'!$M$9:$M$375-G183)),ABS('Model tilvækst, slagteform, fe'!$M$9:$M$375-G183),0))*(1+Forudsætninger!$E$80)</f>
        <v>6.9800902666206186</v>
      </c>
      <c r="Q183" s="17">
        <f t="shared" si="67"/>
        <v>8.968632216750672</v>
      </c>
      <c r="R183" s="17">
        <f t="shared" si="68"/>
        <v>6.9287290855025576</v>
      </c>
      <c r="S183" s="17">
        <f t="shared" si="69"/>
        <v>3.7063125802919914</v>
      </c>
      <c r="T183" s="19">
        <f>(P183)*IF(N183&lt;Forudsætninger!$B$228,IF(N183&lt;Forudsætninger!$B$227,Forudsætninger!$B$225,Forudsætninger!$C$9),Forudsætninger!$C$11)+O183</f>
        <v>18.227947288705071</v>
      </c>
      <c r="U183" s="5">
        <f>Forudsætninger!$E$68+((K183-(Forudsætninger!$E$84)))*0.01</f>
        <v>6.2415995666194135</v>
      </c>
      <c r="V183" s="2">
        <f>U183+Forudsætninger!$E$69</f>
        <v>6.2415995666194135</v>
      </c>
      <c r="W183">
        <f t="shared" si="59"/>
        <v>1</v>
      </c>
      <c r="X183">
        <f>IF(A183+Forudsætninger!$E$60&gt;248,IF(A183+Forudsætninger!$E$60&lt;365,IF(K183&gt;180,IF(K183&lt;260,1,0),0),0),0)</f>
        <v>0</v>
      </c>
      <c r="Y183" s="22">
        <f>IF(X183=0,0,IF('Vækstfunktion, kry kvie'!A183&lt;Forudsætninger!$E$66,Forudsætninger!$E$67+(('Vækstfunktion, kry kvie'!A183-Forudsætninger!$E$66)/7)*Forudsætninger!$E$64,Forudsætninger!$E$67))</f>
        <v>0</v>
      </c>
      <c r="Z183" s="19">
        <f t="shared" si="73"/>
        <v>2644.9521933247406</v>
      </c>
      <c r="AA183" s="19">
        <f>Forudsætninger!$E$62+Forudsætninger!$C$16</f>
        <v>1575</v>
      </c>
      <c r="AB183" s="19">
        <f>IF(K183&gt;Forudsætninger!$C$48,IF(K183&gt;Forudsætninger!$C$49,IF(K183&gt;Forudsætninger!$C$50,Forudsætninger!$E$50,Forudsætninger!$E$49+Forudsætninger!$F$50*(K183-Forudsætninger!$C$49)),Forudsætninger!$E$48+Forudsætninger!$F$49*(K183-Forudsætninger!$C$48)),Forudsætninger!$E$48)+IF(K183&gt;Forudsætninger!$C$50,Forudsætninger!$G$50,IF(K183&gt;Forudsætninger!$C$49,Forudsætninger!$G$49+Forudsætninger!$H$50*(K183-Forudsætninger!$C$49),IF(K183&gt;Forudsætninger!$C$48,Forudsætninger!$G$48+Forudsætninger!$H$49*(K183-Forudsætninger!$C$48),Forudsætninger!$G$48)))*(U183-Forudsætninger!$H$48)</f>
        <v>35.224159956661943</v>
      </c>
      <c r="AC183" s="19">
        <f>IF(K183&gt;Forudsætninger!$C$52,IF(K183&gt;Forudsætninger!$C$53,IF(K183&gt;Forudsætninger!$C$54,Forudsætninger!$E$54,Forudsætninger!$E$53+Forudsætninger!$F$54*(K183-Forudsætninger!$C$53)),Forudsætninger!$E$52+Forudsætninger!$F$53*(K183-Forudsætninger!$C$52)),Forudsætninger!$E$52)+IF(K183&gt;Forudsætninger!$C$54,Forudsætninger!$G$54,IF(K183&gt;Forudsætninger!$C$53,Forudsætninger!$G$53+Forudsætninger!$H$54*(K183-Forudsætninger!$C$53),IF(K183&gt;Forudsætninger!$C$52,Forudsætninger!$G$52+Forudsætninger!$H$53*(K183-Forudsætninger!$C$52),Forudsætninger!$G$52)))*(V183-Forudsætninger!$H$52)</f>
        <v>30.210399891654852</v>
      </c>
      <c r="AD183" s="19">
        <f t="shared" si="60"/>
        <v>4607.1943090524956</v>
      </c>
      <c r="AE183" s="19">
        <f t="shared" si="61"/>
        <v>30.210399891654852</v>
      </c>
      <c r="AF183">
        <f>IF(G183&lt;=Forudsætninger!$C$97,Forudsætninger!$C$98,(IF(G183&lt;=Forudsætninger!$D$97,Forudsætninger!$D$98,IF(G183&lt;=Forudsætninger!$E$97,Forudsætninger!$E$98,IF(G183&lt;=Forudsætninger!$F$97,Forudsætninger!$F$98,IF(G183&lt;=Forudsætninger!$G$97,Forudsætninger!$G$98,IF(G183&lt;=Forudsætninger!$H$97,Forudsætninger!$H$98,IF(G183&lt;=Forudsætninger!$I$97,Forudsætninger!$I$98,Forudsætninger!$I$98))))))))</f>
        <v>3.2</v>
      </c>
      <c r="AG183" s="1">
        <f t="shared" si="70"/>
        <v>3.2</v>
      </c>
      <c r="AH183" s="1">
        <f t="shared" si="74"/>
        <v>463.19999999999874</v>
      </c>
      <c r="AI183" s="1">
        <f t="shared" si="62"/>
        <v>2.5591160220994404</v>
      </c>
      <c r="AJ183" s="20">
        <f>+(W183*Forudsætninger!$C$12)</f>
        <v>900</v>
      </c>
      <c r="AK183" s="20">
        <f>Forudsætninger!$C$17</f>
        <v>250</v>
      </c>
      <c r="AL183" s="20">
        <f>IF(A183&lt;92,Forudsætninger!$C$20,Forudsætninger!$C$21)</f>
        <v>1.0566762728146013</v>
      </c>
      <c r="AM183" s="20">
        <f t="shared" si="71"/>
        <v>459.76388823273402</v>
      </c>
      <c r="AN183" s="19">
        <f>IFERROR(AD183+AJ183-AA183-Z183-AK183-AM183-Forudsætninger!$E$75,-999999)</f>
        <v>386.26146615840514</v>
      </c>
      <c r="AO183" s="19">
        <f>IFERROR(AN183/(A183+Forudsætninger!$E$74),-999999)</f>
        <v>2.1340412494939511</v>
      </c>
      <c r="AP183" s="19">
        <f>IFERROR(((365/(A183+Forudsætninger!$E$74))*AN183)/(AI183+Forudsætninger!$E$73),-999999)</f>
        <v>291.82884880838373</v>
      </c>
      <c r="AQ183" s="18">
        <f t="shared" si="63"/>
        <v>181</v>
      </c>
      <c r="AR183" s="18">
        <f t="shared" si="75"/>
        <v>4929.7160815574744</v>
      </c>
      <c r="AS183" s="18">
        <f t="shared" si="55"/>
        <v>7.1</v>
      </c>
      <c r="AT183" s="50">
        <f t="shared" si="76"/>
        <v>4.5226810453372082</v>
      </c>
      <c r="AU183" s="50">
        <f t="shared" si="77"/>
        <v>1.3270221088018008E-2</v>
      </c>
      <c r="AV183" s="2">
        <f t="shared" si="78"/>
        <v>1.4273136556739701</v>
      </c>
      <c r="AW183" s="16">
        <f t="shared" si="72"/>
        <v>4.6741732286803268</v>
      </c>
      <c r="AZ183" s="16"/>
      <c r="BA183" s="2"/>
    </row>
    <row r="184" spans="1:53" x14ac:dyDescent="0.25">
      <c r="A184">
        <v>182</v>
      </c>
      <c r="B184" s="1">
        <f>ROUND((A184+Forudsætninger!$E$60)/30.4,1)</f>
        <v>7.2</v>
      </c>
      <c r="C184" s="1">
        <f>VLOOKUP((A184+Forudsætninger!$E$60),'Model tilvækst, slagteform, fe'!A:D,4,FALSE)</f>
        <v>318.29983580747307</v>
      </c>
      <c r="D184" s="3">
        <f t="shared" si="79"/>
        <v>1487.7848354284993</v>
      </c>
      <c r="E184" s="3">
        <f>(1+Forudsætninger!$E$78)*C184</f>
        <v>292.83584894287526</v>
      </c>
      <c r="F184" s="2">
        <f t="shared" si="82"/>
        <v>0</v>
      </c>
      <c r="G184" s="1">
        <f t="shared" si="56"/>
        <v>292.83584894287526</v>
      </c>
      <c r="H184" s="3">
        <f t="shared" si="64"/>
        <v>1368.7620485942489</v>
      </c>
      <c r="I184" s="3">
        <f t="shared" si="57"/>
        <v>1235.3618073784355</v>
      </c>
      <c r="J184" s="1">
        <f>VLOOKUP((A184+Forudsætninger!$E$60),'Model tilvækst, slagteform, fe'!G:K,4,FALSE)*(1+Forudsætninger!$E$79)</f>
        <v>52.343507699061178</v>
      </c>
      <c r="K184" s="17">
        <f t="shared" si="58"/>
        <v>153.28055513702506</v>
      </c>
      <c r="L184" s="17">
        <f t="shared" si="65"/>
        <v>776.96943225058135</v>
      </c>
      <c r="M184" s="3">
        <f>((K184-(('Model tilvækst, slagteform, fe'!$J$9/100)*'Model tilvækst, slagteform, fe'!$D$9))*1000/(A184+Forudsætninger!$E$60))</f>
        <v>610.30342661551299</v>
      </c>
      <c r="N184" s="17">
        <f t="shared" si="66"/>
        <v>835.23347300013836</v>
      </c>
      <c r="O184" s="19">
        <f>IF( A184&lt;Forudsætninger!$C$14,(G184/100)*Forudsætninger!$C$13,(Forudsætninger!$C$15/1000)*Forudsætninger!$C$13)</f>
        <v>1.9034330181286891</v>
      </c>
      <c r="P184" s="17" cm="1">
        <f t="array" ref="P184">INDEX('Model tilvækst, slagteform, fe'!$P$9:$P$375,MATCH(MIN(ABS('Model tilvækst, slagteform, fe'!$M$9:$M$375-G184)),ABS('Model tilvækst, slagteform, fe'!$M$9:$M$375-G184),0))*(1+Forudsætninger!$E$80)</f>
        <v>6.9945975626611068</v>
      </c>
      <c r="Q184" s="17">
        <f t="shared" si="67"/>
        <v>9.0024102266165738</v>
      </c>
      <c r="R184" s="17">
        <f t="shared" si="68"/>
        <v>6.9421206147801353</v>
      </c>
      <c r="S184" s="17">
        <f t="shared" si="69"/>
        <v>3.7148589823518257</v>
      </c>
      <c r="T184" s="19">
        <f>(P184)*IF(N184&lt;Forudsætninger!$B$228,IF(N184&lt;Forudsætninger!$B$227,Forudsætninger!$B$225,Forudsætninger!$C$9),Forudsætninger!$C$11)+O184</f>
        <v>18.270791314755677</v>
      </c>
      <c r="U184" s="5">
        <f>Forudsætninger!$E$68+((K184-(Forudsætninger!$E$84)))*0.01</f>
        <v>6.2493692609419202</v>
      </c>
      <c r="V184" s="2">
        <f>U184+Forudsætninger!$E$69</f>
        <v>6.2493692609419202</v>
      </c>
      <c r="W184">
        <f t="shared" si="59"/>
        <v>1</v>
      </c>
      <c r="X184">
        <f>IF(A184+Forudsætninger!$E$60&gt;248,IF(A184+Forudsætninger!$E$60&lt;365,IF(K184&gt;180,IF(K184&lt;260,1,0),0),0),0)</f>
        <v>0</v>
      </c>
      <c r="Y184" s="22">
        <f>IF(X184=0,0,IF('Vækstfunktion, kry kvie'!A184&lt;Forudsætninger!$E$66,Forudsætninger!$E$67+(('Vækstfunktion, kry kvie'!A184-Forudsætninger!$E$66)/7)*Forudsætninger!$E$64,Forudsætninger!$E$67))</f>
        <v>0</v>
      </c>
      <c r="Z184" s="19">
        <f>Z183+T184</f>
        <v>2663.2229846394962</v>
      </c>
      <c r="AA184" s="19">
        <f>Forudsætninger!$E$62+Forudsætninger!$C$16</f>
        <v>1575</v>
      </c>
      <c r="AB184" s="19">
        <f>IF(K184&gt;Forudsætninger!$C$48,IF(K184&gt;Forudsætninger!$C$49,IF(K184&gt;Forudsætninger!$C$50,Forudsætninger!$E$50,Forudsætninger!$E$49+Forudsætninger!$F$50*(K184-Forudsætninger!$C$49)),Forudsætninger!$E$48+Forudsætninger!$F$49*(K184-Forudsætninger!$C$48)),Forudsætninger!$E$48)+IF(K184&gt;Forudsætninger!$C$50,Forudsætninger!$G$50,IF(K184&gt;Forudsætninger!$C$49,Forudsætninger!$G$49+Forudsætninger!$H$50*(K184-Forudsætninger!$C$49),IF(K184&gt;Forudsætninger!$C$48,Forudsætninger!$G$48+Forudsætninger!$H$49*(K184-Forudsætninger!$C$48),Forudsætninger!$G$48)))*(U184-Forudsætninger!$H$48)</f>
        <v>35.224936926094195</v>
      </c>
      <c r="AC184" s="19">
        <f>IF(K184&gt;Forudsætninger!$C$52,IF(K184&gt;Forudsætninger!$C$53,IF(K184&gt;Forudsætninger!$C$54,Forudsætninger!$E$54,Forudsætninger!$E$53+Forudsætninger!$F$54*(K184-Forudsætninger!$C$53)),Forudsætninger!$E$52+Forudsætninger!$F$53*(K184-Forudsætninger!$C$52)),Forudsætninger!$E$52)+IF(K184&gt;Forudsætninger!$C$54,Forudsætninger!$G$54,IF(K184&gt;Forudsætninger!$C$53,Forudsætninger!$G$53+Forudsætninger!$H$54*(K184-Forudsætninger!$C$53),IF(K184&gt;Forudsætninger!$C$52,Forudsætninger!$G$52+Forudsætninger!$H$53*(K184-Forudsætninger!$C$52),Forudsætninger!$G$52)))*(V184-Forudsætninger!$H$52)</f>
        <v>30.212342315235478</v>
      </c>
      <c r="AD184" s="19">
        <f t="shared" si="60"/>
        <v>4630.9646020691271</v>
      </c>
      <c r="AE184" s="19">
        <f t="shared" si="61"/>
        <v>30.212342315235478</v>
      </c>
      <c r="AF184">
        <f>IF(G184&lt;=Forudsætninger!$C$97,Forudsætninger!$C$98,(IF(G184&lt;=Forudsætninger!$D$97,Forudsætninger!$D$98,IF(G184&lt;=Forudsætninger!$E$97,Forudsætninger!$E$98,IF(G184&lt;=Forudsætninger!$F$97,Forudsætninger!$F$98,IF(G184&lt;=Forudsætninger!$G$97,Forudsætninger!$G$98,IF(G184&lt;=Forudsætninger!$H$97,Forudsætninger!$H$98,IF(G184&lt;=Forudsætninger!$I$97,Forudsætninger!$I$98,Forudsætninger!$I$98))))))))</f>
        <v>3.2</v>
      </c>
      <c r="AG184" s="1">
        <f t="shared" si="70"/>
        <v>3.2</v>
      </c>
      <c r="AH184" s="1">
        <f t="shared" si="74"/>
        <v>466.39999999999873</v>
      </c>
      <c r="AI184" s="1">
        <f t="shared" si="62"/>
        <v>2.5626373626373558</v>
      </c>
      <c r="AJ184" s="20">
        <f>+(W184*Forudsætninger!$C$12)</f>
        <v>900</v>
      </c>
      <c r="AK184" s="20">
        <f>Forudsætninger!$C$17</f>
        <v>250</v>
      </c>
      <c r="AL184" s="20">
        <f>IF(A184&lt;92,Forudsætninger!$C$20,Forudsætninger!$C$21)</f>
        <v>1.0566762728146013</v>
      </c>
      <c r="AM184" s="20">
        <f t="shared" si="71"/>
        <v>460.82056450554865</v>
      </c>
      <c r="AN184" s="19">
        <f>IFERROR(AD184+AJ184-AA184-Z184-AK184-AM184-Forudsætninger!$E$75,-999999)</f>
        <v>390.7042915874664</v>
      </c>
      <c r="AO184" s="19">
        <f>IFERROR(AN184/(A184+Forudsætninger!$E$74),-999999)</f>
        <v>2.1467268768542112</v>
      </c>
      <c r="AP184" s="19">
        <f>IFERROR(((365/(A184+Forudsætninger!$E$74))*AN184)/(AI184+Forudsætninger!$E$73),-999999)</f>
        <v>293.17681515855764</v>
      </c>
      <c r="AQ184" s="18">
        <f t="shared" si="63"/>
        <v>182</v>
      </c>
      <c r="AR184" s="18">
        <f t="shared" si="75"/>
        <v>4949.0435491450453</v>
      </c>
      <c r="AS184" s="18">
        <f t="shared" si="55"/>
        <v>7.2</v>
      </c>
      <c r="AT184" s="50">
        <f t="shared" si="76"/>
        <v>4.4428254290612585</v>
      </c>
      <c r="AU184" s="50">
        <f t="shared" si="77"/>
        <v>1.2685627360260021E-2</v>
      </c>
      <c r="AV184" s="2">
        <f t="shared" si="78"/>
        <v>1.3479663501739196</v>
      </c>
      <c r="AW184" s="16">
        <f t="shared" si="72"/>
        <v>4.6787080005110715</v>
      </c>
      <c r="AZ184" s="16"/>
      <c r="BA184" s="2"/>
    </row>
    <row r="185" spans="1:53" x14ac:dyDescent="0.25">
      <c r="A185">
        <v>183</v>
      </c>
      <c r="B185" s="1">
        <f>ROUND((A185+Forudsætninger!$E$60)/30.4,1)</f>
        <v>7.2</v>
      </c>
      <c r="C185" s="1">
        <f>VLOOKUP((A185+Forudsætninger!$E$60),'Model tilvækst, slagteform, fe'!A:D,4,FALSE)</f>
        <v>319.78430647202998</v>
      </c>
      <c r="D185" s="3">
        <f t="shared" si="79"/>
        <v>1484.470664556909</v>
      </c>
      <c r="E185" s="3">
        <f>(1+Forudsætninger!$E$78)*C185</f>
        <v>294.20156195426762</v>
      </c>
      <c r="F185" s="2">
        <f t="shared" si="82"/>
        <v>0</v>
      </c>
      <c r="G185" s="1">
        <f t="shared" si="56"/>
        <v>294.20156195426762</v>
      </c>
      <c r="H185" s="3">
        <f t="shared" si="64"/>
        <v>1365.7130113923586</v>
      </c>
      <c r="I185" s="3">
        <f t="shared" si="57"/>
        <v>1236.0741090397137</v>
      </c>
      <c r="J185" s="1">
        <f>VLOOKUP((A185+Forudsætninger!$E$60),'Model tilvækst, slagteform, fe'!G:K,4,FALSE)*(1+Forudsætninger!$E$79)</f>
        <v>52.364159772534542</v>
      </c>
      <c r="K185" s="17">
        <f t="shared" si="58"/>
        <v>154.05617595502491</v>
      </c>
      <c r="L185" s="17">
        <f t="shared" si="65"/>
        <v>775.62081799985094</v>
      </c>
      <c r="M185" s="3">
        <f>((K185-(('Model tilvækst, slagteform, fe'!$J$9/100)*'Model tilvækst, slagteform, fe'!$D$9))*1000/(A185+Forudsætninger!$E$60))</f>
        <v>611.05830054877481</v>
      </c>
      <c r="N185" s="17">
        <f t="shared" si="66"/>
        <v>842.24237597025558</v>
      </c>
      <c r="O185" s="19">
        <f>IF( A185&lt;Forudsætninger!$C$14,(G185/100)*Forudsætninger!$C$13,(Forudsætninger!$C$15/1000)*Forudsætninger!$C$13)</f>
        <v>1.9123101527027397</v>
      </c>
      <c r="P185" s="17" cm="1">
        <f t="array" ref="P185">INDEX('Model tilvækst, slagteform, fe'!$P$9:$P$375,MATCH(MIN(ABS('Model tilvækst, slagteform, fe'!$M$9:$M$375-G185)),ABS('Model tilvækst, slagteform, fe'!$M$9:$M$375-G185),0))*(1+Forudsætninger!$E$80)</f>
        <v>7.0089029701172283</v>
      </c>
      <c r="Q185" s="17">
        <f t="shared" si="67"/>
        <v>9.0365070243880119</v>
      </c>
      <c r="R185" s="17">
        <f t="shared" si="68"/>
        <v>6.9555358958480316</v>
      </c>
      <c r="S185" s="17">
        <f t="shared" si="69"/>
        <v>3.7234153853479413</v>
      </c>
      <c r="T185" s="19">
        <f>(P185)*IF(N185&lt;Forudsætninger!$B$228,IF(N185&lt;Forudsætninger!$B$227,Forudsætninger!$B$225,Forudsætninger!$C$9),Forudsætninger!$C$11)+O185</f>
        <v>18.313143102777055</v>
      </c>
      <c r="U185" s="5">
        <f>Forudsætninger!$E$68+((K185-(Forudsætninger!$E$84)))*0.01</f>
        <v>6.2571254691219185</v>
      </c>
      <c r="V185" s="2">
        <f>U185+Forudsætninger!$E$69</f>
        <v>6.2571254691219185</v>
      </c>
      <c r="W185">
        <f t="shared" si="59"/>
        <v>1</v>
      </c>
      <c r="X185">
        <f>IF(A185+Forudsætninger!$E$60&gt;248,IF(A185+Forudsætninger!$E$60&lt;365,IF(K185&gt;180,IF(K185&lt;260,1,0),0),0),0)</f>
        <v>0</v>
      </c>
      <c r="Y185" s="22">
        <f>IF(X185=0,0,IF('Vækstfunktion, kry kvie'!A185&lt;Forudsætninger!$E$66,Forudsætninger!$E$67+(('Vækstfunktion, kry kvie'!A185-Forudsætninger!$E$66)/7)*Forudsætninger!$E$64,Forudsætninger!$E$67))</f>
        <v>0</v>
      </c>
      <c r="Z185" s="19">
        <f t="shared" si="73"/>
        <v>2681.536127742273</v>
      </c>
      <c r="AA185" s="19">
        <f>Forudsætninger!$E$62+Forudsætninger!$C$16</f>
        <v>1575</v>
      </c>
      <c r="AB185" s="19">
        <f>IF(K185&gt;Forudsætninger!$C$48,IF(K185&gt;Forudsætninger!$C$49,IF(K185&gt;Forudsætninger!$C$50,Forudsætninger!$E$50,Forudsætninger!$E$49+Forudsætninger!$F$50*(K185-Forudsætninger!$C$49)),Forudsætninger!$E$48+Forudsætninger!$F$49*(K185-Forudsætninger!$C$48)),Forudsætninger!$E$48)+IF(K185&gt;Forudsætninger!$C$50,Forudsætninger!$G$50,IF(K185&gt;Forudsætninger!$C$49,Forudsætninger!$G$49+Forudsætninger!$H$50*(K185-Forudsætninger!$C$49),IF(K185&gt;Forudsætninger!$C$48,Forudsætninger!$G$48+Forudsætninger!$H$49*(K185-Forudsætninger!$C$48),Forudsætninger!$G$48)))*(U185-Forudsætninger!$H$48)</f>
        <v>35.225712546912192</v>
      </c>
      <c r="AC185" s="19">
        <f>IF(K185&gt;Forudsætninger!$C$52,IF(K185&gt;Forudsætninger!$C$53,IF(K185&gt;Forudsætninger!$C$54,Forudsætninger!$E$54,Forudsætninger!$E$53+Forudsætninger!$F$54*(K185-Forudsætninger!$C$53)),Forudsætninger!$E$52+Forudsætninger!$F$53*(K185-Forudsætninger!$C$52)),Forudsætninger!$E$52)+IF(K185&gt;Forudsætninger!$C$54,Forudsætninger!$G$54,IF(K185&gt;Forudsætninger!$C$53,Forudsætninger!$G$53+Forudsætninger!$H$54*(K185-Forudsætninger!$C$53),IF(K185&gt;Forudsætninger!$C$52,Forudsætninger!$G$52+Forudsætninger!$H$53*(K185-Forudsætninger!$C$52),Forudsætninger!$G$52)))*(V185-Forudsætninger!$H$52)</f>
        <v>30.214281367280478</v>
      </c>
      <c r="AD185" s="19">
        <f t="shared" si="60"/>
        <v>4654.6966466723916</v>
      </c>
      <c r="AE185" s="19">
        <f t="shared" si="61"/>
        <v>30.214281367280474</v>
      </c>
      <c r="AF185">
        <f>IF(G185&lt;=Forudsætninger!$C$97,Forudsætninger!$C$98,(IF(G185&lt;=Forudsætninger!$D$97,Forudsætninger!$D$98,IF(G185&lt;=Forudsætninger!$E$97,Forudsætninger!$E$98,IF(G185&lt;=Forudsætninger!$F$97,Forudsætninger!$F$98,IF(G185&lt;=Forudsætninger!$G$97,Forudsætninger!$G$98,IF(G185&lt;=Forudsætninger!$H$97,Forudsætninger!$H$98,IF(G185&lt;=Forudsætninger!$I$97,Forudsætninger!$I$98,Forudsætninger!$I$98))))))))</f>
        <v>3.2</v>
      </c>
      <c r="AG185" s="1">
        <f t="shared" si="70"/>
        <v>3.2</v>
      </c>
      <c r="AH185" s="1">
        <f t="shared" si="74"/>
        <v>469.59999999999872</v>
      </c>
      <c r="AI185" s="1">
        <f t="shared" si="62"/>
        <v>2.5661202185792278</v>
      </c>
      <c r="AJ185" s="20">
        <f>+(W185*Forudsætninger!$C$12)</f>
        <v>900</v>
      </c>
      <c r="AK185" s="20">
        <f>Forudsætninger!$C$17</f>
        <v>250</v>
      </c>
      <c r="AL185" s="20">
        <f>IF(A185&lt;92,Forudsætninger!$C$20,Forudsætninger!$C$21)</f>
        <v>1.0566762728146013</v>
      </c>
      <c r="AM185" s="20">
        <f t="shared" si="71"/>
        <v>461.87724077836327</v>
      </c>
      <c r="AN185" s="19">
        <f>IFERROR(AD185+AJ185-AA185-Z185-AK185-AM185-Forudsætninger!$E$75,-999999)</f>
        <v>395.06651681513938</v>
      </c>
      <c r="AO185" s="19">
        <f>IFERROR(AN185/(A185+Forudsætninger!$E$74),-999999)</f>
        <v>2.1588334252193411</v>
      </c>
      <c r="AP185" s="19">
        <f>IFERROR(((365/(A185+Forudsætninger!$E$74))*AN185)/(AI185+Forudsætninger!$E$73),-999999)</f>
        <v>294.44648814147854</v>
      </c>
      <c r="AQ185" s="18">
        <f t="shared" si="63"/>
        <v>183</v>
      </c>
      <c r="AR185" s="18">
        <f t="shared" si="75"/>
        <v>4968.4133685206361</v>
      </c>
      <c r="AS185" s="18">
        <f t="shared" si="55"/>
        <v>7.2</v>
      </c>
      <c r="AT185" s="50">
        <f t="shared" si="76"/>
        <v>4.3622252276729796</v>
      </c>
      <c r="AU185" s="50">
        <f t="shared" si="77"/>
        <v>1.2106548365129921E-2</v>
      </c>
      <c r="AV185" s="2">
        <f t="shared" si="78"/>
        <v>1.2696729829208948</v>
      </c>
      <c r="AW185" s="16">
        <f t="shared" si="72"/>
        <v>4.682752773734987</v>
      </c>
      <c r="AZ185" s="16"/>
      <c r="BA185" s="2"/>
    </row>
    <row r="186" spans="1:53" x14ac:dyDescent="0.25">
      <c r="A186">
        <v>184</v>
      </c>
      <c r="B186" s="1">
        <f>ROUND((A186+Forudsætninger!$E$60)/30.4,1)</f>
        <v>7.2</v>
      </c>
      <c r="C186" s="1">
        <f>VLOOKUP((A186+Forudsætninger!$E$60),'Model tilvækst, slagteform, fe'!A:D,4,FALSE)</f>
        <v>321.26542077021975</v>
      </c>
      <c r="D186" s="3">
        <f t="shared" si="79"/>
        <v>1481.114298189766</v>
      </c>
      <c r="E186" s="3">
        <f>(1+Forudsætninger!$E$78)*C186</f>
        <v>295.5641871086022</v>
      </c>
      <c r="F186" s="2">
        <f t="shared" si="82"/>
        <v>0</v>
      </c>
      <c r="G186" s="1">
        <f t="shared" si="56"/>
        <v>295.5641871086022</v>
      </c>
      <c r="H186" s="3">
        <f t="shared" si="64"/>
        <v>1362.6251543345802</v>
      </c>
      <c r="I186" s="3">
        <f t="shared" si="57"/>
        <v>1236.7618864597946</v>
      </c>
      <c r="J186" s="1">
        <f>VLOOKUP((A186+Forudsætninger!$E$60),'Model tilvækst, slagteform, fe'!G:K,4,FALSE)*(1+Forudsætninger!$E$79)</f>
        <v>52.384698490327544</v>
      </c>
      <c r="K186" s="17">
        <f t="shared" si="58"/>
        <v>154.83040826222881</v>
      </c>
      <c r="L186" s="17">
        <f t="shared" si="65"/>
        <v>774.23230720390279</v>
      </c>
      <c r="M186" s="3">
        <f>((K186-(('Model tilvækst, slagteform, fe'!$J$9/100)*'Model tilvækst, slagteform, fe'!$D$9))*1000/(A186+Forudsætninger!$E$60))</f>
        <v>611.80000057902532</v>
      </c>
      <c r="N186" s="17">
        <f t="shared" si="66"/>
        <v>849.27927334147171</v>
      </c>
      <c r="O186" s="19">
        <f>IF( A186&lt;Forudsætninger!$C$14,(G186/100)*Forudsætninger!$C$13,(Forudsætninger!$C$15/1000)*Forudsætninger!$C$13)</f>
        <v>1.9211672162059144</v>
      </c>
      <c r="P186" s="17" cm="1">
        <f t="array" ref="P186">INDEX('Model tilvækst, slagteform, fe'!$P$9:$P$375,MATCH(MIN(ABS('Model tilvækst, slagteform, fe'!$M$9:$M$375-G186)),ABS('Model tilvækst, slagteform, fe'!$M$9:$M$375-G186),0))*(1+Forudsætninger!$E$80)</f>
        <v>7.0368973712161766</v>
      </c>
      <c r="Q186" s="17">
        <f t="shared" si="67"/>
        <v>9.0888707507305426</v>
      </c>
      <c r="R186" s="17">
        <f t="shared" si="68"/>
        <v>6.9690895324539808</v>
      </c>
      <c r="S186" s="17">
        <f t="shared" si="69"/>
        <v>3.7320427442133663</v>
      </c>
      <c r="T186" s="19">
        <f>(P186)*IF(N186&lt;Forudsætninger!$B$228,IF(N186&lt;Forudsætninger!$B$227,Forudsætninger!$B$225,Forudsætninger!$C$9),Forudsætninger!$C$11)+O186</f>
        <v>18.387507064851768</v>
      </c>
      <c r="U186" s="5">
        <f>Forudsætninger!$E$68+((K186-(Forudsætninger!$E$84)))*0.01</f>
        <v>6.2648677921939573</v>
      </c>
      <c r="V186" s="2">
        <f>U186+Forudsætninger!$E$69</f>
        <v>6.2648677921939573</v>
      </c>
      <c r="W186">
        <f t="shared" si="59"/>
        <v>1</v>
      </c>
      <c r="X186">
        <f>IF(A186+Forudsætninger!$E$60&gt;248,IF(A186+Forudsætninger!$E$60&lt;365,IF(K186&gt;180,IF(K186&lt;260,1,0),0),0),0)</f>
        <v>0</v>
      </c>
      <c r="Y186" s="22">
        <f>IF(X186=0,0,IF('Vækstfunktion, kry kvie'!A186&lt;Forudsætninger!$E$66,Forudsætninger!$E$67+(('Vækstfunktion, kry kvie'!A186-Forudsætninger!$E$66)/7)*Forudsætninger!$E$64,Forudsætninger!$E$67))</f>
        <v>0</v>
      </c>
      <c r="Z186" s="19">
        <f t="shared" si="73"/>
        <v>2699.9236348071249</v>
      </c>
      <c r="AA186" s="19">
        <f>Forudsætninger!$E$62+Forudsætninger!$C$16</f>
        <v>1575</v>
      </c>
      <c r="AB186" s="19">
        <f>IF(K186&gt;Forudsætninger!$C$48,IF(K186&gt;Forudsætninger!$C$49,IF(K186&gt;Forudsætninger!$C$50,Forudsætninger!$E$50,Forudsætninger!$E$49+Forudsætninger!$F$50*(K186-Forudsætninger!$C$49)),Forudsætninger!$E$48+Forudsætninger!$F$49*(K186-Forudsætninger!$C$48)),Forudsætninger!$E$48)+IF(K186&gt;Forudsætninger!$C$50,Forudsætninger!$G$50,IF(K186&gt;Forudsætninger!$C$49,Forudsætninger!$G$49+Forudsætninger!$H$50*(K186-Forudsætninger!$C$49),IF(K186&gt;Forudsætninger!$C$48,Forudsætninger!$G$48+Forudsætninger!$H$49*(K186-Forudsætninger!$C$48),Forudsætninger!$G$48)))*(U186-Forudsætninger!$H$48)</f>
        <v>35.226486779219393</v>
      </c>
      <c r="AC186" s="19">
        <f>IF(K186&gt;Forudsætninger!$C$52,IF(K186&gt;Forudsætninger!$C$53,IF(K186&gt;Forudsætninger!$C$54,Forudsætninger!$E$54,Forudsætninger!$E$53+Forudsætninger!$F$54*(K186-Forudsætninger!$C$53)),Forudsætninger!$E$52+Forudsætninger!$F$53*(K186-Forudsætninger!$C$52)),Forudsætninger!$E$52)+IF(K186&gt;Forudsætninger!$C$54,Forudsætninger!$G$54,IF(K186&gt;Forudsætninger!$C$53,Forudsætninger!$G$53+Forudsætninger!$H$54*(K186-Forudsætninger!$C$53),IF(K186&gt;Forudsætninger!$C$52,Forudsætninger!$G$52+Forudsætninger!$H$53*(K186-Forudsætninger!$C$52),Forudsætninger!$G$52)))*(V186-Forudsætninger!$H$52)</f>
        <v>30.216216948048487</v>
      </c>
      <c r="AD186" s="19">
        <f t="shared" si="60"/>
        <v>4678.3892062064251</v>
      </c>
      <c r="AE186" s="19">
        <f t="shared" si="61"/>
        <v>30.216216948048491</v>
      </c>
      <c r="AF186">
        <f>IF(G186&lt;=Forudsætninger!$C$97,Forudsætninger!$C$98,(IF(G186&lt;=Forudsætninger!$D$97,Forudsætninger!$D$98,IF(G186&lt;=Forudsætninger!$E$97,Forudsætninger!$E$98,IF(G186&lt;=Forudsætninger!$F$97,Forudsætninger!$F$98,IF(G186&lt;=Forudsætninger!$G$97,Forudsætninger!$G$98,IF(G186&lt;=Forudsætninger!$H$97,Forudsætninger!$H$98,IF(G186&lt;=Forudsætninger!$I$97,Forudsætninger!$I$98,Forudsætninger!$I$98))))))))</f>
        <v>3.2</v>
      </c>
      <c r="AG186" s="1">
        <f t="shared" si="70"/>
        <v>3.2</v>
      </c>
      <c r="AH186" s="1">
        <f t="shared" si="74"/>
        <v>472.7999999999987</v>
      </c>
      <c r="AI186" s="1">
        <f t="shared" si="62"/>
        <v>2.5695652173912973</v>
      </c>
      <c r="AJ186" s="20">
        <f>+(W186*Forudsætninger!$C$12)</f>
        <v>900</v>
      </c>
      <c r="AK186" s="20">
        <f>Forudsætninger!$C$17</f>
        <v>250</v>
      </c>
      <c r="AL186" s="20">
        <f>IF(A186&lt;92,Forudsætninger!$C$20,Forudsætninger!$C$21)</f>
        <v>1.0566762728146013</v>
      </c>
      <c r="AM186" s="20">
        <f t="shared" si="71"/>
        <v>462.9339170511779</v>
      </c>
      <c r="AN186" s="19">
        <f>IFERROR(AD186+AJ186-AA186-Z186-AK186-AM186-Forudsætninger!$E$75,-999999)</f>
        <v>399.31489301150646</v>
      </c>
      <c r="AO186" s="19">
        <f>IFERROR(AN186/(A186+Forudsætninger!$E$74),-999999)</f>
        <v>2.1701896359321005</v>
      </c>
      <c r="AP186" s="19">
        <f>IFERROR(((365/(A186+Forudsætninger!$E$74))*AN186)/(AI186+Forudsætninger!$E$73),-999999)</f>
        <v>295.61483033668719</v>
      </c>
      <c r="AQ186" s="18">
        <f t="shared" si="63"/>
        <v>184</v>
      </c>
      <c r="AR186" s="18">
        <f t="shared" si="75"/>
        <v>4987.857551858302</v>
      </c>
      <c r="AS186" s="18">
        <f t="shared" si="55"/>
        <v>7.2</v>
      </c>
      <c r="AT186" s="50">
        <f t="shared" si="76"/>
        <v>4.2483761963670759</v>
      </c>
      <c r="AU186" s="50">
        <f t="shared" si="77"/>
        <v>1.1356210712759385E-2</v>
      </c>
      <c r="AV186" s="2">
        <f t="shared" si="78"/>
        <v>1.1683421952086519</v>
      </c>
      <c r="AW186" s="16">
        <f t="shared" si="72"/>
        <v>4.6861348372971978</v>
      </c>
      <c r="AZ186" s="16"/>
      <c r="BA186" s="2"/>
    </row>
    <row r="187" spans="1:53" x14ac:dyDescent="0.25">
      <c r="A187">
        <v>185</v>
      </c>
      <c r="B187" s="1">
        <f>ROUND((A187+Forudsætninger!$E$60)/30.4,1)</f>
        <v>7.3</v>
      </c>
      <c r="C187" s="1">
        <f>VLOOKUP((A187+Forudsætninger!$E$60),'Model tilvækst, slagteform, fe'!A:D,4,FALSE)</f>
        <v>322.74313709156752</v>
      </c>
      <c r="D187" s="3">
        <f t="shared" si="79"/>
        <v>1477.7163213477706</v>
      </c>
      <c r="E187" s="3">
        <f>(1+Forudsætninger!$E$78)*C187</f>
        <v>296.92368612424212</v>
      </c>
      <c r="F187" s="2">
        <f t="shared" si="82"/>
        <v>0</v>
      </c>
      <c r="G187" s="1">
        <f t="shared" si="56"/>
        <v>296.92368612424212</v>
      </c>
      <c r="H187" s="3">
        <f t="shared" si="64"/>
        <v>1359.4990156399263</v>
      </c>
      <c r="I187" s="3">
        <f t="shared" si="57"/>
        <v>1237.4253304013087</v>
      </c>
      <c r="J187" s="1">
        <f>VLOOKUP((A187+Forudsætninger!$E$60),'Model tilvækst, slagteform, fe'!G:K,4,FALSE)*(1+Forudsætninger!$E$79)</f>
        <v>52.405119382819692</v>
      </c>
      <c r="K187" s="17">
        <f t="shared" si="58"/>
        <v>155.60321218927791</v>
      </c>
      <c r="L187" s="17">
        <f t="shared" si="65"/>
        <v>772.80392704909673</v>
      </c>
      <c r="M187" s="3">
        <f>((K187-(('Model tilvækst, slagteform, fe'!$J$9/100)*'Model tilvækst, slagteform, fe'!$D$9))*1000/(A187+Forudsætninger!$E$60))</f>
        <v>612.52852513318862</v>
      </c>
      <c r="N187" s="17">
        <f t="shared" si="66"/>
        <v>856.32985433230067</v>
      </c>
      <c r="O187" s="19">
        <f>IF( A187&lt;Forudsætninger!$C$14,(G187/100)*Forudsætninger!$C$13,(Forudsætninger!$C$15/1000)*Forudsætninger!$C$13)</f>
        <v>1.930003959807574</v>
      </c>
      <c r="P187" s="17" cm="1">
        <f t="array" ref="P187">INDEX('Model tilvækst, slagteform, fe'!$P$9:$P$375,MATCH(MIN(ABS('Model tilvækst, slagteform, fe'!$M$9:$M$375-G187)),ABS('Model tilvækst, slagteform, fe'!$M$9:$M$375-G187),0))*(1+Forudsætninger!$E$80)</f>
        <v>7.050580990828915</v>
      </c>
      <c r="Q187" s="17">
        <f t="shared" si="67"/>
        <v>9.1233762459659271</v>
      </c>
      <c r="R187" s="17">
        <f t="shared" si="68"/>
        <v>6.9826649420315654</v>
      </c>
      <c r="S187" s="17">
        <f t="shared" si="69"/>
        <v>3.7406782532216911</v>
      </c>
      <c r="T187" s="19">
        <f>(P187)*IF(N187&lt;Forudsætninger!$B$228,IF(N187&lt;Forudsætninger!$B$227,Forudsætninger!$B$225,Forudsætninger!$C$9),Forudsætninger!$C$11)+O187</f>
        <v>18.428363478347237</v>
      </c>
      <c r="U187" s="5">
        <f>Forudsætninger!$E$68+((K187-(Forudsætninger!$E$84)))*0.01</f>
        <v>6.2725958314644483</v>
      </c>
      <c r="V187" s="2">
        <f>U187+Forudsætninger!$E$69</f>
        <v>6.2725958314644483</v>
      </c>
      <c r="W187">
        <f t="shared" si="59"/>
        <v>1</v>
      </c>
      <c r="X187">
        <f>IF(A187+Forudsætninger!$E$60&gt;248,IF(A187+Forudsætninger!$E$60&lt;365,IF(K187&gt;180,IF(K187&lt;260,1,0),0),0),0)</f>
        <v>0</v>
      </c>
      <c r="Y187" s="22">
        <f>IF(X187=0,0,IF('Vækstfunktion, kry kvie'!A187&lt;Forudsætninger!$E$66,Forudsætninger!$E$67+(('Vækstfunktion, kry kvie'!A187-Forudsætninger!$E$66)/7)*Forudsætninger!$E$64,Forudsætninger!$E$67))</f>
        <v>0</v>
      </c>
      <c r="Z187" s="19">
        <f t="shared" si="73"/>
        <v>2718.3519982854723</v>
      </c>
      <c r="AA187" s="19">
        <f>Forudsætninger!$E$62+Forudsætninger!$C$16</f>
        <v>1575</v>
      </c>
      <c r="AB187" s="19">
        <f>IF(K187&gt;Forudsætninger!$C$48,IF(K187&gt;Forudsætninger!$C$49,IF(K187&gt;Forudsætninger!$C$50,Forudsætninger!$E$50,Forudsætninger!$E$49+Forudsætninger!$F$50*(K187-Forudsætninger!$C$49)),Forudsætninger!$E$48+Forudsætninger!$F$49*(K187-Forudsætninger!$C$48)),Forudsætninger!$E$48)+IF(K187&gt;Forudsætninger!$C$50,Forudsætninger!$G$50,IF(K187&gt;Forudsætninger!$C$49,Forudsætninger!$G$49+Forudsætninger!$H$50*(K187-Forudsætninger!$C$49),IF(K187&gt;Forudsætninger!$C$48,Forudsætninger!$G$48+Forudsætninger!$H$49*(K187-Forudsætninger!$C$48),Forudsætninger!$G$48)))*(U187-Forudsætninger!$H$48)</f>
        <v>35.227259583146449</v>
      </c>
      <c r="AC187" s="19">
        <f>IF(K187&gt;Forudsætninger!$C$52,IF(K187&gt;Forudsætninger!$C$53,IF(K187&gt;Forudsætninger!$C$54,Forudsætninger!$E$54,Forudsætninger!$E$53+Forudsætninger!$F$54*(K187-Forudsætninger!$C$53)),Forudsætninger!$E$52+Forudsætninger!$F$53*(K187-Forudsætninger!$C$52)),Forudsætninger!$E$52)+IF(K187&gt;Forudsætninger!$C$54,Forudsætninger!$G$54,IF(K187&gt;Forudsætninger!$C$53,Forudsætninger!$G$53+Forudsætninger!$H$54*(K187-Forudsætninger!$C$53),IF(K187&gt;Forudsætninger!$C$52,Forudsætninger!$G$52+Forudsætninger!$H$53*(K187-Forudsætninger!$C$52),Forudsætninger!$G$52)))*(V187-Forudsætninger!$H$52)</f>
        <v>30.218148957866109</v>
      </c>
      <c r="AD187" s="19">
        <f t="shared" si="60"/>
        <v>4702.0410442580478</v>
      </c>
      <c r="AE187" s="19">
        <f t="shared" si="61"/>
        <v>30.218148957866113</v>
      </c>
      <c r="AF187">
        <f>IF(G187&lt;=Forudsætninger!$C$97,Forudsætninger!$C$98,(IF(G187&lt;=Forudsætninger!$D$97,Forudsætninger!$D$98,IF(G187&lt;=Forudsætninger!$E$97,Forudsætninger!$E$98,IF(G187&lt;=Forudsætninger!$F$97,Forudsætninger!$F$98,IF(G187&lt;=Forudsætninger!$G$97,Forudsætninger!$G$98,IF(G187&lt;=Forudsætninger!$H$97,Forudsætninger!$H$98,IF(G187&lt;=Forudsætninger!$I$97,Forudsætninger!$I$98,Forudsætninger!$I$98))))))))</f>
        <v>3.2</v>
      </c>
      <c r="AG187" s="1">
        <f t="shared" si="70"/>
        <v>3.2</v>
      </c>
      <c r="AH187" s="1">
        <f t="shared" si="74"/>
        <v>475.99999999999869</v>
      </c>
      <c r="AI187" s="1">
        <f t="shared" si="62"/>
        <v>2.5729729729729658</v>
      </c>
      <c r="AJ187" s="20">
        <f>+(W187*Forudsætninger!$C$12)</f>
        <v>900</v>
      </c>
      <c r="AK187" s="20">
        <f>Forudsætninger!$C$17</f>
        <v>250</v>
      </c>
      <c r="AL187" s="20">
        <f>IF(A187&lt;92,Forudsætninger!$C$20,Forudsætninger!$C$21)</f>
        <v>1.0566762728146013</v>
      </c>
      <c r="AM187" s="20">
        <f t="shared" si="71"/>
        <v>463.99059332399253</v>
      </c>
      <c r="AN187" s="19">
        <f>IFERROR(AD187+AJ187-AA187-Z187-AK187-AM187-Forudsætninger!$E$75,-999999)</f>
        <v>403.48169131196721</v>
      </c>
      <c r="AO187" s="19">
        <f>IFERROR(AN187/(A187+Forudsætninger!$E$74),-999999)</f>
        <v>2.1809821151998228</v>
      </c>
      <c r="AP187" s="19">
        <f>IFERROR(((365/(A187+Forudsætninger!$E$74))*AN187)/(AI187+Forudsætninger!$E$73),-999999)</f>
        <v>296.70760013874974</v>
      </c>
      <c r="AQ187" s="18">
        <f t="shared" si="63"/>
        <v>185</v>
      </c>
      <c r="AR187" s="18">
        <f t="shared" si="75"/>
        <v>5007.3425916094648</v>
      </c>
      <c r="AS187" s="18">
        <f t="shared" si="55"/>
        <v>7.3</v>
      </c>
      <c r="AT187" s="50">
        <f t="shared" si="76"/>
        <v>4.1667983004607549</v>
      </c>
      <c r="AU187" s="50">
        <f t="shared" si="77"/>
        <v>1.079247926772231E-2</v>
      </c>
      <c r="AV187" s="2">
        <f t="shared" si="78"/>
        <v>1.0927698020625485</v>
      </c>
      <c r="AW187" s="16">
        <f t="shared" si="72"/>
        <v>4.6890393764105935</v>
      </c>
      <c r="AZ187" s="16"/>
      <c r="BA187" s="2"/>
    </row>
    <row r="188" spans="1:53" x14ac:dyDescent="0.25">
      <c r="A188">
        <v>186</v>
      </c>
      <c r="B188" s="1">
        <f>ROUND((A188+Forudsætninger!$E$60)/30.4,1)</f>
        <v>7.3</v>
      </c>
      <c r="C188" s="1">
        <f>VLOOKUP((A188+Forudsætninger!$E$60),'Model tilvækst, slagteform, fe'!A:D,4,FALSE)</f>
        <v>324.2174144106192</v>
      </c>
      <c r="D188" s="3">
        <f t="shared" si="79"/>
        <v>1474.27731905168</v>
      </c>
      <c r="E188" s="3">
        <f>(1+Forudsætninger!$E$78)*C188</f>
        <v>298.2800212577697</v>
      </c>
      <c r="F188" s="2">
        <f t="shared" si="82"/>
        <v>0</v>
      </c>
      <c r="G188" s="1">
        <f t="shared" si="56"/>
        <v>298.2800212577697</v>
      </c>
      <c r="H188" s="3">
        <f t="shared" si="64"/>
        <v>1356.3351335275797</v>
      </c>
      <c r="I188" s="3">
        <f t="shared" si="57"/>
        <v>1238.0646304181166</v>
      </c>
      <c r="J188" s="1">
        <f>VLOOKUP((A188+Forudsætninger!$E$60),'Model tilvækst, slagteform, fe'!G:K,4,FALSE)*(1+Forudsætninger!$E$79)</f>
        <v>52.425417980390506</v>
      </c>
      <c r="K188" s="17">
        <f t="shared" si="58"/>
        <v>156.37454789638343</v>
      </c>
      <c r="L188" s="17">
        <f t="shared" si="65"/>
        <v>771.33570710552135</v>
      </c>
      <c r="M188" s="3">
        <f>((K188-(('Model tilvækst, slagteform, fe'!$J$9/100)*'Model tilvækst, slagteform, fe'!$D$9))*1000/(A188+Forudsætninger!$E$60))</f>
        <v>613.24387279973064</v>
      </c>
      <c r="N188" s="17">
        <f t="shared" si="66"/>
        <v>863.39390630609773</v>
      </c>
      <c r="O188" s="19">
        <f>IF( A188&lt;Forudsætninger!$C$14,(G188/100)*Forudsætninger!$C$13,(Forudsætninger!$C$15/1000)*Forudsætninger!$C$13)</f>
        <v>1.938820138175503</v>
      </c>
      <c r="P188" s="17" cm="1">
        <f t="array" ref="P188">INDEX('Model tilvækst, slagteform, fe'!$P$9:$P$375,MATCH(MIN(ABS('Model tilvækst, slagteform, fe'!$M$9:$M$375-G188)),ABS('Model tilvækst, slagteform, fe'!$M$9:$M$375-G188),0))*(1+Forudsætninger!$E$80)</f>
        <v>7.0640519737971008</v>
      </c>
      <c r="Q188" s="17">
        <f t="shared" si="67"/>
        <v>9.1582068724723449</v>
      </c>
      <c r="R188" s="17">
        <f t="shared" si="68"/>
        <v>6.9962627224906369</v>
      </c>
      <c r="S188" s="17">
        <f t="shared" si="69"/>
        <v>3.7493218108558195</v>
      </c>
      <c r="T188" s="19">
        <f>(P188)*IF(N188&lt;Forudsætninger!$B$228,IF(N188&lt;Forudsætninger!$B$227,Forudsætninger!$B$225,Forudsætninger!$C$9),Forudsætninger!$C$11)+O188</f>
        <v>18.468701756860721</v>
      </c>
      <c r="U188" s="5">
        <f>Forudsætninger!$E$68+((K188-(Forudsætninger!$E$84)))*0.01</f>
        <v>6.2803091885355036</v>
      </c>
      <c r="V188" s="2">
        <f>U188+Forudsætninger!$E$69</f>
        <v>6.2803091885355036</v>
      </c>
      <c r="W188">
        <f t="shared" si="59"/>
        <v>1</v>
      </c>
      <c r="X188">
        <f>IF(A188+Forudsætninger!$E$60&gt;248,IF(A188+Forudsætninger!$E$60&lt;365,IF(K188&gt;180,IF(K188&lt;260,1,0),0),0),0)</f>
        <v>0</v>
      </c>
      <c r="Y188" s="22">
        <f>IF(X188=0,0,IF('Vækstfunktion, kry kvie'!A188&lt;Forudsætninger!$E$66,Forudsætninger!$E$67+(('Vækstfunktion, kry kvie'!A188-Forudsætninger!$E$66)/7)*Forudsætninger!$E$64,Forudsætninger!$E$67))</f>
        <v>0</v>
      </c>
      <c r="Z188" s="19">
        <f t="shared" si="73"/>
        <v>2736.8207000423331</v>
      </c>
      <c r="AA188" s="19">
        <f>Forudsætninger!$E$62+Forudsætninger!$C$16</f>
        <v>1575</v>
      </c>
      <c r="AB188" s="19">
        <f>IF(K188&gt;Forudsætninger!$C$48,IF(K188&gt;Forudsætninger!$C$49,IF(K188&gt;Forudsætninger!$C$50,Forudsætninger!$E$50,Forudsætninger!$E$49+Forudsætninger!$F$50*(K188-Forudsætninger!$C$49)),Forudsætninger!$E$48+Forudsætninger!$F$49*(K188-Forudsætninger!$C$48)),Forudsætninger!$E$48)+IF(K188&gt;Forudsætninger!$C$50,Forudsætninger!$G$50,IF(K188&gt;Forudsætninger!$C$49,Forudsætninger!$G$49+Forudsætninger!$H$50*(K188-Forudsætninger!$C$49),IF(K188&gt;Forudsætninger!$C$48,Forudsætninger!$G$48+Forudsætninger!$H$49*(K188-Forudsætninger!$C$48),Forudsætninger!$G$48)))*(U188-Forudsætninger!$H$48)</f>
        <v>35.228030918853548</v>
      </c>
      <c r="AC188" s="19">
        <f>IF(K188&gt;Forudsætninger!$C$52,IF(K188&gt;Forudsætninger!$C$53,IF(K188&gt;Forudsætninger!$C$54,Forudsætninger!$E$54,Forudsætninger!$E$53+Forudsætninger!$F$54*(K188-Forudsætninger!$C$53)),Forudsætninger!$E$52+Forudsætninger!$F$53*(K188-Forudsætninger!$C$52)),Forudsætninger!$E$52)+IF(K188&gt;Forudsætninger!$C$54,Forudsætninger!$G$54,IF(K188&gt;Forudsætninger!$C$53,Forudsætninger!$G$53+Forudsætninger!$H$54*(K188-Forudsætninger!$C$53),IF(K188&gt;Forudsætninger!$C$52,Forudsætninger!$G$52+Forudsætninger!$H$53*(K188-Forudsætninger!$C$52),Forudsætninger!$G$52)))*(V188-Forudsætninger!$H$52)</f>
        <v>30.220077297133873</v>
      </c>
      <c r="AD188" s="19">
        <f t="shared" si="60"/>
        <v>4725.6509247330705</v>
      </c>
      <c r="AE188" s="19">
        <f t="shared" si="61"/>
        <v>30.220077297133873</v>
      </c>
      <c r="AF188">
        <f>IF(G188&lt;=Forudsætninger!$C$97,Forudsætninger!$C$98,(IF(G188&lt;=Forudsætninger!$D$97,Forudsætninger!$D$98,IF(G188&lt;=Forudsætninger!$E$97,Forudsætninger!$E$98,IF(G188&lt;=Forudsætninger!$F$97,Forudsætninger!$F$98,IF(G188&lt;=Forudsætninger!$G$97,Forudsætninger!$G$98,IF(G188&lt;=Forudsætninger!$H$97,Forudsætninger!$H$98,IF(G188&lt;=Forudsætninger!$I$97,Forudsætninger!$I$98,Forudsætninger!$I$98))))))))</f>
        <v>3.2</v>
      </c>
      <c r="AG188" s="1">
        <f t="shared" si="70"/>
        <v>3.2</v>
      </c>
      <c r="AH188" s="1">
        <f t="shared" si="74"/>
        <v>479.19999999999868</v>
      </c>
      <c r="AI188" s="1">
        <f t="shared" si="62"/>
        <v>2.5763440860214981</v>
      </c>
      <c r="AJ188" s="20">
        <f>+(W188*Forudsætninger!$C$12)</f>
        <v>900</v>
      </c>
      <c r="AK188" s="20">
        <f>Forudsætninger!$C$17</f>
        <v>250</v>
      </c>
      <c r="AL188" s="20">
        <f>IF(A188&lt;92,Forudsætninger!$C$20,Forudsætninger!$C$21)</f>
        <v>1.0566762728146013</v>
      </c>
      <c r="AM188" s="20">
        <f t="shared" si="71"/>
        <v>465.04726959680715</v>
      </c>
      <c r="AN188" s="19">
        <f>IFERROR(AD188+AJ188-AA188-Z188-AK188-AM188-Forudsætninger!$E$75,-999999)</f>
        <v>407.56619375731441</v>
      </c>
      <c r="AO188" s="19">
        <f>IFERROR(AN188/(A188+Forudsætninger!$E$74),-999999)</f>
        <v>2.1912160954694322</v>
      </c>
      <c r="AP188" s="19">
        <f>IFERROR(((365/(A188+Forudsætninger!$E$74))*AN188)/(AI188+Forudsætninger!$E$73),-999999)</f>
        <v>297.72577496981978</v>
      </c>
      <c r="AQ188" s="18">
        <f t="shared" si="63"/>
        <v>186</v>
      </c>
      <c r="AR188" s="18">
        <f t="shared" si="75"/>
        <v>5026.8679696391409</v>
      </c>
      <c r="AS188" s="18">
        <f t="shared" si="55"/>
        <v>7.3</v>
      </c>
      <c r="AT188" s="50">
        <f t="shared" si="76"/>
        <v>4.0845024453471979</v>
      </c>
      <c r="AU188" s="50">
        <f t="shared" si="77"/>
        <v>1.0233980269609422E-2</v>
      </c>
      <c r="AV188" s="2">
        <f t="shared" si="78"/>
        <v>1.0181748310700414</v>
      </c>
      <c r="AW188" s="16">
        <f t="shared" si="72"/>
        <v>4.6914702330866751</v>
      </c>
      <c r="AZ188" s="16"/>
      <c r="BA188" s="2"/>
    </row>
    <row r="189" spans="1:53" x14ac:dyDescent="0.25">
      <c r="A189">
        <v>187</v>
      </c>
      <c r="B189" s="1">
        <f>ROUND((A189+Forudsætninger!$E$60)/30.4,1)</f>
        <v>7.3</v>
      </c>
      <c r="C189" s="1">
        <f>VLOOKUP((A189+Forudsætninger!$E$60),'Model tilvækst, slagteform, fe'!A:D,4,FALSE)</f>
        <v>325.68821228694128</v>
      </c>
      <c r="D189" s="3">
        <f t="shared" si="79"/>
        <v>1470.7978763220808</v>
      </c>
      <c r="E189" s="3">
        <f>(1+Forudsætninger!$E$78)*C189</f>
        <v>299.63315530398597</v>
      </c>
      <c r="F189" s="2">
        <f t="shared" si="82"/>
        <v>0</v>
      </c>
      <c r="G189" s="1">
        <f t="shared" si="56"/>
        <v>299.63315530398597</v>
      </c>
      <c r="H189" s="3">
        <f t="shared" si="64"/>
        <v>1353.1340462162689</v>
      </c>
      <c r="I189" s="3">
        <f t="shared" si="57"/>
        <v>1238.6799748876256</v>
      </c>
      <c r="J189" s="1">
        <f>VLOOKUP((A189+Forudsætninger!$E$60),'Model tilvækst, slagteform, fe'!G:K,4,FALSE)*(1+Forudsætninger!$E$79)</f>
        <v>52.445589813419538</v>
      </c>
      <c r="K189" s="17">
        <f t="shared" si="58"/>
        <v>157.14437557573481</v>
      </c>
      <c r="L189" s="17">
        <f t="shared" si="65"/>
        <v>769.82767935137986</v>
      </c>
      <c r="M189" s="3">
        <f>((K189-(('Model tilvækst, slagteform, fe'!$J$9/100)*'Model tilvækst, slagteform, fe'!$D$9))*1000/(A189+Forudsætninger!$E$60))</f>
        <v>613.94604233583664</v>
      </c>
      <c r="N189" s="17">
        <f t="shared" si="66"/>
        <v>870.47121393920338</v>
      </c>
      <c r="O189" s="19">
        <f>IF( A189&lt;Forudsætninger!$C$14,(G189/100)*Forudsætninger!$C$13,(Forudsætninger!$C$15/1000)*Forudsætninger!$C$13)</f>
        <v>1.9476155094759089</v>
      </c>
      <c r="P189" s="17" cm="1">
        <f t="array" ref="P189">INDEX('Model tilvækst, slagteform, fe'!$P$9:$P$375,MATCH(MIN(ABS('Model tilvækst, slagteform, fe'!$M$9:$M$375-G189)),ABS('Model tilvækst, slagteform, fe'!$M$9:$M$375-G189),0))*(1+Forudsætninger!$E$80)</f>
        <v>7.0773076331056881</v>
      </c>
      <c r="Q189" s="17">
        <f t="shared" si="67"/>
        <v>9.1933660258470962</v>
      </c>
      <c r="R189" s="17">
        <f t="shared" si="68"/>
        <v>7.0098834524507652</v>
      </c>
      <c r="S189" s="17">
        <f t="shared" si="69"/>
        <v>3.7579733039375656</v>
      </c>
      <c r="T189" s="19">
        <f>(P189)*IF(N189&lt;Forudsætninger!$B$228,IF(N189&lt;Forudsætninger!$B$227,Forudsætninger!$B$225,Forudsætninger!$C$9),Forudsætninger!$C$11)+O189</f>
        <v>18.508515370943218</v>
      </c>
      <c r="U189" s="5">
        <f>Forudsætninger!$E$68+((K189-(Forudsætninger!$E$84)))*0.01</f>
        <v>6.2880074653290174</v>
      </c>
      <c r="V189" s="2">
        <f>U189+Forudsætninger!$E$69</f>
        <v>6.2880074653290174</v>
      </c>
      <c r="W189">
        <f t="shared" si="59"/>
        <v>1</v>
      </c>
      <c r="X189">
        <f>IF(A189+Forudsætninger!$E$60&gt;248,IF(A189+Forudsætninger!$E$60&lt;365,IF(K189&gt;180,IF(K189&lt;260,1,0),0),0),0)</f>
        <v>0</v>
      </c>
      <c r="Y189" s="22">
        <f>IF(X189=0,0,IF('Vækstfunktion, kry kvie'!A189&lt;Forudsætninger!$E$66,Forudsætninger!$E$67+(('Vækstfunktion, kry kvie'!A189-Forudsætninger!$E$66)/7)*Forudsætninger!$E$64,Forudsætninger!$E$67))</f>
        <v>0</v>
      </c>
      <c r="Z189" s="19">
        <f t="shared" si="73"/>
        <v>2755.3292154132764</v>
      </c>
      <c r="AA189" s="19">
        <f>Forudsætninger!$E$62+Forudsætninger!$C$16</f>
        <v>1575</v>
      </c>
      <c r="AB189" s="19">
        <f>IF(K189&gt;Forudsætninger!$C$48,IF(K189&gt;Forudsætninger!$C$49,IF(K189&gt;Forudsætninger!$C$50,Forudsætninger!$E$50,Forudsætninger!$E$49+Forudsætninger!$F$50*(K189-Forudsætninger!$C$49)),Forudsætninger!$E$48+Forudsætninger!$F$49*(K189-Forudsætninger!$C$48)),Forudsætninger!$E$48)+IF(K189&gt;Forudsætninger!$C$50,Forudsætninger!$G$50,IF(K189&gt;Forudsætninger!$C$49,Forudsætninger!$G$49+Forudsætninger!$H$50*(K189-Forudsætninger!$C$49),IF(K189&gt;Forudsætninger!$C$48,Forudsætninger!$G$48+Forudsætninger!$H$49*(K189-Forudsætninger!$C$48),Forudsætninger!$G$48)))*(U189-Forudsætninger!$H$48)</f>
        <v>35.228800746532904</v>
      </c>
      <c r="AC189" s="19">
        <f>IF(K189&gt;Forudsætninger!$C$52,IF(K189&gt;Forudsætninger!$C$53,IF(K189&gt;Forudsætninger!$C$54,Forudsætninger!$E$54,Forudsætninger!$E$53+Forudsætninger!$F$54*(K189-Forudsætninger!$C$53)),Forudsætninger!$E$52+Forudsætninger!$F$53*(K189-Forudsætninger!$C$52)),Forudsætninger!$E$52)+IF(K189&gt;Forudsætninger!$C$54,Forudsætninger!$G$54,IF(K189&gt;Forudsætninger!$C$53,Forudsætninger!$G$53+Forudsætninger!$H$54*(K189-Forudsætninger!$C$53),IF(K189&gt;Forudsætninger!$C$52,Forudsætninger!$G$52+Forudsætninger!$H$53*(K189-Forudsætninger!$C$52),Forudsætninger!$G$52)))*(V189-Forudsætninger!$H$52)</f>
        <v>30.222001866332253</v>
      </c>
      <c r="AD189" s="19">
        <f t="shared" si="60"/>
        <v>4749.2176119334736</v>
      </c>
      <c r="AE189" s="19">
        <f t="shared" si="61"/>
        <v>30.222001866332249</v>
      </c>
      <c r="AF189">
        <f>IF(G189&lt;=Forudsætninger!$C$97,Forudsætninger!$C$98,(IF(G189&lt;=Forudsætninger!$D$97,Forudsætninger!$D$98,IF(G189&lt;=Forudsætninger!$E$97,Forudsætninger!$E$98,IF(G189&lt;=Forudsætninger!$F$97,Forudsætninger!$F$98,IF(G189&lt;=Forudsætninger!$G$97,Forudsætninger!$G$98,IF(G189&lt;=Forudsætninger!$H$97,Forudsætninger!$H$98,IF(G189&lt;=Forudsætninger!$I$97,Forudsætninger!$I$98,Forudsætninger!$I$98))))))))</f>
        <v>3.2</v>
      </c>
      <c r="AG189" s="1">
        <f t="shared" si="70"/>
        <v>3.2</v>
      </c>
      <c r="AH189" s="1">
        <f t="shared" si="74"/>
        <v>482.39999999999867</v>
      </c>
      <c r="AI189" s="1">
        <f t="shared" si="62"/>
        <v>2.5796791443850196</v>
      </c>
      <c r="AJ189" s="20">
        <f>+(W189*Forudsætninger!$C$12)</f>
        <v>900</v>
      </c>
      <c r="AK189" s="20">
        <f>Forudsætninger!$C$17</f>
        <v>250</v>
      </c>
      <c r="AL189" s="20">
        <f>IF(A189&lt;92,Forudsætninger!$C$20,Forudsætninger!$C$21)</f>
        <v>1.0566762728146013</v>
      </c>
      <c r="AM189" s="20">
        <f t="shared" si="71"/>
        <v>466.10394586962178</v>
      </c>
      <c r="AN189" s="19">
        <f>IFERROR(AD189+AJ189-AA189-Z189-AK189-AM189-Forudsætninger!$E$75,-999999)</f>
        <v>411.56768931395948</v>
      </c>
      <c r="AO189" s="19">
        <f>IFERROR(AN189/(A189+Forudsætninger!$E$74),-999999)</f>
        <v>2.2008967342992487</v>
      </c>
      <c r="AP189" s="19">
        <f>IFERROR(((365/(A189+Forudsætninger!$E$74))*AN189)/(AI189+Forudsætninger!$E$73),-999999)</f>
        <v>298.67031154859257</v>
      </c>
      <c r="AQ189" s="18">
        <f t="shared" si="63"/>
        <v>187</v>
      </c>
      <c r="AR189" s="18">
        <f t="shared" si="75"/>
        <v>5046.4331612828973</v>
      </c>
      <c r="AS189" s="18">
        <f t="shared" si="55"/>
        <v>7.3</v>
      </c>
      <c r="AT189" s="50">
        <f t="shared" si="76"/>
        <v>4.0014955566450681</v>
      </c>
      <c r="AU189" s="50">
        <f t="shared" si="77"/>
        <v>9.6806388298165125E-3</v>
      </c>
      <c r="AV189" s="2">
        <f t="shared" si="78"/>
        <v>0.94453657877278374</v>
      </c>
      <c r="AW189" s="16">
        <f t="shared" si="72"/>
        <v>4.6934312041902739</v>
      </c>
      <c r="AZ189" s="16"/>
      <c r="BA189" s="2"/>
    </row>
    <row r="190" spans="1:53" x14ac:dyDescent="0.25">
      <c r="A190">
        <v>188</v>
      </c>
      <c r="B190" s="1">
        <f>ROUND((A190+Forudsætninger!$E$60)/30.4,1)</f>
        <v>7.4</v>
      </c>
      <c r="C190" s="1">
        <f>VLOOKUP((A190+Forudsætninger!$E$60),'Model tilvækst, slagteform, fe'!A:D,4,FALSE)</f>
        <v>327.15549086512038</v>
      </c>
      <c r="D190" s="3">
        <f t="shared" si="79"/>
        <v>1467.2785781791049</v>
      </c>
      <c r="E190" s="3">
        <f>(1+Forudsætninger!$E$78)*C190</f>
        <v>300.98305159591075</v>
      </c>
      <c r="F190" s="2">
        <f t="shared" si="82"/>
        <v>0</v>
      </c>
      <c r="G190" s="1">
        <f t="shared" si="56"/>
        <v>300.98305159591075</v>
      </c>
      <c r="H190" s="3">
        <f t="shared" si="64"/>
        <v>1349.8962919247788</v>
      </c>
      <c r="I190" s="3">
        <f t="shared" si="57"/>
        <v>1239.2715510420785</v>
      </c>
      <c r="J190" s="1">
        <f>VLOOKUP((A190+Forudsætninger!$E$60),'Model tilvækst, slagteform, fe'!G:K,4,FALSE)*(1+Forudsætninger!$E$79)</f>
        <v>52.465630412286259</v>
      </c>
      <c r="K190" s="17">
        <f t="shared" si="58"/>
        <v>157.91265545393139</v>
      </c>
      <c r="L190" s="17">
        <f t="shared" si="65"/>
        <v>768.27987819658006</v>
      </c>
      <c r="M190" s="3">
        <f>((K190-(('Model tilvækst, slagteform, fe'!$J$9/100)*'Model tilvækst, slagteform, fe'!$D$9))*1000/(A190+Forudsætninger!$E$60))</f>
        <v>614.63503267450062</v>
      </c>
      <c r="N190" s="17">
        <f t="shared" si="66"/>
        <v>877.56155922094297</v>
      </c>
      <c r="O190" s="19">
        <f>IF( A190&lt;Forudsætninger!$C$14,(G190/100)*Forudsætninger!$C$13,(Forudsætninger!$C$15/1000)*Forudsætninger!$C$13)</f>
        <v>1.9563898353734199</v>
      </c>
      <c r="P190" s="17" cm="1">
        <f t="array" ref="P190">INDEX('Model tilvækst, slagteform, fe'!$P$9:$P$375,MATCH(MIN(ABS('Model tilvækst, slagteform, fe'!$M$9:$M$375-G190)),ABS('Model tilvækst, slagteform, fe'!$M$9:$M$375-G190),0))*(1+Forudsætninger!$E$80)</f>
        <v>7.0903452817396335</v>
      </c>
      <c r="Q190" s="17">
        <f t="shared" si="67"/>
        <v>9.228857195092937</v>
      </c>
      <c r="R190" s="17">
        <f t="shared" si="68"/>
        <v>7.023527691823654</v>
      </c>
      <c r="S190" s="17">
        <f t="shared" si="69"/>
        <v>3.7666326078645356</v>
      </c>
      <c r="T190" s="19">
        <f>(P190)*IF(N190&lt;Forudsætninger!$B$228,IF(N190&lt;Forudsætninger!$B$227,Forudsætninger!$B$225,Forudsætninger!$C$9),Forudsætninger!$C$11)+O190</f>
        <v>18.547797794644161</v>
      </c>
      <c r="U190" s="5">
        <f>Forudsætninger!$E$68+((K190-(Forudsætninger!$E$84)))*0.01</f>
        <v>6.2956902641109833</v>
      </c>
      <c r="V190" s="2">
        <f>U190+Forudsætninger!$E$69</f>
        <v>6.2956902641109833</v>
      </c>
      <c r="W190">
        <f t="shared" si="59"/>
        <v>1</v>
      </c>
      <c r="X190">
        <f>IF(A190+Forudsætninger!$E$60&gt;248,IF(A190+Forudsætninger!$E$60&lt;365,IF(K190&gt;180,IF(K190&lt;260,1,0),0),0),0)</f>
        <v>0</v>
      </c>
      <c r="Y190" s="22">
        <f>IF(X190=0,0,IF('Vækstfunktion, kry kvie'!A190&lt;Forudsætninger!$E$66,Forudsætninger!$E$67+(('Vækstfunktion, kry kvie'!A190-Forudsætninger!$E$66)/7)*Forudsætninger!$E$64,Forudsætninger!$E$67))</f>
        <v>0</v>
      </c>
      <c r="Z190" s="19">
        <f t="shared" si="73"/>
        <v>2773.8770132079208</v>
      </c>
      <c r="AA190" s="19">
        <f>Forudsætninger!$E$62+Forudsætninger!$C$16</f>
        <v>1575</v>
      </c>
      <c r="AB190" s="19">
        <f>IF(K190&gt;Forudsætninger!$C$48,IF(K190&gt;Forudsætninger!$C$49,IF(K190&gt;Forudsætninger!$C$50,Forudsætninger!$E$50,Forudsætninger!$E$49+Forudsætninger!$F$50*(K190-Forudsætninger!$C$49)),Forudsætninger!$E$48+Forudsætninger!$F$49*(K190-Forudsætninger!$C$48)),Forudsætninger!$E$48)+IF(K190&gt;Forudsætninger!$C$50,Forudsætninger!$G$50,IF(K190&gt;Forudsætninger!$C$49,Forudsætninger!$G$49+Forudsætninger!$H$50*(K190-Forudsætninger!$C$49),IF(K190&gt;Forudsætninger!$C$48,Forudsætninger!$G$48+Forudsætninger!$H$49*(K190-Forudsætninger!$C$48),Forudsætninger!$G$48)))*(U190-Forudsætninger!$H$48)</f>
        <v>35.229569026411099</v>
      </c>
      <c r="AC190" s="19">
        <f>IF(K190&gt;Forudsætninger!$C$52,IF(K190&gt;Forudsætninger!$C$53,IF(K190&gt;Forudsætninger!$C$54,Forudsætninger!$E$54,Forudsætninger!$E$53+Forudsætninger!$F$54*(K190-Forudsætninger!$C$53)),Forudsætninger!$E$52+Forudsætninger!$F$53*(K190-Forudsætninger!$C$52)),Forudsætninger!$E$52)+IF(K190&gt;Forudsætninger!$C$54,Forudsætninger!$G$54,IF(K190&gt;Forudsætninger!$C$53,Forudsætninger!$G$53+Forudsætninger!$H$54*(K190-Forudsætninger!$C$53),IF(K190&gt;Forudsætninger!$C$52,Forudsætninger!$G$52+Forudsætninger!$H$53*(K190-Forudsætninger!$C$52),Forudsætninger!$G$52)))*(V190-Forudsætninger!$H$52)</f>
        <v>30.223922566027746</v>
      </c>
      <c r="AD190" s="19">
        <f t="shared" si="60"/>
        <v>4772.7398706354415</v>
      </c>
      <c r="AE190" s="19">
        <f t="shared" si="61"/>
        <v>30.223922566027746</v>
      </c>
      <c r="AF190">
        <f>IF(G190&lt;=Forudsætninger!$C$97,Forudsætninger!$C$98,(IF(G190&lt;=Forudsætninger!$D$97,Forudsætninger!$D$98,IF(G190&lt;=Forudsætninger!$E$97,Forudsætninger!$E$98,IF(G190&lt;=Forudsætninger!$F$97,Forudsætninger!$F$98,IF(G190&lt;=Forudsætninger!$G$97,Forudsætninger!$G$98,IF(G190&lt;=Forudsætninger!$H$97,Forudsætninger!$H$98,IF(G190&lt;=Forudsætninger!$I$97,Forudsætninger!$I$98,Forudsætninger!$I$98))))))))</f>
        <v>3.8</v>
      </c>
      <c r="AG190" s="1">
        <f t="shared" si="70"/>
        <v>4.4000000000000004</v>
      </c>
      <c r="AH190" s="1">
        <f t="shared" si="74"/>
        <v>486.79999999999865</v>
      </c>
      <c r="AI190" s="1">
        <f t="shared" si="62"/>
        <v>2.5893617021276523</v>
      </c>
      <c r="AJ190" s="20">
        <f>+(W190*Forudsætninger!$C$12)</f>
        <v>900</v>
      </c>
      <c r="AK190" s="20">
        <f>Forudsætninger!$C$17</f>
        <v>250</v>
      </c>
      <c r="AL190" s="20">
        <f>IF(A190&lt;92,Forudsætninger!$C$20,Forudsætninger!$C$21)</f>
        <v>1.0566762728146013</v>
      </c>
      <c r="AM190" s="20">
        <f t="shared" si="71"/>
        <v>467.16062214243641</v>
      </c>
      <c r="AN190" s="19">
        <f>IFERROR(AD190+AJ190-AA190-Z190-AK190-AM190-Forudsætninger!$E$75,-999999)</f>
        <v>415.48547394846855</v>
      </c>
      <c r="AO190" s="19">
        <f>IFERROR(AN190/(A190+Forudsætninger!$E$74),-999999)</f>
        <v>2.2100291167471733</v>
      </c>
      <c r="AP190" s="19">
        <f>IFERROR(((365/(A190+Forudsætninger!$E$74))*AN190)/(AI190+Forudsætninger!$E$73),-999999)</f>
        <v>298.83384171039535</v>
      </c>
      <c r="AQ190" s="18">
        <f t="shared" si="63"/>
        <v>188</v>
      </c>
      <c r="AR190" s="18">
        <f t="shared" si="75"/>
        <v>5066.037635350357</v>
      </c>
      <c r="AS190" s="18">
        <f t="shared" si="55"/>
        <v>7.4</v>
      </c>
      <c r="AT190" s="50">
        <f t="shared" si="76"/>
        <v>3.9177846345090757</v>
      </c>
      <c r="AU190" s="50">
        <f t="shared" si="77"/>
        <v>9.1323824479245808E-3</v>
      </c>
      <c r="AV190" s="2">
        <f t="shared" si="78"/>
        <v>0.16353016180278246</v>
      </c>
      <c r="AW190" s="16">
        <f t="shared" si="72"/>
        <v>4.6949260430367286</v>
      </c>
      <c r="AZ190" s="16"/>
      <c r="BA190" s="2"/>
    </row>
    <row r="191" spans="1:53" x14ac:dyDescent="0.25">
      <c r="A191">
        <v>189</v>
      </c>
      <c r="B191" s="1">
        <f>ROUND((A191+Forudsætninger!$E$60)/30.4,1)</f>
        <v>7.4</v>
      </c>
      <c r="C191" s="1">
        <f>VLOOKUP((A191+Forudsætninger!$E$60),'Model tilvækst, slagteform, fe'!A:D,4,FALSE)</f>
        <v>328.61921087476441</v>
      </c>
      <c r="D191" s="3">
        <f t="shared" si="79"/>
        <v>1463.720009644021</v>
      </c>
      <c r="E191" s="3">
        <f>(1+Forudsætninger!$E$78)*C191</f>
        <v>302.32967400478327</v>
      </c>
      <c r="F191" s="2">
        <f t="shared" si="82"/>
        <v>0</v>
      </c>
      <c r="G191" s="1">
        <f t="shared" si="56"/>
        <v>302.32967400478327</v>
      </c>
      <c r="H191" s="3">
        <f t="shared" si="64"/>
        <v>1346.6224088725198</v>
      </c>
      <c r="I191" s="3">
        <f t="shared" si="57"/>
        <v>1239.8395449988534</v>
      </c>
      <c r="J191" s="1">
        <f>VLOOKUP((A191+Forudsætninger!$E$60),'Model tilvækst, slagteform, fe'!G:K,4,FALSE)*(1+Forudsætninger!$E$79)</f>
        <v>52.485535307370228</v>
      </c>
      <c r="K191" s="17">
        <f t="shared" si="58"/>
        <v>158.67934779443783</v>
      </c>
      <c r="L191" s="17">
        <f t="shared" si="65"/>
        <v>766.69234050643809</v>
      </c>
      <c r="M191" s="3">
        <f>((K191-(('Model tilvækst, slagteform, fe'!$J$9/100)*'Model tilvækst, slagteform, fe'!$D$9))*1000/(A191+Forudsætninger!$E$60))</f>
        <v>615.31084293153151</v>
      </c>
      <c r="N191" s="17">
        <f t="shared" si="66"/>
        <v>884.66472145362684</v>
      </c>
      <c r="O191" s="19">
        <f>IF( A191&lt;Forudsætninger!$C$14,(G191/100)*Forudsætninger!$C$13,(Forudsætninger!$C$15/1000)*Forudsætninger!$C$13)</f>
        <v>1.9651428810310911</v>
      </c>
      <c r="P191" s="17" cm="1">
        <f t="array" ref="P191">INDEX('Model tilvækst, slagteform, fe'!$P$9:$P$375,MATCH(MIN(ABS('Model tilvækst, slagteform, fe'!$M$9:$M$375-G191)),ABS('Model tilvækst, slagteform, fe'!$M$9:$M$375-G191),0))*(1+Forudsætninger!$E$80)</f>
        <v>7.1031622326838884</v>
      </c>
      <c r="Q191" s="17">
        <f t="shared" si="67"/>
        <v>9.2646839643551147</v>
      </c>
      <c r="R191" s="17">
        <f t="shared" si="68"/>
        <v>7.0371959823713688</v>
      </c>
      <c r="S191" s="17">
        <f t="shared" si="69"/>
        <v>3.7752995868358035</v>
      </c>
      <c r="T191" s="19">
        <f>(P191)*IF(N191&lt;Forudsætninger!$B$228,IF(N191&lt;Forudsætninger!$B$227,Forudsætninger!$B$225,Forudsætninger!$C$9),Forudsætninger!$C$11)+O191</f>
        <v>18.586542505511389</v>
      </c>
      <c r="U191" s="5">
        <f>Forudsætninger!$E$68+((K191-(Forudsætninger!$E$84)))*0.01</f>
        <v>6.3033571875160472</v>
      </c>
      <c r="V191" s="2">
        <f>U191+Forudsætninger!$E$69</f>
        <v>6.3033571875160472</v>
      </c>
      <c r="W191">
        <f t="shared" si="59"/>
        <v>1</v>
      </c>
      <c r="X191">
        <f>IF(A191+Forudsætninger!$E$60&gt;248,IF(A191+Forudsætninger!$E$60&lt;365,IF(K191&gt;180,IF(K191&lt;260,1,0),0),0),0)</f>
        <v>0</v>
      </c>
      <c r="Y191" s="22">
        <f>IF(X191=0,0,IF('Vækstfunktion, kry kvie'!A191&lt;Forudsætninger!$E$66,Forudsætninger!$E$67+(('Vækstfunktion, kry kvie'!A191-Forudsætninger!$E$66)/7)*Forudsætninger!$E$64,Forudsætninger!$E$67))</f>
        <v>0</v>
      </c>
      <c r="Z191" s="19">
        <f t="shared" si="73"/>
        <v>2792.463555713432</v>
      </c>
      <c r="AA191" s="19">
        <f>Forudsætninger!$E$62+Forudsætninger!$C$16</f>
        <v>1575</v>
      </c>
      <c r="AB191" s="19">
        <f>IF(K191&gt;Forudsætninger!$C$48,IF(K191&gt;Forudsætninger!$C$49,IF(K191&gt;Forudsætninger!$C$50,Forudsætninger!$E$50,Forudsætninger!$E$49+Forudsætninger!$F$50*(K191-Forudsætninger!$C$49)),Forudsætninger!$E$48+Forudsætninger!$F$49*(K191-Forudsætninger!$C$48)),Forudsætninger!$E$48)+IF(K191&gt;Forudsætninger!$C$50,Forudsætninger!$G$50,IF(K191&gt;Forudsætninger!$C$49,Forudsætninger!$G$49+Forudsætninger!$H$50*(K191-Forudsætninger!$C$49),IF(K191&gt;Forudsætninger!$C$48,Forudsætninger!$G$48+Forudsætninger!$H$49*(K191-Forudsætninger!$C$48),Forudsætninger!$G$48)))*(U191-Forudsætninger!$H$48)</f>
        <v>35.230335718751604</v>
      </c>
      <c r="AC191" s="19">
        <f>IF(K191&gt;Forudsætninger!$C$52,IF(K191&gt;Forudsætninger!$C$53,IF(K191&gt;Forudsætninger!$C$54,Forudsætninger!$E$54,Forudsætninger!$E$53+Forudsætninger!$F$54*(K191-Forudsætninger!$C$53)),Forudsætninger!$E$52+Forudsætninger!$F$53*(K191-Forudsætninger!$C$52)),Forudsætninger!$E$52)+IF(K191&gt;Forudsætninger!$C$54,Forudsætninger!$G$54,IF(K191&gt;Forudsætninger!$C$53,Forudsætninger!$G$53+Forudsætninger!$H$54*(K191-Forudsætninger!$C$53),IF(K191&gt;Forudsætninger!$C$52,Forudsætninger!$G$52+Forudsætninger!$H$53*(K191-Forudsætninger!$C$52),Forudsætninger!$G$52)))*(V191-Forudsætninger!$H$52)</f>
        <v>30.225839296879009</v>
      </c>
      <c r="AD191" s="19">
        <f t="shared" si="60"/>
        <v>4796.2164661682509</v>
      </c>
      <c r="AE191" s="19">
        <f t="shared" si="61"/>
        <v>30.225839296879013</v>
      </c>
      <c r="AF191">
        <f>IF(G191&lt;=Forudsætninger!$C$97,Forudsætninger!$C$98,(IF(G191&lt;=Forudsætninger!$D$97,Forudsætninger!$D$98,IF(G191&lt;=Forudsætninger!$E$97,Forudsætninger!$E$98,IF(G191&lt;=Forudsætninger!$F$97,Forudsætninger!$F$98,IF(G191&lt;=Forudsætninger!$G$97,Forudsætninger!$G$98,IF(G191&lt;=Forudsætninger!$H$97,Forudsætninger!$H$98,IF(G191&lt;=Forudsætninger!$I$97,Forudsætninger!$I$98,Forudsætninger!$I$98))))))))</f>
        <v>3.8</v>
      </c>
      <c r="AG191" s="1">
        <f t="shared" si="70"/>
        <v>4.4000000000000004</v>
      </c>
      <c r="AH191" s="1">
        <f t="shared" si="74"/>
        <v>491.19999999999862</v>
      </c>
      <c r="AI191" s="1">
        <f t="shared" si="62"/>
        <v>2.5989417989417918</v>
      </c>
      <c r="AJ191" s="20">
        <f>+(W191*Forudsætninger!$C$12)</f>
        <v>900</v>
      </c>
      <c r="AK191" s="20">
        <f>Forudsætninger!$C$17</f>
        <v>250</v>
      </c>
      <c r="AL191" s="20">
        <f>IF(A191&lt;92,Forudsætninger!$C$20,Forudsætninger!$C$21)</f>
        <v>1.0566762728146013</v>
      </c>
      <c r="AM191" s="20">
        <f t="shared" si="71"/>
        <v>468.21729841525104</v>
      </c>
      <c r="AN191" s="19">
        <f>IFERROR(AD191+AJ191-AA191-Z191-AK191-AM191-Forudsætninger!$E$75,-999999)</f>
        <v>419.31885070295209</v>
      </c>
      <c r="AO191" s="19">
        <f>IFERROR(AN191/(A191+Forudsætninger!$E$74),-999999)</f>
        <v>2.2186182576875773</v>
      </c>
      <c r="AP191" s="19">
        <f>IFERROR(((365/(A191+Forudsætninger!$E$74))*AN191)/(AI191+Forudsætninger!$E$73),-999999)</f>
        <v>298.93431611277157</v>
      </c>
      <c r="AQ191" s="18">
        <f t="shared" si="63"/>
        <v>189</v>
      </c>
      <c r="AR191" s="18">
        <f t="shared" si="75"/>
        <v>5085.6808541286828</v>
      </c>
      <c r="AS191" s="18">
        <f t="shared" si="55"/>
        <v>7.4</v>
      </c>
      <c r="AT191" s="50">
        <f t="shared" si="76"/>
        <v>3.8333767544835382</v>
      </c>
      <c r="AU191" s="50">
        <f t="shared" si="77"/>
        <v>8.589140940403972E-3</v>
      </c>
      <c r="AV191" s="2">
        <f t="shared" si="78"/>
        <v>0.10047440237622141</v>
      </c>
      <c r="AW191" s="16">
        <f t="shared" si="72"/>
        <v>4.6959584609428742</v>
      </c>
      <c r="AZ191" s="16"/>
      <c r="BA191" s="2"/>
    </row>
    <row r="192" spans="1:53" x14ac:dyDescent="0.25">
      <c r="A192">
        <v>190</v>
      </c>
      <c r="B192" s="1">
        <f>ROUND((A192+Forudsætninger!$E$60)/30.4,1)</f>
        <v>7.4</v>
      </c>
      <c r="C192" s="1">
        <f>VLOOKUP((A192+Forudsætninger!$E$60),'Model tilvækst, slagteform, fe'!A:D,4,FALSE)</f>
        <v>330.07933363050154</v>
      </c>
      <c r="D192" s="3">
        <f t="shared" si="79"/>
        <v>1460.1227557371317</v>
      </c>
      <c r="E192" s="3">
        <f>(1+Forudsætninger!$E$78)*C192</f>
        <v>303.67298694006143</v>
      </c>
      <c r="F192" s="2">
        <f t="shared" si="82"/>
        <v>0</v>
      </c>
      <c r="G192" s="1">
        <f t="shared" si="56"/>
        <v>303.67298694006143</v>
      </c>
      <c r="H192" s="3">
        <f t="shared" si="64"/>
        <v>1343.3129352781634</v>
      </c>
      <c r="I192" s="3">
        <f t="shared" si="57"/>
        <v>1240.384141789797</v>
      </c>
      <c r="J192" s="1">
        <f>VLOOKUP((A192+Forudsætninger!$E$60),'Model tilvækst, slagteform, fe'!G:K,4,FALSE)*(1+Forudsætninger!$E$79)</f>
        <v>52.505300029050943</v>
      </c>
      <c r="K192" s="17">
        <f t="shared" si="58"/>
        <v>159.44441290005992</v>
      </c>
      <c r="L192" s="17">
        <f t="shared" si="65"/>
        <v>765.06510562208518</v>
      </c>
      <c r="M192" s="3">
        <f>((K192-(('Model tilvækst, slagteform, fe'!$J$9/100)*'Model tilvækst, slagteform, fe'!$D$9))*1000/(A192+Forudsætninger!$E$60))</f>
        <v>615.97347241246314</v>
      </c>
      <c r="N192" s="17">
        <f t="shared" si="66"/>
        <v>891.79284474707003</v>
      </c>
      <c r="O192" s="19">
        <f>IF( A192&lt;Forudsætninger!$C$14,(G192/100)*Forudsætninger!$C$13,(Forudsætninger!$C$15/1000)*Forudsætninger!$C$13)</f>
        <v>1.9738744151103995</v>
      </c>
      <c r="P192" s="17" cm="1">
        <f t="array" ref="P192">INDEX('Model tilvækst, slagteform, fe'!$P$9:$P$375,MATCH(MIN(ABS('Model tilvækst, slagteform, fe'!$M$9:$M$375-G192)),ABS('Model tilvækst, slagteform, fe'!$M$9:$M$375-G192),0))*(1+Forudsætninger!$E$80)</f>
        <v>7.128123293443152</v>
      </c>
      <c r="Q192" s="17">
        <f t="shared" si="67"/>
        <v>9.3170152985178625</v>
      </c>
      <c r="R192" s="17">
        <f t="shared" si="68"/>
        <v>7.0509866322045065</v>
      </c>
      <c r="S192" s="17">
        <f t="shared" si="69"/>
        <v>3.7840265714198256</v>
      </c>
      <c r="T192" s="19">
        <f>(P192)*IF(N192&lt;Forudsætninger!$B$228,IF(N192&lt;Forudsætninger!$B$227,Forudsætninger!$B$225,Forudsætninger!$C$9),Forudsætninger!$C$11)+O192</f>
        <v>18.653682921767373</v>
      </c>
      <c r="U192" s="5">
        <f>Forudsætninger!$E$68+((K192-(Forudsætninger!$E$84)))*0.01</f>
        <v>6.3110078385722685</v>
      </c>
      <c r="V192" s="2">
        <f>U192+Forudsætninger!$E$69</f>
        <v>6.3110078385722685</v>
      </c>
      <c r="W192">
        <f t="shared" si="59"/>
        <v>1</v>
      </c>
      <c r="X192">
        <f>IF(A192+Forudsætninger!$E$60&gt;248,IF(A192+Forudsætninger!$E$60&lt;365,IF(K192&gt;180,IF(K192&lt;260,1,0),0),0),0)</f>
        <v>0</v>
      </c>
      <c r="Y192" s="22">
        <f>IF(X192=0,0,IF('Vækstfunktion, kry kvie'!A192&lt;Forudsætninger!$E$66,Forudsætninger!$E$67+(('Vækstfunktion, kry kvie'!A192-Forudsætninger!$E$66)/7)*Forudsætninger!$E$64,Forudsætninger!$E$67))</f>
        <v>0</v>
      </c>
      <c r="Z192" s="19">
        <f t="shared" si="73"/>
        <v>2811.1172386351996</v>
      </c>
      <c r="AA192" s="19">
        <f>Forudsætninger!$E$62+Forudsætninger!$C$16</f>
        <v>1575</v>
      </c>
      <c r="AB192" s="19">
        <f>IF(K192&gt;Forudsætninger!$C$48,IF(K192&gt;Forudsætninger!$C$49,IF(K192&gt;Forudsætninger!$C$50,Forudsætninger!$E$50,Forudsætninger!$E$49+Forudsætninger!$F$50*(K192-Forudsætninger!$C$49)),Forudsætninger!$E$48+Forudsætninger!$F$49*(K192-Forudsætninger!$C$48)),Forudsætninger!$E$48)+IF(K192&gt;Forudsætninger!$C$50,Forudsætninger!$G$50,IF(K192&gt;Forudsætninger!$C$49,Forudsætninger!$G$49+Forudsætninger!$H$50*(K192-Forudsætninger!$C$49),IF(K192&gt;Forudsætninger!$C$48,Forudsætninger!$G$48+Forudsætninger!$H$49*(K192-Forudsætninger!$C$48),Forudsætninger!$G$48)))*(U192-Forudsætninger!$H$48)</f>
        <v>35.231100783857229</v>
      </c>
      <c r="AC192" s="19">
        <f>IF(K192&gt;Forudsætninger!$C$52,IF(K192&gt;Forudsætninger!$C$53,IF(K192&gt;Forudsætninger!$C$54,Forudsætninger!$E$54,Forudsætninger!$E$53+Forudsætninger!$F$54*(K192-Forudsætninger!$C$53)),Forudsætninger!$E$52+Forudsætninger!$F$53*(K192-Forudsætninger!$C$52)),Forudsætninger!$E$52)+IF(K192&gt;Forudsætninger!$C$54,Forudsætninger!$G$54,IF(K192&gt;Forudsætninger!$C$53,Forudsætninger!$G$53+Forudsætninger!$H$54*(K192-Forudsætninger!$C$53),IF(K192&gt;Forudsætninger!$C$52,Forudsætninger!$G$52+Forudsætninger!$H$53*(K192-Forudsætninger!$C$52),Forudsætninger!$G$52)))*(V192-Forudsætninger!$H$52)</f>
        <v>30.227751959643065</v>
      </c>
      <c r="AD192" s="19">
        <f t="shared" si="60"/>
        <v>4819.6461644939245</v>
      </c>
      <c r="AE192" s="19">
        <f t="shared" si="61"/>
        <v>30.227751959643069</v>
      </c>
      <c r="AF192">
        <f>IF(G192&lt;=Forudsætninger!$C$97,Forudsætninger!$C$98,(IF(G192&lt;=Forudsætninger!$D$97,Forudsætninger!$D$98,IF(G192&lt;=Forudsætninger!$E$97,Forudsætninger!$E$98,IF(G192&lt;=Forudsætninger!$F$97,Forudsætninger!$F$98,IF(G192&lt;=Forudsætninger!$G$97,Forudsætninger!$G$98,IF(G192&lt;=Forudsætninger!$H$97,Forudsætninger!$H$98,IF(G192&lt;=Forudsætninger!$I$97,Forudsætninger!$I$98,Forudsætninger!$I$98))))))))</f>
        <v>3.8</v>
      </c>
      <c r="AG192" s="1">
        <f t="shared" si="70"/>
        <v>4.4000000000000004</v>
      </c>
      <c r="AH192" s="1">
        <f t="shared" si="74"/>
        <v>495.5999999999986</v>
      </c>
      <c r="AI192" s="1">
        <f t="shared" si="62"/>
        <v>2.6084210526315714</v>
      </c>
      <c r="AJ192" s="20">
        <f>+(W192*Forudsætninger!$C$12)</f>
        <v>900</v>
      </c>
      <c r="AK192" s="20">
        <f>Forudsætninger!$C$17</f>
        <v>250</v>
      </c>
      <c r="AL192" s="20">
        <f>IF(A192&lt;92,Forudsætninger!$C$20,Forudsætninger!$C$21)</f>
        <v>1.0566762728146013</v>
      </c>
      <c r="AM192" s="20">
        <f t="shared" si="71"/>
        <v>469.27397468806566</v>
      </c>
      <c r="AN192" s="19">
        <f>IFERROR(AD192+AJ192-AA192-Z192-AK192-AM192-Forudsætninger!$E$75,-999999)</f>
        <v>423.03818983404346</v>
      </c>
      <c r="AO192" s="19">
        <f>IFERROR(AN192/(A192+Forudsætninger!$E$74),-999999)</f>
        <v>2.2265167886002288</v>
      </c>
      <c r="AP192" s="19">
        <f>IFERROR(((365/(A192+Forudsætninger!$E$74))*AN192)/(AI192+Forudsætninger!$E$73),-999999)</f>
        <v>298.95244780140615</v>
      </c>
      <c r="AQ192" s="18">
        <f t="shared" si="63"/>
        <v>190</v>
      </c>
      <c r="AR192" s="18">
        <f t="shared" si="75"/>
        <v>5105.3912133232643</v>
      </c>
      <c r="AS192" s="18">
        <f t="shared" si="55"/>
        <v>7.4</v>
      </c>
      <c r="AT192" s="50">
        <f t="shared" si="76"/>
        <v>3.7193391310913739</v>
      </c>
      <c r="AU192" s="50">
        <f t="shared" si="77"/>
        <v>7.8985309126515801E-3</v>
      </c>
      <c r="AV192" s="2">
        <f t="shared" si="78"/>
        <v>1.8131688634582588E-2</v>
      </c>
      <c r="AW192" s="16">
        <f t="shared" si="72"/>
        <v>4.6963798132742589</v>
      </c>
      <c r="AZ192" s="16"/>
      <c r="BA192" s="2"/>
    </row>
    <row r="193" spans="1:53" x14ac:dyDescent="0.25">
      <c r="A193">
        <v>191</v>
      </c>
      <c r="B193" s="1">
        <f>ROUND((A193+Forudsætninger!$E$60)/30.4,1)</f>
        <v>7.5</v>
      </c>
      <c r="C193" s="1">
        <f>VLOOKUP((A193+Forudsætninger!$E$60),'Model tilvækst, slagteform, fe'!A:D,4,FALSE)</f>
        <v>331.53582103198045</v>
      </c>
      <c r="D193" s="3">
        <f t="shared" si="79"/>
        <v>1456.4874014789098</v>
      </c>
      <c r="E193" s="3">
        <f>(1+Forudsætninger!$E$78)*C193</f>
        <v>305.01295534942204</v>
      </c>
      <c r="F193" s="2">
        <f t="shared" si="82"/>
        <v>0</v>
      </c>
      <c r="G193" s="1">
        <f t="shared" si="56"/>
        <v>305.01295534942204</v>
      </c>
      <c r="H193" s="3">
        <f t="shared" si="64"/>
        <v>1339.9684093606083</v>
      </c>
      <c r="I193" s="3">
        <f t="shared" si="57"/>
        <v>1240.9055253896443</v>
      </c>
      <c r="J193" s="1">
        <f>VLOOKUP((A193+Forudsætninger!$E$60),'Model tilvækst, slagteform, fe'!G:K,4,FALSE)*(1+Forudsætninger!$E$79)</f>
        <v>52.524920107707928</v>
      </c>
      <c r="K193" s="17">
        <f t="shared" si="58"/>
        <v>160.20781111544278</v>
      </c>
      <c r="L193" s="17">
        <f t="shared" si="65"/>
        <v>763.39821538286401</v>
      </c>
      <c r="M193" s="3">
        <f>((K193-(('Model tilvækst, slagteform, fe'!$J$9/100)*'Model tilvækst, slagteform, fe'!$D$9))*1000/(A193+Forudsætninger!$E$60))</f>
        <v>616.62292061938115</v>
      </c>
      <c r="N193" s="17">
        <f t="shared" si="66"/>
        <v>898.93310677629813</v>
      </c>
      <c r="O193" s="19">
        <f>IF( A193&lt;Forudsætninger!$C$14,(G193/100)*Forudsætninger!$C$13,(Forudsætninger!$C$15/1000)*Forudsætninger!$C$13)</f>
        <v>1.9825842097712434</v>
      </c>
      <c r="P193" s="17" cm="1">
        <f t="array" ref="P193">INDEX('Model tilvækst, slagteform, fe'!$P$9:$P$375,MATCH(MIN(ABS('Model tilvækst, slagteform, fe'!$M$9:$M$375-G193)),ABS('Model tilvækst, slagteform, fe'!$M$9:$M$375-G193),0))*(1+Forudsætninger!$E$80)</f>
        <v>7.140262029228067</v>
      </c>
      <c r="Q193" s="17">
        <f t="shared" si="67"/>
        <v>9.3532600487506254</v>
      </c>
      <c r="R193" s="17">
        <f t="shared" si="68"/>
        <v>7.0647993932369362</v>
      </c>
      <c r="S193" s="17">
        <f t="shared" si="69"/>
        <v>3.792759368157848</v>
      </c>
      <c r="T193" s="19">
        <f>(P193)*IF(N193&lt;Forudsætninger!$B$228,IF(N193&lt;Forudsætninger!$B$227,Forudsætninger!$B$225,Forudsætninger!$C$9),Forudsætninger!$C$11)+O193</f>
        <v>18.690797358164918</v>
      </c>
      <c r="U193" s="5">
        <f>Forudsætninger!$E$68+((K193-(Forudsætninger!$E$84)))*0.01</f>
        <v>6.3186418207260973</v>
      </c>
      <c r="V193" s="2">
        <f>U193+Forudsætninger!$E$69</f>
        <v>6.3186418207260973</v>
      </c>
      <c r="W193">
        <f t="shared" si="59"/>
        <v>1</v>
      </c>
      <c r="X193">
        <f>IF(A193+Forudsætninger!$E$60&gt;248,IF(A193+Forudsætninger!$E$60&lt;365,IF(K193&gt;180,IF(K193&lt;260,1,0),0),0),0)</f>
        <v>0</v>
      </c>
      <c r="Y193" s="22">
        <f>IF(X193=0,0,IF('Vækstfunktion, kry kvie'!A193&lt;Forudsætninger!$E$66,Forudsætninger!$E$67+(('Vækstfunktion, kry kvie'!A193-Forudsætninger!$E$66)/7)*Forudsætninger!$E$64,Forudsætninger!$E$67))</f>
        <v>0</v>
      </c>
      <c r="Z193" s="19">
        <f t="shared" si="73"/>
        <v>2829.8080359933647</v>
      </c>
      <c r="AA193" s="19">
        <f>Forudsætninger!$E$62+Forudsætninger!$C$16</f>
        <v>1575</v>
      </c>
      <c r="AB193" s="19">
        <f>IF(K193&gt;Forudsætninger!$C$48,IF(K193&gt;Forudsætninger!$C$49,IF(K193&gt;Forudsætninger!$C$50,Forudsætninger!$E$50,Forudsætninger!$E$49+Forudsætninger!$F$50*(K193-Forudsætninger!$C$49)),Forudsætninger!$E$48+Forudsætninger!$F$49*(K193-Forudsætninger!$C$48)),Forudsætninger!$E$48)+IF(K193&gt;Forudsætninger!$C$50,Forudsætninger!$G$50,IF(K193&gt;Forudsætninger!$C$49,Forudsætninger!$G$49+Forudsætninger!$H$50*(K193-Forudsætninger!$C$49),IF(K193&gt;Forudsætninger!$C$48,Forudsætninger!$G$48+Forudsætninger!$H$49*(K193-Forudsætninger!$C$48),Forudsætninger!$G$48)))*(U193-Forudsætninger!$H$48)</f>
        <v>35.231864182072613</v>
      </c>
      <c r="AC193" s="19">
        <f>IF(K193&gt;Forudsætninger!$C$52,IF(K193&gt;Forudsætninger!$C$53,IF(K193&gt;Forudsætninger!$C$54,Forudsætninger!$E$54,Forudsætninger!$E$53+Forudsætninger!$F$54*(K193-Forudsætninger!$C$53)),Forudsætninger!$E$52+Forudsætninger!$F$53*(K193-Forudsætninger!$C$52)),Forudsætninger!$E$52)+IF(K193&gt;Forudsætninger!$C$54,Forudsætninger!$G$54,IF(K193&gt;Forudsætninger!$C$53,Forudsætninger!$G$53+Forudsætninger!$H$54*(K193-Forudsætninger!$C$53),IF(K193&gt;Forudsætninger!$C$52,Forudsætninger!$G$52+Forudsætninger!$H$53*(K193-Forudsætninger!$C$52),Forudsætninger!$G$52)))*(V193-Forudsætninger!$H$52)</f>
        <v>30.229660455181524</v>
      </c>
      <c r="AD193" s="19">
        <f t="shared" si="60"/>
        <v>4843.0277322876918</v>
      </c>
      <c r="AE193" s="19">
        <f t="shared" si="61"/>
        <v>30.229660455181527</v>
      </c>
      <c r="AF193">
        <f>IF(G193&lt;=Forudsætninger!$C$97,Forudsætninger!$C$98,(IF(G193&lt;=Forudsætninger!$D$97,Forudsætninger!$D$98,IF(G193&lt;=Forudsætninger!$E$97,Forudsætninger!$E$98,IF(G193&lt;=Forudsætninger!$F$97,Forudsætninger!$F$98,IF(G193&lt;=Forudsætninger!$G$97,Forudsætninger!$G$98,IF(G193&lt;=Forudsætninger!$H$97,Forudsætninger!$H$98,IF(G193&lt;=Forudsætninger!$I$97,Forudsætninger!$I$98,Forudsætninger!$I$98))))))))</f>
        <v>3.8</v>
      </c>
      <c r="AG193" s="1">
        <f t="shared" si="70"/>
        <v>4.4000000000000004</v>
      </c>
      <c r="AH193" s="1">
        <f t="shared" si="74"/>
        <v>499.99999999999858</v>
      </c>
      <c r="AI193" s="1">
        <f t="shared" si="62"/>
        <v>2.6178010471204116</v>
      </c>
      <c r="AJ193" s="20">
        <f>+(W193*Forudsætninger!$C$12)</f>
        <v>900</v>
      </c>
      <c r="AK193" s="20">
        <f>Forudsætninger!$C$17</f>
        <v>250</v>
      </c>
      <c r="AL193" s="20">
        <f>IF(A193&lt;92,Forudsætninger!$C$20,Forudsætninger!$C$21)</f>
        <v>1.0566762728146013</v>
      </c>
      <c r="AM193" s="20">
        <f t="shared" si="71"/>
        <v>470.33065096088029</v>
      </c>
      <c r="AN193" s="19">
        <f>IFERROR(AD193+AJ193-AA193-Z193-AK193-AM193-Forudsætninger!$E$75,-999999)</f>
        <v>426.67228399683097</v>
      </c>
      <c r="AO193" s="19">
        <f>IFERROR(AN193/(A193+Forudsætninger!$E$74),-999999)</f>
        <v>2.2338863036483296</v>
      </c>
      <c r="AP193" s="19">
        <f>IFERROR(((365/(A193+Forudsætninger!$E$74))*AN193)/(AI193+Forudsætninger!$E$73),-999999)</f>
        <v>298.91054616771982</v>
      </c>
      <c r="AQ193" s="18">
        <f t="shared" si="63"/>
        <v>191</v>
      </c>
      <c r="AR193" s="18">
        <f t="shared" si="75"/>
        <v>5125.1386869542448</v>
      </c>
      <c r="AS193" s="18">
        <f t="shared" si="55"/>
        <v>7.5</v>
      </c>
      <c r="AT193" s="50">
        <f t="shared" si="76"/>
        <v>3.6340941627875054</v>
      </c>
      <c r="AU193" s="50">
        <f t="shared" si="77"/>
        <v>7.3695150481007943E-3</v>
      </c>
      <c r="AV193" s="2">
        <f t="shared" si="78"/>
        <v>-4.1901633686336481E-2</v>
      </c>
      <c r="AW193" s="16">
        <f t="shared" si="72"/>
        <v>4.6963504448047706</v>
      </c>
      <c r="AZ193" s="16"/>
      <c r="BA193" s="2"/>
    </row>
    <row r="194" spans="1:53" x14ac:dyDescent="0.25">
      <c r="A194">
        <v>192</v>
      </c>
      <c r="B194" s="1">
        <f>ROUND((A194+Forudsætninger!$E$60)/30.4,1)</f>
        <v>7.5</v>
      </c>
      <c r="C194" s="1">
        <f>VLOOKUP((A194+Forudsætninger!$E$60),'Model tilvækst, slagteform, fe'!A:D,4,FALSE)</f>
        <v>332.98863556387062</v>
      </c>
      <c r="D194" s="3">
        <f t="shared" si="79"/>
        <v>1452.8145318901693</v>
      </c>
      <c r="E194" s="3">
        <f>(1+Forudsætninger!$E$78)*C194</f>
        <v>306.34954471876097</v>
      </c>
      <c r="F194" s="2">
        <f t="shared" si="82"/>
        <v>0</v>
      </c>
      <c r="G194" s="1">
        <f t="shared" si="56"/>
        <v>306.34954471876097</v>
      </c>
      <c r="H194" s="3">
        <f t="shared" si="64"/>
        <v>1336.5893693389239</v>
      </c>
      <c r="I194" s="3">
        <f t="shared" si="57"/>
        <v>1241.4038787435468</v>
      </c>
      <c r="J194" s="1">
        <f>VLOOKUP((A194+Forudsætninger!$E$60),'Model tilvækst, slagteform, fe'!G:K,4,FALSE)*(1+Forudsætninger!$E$79)</f>
        <v>52.544391073720703</v>
      </c>
      <c r="K194" s="17">
        <f t="shared" si="58"/>
        <v>160.96950282958866</v>
      </c>
      <c r="L194" s="17">
        <f t="shared" si="65"/>
        <v>761.69171414588277</v>
      </c>
      <c r="M194" s="3">
        <f>((K194-(('Model tilvækst, slagteform, fe'!$J$9/100)*'Model tilvækst, slagteform, fe'!$D$9))*1000/(A194+Forudsætninger!$E$60))</f>
        <v>617.2591872576553</v>
      </c>
      <c r="N194" s="17">
        <f t="shared" si="66"/>
        <v>906.0852760955612</v>
      </c>
      <c r="O194" s="19">
        <f>IF( A194&lt;Forudsætninger!$C$14,(G194/100)*Forudsætninger!$C$13,(Forudsætninger!$C$15/1000)*Forudsætninger!$C$13)</f>
        <v>1.9912720406719464</v>
      </c>
      <c r="P194" s="17" cm="1">
        <f t="array" ref="P194">INDEX('Model tilvækst, slagteform, fe'!$P$9:$P$375,MATCH(MIN(ABS('Model tilvækst, slagteform, fe'!$M$9:$M$375-G194)),ABS('Model tilvækst, slagteform, fe'!$M$9:$M$375-G194),0))*(1+Forudsætninger!$E$80)</f>
        <v>7.1521693192631126</v>
      </c>
      <c r="Q194" s="17">
        <f t="shared" si="67"/>
        <v>9.3898478694666423</v>
      </c>
      <c r="R194" s="17">
        <f t="shared" si="68"/>
        <v>7.0786347918643342</v>
      </c>
      <c r="S194" s="17">
        <f t="shared" si="69"/>
        <v>3.8014978260801411</v>
      </c>
      <c r="T194" s="19">
        <f>(P194)*IF(N194&lt;Forudsætninger!$B$228,IF(N194&lt;Forudsætninger!$B$227,Forudsætninger!$B$225,Forudsætninger!$C$9),Forudsætninger!$C$11)+O194</f>
        <v>18.727348247747631</v>
      </c>
      <c r="U194" s="5">
        <f>Forudsætninger!$E$68+((K194-(Forudsætninger!$E$84)))*0.01</f>
        <v>6.3262587378675557</v>
      </c>
      <c r="V194" s="2">
        <f>U194+Forudsætninger!$E$69</f>
        <v>6.3262587378675557</v>
      </c>
      <c r="W194">
        <f t="shared" si="59"/>
        <v>1</v>
      </c>
      <c r="X194">
        <f>IF(A194+Forudsætninger!$E$60&gt;248,IF(A194+Forudsætninger!$E$60&lt;365,IF(K194&gt;180,IF(K194&lt;260,1,0),0),0),0)</f>
        <v>0</v>
      </c>
      <c r="Y194" s="22">
        <f>IF(X194=0,0,IF('Vækstfunktion, kry kvie'!A194&lt;Forudsætninger!$E$66,Forudsætninger!$E$67+(('Vækstfunktion, kry kvie'!A194-Forudsætninger!$E$66)/7)*Forudsætninger!$E$64,Forudsætninger!$E$67))</f>
        <v>0</v>
      </c>
      <c r="Z194" s="19">
        <f t="shared" si="73"/>
        <v>2848.5353842411123</v>
      </c>
      <c r="AA194" s="19">
        <f>Forudsætninger!$E$62+Forudsætninger!$C$16</f>
        <v>1575</v>
      </c>
      <c r="AB194" s="19">
        <f>IF(K194&gt;Forudsætninger!$C$48,IF(K194&gt;Forudsætninger!$C$49,IF(K194&gt;Forudsætninger!$C$50,Forudsætninger!$E$50,Forudsætninger!$E$49+Forudsætninger!$F$50*(K194-Forudsætninger!$C$49)),Forudsætninger!$E$48+Forudsætninger!$F$49*(K194-Forudsætninger!$C$48)),Forudsætninger!$E$48)+IF(K194&gt;Forudsætninger!$C$50,Forudsætninger!$G$50,IF(K194&gt;Forudsætninger!$C$49,Forudsætninger!$G$49+Forudsætninger!$H$50*(K194-Forudsætninger!$C$49),IF(K194&gt;Forudsætninger!$C$48,Forudsætninger!$G$48+Forudsætninger!$H$49*(K194-Forudsætninger!$C$48),Forudsætninger!$G$48)))*(U194-Forudsætninger!$H$48)</f>
        <v>35.232625873786759</v>
      </c>
      <c r="AC194" s="19">
        <f>IF(K194&gt;Forudsætninger!$C$52,IF(K194&gt;Forudsætninger!$C$53,IF(K194&gt;Forudsætninger!$C$54,Forudsætninger!$E$54,Forudsætninger!$E$53+Forudsætninger!$F$54*(K194-Forudsætninger!$C$53)),Forudsætninger!$E$52+Forudsætninger!$F$53*(K194-Forudsætninger!$C$52)),Forudsætninger!$E$52)+IF(K194&gt;Forudsætninger!$C$54,Forudsætninger!$G$54,IF(K194&gt;Forudsætninger!$C$53,Forudsætninger!$G$53+Forudsætninger!$H$54*(K194-Forudsætninger!$C$53),IF(K194&gt;Forudsætninger!$C$52,Forudsætninger!$G$52+Forudsætninger!$H$53*(K194-Forudsætninger!$C$52),Forudsætninger!$G$52)))*(V194-Forudsætninger!$H$52)</f>
        <v>30.231564684466889</v>
      </c>
      <c r="AD194" s="19">
        <f t="shared" si="60"/>
        <v>4866.359937019186</v>
      </c>
      <c r="AE194" s="19">
        <f t="shared" si="61"/>
        <v>30.231564684466893</v>
      </c>
      <c r="AF194">
        <f>IF(G194&lt;=Forudsætninger!$C$97,Forudsætninger!$C$98,(IF(G194&lt;=Forudsætninger!$D$97,Forudsætninger!$D$98,IF(G194&lt;=Forudsætninger!$E$97,Forudsætninger!$E$98,IF(G194&lt;=Forudsætninger!$F$97,Forudsætninger!$F$98,IF(G194&lt;=Forudsætninger!$G$97,Forudsætninger!$G$98,IF(G194&lt;=Forudsætninger!$H$97,Forudsætninger!$H$98,IF(G194&lt;=Forudsætninger!$I$97,Forudsætninger!$I$98,Forudsætninger!$I$98))))))))</f>
        <v>3.8</v>
      </c>
      <c r="AG194" s="1">
        <f t="shared" si="70"/>
        <v>4.4000000000000004</v>
      </c>
      <c r="AH194" s="1">
        <f t="shared" si="74"/>
        <v>504.39999999999856</v>
      </c>
      <c r="AI194" s="1">
        <f t="shared" si="62"/>
        <v>2.6270833333333257</v>
      </c>
      <c r="AJ194" s="20">
        <f>+(W194*Forudsætninger!$C$12)</f>
        <v>900</v>
      </c>
      <c r="AK194" s="20">
        <f>Forudsætninger!$C$17</f>
        <v>250</v>
      </c>
      <c r="AL194" s="20">
        <f>IF(A194&lt;92,Forudsætninger!$C$20,Forudsætninger!$C$21)</f>
        <v>1.0566762728146013</v>
      </c>
      <c r="AM194" s="20">
        <f t="shared" si="71"/>
        <v>471.38732723369492</v>
      </c>
      <c r="AN194" s="19">
        <f>IFERROR(AD194+AJ194-AA194-Z194-AK194-AM194-Forudsætninger!$E$75,-999999)</f>
        <v>430.22046420776292</v>
      </c>
      <c r="AO194" s="19">
        <f>IFERROR(AN194/(A194+Forudsætninger!$E$74),-999999)</f>
        <v>2.2407315844154319</v>
      </c>
      <c r="AP194" s="19">
        <f>IFERROR(((365/(A194+Forudsætninger!$E$74))*AN194)/(AI194+Forudsætninger!$E$73),-999999)</f>
        <v>298.80969218266466</v>
      </c>
      <c r="AQ194" s="18">
        <f t="shared" si="63"/>
        <v>192</v>
      </c>
      <c r="AR194" s="18">
        <f t="shared" si="75"/>
        <v>5144.9227114748073</v>
      </c>
      <c r="AS194" s="18">
        <f t="shared" ref="AS194:AS257" si="83">B194</f>
        <v>7.5</v>
      </c>
      <c r="AT194" s="50">
        <f t="shared" si="76"/>
        <v>3.548180210931946</v>
      </c>
      <c r="AU194" s="50">
        <f t="shared" si="77"/>
        <v>6.8452807671022242E-3</v>
      </c>
      <c r="AV194" s="2">
        <f t="shared" si="78"/>
        <v>-0.10085398505515286</v>
      </c>
      <c r="AW194" s="16">
        <f t="shared" si="72"/>
        <v>4.6958739137575929</v>
      </c>
      <c r="AZ194" s="16"/>
      <c r="BA194" s="2"/>
    </row>
    <row r="195" spans="1:53" x14ac:dyDescent="0.25">
      <c r="A195">
        <v>193</v>
      </c>
      <c r="B195" s="1">
        <f>ROUND((A195+Forudsætninger!$E$60)/30.4,1)</f>
        <v>7.5</v>
      </c>
      <c r="C195" s="1">
        <f>VLOOKUP((A195+Forudsætninger!$E$60),'Model tilvækst, slagteform, fe'!A:D,4,FALSE)</f>
        <v>334.437740295862</v>
      </c>
      <c r="D195" s="3">
        <f t="shared" si="79"/>
        <v>1449.1047319913832</v>
      </c>
      <c r="E195" s="3">
        <f>(1+Forudsætninger!$E$78)*C195</f>
        <v>307.68272107219303</v>
      </c>
      <c r="F195" s="2">
        <f t="shared" si="82"/>
        <v>0</v>
      </c>
      <c r="G195" s="1">
        <f t="shared" ref="G195:G258" si="84">E195+F195</f>
        <v>307.68272107219303</v>
      </c>
      <c r="H195" s="3">
        <f t="shared" si="64"/>
        <v>1333.1763534320658</v>
      </c>
      <c r="I195" s="3">
        <f t="shared" ref="I195:I258" si="85">(G195-$G$2)*1000/A195</f>
        <v>1241.8793837937462</v>
      </c>
      <c r="J195" s="1">
        <f>VLOOKUP((A195+Forudsætninger!$E$60),'Model tilvækst, slagteform, fe'!G:K,4,FALSE)*(1+Forudsætninger!$E$79)</f>
        <v>52.563708457468778</v>
      </c>
      <c r="K195" s="17">
        <f t="shared" ref="K195:K258" si="86">G195*(J195/100)</f>
        <v>161.7294484783944</v>
      </c>
      <c r="L195" s="17">
        <f t="shared" si="65"/>
        <v>759.94564880573989</v>
      </c>
      <c r="M195" s="3">
        <f>((K195-(('Model tilvækst, slagteform, fe'!$J$9/100)*'Model tilvækst, slagteform, fe'!$D$9))*1000/(A195+Forudsætninger!$E$60))</f>
        <v>617.88227224258139</v>
      </c>
      <c r="N195" s="17">
        <f t="shared" si="66"/>
        <v>913.2491185720944</v>
      </c>
      <c r="O195" s="19">
        <f>IF( A195&lt;Forudsætninger!$C$14,(G195/100)*Forudsætninger!$C$13,(Forudsætninger!$C$15/1000)*Forudsætninger!$C$13)</f>
        <v>1.9999376869692549</v>
      </c>
      <c r="P195" s="17" cm="1">
        <f t="array" ref="P195">INDEX('Model tilvækst, slagteform, fe'!$P$9:$P$375,MATCH(MIN(ABS('Model tilvækst, slagteform, fe'!$M$9:$M$375-G195)),ABS('Model tilvækst, slagteform, fe'!$M$9:$M$375-G195),0))*(1+Forudsætninger!$E$80)</f>
        <v>7.1638424765332402</v>
      </c>
      <c r="Q195" s="17">
        <f t="shared" si="67"/>
        <v>9.426782675565379</v>
      </c>
      <c r="R195" s="17">
        <f t="shared" si="68"/>
        <v>7.0924933373730426</v>
      </c>
      <c r="S195" s="17">
        <f t="shared" si="69"/>
        <v>3.8102417833324811</v>
      </c>
      <c r="T195" s="19">
        <f>(P195)*IF(N195&lt;Forudsætninger!$B$228,IF(N195&lt;Forudsætninger!$B$227,Forudsætninger!$B$225,Forudsætninger!$C$9),Forudsætninger!$C$11)+O195</f>
        <v>18.763329082057034</v>
      </c>
      <c r="U195" s="5">
        <f>Forudsætninger!$E$68+((K195-(Forudsætninger!$E$84)))*0.01</f>
        <v>6.3338581943556136</v>
      </c>
      <c r="V195" s="2">
        <f>U195+Forudsætninger!$E$69</f>
        <v>6.3338581943556136</v>
      </c>
      <c r="W195">
        <f t="shared" ref="W195:W258" si="87">IF(K195&gt;130,1,0)</f>
        <v>1</v>
      </c>
      <c r="X195">
        <f>IF(A195+Forudsætninger!$E$60&gt;248,IF(A195+Forudsætninger!$E$60&lt;365,IF(K195&gt;180,IF(K195&lt;260,1,0),0),0),0)</f>
        <v>0</v>
      </c>
      <c r="Y195" s="22">
        <f>IF(X195=0,0,IF('Vækstfunktion, kry kvie'!A195&lt;Forudsætninger!$E$66,Forudsætninger!$E$67+(('Vækstfunktion, kry kvie'!A195-Forudsætninger!$E$66)/7)*Forudsætninger!$E$64,Forudsætninger!$E$67))</f>
        <v>0</v>
      </c>
      <c r="Z195" s="19">
        <f t="shared" si="73"/>
        <v>2867.2987133231695</v>
      </c>
      <c r="AA195" s="19">
        <f>Forudsætninger!$E$62+Forudsætninger!$C$16</f>
        <v>1575</v>
      </c>
      <c r="AB195" s="19">
        <f>IF(K195&gt;Forudsætninger!$C$48,IF(K195&gt;Forudsætninger!$C$49,IF(K195&gt;Forudsætninger!$C$50,Forudsætninger!$E$50,Forudsætninger!$E$49+Forudsætninger!$F$50*(K195-Forudsætninger!$C$49)),Forudsætninger!$E$48+Forudsætninger!$F$49*(K195-Forudsætninger!$C$48)),Forudsætninger!$E$48)+IF(K195&gt;Forudsætninger!$C$50,Forudsætninger!$G$50,IF(K195&gt;Forudsætninger!$C$49,Forudsætninger!$G$49+Forudsætninger!$H$50*(K195-Forudsætninger!$C$49),IF(K195&gt;Forudsætninger!$C$48,Forudsætninger!$G$48+Forudsætninger!$H$49*(K195-Forudsætninger!$C$48),Forudsætninger!$G$48)))*(U195-Forudsætninger!$H$48)</f>
        <v>35.233385819435561</v>
      </c>
      <c r="AC195" s="19">
        <f>IF(K195&gt;Forudsætninger!$C$52,IF(K195&gt;Forudsætninger!$C$53,IF(K195&gt;Forudsætninger!$C$54,Forudsætninger!$E$54,Forudsætninger!$E$53+Forudsætninger!$F$54*(K195-Forudsætninger!$C$53)),Forudsætninger!$E$52+Forudsætninger!$F$53*(K195-Forudsætninger!$C$52)),Forudsætninger!$E$52)+IF(K195&gt;Forudsætninger!$C$54,Forudsætninger!$G$54,IF(K195&gt;Forudsætninger!$C$53,Forudsætninger!$G$53+Forudsætninger!$H$54*(K195-Forudsætninger!$C$53),IF(K195&gt;Forudsætninger!$C$52,Forudsætninger!$G$52+Forudsætninger!$H$53*(K195-Forudsætninger!$C$52),Forudsætninger!$G$52)))*(V195-Forudsætninger!$H$52)</f>
        <v>30.233464548588902</v>
      </c>
      <c r="AD195" s="19">
        <f t="shared" ref="AD195:AD258" si="88">(K195*(Y195*AB195+((1-Y195)*AC195)))</f>
        <v>4889.6415470343727</v>
      </c>
      <c r="AE195" s="19">
        <f t="shared" ref="AE195:AE258" si="89">AD195/K195</f>
        <v>30.233464548588902</v>
      </c>
      <c r="AF195">
        <f>IF(G195&lt;=Forudsætninger!$C$97,Forudsætninger!$C$98,(IF(G195&lt;=Forudsætninger!$D$97,Forudsætninger!$D$98,IF(G195&lt;=Forudsætninger!$E$97,Forudsætninger!$E$98,IF(G195&lt;=Forudsætninger!$F$97,Forudsætninger!$F$98,IF(G195&lt;=Forudsætninger!$G$97,Forudsætninger!$G$98,IF(G195&lt;=Forudsætninger!$H$97,Forudsætninger!$H$98,IF(G195&lt;=Forudsætninger!$I$97,Forudsætninger!$I$98,Forudsætninger!$I$98))))))))</f>
        <v>3.8</v>
      </c>
      <c r="AG195" s="1">
        <f t="shared" si="70"/>
        <v>4.4000000000000004</v>
      </c>
      <c r="AH195" s="1">
        <f t="shared" si="74"/>
        <v>508.79999999999853</v>
      </c>
      <c r="AI195" s="1">
        <f t="shared" ref="AI195:AI258" si="90">AH195/A195</f>
        <v>2.6362694300518057</v>
      </c>
      <c r="AJ195" s="20">
        <f>+(W195*Forudsætninger!$C$12)</f>
        <v>900</v>
      </c>
      <c r="AK195" s="20">
        <f>Forudsætninger!$C$17</f>
        <v>250</v>
      </c>
      <c r="AL195" s="20">
        <f>IF(A195&lt;92,Forudsætninger!$C$20,Forudsætninger!$C$21)</f>
        <v>1.0566762728146013</v>
      </c>
      <c r="AM195" s="20">
        <f t="shared" si="71"/>
        <v>472.44400350650955</v>
      </c>
      <c r="AN195" s="19">
        <f>IFERROR(AD195+AJ195-AA195-Z195-AK195-AM195-Forudsætninger!$E$75,-999999)</f>
        <v>433.68206886807786</v>
      </c>
      <c r="AO195" s="19">
        <f>IFERROR(AN195/(A195+Forudsætninger!$E$74),-999999)</f>
        <v>2.2470573516480719</v>
      </c>
      <c r="AP195" s="19">
        <f>IFERROR(((365/(A195+Forudsætninger!$E$74))*AN195)/(AI195+Forudsætninger!$E$73),-999999)</f>
        <v>298.650935110935</v>
      </c>
      <c r="AQ195" s="18">
        <f t="shared" ref="AQ195:AQ258" si="91">A195</f>
        <v>193</v>
      </c>
      <c r="AR195" s="18">
        <f t="shared" si="75"/>
        <v>5164.742716829679</v>
      </c>
      <c r="AS195" s="18">
        <f t="shared" si="83"/>
        <v>7.5</v>
      </c>
      <c r="AT195" s="50">
        <f t="shared" si="76"/>
        <v>3.4616046603149471</v>
      </c>
      <c r="AU195" s="50">
        <f t="shared" si="77"/>
        <v>6.3257672326400005E-3</v>
      </c>
      <c r="AV195" s="2">
        <f t="shared" si="78"/>
        <v>-0.15875707172966713</v>
      </c>
      <c r="AW195" s="16">
        <f t="shared" si="72"/>
        <v>4.6949537428735102</v>
      </c>
      <c r="AZ195" s="16"/>
      <c r="BA195" s="2"/>
    </row>
    <row r="196" spans="1:53" x14ac:dyDescent="0.25">
      <c r="A196">
        <v>194</v>
      </c>
      <c r="B196" s="1">
        <f>ROUND((A196+Forudsætninger!$E$60)/30.4,1)</f>
        <v>7.6</v>
      </c>
      <c r="C196" s="1">
        <f>VLOOKUP((A196+Forudsætninger!$E$60),'Model tilvækst, slagteform, fe'!A:D,4,FALSE)</f>
        <v>335.88309888266525</v>
      </c>
      <c r="D196" s="3">
        <f t="shared" si="79"/>
        <v>1445.3585868032519</v>
      </c>
      <c r="E196" s="3">
        <f>(1+Forudsætninger!$E$78)*C196</f>
        <v>309.01245097205202</v>
      </c>
      <c r="F196" s="2">
        <f t="shared" ref="F196:F259" si="92">MAX(F195-((D196/1000)/15),0)</f>
        <v>0</v>
      </c>
      <c r="G196" s="1">
        <f t="shared" si="84"/>
        <v>309.01245097205202</v>
      </c>
      <c r="H196" s="3">
        <f t="shared" ref="H196:H259" si="93">(G196-G195)*1000</f>
        <v>1329.7298998589895</v>
      </c>
      <c r="I196" s="3">
        <f t="shared" si="85"/>
        <v>1242.3322215054229</v>
      </c>
      <c r="J196" s="1">
        <f>VLOOKUP((A196+Forudsætninger!$E$60),'Model tilvækst, slagteform, fe'!G:K,4,FALSE)*(1+Forudsætninger!$E$79)</f>
        <v>52.582867789331701</v>
      </c>
      <c r="K196" s="17">
        <f t="shared" si="86"/>
        <v>162.48760854720754</v>
      </c>
      <c r="L196" s="17">
        <f t="shared" ref="L196:L259" si="94">(K196-K195)*1000</f>
        <v>758.16006881314024</v>
      </c>
      <c r="M196" s="3">
        <f>((K196-(('Model tilvækst, slagteform, fe'!$J$9/100)*'Model tilvækst, slagteform, fe'!$D$9))*1000/(A196+Forudsætninger!$E$60))</f>
        <v>618.49217570593169</v>
      </c>
      <c r="N196" s="17">
        <f t="shared" ref="N196:N259" si="95">N195+P196</f>
        <v>920.42439738611779</v>
      </c>
      <c r="O196" s="19">
        <f>IF( A196&lt;Forudsætninger!$C$14,(G196/100)*Forudsætninger!$C$13,(Forudsætninger!$C$15/1000)*Forudsætninger!$C$13)</f>
        <v>2.0085809313183383</v>
      </c>
      <c r="P196" s="17" cm="1">
        <f t="array" ref="P196">INDEX('Model tilvækst, slagteform, fe'!$P$9:$P$375,MATCH(MIN(ABS('Model tilvækst, slagteform, fe'!$M$9:$M$375-G196)),ABS('Model tilvækst, slagteform, fe'!$M$9:$M$375-G196),0))*(1+Forudsætninger!$E$80)</f>
        <v>7.1752788140234065</v>
      </c>
      <c r="Q196" s="17">
        <f t="shared" ref="Q196:Q259" si="96">P196/(L196/1000)</f>
        <v>9.4640684852420787</v>
      </c>
      <c r="R196" s="17">
        <f t="shared" ref="R196:R259" si="97">N196/(K196-$K$2)</f>
        <v>7.1063755224156377</v>
      </c>
      <c r="S196" s="17">
        <f t="shared" ref="S196:S259" si="98">N196/(G196-$G$2)</f>
        <v>3.8189910673654404</v>
      </c>
      <c r="T196" s="19">
        <f>(P196)*IF(N196&lt;Forudsætninger!$B$228,IF(N196&lt;Forudsætninger!$B$227,Forudsætninger!$B$225,Forudsætninger!$C$9),Forudsætninger!$C$11)+O196</f>
        <v>18.798733356133109</v>
      </c>
      <c r="U196" s="5">
        <f>Forudsætninger!$E$68+((K196-(Forudsætninger!$E$84)))*0.01</f>
        <v>6.3414397950437449</v>
      </c>
      <c r="V196" s="2">
        <f>U196+Forudsætninger!$E$69</f>
        <v>6.3414397950437449</v>
      </c>
      <c r="W196">
        <f t="shared" si="87"/>
        <v>1</v>
      </c>
      <c r="X196">
        <f>IF(A196+Forudsætninger!$E$60&gt;248,IF(A196+Forudsætninger!$E$60&lt;365,IF(K196&gt;180,IF(K196&lt;260,1,0),0),0),0)</f>
        <v>0</v>
      </c>
      <c r="Y196" s="22">
        <f>IF(X196=0,0,IF('Vækstfunktion, kry kvie'!A196&lt;Forudsætninger!$E$66,Forudsætninger!$E$67+(('Vækstfunktion, kry kvie'!A196-Forudsætninger!$E$66)/7)*Forudsætninger!$E$64,Forudsætninger!$E$67))</f>
        <v>0</v>
      </c>
      <c r="Z196" s="19">
        <f t="shared" si="73"/>
        <v>2886.0974466793027</v>
      </c>
      <c r="AA196" s="19">
        <f>Forudsætninger!$E$62+Forudsætninger!$C$16</f>
        <v>1575</v>
      </c>
      <c r="AB196" s="19">
        <f>IF(K196&gt;Forudsætninger!$C$48,IF(K196&gt;Forudsætninger!$C$49,IF(K196&gt;Forudsætninger!$C$50,Forudsætninger!$E$50,Forudsætninger!$E$49+Forudsætninger!$F$50*(K196-Forudsætninger!$C$49)),Forudsætninger!$E$48+Forudsætninger!$F$49*(K196-Forudsætninger!$C$48)),Forudsætninger!$E$48)+IF(K196&gt;Forudsætninger!$C$50,Forudsætninger!$G$50,IF(K196&gt;Forudsætninger!$C$49,Forudsætninger!$G$49+Forudsætninger!$H$50*(K196-Forudsætninger!$C$49),IF(K196&gt;Forudsætninger!$C$48,Forudsætninger!$G$48+Forudsætninger!$H$49*(K196-Forudsætninger!$C$48),Forudsætninger!$G$48)))*(U196-Forudsætninger!$H$48)</f>
        <v>35.234143979504374</v>
      </c>
      <c r="AC196" s="19">
        <f>IF(K196&gt;Forudsætninger!$C$52,IF(K196&gt;Forudsætninger!$C$53,IF(K196&gt;Forudsætninger!$C$54,Forudsætninger!$E$54,Forudsætninger!$E$53+Forudsætninger!$F$54*(K196-Forudsætninger!$C$53)),Forudsætninger!$E$52+Forudsætninger!$F$53*(K196-Forudsætninger!$C$52)),Forudsætninger!$E$52)+IF(K196&gt;Forudsætninger!$C$54,Forudsætninger!$G$54,IF(K196&gt;Forudsætninger!$C$53,Forudsætninger!$G$53+Forudsætninger!$H$54*(K196-Forudsætninger!$C$53),IF(K196&gt;Forudsætninger!$C$52,Forudsætninger!$G$52+Forudsætninger!$H$53*(K196-Forudsætninger!$C$52),Forudsætninger!$G$52)))*(V196-Forudsætninger!$H$52)</f>
        <v>30.235359948760934</v>
      </c>
      <c r="AD196" s="19">
        <f t="shared" si="88"/>
        <v>4912.8713316381836</v>
      </c>
      <c r="AE196" s="19">
        <f t="shared" si="89"/>
        <v>30.235359948760934</v>
      </c>
      <c r="AF196">
        <f>IF(G196&lt;=Forudsætninger!$C$97,Forudsætninger!$C$98,(IF(G196&lt;=Forudsætninger!$D$97,Forudsætninger!$D$98,IF(G196&lt;=Forudsætninger!$E$97,Forudsætninger!$E$98,IF(G196&lt;=Forudsætninger!$F$97,Forudsætninger!$F$98,IF(G196&lt;=Forudsætninger!$G$97,Forudsætninger!$G$98,IF(G196&lt;=Forudsætninger!$H$97,Forudsætninger!$H$98,IF(G196&lt;=Forudsætninger!$I$97,Forudsætninger!$I$98,Forudsætninger!$I$98))))))))</f>
        <v>3.8</v>
      </c>
      <c r="AG196" s="1">
        <f t="shared" ref="AG196:AG259" si="99">IF(AF196&lt;=3.2,IF(AF196&lt;=2.2,2.2,3.2),4.4)</f>
        <v>4.4000000000000004</v>
      </c>
      <c r="AH196" s="1">
        <f t="shared" si="74"/>
        <v>513.19999999999857</v>
      </c>
      <c r="AI196" s="1">
        <f t="shared" si="90"/>
        <v>2.6453608247422609</v>
      </c>
      <c r="AJ196" s="20">
        <f>+(W196*Forudsætninger!$C$12)</f>
        <v>900</v>
      </c>
      <c r="AK196" s="20">
        <f>Forudsætninger!$C$17</f>
        <v>250</v>
      </c>
      <c r="AL196" s="20">
        <f>IF(A196&lt;92,Forudsætninger!$C$20,Forudsætninger!$C$21)</f>
        <v>1.0566762728146013</v>
      </c>
      <c r="AM196" s="20">
        <f t="shared" ref="AM196:AM259" si="100">AL196+AM195</f>
        <v>473.50067977932417</v>
      </c>
      <c r="AN196" s="19">
        <f>IFERROR(AD196+AJ196-AA196-Z196-AK196-AM196-Forudsætninger!$E$75,-999999)</f>
        <v>437.05644384294089</v>
      </c>
      <c r="AO196" s="19">
        <f>IFERROR(AN196/(A196+Forudsætninger!$E$74),-999999)</f>
        <v>2.252868267231654</v>
      </c>
      <c r="AP196" s="19">
        <f>IFERROR(((365/(A196+Forudsætninger!$E$74))*AN196)/(AI196+Forudsætninger!$E$73),-999999)</f>
        <v>298.43529390255895</v>
      </c>
      <c r="AQ196" s="18">
        <f t="shared" si="91"/>
        <v>194</v>
      </c>
      <c r="AR196" s="18">
        <f t="shared" si="75"/>
        <v>5184.5981264586271</v>
      </c>
      <c r="AS196" s="18">
        <f t="shared" si="83"/>
        <v>7.6</v>
      </c>
      <c r="AT196" s="50">
        <f t="shared" si="76"/>
        <v>3.3743749748630307</v>
      </c>
      <c r="AU196" s="50">
        <f t="shared" si="77"/>
        <v>5.8109155835821547E-3</v>
      </c>
      <c r="AV196" s="2">
        <f t="shared" si="78"/>
        <v>-0.2156412083760415</v>
      </c>
      <c r="AW196" s="16">
        <f t="shared" ref="AW196:AW259" si="101">((AN196+AM196)/A196)</f>
        <v>4.6935934207333254</v>
      </c>
      <c r="AZ196" s="16"/>
      <c r="BA196" s="2"/>
    </row>
    <row r="197" spans="1:53" x14ac:dyDescent="0.25">
      <c r="A197">
        <v>195</v>
      </c>
      <c r="B197" s="1">
        <f>ROUND((A197+Forudsætninger!$E$60)/30.4,1)</f>
        <v>7.6</v>
      </c>
      <c r="C197" s="1">
        <f>VLOOKUP((A197+Forudsætninger!$E$60),'Model tilvækst, slagteform, fe'!A:D,4,FALSE)</f>
        <v>337.32467556401161</v>
      </c>
      <c r="D197" s="3">
        <f t="shared" si="79"/>
        <v>1441.576681346362</v>
      </c>
      <c r="E197" s="3">
        <f>(1+Forudsætninger!$E$78)*C197</f>
        <v>310.33870151889067</v>
      </c>
      <c r="F197" s="2">
        <f t="shared" si="92"/>
        <v>0</v>
      </c>
      <c r="G197" s="1">
        <f t="shared" si="84"/>
        <v>310.33870151889067</v>
      </c>
      <c r="H197" s="3">
        <f t="shared" si="93"/>
        <v>1326.2505468386507</v>
      </c>
      <c r="I197" s="3">
        <f t="shared" si="85"/>
        <v>1242.762571891747</v>
      </c>
      <c r="J197" s="1">
        <f>VLOOKUP((A197+Forudsætninger!$E$60),'Model tilvækst, slagteform, fe'!G:K,4,FALSE)*(1+Forudsætninger!$E$79)</f>
        <v>52.601864599688945</v>
      </c>
      <c r="K197" s="17">
        <f t="shared" si="86"/>
        <v>163.24394357339969</v>
      </c>
      <c r="L197" s="17">
        <f t="shared" si="94"/>
        <v>756.3350261921471</v>
      </c>
      <c r="M197" s="3">
        <f>((K197-(('Model tilvækst, slagteform, fe'!$J$9/100)*'Model tilvækst, slagteform, fe'!$D$9))*1000/(A197+Forudsætninger!$E$60))</f>
        <v>619.08889800240877</v>
      </c>
      <c r="N197" s="17">
        <f t="shared" si="95"/>
        <v>927.61087303083639</v>
      </c>
      <c r="O197" s="19">
        <f>IF( A197&lt;Forudsætninger!$C$14,(G197/100)*Forudsætninger!$C$13,(Forudsætninger!$C$15/1000)*Forudsætninger!$C$13)</f>
        <v>2.0172015598727895</v>
      </c>
      <c r="P197" s="17" cm="1">
        <f t="array" ref="P197">INDEX('Model tilvækst, slagteform, fe'!$P$9:$P$375,MATCH(MIN(ABS('Model tilvækst, slagteform, fe'!$M$9:$M$375-G197)),ABS('Model tilvækst, slagteform, fe'!$M$9:$M$375-G197),0))*(1+Forudsætninger!$E$80)</f>
        <v>7.1864756447185645</v>
      </c>
      <c r="Q197" s="17">
        <f t="shared" si="96"/>
        <v>9.5017094222115777</v>
      </c>
      <c r="R197" s="17">
        <f t="shared" si="97"/>
        <v>7.1202818234668426</v>
      </c>
      <c r="S197" s="17">
        <f t="shared" si="98"/>
        <v>3.8277454951145216</v>
      </c>
      <c r="T197" s="19">
        <f>(P197)*IF(N197&lt;Forudsætninger!$B$228,IF(N197&lt;Forudsætninger!$B$227,Forudsætninger!$B$225,Forudsætninger!$C$9),Forudsætninger!$C$11)+O197</f>
        <v>18.833554568514227</v>
      </c>
      <c r="U197" s="5">
        <f>Forudsætninger!$E$68+((K197-(Forudsætninger!$E$84)))*0.01</f>
        <v>6.3490031453056659</v>
      </c>
      <c r="V197" s="2">
        <f>U197+Forudsætninger!$E$69</f>
        <v>6.3490031453056659</v>
      </c>
      <c r="W197">
        <f t="shared" si="87"/>
        <v>1</v>
      </c>
      <c r="X197">
        <f>IF(A197+Forudsætninger!$E$60&gt;248,IF(A197+Forudsætninger!$E$60&lt;365,IF(K197&gt;180,IF(K197&lt;260,1,0),0),0),0)</f>
        <v>0</v>
      </c>
      <c r="Y197" s="22">
        <f>IF(X197=0,0,IF('Vækstfunktion, kry kvie'!A197&lt;Forudsætninger!$E$66,Forudsætninger!$E$67+(('Vækstfunktion, kry kvie'!A197-Forudsætninger!$E$66)/7)*Forudsætninger!$E$64,Forudsætninger!$E$67))</f>
        <v>0</v>
      </c>
      <c r="Z197" s="19">
        <f t="shared" ref="Z197:Z260" si="102">Z196+T197</f>
        <v>2904.9310012478168</v>
      </c>
      <c r="AA197" s="19">
        <f>Forudsætninger!$E$62+Forudsætninger!$C$16</f>
        <v>1575</v>
      </c>
      <c r="AB197" s="19">
        <f>IF(K197&gt;Forudsætninger!$C$48,IF(K197&gt;Forudsætninger!$C$49,IF(K197&gt;Forudsætninger!$C$50,Forudsætninger!$E$50,Forudsætninger!$E$49+Forudsætninger!$F$50*(K197-Forudsætninger!$C$49)),Forudsætninger!$E$48+Forudsætninger!$F$49*(K197-Forudsætninger!$C$48)),Forudsætninger!$E$48)+IF(K197&gt;Forudsætninger!$C$50,Forudsætninger!$G$50,IF(K197&gt;Forudsætninger!$C$49,Forudsætninger!$G$49+Forudsætninger!$H$50*(K197-Forudsætninger!$C$49),IF(K197&gt;Forudsætninger!$C$48,Forudsætninger!$G$48+Forudsætninger!$H$49*(K197-Forudsætninger!$C$48),Forudsætninger!$G$48)))*(U197-Forudsætninger!$H$48)</f>
        <v>35.23490031453057</v>
      </c>
      <c r="AC197" s="19">
        <f>IF(K197&gt;Forudsætninger!$C$52,IF(K197&gt;Forudsætninger!$C$53,IF(K197&gt;Forudsætninger!$C$54,Forudsætninger!$E$54,Forudsætninger!$E$53+Forudsætninger!$F$54*(K197-Forudsætninger!$C$53)),Forudsætninger!$E$52+Forudsætninger!$F$53*(K197-Forudsætninger!$C$52)),Forudsætninger!$E$52)+IF(K197&gt;Forudsætninger!$C$54,Forudsætninger!$G$54,IF(K197&gt;Forudsætninger!$C$53,Forudsætninger!$G$53+Forudsætninger!$H$54*(K197-Forudsætninger!$C$53),IF(K197&gt;Forudsætninger!$C$52,Forudsætninger!$G$52+Forudsætninger!$H$53*(K197-Forudsætninger!$C$52),Forudsætninger!$G$52)))*(V197-Forudsætninger!$H$52)</f>
        <v>30.237250786326413</v>
      </c>
      <c r="AD197" s="19">
        <f t="shared" si="88"/>
        <v>4936.0480611778048</v>
      </c>
      <c r="AE197" s="19">
        <f t="shared" si="89"/>
        <v>30.237250786326417</v>
      </c>
      <c r="AF197">
        <f>IF(G197&lt;=Forudsætninger!$C$97,Forudsætninger!$C$98,(IF(G197&lt;=Forudsætninger!$D$97,Forudsætninger!$D$98,IF(G197&lt;=Forudsætninger!$E$97,Forudsætninger!$E$98,IF(G197&lt;=Forudsætninger!$F$97,Forudsætninger!$F$98,IF(G197&lt;=Forudsætninger!$G$97,Forudsætninger!$G$98,IF(G197&lt;=Forudsætninger!$H$97,Forudsætninger!$H$98,IF(G197&lt;=Forudsætninger!$I$97,Forudsætninger!$I$98,Forudsætninger!$I$98))))))))</f>
        <v>3.8</v>
      </c>
      <c r="AG197" s="1">
        <f t="shared" si="99"/>
        <v>4.4000000000000004</v>
      </c>
      <c r="AH197" s="1">
        <f t="shared" ref="AH197:AH260" si="103">AH196+AG197</f>
        <v>517.59999999999854</v>
      </c>
      <c r="AI197" s="1">
        <f t="shared" si="90"/>
        <v>2.6543589743589671</v>
      </c>
      <c r="AJ197" s="20">
        <f>+(W197*Forudsætninger!$C$12)</f>
        <v>900</v>
      </c>
      <c r="AK197" s="20">
        <f>Forudsætninger!$C$17</f>
        <v>250</v>
      </c>
      <c r="AL197" s="20">
        <f>IF(A197&lt;92,Forudsætninger!$C$20,Forudsætninger!$C$21)</f>
        <v>1.0566762728146013</v>
      </c>
      <c r="AM197" s="20">
        <f t="shared" si="100"/>
        <v>474.5573560521388</v>
      </c>
      <c r="AN197" s="19">
        <f>IFERROR(AD197+AJ197-AA197-Z197-AK197-AM197-Forudsætninger!$E$75,-999999)</f>
        <v>440.34294254123336</v>
      </c>
      <c r="AO197" s="19">
        <f>IFERROR(AN197/(A197+Forudsætninger!$E$74),-999999)</f>
        <v>2.258168936108889</v>
      </c>
      <c r="AP197" s="19">
        <f>IFERROR(((365/(A197+Forudsætninger!$E$74))*AN197)/(AI197+Forudsætninger!$E$73),-999999)</f>
        <v>298.16375851507394</v>
      </c>
      <c r="AQ197" s="18">
        <f t="shared" si="91"/>
        <v>195</v>
      </c>
      <c r="AR197" s="18">
        <f t="shared" ref="AR197:AR260" si="104">AA197+Z197+AK197+AM197</f>
        <v>5204.4883572999552</v>
      </c>
      <c r="AS197" s="18">
        <f t="shared" si="83"/>
        <v>7.6</v>
      </c>
      <c r="AT197" s="50">
        <f t="shared" ref="AT197:AT260" si="105">AN197-AN196</f>
        <v>3.286498698292462</v>
      </c>
      <c r="AU197" s="50">
        <f t="shared" ref="AU197:AU260" si="106">AO197-AO196</f>
        <v>5.3006688772350152E-3</v>
      </c>
      <c r="AV197" s="2">
        <f t="shared" ref="AV197:AV260" si="107">AP197-AP196</f>
        <v>-0.2715353874850166</v>
      </c>
      <c r="AW197" s="16">
        <f t="shared" si="101"/>
        <v>4.6917964030429342</v>
      </c>
      <c r="AZ197" s="16"/>
      <c r="BA197" s="2"/>
    </row>
    <row r="198" spans="1:53" x14ac:dyDescent="0.25">
      <c r="A198">
        <v>196</v>
      </c>
      <c r="B198" s="1">
        <f>ROUND((A198+Forudsætninger!$E$60)/30.4,1)</f>
        <v>7.6</v>
      </c>
      <c r="C198" s="1">
        <f>VLOOKUP((A198+Forudsætninger!$E$60),'Model tilvækst, slagteform, fe'!A:D,4,FALSE)</f>
        <v>338.76243516465286</v>
      </c>
      <c r="D198" s="3">
        <f t="shared" ref="D198:D261" si="108">(C198-C197)*1000</f>
        <v>1437.7596006412432</v>
      </c>
      <c r="E198" s="3">
        <f>(1+Forudsætninger!$E$78)*C198</f>
        <v>311.66144035148062</v>
      </c>
      <c r="F198" s="2">
        <f t="shared" si="92"/>
        <v>0</v>
      </c>
      <c r="G198" s="1">
        <f t="shared" si="84"/>
        <v>311.66144035148062</v>
      </c>
      <c r="H198" s="3">
        <f t="shared" si="93"/>
        <v>1322.7388325899483</v>
      </c>
      <c r="I198" s="3">
        <f t="shared" si="85"/>
        <v>1243.1706140381664</v>
      </c>
      <c r="J198" s="1">
        <f>VLOOKUP((A198+Forudsætninger!$E$60),'Model tilvækst, slagteform, fe'!G:K,4,FALSE)*(1+Forudsætninger!$E$79)</f>
        <v>52.620694418920067</v>
      </c>
      <c r="K198" s="17">
        <f t="shared" si="86"/>
        <v>163.99841414895747</v>
      </c>
      <c r="L198" s="17">
        <f t="shared" si="94"/>
        <v>754.47057555777519</v>
      </c>
      <c r="M198" s="3">
        <f>((K198-(('Model tilvækst, slagteform, fe'!$J$9/100)*'Model tilvækst, slagteform, fe'!$D$9))*1000/(A198+Forudsætninger!$E$60))</f>
        <v>619.67243971600954</v>
      </c>
      <c r="N198" s="17">
        <f t="shared" si="95"/>
        <v>934.81901306850011</v>
      </c>
      <c r="O198" s="19">
        <f>IF( A198&lt;Forudsætninger!$C$14,(G198/100)*Forudsætninger!$C$13,(Forudsætninger!$C$15/1000)*Forudsætninger!$C$13)</f>
        <v>2.0257993622846242</v>
      </c>
      <c r="P198" s="17" cm="1">
        <f t="array" ref="P198">INDEX('Model tilvækst, slagteform, fe'!$P$9:$P$375,MATCH(MIN(ABS('Model tilvækst, slagteform, fe'!$M$9:$M$375-G198)),ABS('Model tilvækst, slagteform, fe'!$M$9:$M$375-G198),0))*(1+Forudsætninger!$E$80)</f>
        <v>7.2081400376636742</v>
      </c>
      <c r="Q198" s="17">
        <f t="shared" si="96"/>
        <v>9.553904779301357</v>
      </c>
      <c r="R198" s="17">
        <f t="shared" si="97"/>
        <v>7.1342944353202009</v>
      </c>
      <c r="S198" s="17">
        <f t="shared" si="98"/>
        <v>3.8365488266014824</v>
      </c>
      <c r="T198" s="19">
        <f>(P198)*IF(N198&lt;Forudsætninger!$B$228,IF(N198&lt;Forudsætninger!$B$227,Forudsætninger!$B$225,Forudsætninger!$C$9),Forudsætninger!$C$11)+O198</f>
        <v>18.892847050417618</v>
      </c>
      <c r="U198" s="5">
        <f>Forudsætninger!$E$68+((K198-(Forudsætninger!$E$84)))*0.01</f>
        <v>6.3565478510612436</v>
      </c>
      <c r="V198" s="2">
        <f>U198+Forudsætninger!$E$69</f>
        <v>6.3565478510612436</v>
      </c>
      <c r="W198">
        <f t="shared" si="87"/>
        <v>1</v>
      </c>
      <c r="X198">
        <f>IF(A198+Forudsætninger!$E$60&gt;248,IF(A198+Forudsætninger!$E$60&lt;365,IF(K198&gt;180,IF(K198&lt;260,1,0),0),0),0)</f>
        <v>0</v>
      </c>
      <c r="Y198" s="22">
        <f>IF(X198=0,0,IF('Vækstfunktion, kry kvie'!A198&lt;Forudsætninger!$E$66,Forudsætninger!$E$67+(('Vækstfunktion, kry kvie'!A198-Forudsætninger!$E$66)/7)*Forudsætninger!$E$64,Forudsætninger!$E$67))</f>
        <v>0</v>
      </c>
      <c r="Z198" s="19">
        <f t="shared" si="102"/>
        <v>2923.8238482982342</v>
      </c>
      <c r="AA198" s="19">
        <f>Forudsætninger!$E$62+Forudsætninger!$C$16</f>
        <v>1575</v>
      </c>
      <c r="AB198" s="19">
        <f>IF(K198&gt;Forudsætninger!$C$48,IF(K198&gt;Forudsætninger!$C$49,IF(K198&gt;Forudsætninger!$C$50,Forudsætninger!$E$50,Forudsætninger!$E$49+Forudsætninger!$F$50*(K198-Forudsætninger!$C$49)),Forudsætninger!$E$48+Forudsætninger!$F$49*(K198-Forudsætninger!$C$48)),Forudsætninger!$E$48)+IF(K198&gt;Forudsætninger!$C$50,Forudsætninger!$G$50,IF(K198&gt;Forudsætninger!$C$49,Forudsætninger!$G$49+Forudsætninger!$H$50*(K198-Forudsætninger!$C$49),IF(K198&gt;Forudsætninger!$C$48,Forudsætninger!$G$48+Forudsætninger!$H$49*(K198-Forudsætninger!$C$48),Forudsætninger!$G$48)))*(U198-Forudsætninger!$H$48)</f>
        <v>35.235654785106128</v>
      </c>
      <c r="AC198" s="19">
        <f>IF(K198&gt;Forudsætninger!$C$52,IF(K198&gt;Forudsætninger!$C$53,IF(K198&gt;Forudsætninger!$C$54,Forudsætninger!$E$54,Forudsætninger!$E$53+Forudsætninger!$F$54*(K198-Forudsætninger!$C$53)),Forudsætninger!$E$52+Forudsætninger!$F$53*(K198-Forudsætninger!$C$52)),Forudsætninger!$E$52)+IF(K198&gt;Forudsætninger!$C$54,Forudsætninger!$G$54,IF(K198&gt;Forudsætninger!$C$53,Forudsætninger!$G$53+Forudsætninger!$H$54*(K198-Forudsætninger!$C$53),IF(K198&gt;Forudsætninger!$C$52,Forudsætninger!$G$52+Forudsætninger!$H$53*(K198-Forudsætninger!$C$52),Forudsætninger!$G$52)))*(V198-Forudsætninger!$H$52)</f>
        <v>30.239136962765308</v>
      </c>
      <c r="AD198" s="19">
        <f t="shared" si="88"/>
        <v>4959.1705071266324</v>
      </c>
      <c r="AE198" s="19">
        <f t="shared" si="89"/>
        <v>30.239136962765304</v>
      </c>
      <c r="AF198">
        <f>IF(G198&lt;=Forudsætninger!$C$97,Forudsætninger!$C$98,(IF(G198&lt;=Forudsætninger!$D$97,Forudsætninger!$D$98,IF(G198&lt;=Forudsætninger!$E$97,Forudsætninger!$E$98,IF(G198&lt;=Forudsætninger!$F$97,Forudsætninger!$F$98,IF(G198&lt;=Forudsætninger!$G$97,Forudsætninger!$G$98,IF(G198&lt;=Forudsætninger!$H$97,Forudsætninger!$H$98,IF(G198&lt;=Forudsætninger!$I$97,Forudsætninger!$I$98,Forudsætninger!$I$98))))))))</f>
        <v>3.8</v>
      </c>
      <c r="AG198" s="1">
        <f t="shared" si="99"/>
        <v>4.4000000000000004</v>
      </c>
      <c r="AH198" s="1">
        <f t="shared" si="103"/>
        <v>521.99999999999852</v>
      </c>
      <c r="AI198" s="1">
        <f t="shared" si="90"/>
        <v>2.6632653061224416</v>
      </c>
      <c r="AJ198" s="20">
        <f>+(W198*Forudsætninger!$C$12)</f>
        <v>900</v>
      </c>
      <c r="AK198" s="20">
        <f>Forudsætninger!$C$17</f>
        <v>250</v>
      </c>
      <c r="AL198" s="20">
        <f>IF(A198&lt;92,Forudsætninger!$C$20,Forudsætninger!$C$21)</f>
        <v>1.0566762728146013</v>
      </c>
      <c r="AM198" s="20">
        <f t="shared" si="100"/>
        <v>475.61403232495343</v>
      </c>
      <c r="AN198" s="19">
        <f>IFERROR(AD198+AJ198-AA198-Z198-AK198-AM198-Forudsætninger!$E$75,-999999)</f>
        <v>443.51586516682892</v>
      </c>
      <c r="AO198" s="19">
        <f>IFERROR(AN198/(A198+Forudsætninger!$E$74),-999999)</f>
        <v>2.2628360467695354</v>
      </c>
      <c r="AP198" s="19">
        <f>IFERROR(((365/(A198+Forudsætninger!$E$74))*AN198)/(AI198+Forudsætninger!$E$73),-999999)</f>
        <v>297.82046284843068</v>
      </c>
      <c r="AQ198" s="18">
        <f t="shared" si="91"/>
        <v>196</v>
      </c>
      <c r="AR198" s="18">
        <f t="shared" si="104"/>
        <v>5224.437880623188</v>
      </c>
      <c r="AS198" s="18">
        <f t="shared" si="83"/>
        <v>7.6</v>
      </c>
      <c r="AT198" s="50">
        <f t="shared" si="105"/>
        <v>3.1729226255955609</v>
      </c>
      <c r="AU198" s="50">
        <f t="shared" si="106"/>
        <v>4.6671106606464008E-3</v>
      </c>
      <c r="AV198" s="2">
        <f t="shared" si="107"/>
        <v>-0.34329566664325739</v>
      </c>
      <c r="AW198" s="16">
        <f t="shared" si="101"/>
        <v>4.6894382525090936</v>
      </c>
      <c r="AZ198" s="16"/>
      <c r="BA198" s="2"/>
    </row>
    <row r="199" spans="1:53" x14ac:dyDescent="0.25">
      <c r="A199">
        <v>197</v>
      </c>
      <c r="B199" s="1">
        <f>ROUND((A199+Forudsætninger!$E$60)/30.4,1)</f>
        <v>7.7</v>
      </c>
      <c r="C199" s="1">
        <f>VLOOKUP((A199+Forudsætninger!$E$60),'Model tilvækst, slagteform, fe'!A:D,4,FALSE)</f>
        <v>340.1963430943614</v>
      </c>
      <c r="D199" s="3">
        <f t="shared" si="108"/>
        <v>1433.9079297085391</v>
      </c>
      <c r="E199" s="3">
        <f>(1+Forudsætninger!$E$78)*C199</f>
        <v>312.98063564681252</v>
      </c>
      <c r="F199" s="2">
        <f t="shared" si="92"/>
        <v>0</v>
      </c>
      <c r="G199" s="1">
        <f t="shared" si="84"/>
        <v>312.98063564681252</v>
      </c>
      <c r="H199" s="3">
        <f t="shared" si="93"/>
        <v>1319.1952953318946</v>
      </c>
      <c r="I199" s="3">
        <f t="shared" si="85"/>
        <v>1243.5565261259517</v>
      </c>
      <c r="J199" s="1">
        <f>VLOOKUP((A199+Forudsætninger!$E$60),'Model tilvækst, slagteform, fe'!G:K,4,FALSE)*(1+Forudsætninger!$E$79)</f>
        <v>52.639352777404568</v>
      </c>
      <c r="K199" s="17">
        <f t="shared" si="86"/>
        <v>164.75098092308889</v>
      </c>
      <c r="L199" s="17">
        <f t="shared" si="94"/>
        <v>752.5667741314237</v>
      </c>
      <c r="M199" s="3">
        <f>((K199-(('Model tilvækst, slagteform, fe'!$J$9/100)*'Model tilvækst, slagteform, fe'!$D$9))*1000/(A199+Forudsætninger!$E$60))</f>
        <v>620.24280166629023</v>
      </c>
      <c r="N199" s="17">
        <f t="shared" si="95"/>
        <v>942.03761529438361</v>
      </c>
      <c r="O199" s="19">
        <f>IF( A199&lt;Forudsætninger!$C$14,(G199/100)*Forudsætninger!$C$13,(Forudsætninger!$C$15/1000)*Forudsætninger!$C$13)</f>
        <v>2.0343741317042814</v>
      </c>
      <c r="P199" s="17" cm="1">
        <f t="array" ref="P199">INDEX('Model tilvækst, slagteform, fe'!$P$9:$P$375,MATCH(MIN(ABS('Model tilvækst, slagteform, fe'!$M$9:$M$375-G199)),ABS('Model tilvækst, slagteform, fe'!$M$9:$M$375-G199),0))*(1+Forudsætninger!$E$80)</f>
        <v>7.2186022258835356</v>
      </c>
      <c r="Q199" s="17">
        <f t="shared" si="96"/>
        <v>9.5919757209782457</v>
      </c>
      <c r="R199" s="17">
        <f t="shared" si="97"/>
        <v>7.1483292572438257</v>
      </c>
      <c r="S199" s="17">
        <f t="shared" si="98"/>
        <v>3.8453554208770813</v>
      </c>
      <c r="T199" s="19">
        <f>(P199)*IF(N199&lt;Forudsætninger!$B$228,IF(N199&lt;Forudsætninger!$B$227,Forudsætninger!$B$225,Forudsætninger!$C$9),Forudsætninger!$C$11)+O199</f>
        <v>18.925903340271756</v>
      </c>
      <c r="U199" s="5">
        <f>Forudsætninger!$E$68+((K199-(Forudsætninger!$E$84)))*0.01</f>
        <v>6.3640735188025577</v>
      </c>
      <c r="V199" s="2">
        <f>U199+Forudsætninger!$E$69</f>
        <v>6.3640735188025577</v>
      </c>
      <c r="W199">
        <f t="shared" si="87"/>
        <v>1</v>
      </c>
      <c r="X199">
        <f>IF(A199+Forudsætninger!$E$60&gt;248,IF(A199+Forudsætninger!$E$60&lt;365,IF(K199&gt;180,IF(K199&lt;260,1,0),0),0),0)</f>
        <v>0</v>
      </c>
      <c r="Y199" s="22">
        <f>IF(X199=0,0,IF('Vækstfunktion, kry kvie'!A199&lt;Forudsætninger!$E$66,Forudsætninger!$E$67+(('Vækstfunktion, kry kvie'!A199-Forudsætninger!$E$66)/7)*Forudsætninger!$E$64,Forudsætninger!$E$67))</f>
        <v>0</v>
      </c>
      <c r="Z199" s="19">
        <f t="shared" si="102"/>
        <v>2942.749751638506</v>
      </c>
      <c r="AA199" s="19">
        <f>Forudsætninger!$E$62+Forudsætninger!$C$16</f>
        <v>1575</v>
      </c>
      <c r="AB199" s="19">
        <f>IF(K199&gt;Forudsætninger!$C$48,IF(K199&gt;Forudsætninger!$C$49,IF(K199&gt;Forudsætninger!$C$50,Forudsætninger!$E$50,Forudsætninger!$E$49+Forudsætninger!$F$50*(K199-Forudsætninger!$C$49)),Forudsætninger!$E$48+Forudsætninger!$F$49*(K199-Forudsætninger!$C$48)),Forudsætninger!$E$48)+IF(K199&gt;Forudsætninger!$C$50,Forudsætninger!$G$50,IF(K199&gt;Forudsætninger!$C$49,Forudsætninger!$G$49+Forudsætninger!$H$50*(K199-Forudsætninger!$C$49),IF(K199&gt;Forudsætninger!$C$48,Forudsætninger!$G$48+Forudsætninger!$H$49*(K199-Forudsætninger!$C$48),Forudsætninger!$G$48)))*(U199-Forudsætninger!$H$48)</f>
        <v>35.236407351880253</v>
      </c>
      <c r="AC199" s="19">
        <f>IF(K199&gt;Forudsætninger!$C$52,IF(K199&gt;Forudsætninger!$C$53,IF(K199&gt;Forudsætninger!$C$54,Forudsætninger!$E$54,Forudsætninger!$E$53+Forudsætninger!$F$54*(K199-Forudsætninger!$C$53)),Forudsætninger!$E$52+Forudsætninger!$F$53*(K199-Forudsætninger!$C$52)),Forudsætninger!$E$52)+IF(K199&gt;Forudsætninger!$C$54,Forudsætninger!$G$54,IF(K199&gt;Forudsætninger!$C$53,Forudsætninger!$G$53+Forudsætninger!$H$54*(K199-Forudsætninger!$C$53),IF(K199&gt;Forudsætninger!$C$52,Forudsætninger!$G$52+Forudsætninger!$H$53*(K199-Forudsætninger!$C$52),Forudsætninger!$G$52)))*(V199-Forudsætninger!$H$52)</f>
        <v>30.241018379700638</v>
      </c>
      <c r="AD199" s="19">
        <f t="shared" si="88"/>
        <v>4982.2374421688401</v>
      </c>
      <c r="AE199" s="19">
        <f t="shared" si="89"/>
        <v>30.241018379700638</v>
      </c>
      <c r="AF199">
        <f>IF(G199&lt;=Forudsætninger!$C$97,Forudsætninger!$C$98,(IF(G199&lt;=Forudsætninger!$D$97,Forudsætninger!$D$98,IF(G199&lt;=Forudsætninger!$E$97,Forudsætninger!$E$98,IF(G199&lt;=Forudsætninger!$F$97,Forudsætninger!$F$98,IF(G199&lt;=Forudsætninger!$G$97,Forudsætninger!$G$98,IF(G199&lt;=Forudsætninger!$H$97,Forudsætninger!$H$98,IF(G199&lt;=Forudsætninger!$I$97,Forudsætninger!$I$98,Forudsætninger!$I$98))))))))</f>
        <v>3.8</v>
      </c>
      <c r="AG199" s="1">
        <f t="shared" si="99"/>
        <v>4.4000000000000004</v>
      </c>
      <c r="AH199" s="1">
        <f t="shared" si="103"/>
        <v>526.3999999999985</v>
      </c>
      <c r="AI199" s="1">
        <f t="shared" si="90"/>
        <v>2.6720812182741041</v>
      </c>
      <c r="AJ199" s="20">
        <f>+(W199*Forudsætninger!$C$12)</f>
        <v>900</v>
      </c>
      <c r="AK199" s="20">
        <f>Forudsætninger!$C$17</f>
        <v>250</v>
      </c>
      <c r="AL199" s="20">
        <f>IF(A199&lt;92,Forudsætninger!$C$20,Forudsætninger!$C$21)</f>
        <v>1.0566762728146013</v>
      </c>
      <c r="AM199" s="20">
        <f t="shared" si="100"/>
        <v>476.67070859776805</v>
      </c>
      <c r="AN199" s="19">
        <f>IFERROR(AD199+AJ199-AA199-Z199-AK199-AM199-Forudsætninger!$E$75,-999999)</f>
        <v>446.60022059595019</v>
      </c>
      <c r="AO199" s="19">
        <f>IFERROR(AN199/(A199+Forudsætninger!$E$74),-999999)</f>
        <v>2.2670061959185288</v>
      </c>
      <c r="AP199" s="19">
        <f>IFERROR(((365/(A199+Forudsætninger!$E$74))*AN199)/(AI199+Forudsætninger!$E$73),-999999)</f>
        <v>297.42383366636062</v>
      </c>
      <c r="AQ199" s="18">
        <f t="shared" si="91"/>
        <v>197</v>
      </c>
      <c r="AR199" s="18">
        <f t="shared" si="104"/>
        <v>5244.4204602362743</v>
      </c>
      <c r="AS199" s="18">
        <f t="shared" si="83"/>
        <v>7.7</v>
      </c>
      <c r="AT199" s="50">
        <f t="shared" si="105"/>
        <v>3.084355429121274</v>
      </c>
      <c r="AU199" s="50">
        <f t="shared" si="106"/>
        <v>4.1701491489933851E-3</v>
      </c>
      <c r="AV199" s="2">
        <f t="shared" si="107"/>
        <v>-0.3966291820700576</v>
      </c>
      <c r="AW199" s="16">
        <f t="shared" si="101"/>
        <v>4.6866544629122755</v>
      </c>
      <c r="AZ199" s="16"/>
      <c r="BA199" s="2"/>
    </row>
    <row r="200" spans="1:53" x14ac:dyDescent="0.25">
      <c r="A200">
        <v>198</v>
      </c>
      <c r="B200" s="1">
        <f>ROUND((A200+Forudsætninger!$E$60)/30.4,1)</f>
        <v>7.7</v>
      </c>
      <c r="C200" s="1">
        <f>VLOOKUP((A200+Forudsætninger!$E$60),'Model tilvækst, slagteform, fe'!A:D,4,FALSE)</f>
        <v>341.62636534793046</v>
      </c>
      <c r="D200" s="3">
        <f t="shared" si="108"/>
        <v>1430.0222535690637</v>
      </c>
      <c r="E200" s="3">
        <f>(1+Forudsætninger!$E$78)*C200</f>
        <v>314.29625612009602</v>
      </c>
      <c r="F200" s="2">
        <f t="shared" si="92"/>
        <v>0</v>
      </c>
      <c r="G200" s="1">
        <f t="shared" si="84"/>
        <v>314.29625612009602</v>
      </c>
      <c r="H200" s="3">
        <f t="shared" si="93"/>
        <v>1315.6204732835022</v>
      </c>
      <c r="I200" s="3">
        <f t="shared" si="85"/>
        <v>1243.9204854550303</v>
      </c>
      <c r="J200" s="1">
        <f>VLOOKUP((A200+Forudsætninger!$E$60),'Model tilvækst, slagteform, fe'!G:K,4,FALSE)*(1+Forudsætninger!$E$79)</f>
        <v>52.657835205521984</v>
      </c>
      <c r="K200" s="17">
        <f t="shared" si="86"/>
        <v>165.50160460484548</v>
      </c>
      <c r="L200" s="17">
        <f t="shared" si="94"/>
        <v>750.62368175659344</v>
      </c>
      <c r="M200" s="3">
        <f>((K200-(('Model tilvækst, slagteform, fe'!$J$9/100)*'Model tilvækst, slagteform, fe'!$D$9))*1000/(A200+Forudsætninger!$E$60))</f>
        <v>620.79998491453944</v>
      </c>
      <c r="N200" s="17">
        <f t="shared" si="95"/>
        <v>949.26642945363187</v>
      </c>
      <c r="O200" s="19">
        <f>IF( A200&lt;Forudsætninger!$C$14,(G200/100)*Forudsætninger!$C$13,(Forudsætninger!$C$15/1000)*Forudsætninger!$C$13)</f>
        <v>2.0429256647806242</v>
      </c>
      <c r="P200" s="17" cm="1">
        <f t="array" ref="P200">INDEX('Model tilvækst, slagteform, fe'!$P$9:$P$375,MATCH(MIN(ABS('Model tilvækst, slagteform, fe'!$M$9:$M$375-G200)),ABS('Model tilvækst, slagteform, fe'!$M$9:$M$375-G200),0))*(1+Forudsætninger!$E$80)</f>
        <v>7.2288141592482065</v>
      </c>
      <c r="Q200" s="17">
        <f t="shared" si="96"/>
        <v>9.6304104639111454</v>
      </c>
      <c r="R200" s="17">
        <f t="shared" si="97"/>
        <v>7.1623867508288965</v>
      </c>
      <c r="S200" s="17">
        <f t="shared" si="98"/>
        <v>3.8541650791101021</v>
      </c>
      <c r="T200" s="19">
        <f>(P200)*IF(N200&lt;Forudsætninger!$B$228,IF(N200&lt;Forudsætninger!$B$227,Forudsætninger!$B$225,Forudsætninger!$C$9),Forudsætninger!$C$11)+O200</f>
        <v>18.958350797421428</v>
      </c>
      <c r="U200" s="5">
        <f>Forudsætninger!$E$68+((K200-(Forudsætninger!$E$84)))*0.01</f>
        <v>6.3715797556201244</v>
      </c>
      <c r="V200" s="2">
        <f>U200+Forudsætninger!$E$69</f>
        <v>6.3715797556201244</v>
      </c>
      <c r="W200">
        <f t="shared" si="87"/>
        <v>1</v>
      </c>
      <c r="X200">
        <f>IF(A200+Forudsætninger!$E$60&gt;248,IF(A200+Forudsætninger!$E$60&lt;365,IF(K200&gt;180,IF(K200&lt;260,1,0),0),0),0)</f>
        <v>0</v>
      </c>
      <c r="Y200" s="22">
        <f>IF(X200=0,0,IF('Vækstfunktion, kry kvie'!A200&lt;Forudsætninger!$E$66,Forudsætninger!$E$67+(('Vækstfunktion, kry kvie'!A200-Forudsætninger!$E$66)/7)*Forudsætninger!$E$64,Forudsætninger!$E$67))</f>
        <v>0</v>
      </c>
      <c r="Z200" s="19">
        <f t="shared" si="102"/>
        <v>2961.7081024359277</v>
      </c>
      <c r="AA200" s="19">
        <f>Forudsætninger!$E$62+Forudsætninger!$C$16</f>
        <v>1575</v>
      </c>
      <c r="AB200" s="19">
        <f>IF(K200&gt;Forudsætninger!$C$48,IF(K200&gt;Forudsætninger!$C$49,IF(K200&gt;Forudsætninger!$C$50,Forudsætninger!$E$50,Forudsætninger!$E$49+Forudsætninger!$F$50*(K200-Forudsætninger!$C$49)),Forudsætninger!$E$48+Forudsætninger!$F$49*(K200-Forudsætninger!$C$48)),Forudsætninger!$E$48)+IF(K200&gt;Forudsætninger!$C$50,Forudsætninger!$G$50,IF(K200&gt;Forudsætninger!$C$49,Forudsætninger!$G$49+Forudsætninger!$H$50*(K200-Forudsætninger!$C$49),IF(K200&gt;Forudsætninger!$C$48,Forudsætninger!$G$48+Forudsætninger!$H$49*(K200-Forudsætninger!$C$48),Forudsætninger!$G$48)))*(U200-Forudsætninger!$H$48)</f>
        <v>35.237157975562013</v>
      </c>
      <c r="AC200" s="19">
        <f>IF(K200&gt;Forudsætninger!$C$52,IF(K200&gt;Forudsætninger!$C$53,IF(K200&gt;Forudsætninger!$C$54,Forudsætninger!$E$54,Forudsætninger!$E$53+Forudsætninger!$F$54*(K200-Forudsætninger!$C$53)),Forudsætninger!$E$52+Forudsætninger!$F$53*(K200-Forudsætninger!$C$52)),Forudsætninger!$E$52)+IF(K200&gt;Forudsætninger!$C$54,Forudsætninger!$G$54,IF(K200&gt;Forudsætninger!$C$53,Forudsætninger!$G$53+Forudsætninger!$H$54*(K200-Forudsætninger!$C$53),IF(K200&gt;Forudsætninger!$C$52,Forudsætninger!$G$52+Forudsætninger!$H$53*(K200-Forudsætninger!$C$52),Forudsætninger!$G$52)))*(V200-Forudsætninger!$H$52)</f>
        <v>30.242894938905028</v>
      </c>
      <c r="AD200" s="19">
        <f t="shared" si="88"/>
        <v>5005.2476402845423</v>
      </c>
      <c r="AE200" s="19">
        <f t="shared" si="89"/>
        <v>30.242894938905028</v>
      </c>
      <c r="AF200">
        <f>IF(G200&lt;=Forudsætninger!$C$97,Forudsætninger!$C$98,(IF(G200&lt;=Forudsætninger!$D$97,Forudsætninger!$D$98,IF(G200&lt;=Forudsætninger!$E$97,Forudsætninger!$E$98,IF(G200&lt;=Forudsætninger!$F$97,Forudsætninger!$F$98,IF(G200&lt;=Forudsætninger!$G$97,Forudsætninger!$G$98,IF(G200&lt;=Forudsætninger!$H$97,Forudsætninger!$H$98,IF(G200&lt;=Forudsætninger!$I$97,Forudsætninger!$I$98,Forudsætninger!$I$98))))))))</f>
        <v>3.8</v>
      </c>
      <c r="AG200" s="1">
        <f t="shared" si="99"/>
        <v>4.4000000000000004</v>
      </c>
      <c r="AH200" s="1">
        <f t="shared" si="103"/>
        <v>530.79999999999848</v>
      </c>
      <c r="AI200" s="1">
        <f t="shared" si="90"/>
        <v>2.680808080808073</v>
      </c>
      <c r="AJ200" s="20">
        <f>+(W200*Forudsætninger!$C$12)</f>
        <v>900</v>
      </c>
      <c r="AK200" s="20">
        <f>Forudsætninger!$C$17</f>
        <v>250</v>
      </c>
      <c r="AL200" s="20">
        <f>IF(A200&lt;92,Forudsætninger!$C$20,Forudsætninger!$C$21)</f>
        <v>1.0566762728146013</v>
      </c>
      <c r="AM200" s="20">
        <f t="shared" si="100"/>
        <v>477.72738487058268</v>
      </c>
      <c r="AN200" s="19">
        <f>IFERROR(AD200+AJ200-AA200-Z200-AK200-AM200-Forudsætninger!$E$75,-999999)</f>
        <v>449.59539164141609</v>
      </c>
      <c r="AO200" s="19">
        <f>IFERROR(AN200/(A200+Forudsætninger!$E$74),-999999)</f>
        <v>2.2706837961687683</v>
      </c>
      <c r="AP200" s="19">
        <f>IFERROR(((365/(A200+Forudsætninger!$E$74))*AN200)/(AI200+Forudsætninger!$E$73),-999999)</f>
        <v>296.97476917209696</v>
      </c>
      <c r="AQ200" s="18">
        <f t="shared" si="91"/>
        <v>198</v>
      </c>
      <c r="AR200" s="18">
        <f t="shared" si="104"/>
        <v>5264.4354873065104</v>
      </c>
      <c r="AS200" s="18">
        <f t="shared" si="83"/>
        <v>7.7</v>
      </c>
      <c r="AT200" s="50">
        <f t="shared" si="105"/>
        <v>2.9951710454658951</v>
      </c>
      <c r="AU200" s="50">
        <f t="shared" si="106"/>
        <v>3.6776002502394434E-3</v>
      </c>
      <c r="AV200" s="2">
        <f t="shared" si="107"/>
        <v>-0.44906449426366635</v>
      </c>
      <c r="AW200" s="16">
        <f t="shared" si="101"/>
        <v>4.6834483662222164</v>
      </c>
      <c r="AZ200" s="16"/>
      <c r="BA200" s="2"/>
    </row>
    <row r="201" spans="1:53" x14ac:dyDescent="0.25">
      <c r="A201">
        <v>199</v>
      </c>
      <c r="B201" s="1">
        <f>ROUND((A201+Forudsætninger!$E$60)/30.4,1)</f>
        <v>7.7</v>
      </c>
      <c r="C201" s="1">
        <f>VLOOKUP((A201+Forudsætninger!$E$60),'Model tilvækst, slagteform, fe'!A:D,4,FALSE)</f>
        <v>343.05246850517335</v>
      </c>
      <c r="D201" s="3">
        <f t="shared" si="108"/>
        <v>1426.1031572428919</v>
      </c>
      <c r="E201" s="3">
        <f>(1+Forudsætninger!$E$78)*C201</f>
        <v>315.60827102475952</v>
      </c>
      <c r="F201" s="2">
        <f t="shared" si="92"/>
        <v>0</v>
      </c>
      <c r="G201" s="1">
        <f t="shared" si="84"/>
        <v>315.60827102475952</v>
      </c>
      <c r="H201" s="3">
        <f t="shared" si="93"/>
        <v>1312.0149046634992</v>
      </c>
      <c r="I201" s="3">
        <f t="shared" si="85"/>
        <v>1244.2626684661282</v>
      </c>
      <c r="J201" s="1">
        <f>VLOOKUP((A201+Forudsætninger!$E$60),'Model tilvækst, slagteform, fe'!G:K,4,FALSE)*(1+Forudsætninger!$E$79)</f>
        <v>52.676137233651808</v>
      </c>
      <c r="K201" s="17">
        <f t="shared" si="86"/>
        <v>166.25024596575807</v>
      </c>
      <c r="L201" s="17">
        <f t="shared" si="94"/>
        <v>748.64136091258615</v>
      </c>
      <c r="M201" s="3">
        <f>((K201-(('Model tilvækst, slagteform, fe'!$J$9/100)*'Model tilvækst, slagteform, fe'!$D$9))*1000/(A201+Forudsætninger!$E$60))</f>
        <v>621.34399076985028</v>
      </c>
      <c r="N201" s="17">
        <f t="shared" si="95"/>
        <v>956.50520260437452</v>
      </c>
      <c r="O201" s="19">
        <f>IF( A201&lt;Forudsætninger!$C$14,(G201/100)*Forudsætninger!$C$13,(Forudsætninger!$C$15/1000)*Forudsætninger!$C$13)</f>
        <v>2.051453761660937</v>
      </c>
      <c r="P201" s="17" cm="1">
        <f t="array" ref="P201">INDEX('Model tilvækst, slagteform, fe'!$P$9:$P$375,MATCH(MIN(ABS('Model tilvækst, slagteform, fe'!$M$9:$M$375-G201)),ABS('Model tilvækst, slagteform, fe'!$M$9:$M$375-G201),0))*(1+Forudsætninger!$E$80)</f>
        <v>7.2387731507426407</v>
      </c>
      <c r="Q201" s="17">
        <f t="shared" si="96"/>
        <v>9.6692134961908209</v>
      </c>
      <c r="R201" s="17">
        <f t="shared" si="97"/>
        <v>7.1764673622767559</v>
      </c>
      <c r="S201" s="17">
        <f t="shared" si="98"/>
        <v>3.8629775921690799</v>
      </c>
      <c r="T201" s="19">
        <f>(P201)*IF(N201&lt;Forudsætninger!$B$228,IF(N201&lt;Forudsætninger!$B$227,Forudsætninger!$B$225,Forudsætninger!$C$9),Forudsætninger!$C$11)+O201</f>
        <v>18.990182934398717</v>
      </c>
      <c r="U201" s="5">
        <f>Forudsætninger!$E$68+((K201-(Forudsætninger!$E$84)))*0.01</f>
        <v>6.3790661692292501</v>
      </c>
      <c r="V201" s="2">
        <f>U201+Forudsætninger!$E$69</f>
        <v>6.3790661692292501</v>
      </c>
      <c r="W201">
        <f t="shared" si="87"/>
        <v>1</v>
      </c>
      <c r="X201">
        <f>IF(A201+Forudsætninger!$E$60&gt;248,IF(A201+Forudsætninger!$E$60&lt;365,IF(K201&gt;180,IF(K201&lt;260,1,0),0),0),0)</f>
        <v>0</v>
      </c>
      <c r="Y201" s="22">
        <f>IF(X201=0,0,IF('Vækstfunktion, kry kvie'!A201&lt;Forudsætninger!$E$66,Forudsætninger!$E$67+(('Vækstfunktion, kry kvie'!A201-Forudsætninger!$E$66)/7)*Forudsætninger!$E$64,Forudsætninger!$E$67))</f>
        <v>0</v>
      </c>
      <c r="Z201" s="19">
        <f t="shared" si="102"/>
        <v>2980.6982853703266</v>
      </c>
      <c r="AA201" s="19">
        <f>Forudsætninger!$E$62+Forudsætninger!$C$16</f>
        <v>1575</v>
      </c>
      <c r="AB201" s="19">
        <f>IF(K201&gt;Forudsætninger!$C$48,IF(K201&gt;Forudsætninger!$C$49,IF(K201&gt;Forudsætninger!$C$50,Forudsætninger!$E$50,Forudsætninger!$E$49+Forudsætninger!$F$50*(K201-Forudsætninger!$C$49)),Forudsætninger!$E$48+Forudsætninger!$F$49*(K201-Forudsætninger!$C$48)),Forudsætninger!$E$48)+IF(K201&gt;Forudsætninger!$C$50,Forudsætninger!$G$50,IF(K201&gt;Forudsætninger!$C$49,Forudsætninger!$G$49+Forudsætninger!$H$50*(K201-Forudsætninger!$C$49),IF(K201&gt;Forudsætninger!$C$48,Forudsætninger!$G$48+Forudsætninger!$H$49*(K201-Forudsætninger!$C$48),Forudsætninger!$G$48)))*(U201-Forudsætninger!$H$48)</f>
        <v>35.237906616922928</v>
      </c>
      <c r="AC201" s="19">
        <f>IF(K201&gt;Forudsætninger!$C$52,IF(K201&gt;Forudsætninger!$C$53,IF(K201&gt;Forudsætninger!$C$54,Forudsætninger!$E$54,Forudsætninger!$E$53+Forudsætninger!$F$54*(K201-Forudsætninger!$C$53)),Forudsætninger!$E$52+Forudsætninger!$F$53*(K201-Forudsætninger!$C$52)),Forudsætninger!$E$52)+IF(K201&gt;Forudsætninger!$C$54,Forudsætninger!$G$54,IF(K201&gt;Forudsætninger!$C$53,Forudsætninger!$G$53+Forudsætninger!$H$54*(K201-Forudsætninger!$C$53),IF(K201&gt;Forudsætninger!$C$52,Forudsætninger!$G$52+Forudsætninger!$H$53*(K201-Forudsætninger!$C$52),Forudsætninger!$G$52)))*(V201-Forudsætninger!$H$52)</f>
        <v>30.24476654230731</v>
      </c>
      <c r="AD201" s="19">
        <f t="shared" si="88"/>
        <v>5028.1998768355206</v>
      </c>
      <c r="AE201" s="19">
        <f t="shared" si="89"/>
        <v>30.24476654230731</v>
      </c>
      <c r="AF201">
        <f>IF(G201&lt;=Forudsætninger!$C$97,Forudsætninger!$C$98,(IF(G201&lt;=Forudsætninger!$D$97,Forudsætninger!$D$98,IF(G201&lt;=Forudsætninger!$E$97,Forudsætninger!$E$98,IF(G201&lt;=Forudsætninger!$F$97,Forudsætninger!$F$98,IF(G201&lt;=Forudsætninger!$G$97,Forudsætninger!$G$98,IF(G201&lt;=Forudsætninger!$H$97,Forudsætninger!$H$98,IF(G201&lt;=Forudsætninger!$I$97,Forudsætninger!$I$98,Forudsætninger!$I$98))))))))</f>
        <v>3.8</v>
      </c>
      <c r="AG201" s="1">
        <f t="shared" si="99"/>
        <v>4.4000000000000004</v>
      </c>
      <c r="AH201" s="1">
        <f t="shared" si="103"/>
        <v>535.19999999999845</v>
      </c>
      <c r="AI201" s="1">
        <f t="shared" si="90"/>
        <v>2.6894472361808965</v>
      </c>
      <c r="AJ201" s="20">
        <f>+(W201*Forudsætninger!$C$12)</f>
        <v>900</v>
      </c>
      <c r="AK201" s="20">
        <f>Forudsætninger!$C$17</f>
        <v>250</v>
      </c>
      <c r="AL201" s="20">
        <f>IF(A201&lt;92,Forudsætninger!$C$20,Forudsætninger!$C$21)</f>
        <v>1.0566762728146013</v>
      </c>
      <c r="AM201" s="20">
        <f t="shared" si="100"/>
        <v>478.78406114339731</v>
      </c>
      <c r="AN201" s="19">
        <f>IFERROR(AD201+AJ201-AA201-Z201-AK201-AM201-Forudsætninger!$E$75,-999999)</f>
        <v>452.5007689851808</v>
      </c>
      <c r="AO201" s="19">
        <f>IFERROR(AN201/(A201+Forudsætninger!$E$74),-999999)</f>
        <v>2.273873210980808</v>
      </c>
      <c r="AP201" s="19">
        <f>IFERROR(((365/(A201+Forudsætninger!$E$74))*AN201)/(AI201+Forudsætninger!$E$73),-999999)</f>
        <v>296.47414363853505</v>
      </c>
      <c r="AQ201" s="18">
        <f t="shared" si="91"/>
        <v>199</v>
      </c>
      <c r="AR201" s="18">
        <f t="shared" si="104"/>
        <v>5284.4823465137242</v>
      </c>
      <c r="AS201" s="18">
        <f t="shared" si="83"/>
        <v>7.7</v>
      </c>
      <c r="AT201" s="50">
        <f t="shared" si="105"/>
        <v>2.9053773437647124</v>
      </c>
      <c r="AU201" s="50">
        <f t="shared" si="106"/>
        <v>3.1894148120397148E-3</v>
      </c>
      <c r="AV201" s="2">
        <f t="shared" si="107"/>
        <v>-0.50062553356190165</v>
      </c>
      <c r="AW201" s="16">
        <f t="shared" si="101"/>
        <v>4.6798232669777793</v>
      </c>
      <c r="AZ201" s="16"/>
      <c r="BA201" s="2"/>
    </row>
    <row r="202" spans="1:53" x14ac:dyDescent="0.25">
      <c r="A202">
        <v>200</v>
      </c>
      <c r="B202" s="1">
        <f>ROUND((A202+Forudsætninger!$E$60)/30.4,1)</f>
        <v>7.8</v>
      </c>
      <c r="C202" s="1">
        <f>VLOOKUP((A202+Forudsætninger!$E$60),'Model tilvækst, slagteform, fe'!A:D,4,FALSE)</f>
        <v>344.4746197309247</v>
      </c>
      <c r="D202" s="3">
        <f t="shared" si="108"/>
        <v>1422.1512257513496</v>
      </c>
      <c r="E202" s="3">
        <f>(1+Forudsætninger!$E$78)*C202</f>
        <v>316.91665015245076</v>
      </c>
      <c r="F202" s="2">
        <f t="shared" si="92"/>
        <v>0</v>
      </c>
      <c r="G202" s="1">
        <f t="shared" si="84"/>
        <v>316.91665015245076</v>
      </c>
      <c r="H202" s="3">
        <f t="shared" si="93"/>
        <v>1308.3791276912393</v>
      </c>
      <c r="I202" s="3">
        <f t="shared" si="85"/>
        <v>1244.5832507622538</v>
      </c>
      <c r="J202" s="1">
        <f>VLOOKUP((A202+Forudsætninger!$E$60),'Model tilvækst, slagteform, fe'!G:K,4,FALSE)*(1+Forudsætninger!$E$79)</f>
        <v>52.694254392173583</v>
      </c>
      <c r="K202" s="17">
        <f t="shared" si="86"/>
        <v>166.99686584248715</v>
      </c>
      <c r="L202" s="17">
        <f t="shared" si="94"/>
        <v>746.61987672908481</v>
      </c>
      <c r="M202" s="3">
        <f>((K202-(('Model tilvækst, slagteform, fe'!$J$9/100)*'Model tilvækst, slagteform, fe'!$D$9))*1000/(A202+Forudsætninger!$E$60))</f>
        <v>621.8748207951013</v>
      </c>
      <c r="N202" s="17">
        <f t="shared" si="95"/>
        <v>963.75367911772628</v>
      </c>
      <c r="O202" s="19">
        <f>IF( A202&lt;Forudsætninger!$C$14,(G202/100)*Forudsætninger!$C$13,(Forudsætninger!$C$15/1000)*Forudsætninger!$C$13)</f>
        <v>2.0599582259909299</v>
      </c>
      <c r="P202" s="17" cm="1">
        <f t="array" ref="P202">INDEX('Model tilvækst, slagteform, fe'!$P$9:$P$375,MATCH(MIN(ABS('Model tilvækst, slagteform, fe'!$M$9:$M$375-G202)),ABS('Model tilvækst, slagteform, fe'!$M$9:$M$375-G202),0))*(1+Forudsætninger!$E$80)</f>
        <v>7.248476513351795</v>
      </c>
      <c r="Q202" s="17">
        <f t="shared" si="96"/>
        <v>9.7083894218127611</v>
      </c>
      <c r="R202" s="17">
        <f t="shared" si="97"/>
        <v>7.1905715227872316</v>
      </c>
      <c r="S202" s="17">
        <f t="shared" si="98"/>
        <v>3.8717927407727388</v>
      </c>
      <c r="T202" s="19">
        <f>(P202)*IF(N202&lt;Forudsætninger!$B$228,IF(N202&lt;Forudsætninger!$B$227,Forudsætninger!$B$225,Forudsætninger!$C$9),Forudsætninger!$C$11)+O202</f>
        <v>19.021393267234128</v>
      </c>
      <c r="U202" s="5">
        <f>Forudsætninger!$E$68+((K202-(Forudsætninger!$E$84)))*0.01</f>
        <v>6.3865323679965407</v>
      </c>
      <c r="V202" s="2">
        <f>U202+Forudsætninger!$E$69</f>
        <v>6.3865323679965407</v>
      </c>
      <c r="W202">
        <f t="shared" si="87"/>
        <v>1</v>
      </c>
      <c r="X202">
        <f>IF(A202+Forudsætninger!$E$60&gt;248,IF(A202+Forudsætninger!$E$60&lt;365,IF(K202&gt;180,IF(K202&lt;260,1,0),0),0),0)</f>
        <v>0</v>
      </c>
      <c r="Y202" s="22">
        <f>IF(X202=0,0,IF('Vækstfunktion, kry kvie'!A202&lt;Forudsætninger!$E$66,Forudsætninger!$E$67+(('Vækstfunktion, kry kvie'!A202-Forudsætninger!$E$66)/7)*Forudsætninger!$E$64,Forudsætninger!$E$67))</f>
        <v>0</v>
      </c>
      <c r="Z202" s="19">
        <f t="shared" si="102"/>
        <v>2999.7196786375607</v>
      </c>
      <c r="AA202" s="19">
        <f>Forudsætninger!$E$62+Forudsætninger!$C$16</f>
        <v>1575</v>
      </c>
      <c r="AB202" s="19">
        <f>IF(K202&gt;Forudsætninger!$C$48,IF(K202&gt;Forudsætninger!$C$49,IF(K202&gt;Forudsætninger!$C$50,Forudsætninger!$E$50,Forudsætninger!$E$49+Forudsætninger!$F$50*(K202-Forudsætninger!$C$49)),Forudsætninger!$E$48+Forudsætninger!$F$49*(K202-Forudsætninger!$C$48)),Forudsætninger!$E$48)+IF(K202&gt;Forudsætninger!$C$50,Forudsætninger!$G$50,IF(K202&gt;Forudsætninger!$C$49,Forudsætninger!$G$49+Forudsætninger!$H$50*(K202-Forudsætninger!$C$49),IF(K202&gt;Forudsætninger!$C$48,Forudsætninger!$G$48+Forudsætninger!$H$49*(K202-Forudsætninger!$C$48),Forudsætninger!$G$48)))*(U202-Forudsætninger!$H$48)</f>
        <v>35.238653236799657</v>
      </c>
      <c r="AC202" s="19">
        <f>IF(K202&gt;Forudsætninger!$C$52,IF(K202&gt;Forudsætninger!$C$53,IF(K202&gt;Forudsætninger!$C$54,Forudsætninger!$E$54,Forudsætninger!$E$53+Forudsætninger!$F$54*(K202-Forudsætninger!$C$53)),Forudsætninger!$E$52+Forudsætninger!$F$53*(K202-Forudsætninger!$C$52)),Forudsætninger!$E$52)+IF(K202&gt;Forudsætninger!$C$54,Forudsætninger!$G$54,IF(K202&gt;Forudsætninger!$C$53,Forudsætninger!$G$53+Forudsætninger!$H$54*(K202-Forudsætninger!$C$53),IF(K202&gt;Forudsætninger!$C$52,Forudsætninger!$G$52+Forudsætninger!$H$53*(K202-Forudsætninger!$C$52),Forudsætninger!$G$52)))*(V202-Forudsætninger!$H$52)</f>
        <v>30.246633091999133</v>
      </c>
      <c r="AD202" s="19">
        <f t="shared" si="88"/>
        <v>5051.092928651512</v>
      </c>
      <c r="AE202" s="19">
        <f t="shared" si="89"/>
        <v>30.246633091999136</v>
      </c>
      <c r="AF202">
        <f>IF(G202&lt;=Forudsætninger!$C$97,Forudsætninger!$C$98,(IF(G202&lt;=Forudsætninger!$D$97,Forudsætninger!$D$98,IF(G202&lt;=Forudsætninger!$E$97,Forudsætninger!$E$98,IF(G202&lt;=Forudsætninger!$F$97,Forudsætninger!$F$98,IF(G202&lt;=Forudsætninger!$G$97,Forudsætninger!$G$98,IF(G202&lt;=Forudsætninger!$H$97,Forudsætninger!$H$98,IF(G202&lt;=Forudsætninger!$I$97,Forudsætninger!$I$98,Forudsætninger!$I$98))))))))</f>
        <v>3.8</v>
      </c>
      <c r="AG202" s="1">
        <f t="shared" si="99"/>
        <v>4.4000000000000004</v>
      </c>
      <c r="AH202" s="1">
        <f t="shared" si="103"/>
        <v>539.59999999999843</v>
      </c>
      <c r="AI202" s="1">
        <f t="shared" si="90"/>
        <v>2.697999999999992</v>
      </c>
      <c r="AJ202" s="20">
        <f>+(W202*Forudsætninger!$C$12)</f>
        <v>900</v>
      </c>
      <c r="AK202" s="20">
        <f>Forudsætninger!$C$17</f>
        <v>250</v>
      </c>
      <c r="AL202" s="20">
        <f>IF(A202&lt;92,Forudsætninger!$C$20,Forudsætninger!$C$21)</f>
        <v>1.0566762728146013</v>
      </c>
      <c r="AM202" s="20">
        <f t="shared" si="100"/>
        <v>479.84073741621194</v>
      </c>
      <c r="AN202" s="19">
        <f>IFERROR(AD202+AJ202-AA202-Z202-AK202-AM202-Forudsætninger!$E$75,-999999)</f>
        <v>455.31575126112352</v>
      </c>
      <c r="AO202" s="19">
        <f>IFERROR(AN202/(A202+Forudsætninger!$E$74),-999999)</f>
        <v>2.2765787563056175</v>
      </c>
      <c r="AP202" s="19">
        <f>IFERROR(((365/(A202+Forudsætninger!$E$74))*AN202)/(AI202+Forudsætninger!$E$73),-999999)</f>
        <v>295.92280842291763</v>
      </c>
      <c r="AQ202" s="18">
        <f t="shared" si="91"/>
        <v>200</v>
      </c>
      <c r="AR202" s="18">
        <f t="shared" si="104"/>
        <v>5304.5604160537723</v>
      </c>
      <c r="AS202" s="18">
        <f t="shared" si="83"/>
        <v>7.8</v>
      </c>
      <c r="AT202" s="50">
        <f t="shared" si="105"/>
        <v>2.8149822759427252</v>
      </c>
      <c r="AU202" s="50">
        <f t="shared" si="106"/>
        <v>2.7055453248094885E-3</v>
      </c>
      <c r="AV202" s="2">
        <f t="shared" si="107"/>
        <v>-0.55133521561742782</v>
      </c>
      <c r="AW202" s="16">
        <f t="shared" si="101"/>
        <v>4.6757824433866775</v>
      </c>
      <c r="AZ202" s="16"/>
      <c r="BA202" s="2"/>
    </row>
    <row r="203" spans="1:53" x14ac:dyDescent="0.25">
      <c r="A203">
        <v>201</v>
      </c>
      <c r="B203" s="1">
        <f>ROUND((A203+Forudsætninger!$E$60)/30.4,1)</f>
        <v>7.8</v>
      </c>
      <c r="C203" s="1">
        <f>VLOOKUP((A203+Forudsætninger!$E$60),'Model tilvækst, slagteform, fe'!A:D,4,FALSE)</f>
        <v>345.89278677503893</v>
      </c>
      <c r="D203" s="3">
        <f t="shared" si="108"/>
        <v>1418.1670441142273</v>
      </c>
      <c r="E203" s="3">
        <f>(1+Forudsætninger!$E$78)*C203</f>
        <v>318.22136383303581</v>
      </c>
      <c r="F203" s="2">
        <f t="shared" si="92"/>
        <v>0</v>
      </c>
      <c r="G203" s="1">
        <f t="shared" si="84"/>
        <v>318.22136383303581</v>
      </c>
      <c r="H203" s="3">
        <f>(G203-G202)*1000</f>
        <v>1304.7136805850528</v>
      </c>
      <c r="I203" s="3">
        <f t="shared" si="85"/>
        <v>1244.8824071295314</v>
      </c>
      <c r="J203" s="1">
        <f>VLOOKUP((A203+Forudsætninger!$E$60),'Model tilvækst, slagteform, fe'!G:K,4,FALSE)*(1+Forudsætninger!$E$79)</f>
        <v>52.712182211466818</v>
      </c>
      <c r="K203" s="17">
        <f t="shared" si="86"/>
        <v>167.74142513948459</v>
      </c>
      <c r="L203" s="17">
        <f t="shared" si="94"/>
        <v>744.55929699743706</v>
      </c>
      <c r="M203" s="3">
        <f>((K203-(('Model tilvækst, slagteform, fe'!$J$9/100)*'Model tilvækst, slagteform, fe'!$D$9))*1000/(A203+Forudsætninger!$E$60))</f>
        <v>622.39247681283268</v>
      </c>
      <c r="N203" s="17">
        <f t="shared" si="95"/>
        <v>971.01160067778687</v>
      </c>
      <c r="O203" s="19">
        <f>IF( A203&lt;Forudsætninger!$C$14,(G203/100)*Forudsætninger!$C$13,(Forudsætninger!$C$15/1000)*Forudsætninger!$C$13)</f>
        <v>2.0684388649147332</v>
      </c>
      <c r="P203" s="17" cm="1">
        <f t="array" ref="P203">INDEX('Model tilvækst, slagteform, fe'!$P$9:$P$375,MATCH(MIN(ABS('Model tilvækst, slagteform, fe'!$M$9:$M$375-G203)),ABS('Model tilvækst, slagteform, fe'!$M$9:$M$375-G203),0))*(1+Forudsætninger!$E$80)</f>
        <v>7.2579215600606215</v>
      </c>
      <c r="Q203" s="17">
        <f t="shared" si="96"/>
        <v>9.7479429634811279</v>
      </c>
      <c r="R203" s="17">
        <f t="shared" si="97"/>
        <v>7.2046996489308048</v>
      </c>
      <c r="S203" s="17">
        <f t="shared" si="98"/>
        <v>3.8806102956329096</v>
      </c>
      <c r="T203" s="19">
        <f>(P203)*IF(N203&lt;Forudsætninger!$B$228,IF(N203&lt;Forudsætninger!$B$227,Forudsætninger!$B$225,Forudsætninger!$C$9),Forudsætninger!$C$11)+O203</f>
        <v>19.051975315456584</v>
      </c>
      <c r="U203" s="5">
        <f>Forudsætninger!$E$68+((K203-(Forudsætninger!$E$84)))*0.01</f>
        <v>6.3939779609665148</v>
      </c>
      <c r="V203" s="2">
        <f>U203+Forudsætninger!$E$69</f>
        <v>6.3939779609665148</v>
      </c>
      <c r="W203">
        <f t="shared" si="87"/>
        <v>1</v>
      </c>
      <c r="X203">
        <f>IF(A203+Forudsætninger!$E$60&gt;248,IF(A203+Forudsætninger!$E$60&lt;365,IF(K203&gt;180,IF(K203&lt;260,1,0),0),0),0)</f>
        <v>0</v>
      </c>
      <c r="Y203" s="22">
        <f>IF(X203=0,0,IF('Vækstfunktion, kry kvie'!A203&lt;Forudsætninger!$E$66,Forudsætninger!$E$67+(('Vækstfunktion, kry kvie'!A203-Forudsætninger!$E$66)/7)*Forudsætninger!$E$64,Forudsætninger!$E$67))</f>
        <v>0</v>
      </c>
      <c r="Z203" s="19">
        <f t="shared" si="102"/>
        <v>3018.7716539530174</v>
      </c>
      <c r="AA203" s="19">
        <f>Forudsætninger!$E$62+Forudsætninger!$C$16</f>
        <v>1575</v>
      </c>
      <c r="AB203" s="19">
        <f>IF(K203&gt;Forudsætninger!$C$48,IF(K203&gt;Forudsætninger!$C$49,IF(K203&gt;Forudsætninger!$C$50,Forudsætninger!$E$50,Forudsætninger!$E$49+Forudsætninger!$F$50*(K203-Forudsætninger!$C$49)),Forudsætninger!$E$48+Forudsætninger!$F$49*(K203-Forudsætninger!$C$48)),Forudsætninger!$E$48)+IF(K203&gt;Forudsætninger!$C$50,Forudsætninger!$G$50,IF(K203&gt;Forudsætninger!$C$49,Forudsætninger!$G$49+Forudsætninger!$H$50*(K203-Forudsætninger!$C$49),IF(K203&gt;Forudsætninger!$C$48,Forudsætninger!$G$48+Forudsætninger!$H$49*(K203-Forudsætninger!$C$48),Forudsætninger!$G$48)))*(U203-Forudsætninger!$H$48)</f>
        <v>35.239397796096654</v>
      </c>
      <c r="AC203" s="19">
        <f>IF(K203&gt;Forudsætninger!$C$52,IF(K203&gt;Forudsætninger!$C$53,IF(K203&gt;Forudsætninger!$C$54,Forudsætninger!$E$54,Forudsætninger!$E$53+Forudsætninger!$F$54*(K203-Forudsætninger!$C$53)),Forudsætninger!$E$52+Forudsætninger!$F$53*(K203-Forudsætninger!$C$52)),Forudsætninger!$E$52)+IF(K203&gt;Forudsætninger!$C$54,Forudsætninger!$G$54,IF(K203&gt;Forudsætninger!$C$53,Forudsætninger!$G$53+Forudsætninger!$H$54*(K203-Forudsætninger!$C$53),IF(K203&gt;Forudsætninger!$C$52,Forudsætninger!$G$52+Forudsætninger!$H$53*(K203-Forudsætninger!$C$52),Forudsætninger!$G$52)))*(V203-Forudsætninger!$H$52)</f>
        <v>30.248494490241626</v>
      </c>
      <c r="AD203" s="19">
        <f t="shared" si="88"/>
        <v>5073.9255741169782</v>
      </c>
      <c r="AE203" s="19">
        <f t="shared" si="89"/>
        <v>30.24849449024163</v>
      </c>
      <c r="AF203">
        <f>IF(G203&lt;=Forudsætninger!$C$97,Forudsætninger!$C$98,(IF(G203&lt;=Forudsætninger!$D$97,Forudsætninger!$D$98,IF(G203&lt;=Forudsætninger!$E$97,Forudsætninger!$E$98,IF(G203&lt;=Forudsætninger!$F$97,Forudsætninger!$F$98,IF(G203&lt;=Forudsætninger!$G$97,Forudsætninger!$G$98,IF(G203&lt;=Forudsætninger!$H$97,Forudsætninger!$H$98,IF(G203&lt;=Forudsætninger!$I$97,Forudsætninger!$I$98,Forudsætninger!$I$98))))))))</f>
        <v>3.8</v>
      </c>
      <c r="AG203" s="1">
        <f t="shared" si="99"/>
        <v>4.4000000000000004</v>
      </c>
      <c r="AH203" s="1">
        <f t="shared" si="103"/>
        <v>543.99999999999841</v>
      </c>
      <c r="AI203" s="1">
        <f t="shared" si="90"/>
        <v>2.7064676616915344</v>
      </c>
      <c r="AJ203" s="20">
        <f>+(W203*Forudsætninger!$C$12)</f>
        <v>900</v>
      </c>
      <c r="AK203" s="20">
        <f>Forudsætninger!$C$17</f>
        <v>250</v>
      </c>
      <c r="AL203" s="20">
        <f>IF(A203&lt;92,Forudsætninger!$C$20,Forudsætninger!$C$21)</f>
        <v>1.0566762728146013</v>
      </c>
      <c r="AM203" s="20">
        <f t="shared" si="100"/>
        <v>480.89741368902656</v>
      </c>
      <c r="AN203" s="19">
        <f>IFERROR(AD203+AJ203-AA203-Z203-AK203-AM203-Forudsætninger!$E$75,-999999)</f>
        <v>458.03974513831838</v>
      </c>
      <c r="AO203" s="19">
        <f>IFERROR(AN203/(A203+Forudsætninger!$E$74),-999999)</f>
        <v>2.2788047021806883</v>
      </c>
      <c r="AP203" s="19">
        <f>IFERROR(((365/(A203+Forudsætninger!$E$74))*AN203)/(AI203+Forudsætninger!$E$73),-999999)</f>
        <v>295.32159293332865</v>
      </c>
      <c r="AQ203" s="18">
        <f t="shared" si="91"/>
        <v>201</v>
      </c>
      <c r="AR203" s="18">
        <f t="shared" si="104"/>
        <v>5324.669067642044</v>
      </c>
      <c r="AS203" s="18">
        <f t="shared" si="83"/>
        <v>7.8</v>
      </c>
      <c r="AT203" s="50">
        <f t="shared" si="105"/>
        <v>2.7239938771948573</v>
      </c>
      <c r="AU203" s="50">
        <f t="shared" si="106"/>
        <v>2.2259458750708561E-3</v>
      </c>
      <c r="AV203" s="2">
        <f t="shared" si="107"/>
        <v>-0.60121548958898074</v>
      </c>
      <c r="AW203" s="16">
        <f t="shared" si="101"/>
        <v>4.6713291483947517</v>
      </c>
      <c r="AZ203" s="16"/>
      <c r="BA203" s="2"/>
    </row>
    <row r="204" spans="1:53" x14ac:dyDescent="0.25">
      <c r="A204">
        <v>202</v>
      </c>
      <c r="B204" s="1">
        <f>ROUND((A204+Forudsætninger!$E$60)/30.4,1)</f>
        <v>7.8</v>
      </c>
      <c r="C204" s="1">
        <f>VLOOKUP((A204+Forudsætninger!$E$60),'Model tilvækst, slagteform, fe'!A:D,4,FALSE)</f>
        <v>347.30693797239184</v>
      </c>
      <c r="D204" s="3">
        <f t="shared" si="108"/>
        <v>1414.1511973529077</v>
      </c>
      <c r="E204" s="3">
        <f>(1+Forudsætninger!$E$78)*C204</f>
        <v>319.5223829346005</v>
      </c>
      <c r="F204" s="2">
        <f t="shared" si="92"/>
        <v>0</v>
      </c>
      <c r="G204" s="1">
        <f t="shared" si="84"/>
        <v>319.5223829346005</v>
      </c>
      <c r="H204" s="3">
        <f t="shared" si="93"/>
        <v>1301.019101564691</v>
      </c>
      <c r="I204" s="3">
        <f t="shared" si="85"/>
        <v>1245.1603115574283</v>
      </c>
      <c r="J204" s="1">
        <f>VLOOKUP((A204+Forudsætninger!$E$60),'Model tilvækst, slagteform, fe'!G:K,4,FALSE)*(1+Forudsætninger!$E$79)</f>
        <v>52.729916221911033</v>
      </c>
      <c r="K204" s="17">
        <f t="shared" si="86"/>
        <v>168.4838848316686</v>
      </c>
      <c r="L204" s="17">
        <f t="shared" si="94"/>
        <v>742.45969218401342</v>
      </c>
      <c r="M204" s="3">
        <f>((K204-(('Model tilvækst, slagteform, fe'!$J$9/100)*'Model tilvækst, slagteform, fe'!$D$9))*1000/(A204+Forudsætninger!$E$60))</f>
        <v>622.89696091103087</v>
      </c>
      <c r="N204" s="17">
        <f t="shared" si="95"/>
        <v>978.27870628164089</v>
      </c>
      <c r="O204" s="19">
        <f>IF( A204&lt;Forudsætninger!$C$14,(G204/100)*Forudsætninger!$C$13,(Forudsætninger!$C$15/1000)*Forudsætninger!$C$13)</f>
        <v>2.0768954890749036</v>
      </c>
      <c r="P204" s="17" cm="1">
        <f t="array" ref="P204">INDEX('Model tilvækst, slagteform, fe'!$P$9:$P$375,MATCH(MIN(ABS('Model tilvækst, slagteform, fe'!$M$9:$M$375-G204)),ABS('Model tilvækst, slagteform, fe'!$M$9:$M$375-G204),0))*(1+Forudsætninger!$E$80)</f>
        <v>7.267105603854076</v>
      </c>
      <c r="Q204" s="17">
        <f t="shared" si="96"/>
        <v>9.7878789654926823</v>
      </c>
      <c r="R204" s="17">
        <f t="shared" si="97"/>
        <v>7.2188521430050896</v>
      </c>
      <c r="S204" s="17">
        <f t="shared" si="98"/>
        <v>3.8894300175901551</v>
      </c>
      <c r="T204" s="19">
        <f>(P204)*IF(N204&lt;Forudsætninger!$B$228,IF(N204&lt;Forudsætninger!$B$227,Forudsætninger!$B$225,Forudsætninger!$C$9),Forudsætninger!$C$11)+O204</f>
        <v>19.081922602093439</v>
      </c>
      <c r="U204" s="5">
        <f>Forudsætninger!$E$68+((K204-(Forudsætninger!$E$84)))*0.01</f>
        <v>6.4014025578883551</v>
      </c>
      <c r="V204" s="2">
        <f>U204+Forudsætninger!$E$69</f>
        <v>6.4014025578883551</v>
      </c>
      <c r="W204">
        <f t="shared" si="87"/>
        <v>1</v>
      </c>
      <c r="X204">
        <f>IF(A204+Forudsætninger!$E$60&gt;248,IF(A204+Forudsætninger!$E$60&lt;365,IF(K204&gt;180,IF(K204&lt;260,1,0),0),0),0)</f>
        <v>0</v>
      </c>
      <c r="Y204" s="22">
        <f>IF(X204=0,0,IF('Vækstfunktion, kry kvie'!A204&lt;Forudsætninger!$E$66,Forudsætninger!$E$67+(('Vækstfunktion, kry kvie'!A204-Forudsætninger!$E$66)/7)*Forudsætninger!$E$64,Forudsætninger!$E$67))</f>
        <v>0</v>
      </c>
      <c r="Z204" s="19">
        <f t="shared" si="102"/>
        <v>3037.853576555111</v>
      </c>
      <c r="AA204" s="19">
        <f>Forudsætninger!$E$62+Forudsætninger!$C$16</f>
        <v>1575</v>
      </c>
      <c r="AB204" s="19">
        <f>IF(K204&gt;Forudsætninger!$C$48,IF(K204&gt;Forudsætninger!$C$49,IF(K204&gt;Forudsætninger!$C$50,Forudsætninger!$E$50,Forudsætninger!$E$49+Forudsætninger!$F$50*(K204-Forudsætninger!$C$49)),Forudsætninger!$E$48+Forudsætninger!$F$49*(K204-Forudsætninger!$C$48)),Forudsætninger!$E$48)+IF(K204&gt;Forudsætninger!$C$50,Forudsætninger!$G$50,IF(K204&gt;Forudsætninger!$C$49,Forudsætninger!$G$49+Forudsætninger!$H$50*(K204-Forudsætninger!$C$49),IF(K204&gt;Forudsætninger!$C$48,Forudsætninger!$G$48+Forudsætninger!$H$49*(K204-Forudsætninger!$C$48),Forudsætninger!$G$48)))*(U204-Forudsætninger!$H$48)</f>
        <v>35.240140255788837</v>
      </c>
      <c r="AC204" s="19">
        <f>IF(K204&gt;Forudsætninger!$C$52,IF(K204&gt;Forudsætninger!$C$53,IF(K204&gt;Forudsætninger!$C$54,Forudsætninger!$E$54,Forudsætninger!$E$53+Forudsætninger!$F$54*(K204-Forudsætninger!$C$53)),Forudsætninger!$E$52+Forudsætninger!$F$53*(K204-Forudsætninger!$C$52)),Forudsætninger!$E$52)+IF(K204&gt;Forudsætninger!$C$54,Forudsætninger!$G$54,IF(K204&gt;Forudsætninger!$C$53,Forudsætninger!$G$53+Forudsætninger!$H$54*(K204-Forudsætninger!$C$53),IF(K204&gt;Forudsætninger!$C$52,Forudsætninger!$G$52+Forudsætninger!$H$53*(K204-Forudsætninger!$C$52),Forudsætninger!$G$52)))*(V204-Forudsætninger!$H$52)</f>
        <v>30.250350639472089</v>
      </c>
      <c r="AD204" s="19">
        <f t="shared" si="88"/>
        <v>5096.696593258408</v>
      </c>
      <c r="AE204" s="19">
        <f t="shared" si="89"/>
        <v>30.250350639472089</v>
      </c>
      <c r="AF204">
        <f>IF(G204&lt;=Forudsætninger!$C$97,Forudsætninger!$C$98,(IF(G204&lt;=Forudsætninger!$D$97,Forudsætninger!$D$98,IF(G204&lt;=Forudsætninger!$E$97,Forudsætninger!$E$98,IF(G204&lt;=Forudsætninger!$F$97,Forudsætninger!$F$98,IF(G204&lt;=Forudsætninger!$G$97,Forudsætninger!$G$98,IF(G204&lt;=Forudsætninger!$H$97,Forudsætninger!$H$98,IF(G204&lt;=Forudsætninger!$I$97,Forudsætninger!$I$98,Forudsætninger!$I$98))))))))</f>
        <v>3.8</v>
      </c>
      <c r="AG204" s="1">
        <f t="shared" si="99"/>
        <v>4.4000000000000004</v>
      </c>
      <c r="AH204" s="1">
        <f t="shared" si="103"/>
        <v>548.39999999999839</v>
      </c>
      <c r="AI204" s="1">
        <f t="shared" si="90"/>
        <v>2.714851485148507</v>
      </c>
      <c r="AJ204" s="20">
        <f>+(W204*Forudsætninger!$C$12)</f>
        <v>900</v>
      </c>
      <c r="AK204" s="20">
        <f>Forudsætninger!$C$17</f>
        <v>250</v>
      </c>
      <c r="AL204" s="20">
        <f>IF(A204&lt;92,Forudsætninger!$C$20,Forudsætninger!$C$21)</f>
        <v>1.0566762728146013</v>
      </c>
      <c r="AM204" s="20">
        <f t="shared" si="100"/>
        <v>481.95408996184119</v>
      </c>
      <c r="AN204" s="19">
        <f>IFERROR(AD204+AJ204-AA204-Z204-AK204-AM204-Forudsætninger!$E$75,-999999)</f>
        <v>460.67216540484003</v>
      </c>
      <c r="AO204" s="19">
        <f>IFERROR(AN204/(A204+Forudsætninger!$E$74),-999999)</f>
        <v>2.2805552742813862</v>
      </c>
      <c r="AP204" s="19">
        <f>IFERROR(((365/(A204+Forudsætninger!$E$74))*AN204)/(AI204+Forudsætninger!$E$73),-999999)</f>
        <v>294.67130554969521</v>
      </c>
      <c r="AQ204" s="18">
        <f t="shared" si="91"/>
        <v>202</v>
      </c>
      <c r="AR204" s="18">
        <f t="shared" si="104"/>
        <v>5344.8076665169528</v>
      </c>
      <c r="AS204" s="18">
        <f t="shared" si="83"/>
        <v>7.8</v>
      </c>
      <c r="AT204" s="50">
        <f t="shared" si="105"/>
        <v>2.632420266521649</v>
      </c>
      <c r="AU204" s="50">
        <f t="shared" si="106"/>
        <v>1.7505721006978447E-3</v>
      </c>
      <c r="AV204" s="2">
        <f t="shared" si="107"/>
        <v>-0.65028738363344019</v>
      </c>
      <c r="AW204" s="16">
        <f t="shared" si="101"/>
        <v>4.666466610726145</v>
      </c>
      <c r="AZ204" s="16"/>
      <c r="BA204" s="2"/>
    </row>
    <row r="205" spans="1:53" x14ac:dyDescent="0.25">
      <c r="A205">
        <v>203</v>
      </c>
      <c r="B205" s="1">
        <f>ROUND((A205+Forudsætninger!$E$60)/30.4,1)</f>
        <v>7.9</v>
      </c>
      <c r="C205" s="1">
        <f>VLOOKUP((A205+Forudsætninger!$E$60),'Model tilvækst, slagteform, fe'!A:D,4,FALSE)</f>
        <v>348.7170422428793</v>
      </c>
      <c r="D205" s="3">
        <f t="shared" si="108"/>
        <v>1410.1042704874658</v>
      </c>
      <c r="E205" s="3">
        <f>(1+Forudsætninger!$E$78)*C205</f>
        <v>320.81967886344898</v>
      </c>
      <c r="F205" s="2">
        <f t="shared" si="92"/>
        <v>0</v>
      </c>
      <c r="G205" s="1">
        <f t="shared" si="84"/>
        <v>320.81967886344898</v>
      </c>
      <c r="H205" s="3">
        <f t="shared" si="93"/>
        <v>1297.2959288484844</v>
      </c>
      <c r="I205" s="3">
        <f t="shared" si="85"/>
        <v>1245.4171372583694</v>
      </c>
      <c r="J205" s="1">
        <f>VLOOKUP((A205+Forudsætninger!$E$60),'Model tilvækst, slagteform, fe'!G:K,4,FALSE)*(1+Forudsætninger!$E$79)</f>
        <v>52.747451953885751</v>
      </c>
      <c r="K205" s="17">
        <f t="shared" si="86"/>
        <v>169.2242059671083</v>
      </c>
      <c r="L205" s="17">
        <f t="shared" si="94"/>
        <v>740.32113543970013</v>
      </c>
      <c r="M205" s="3">
        <f>((K205-(('Model tilvækst, slagteform, fe'!$J$9/100)*'Model tilvækst, slagteform, fe'!$D$9))*1000/(A205+Forudsætninger!$E$60))</f>
        <v>623.3882754488078</v>
      </c>
      <c r="N205" s="17">
        <f t="shared" si="95"/>
        <v>985.5633862162756</v>
      </c>
      <c r="O205" s="19">
        <f>IF( A205&lt;Forudsætninger!$C$14,(G205/100)*Forudsætninger!$C$13,(Forudsætninger!$C$15/1000)*Forudsætninger!$C$13)</f>
        <v>2.0853279126124185</v>
      </c>
      <c r="P205" s="17" cm="1">
        <f t="array" ref="P205">INDEX('Model tilvækst, slagteform, fe'!$P$9:$P$375,MATCH(MIN(ABS('Model tilvækst, slagteform, fe'!$M$9:$M$375-G205)),ABS('Model tilvækst, slagteform, fe'!$M$9:$M$375-G205),0))*(1+Forudsætninger!$E$80)</f>
        <v>7.284679934634684</v>
      </c>
      <c r="Q205" s="17">
        <f t="shared" si="96"/>
        <v>9.8398918873335717</v>
      </c>
      <c r="R205" s="17">
        <f t="shared" si="97"/>
        <v>7.2330929052924136</v>
      </c>
      <c r="S205" s="17">
        <f t="shared" si="98"/>
        <v>3.8982858875815221</v>
      </c>
      <c r="T205" s="19">
        <f>(P205)*IF(N205&lt;Forudsætninger!$B$228,IF(N205&lt;Forudsætninger!$B$227,Forudsætninger!$B$225,Forudsætninger!$C$9),Forudsætninger!$C$11)+O205</f>
        <v>19.131478959657578</v>
      </c>
      <c r="U205" s="5">
        <f>Forudsætninger!$E$68+((K205-(Forudsætninger!$E$84)))*0.01</f>
        <v>6.4088057692427522</v>
      </c>
      <c r="V205" s="2">
        <f>U205+Forudsætninger!$E$69</f>
        <v>6.4088057692427522</v>
      </c>
      <c r="W205">
        <f t="shared" si="87"/>
        <v>1</v>
      </c>
      <c r="X205">
        <f>IF(A205+Forudsætninger!$E$60&gt;248,IF(A205+Forudsætninger!$E$60&lt;365,IF(K205&gt;180,IF(K205&lt;260,1,0),0),0),0)</f>
        <v>0</v>
      </c>
      <c r="Y205" s="22">
        <f>IF(X205=0,0,IF('Vækstfunktion, kry kvie'!A205&lt;Forudsætninger!$E$66,Forudsætninger!$E$67+(('Vækstfunktion, kry kvie'!A205-Forudsætninger!$E$66)/7)*Forudsætninger!$E$64,Forudsætninger!$E$67))</f>
        <v>0</v>
      </c>
      <c r="Z205" s="19">
        <f t="shared" si="102"/>
        <v>3056.9850555147686</v>
      </c>
      <c r="AA205" s="19">
        <f>Forudsætninger!$E$62+Forudsætninger!$C$16</f>
        <v>1575</v>
      </c>
      <c r="AB205" s="19">
        <f>IF(K205&gt;Forudsætninger!$C$48,IF(K205&gt;Forudsætninger!$C$49,IF(K205&gt;Forudsætninger!$C$50,Forudsætninger!$E$50,Forudsætninger!$E$49+Forudsætninger!$F$50*(K205-Forudsætninger!$C$49)),Forudsætninger!$E$48+Forudsætninger!$F$49*(K205-Forudsætninger!$C$48)),Forudsætninger!$E$48)+IF(K205&gt;Forudsætninger!$C$50,Forudsætninger!$G$50,IF(K205&gt;Forudsætninger!$C$49,Forudsætninger!$G$49+Forudsætninger!$H$50*(K205-Forudsætninger!$C$49),IF(K205&gt;Forudsætninger!$C$48,Forudsætninger!$G$48+Forudsætninger!$H$49*(K205-Forudsætninger!$C$48),Forudsætninger!$G$48)))*(U205-Forudsætninger!$H$48)</f>
        <v>35.240880576924276</v>
      </c>
      <c r="AC205" s="19">
        <f>IF(K205&gt;Forudsætninger!$C$52,IF(K205&gt;Forudsætninger!$C$53,IF(K205&gt;Forudsætninger!$C$54,Forudsætninger!$E$54,Forudsætninger!$E$53+Forudsætninger!$F$54*(K205-Forudsætninger!$C$53)),Forudsætninger!$E$52+Forudsætninger!$F$53*(K205-Forudsætninger!$C$52)),Forudsætninger!$E$52)+IF(K205&gt;Forudsætninger!$C$54,Forudsætninger!$G$54,IF(K205&gt;Forudsætninger!$C$53,Forudsætninger!$G$53+Forudsætninger!$H$54*(K205-Forudsætninger!$C$53),IF(K205&gt;Forudsætninger!$C$52,Forudsætninger!$G$52+Forudsætninger!$H$53*(K205-Forudsætninger!$C$52),Forudsætninger!$G$52)))*(V205-Forudsætninger!$H$52)</f>
        <v>30.252201442310685</v>
      </c>
      <c r="AD205" s="19">
        <f t="shared" si="88"/>
        <v>5119.4047678320339</v>
      </c>
      <c r="AE205" s="19">
        <f t="shared" si="89"/>
        <v>30.252201442310682</v>
      </c>
      <c r="AF205">
        <f>IF(G205&lt;=Forudsætninger!$C$97,Forudsætninger!$C$98,(IF(G205&lt;=Forudsætninger!$D$97,Forudsætninger!$D$98,IF(G205&lt;=Forudsætninger!$E$97,Forudsætninger!$E$98,IF(G205&lt;=Forudsætninger!$F$97,Forudsætninger!$F$98,IF(G205&lt;=Forudsætninger!$G$97,Forudsætninger!$G$98,IF(G205&lt;=Forudsætninger!$H$97,Forudsætninger!$H$98,IF(G205&lt;=Forudsætninger!$I$97,Forudsætninger!$I$98,Forudsætninger!$I$98))))))))</f>
        <v>3.8</v>
      </c>
      <c r="AG205" s="1">
        <f t="shared" si="99"/>
        <v>4.4000000000000004</v>
      </c>
      <c r="AH205" s="1">
        <f t="shared" si="103"/>
        <v>552.79999999999836</v>
      </c>
      <c r="AI205" s="1">
        <f t="shared" si="90"/>
        <v>2.723152709359598</v>
      </c>
      <c r="AJ205" s="20">
        <f>+(W205*Forudsætninger!$C$12)</f>
        <v>900</v>
      </c>
      <c r="AK205" s="20">
        <f>Forudsætninger!$C$17</f>
        <v>250</v>
      </c>
      <c r="AL205" s="20">
        <f>IF(A205&lt;92,Forudsætninger!$C$20,Forudsætninger!$C$21)</f>
        <v>1.0566762728146013</v>
      </c>
      <c r="AM205" s="20">
        <f t="shared" si="100"/>
        <v>483.01076623465582</v>
      </c>
      <c r="AN205" s="19">
        <f>IFERROR(AD205+AJ205-AA205-Z205-AK205-AM205-Forudsætninger!$E$75,-999999)</f>
        <v>463.19218474599359</v>
      </c>
      <c r="AO205" s="19">
        <f>IFERROR(AN205/(A205+Forudsætninger!$E$74),-999999)</f>
        <v>2.2817349002265694</v>
      </c>
      <c r="AP205" s="19">
        <f>IFERROR(((365/(A205+Forudsætninger!$E$74))*AN205)/(AI205+Forudsætninger!$E$73),-999999)</f>
        <v>293.95988286524459</v>
      </c>
      <c r="AQ205" s="18">
        <f t="shared" si="91"/>
        <v>203</v>
      </c>
      <c r="AR205" s="18">
        <f t="shared" si="104"/>
        <v>5364.9958217494241</v>
      </c>
      <c r="AS205" s="18">
        <f t="shared" si="83"/>
        <v>7.9</v>
      </c>
      <c r="AT205" s="50">
        <f t="shared" si="105"/>
        <v>2.5200193411535565</v>
      </c>
      <c r="AU205" s="50">
        <f t="shared" si="106"/>
        <v>1.1796259451832825E-3</v>
      </c>
      <c r="AV205" s="2">
        <f t="shared" si="107"/>
        <v>-0.71142268445061063</v>
      </c>
      <c r="AW205" s="16">
        <f t="shared" si="101"/>
        <v>4.6610982806928538</v>
      </c>
      <c r="AZ205" s="16"/>
      <c r="BA205" s="2"/>
    </row>
    <row r="206" spans="1:53" x14ac:dyDescent="0.25">
      <c r="A206">
        <v>204</v>
      </c>
      <c r="B206" s="1">
        <f>ROUND((A206+Forudsætninger!$E$60)/30.4,1)</f>
        <v>7.9</v>
      </c>
      <c r="C206" s="1">
        <f>VLOOKUP((A206+Forudsætninger!$E$60),'Model tilvækst, slagteform, fe'!A:D,4,FALSE)</f>
        <v>350.1230690914179</v>
      </c>
      <c r="D206" s="3">
        <f t="shared" si="108"/>
        <v>1406.0268485386018</v>
      </c>
      <c r="E206" s="3">
        <f>(1+Forudsætninger!$E$78)*C206</f>
        <v>322.11322356410449</v>
      </c>
      <c r="F206" s="2">
        <f t="shared" si="92"/>
        <v>0</v>
      </c>
      <c r="G206" s="1">
        <f t="shared" si="84"/>
        <v>322.11322356410449</v>
      </c>
      <c r="H206" s="3">
        <f t="shared" si="93"/>
        <v>1293.5447006555023</v>
      </c>
      <c r="I206" s="3">
        <f t="shared" si="85"/>
        <v>1245.6530566867868</v>
      </c>
      <c r="J206" s="1">
        <f>VLOOKUP((A206+Forudsætninger!$E$60),'Model tilvækst, slagteform, fe'!G:K,4,FALSE)*(1+Forudsætninger!$E$79)</f>
        <v>52.764784937770486</v>
      </c>
      <c r="K206" s="17">
        <f t="shared" si="86"/>
        <v>169.96234966971957</v>
      </c>
      <c r="L206" s="17">
        <f t="shared" si="94"/>
        <v>738.14370261126783</v>
      </c>
      <c r="M206" s="3">
        <f>((K206-(('Model tilvækst, slagteform, fe'!$J$9/100)*'Model tilvækst, slagteform, fe'!$D$9))*1000/(A206+Forudsætninger!$E$60))</f>
        <v>623.86642306198473</v>
      </c>
      <c r="N206" s="17">
        <f t="shared" si="95"/>
        <v>992.85645107892333</v>
      </c>
      <c r="O206" s="19">
        <f>IF( A206&lt;Forudsætninger!$C$14,(G206/100)*Forudsætninger!$C$13,(Forudsætninger!$C$15/1000)*Forudsætninger!$C$13)</f>
        <v>2.093735953166679</v>
      </c>
      <c r="P206" s="17" cm="1">
        <f t="array" ref="P206">INDEX('Model tilvækst, slagteform, fe'!$P$9:$P$375,MATCH(MIN(ABS('Model tilvækst, slagteform, fe'!$M$9:$M$375-G206)),ABS('Model tilvækst, slagteform, fe'!$M$9:$M$375-G206),0))*(1+Forudsætninger!$E$80)</f>
        <v>7.2930648626476904</v>
      </c>
      <c r="Q206" s="17">
        <f t="shared" si="96"/>
        <v>9.8802778332290018</v>
      </c>
      <c r="R206" s="17">
        <f t="shared" si="97"/>
        <v>7.2473561503014503</v>
      </c>
      <c r="S206" s="17">
        <f t="shared" si="98"/>
        <v>3.9071420099806731</v>
      </c>
      <c r="T206" s="19">
        <f>(P206)*IF(N206&lt;Forudsætninger!$B$228,IF(N206&lt;Forudsætninger!$B$227,Forudsætninger!$B$225,Forudsætninger!$C$9),Forudsætninger!$C$11)+O206</f>
        <v>19.159507731762272</v>
      </c>
      <c r="U206" s="5">
        <f>Forudsætninger!$E$68+((K206-(Forudsætninger!$E$84)))*0.01</f>
        <v>6.416187206268865</v>
      </c>
      <c r="V206" s="2">
        <f>U206+Forudsætninger!$E$69</f>
        <v>6.416187206268865</v>
      </c>
      <c r="W206">
        <f t="shared" si="87"/>
        <v>1</v>
      </c>
      <c r="X206">
        <f>IF(A206+Forudsætninger!$E$60&gt;248,IF(A206+Forudsætninger!$E$60&lt;365,IF(K206&gt;180,IF(K206&lt;260,1,0),0),0),0)</f>
        <v>0</v>
      </c>
      <c r="Y206" s="22">
        <f>IF(X206=0,0,IF('Vækstfunktion, kry kvie'!A206&lt;Forudsætninger!$E$66,Forudsætninger!$E$67+(('Vækstfunktion, kry kvie'!A206-Forudsætninger!$E$66)/7)*Forudsætninger!$E$64,Forudsætninger!$E$67))</f>
        <v>0</v>
      </c>
      <c r="Z206" s="19">
        <f t="shared" si="102"/>
        <v>3076.1445632465311</v>
      </c>
      <c r="AA206" s="19">
        <f>Forudsætninger!$E$62+Forudsætninger!$C$16</f>
        <v>1575</v>
      </c>
      <c r="AB206" s="19">
        <f>IF(K206&gt;Forudsætninger!$C$48,IF(K206&gt;Forudsætninger!$C$49,IF(K206&gt;Forudsætninger!$C$50,Forudsætninger!$E$50,Forudsætninger!$E$49+Forudsætninger!$F$50*(K206-Forudsætninger!$C$49)),Forudsætninger!$E$48+Forudsætninger!$F$49*(K206-Forudsætninger!$C$48)),Forudsætninger!$E$48)+IF(K206&gt;Forudsætninger!$C$50,Forudsætninger!$G$50,IF(K206&gt;Forudsætninger!$C$49,Forudsætninger!$G$49+Forudsætninger!$H$50*(K206-Forudsætninger!$C$49),IF(K206&gt;Forudsætninger!$C$48,Forudsætninger!$G$48+Forudsætninger!$H$49*(K206-Forudsætninger!$C$48),Forudsætninger!$G$48)))*(U206-Forudsætninger!$H$48)</f>
        <v>35.241618720626889</v>
      </c>
      <c r="AC206" s="19">
        <f>IF(K206&gt;Forudsætninger!$C$52,IF(K206&gt;Forudsætninger!$C$53,IF(K206&gt;Forudsætninger!$C$54,Forudsætninger!$E$54,Forudsætninger!$E$53+Forudsætninger!$F$54*(K206-Forudsætninger!$C$53)),Forudsætninger!$E$52+Forudsætninger!$F$53*(K206-Forudsætninger!$C$52)),Forudsætninger!$E$52)+IF(K206&gt;Forudsætninger!$C$54,Forudsætninger!$G$54,IF(K206&gt;Forudsætninger!$C$53,Forudsætninger!$G$53+Forudsætninger!$H$54*(K206-Forudsætninger!$C$53),IF(K206&gt;Forudsætninger!$C$52,Forudsætninger!$G$52+Forudsætninger!$H$53*(K206-Forudsætninger!$C$52),Forudsætninger!$G$52)))*(V206-Forudsætninger!$H$52)</f>
        <v>30.254046801567213</v>
      </c>
      <c r="AD206" s="19">
        <f t="shared" si="88"/>
        <v>5142.0488814120281</v>
      </c>
      <c r="AE206" s="19">
        <f t="shared" si="89"/>
        <v>30.254046801567217</v>
      </c>
      <c r="AF206">
        <f>IF(G206&lt;=Forudsætninger!$C$97,Forudsætninger!$C$98,(IF(G206&lt;=Forudsætninger!$D$97,Forudsætninger!$D$98,IF(G206&lt;=Forudsætninger!$E$97,Forudsætninger!$E$98,IF(G206&lt;=Forudsætninger!$F$97,Forudsætninger!$F$98,IF(G206&lt;=Forudsætninger!$G$97,Forudsætninger!$G$98,IF(G206&lt;=Forudsætninger!$H$97,Forudsætninger!$H$98,IF(G206&lt;=Forudsætninger!$I$97,Forudsætninger!$I$98,Forudsætninger!$I$98))))))))</f>
        <v>3.8</v>
      </c>
      <c r="AG206" s="1">
        <f t="shared" si="99"/>
        <v>4.4000000000000004</v>
      </c>
      <c r="AH206" s="1">
        <f t="shared" si="103"/>
        <v>557.19999999999834</v>
      </c>
      <c r="AI206" s="1">
        <f t="shared" si="90"/>
        <v>2.7313725490195999</v>
      </c>
      <c r="AJ206" s="20">
        <f>+(W206*Forudsætninger!$C$12)</f>
        <v>900</v>
      </c>
      <c r="AK206" s="20">
        <f>Forudsætninger!$C$17</f>
        <v>250</v>
      </c>
      <c r="AL206" s="20">
        <f>IF(A206&lt;92,Forudsætninger!$C$20,Forudsætninger!$C$21)</f>
        <v>1.0566762728146013</v>
      </c>
      <c r="AM206" s="20">
        <f t="shared" si="100"/>
        <v>484.06744250747045</v>
      </c>
      <c r="AN206" s="19">
        <f>IFERROR(AD206+AJ206-AA206-Z206-AK206-AM206-Forudsætninger!$E$75,-999999)</f>
        <v>465.62011432141071</v>
      </c>
      <c r="AO206" s="19">
        <f>IFERROR(AN206/(A206+Forudsætninger!$E$74),-999999)</f>
        <v>2.2824515407912291</v>
      </c>
      <c r="AP206" s="19">
        <f>IFERROR(((365/(A206+Forudsætninger!$E$74))*AN206)/(AI206+Forudsætninger!$E$73),-999999)</f>
        <v>293.20154186618487</v>
      </c>
      <c r="AQ206" s="18">
        <f t="shared" si="91"/>
        <v>204</v>
      </c>
      <c r="AR206" s="18">
        <f t="shared" si="104"/>
        <v>5385.2120057540014</v>
      </c>
      <c r="AS206" s="18">
        <f t="shared" si="83"/>
        <v>7.9</v>
      </c>
      <c r="AT206" s="50">
        <f t="shared" si="105"/>
        <v>2.4279295754171244</v>
      </c>
      <c r="AU206" s="50">
        <f t="shared" si="106"/>
        <v>7.166405646596985E-4</v>
      </c>
      <c r="AV206" s="2">
        <f t="shared" si="107"/>
        <v>-0.75834099905972607</v>
      </c>
      <c r="AW206" s="16">
        <f t="shared" si="101"/>
        <v>4.6553311609258881</v>
      </c>
      <c r="AZ206" s="16"/>
      <c r="BA206" s="2"/>
    </row>
    <row r="207" spans="1:53" x14ac:dyDescent="0.25">
      <c r="A207">
        <v>205</v>
      </c>
      <c r="B207" s="1">
        <f>ROUND((A207+Forudsætninger!$E$60)/30.4,1)</f>
        <v>7.9</v>
      </c>
      <c r="C207" s="1">
        <f>VLOOKUP((A207+Forudsætninger!$E$60),'Model tilvækst, slagteform, fe'!A:D,4,FALSE)</f>
        <v>351.52498860794515</v>
      </c>
      <c r="D207" s="3">
        <f t="shared" si="108"/>
        <v>1401.9195165272436</v>
      </c>
      <c r="E207" s="3">
        <f>(1+Forudsætninger!$E$78)*C207</f>
        <v>323.40298951930953</v>
      </c>
      <c r="F207" s="2">
        <f t="shared" si="92"/>
        <v>0</v>
      </c>
      <c r="G207" s="1">
        <f t="shared" si="84"/>
        <v>323.40298951930953</v>
      </c>
      <c r="H207" s="3">
        <f t="shared" si="93"/>
        <v>1289.7659552050413</v>
      </c>
      <c r="I207" s="3">
        <f t="shared" si="85"/>
        <v>1245.8682415576075</v>
      </c>
      <c r="J207" s="1">
        <f>VLOOKUP((A207+Forudsætninger!$E$60),'Model tilvækst, slagteform, fe'!G:K,4,FALSE)*(1+Forudsætninger!$E$79)</f>
        <v>52.78191070394476</v>
      </c>
      <c r="K207" s="17">
        <f t="shared" si="86"/>
        <v>170.69827714196978</v>
      </c>
      <c r="L207" s="17">
        <f t="shared" si="94"/>
        <v>735.92747225021071</v>
      </c>
      <c r="M207" s="3">
        <f>((K207-(('Model tilvækst, slagteform, fe'!$J$9/100)*'Model tilvækst, slagteform, fe'!$D$9))*1000/(A207+Forudsætninger!$E$60))</f>
        <v>624.33140666857491</v>
      </c>
      <c r="N207" s="17">
        <f t="shared" si="95"/>
        <v>1000.1576315124421</v>
      </c>
      <c r="O207" s="19">
        <f>IF( A207&lt;Forudsætninger!$C$14,(G207/100)*Forudsætninger!$C$13,(Forudsætninger!$C$15/1000)*Forudsætninger!$C$13)</f>
        <v>2.1021194318755119</v>
      </c>
      <c r="P207" s="17" cm="1">
        <f t="array" ref="P207">INDEX('Model tilvækst, slagteform, fe'!$P$9:$P$375,MATCH(MIN(ABS('Model tilvækst, slagteform, fe'!$M$9:$M$375-G207)),ABS('Model tilvækst, slagteform, fe'!$M$9:$M$375-G207),0))*(1+Forudsætninger!$E$80)</f>
        <v>7.3011804335187414</v>
      </c>
      <c r="Q207" s="17">
        <f t="shared" si="96"/>
        <v>9.9210597631234858</v>
      </c>
      <c r="R207" s="17">
        <f t="shared" si="97"/>
        <v>7.2616422828919429</v>
      </c>
      <c r="S207" s="17">
        <f t="shared" si="98"/>
        <v>3.9159981384510223</v>
      </c>
      <c r="T207" s="19">
        <f>(P207)*IF(N207&lt;Forudsætninger!$B$228,IF(N207&lt;Forudsætninger!$B$227,Forudsætninger!$B$225,Forudsætninger!$C$9),Forudsætninger!$C$11)+O207</f>
        <v>19.186881646309367</v>
      </c>
      <c r="U207" s="5">
        <f>Forudsætninger!$E$68+((K207-(Forudsætninger!$E$84)))*0.01</f>
        <v>6.4235464809913667</v>
      </c>
      <c r="V207" s="2">
        <f>U207+Forudsætninger!$E$69</f>
        <v>6.4235464809913667</v>
      </c>
      <c r="W207">
        <f t="shared" si="87"/>
        <v>1</v>
      </c>
      <c r="X207">
        <f>IF(A207+Forudsætninger!$E$60&gt;248,IF(A207+Forudsætninger!$E$60&lt;365,IF(K207&gt;180,IF(K207&lt;260,1,0),0),0),0)</f>
        <v>0</v>
      </c>
      <c r="Y207" s="22">
        <f>IF(X207=0,0,IF('Vækstfunktion, kry kvie'!A207&lt;Forudsætninger!$E$66,Forudsætninger!$E$67+(('Vækstfunktion, kry kvie'!A207-Forudsætninger!$E$66)/7)*Forudsætninger!$E$64,Forudsætninger!$E$67))</f>
        <v>0</v>
      </c>
      <c r="Z207" s="19">
        <f t="shared" si="102"/>
        <v>3095.3314448928404</v>
      </c>
      <c r="AA207" s="19">
        <f>Forudsætninger!$E$62+Forudsætninger!$C$16</f>
        <v>1575</v>
      </c>
      <c r="AB207" s="19">
        <f>IF(K207&gt;Forudsætninger!$C$48,IF(K207&gt;Forudsætninger!$C$49,IF(K207&gt;Forudsætninger!$C$50,Forudsætninger!$E$50,Forudsætninger!$E$49+Forudsætninger!$F$50*(K207-Forudsætninger!$C$49)),Forudsætninger!$E$48+Forudsætninger!$F$49*(K207-Forudsætninger!$C$48)),Forudsætninger!$E$48)+IF(K207&gt;Forudsætninger!$C$50,Forudsætninger!$G$50,IF(K207&gt;Forudsætninger!$C$49,Forudsætninger!$G$49+Forudsætninger!$H$50*(K207-Forudsætninger!$C$49),IF(K207&gt;Forudsætninger!$C$48,Forudsætninger!$G$48+Forudsætninger!$H$49*(K207-Forudsætninger!$C$48),Forudsætninger!$G$48)))*(U207-Forudsætninger!$H$48)</f>
        <v>35.242354648099138</v>
      </c>
      <c r="AC207" s="19">
        <f>IF(K207&gt;Forudsætninger!$C$52,IF(K207&gt;Forudsætninger!$C$53,IF(K207&gt;Forudsætninger!$C$54,Forudsætninger!$E$54,Forudsætninger!$E$53+Forudsætninger!$F$54*(K207-Forudsætninger!$C$53)),Forudsætninger!$E$52+Forudsætninger!$F$53*(K207-Forudsætninger!$C$52)),Forudsætninger!$E$52)+IF(K207&gt;Forudsætninger!$C$54,Forudsætninger!$G$54,IF(K207&gt;Forudsætninger!$C$53,Forudsætninger!$G$53+Forudsætninger!$H$54*(K207-Forudsætninger!$C$53),IF(K207&gt;Forudsætninger!$C$52,Forudsætninger!$G$52+Forudsætninger!$H$53*(K207-Forudsætninger!$C$52),Forudsætninger!$G$52)))*(V207-Forudsætninger!$H$52)</f>
        <v>30.255886620247839</v>
      </c>
      <c r="AD207" s="19">
        <f t="shared" si="88"/>
        <v>5164.627719479081</v>
      </c>
      <c r="AE207" s="19">
        <f t="shared" si="89"/>
        <v>30.255886620247839</v>
      </c>
      <c r="AF207">
        <f>IF(G207&lt;=Forudsætninger!$C$97,Forudsætninger!$C$98,(IF(G207&lt;=Forudsætninger!$D$97,Forudsætninger!$D$98,IF(G207&lt;=Forudsætninger!$E$97,Forudsætninger!$E$98,IF(G207&lt;=Forudsætninger!$F$97,Forudsætninger!$F$98,IF(G207&lt;=Forudsætninger!$G$97,Forudsætninger!$G$98,IF(G207&lt;=Forudsætninger!$H$97,Forudsætninger!$H$98,IF(G207&lt;=Forudsætninger!$I$97,Forudsætninger!$I$98,Forudsætninger!$I$98))))))))</f>
        <v>3.8</v>
      </c>
      <c r="AG207" s="1">
        <f t="shared" si="99"/>
        <v>4.4000000000000004</v>
      </c>
      <c r="AH207" s="1">
        <f t="shared" si="103"/>
        <v>561.59999999999832</v>
      </c>
      <c r="AI207" s="1">
        <f t="shared" si="90"/>
        <v>2.739512195121943</v>
      </c>
      <c r="AJ207" s="20">
        <f>+(W207*Forudsætninger!$C$12)</f>
        <v>900</v>
      </c>
      <c r="AK207" s="20">
        <f>Forudsætninger!$C$17</f>
        <v>250</v>
      </c>
      <c r="AL207" s="20">
        <f>IF(A207&lt;92,Forudsætninger!$C$20,Forudsætninger!$C$21)</f>
        <v>1.0566762728146013</v>
      </c>
      <c r="AM207" s="20">
        <f t="shared" si="100"/>
        <v>485.12411878028507</v>
      </c>
      <c r="AN207" s="19">
        <f>IFERROR(AD207+AJ207-AA207-Z207-AK207-AM207-Forudsætninger!$E$75,-999999)</f>
        <v>467.95539446933969</v>
      </c>
      <c r="AO207" s="19">
        <f>IFERROR(AN207/(A207+Forudsætninger!$E$74),-999999)</f>
        <v>2.2827092413138521</v>
      </c>
      <c r="AP207" s="19">
        <f>IFERROR(((365/(A207+Forudsætninger!$E$74))*AN207)/(AI207+Forudsætninger!$E$73),-999999)</f>
        <v>292.39701956913376</v>
      </c>
      <c r="AQ207" s="18">
        <f t="shared" si="91"/>
        <v>205</v>
      </c>
      <c r="AR207" s="18">
        <f t="shared" si="104"/>
        <v>5405.4555636731257</v>
      </c>
      <c r="AS207" s="18">
        <f t="shared" si="83"/>
        <v>7.9</v>
      </c>
      <c r="AT207" s="50">
        <f t="shared" si="105"/>
        <v>2.3352801479289838</v>
      </c>
      <c r="AU207" s="50">
        <f t="shared" si="106"/>
        <v>2.5770052262297227E-4</v>
      </c>
      <c r="AV207" s="2">
        <f t="shared" si="107"/>
        <v>-0.80452229705110767</v>
      </c>
      <c r="AW207" s="16">
        <f t="shared" si="101"/>
        <v>4.6491683573152427</v>
      </c>
      <c r="AZ207" s="16"/>
      <c r="BA207" s="2"/>
    </row>
    <row r="208" spans="1:53" x14ac:dyDescent="0.25">
      <c r="A208">
        <v>206</v>
      </c>
      <c r="B208" s="1">
        <f>ROUND((A208+Forudsætninger!$E$60)/30.4,1)</f>
        <v>8</v>
      </c>
      <c r="C208" s="1">
        <f>VLOOKUP((A208+Forudsætninger!$E$60),'Model tilvækst, slagteform, fe'!A:D,4,FALSE)</f>
        <v>352.92277146741873</v>
      </c>
      <c r="D208" s="3">
        <f t="shared" si="108"/>
        <v>1397.7828594735797</v>
      </c>
      <c r="E208" s="3">
        <f>(1+Forudsætninger!$E$78)*C208</f>
        <v>324.68894975002524</v>
      </c>
      <c r="F208" s="2">
        <f t="shared" si="92"/>
        <v>0</v>
      </c>
      <c r="G208" s="1">
        <f t="shared" si="84"/>
        <v>324.68894975002524</v>
      </c>
      <c r="H208" s="3">
        <f t="shared" si="93"/>
        <v>1285.9602307157161</v>
      </c>
      <c r="I208" s="3">
        <f t="shared" si="85"/>
        <v>1246.0628628642003</v>
      </c>
      <c r="J208" s="1">
        <f>VLOOKUP((A208+Forudsætninger!$E$60),'Model tilvækst, slagteform, fe'!G:K,4,FALSE)*(1+Forudsætninger!$E$79)</f>
        <v>52.798824782788088</v>
      </c>
      <c r="K208" s="17">
        <f t="shared" si="86"/>
        <v>171.43194966759069</v>
      </c>
      <c r="L208" s="17">
        <f t="shared" si="94"/>
        <v>733.67252562090357</v>
      </c>
      <c r="M208" s="3">
        <f>((K208-(('Model tilvækst, slagteform, fe'!$J$9/100)*'Model tilvækst, slagteform, fe'!$D$9))*1000/(A208+Forudsætninger!$E$60))</f>
        <v>624.78322947416302</v>
      </c>
      <c r="N208" s="17">
        <f t="shared" si="95"/>
        <v>1007.466662767083</v>
      </c>
      <c r="O208" s="19">
        <f>IF( A208&lt;Forudsætninger!$C$14,(G208/100)*Forudsætninger!$C$13,(Forudsætninger!$C$15/1000)*Forudsætninger!$C$13)</f>
        <v>2.1104781733751641</v>
      </c>
      <c r="P208" s="17" cm="1">
        <f t="array" ref="P208">INDEX('Model tilvækst, slagteform, fe'!$P$9:$P$375,MATCH(MIN(ABS('Model tilvækst, slagteform, fe'!$M$9:$M$375-G208)),ABS('Model tilvækst, slagteform, fe'!$M$9:$M$375-G208),0))*(1+Forudsætninger!$E$80)</f>
        <v>7.3090312546409058</v>
      </c>
      <c r="Q208" s="17">
        <f t="shared" si="96"/>
        <v>9.9622529117542022</v>
      </c>
      <c r="R208" s="17">
        <f t="shared" si="97"/>
        <v>7.2759517465051475</v>
      </c>
      <c r="S208" s="17">
        <f t="shared" si="98"/>
        <v>3.9248540451320455</v>
      </c>
      <c r="T208" s="19">
        <f>(P208)*IF(N208&lt;Forudsætninger!$B$228,IF(N208&lt;Forudsætninger!$B$227,Forudsætninger!$B$225,Forudsætninger!$C$9),Forudsætninger!$C$11)+O208</f>
        <v>19.213611309234881</v>
      </c>
      <c r="U208" s="5">
        <f>Forudsætninger!$E$68+((K208-(Forudsætninger!$E$84)))*0.01</f>
        <v>6.430883206247576</v>
      </c>
      <c r="V208" s="2">
        <f>U208+Forudsætninger!$E$69</f>
        <v>6.430883206247576</v>
      </c>
      <c r="W208">
        <f t="shared" si="87"/>
        <v>1</v>
      </c>
      <c r="X208">
        <f>IF(A208+Forudsætninger!$E$60&gt;248,IF(A208+Forudsætninger!$E$60&lt;365,IF(K208&gt;180,IF(K208&lt;260,1,0),0),0),0)</f>
        <v>0</v>
      </c>
      <c r="Y208" s="22">
        <f>IF(X208=0,0,IF('Vækstfunktion, kry kvie'!A208&lt;Forudsætninger!$E$66,Forudsætninger!$E$67+(('Vækstfunktion, kry kvie'!A208-Forudsætninger!$E$66)/7)*Forudsætninger!$E$64,Forudsætninger!$E$67))</f>
        <v>0</v>
      </c>
      <c r="Z208" s="19">
        <f t="shared" si="102"/>
        <v>3114.5450562020751</v>
      </c>
      <c r="AA208" s="19">
        <f>Forudsætninger!$E$62+Forudsætninger!$C$16</f>
        <v>1575</v>
      </c>
      <c r="AB208" s="19">
        <f>IF(K208&gt;Forudsætninger!$C$48,IF(K208&gt;Forudsætninger!$C$49,IF(K208&gt;Forudsætninger!$C$50,Forudsætninger!$E$50,Forudsætninger!$E$49+Forudsætninger!$F$50*(K208-Forudsætninger!$C$49)),Forudsætninger!$E$48+Forudsætninger!$F$49*(K208-Forudsætninger!$C$48)),Forudsætninger!$E$48)+IF(K208&gt;Forudsætninger!$C$50,Forudsætninger!$G$50,IF(K208&gt;Forudsætninger!$C$49,Forudsætninger!$G$49+Forudsætninger!$H$50*(K208-Forudsætninger!$C$49),IF(K208&gt;Forudsætninger!$C$48,Forudsætninger!$G$48+Forudsætninger!$H$49*(K208-Forudsætninger!$C$48),Forudsætninger!$G$48)))*(U208-Forudsætninger!$H$48)</f>
        <v>35.243088320624757</v>
      </c>
      <c r="AC208" s="19">
        <f>IF(K208&gt;Forudsætninger!$C$52,IF(K208&gt;Forudsætninger!$C$53,IF(K208&gt;Forudsætninger!$C$54,Forudsætninger!$E$54,Forudsætninger!$E$53+Forudsætninger!$F$54*(K208-Forudsætninger!$C$53)),Forudsætninger!$E$52+Forudsætninger!$F$53*(K208-Forudsætninger!$C$52)),Forudsætninger!$E$52)+IF(K208&gt;Forudsætninger!$C$54,Forudsætninger!$G$54,IF(K208&gt;Forudsætninger!$C$53,Forudsætninger!$G$53+Forudsætninger!$H$54*(K208-Forudsætninger!$C$53),IF(K208&gt;Forudsætninger!$C$52,Forudsætninger!$G$52+Forudsætninger!$H$53*(K208-Forudsætninger!$C$52),Forudsætninger!$G$52)))*(V208-Forudsætninger!$H$52)</f>
        <v>30.257720801561891</v>
      </c>
      <c r="AD208" s="19">
        <f t="shared" si="88"/>
        <v>5187.1400695093698</v>
      </c>
      <c r="AE208" s="19">
        <f t="shared" si="89"/>
        <v>30.257720801561891</v>
      </c>
      <c r="AF208">
        <f>IF(G208&lt;=Forudsætninger!$C$97,Forudsætninger!$C$98,(IF(G208&lt;=Forudsætninger!$D$97,Forudsætninger!$D$98,IF(G208&lt;=Forudsætninger!$E$97,Forudsætninger!$E$98,IF(G208&lt;=Forudsætninger!$F$97,Forudsætninger!$F$98,IF(G208&lt;=Forudsætninger!$G$97,Forudsætninger!$G$98,IF(G208&lt;=Forudsætninger!$H$97,Forudsætninger!$H$98,IF(G208&lt;=Forudsætninger!$I$97,Forudsætninger!$I$98,Forudsætninger!$I$98))))))))</f>
        <v>3.8</v>
      </c>
      <c r="AG208" s="1">
        <f t="shared" si="99"/>
        <v>4.4000000000000004</v>
      </c>
      <c r="AH208" s="1">
        <f t="shared" si="103"/>
        <v>565.99999999999829</v>
      </c>
      <c r="AI208" s="1">
        <f t="shared" si="90"/>
        <v>2.7475728155339723</v>
      </c>
      <c r="AJ208" s="20">
        <f>+(W208*Forudsætninger!$C$12)</f>
        <v>900</v>
      </c>
      <c r="AK208" s="20">
        <f>Forudsætninger!$C$17</f>
        <v>250</v>
      </c>
      <c r="AL208" s="20">
        <f>IF(A208&lt;92,Forudsætninger!$C$20,Forudsætninger!$C$21)</f>
        <v>1.0566762728146013</v>
      </c>
      <c r="AM208" s="20">
        <f t="shared" si="100"/>
        <v>486.1807950530997</v>
      </c>
      <c r="AN208" s="19">
        <f>IFERROR(AD208+AJ208-AA208-Z208-AK208-AM208-Forudsætninger!$E$75,-999999)</f>
        <v>470.19745691757919</v>
      </c>
      <c r="AO208" s="19">
        <f>IFERROR(AN208/(A208+Forudsætninger!$E$74),-999999)</f>
        <v>2.2825119267843652</v>
      </c>
      <c r="AP208" s="19">
        <f>IFERROR(((365/(A208+Forudsætninger!$E$74))*AN208)/(AI208+Forudsætninger!$E$73),-999999)</f>
        <v>291.54702506526161</v>
      </c>
      <c r="AQ208" s="18">
        <f t="shared" si="91"/>
        <v>206</v>
      </c>
      <c r="AR208" s="18">
        <f t="shared" si="104"/>
        <v>5425.7258512551743</v>
      </c>
      <c r="AS208" s="18">
        <f t="shared" si="83"/>
        <v>8</v>
      </c>
      <c r="AT208" s="50">
        <f t="shared" si="105"/>
        <v>2.2420624482394942</v>
      </c>
      <c r="AU208" s="50">
        <f t="shared" si="106"/>
        <v>-1.9731452948690276E-4</v>
      </c>
      <c r="AV208" s="2">
        <f t="shared" si="107"/>
        <v>-0.84999450387215347</v>
      </c>
      <c r="AW208" s="16">
        <f t="shared" si="101"/>
        <v>4.6426128736440724</v>
      </c>
      <c r="AZ208" s="16"/>
      <c r="BA208" s="2"/>
    </row>
    <row r="209" spans="1:58" x14ac:dyDescent="0.25">
      <c r="A209">
        <v>207</v>
      </c>
      <c r="B209" s="1">
        <f>ROUND((A209+Forudsætninger!$E$60)/30.4,1)</f>
        <v>8</v>
      </c>
      <c r="C209" s="1">
        <f>VLOOKUP((A209+Forudsætninger!$E$60),'Model tilvækst, slagteform, fe'!A:D,4,FALSE)</f>
        <v>354.31638892981726</v>
      </c>
      <c r="D209" s="3">
        <f t="shared" si="108"/>
        <v>1393.617462398538</v>
      </c>
      <c r="E209" s="3">
        <f>(1+Forudsætninger!$E$78)*C209</f>
        <v>325.9710778154319</v>
      </c>
      <c r="F209" s="2">
        <f t="shared" si="92"/>
        <v>0</v>
      </c>
      <c r="G209" s="1">
        <f t="shared" si="84"/>
        <v>325.9710778154319</v>
      </c>
      <c r="H209" s="3">
        <f t="shared" si="93"/>
        <v>1282.1280654066527</v>
      </c>
      <c r="I209" s="3">
        <f t="shared" si="85"/>
        <v>1246.2370908958062</v>
      </c>
      <c r="J209" s="1">
        <f>VLOOKUP((A209+Forudsætninger!$E$60),'Model tilvækst, slagteform, fe'!G:K,4,FALSE)*(1+Forudsætninger!$E$79)</f>
        <v>52.815522704679999</v>
      </c>
      <c r="K209" s="17">
        <f t="shared" si="86"/>
        <v>172.16332861429953</v>
      </c>
      <c r="L209" s="17">
        <f t="shared" si="94"/>
        <v>731.37894670884407</v>
      </c>
      <c r="M209" s="3">
        <f>((K209-(('Model tilvækst, slagteform, fe'!$J$9/100)*'Model tilvækst, slagteform, fe'!$D$9))*1000/(A209+Forudsætninger!$E$60))</f>
        <v>625.22189497718637</v>
      </c>
      <c r="N209" s="17">
        <f t="shared" si="95"/>
        <v>1014.7832853134219</v>
      </c>
      <c r="O209" s="19">
        <f>IF( A209&lt;Forudsætninger!$C$14,(G209/100)*Forudsætninger!$C$13,(Forudsætninger!$C$15/1000)*Forudsætninger!$C$13)</f>
        <v>2.1188120058003075</v>
      </c>
      <c r="P209" s="17" cm="1">
        <f t="array" ref="P209">INDEX('Model tilvækst, slagteform, fe'!$P$9:$P$375,MATCH(MIN(ABS('Model tilvækst, slagteform, fe'!$M$9:$M$375-G209)),ABS('Model tilvækst, slagteform, fe'!$M$9:$M$375-G209),0))*(1+Forudsætninger!$E$80)</f>
        <v>7.3166225463388761</v>
      </c>
      <c r="Q209" s="17">
        <f t="shared" si="96"/>
        <v>10.003873613348025</v>
      </c>
      <c r="R209" s="17">
        <f t="shared" si="97"/>
        <v>7.2902850264986281</v>
      </c>
      <c r="S209" s="17">
        <f t="shared" si="98"/>
        <v>3.9337095224273906</v>
      </c>
      <c r="T209" s="19">
        <f>(P209)*IF(N209&lt;Forudsætninger!$B$228,IF(N209&lt;Forudsætninger!$B$227,Forudsætninger!$B$225,Forudsætninger!$C$9),Forudsætninger!$C$11)+O209</f>
        <v>19.239708764233278</v>
      </c>
      <c r="U209" s="5">
        <f>Forudsætninger!$E$68+((K209-(Forudsætninger!$E$84)))*0.01</f>
        <v>6.4381969957146641</v>
      </c>
      <c r="V209" s="2">
        <f>U209+Forudsætninger!$E$69</f>
        <v>6.4381969957146641</v>
      </c>
      <c r="W209">
        <f t="shared" si="87"/>
        <v>1</v>
      </c>
      <c r="X209">
        <f>IF(A209+Forudsætninger!$E$60&gt;248,IF(A209+Forudsætninger!$E$60&lt;365,IF(K209&gt;180,IF(K209&lt;260,1,0),0),0),0)</f>
        <v>0</v>
      </c>
      <c r="Y209" s="22">
        <f>IF(X209=0,0,IF('Vækstfunktion, kry kvie'!A209&lt;Forudsætninger!$E$66,Forudsætninger!$E$67+(('Vækstfunktion, kry kvie'!A209-Forudsætninger!$E$66)/7)*Forudsætninger!$E$64,Forudsætninger!$E$67))</f>
        <v>0</v>
      </c>
      <c r="Z209" s="19">
        <f t="shared" si="102"/>
        <v>3133.7847649663086</v>
      </c>
      <c r="AA209" s="19">
        <f>Forudsætninger!$E$62+Forudsætninger!$C$16</f>
        <v>1575</v>
      </c>
      <c r="AB209" s="19">
        <f>IF(K209&gt;Forudsætninger!$C$48,IF(K209&gt;Forudsætninger!$C$49,IF(K209&gt;Forudsætninger!$C$50,Forudsætninger!$E$50,Forudsætninger!$E$49+Forudsætninger!$F$50*(K209-Forudsætninger!$C$49)),Forudsætninger!$E$48+Forudsætninger!$F$49*(K209-Forudsætninger!$C$48)),Forudsætninger!$E$48)+IF(K209&gt;Forudsætninger!$C$50,Forudsætninger!$G$50,IF(K209&gt;Forudsætninger!$C$49,Forudsætninger!$G$49+Forudsætninger!$H$50*(K209-Forudsætninger!$C$49),IF(K209&gt;Forudsætninger!$C$48,Forudsætninger!$G$48+Forudsætninger!$H$49*(K209-Forudsætninger!$C$48),Forudsætninger!$G$48)))*(U209-Forudsætninger!$H$48)</f>
        <v>35.243819699571468</v>
      </c>
      <c r="AC209" s="19">
        <f>IF(K209&gt;Forudsætninger!$C$52,IF(K209&gt;Forudsætninger!$C$53,IF(K209&gt;Forudsætninger!$C$54,Forudsætninger!$E$54,Forudsætninger!$E$53+Forudsætninger!$F$54*(K209-Forudsætninger!$C$53)),Forudsætninger!$E$52+Forudsætninger!$F$53*(K209-Forudsætninger!$C$52)),Forudsætninger!$E$52)+IF(K209&gt;Forudsætninger!$C$54,Forudsætninger!$G$54,IF(K209&gt;Forudsætninger!$C$53,Forudsætninger!$G$53+Forudsætninger!$H$54*(K209-Forudsætninger!$C$53),IF(K209&gt;Forudsætninger!$C$52,Forudsætninger!$G$52+Forudsætninger!$H$53*(K209-Forudsætninger!$C$52),Forudsætninger!$G$52)))*(V209-Forudsætninger!$H$52)</f>
        <v>30.259549248928664</v>
      </c>
      <c r="AD209" s="19">
        <f t="shared" si="88"/>
        <v>5209.5847210638858</v>
      </c>
      <c r="AE209" s="19">
        <f t="shared" si="89"/>
        <v>30.259549248928661</v>
      </c>
      <c r="AF209">
        <f>IF(G209&lt;=Forudsætninger!$C$97,Forudsætninger!$C$98,(IF(G209&lt;=Forudsætninger!$D$97,Forudsætninger!$D$98,IF(G209&lt;=Forudsætninger!$E$97,Forudsætninger!$E$98,IF(G209&lt;=Forudsætninger!$F$97,Forudsætninger!$F$98,IF(G209&lt;=Forudsætninger!$G$97,Forudsætninger!$G$98,IF(G209&lt;=Forudsætninger!$H$97,Forudsætninger!$H$98,IF(G209&lt;=Forudsætninger!$I$97,Forudsætninger!$I$98,Forudsætninger!$I$98))))))))</f>
        <v>3.8</v>
      </c>
      <c r="AG209" s="1">
        <f t="shared" si="99"/>
        <v>4.4000000000000004</v>
      </c>
      <c r="AH209" s="1">
        <f t="shared" si="103"/>
        <v>570.39999999999827</v>
      </c>
      <c r="AI209" s="1">
        <f t="shared" si="90"/>
        <v>2.7555555555555471</v>
      </c>
      <c r="AJ209" s="20">
        <f>+(W209*Forudsætninger!$C$12)</f>
        <v>900</v>
      </c>
      <c r="AK209" s="20">
        <f>Forudsætninger!$C$17</f>
        <v>250</v>
      </c>
      <c r="AL209" s="20">
        <f>IF(A209&lt;92,Forudsætninger!$C$20,Forudsætninger!$C$21)</f>
        <v>1.0566762728146013</v>
      </c>
      <c r="AM209" s="20">
        <f t="shared" si="100"/>
        <v>487.23747132591433</v>
      </c>
      <c r="AN209" s="19">
        <f>IFERROR(AD209+AJ209-AA209-Z209-AK209-AM209-Forudsætninger!$E$75,-999999)</f>
        <v>472.34572343504703</v>
      </c>
      <c r="AO209" s="19">
        <f>IFERROR(AN209/(A209+Forudsætninger!$E$74),-999999)</f>
        <v>2.2818633982369421</v>
      </c>
      <c r="AP209" s="19">
        <f>IFERROR(((365/(A209+Forudsætninger!$E$74))*AN209)/(AI209+Forudsætninger!$E$73),-999999)</f>
        <v>290.65223975216662</v>
      </c>
      <c r="AQ209" s="18">
        <f t="shared" si="91"/>
        <v>207</v>
      </c>
      <c r="AR209" s="18">
        <f t="shared" si="104"/>
        <v>5446.0222362922232</v>
      </c>
      <c r="AS209" s="18">
        <f t="shared" si="83"/>
        <v>8</v>
      </c>
      <c r="AT209" s="50">
        <f t="shared" si="105"/>
        <v>2.1482665174678459</v>
      </c>
      <c r="AU209" s="50">
        <f t="shared" si="106"/>
        <v>-6.4852854742314392E-4</v>
      </c>
      <c r="AV209" s="2">
        <f t="shared" si="107"/>
        <v>-0.89478531309498521</v>
      </c>
      <c r="AW209" s="16">
        <f t="shared" si="101"/>
        <v>4.635667607540876</v>
      </c>
      <c r="AZ209" s="16"/>
      <c r="BA209" s="2"/>
    </row>
    <row r="210" spans="1:58" x14ac:dyDescent="0.25">
      <c r="A210">
        <v>208</v>
      </c>
      <c r="B210" s="1">
        <f>ROUND((A210+Forudsætninger!$E$60)/30.4,1)</f>
        <v>8</v>
      </c>
      <c r="C210" s="1">
        <f>VLOOKUP((A210+Forudsætninger!$E$60),'Model tilvækst, slagteform, fe'!A:D,4,FALSE)</f>
        <v>355.70581284013969</v>
      </c>
      <c r="D210" s="3">
        <f t="shared" si="108"/>
        <v>1389.4239103224209</v>
      </c>
      <c r="E210" s="3">
        <f>(1+Forudsætninger!$E$78)*C210</f>
        <v>327.24934781292853</v>
      </c>
      <c r="F210" s="2">
        <f t="shared" si="92"/>
        <v>0</v>
      </c>
      <c r="G210" s="1">
        <f t="shared" si="84"/>
        <v>327.24934781292853</v>
      </c>
      <c r="H210" s="3">
        <f t="shared" si="93"/>
        <v>1278.2699974966363</v>
      </c>
      <c r="I210" s="3">
        <f t="shared" si="85"/>
        <v>1246.3910952544641</v>
      </c>
      <c r="J210" s="1">
        <f>VLOOKUP((A210+Forudsætninger!$E$60),'Model tilvækst, slagteform, fe'!G:K,4,FALSE)*(1+Forudsætninger!$E$79)</f>
        <v>52.832000000000001</v>
      </c>
      <c r="K210" s="17">
        <f t="shared" si="86"/>
        <v>172.89237543652641</v>
      </c>
      <c r="L210" s="17">
        <f t="shared" si="94"/>
        <v>729.04682222687711</v>
      </c>
      <c r="M210" s="3">
        <f>((K210-(('Model tilvækst, slagteform, fe'!$J$9/100)*'Model tilvækst, slagteform, fe'!$D$9))*1000/(A210+Forudsætninger!$E$60))</f>
        <v>625.64740697411128</v>
      </c>
      <c r="N210" s="17">
        <f t="shared" si="95"/>
        <v>1022.1072448423593</v>
      </c>
      <c r="O210" s="19">
        <f>IF( A210&lt;Forudsætninger!$C$14,(G210/100)*Forudsætninger!$C$13,(Forudsætninger!$C$15/1000)*Forudsætninger!$C$13)</f>
        <v>2.1271207607840354</v>
      </c>
      <c r="P210" s="17" cm="1">
        <f t="array" ref="P210">INDEX('Model tilvækst, slagteform, fe'!$P$9:$P$375,MATCH(MIN(ABS('Model tilvækst, slagteform, fe'!$M$9:$M$375-G210)),ABS('Model tilvækst, slagteform, fe'!$M$9:$M$375-G210),0))*(1+Forudsætninger!$E$80)</f>
        <v>7.3239595289373467</v>
      </c>
      <c r="Q210" s="17">
        <f t="shared" si="96"/>
        <v>10.045938485221397</v>
      </c>
      <c r="R210" s="17">
        <f t="shared" si="97"/>
        <v>7.3046426490060536</v>
      </c>
      <c r="S210" s="17">
        <f t="shared" si="98"/>
        <v>3.9425643823794712</v>
      </c>
      <c r="T210" s="19">
        <f>(P210)*IF(N210&lt;Forudsætninger!$B$228,IF(N210&lt;Forudsætninger!$B$227,Forudsætninger!$B$225,Forudsætninger!$C$9),Forudsætninger!$C$11)+O210</f>
        <v>19.265186058497424</v>
      </c>
      <c r="U210" s="5">
        <f>Forudsætninger!$E$68+((K210-(Forudsætninger!$E$84)))*0.01</f>
        <v>6.4454874639369333</v>
      </c>
      <c r="V210" s="2">
        <f>U210+Forudsætninger!$E$69</f>
        <v>6.4454874639369333</v>
      </c>
      <c r="W210">
        <f t="shared" si="87"/>
        <v>1</v>
      </c>
      <c r="X210">
        <f>IF(A210+Forudsætninger!$E$60&gt;248,IF(A210+Forudsætninger!$E$60&lt;365,IF(K210&gt;180,IF(K210&lt;260,1,0),0),0),0)</f>
        <v>0</v>
      </c>
      <c r="Y210" s="22">
        <f>IF(X210=0,0,IF('Vækstfunktion, kry kvie'!A210&lt;Forudsætninger!$E$66,Forudsætninger!$E$67+(('Vækstfunktion, kry kvie'!A210-Forudsætninger!$E$66)/7)*Forudsætninger!$E$64,Forudsætninger!$E$67))</f>
        <v>0</v>
      </c>
      <c r="Z210" s="19">
        <f t="shared" si="102"/>
        <v>3153.049951024806</v>
      </c>
      <c r="AA210" s="19">
        <f>Forudsætninger!$E$62+Forudsætninger!$C$16</f>
        <v>1575</v>
      </c>
      <c r="AB210" s="19">
        <f>IF(K210&gt;Forudsætninger!$C$48,IF(K210&gt;Forudsætninger!$C$49,IF(K210&gt;Forudsætninger!$C$50,Forudsætninger!$E$50,Forudsætninger!$E$49+Forudsætninger!$F$50*(K210-Forudsætninger!$C$49)),Forudsætninger!$E$48+Forudsætninger!$F$49*(K210-Forudsætninger!$C$48)),Forudsætninger!$E$48)+IF(K210&gt;Forudsætninger!$C$50,Forudsætninger!$G$50,IF(K210&gt;Forudsætninger!$C$49,Forudsætninger!$G$49+Forudsætninger!$H$50*(K210-Forudsætninger!$C$49),IF(K210&gt;Forudsætninger!$C$48,Forudsætninger!$G$48+Forudsætninger!$H$49*(K210-Forudsætninger!$C$48),Forudsætninger!$G$48)))*(U210-Forudsætninger!$H$48)</f>
        <v>35.24454874639369</v>
      </c>
      <c r="AC210" s="19">
        <f>IF(K210&gt;Forudsætninger!$C$52,IF(K210&gt;Forudsætninger!$C$53,IF(K210&gt;Forudsætninger!$C$54,Forudsætninger!$E$54,Forudsætninger!$E$53+Forudsætninger!$F$54*(K210-Forudsætninger!$C$53)),Forudsætninger!$E$52+Forudsætninger!$F$53*(K210-Forudsætninger!$C$52)),Forudsætninger!$E$52)+IF(K210&gt;Forudsætninger!$C$54,Forudsætninger!$G$54,IF(K210&gt;Forudsætninger!$C$53,Forudsætninger!$G$53+Forudsætninger!$H$54*(K210-Forudsætninger!$C$53),IF(K210&gt;Forudsætninger!$C$52,Forudsætninger!$G$52+Forudsætninger!$H$53*(K210-Forudsætninger!$C$52),Forudsætninger!$G$52)))*(V210-Forudsætninger!$H$52)</f>
        <v>30.261371865984231</v>
      </c>
      <c r="AD210" s="19">
        <f t="shared" si="88"/>
        <v>5231.9604658780836</v>
      </c>
      <c r="AE210" s="19">
        <f t="shared" si="89"/>
        <v>30.261371865984234</v>
      </c>
      <c r="AF210">
        <f>IF(G210&lt;=Forudsætninger!$C$97,Forudsætninger!$C$98,(IF(G210&lt;=Forudsætninger!$D$97,Forudsætninger!$D$98,IF(G210&lt;=Forudsætninger!$E$97,Forudsætninger!$E$98,IF(G210&lt;=Forudsætninger!$F$97,Forudsætninger!$F$98,IF(G210&lt;=Forudsætninger!$G$97,Forudsætninger!$G$98,IF(G210&lt;=Forudsætninger!$H$97,Forudsætninger!$H$98,IF(G210&lt;=Forudsætninger!$I$97,Forudsætninger!$I$98,Forudsætninger!$I$98))))))))</f>
        <v>3.8</v>
      </c>
      <c r="AG210" s="1">
        <f t="shared" si="99"/>
        <v>4.4000000000000004</v>
      </c>
      <c r="AH210" s="1">
        <f t="shared" si="103"/>
        <v>574.79999999999825</v>
      </c>
      <c r="AI210" s="1">
        <f t="shared" si="90"/>
        <v>2.76346153846153</v>
      </c>
      <c r="AJ210" s="20">
        <f>+(W210*Forudsætninger!$C$12)</f>
        <v>900</v>
      </c>
      <c r="AK210" s="20">
        <f>Forudsætninger!$C$17</f>
        <v>250</v>
      </c>
      <c r="AL210" s="20">
        <f>IF(A210&lt;92,Forudsætninger!$C$20,Forudsætninger!$C$21)</f>
        <v>1.0566762728146013</v>
      </c>
      <c r="AM210" s="20">
        <f t="shared" si="100"/>
        <v>488.29414759872896</v>
      </c>
      <c r="AN210" s="19">
        <f>IFERROR(AD210+AJ210-AA210-Z210-AK210-AM210-Forudsætninger!$E$75,-999999)</f>
        <v>474.39960591793283</v>
      </c>
      <c r="AO210" s="19">
        <f>IFERROR(AN210/(A210+Forudsætninger!$E$74),-999999)</f>
        <v>2.2807673361439078</v>
      </c>
      <c r="AP210" s="19">
        <f>IFERROR(((365/(A210+Forudsætninger!$E$74))*AN210)/(AI210+Forudsætninger!$E$73),-999999)</f>
        <v>289.71331843134453</v>
      </c>
      <c r="AQ210" s="18">
        <f t="shared" si="91"/>
        <v>208</v>
      </c>
      <c r="AR210" s="18">
        <f t="shared" si="104"/>
        <v>5466.3440986235355</v>
      </c>
      <c r="AS210" s="18">
        <f t="shared" si="83"/>
        <v>8</v>
      </c>
      <c r="AT210" s="50">
        <f t="shared" si="105"/>
        <v>2.0538824828857969</v>
      </c>
      <c r="AU210" s="50">
        <f t="shared" si="106"/>
        <v>-1.0960620930342557E-3</v>
      </c>
      <c r="AV210" s="2">
        <f t="shared" si="107"/>
        <v>-0.93892132082208946</v>
      </c>
      <c r="AW210" s="16">
        <f t="shared" si="101"/>
        <v>4.6283353534454896</v>
      </c>
      <c r="AZ210" s="16"/>
      <c r="BA210" s="2"/>
    </row>
    <row r="211" spans="1:58" x14ac:dyDescent="0.25">
      <c r="A211">
        <v>209</v>
      </c>
      <c r="B211" s="1">
        <f>ROUND((A211+Forudsætninger!$E$60)/30.4,1)</f>
        <v>8.1</v>
      </c>
      <c r="C211" s="1">
        <f>VLOOKUP((A211+Forudsætninger!$E$60),'Model tilvækst, slagteform, fe'!A:D,4,FALSE)</f>
        <v>357.09101562840578</v>
      </c>
      <c r="D211" s="3">
        <f t="shared" si="108"/>
        <v>1385.2027882660991</v>
      </c>
      <c r="E211" s="3">
        <f>(1+Forudsætninger!$E$78)*C211</f>
        <v>328.52373437813333</v>
      </c>
      <c r="F211" s="2">
        <f t="shared" si="92"/>
        <v>0</v>
      </c>
      <c r="G211" s="1">
        <f t="shared" si="84"/>
        <v>328.52373437813333</v>
      </c>
      <c r="H211" s="3">
        <f t="shared" si="93"/>
        <v>1274.386565204793</v>
      </c>
      <c r="I211" s="3">
        <f t="shared" si="85"/>
        <v>1246.5250448714512</v>
      </c>
      <c r="J211" s="1">
        <f>VLOOKUP((A211+Forudsætninger!$E$60),'Model tilvækst, slagteform, fe'!G:K,4,FALSE)*(1+Forudsætninger!$E$79)</f>
        <v>52.848253598288466</v>
      </c>
      <c r="K211" s="17">
        <f t="shared" si="86"/>
        <v>173.61905627472348</v>
      </c>
      <c r="L211" s="17">
        <f t="shared" si="94"/>
        <v>726.68083819706908</v>
      </c>
      <c r="M211" s="3">
        <f>((K211-(('Model tilvækst, slagteform, fe'!$J$9/100)*'Model tilvækst, slagteform, fe'!$D$9))*1000/(A211+Forudsætninger!$E$60))</f>
        <v>626.05978832604171</v>
      </c>
      <c r="N211" s="17">
        <f t="shared" si="95"/>
        <v>1029.4382922651203</v>
      </c>
      <c r="O211" s="19">
        <f>IF( A211&lt;Forudsætninger!$C$14,(G211/100)*Forudsætninger!$C$13,(Forudsætninger!$C$15/1000)*Forudsætninger!$C$13)</f>
        <v>2.1354042734578664</v>
      </c>
      <c r="P211" s="17" cm="1">
        <f t="array" ref="P211">INDEX('Model tilvækst, slagteform, fe'!$P$9:$P$375,MATCH(MIN(ABS('Model tilvækst, slagteform, fe'!$M$9:$M$375-G211)),ABS('Model tilvækst, slagteform, fe'!$M$9:$M$375-G211),0))*(1+Forudsætninger!$E$80)</f>
        <v>7.3310474227610154</v>
      </c>
      <c r="Q211" s="17">
        <f t="shared" si="96"/>
        <v>10.088400625713078</v>
      </c>
      <c r="R211" s="17">
        <f t="shared" si="97"/>
        <v>7.3190249406545345</v>
      </c>
      <c r="S211" s="17">
        <f t="shared" si="98"/>
        <v>3.9514184560664911</v>
      </c>
      <c r="T211" s="19">
        <f>(P211)*IF(N211&lt;Forudsætninger!$B$228,IF(N211&lt;Forudsætninger!$B$227,Forudsætninger!$B$225,Forudsætninger!$C$9),Forudsætninger!$C$11)+O211</f>
        <v>19.29005524271864</v>
      </c>
      <c r="U211" s="5">
        <f>Forudsætninger!$E$68+((K211-(Forudsætninger!$E$84)))*0.01</f>
        <v>6.452754272318904</v>
      </c>
      <c r="V211" s="2">
        <f>U211+Forudsætninger!$E$69</f>
        <v>6.452754272318904</v>
      </c>
      <c r="W211">
        <f t="shared" si="87"/>
        <v>1</v>
      </c>
      <c r="X211">
        <f>IF(A211+Forudsætninger!$E$60&gt;248,IF(A211+Forudsætninger!$E$60&lt;365,IF(K211&gt;180,IF(K211&lt;260,1,0),0),0),0)</f>
        <v>0</v>
      </c>
      <c r="Y211" s="22">
        <f>IF(X211=0,0,IF('Vækstfunktion, kry kvie'!A211&lt;Forudsætninger!$E$66,Forudsætninger!$E$67+(('Vækstfunktion, kry kvie'!A211-Forudsætninger!$E$66)/7)*Forudsætninger!$E$64,Forudsætninger!$E$67))</f>
        <v>0</v>
      </c>
      <c r="Z211" s="19">
        <f t="shared" si="102"/>
        <v>3172.3400062675246</v>
      </c>
      <c r="AA211" s="19">
        <f>Forudsætninger!$E$62+Forudsætninger!$C$16</f>
        <v>1575</v>
      </c>
      <c r="AB211" s="19">
        <f>IF(K211&gt;Forudsætninger!$C$48,IF(K211&gt;Forudsætninger!$C$49,IF(K211&gt;Forudsætninger!$C$50,Forudsætninger!$E$50,Forudsætninger!$E$49+Forudsætninger!$F$50*(K211-Forudsætninger!$C$49)),Forudsætninger!$E$48+Forudsætninger!$F$49*(K211-Forudsætninger!$C$48)),Forudsætninger!$E$48)+IF(K211&gt;Forudsætninger!$C$50,Forudsætninger!$G$50,IF(K211&gt;Forudsætninger!$C$49,Forudsætninger!$G$49+Forudsætninger!$H$50*(K211-Forudsætninger!$C$49),IF(K211&gt;Forudsætninger!$C$48,Forudsætninger!$G$48+Forudsætninger!$H$49*(K211-Forudsætninger!$C$48),Forudsætninger!$G$48)))*(U211-Forudsætninger!$H$48)</f>
        <v>35.245275427231888</v>
      </c>
      <c r="AC211" s="19">
        <f>IF(K211&gt;Forudsætninger!$C$52,IF(K211&gt;Forudsætninger!$C$53,IF(K211&gt;Forudsætninger!$C$54,Forudsætninger!$E$54,Forudsætninger!$E$53+Forudsætninger!$F$54*(K211-Forudsætninger!$C$53)),Forudsætninger!$E$52+Forudsætninger!$F$53*(K211-Forudsætninger!$C$52)),Forudsætninger!$E$52)+IF(K211&gt;Forudsætninger!$C$54,Forudsætninger!$G$54,IF(K211&gt;Forudsætninger!$C$53,Forudsætninger!$G$53+Forudsætninger!$H$54*(K211-Forudsætninger!$C$53),IF(K211&gt;Forudsætninger!$C$52,Forudsætninger!$G$52+Forudsætninger!$H$53*(K211-Forudsætninger!$C$52),Forudsætninger!$G$52)))*(V211-Forudsætninger!$H$52)</f>
        <v>30.263188568079723</v>
      </c>
      <c r="AD211" s="19">
        <f t="shared" si="88"/>
        <v>5254.2662390540017</v>
      </c>
      <c r="AE211" s="19">
        <f t="shared" si="89"/>
        <v>30.263188568079723</v>
      </c>
      <c r="AF211">
        <f>IF(G211&lt;=Forudsætninger!$C$97,Forudsætninger!$C$98,(IF(G211&lt;=Forudsætninger!$D$97,Forudsætninger!$D$98,IF(G211&lt;=Forudsætninger!$E$97,Forudsætninger!$E$98,IF(G211&lt;=Forudsætninger!$F$97,Forudsætninger!$F$98,IF(G211&lt;=Forudsætninger!$G$97,Forudsætninger!$G$98,IF(G211&lt;=Forudsætninger!$H$97,Forudsætninger!$H$98,IF(G211&lt;=Forudsætninger!$I$97,Forudsætninger!$I$98,Forudsætninger!$I$98))))))))</f>
        <v>3.8</v>
      </c>
      <c r="AG211" s="1">
        <f t="shared" si="99"/>
        <v>4.4000000000000004</v>
      </c>
      <c r="AH211" s="1">
        <f t="shared" si="103"/>
        <v>579.19999999999823</v>
      </c>
      <c r="AI211" s="1">
        <f t="shared" si="90"/>
        <v>2.7712918660286996</v>
      </c>
      <c r="AJ211" s="20">
        <f>+(W211*Forudsætninger!$C$12)</f>
        <v>900</v>
      </c>
      <c r="AK211" s="20">
        <f>Forudsætninger!$C$17</f>
        <v>250</v>
      </c>
      <c r="AL211" s="20">
        <f>IF(A211&lt;92,Forudsætninger!$C$20,Forudsætninger!$C$21)</f>
        <v>1.0566762728146013</v>
      </c>
      <c r="AM211" s="20">
        <f t="shared" si="100"/>
        <v>489.35082387154358</v>
      </c>
      <c r="AN211" s="19">
        <f>IFERROR(AD211+AJ211-AA211-Z211-AK211-AM211-Forudsætninger!$E$75,-999999)</f>
        <v>476.3586475783178</v>
      </c>
      <c r="AO211" s="19">
        <f>IFERROR(AN211/(A211+Forudsætninger!$E$74),-999999)</f>
        <v>2.2792279788436258</v>
      </c>
      <c r="AP211" s="19">
        <f>IFERROR(((365/(A211+Forudsætninger!$E$74))*AN211)/(AI211+Forudsætninger!$E$73),-999999)</f>
        <v>288.73097588151001</v>
      </c>
      <c r="AQ211" s="18">
        <f t="shared" si="91"/>
        <v>209</v>
      </c>
      <c r="AR211" s="18">
        <f t="shared" si="104"/>
        <v>5486.6908301390686</v>
      </c>
      <c r="AS211" s="18">
        <f t="shared" si="83"/>
        <v>8.1</v>
      </c>
      <c r="AT211" s="50">
        <f t="shared" si="105"/>
        <v>1.959041660384969</v>
      </c>
      <c r="AU211" s="50">
        <f t="shared" si="106"/>
        <v>-1.5393573002819849E-3</v>
      </c>
      <c r="AV211" s="2">
        <f t="shared" si="107"/>
        <v>-0.98234254983452729</v>
      </c>
      <c r="AW211" s="16">
        <f t="shared" si="101"/>
        <v>4.6206194806213468</v>
      </c>
      <c r="AZ211" s="16"/>
      <c r="BA211" s="2"/>
    </row>
    <row r="212" spans="1:58" x14ac:dyDescent="0.25">
      <c r="A212">
        <v>210</v>
      </c>
      <c r="B212" s="1">
        <f>ROUND((A212+Forudsætninger!$E$60)/30.4,1)</f>
        <v>8.1</v>
      </c>
      <c r="C212" s="1">
        <f>VLOOKUP((A212+Forudsætninger!$E$60),'Model tilvækst, slagteform, fe'!A:D,4,FALSE)</f>
        <v>358.47197030965566</v>
      </c>
      <c r="D212" s="3">
        <f t="shared" si="108"/>
        <v>1380.9546812498752</v>
      </c>
      <c r="E212" s="3">
        <f>(1+Forudsætninger!$E$78)*C212</f>
        <v>329.79421268488323</v>
      </c>
      <c r="F212" s="2">
        <f t="shared" si="92"/>
        <v>0</v>
      </c>
      <c r="G212" s="1">
        <f t="shared" si="84"/>
        <v>329.79421268488323</v>
      </c>
      <c r="H212" s="3">
        <f t="shared" si="93"/>
        <v>1270.4783067499079</v>
      </c>
      <c r="I212" s="3">
        <f t="shared" si="85"/>
        <v>1246.6391080232536</v>
      </c>
      <c r="J212" s="1">
        <f>VLOOKUP((A212+Forudsætninger!$E$60),'Model tilvækst, slagteform, fe'!G:K,4,FALSE)*(1+Forudsætninger!$E$79)</f>
        <v>52.864286025729264</v>
      </c>
      <c r="K212" s="17">
        <f t="shared" si="86"/>
        <v>174.34335589003859</v>
      </c>
      <c r="L212" s="17">
        <f t="shared" si="94"/>
        <v>724.29961531511822</v>
      </c>
      <c r="M212" s="3">
        <f>((K212-(('Model tilvækst, slagteform, fe'!$J$9/100)*'Model tilvækst, slagteform, fe'!$D$9))*1000/(A212+Forudsætninger!$E$60))</f>
        <v>626.45913721624129</v>
      </c>
      <c r="N212" s="17">
        <f t="shared" si="95"/>
        <v>1036.7761837132548</v>
      </c>
      <c r="O212" s="19">
        <f>IF( A212&lt;Forudsætninger!$C$14,(G212/100)*Forudsætninger!$C$13,(Forudsætninger!$C$15/1000)*Forudsætninger!$C$13)</f>
        <v>2.1436623824517409</v>
      </c>
      <c r="P212" s="17" cm="1">
        <f t="array" ref="P212">INDEX('Model tilvækst, slagteform, fe'!$P$9:$P$375,MATCH(MIN(ABS('Model tilvækst, slagteform, fe'!$M$9:$M$375-G212)),ABS('Model tilvækst, slagteform, fe'!$M$9:$M$375-G212),0))*(1+Forudsætninger!$E$80)</f>
        <v>7.3378914481345738</v>
      </c>
      <c r="Q212" s="17">
        <f t="shared" si="96"/>
        <v>10.131016630378998</v>
      </c>
      <c r="R212" s="17">
        <f t="shared" si="97"/>
        <v>7.3334313086283096</v>
      </c>
      <c r="S212" s="17">
        <f t="shared" si="98"/>
        <v>3.9602715930210528</v>
      </c>
      <c r="T212" s="19">
        <f>(P212)*IF(N212&lt;Forudsætninger!$B$228,IF(N212&lt;Forudsætninger!$B$227,Forudsætninger!$B$225,Forudsætninger!$C$9),Forudsætninger!$C$11)+O212</f>
        <v>19.314328371086642</v>
      </c>
      <c r="U212" s="5">
        <f>Forudsætninger!$E$68+((K212-(Forudsætninger!$E$84)))*0.01</f>
        <v>6.4599972684720548</v>
      </c>
      <c r="V212" s="2">
        <f>U212+Forudsætninger!$E$69</f>
        <v>6.4599972684720548</v>
      </c>
      <c r="W212">
        <f t="shared" si="87"/>
        <v>1</v>
      </c>
      <c r="X212">
        <f>IF(A212+Forudsætninger!$E$60&gt;248,IF(A212+Forudsætninger!$E$60&lt;365,IF(K212&gt;180,IF(K212&lt;260,1,0),0),0),0)</f>
        <v>0</v>
      </c>
      <c r="Y212" s="22">
        <f>IF(X212=0,0,IF('Vækstfunktion, kry kvie'!A212&lt;Forudsætninger!$E$66,Forudsætninger!$E$67+(('Vækstfunktion, kry kvie'!A212-Forudsætninger!$E$66)/7)*Forudsætninger!$E$64,Forudsætninger!$E$67))</f>
        <v>0</v>
      </c>
      <c r="Z212" s="19">
        <f t="shared" si="102"/>
        <v>3191.6543346386111</v>
      </c>
      <c r="AA212" s="19">
        <f>Forudsætninger!$E$62+Forudsætninger!$C$16</f>
        <v>1575</v>
      </c>
      <c r="AB212" s="19">
        <f>IF(K212&gt;Forudsætninger!$C$48,IF(K212&gt;Forudsætninger!$C$49,IF(K212&gt;Forudsætninger!$C$50,Forudsætninger!$E$50,Forudsætninger!$E$49+Forudsætninger!$F$50*(K212-Forudsætninger!$C$49)),Forudsætninger!$E$48+Forudsætninger!$F$49*(K212-Forudsætninger!$C$48)),Forudsætninger!$E$48)+IF(K212&gt;Forudsætninger!$C$50,Forudsætninger!$G$50,IF(K212&gt;Forudsætninger!$C$49,Forudsætninger!$G$49+Forudsætninger!$H$50*(K212-Forudsætninger!$C$49),IF(K212&gt;Forudsætninger!$C$48,Forudsætninger!$G$48+Forudsætninger!$H$49*(K212-Forudsætninger!$C$48),Forudsætninger!$G$48)))*(U212-Forudsætninger!$H$48)</f>
        <v>35.245999726847202</v>
      </c>
      <c r="AC212" s="19">
        <f>IF(K212&gt;Forudsætninger!$C$52,IF(K212&gt;Forudsætninger!$C$53,IF(K212&gt;Forudsætninger!$C$54,Forudsætninger!$E$54,Forudsætninger!$E$53+Forudsætninger!$F$54*(K212-Forudsætninger!$C$53)),Forudsætninger!$E$52+Forudsætninger!$F$53*(K212-Forudsætninger!$C$52)),Forudsætninger!$E$52)+IF(K212&gt;Forudsætninger!$C$54,Forudsætninger!$G$54,IF(K212&gt;Forudsætninger!$C$53,Forudsætninger!$G$53+Forudsætninger!$H$54*(K212-Forudsætninger!$C$53),IF(K212&gt;Forudsætninger!$C$52,Forudsætninger!$G$52+Forudsætninger!$H$53*(K212-Forudsætninger!$C$52),Forudsætninger!$G$52)))*(V212-Forudsætninger!$H$52)</f>
        <v>30.264999317118011</v>
      </c>
      <c r="AD212" s="19">
        <f t="shared" si="88"/>
        <v>5276.5015469560803</v>
      </c>
      <c r="AE212" s="19">
        <f t="shared" si="89"/>
        <v>30.264999317118011</v>
      </c>
      <c r="AF212">
        <f>IF(G212&lt;=Forudsætninger!$C$97,Forudsætninger!$C$98,(IF(G212&lt;=Forudsætninger!$D$97,Forudsætninger!$D$98,IF(G212&lt;=Forudsætninger!$E$97,Forudsætninger!$E$98,IF(G212&lt;=Forudsætninger!$F$97,Forudsætninger!$F$98,IF(G212&lt;=Forudsætninger!$G$97,Forudsætninger!$G$98,IF(G212&lt;=Forudsætninger!$H$97,Forudsætninger!$H$98,IF(G212&lt;=Forudsætninger!$I$97,Forudsætninger!$I$98,Forudsætninger!$I$98))))))))</f>
        <v>3.8</v>
      </c>
      <c r="AG212" s="1">
        <f t="shared" si="99"/>
        <v>4.4000000000000004</v>
      </c>
      <c r="AH212" s="1">
        <f t="shared" si="103"/>
        <v>583.5999999999982</v>
      </c>
      <c r="AI212" s="1">
        <f t="shared" si="90"/>
        <v>2.7790476190476103</v>
      </c>
      <c r="AJ212" s="20">
        <f>+(W212*Forudsætninger!$C$12)</f>
        <v>900</v>
      </c>
      <c r="AK212" s="20">
        <f>Forudsætninger!$C$17</f>
        <v>250</v>
      </c>
      <c r="AL212" s="20">
        <f>IF(A212&lt;92,Forudsætninger!$C$20,Forudsætninger!$C$21)</f>
        <v>1.0566762728146013</v>
      </c>
      <c r="AM212" s="20">
        <f t="shared" si="100"/>
        <v>490.40750014435821</v>
      </c>
      <c r="AN212" s="19">
        <f>IFERROR(AD212+AJ212-AA212-Z212-AK212-AM212-Forudsætninger!$E$75,-999999)</f>
        <v>478.22295083649522</v>
      </c>
      <c r="AO212" s="19">
        <f>IFERROR(AN212/(A212+Forudsætninger!$E$74),-999999)</f>
        <v>2.2772521468404534</v>
      </c>
      <c r="AP212" s="19">
        <f>IFERROR(((365/(A212+Forudsætninger!$E$74))*AN212)/(AI212+Forudsætninger!$E$73),-999999)</f>
        <v>287.70624205591116</v>
      </c>
      <c r="AQ212" s="18">
        <f t="shared" si="91"/>
        <v>210</v>
      </c>
      <c r="AR212" s="18">
        <f t="shared" si="104"/>
        <v>5507.0618347829695</v>
      </c>
      <c r="AS212" s="18">
        <f t="shared" si="83"/>
        <v>8.1</v>
      </c>
      <c r="AT212" s="50">
        <f t="shared" si="105"/>
        <v>1.864303258177415</v>
      </c>
      <c r="AU212" s="50">
        <f t="shared" si="106"/>
        <v>-1.9758320031724175E-3</v>
      </c>
      <c r="AV212" s="2">
        <f t="shared" si="107"/>
        <v>-1.0247338255988439</v>
      </c>
      <c r="AW212" s="16">
        <f t="shared" si="101"/>
        <v>4.612525957051683</v>
      </c>
      <c r="AZ212" s="16"/>
      <c r="BA212" s="2"/>
    </row>
    <row r="213" spans="1:58" x14ac:dyDescent="0.25">
      <c r="A213">
        <v>211</v>
      </c>
      <c r="B213" s="1">
        <f>ROUND((A213+Forudsætninger!$E$60)/30.4,1)</f>
        <v>8.1</v>
      </c>
      <c r="C213" s="1">
        <f>VLOOKUP((A213+Forudsætninger!$E$60),'Model tilvækst, slagteform, fe'!A:D,4,FALSE)</f>
        <v>359.84865048395045</v>
      </c>
      <c r="D213" s="3">
        <f t="shared" si="108"/>
        <v>1376.6801742947905</v>
      </c>
      <c r="E213" s="3">
        <f>(1+Forudsætninger!$E$78)*C213</f>
        <v>331.06075844523446</v>
      </c>
      <c r="F213" s="2">
        <f t="shared" si="92"/>
        <v>0</v>
      </c>
      <c r="G213" s="1">
        <f t="shared" si="84"/>
        <v>331.06075844523446</v>
      </c>
      <c r="H213" s="3">
        <f t="shared" si="93"/>
        <v>1266.5457603512209</v>
      </c>
      <c r="I213" s="3">
        <f t="shared" si="85"/>
        <v>1246.7334523470827</v>
      </c>
      <c r="J213" s="1">
        <f>VLOOKUP((A213+Forudsætninger!$E$60),'Model tilvækst, slagteform, fe'!G:K,4,FALSE)*(1+Forudsætninger!$E$79)</f>
        <v>52.880101207667074</v>
      </c>
      <c r="K213" s="17">
        <f t="shared" si="86"/>
        <v>175.06526412471021</v>
      </c>
      <c r="L213" s="17">
        <f t="shared" si="94"/>
        <v>721.90823467161636</v>
      </c>
      <c r="M213" s="3">
        <f>((K213-(('Model tilvækst, slagteform, fe'!$J$9/100)*'Model tilvækst, slagteform, fe'!$D$9))*1000/(A213+Forudsætninger!$E$60))</f>
        <v>626.84557080917796</v>
      </c>
      <c r="N213" s="17">
        <f t="shared" si="95"/>
        <v>1044.1206805386375</v>
      </c>
      <c r="O213" s="19">
        <f>IF( A213&lt;Forudsætninger!$C$14,(G213/100)*Forudsætninger!$C$13,(Forudsætninger!$C$15/1000)*Forudsætninger!$C$13)</f>
        <v>2.151894929894024</v>
      </c>
      <c r="P213" s="17" cm="1">
        <f t="array" ref="P213">INDEX('Model tilvækst, slagteform, fe'!$P$9:$P$375,MATCH(MIN(ABS('Model tilvækst, slagteform, fe'!$M$9:$M$375-G213)),ABS('Model tilvækst, slagteform, fe'!$M$9:$M$375-G213),0))*(1+Forudsætninger!$E$80)</f>
        <v>7.3444968253827181</v>
      </c>
      <c r="Q213" s="17">
        <f t="shared" si="96"/>
        <v>10.173726344489758</v>
      </c>
      <c r="R213" s="17">
        <f t="shared" si="97"/>
        <v>7.3478609548096916</v>
      </c>
      <c r="S213" s="17">
        <f t="shared" si="98"/>
        <v>3.9691236606694753</v>
      </c>
      <c r="T213" s="19">
        <f>(P213)*IF(N213&lt;Forudsætninger!$B$228,IF(N213&lt;Forudsætninger!$B$227,Forudsætninger!$B$225,Forudsætninger!$C$9),Forudsætninger!$C$11)+O213</f>
        <v>19.338017501289581</v>
      </c>
      <c r="U213" s="5">
        <f>Forudsætninger!$E$68+((K213-(Forudsætninger!$E$84)))*0.01</f>
        <v>6.467216350818771</v>
      </c>
      <c r="V213" s="2">
        <f>U213+Forudsætninger!$E$69</f>
        <v>6.467216350818771</v>
      </c>
      <c r="W213">
        <f t="shared" si="87"/>
        <v>1</v>
      </c>
      <c r="X213">
        <f>IF(A213+Forudsætninger!$E$60&gt;248,IF(A213+Forudsætninger!$E$60&lt;365,IF(K213&gt;180,IF(K213&lt;260,1,0),0),0),0)</f>
        <v>0</v>
      </c>
      <c r="Y213" s="22">
        <f>IF(X213=0,0,IF('Vækstfunktion, kry kvie'!A213&lt;Forudsætninger!$E$66,Forudsætninger!$E$67+(('Vækstfunktion, kry kvie'!A213-Forudsætninger!$E$66)/7)*Forudsætninger!$E$64,Forudsætninger!$E$67))</f>
        <v>0</v>
      </c>
      <c r="Z213" s="19">
        <f t="shared" si="102"/>
        <v>3210.9923521399005</v>
      </c>
      <c r="AA213" s="19">
        <f>Forudsætninger!$E$62+Forudsætninger!$C$16</f>
        <v>1575</v>
      </c>
      <c r="AB213" s="19">
        <f>IF(K213&gt;Forudsætninger!$C$48,IF(K213&gt;Forudsætninger!$C$49,IF(K213&gt;Forudsætninger!$C$50,Forudsætninger!$E$50,Forudsætninger!$E$49+Forudsætninger!$F$50*(K213-Forudsætninger!$C$49)),Forudsætninger!$E$48+Forudsætninger!$F$49*(K213-Forudsætninger!$C$48)),Forudsætninger!$E$48)+IF(K213&gt;Forudsætninger!$C$50,Forudsætninger!$G$50,IF(K213&gt;Forudsætninger!$C$49,Forudsætninger!$G$49+Forudsætninger!$H$50*(K213-Forudsætninger!$C$49),IF(K213&gt;Forudsætninger!$C$48,Forudsætninger!$G$48+Forudsætninger!$H$49*(K213-Forudsætninger!$C$48),Forudsætninger!$G$48)))*(U213-Forudsætninger!$H$48)</f>
        <v>35.246721635081876</v>
      </c>
      <c r="AC213" s="19">
        <f>IF(K213&gt;Forudsætninger!$C$52,IF(K213&gt;Forudsætninger!$C$53,IF(K213&gt;Forudsætninger!$C$54,Forudsætninger!$E$54,Forudsætninger!$E$53+Forudsætninger!$F$54*(K213-Forudsætninger!$C$53)),Forudsætninger!$E$52+Forudsætninger!$F$53*(K213-Forudsætninger!$C$52)),Forudsætninger!$E$52)+IF(K213&gt;Forudsætninger!$C$54,Forudsætninger!$G$54,IF(K213&gt;Forudsætninger!$C$53,Forudsætninger!$G$53+Forudsætninger!$H$54*(K213-Forudsætninger!$C$53),IF(K213&gt;Forudsætninger!$C$52,Forudsætninger!$G$52+Forudsætninger!$H$53*(K213-Forudsætninger!$C$52),Forudsætninger!$G$52)))*(V213-Forudsætninger!$H$52)</f>
        <v>30.266804087704692</v>
      </c>
      <c r="AD213" s="19">
        <f t="shared" si="88"/>
        <v>5298.6660518248809</v>
      </c>
      <c r="AE213" s="19">
        <f t="shared" si="89"/>
        <v>30.266804087704696</v>
      </c>
      <c r="AF213">
        <f>IF(G213&lt;=Forudsætninger!$C$97,Forudsætninger!$C$98,(IF(G213&lt;=Forudsætninger!$D$97,Forudsætninger!$D$98,IF(G213&lt;=Forudsætninger!$E$97,Forudsætninger!$E$98,IF(G213&lt;=Forudsætninger!$F$97,Forudsætninger!$F$98,IF(G213&lt;=Forudsætninger!$G$97,Forudsætninger!$G$98,IF(G213&lt;=Forudsætninger!$H$97,Forudsætninger!$H$98,IF(G213&lt;=Forudsætninger!$I$97,Forudsætninger!$I$98,Forudsætninger!$I$98))))))))</f>
        <v>3.8</v>
      </c>
      <c r="AG213" s="1">
        <f t="shared" si="99"/>
        <v>4.4000000000000004</v>
      </c>
      <c r="AH213" s="1">
        <f t="shared" si="103"/>
        <v>587.99999999999818</v>
      </c>
      <c r="AI213" s="1">
        <f t="shared" si="90"/>
        <v>2.7867298578198967</v>
      </c>
      <c r="AJ213" s="20">
        <f>+(W213*Forudsætninger!$C$12)</f>
        <v>900</v>
      </c>
      <c r="AK213" s="20">
        <f>Forudsætninger!$C$17</f>
        <v>250</v>
      </c>
      <c r="AL213" s="20">
        <f>IF(A213&lt;92,Forudsætninger!$C$20,Forudsætninger!$C$21)</f>
        <v>1.0566762728146013</v>
      </c>
      <c r="AM213" s="20">
        <f t="shared" si="100"/>
        <v>491.46417641717284</v>
      </c>
      <c r="AN213" s="19">
        <f>IFERROR(AD213+AJ213-AA213-Z213-AK213-AM213-Forudsætninger!$E$75,-999999)</f>
        <v>479.99276193119169</v>
      </c>
      <c r="AO213" s="19">
        <f>IFERROR(AN213/(A213+Forudsætninger!$E$74),-999999)</f>
        <v>2.2748472129440365</v>
      </c>
      <c r="AP213" s="19">
        <f>IFERROR(((365/(A213+Forudsætninger!$E$74))*AN213)/(AI213+Forudsætninger!$E$73),-999999)</f>
        <v>286.64020239342534</v>
      </c>
      <c r="AQ213" s="18">
        <f t="shared" si="91"/>
        <v>211</v>
      </c>
      <c r="AR213" s="18">
        <f t="shared" si="104"/>
        <v>5527.4565285570734</v>
      </c>
      <c r="AS213" s="18">
        <f t="shared" si="83"/>
        <v>8.1</v>
      </c>
      <c r="AT213" s="50">
        <f t="shared" si="105"/>
        <v>1.7698110946964789</v>
      </c>
      <c r="AU213" s="50">
        <f t="shared" si="106"/>
        <v>-2.4049338964169387E-3</v>
      </c>
      <c r="AV213" s="2">
        <f t="shared" si="107"/>
        <v>-1.0660396624858208</v>
      </c>
      <c r="AW213" s="16">
        <f t="shared" si="101"/>
        <v>4.6040613191865614</v>
      </c>
      <c r="AZ213" s="16"/>
      <c r="BA213" s="2"/>
    </row>
    <row r="214" spans="1:58" x14ac:dyDescent="0.25">
      <c r="A214">
        <v>212</v>
      </c>
      <c r="B214" s="1">
        <f>ROUND((A214+Forudsætninger!$E$60)/30.4,1)</f>
        <v>8.1999999999999993</v>
      </c>
      <c r="C214" s="1">
        <f>VLOOKUP((A214+Forudsætninger!$E$60),'Model tilvækst, slagteform, fe'!A:D,4,FALSE)</f>
        <v>361.22103033637154</v>
      </c>
      <c r="D214" s="3">
        <f t="shared" si="108"/>
        <v>1372.3798524210906</v>
      </c>
      <c r="E214" s="3">
        <f>(1+Forudsætninger!$E$78)*C214</f>
        <v>332.32334790946186</v>
      </c>
      <c r="F214" s="2">
        <f t="shared" si="92"/>
        <v>0</v>
      </c>
      <c r="G214" s="1">
        <f t="shared" si="84"/>
        <v>332.32334790946186</v>
      </c>
      <c r="H214" s="3">
        <f t="shared" si="93"/>
        <v>1262.5894642274034</v>
      </c>
      <c r="I214" s="3">
        <f t="shared" si="85"/>
        <v>1246.8082448559524</v>
      </c>
      <c r="J214" s="1">
        <f>VLOOKUP((A214+Forudsætninger!$E$60),'Model tilvækst, slagteform, fe'!G:K,4,FALSE)*(1+Forudsætninger!$E$79)</f>
        <v>52.89570306944659</v>
      </c>
      <c r="K214" s="17">
        <f t="shared" si="86"/>
        <v>175.78477134063289</v>
      </c>
      <c r="L214" s="17">
        <f t="shared" si="94"/>
        <v>719.50721592267541</v>
      </c>
      <c r="M214" s="3">
        <f>((K214-(('Model tilvækst, slagteform, fe'!$J$9/100)*'Model tilvækst, slagteform, fe'!$D$9))*1000/(A214+Forudsætninger!$E$60))</f>
        <v>627.21920647495824</v>
      </c>
      <c r="N214" s="17">
        <f t="shared" si="95"/>
        <v>1051.4715493134677</v>
      </c>
      <c r="O214" s="19">
        <f>IF( A214&lt;Forudsætninger!$C$14,(G214/100)*Forudsætninger!$C$13,(Forudsætninger!$C$15/1000)*Forudsætninger!$C$13)</f>
        <v>2.1601017614115023</v>
      </c>
      <c r="P214" s="17" cm="1">
        <f t="array" ref="P214">INDEX('Model tilvækst, slagteform, fe'!$P$9:$P$375,MATCH(MIN(ABS('Model tilvækst, slagteform, fe'!$M$9:$M$375-G214)),ABS('Model tilvækst, slagteform, fe'!$M$9:$M$375-G214),0))*(1+Forudsætninger!$E$80)</f>
        <v>7.3508687748301416</v>
      </c>
      <c r="Q214" s="17">
        <f t="shared" si="96"/>
        <v>10.216532387939429</v>
      </c>
      <c r="R214" s="17">
        <f t="shared" si="97"/>
        <v>7.3623131134490665</v>
      </c>
      <c r="S214" s="17">
        <f t="shared" si="98"/>
        <v>3.9779745437910621</v>
      </c>
      <c r="T214" s="19">
        <f>(P214)*IF(N214&lt;Forudsætninger!$B$228,IF(N214&lt;Forudsætninger!$B$227,Forudsætninger!$B$225,Forudsætninger!$C$9),Forudsætninger!$C$11)+O214</f>
        <v>19.361134694514035</v>
      </c>
      <c r="U214" s="5">
        <f>Forudsætninger!$E$68+((K214-(Forudsætninger!$E$84)))*0.01</f>
        <v>6.4744114229779983</v>
      </c>
      <c r="V214" s="2">
        <f>U214+Forudsætninger!$E$69</f>
        <v>6.4744114229779983</v>
      </c>
      <c r="W214">
        <f t="shared" si="87"/>
        <v>1</v>
      </c>
      <c r="X214">
        <f>IF(A214+Forudsætninger!$E$60&gt;248,IF(A214+Forudsætninger!$E$60&lt;365,IF(K214&gt;180,IF(K214&lt;260,1,0),0),0),0)</f>
        <v>0</v>
      </c>
      <c r="Y214" s="22">
        <f>IF(X214=0,0,IF('Vækstfunktion, kry kvie'!A214&lt;Forudsætninger!$E$66,Forudsætninger!$E$67+(('Vækstfunktion, kry kvie'!A214-Forudsætninger!$E$66)/7)*Forudsætninger!$E$64,Forudsætninger!$E$67))</f>
        <v>0</v>
      </c>
      <c r="Z214" s="19">
        <f t="shared" si="102"/>
        <v>3230.3534868344145</v>
      </c>
      <c r="AA214" s="19">
        <f>Forudsætninger!$E$62+Forudsætninger!$C$16</f>
        <v>1575</v>
      </c>
      <c r="AB214" s="19">
        <f>IF(K214&gt;Forudsætninger!$C$48,IF(K214&gt;Forudsætninger!$C$49,IF(K214&gt;Forudsætninger!$C$50,Forudsætninger!$E$50,Forudsætninger!$E$49+Forudsætninger!$F$50*(K214-Forudsætninger!$C$49)),Forudsætninger!$E$48+Forudsætninger!$F$49*(K214-Forudsætninger!$C$48)),Forudsætninger!$E$48)+IF(K214&gt;Forudsætninger!$C$50,Forudsætninger!$G$50,IF(K214&gt;Forudsætninger!$C$49,Forudsætninger!$G$49+Forudsætninger!$H$50*(K214-Forudsætninger!$C$49),IF(K214&gt;Forudsætninger!$C$48,Forudsætninger!$G$48+Forudsætninger!$H$49*(K214-Forudsætninger!$C$48),Forudsætninger!$G$48)))*(U214-Forudsætninger!$H$48)</f>
        <v>35.247441142297802</v>
      </c>
      <c r="AC214" s="19">
        <f>IF(K214&gt;Forudsætninger!$C$52,IF(K214&gt;Forudsætninger!$C$53,IF(K214&gt;Forudsætninger!$C$54,Forudsætninger!$E$54,Forudsætninger!$E$53+Forudsætninger!$F$54*(K214-Forudsætninger!$C$53)),Forudsætninger!$E$52+Forudsætninger!$F$53*(K214-Forudsætninger!$C$52)),Forudsætninger!$E$52)+IF(K214&gt;Forudsætninger!$C$54,Forudsætninger!$G$54,IF(K214&gt;Forudsætninger!$C$53,Forudsætninger!$G$53+Forudsætninger!$H$54*(K214-Forudsætninger!$C$53),IF(K214&gt;Forudsætninger!$C$52,Forudsætninger!$G$52+Forudsætninger!$H$53*(K214-Forudsætninger!$C$52),Forudsætninger!$G$52)))*(V214-Forudsætninger!$H$52)</f>
        <v>30.268602855744497</v>
      </c>
      <c r="AD214" s="19">
        <f t="shared" si="88"/>
        <v>5320.7594317974745</v>
      </c>
      <c r="AE214" s="19">
        <f t="shared" si="89"/>
        <v>30.268602855744501</v>
      </c>
      <c r="AF214">
        <f>IF(G214&lt;=Forudsætninger!$C$97,Forudsætninger!$C$98,(IF(G214&lt;=Forudsætninger!$D$97,Forudsætninger!$D$98,IF(G214&lt;=Forudsætninger!$E$97,Forudsætninger!$E$98,IF(G214&lt;=Forudsætninger!$F$97,Forudsætninger!$F$98,IF(G214&lt;=Forudsætninger!$G$97,Forudsætninger!$G$98,IF(G214&lt;=Forudsætninger!$H$97,Forudsætninger!$H$98,IF(G214&lt;=Forudsætninger!$I$97,Forudsætninger!$I$98,Forudsætninger!$I$98))))))))</f>
        <v>3.8</v>
      </c>
      <c r="AG214" s="1">
        <f t="shared" si="99"/>
        <v>4.4000000000000004</v>
      </c>
      <c r="AH214" s="1">
        <f t="shared" si="103"/>
        <v>592.39999999999816</v>
      </c>
      <c r="AI214" s="1">
        <f t="shared" si="90"/>
        <v>2.7943396226415009</v>
      </c>
      <c r="AJ214" s="20">
        <f>+(W214*Forudsætninger!$C$12)</f>
        <v>900</v>
      </c>
      <c r="AK214" s="20">
        <f>Forudsætninger!$C$17</f>
        <v>250</v>
      </c>
      <c r="AL214" s="20">
        <f>IF(A214&lt;92,Forudsætninger!$C$20,Forudsætninger!$C$21)</f>
        <v>1.0566762728146013</v>
      </c>
      <c r="AM214" s="20">
        <f t="shared" si="100"/>
        <v>492.52085268998746</v>
      </c>
      <c r="AN214" s="19">
        <f>IFERROR(AD214+AJ214-AA214-Z214-AK214-AM214-Forudsætninger!$E$75,-999999)</f>
        <v>481.66833093645664</v>
      </c>
      <c r="AO214" s="19">
        <f>IFERROR(AN214/(A214+Forudsætninger!$E$74),-999999)</f>
        <v>2.2720204289455501</v>
      </c>
      <c r="AP214" s="19">
        <f>IFERROR(((365/(A214+Forudsætninger!$E$74))*AN214)/(AI214+Forudsætninger!$E$73),-999999)</f>
        <v>285.5339128042084</v>
      </c>
      <c r="AQ214" s="18">
        <f t="shared" si="91"/>
        <v>212</v>
      </c>
      <c r="AR214" s="18">
        <f t="shared" si="104"/>
        <v>5547.8743395244019</v>
      </c>
      <c r="AS214" s="18">
        <f t="shared" si="83"/>
        <v>8.1999999999999993</v>
      </c>
      <c r="AT214" s="50">
        <f t="shared" si="105"/>
        <v>1.675569005264947</v>
      </c>
      <c r="AU214" s="50">
        <f t="shared" si="106"/>
        <v>-2.8267839984863485E-3</v>
      </c>
      <c r="AV214" s="2">
        <f t="shared" si="107"/>
        <v>-1.1062895892169422</v>
      </c>
      <c r="AW214" s="16">
        <f t="shared" si="101"/>
        <v>4.5952319982379439</v>
      </c>
      <c r="AZ214" s="16"/>
      <c r="BA214" s="2"/>
    </row>
    <row r="215" spans="1:58" x14ac:dyDescent="0.25">
      <c r="A215">
        <v>213</v>
      </c>
      <c r="B215" s="1">
        <f>ROUND((A215+Forudsætninger!$E$60)/30.4,1)</f>
        <v>8.1999999999999993</v>
      </c>
      <c r="C215" s="1">
        <f>VLOOKUP((A215+Forudsætninger!$E$60),'Model tilvækst, slagteform, fe'!A:D,4,FALSE)</f>
        <v>362.5890846370209</v>
      </c>
      <c r="D215" s="3">
        <f>(C215-C214)*1000</f>
        <v>1368.0543006493622</v>
      </c>
      <c r="E215" s="3">
        <f>(1+Forudsætninger!$E$78)*C215</f>
        <v>333.58195786605927</v>
      </c>
      <c r="F215" s="2">
        <f t="shared" si="92"/>
        <v>0</v>
      </c>
      <c r="G215" s="1">
        <f t="shared" si="84"/>
        <v>333.58195786605927</v>
      </c>
      <c r="H215" s="3">
        <f t="shared" si="93"/>
        <v>1258.6099565974109</v>
      </c>
      <c r="I215" s="3">
        <f t="shared" si="85"/>
        <v>1246.86365195333</v>
      </c>
      <c r="J215" s="1">
        <f>VLOOKUP((A215+Forudsætninger!$E$60),'Model tilvækst, slagteform, fe'!G:K,4,FALSE)*(1+Forudsætninger!$E$79)</f>
        <v>52.91109553641251</v>
      </c>
      <c r="K215" s="17">
        <f t="shared" si="86"/>
        <v>176.50186841874594</v>
      </c>
      <c r="L215" s="17">
        <f t="shared" si="94"/>
        <v>717.09707811305634</v>
      </c>
      <c r="M215" s="3">
        <f>((K215-(('Model tilvækst, slagteform, fe'!$J$9/100)*'Model tilvækst, slagteform, fe'!$D$9))*1000/(A215+Forudsætninger!$E$60))</f>
        <v>627.58016178274181</v>
      </c>
      <c r="N215" s="17">
        <f t="shared" si="95"/>
        <v>1058.8344825850893</v>
      </c>
      <c r="O215" s="19">
        <f>IF( A215&lt;Forudsætninger!$C$14,(G215/100)*Forudsætninger!$C$13,(Forudsætninger!$C$15/1000)*Forudsætninger!$C$13)</f>
        <v>2.1682827261293851</v>
      </c>
      <c r="P215" s="17" cm="1">
        <f t="array" ref="P215">INDEX('Model tilvækst, slagteform, fe'!$P$9:$P$375,MATCH(MIN(ABS('Model tilvækst, slagteform, fe'!$M$9:$M$375-G215)),ABS('Model tilvækst, slagteform, fe'!$M$9:$M$375-G215),0))*(1+Forudsætninger!$E$80)</f>
        <v>7.3629332716216096</v>
      </c>
      <c r="Q215" s="17">
        <f t="shared" si="96"/>
        <v>10.267693867887692</v>
      </c>
      <c r="R215" s="17">
        <f t="shared" si="97"/>
        <v>7.376828299507487</v>
      </c>
      <c r="S215" s="17">
        <f t="shared" si="98"/>
        <v>3.9868464375094725</v>
      </c>
      <c r="T215" s="19">
        <f>(P215)*IF(N215&lt;Forudsætninger!$B$228,IF(N215&lt;Forudsætninger!$B$227,Forudsætninger!$B$225,Forudsætninger!$C$9),Forudsætninger!$C$11)+O215</f>
        <v>19.397546581723951</v>
      </c>
      <c r="U215" s="5">
        <f>Forudsætninger!$E$68+((K215-(Forudsætninger!$E$84)))*0.01</f>
        <v>6.4815823937591288</v>
      </c>
      <c r="V215" s="2">
        <f>U215+Forudsætninger!$E$69</f>
        <v>6.4815823937591288</v>
      </c>
      <c r="W215">
        <f t="shared" si="87"/>
        <v>1</v>
      </c>
      <c r="X215">
        <f>IF(A215+Forudsætninger!$E$60&gt;248,IF(A215+Forudsætninger!$E$60&lt;365,IF(K215&gt;180,IF(K215&lt;260,1,0),0),0),0)</f>
        <v>0</v>
      </c>
      <c r="Y215" s="22">
        <f>IF(X215=0,0,IF('Vækstfunktion, kry kvie'!A215&lt;Forudsætninger!$E$66,Forudsætninger!$E$67+(('Vækstfunktion, kry kvie'!A215-Forudsætninger!$E$66)/7)*Forudsætninger!$E$64,Forudsætninger!$E$67))</f>
        <v>0</v>
      </c>
      <c r="Z215" s="19">
        <f t="shared" si="102"/>
        <v>3249.7510334161384</v>
      </c>
      <c r="AA215" s="19">
        <f>Forudsætninger!$E$62+Forudsætninger!$C$16</f>
        <v>1575</v>
      </c>
      <c r="AB215" s="19">
        <f>IF(K215&gt;Forudsætninger!$C$48,IF(K215&gt;Forudsætninger!$C$49,IF(K215&gt;Forudsætninger!$C$50,Forudsætninger!$E$50,Forudsætninger!$E$49+Forudsætninger!$F$50*(K215-Forudsætninger!$C$49)),Forudsætninger!$E$48+Forudsætninger!$F$49*(K215-Forudsætninger!$C$48)),Forudsætninger!$E$48)+IF(K215&gt;Forudsætninger!$C$50,Forudsætninger!$G$50,IF(K215&gt;Forudsætninger!$C$49,Forudsætninger!$G$49+Forudsætninger!$H$50*(K215-Forudsætninger!$C$49),IF(K215&gt;Forudsætninger!$C$48,Forudsætninger!$G$48+Forudsætninger!$H$49*(K215-Forudsætninger!$C$48),Forudsætninger!$G$48)))*(U215-Forudsætninger!$H$48)</f>
        <v>35.248158239375911</v>
      </c>
      <c r="AC215" s="19">
        <f>IF(K215&gt;Forudsætninger!$C$52,IF(K215&gt;Forudsætninger!$C$53,IF(K215&gt;Forudsætninger!$C$54,Forudsætninger!$E$54,Forudsætninger!$E$53+Forudsætninger!$F$54*(K215-Forudsætninger!$C$53)),Forudsætninger!$E$52+Forudsætninger!$F$53*(K215-Forudsætninger!$C$52)),Forudsætninger!$E$52)+IF(K215&gt;Forudsætninger!$C$54,Forudsætninger!$G$54,IF(K215&gt;Forudsætninger!$C$53,Forudsætninger!$G$53+Forudsætninger!$H$54*(K215-Forudsætninger!$C$53),IF(K215&gt;Forudsætninger!$C$52,Forudsætninger!$G$52+Forudsætninger!$H$53*(K215-Forudsætninger!$C$52),Forudsætninger!$G$52)))*(V215-Forudsætninger!$H$52)</f>
        <v>30.27039559843978</v>
      </c>
      <c r="AD215" s="19">
        <f t="shared" si="88"/>
        <v>5342.7813808992041</v>
      </c>
      <c r="AE215" s="19">
        <f t="shared" si="89"/>
        <v>30.27039559843978</v>
      </c>
      <c r="AF215">
        <f>IF(G215&lt;=Forudsætninger!$C$97,Forudsætninger!$C$98,(IF(G215&lt;=Forudsætninger!$D$97,Forudsætninger!$D$98,IF(G215&lt;=Forudsætninger!$E$97,Forudsætninger!$E$98,IF(G215&lt;=Forudsætninger!$F$97,Forudsætninger!$F$98,IF(G215&lt;=Forudsætninger!$G$97,Forudsætninger!$G$98,IF(G215&lt;=Forudsætninger!$H$97,Forudsætninger!$H$98,IF(G215&lt;=Forudsætninger!$I$97,Forudsætninger!$I$98,Forudsætninger!$I$98))))))))</f>
        <v>3.8</v>
      </c>
      <c r="AG215" s="1">
        <f t="shared" si="99"/>
        <v>4.4000000000000004</v>
      </c>
      <c r="AH215" s="1">
        <f t="shared" si="103"/>
        <v>596.79999999999814</v>
      </c>
      <c r="AI215" s="1">
        <f t="shared" si="90"/>
        <v>2.8018779342722917</v>
      </c>
      <c r="AJ215" s="20">
        <f>+(W215*Forudsætninger!$C$12)</f>
        <v>900</v>
      </c>
      <c r="AK215" s="20">
        <f>Forudsætninger!$C$17</f>
        <v>250</v>
      </c>
      <c r="AL215" s="20">
        <f>IF(A215&lt;92,Forudsætninger!$C$20,Forudsætninger!$C$21)</f>
        <v>1.0566762728146013</v>
      </c>
      <c r="AM215" s="20">
        <f t="shared" si="100"/>
        <v>493.57752896280209</v>
      </c>
      <c r="AN215" s="19">
        <f>IFERROR(AD215+AJ215-AA215-Z215-AK215-AM215-Forudsætninger!$E$75,-999999)</f>
        <v>483.23605718364786</v>
      </c>
      <c r="AO215" s="19">
        <f>IFERROR(AN215/(A215+Forudsætninger!$E$74),-999999)</f>
        <v>2.2687138834913045</v>
      </c>
      <c r="AP215" s="19">
        <f>IFERROR(((365/(A215+Forudsætninger!$E$74))*AN215)/(AI215+Forudsætninger!$E$73),-999999)</f>
        <v>284.38024744374184</v>
      </c>
      <c r="AQ215" s="18">
        <f t="shared" si="91"/>
        <v>213</v>
      </c>
      <c r="AR215" s="18">
        <f t="shared" si="104"/>
        <v>5568.3285623789398</v>
      </c>
      <c r="AS215" s="18">
        <f t="shared" si="83"/>
        <v>8.1999999999999993</v>
      </c>
      <c r="AT215" s="50">
        <f t="shared" si="105"/>
        <v>1.5677262471912172</v>
      </c>
      <c r="AU215" s="50">
        <f t="shared" si="106"/>
        <v>-3.3065454542455797E-3</v>
      </c>
      <c r="AV215" s="2">
        <f t="shared" si="107"/>
        <v>-1.1536653604665617</v>
      </c>
      <c r="AW215" s="16">
        <f t="shared" si="101"/>
        <v>4.5859792776828643</v>
      </c>
      <c r="AZ215" s="16"/>
      <c r="BA215" s="2"/>
    </row>
    <row r="216" spans="1:58" x14ac:dyDescent="0.25">
      <c r="A216">
        <v>214</v>
      </c>
      <c r="B216" s="1">
        <f>ROUND((A216+Forudsætninger!$E$60)/30.4,1)</f>
        <v>8.1999999999999993</v>
      </c>
      <c r="C216" s="1">
        <f>VLOOKUP((A216+Forudsætninger!$E$60),'Model tilvækst, slagteform, fe'!A:D,4,FALSE)</f>
        <v>363.95278874102155</v>
      </c>
      <c r="D216" s="3">
        <f t="shared" si="108"/>
        <v>1363.7041040006466</v>
      </c>
      <c r="E216" s="3">
        <f>(1+Forudsætninger!$E$78)*C216</f>
        <v>334.83656564173987</v>
      </c>
      <c r="F216" s="2">
        <f t="shared" si="92"/>
        <v>0</v>
      </c>
      <c r="G216" s="1">
        <f t="shared" si="84"/>
        <v>334.83656564173987</v>
      </c>
      <c r="H216" s="3">
        <f t="shared" si="93"/>
        <v>1254.6077756805971</v>
      </c>
      <c r="I216" s="3">
        <f t="shared" si="85"/>
        <v>1246.8998394473826</v>
      </c>
      <c r="J216" s="1">
        <f>VLOOKUP((A216+Forudsætninger!$E$60),'Model tilvækst, slagteform, fe'!G:K,4,FALSE)*(1+Forudsætninger!$E$79)</f>
        <v>52.926282533909529</v>
      </c>
      <c r="K216" s="17">
        <f t="shared" si="86"/>
        <v>177.2165467583867</v>
      </c>
      <c r="L216" s="17">
        <f t="shared" si="94"/>
        <v>714.67833964075567</v>
      </c>
      <c r="M216" s="3">
        <f>((K216-(('Model tilvækst, slagteform, fe'!$J$9/100)*'Model tilvækst, slagteform, fe'!$D$9))*1000/(A216+Forudsætninger!$E$60))</f>
        <v>627.9285544941738</v>
      </c>
      <c r="N216" s="17">
        <f t="shared" si="95"/>
        <v>1066.2031188447042</v>
      </c>
      <c r="O216" s="19">
        <f>IF( A216&lt;Forudsætninger!$C$14,(G216/100)*Forudsætninger!$C$13,(Forudsætninger!$C$15/1000)*Forudsætninger!$C$13)</f>
        <v>2.1764376766713092</v>
      </c>
      <c r="P216" s="17" cm="1">
        <f t="array" ref="P216">INDEX('Model tilvækst, slagteform, fe'!$P$9:$P$375,MATCH(MIN(ABS('Model tilvækst, slagteform, fe'!$M$9:$M$375-G216)),ABS('Model tilvækst, slagteform, fe'!$M$9:$M$375-G216),0))*(1+Forudsætninger!$E$80)</f>
        <v>7.3686362596150419</v>
      </c>
      <c r="Q216" s="17">
        <f t="shared" si="96"/>
        <v>10.310423376366776</v>
      </c>
      <c r="R216" s="17">
        <f t="shared" si="97"/>
        <v>7.3913626406595903</v>
      </c>
      <c r="S216" s="17">
        <f t="shared" si="98"/>
        <v>3.9957159405064822</v>
      </c>
      <c r="T216" s="19">
        <f>(P216)*IF(N216&lt;Forudsætninger!$B$228,IF(N216&lt;Forudsætninger!$B$227,Forudsætninger!$B$225,Forudsætninger!$C$9),Forudsætninger!$C$11)+O216</f>
        <v>19.419046524170508</v>
      </c>
      <c r="U216" s="5">
        <f>Forudsætninger!$E$68+((K216-(Forudsætninger!$E$84)))*0.01</f>
        <v>6.4887291771555358</v>
      </c>
      <c r="V216" s="2">
        <f>U216+Forudsætninger!$E$69</f>
        <v>6.4887291771555358</v>
      </c>
      <c r="W216">
        <f t="shared" si="87"/>
        <v>1</v>
      </c>
      <c r="X216">
        <f>IF(A216+Forudsætninger!$E$60&gt;248,IF(A216+Forudsætninger!$E$60&lt;365,IF(K216&gt;180,IF(K216&lt;260,1,0),0),0),0)</f>
        <v>0</v>
      </c>
      <c r="Y216" s="22">
        <f>IF(X216=0,0,IF('Vækstfunktion, kry kvie'!A216&lt;Forudsætninger!$E$66,Forudsætninger!$E$67+(('Vækstfunktion, kry kvie'!A216-Forudsætninger!$E$66)/7)*Forudsætninger!$E$64,Forudsætninger!$E$67))</f>
        <v>0</v>
      </c>
      <c r="Z216" s="19">
        <f t="shared" si="102"/>
        <v>3269.1700799403088</v>
      </c>
      <c r="AA216" s="19">
        <f>Forudsætninger!$E$62+Forudsætninger!$C$16</f>
        <v>1575</v>
      </c>
      <c r="AB216" s="19">
        <f>IF(K216&gt;Forudsætninger!$C$48,IF(K216&gt;Forudsætninger!$C$49,IF(K216&gt;Forudsætninger!$C$50,Forudsætninger!$E$50,Forudsætninger!$E$49+Forudsætninger!$F$50*(K216-Forudsætninger!$C$49)),Forudsætninger!$E$48+Forudsætninger!$F$49*(K216-Forudsætninger!$C$48)),Forudsætninger!$E$48)+IF(K216&gt;Forudsætninger!$C$50,Forudsætninger!$G$50,IF(K216&gt;Forudsætninger!$C$49,Forudsætninger!$G$49+Forudsætninger!$H$50*(K216-Forudsætninger!$C$49),IF(K216&gt;Forudsætninger!$C$48,Forudsætninger!$G$48+Forudsætninger!$H$49*(K216-Forudsætninger!$C$48),Forudsætninger!$G$48)))*(U216-Forudsætninger!$H$48)</f>
        <v>35.248872917715552</v>
      </c>
      <c r="AC216" s="19">
        <f>IF(K216&gt;Forudsætninger!$C$52,IF(K216&gt;Forudsætninger!$C$53,IF(K216&gt;Forudsætninger!$C$54,Forudsætninger!$E$54,Forudsætninger!$E$53+Forudsætninger!$F$54*(K216-Forudsætninger!$C$53)),Forudsætninger!$E$52+Forudsætninger!$F$53*(K216-Forudsætninger!$C$52)),Forudsætninger!$E$52)+IF(K216&gt;Forudsætninger!$C$54,Forudsætninger!$G$54,IF(K216&gt;Forudsætninger!$C$53,Forudsætninger!$G$53+Forudsætninger!$H$54*(K216-Forudsætninger!$C$53),IF(K216&gt;Forudsætninger!$C$52,Forudsætninger!$G$52+Forudsætninger!$H$53*(K216-Forudsætninger!$C$52),Forudsætninger!$G$52)))*(V216-Forudsætninger!$H$52)</f>
        <v>30.272182294288882</v>
      </c>
      <c r="AD216" s="19">
        <f t="shared" si="88"/>
        <v>5364.731609034252</v>
      </c>
      <c r="AE216" s="19">
        <f t="shared" si="89"/>
        <v>30.272182294288886</v>
      </c>
      <c r="AF216">
        <f>IF(G216&lt;=Forudsætninger!$C$97,Forudsætninger!$C$98,(IF(G216&lt;=Forudsætninger!$D$97,Forudsætninger!$D$98,IF(G216&lt;=Forudsætninger!$E$97,Forudsætninger!$E$98,IF(G216&lt;=Forudsætninger!$F$97,Forudsætninger!$F$98,IF(G216&lt;=Forudsætninger!$G$97,Forudsætninger!$G$98,IF(G216&lt;=Forudsætninger!$H$97,Forudsætninger!$H$98,IF(G216&lt;=Forudsætninger!$I$97,Forudsætninger!$I$98,Forudsætninger!$I$98))))))))</f>
        <v>3.8</v>
      </c>
      <c r="AG216" s="1">
        <f t="shared" si="99"/>
        <v>4.4000000000000004</v>
      </c>
      <c r="AH216" s="1">
        <f t="shared" si="103"/>
        <v>601.19999999999811</v>
      </c>
      <c r="AI216" s="1">
        <f t="shared" si="90"/>
        <v>2.8093457943925144</v>
      </c>
      <c r="AJ216" s="20">
        <f>+(W216*Forudsætninger!$C$12)</f>
        <v>900</v>
      </c>
      <c r="AK216" s="20">
        <f>Forudsætninger!$C$17</f>
        <v>250</v>
      </c>
      <c r="AL216" s="20">
        <f>IF(A216&lt;92,Forudsætninger!$C$20,Forudsætninger!$C$21)</f>
        <v>1.0566762728146013</v>
      </c>
      <c r="AM216" s="20">
        <f t="shared" si="100"/>
        <v>494.63420523561672</v>
      </c>
      <c r="AN216" s="19">
        <f>IFERROR(AD216+AJ216-AA216-Z216-AK216-AM216-Forudsætninger!$E$75,-999999)</f>
        <v>484.71056252171059</v>
      </c>
      <c r="AO216" s="19">
        <f>IFERROR(AN216/(A216+Forudsætninger!$E$74),-999999)</f>
        <v>2.2650026286061244</v>
      </c>
      <c r="AP216" s="19">
        <f>IFERROR(((365/(A216+Forudsætninger!$E$74))*AN216)/(AI216+Forudsætninger!$E$73),-999999)</f>
        <v>283.18877504309779</v>
      </c>
      <c r="AQ216" s="18">
        <f t="shared" si="91"/>
        <v>214</v>
      </c>
      <c r="AR216" s="18">
        <f t="shared" si="104"/>
        <v>5588.8042851759255</v>
      </c>
      <c r="AS216" s="18">
        <f t="shared" si="83"/>
        <v>8.1999999999999993</v>
      </c>
      <c r="AT216" s="50">
        <f t="shared" si="105"/>
        <v>1.4745053380627269</v>
      </c>
      <c r="AU216" s="50">
        <f t="shared" si="106"/>
        <v>-3.7112548851800931E-3</v>
      </c>
      <c r="AV216" s="2">
        <f t="shared" si="107"/>
        <v>-1.1914724006440451</v>
      </c>
      <c r="AW216" s="16">
        <f t="shared" si="101"/>
        <v>4.5763774194267635</v>
      </c>
      <c r="AZ216" s="16"/>
      <c r="BA216" s="2"/>
    </row>
    <row r="217" spans="1:58" x14ac:dyDescent="0.25">
      <c r="A217">
        <v>215</v>
      </c>
      <c r="B217" s="1">
        <f>ROUND((A217+Forudsætninger!$E$60)/30.4,1)</f>
        <v>8.3000000000000007</v>
      </c>
      <c r="C217" s="1">
        <f>VLOOKUP((A217+Forudsætninger!$E$60),'Model tilvækst, slagteform, fe'!A:D,4,FALSE)</f>
        <v>365.3121185885164</v>
      </c>
      <c r="D217" s="3">
        <f t="shared" si="108"/>
        <v>1359.3298474948483</v>
      </c>
      <c r="E217" s="3">
        <f>(1+Forudsætninger!$E$78)*C217</f>
        <v>336.0871491014351</v>
      </c>
      <c r="F217" s="2">
        <f t="shared" si="92"/>
        <v>0</v>
      </c>
      <c r="G217" s="1">
        <f t="shared" si="84"/>
        <v>336.0871491014351</v>
      </c>
      <c r="H217" s="3">
        <f t="shared" si="93"/>
        <v>1250.5834596952354</v>
      </c>
      <c r="I217" s="3">
        <f t="shared" si="85"/>
        <v>1246.9169725648144</v>
      </c>
      <c r="J217" s="1">
        <f>VLOOKUP((A217+Forudsætninger!$E$60),'Model tilvækst, slagteform, fe'!G:K,4,FALSE)*(1+Forudsætninger!$E$79)</f>
        <v>52.941267987282352</v>
      </c>
      <c r="K217" s="17">
        <f t="shared" si="86"/>
        <v>177.92879827660795</v>
      </c>
      <c r="L217" s="17">
        <f t="shared" si="94"/>
        <v>712.25151822125099</v>
      </c>
      <c r="M217" s="3">
        <f>((K217-(('Model tilvækst, slagteform, fe'!$J$9/100)*'Model tilvækst, slagteform, fe'!$D$9))*1000/(A217+Forudsætninger!$E$60))</f>
        <v>628.26450255683153</v>
      </c>
      <c r="N217" s="17">
        <f t="shared" si="95"/>
        <v>1073.5772455458107</v>
      </c>
      <c r="O217" s="19">
        <f>IF( A217&lt;Forudsætninger!$C$14,(G217/100)*Forudsætninger!$C$13,(Forudsætninger!$C$15/1000)*Forudsætninger!$C$13)</f>
        <v>2.1845664691593281</v>
      </c>
      <c r="P217" s="17" cm="1">
        <f t="array" ref="P217">INDEX('Model tilvækst, slagteform, fe'!$P$9:$P$375,MATCH(MIN(ABS('Model tilvækst, slagteform, fe'!$M$9:$M$375-G217)),ABS('Model tilvækst, slagteform, fe'!$M$9:$M$375-G217),0))*(1+Forudsætninger!$E$80)</f>
        <v>7.3741267011065341</v>
      </c>
      <c r="Q217" s="17">
        <f t="shared" si="96"/>
        <v>10.35326217278187</v>
      </c>
      <c r="R217" s="17">
        <f t="shared" si="97"/>
        <v>7.4059155278514286</v>
      </c>
      <c r="S217" s="17">
        <f t="shared" si="98"/>
        <v>4.0045830213950513</v>
      </c>
      <c r="T217" s="19">
        <f>(P217)*IF(N217&lt;Forudsætninger!$B$228,IF(N217&lt;Forudsætninger!$B$227,Forudsætninger!$B$225,Forudsætninger!$C$9),Forudsætninger!$C$11)+O217</f>
        <v>19.440022949748617</v>
      </c>
      <c r="U217" s="5">
        <f>Forudsætninger!$E$68+((K217-(Forudsætninger!$E$84)))*0.01</f>
        <v>6.495851692337749</v>
      </c>
      <c r="V217" s="2">
        <f>U217+Forudsætninger!$E$69</f>
        <v>6.495851692337749</v>
      </c>
      <c r="W217">
        <f t="shared" si="87"/>
        <v>1</v>
      </c>
      <c r="X217">
        <f>IF(A217+Forudsætninger!$E$60&gt;248,IF(A217+Forudsætninger!$E$60&lt;365,IF(K217&gt;180,IF(K217&lt;260,1,0),0),0),0)</f>
        <v>0</v>
      </c>
      <c r="Y217" s="22">
        <f>IF(X217=0,0,IF('Vækstfunktion, kry kvie'!A217&lt;Forudsætninger!$E$66,Forudsætninger!$E$67+(('Vækstfunktion, kry kvie'!A217-Forudsætninger!$E$66)/7)*Forudsætninger!$E$64,Forudsætninger!$E$67))</f>
        <v>0</v>
      </c>
      <c r="Z217" s="19">
        <f t="shared" si="102"/>
        <v>3288.6101028900575</v>
      </c>
      <c r="AA217" s="19">
        <f>Forudsætninger!$E$62+Forudsætninger!$C$16</f>
        <v>1575</v>
      </c>
      <c r="AB217" s="19">
        <f>IF(K217&gt;Forudsætninger!$C$48,IF(K217&gt;Forudsætninger!$C$49,IF(K217&gt;Forudsætninger!$C$50,Forudsætninger!$E$50,Forudsætninger!$E$49+Forudsætninger!$F$50*(K217-Forudsætninger!$C$49)),Forudsætninger!$E$48+Forudsætninger!$F$49*(K217-Forudsætninger!$C$48)),Forudsætninger!$E$48)+IF(K217&gt;Forudsætninger!$C$50,Forudsætninger!$G$50,IF(K217&gt;Forudsætninger!$C$49,Forudsætninger!$G$49+Forudsætninger!$H$50*(K217-Forudsætninger!$C$49),IF(K217&gt;Forudsætninger!$C$48,Forudsætninger!$G$48+Forudsætninger!$H$49*(K217-Forudsætninger!$C$48),Forudsætninger!$G$48)))*(U217-Forudsætninger!$H$48)</f>
        <v>35.249585169233775</v>
      </c>
      <c r="AC217" s="19">
        <f>IF(K217&gt;Forudsætninger!$C$52,IF(K217&gt;Forudsætninger!$C$53,IF(K217&gt;Forudsætninger!$C$54,Forudsætninger!$E$54,Forudsætninger!$E$53+Forudsætninger!$F$54*(K217-Forudsætninger!$C$53)),Forudsætninger!$E$52+Forudsætninger!$F$53*(K217-Forudsætninger!$C$52)),Forudsætninger!$E$52)+IF(K217&gt;Forudsætninger!$C$54,Forudsætninger!$G$54,IF(K217&gt;Forudsætninger!$C$53,Forudsætninger!$G$53+Forudsætninger!$H$54*(K217-Forudsætninger!$C$53),IF(K217&gt;Forudsætninger!$C$52,Forudsætninger!$G$52+Forudsætninger!$H$53*(K217-Forudsætninger!$C$52),Forudsætninger!$G$52)))*(V217-Forudsætninger!$H$52)</f>
        <v>30.273962923084436</v>
      </c>
      <c r="AD217" s="19">
        <f t="shared" si="88"/>
        <v>5386.6098419749987</v>
      </c>
      <c r="AE217" s="19">
        <f t="shared" si="89"/>
        <v>30.273962923084436</v>
      </c>
      <c r="AF217">
        <f>IF(G217&lt;=Forudsætninger!$C$97,Forudsætninger!$C$98,(IF(G217&lt;=Forudsætninger!$D$97,Forudsætninger!$D$98,IF(G217&lt;=Forudsætninger!$E$97,Forudsætninger!$E$98,IF(G217&lt;=Forudsætninger!$F$97,Forudsætninger!$F$98,IF(G217&lt;=Forudsætninger!$G$97,Forudsætninger!$G$98,IF(G217&lt;=Forudsætninger!$H$97,Forudsætninger!$H$98,IF(G217&lt;=Forudsætninger!$I$97,Forudsætninger!$I$98,Forudsætninger!$I$98))))))))</f>
        <v>3.8</v>
      </c>
      <c r="AG217" s="1">
        <f t="shared" si="99"/>
        <v>4.4000000000000004</v>
      </c>
      <c r="AH217" s="1">
        <f t="shared" si="103"/>
        <v>605.59999999999809</v>
      </c>
      <c r="AI217" s="1">
        <f t="shared" si="90"/>
        <v>2.8167441860465026</v>
      </c>
      <c r="AJ217" s="20">
        <f>+(W217*Forudsætninger!$C$12)</f>
        <v>900</v>
      </c>
      <c r="AK217" s="20">
        <f>Forudsætninger!$C$17</f>
        <v>250</v>
      </c>
      <c r="AL217" s="20">
        <f>IF(A217&lt;92,Forudsætninger!$C$20,Forudsætninger!$C$21)</f>
        <v>1.0566762728146013</v>
      </c>
      <c r="AM217" s="20">
        <f t="shared" si="100"/>
        <v>495.69088150843135</v>
      </c>
      <c r="AN217" s="19">
        <f>IFERROR(AD217+AJ217-AA217-Z217-AK217-AM217-Forudsætninger!$E$75,-999999)</f>
        <v>486.09209623989398</v>
      </c>
      <c r="AO217" s="19">
        <f>IFERROR(AN217/(A217+Forudsætninger!$E$74),-999999)</f>
        <v>2.2608934708832278</v>
      </c>
      <c r="AP217" s="19">
        <f>IFERROR(((365/(A217+Forudsætninger!$E$74))*AN217)/(AI217+Forudsætninger!$E$73),-999999)</f>
        <v>281.9604531228635</v>
      </c>
      <c r="AQ217" s="18">
        <f t="shared" si="91"/>
        <v>215</v>
      </c>
      <c r="AR217" s="18">
        <f t="shared" si="104"/>
        <v>5609.3009843984892</v>
      </c>
      <c r="AS217" s="18">
        <f t="shared" si="83"/>
        <v>8.3000000000000007</v>
      </c>
      <c r="AT217" s="50">
        <f t="shared" si="105"/>
        <v>1.3815337181833911</v>
      </c>
      <c r="AU217" s="50">
        <f t="shared" si="106"/>
        <v>-4.1091577228966614E-3</v>
      </c>
      <c r="AV217" s="2">
        <f t="shared" si="107"/>
        <v>-1.2283219202342934</v>
      </c>
      <c r="AW217" s="16">
        <f t="shared" si="101"/>
        <v>4.5664324546433734</v>
      </c>
      <c r="AZ217" s="16"/>
      <c r="BA217" s="2"/>
    </row>
    <row r="218" spans="1:58" x14ac:dyDescent="0.25">
      <c r="A218">
        <v>216</v>
      </c>
      <c r="B218" s="1">
        <f>ROUND((A218+Forudsætninger!$E$60)/30.4,1)</f>
        <v>8.3000000000000007</v>
      </c>
      <c r="C218" s="1">
        <f>VLOOKUP((A218+Forudsætninger!$E$60),'Model tilvækst, slagteform, fe'!A:D,4,FALSE)</f>
        <v>366.66705070466963</v>
      </c>
      <c r="D218" s="3">
        <f t="shared" si="108"/>
        <v>1354.9321161532362</v>
      </c>
      <c r="E218" s="3">
        <f>(1+Forudsætninger!$E$78)*C218</f>
        <v>337.33368664829607</v>
      </c>
      <c r="F218" s="2">
        <f t="shared" si="92"/>
        <v>0</v>
      </c>
      <c r="G218" s="1">
        <f t="shared" si="84"/>
        <v>337.33368664829607</v>
      </c>
      <c r="H218" s="3">
        <f t="shared" si="93"/>
        <v>1246.5375468609636</v>
      </c>
      <c r="I218" s="3">
        <f t="shared" si="85"/>
        <v>1246.9152159643336</v>
      </c>
      <c r="J218" s="1">
        <f>VLOOKUP((A218+Forudsætninger!$E$60),'Model tilvækst, slagteform, fe'!G:K,4,FALSE)*(1+Forudsætninger!$E$79)</f>
        <v>52.956055821875673</v>
      </c>
      <c r="K218" s="17">
        <f t="shared" si="86"/>
        <v>178.63861540746282</v>
      </c>
      <c r="L218" s="17">
        <f t="shared" si="94"/>
        <v>709.81713085487286</v>
      </c>
      <c r="M218" s="3">
        <f>((K218-(('Model tilvækst, slagteform, fe'!$J$9/100)*'Model tilvækst, slagteform, fe'!$D$9))*1000/(A218+Forudsætninger!$E$60))</f>
        <v>628.58812409769666</v>
      </c>
      <c r="N218" s="17">
        <f t="shared" si="95"/>
        <v>1080.9566553622315</v>
      </c>
      <c r="O218" s="19">
        <f>IF( A218&lt;Forudsætninger!$C$14,(G218/100)*Forudsætninger!$C$13,(Forudsætninger!$C$15/1000)*Forudsætninger!$C$13)</f>
        <v>2.1926689632139245</v>
      </c>
      <c r="P218" s="17" cm="1">
        <f t="array" ref="P218">INDEX('Model tilvækst, slagteform, fe'!$P$9:$P$375,MATCH(MIN(ABS('Model tilvækst, slagteform, fe'!$M$9:$M$375-G218)),ABS('Model tilvækst, slagteform, fe'!$M$9:$M$375-G218),0))*(1+Forudsætninger!$E$80)</f>
        <v>7.379409816420778</v>
      </c>
      <c r="Q218" s="17">
        <f t="shared" si="96"/>
        <v>10.396212623853327</v>
      </c>
      <c r="R218" s="17">
        <f t="shared" si="97"/>
        <v>7.4204863785430408</v>
      </c>
      <c r="S218" s="17">
        <f t="shared" si="98"/>
        <v>4.0134476634323759</v>
      </c>
      <c r="T218" s="19">
        <f>(P218)*IF(N218&lt;Forudsætninger!$B$228,IF(N218&lt;Forudsætninger!$B$227,Forudsætninger!$B$225,Forudsætninger!$C$9),Forudsætninger!$C$11)+O218</f>
        <v>19.460487933638547</v>
      </c>
      <c r="U218" s="5">
        <f>Forudsætninger!$E$68+((K218-(Forudsætninger!$E$84)))*0.01</f>
        <v>6.5029498636462977</v>
      </c>
      <c r="V218" s="2">
        <f>U218+Forudsætninger!$E$69</f>
        <v>6.5029498636462977</v>
      </c>
      <c r="W218">
        <f t="shared" si="87"/>
        <v>1</v>
      </c>
      <c r="X218">
        <f>IF(A218+Forudsætninger!$E$60&gt;248,IF(A218+Forudsætninger!$E$60&lt;365,IF(K218&gt;180,IF(K218&lt;260,1,0),0),0),0)</f>
        <v>0</v>
      </c>
      <c r="Y218" s="22">
        <f>IF(X218=0,0,IF('Vækstfunktion, kry kvie'!A218&lt;Forudsætninger!$E$66,Forudsætninger!$E$67+(('Vækstfunktion, kry kvie'!A218-Forudsætninger!$E$66)/7)*Forudsætninger!$E$64,Forudsætninger!$E$67))</f>
        <v>0</v>
      </c>
      <c r="Z218" s="19">
        <f t="shared" si="102"/>
        <v>3308.070590823696</v>
      </c>
      <c r="AA218" s="19">
        <f>Forudsætninger!$E$62+Forudsætninger!$C$16</f>
        <v>1575</v>
      </c>
      <c r="AB218" s="19">
        <f>IF(K218&gt;Forudsætninger!$C$48,IF(K218&gt;Forudsætninger!$C$49,IF(K218&gt;Forudsætninger!$C$50,Forudsætninger!$E$50,Forudsætninger!$E$49+Forudsætninger!$F$50*(K218-Forudsætninger!$C$49)),Forudsætninger!$E$48+Forudsætninger!$F$49*(K218-Forudsætninger!$C$48)),Forudsætninger!$E$48)+IF(K218&gt;Forudsætninger!$C$50,Forudsætninger!$G$50,IF(K218&gt;Forudsætninger!$C$49,Forudsætninger!$G$49+Forudsætninger!$H$50*(K218-Forudsætninger!$C$49),IF(K218&gt;Forudsætninger!$C$48,Forudsætninger!$G$48+Forudsætninger!$H$49*(K218-Forudsætninger!$C$48),Forudsætninger!$G$48)))*(U218-Forudsætninger!$H$48)</f>
        <v>35.250294986364629</v>
      </c>
      <c r="AC218" s="19">
        <f>IF(K218&gt;Forudsætninger!$C$52,IF(K218&gt;Forudsætninger!$C$53,IF(K218&gt;Forudsætninger!$C$54,Forudsætninger!$E$54,Forudsætninger!$E$53+Forudsætninger!$F$54*(K218-Forudsætninger!$C$53)),Forudsætninger!$E$52+Forudsætninger!$F$53*(K218-Forudsætninger!$C$52)),Forudsætninger!$E$52)+IF(K218&gt;Forudsætninger!$C$54,Forudsætninger!$G$54,IF(K218&gt;Forudsætninger!$C$53,Forudsætninger!$G$53+Forudsætninger!$H$54*(K218-Forudsætninger!$C$53),IF(K218&gt;Forudsætninger!$C$52,Forudsætninger!$G$52+Forudsætninger!$H$53*(K218-Forudsætninger!$C$52),Forudsætninger!$G$52)))*(V218-Forudsætninger!$H$52)</f>
        <v>30.275737465911572</v>
      </c>
      <c r="AD218" s="19">
        <f t="shared" si="88"/>
        <v>5408.4158213502906</v>
      </c>
      <c r="AE218" s="19">
        <f t="shared" si="89"/>
        <v>30.275737465911572</v>
      </c>
      <c r="AF218">
        <f>IF(G218&lt;=Forudsætninger!$C$97,Forudsætninger!$C$98,(IF(G218&lt;=Forudsætninger!$D$97,Forudsætninger!$D$98,IF(G218&lt;=Forudsætninger!$E$97,Forudsætninger!$E$98,IF(G218&lt;=Forudsætninger!$F$97,Forudsætninger!$F$98,IF(G218&lt;=Forudsætninger!$G$97,Forudsætninger!$G$98,IF(G218&lt;=Forudsætninger!$H$97,Forudsætninger!$H$98,IF(G218&lt;=Forudsætninger!$I$97,Forudsætninger!$I$98,Forudsætninger!$I$98))))))))</f>
        <v>3.8</v>
      </c>
      <c r="AG218" s="1">
        <f t="shared" si="99"/>
        <v>4.4000000000000004</v>
      </c>
      <c r="AH218" s="1">
        <f t="shared" si="103"/>
        <v>609.99999999999807</v>
      </c>
      <c r="AI218" s="1">
        <f t="shared" si="90"/>
        <v>2.8240740740740651</v>
      </c>
      <c r="AJ218" s="20">
        <f>+(W218*Forudsætninger!$C$12)</f>
        <v>900</v>
      </c>
      <c r="AK218" s="20">
        <f>Forudsætninger!$C$17</f>
        <v>250</v>
      </c>
      <c r="AL218" s="20">
        <f>IF(A218&lt;92,Forudsætninger!$C$20,Forudsætninger!$C$21)</f>
        <v>1.0566762728146013</v>
      </c>
      <c r="AM218" s="20">
        <f t="shared" si="100"/>
        <v>496.74755778124597</v>
      </c>
      <c r="AN218" s="19">
        <f>IFERROR(AD218+AJ218-AA218-Z218-AK218-AM218-Forudsætninger!$E$75,-999999)</f>
        <v>487.3809114087328</v>
      </c>
      <c r="AO218" s="19">
        <f>IFERROR(AN218/(A218+Forudsætninger!$E$74),-999999)</f>
        <v>2.2563931083737629</v>
      </c>
      <c r="AP218" s="19">
        <f>IFERROR(((365/(A218+Forudsætninger!$E$74))*AN218)/(AI218+Forudsætninger!$E$73),-999999)</f>
        <v>280.6962141255176</v>
      </c>
      <c r="AQ218" s="18">
        <f t="shared" si="91"/>
        <v>216</v>
      </c>
      <c r="AR218" s="18">
        <f t="shared" si="104"/>
        <v>5629.8181486049416</v>
      </c>
      <c r="AS218" s="18">
        <f t="shared" si="83"/>
        <v>8.3000000000000007</v>
      </c>
      <c r="AT218" s="50">
        <f t="shared" si="105"/>
        <v>1.2888151688388234</v>
      </c>
      <c r="AU218" s="50">
        <f t="shared" si="106"/>
        <v>-4.5003625094648392E-3</v>
      </c>
      <c r="AV218" s="2">
        <f t="shared" si="107"/>
        <v>-1.264238997345899</v>
      </c>
      <c r="AW218" s="16">
        <f t="shared" si="101"/>
        <v>4.5561503203239759</v>
      </c>
      <c r="AZ218" s="16"/>
      <c r="BA218" s="2"/>
    </row>
    <row r="219" spans="1:58" s="7" customFormat="1" x14ac:dyDescent="0.25">
      <c r="A219" s="7">
        <v>217</v>
      </c>
      <c r="B219" s="21">
        <f>ROUND((A219+Forudsætninger!$E$60)/30.4,1)</f>
        <v>8.3000000000000007</v>
      </c>
      <c r="C219" s="21">
        <f>VLOOKUP((A219+Forudsætninger!$E$60),'Model tilvækst, slagteform, fe'!A:D,4,FALSE)</f>
        <v>368.0175621996658</v>
      </c>
      <c r="D219" s="28">
        <f t="shared" si="108"/>
        <v>1350.5114949961694</v>
      </c>
      <c r="E219" s="28">
        <f>(1+Forudsætninger!$E$78)*C219</f>
        <v>338.57615722369258</v>
      </c>
      <c r="F219" s="30">
        <f t="shared" si="92"/>
        <v>0</v>
      </c>
      <c r="G219" s="21">
        <f t="shared" si="84"/>
        <v>338.57615722369258</v>
      </c>
      <c r="H219" s="28">
        <f t="shared" si="93"/>
        <v>1242.47057539651</v>
      </c>
      <c r="I219" s="28">
        <f t="shared" si="85"/>
        <v>1246.8947337497355</v>
      </c>
      <c r="J219" s="21">
        <f>VLOOKUP((A219+Forudsætninger!$E$60),'Model tilvækst, slagteform, fe'!G:K,4,FALSE)*(1+Forudsætninger!$E$79)</f>
        <v>52.970649963034184</v>
      </c>
      <c r="K219" s="29">
        <f t="shared" si="86"/>
        <v>179.3459911012545</v>
      </c>
      <c r="L219" s="29">
        <f t="shared" si="94"/>
        <v>707.37569379167553</v>
      </c>
      <c r="M219" s="28">
        <f>((K219-(('Model tilvækst, slagteform, fe'!$J$9/100)*'Model tilvækst, slagteform, fe'!$D$9))*1000/(A219+Forudsætninger!$E$60))</f>
        <v>628.89953741664522</v>
      </c>
      <c r="N219" s="29">
        <f t="shared" si="95"/>
        <v>1088.341146188114</v>
      </c>
      <c r="O219" s="30">
        <f>IF( A219&lt;Forudsætninger!$C$14,(G219/100)*Forudsætninger!$C$13,(Forudsætninger!$C$15/1000)*Forudsætninger!$C$13)</f>
        <v>2.2007450219540017</v>
      </c>
      <c r="P219" s="29" cm="1">
        <f t="array" ref="P219">INDEX('Model tilvækst, slagteform, fe'!$P$9:$P$375,MATCH(MIN(ABS('Model tilvækst, slagteform, fe'!$M$9:$M$375-G219)),ABS('Model tilvækst, slagteform, fe'!$M$9:$M$375-G219),0))*(1+Forudsætninger!$E$80)</f>
        <v>7.3844908258824713</v>
      </c>
      <c r="Q219" s="29">
        <f t="shared" si="96"/>
        <v>10.439277021663155</v>
      </c>
      <c r="R219" s="29">
        <f t="shared" si="97"/>
        <v>7.4350746357572293</v>
      </c>
      <c r="S219" s="29">
        <f t="shared" si="98"/>
        <v>4.0223098640888493</v>
      </c>
      <c r="T219" s="30">
        <f>(P219)*IF(N219&lt;Forudsætninger!$B$228,IF(N219&lt;Forudsætninger!$B$227,Forudsætninger!$B$225,Forudsætninger!$C$9),Forudsætninger!$C$11)+O219</f>
        <v>19.480453554518984</v>
      </c>
      <c r="U219" s="33">
        <f>Forudsætninger!$E$68+((K219-(Forudsætninger!$E$84)))*0.01</f>
        <v>6.5100236205842146</v>
      </c>
      <c r="V219" s="30">
        <f>U219+Forudsætninger!$E$69</f>
        <v>6.5100236205842146</v>
      </c>
      <c r="W219" s="7">
        <f t="shared" si="87"/>
        <v>1</v>
      </c>
      <c r="X219" s="7">
        <f>IF(A219+Forudsætninger!$E$60&gt;248,IF(A219+Forudsætninger!$E$60&lt;365,IF(K219&gt;180,IF(K219&lt;260,1,0),0),0),0)</f>
        <v>0</v>
      </c>
      <c r="Y219" s="31">
        <f>IF(X219=0,0,IF('Vækstfunktion, kry kvie'!A219&lt;Forudsætninger!$E$66,Forudsætninger!$E$67+(('Vækstfunktion, kry kvie'!A219-Forudsætninger!$E$66)/7)*Forudsætninger!$E$64,Forudsætninger!$E$67))</f>
        <v>0</v>
      </c>
      <c r="Z219" s="30">
        <f t="shared" si="102"/>
        <v>3327.551044378215</v>
      </c>
      <c r="AA219" s="30">
        <f>Forudsætninger!$E$62+Forudsætninger!$C$16</f>
        <v>1575</v>
      </c>
      <c r="AB219" s="30">
        <f>IF(K219&gt;Forudsætninger!$C$48,IF(K219&gt;Forudsætninger!$C$49,IF(K219&gt;Forudsætninger!$C$50,Forudsætninger!$E$50,Forudsætninger!$E$49+Forudsætninger!$F$50*(K219-Forudsætninger!$C$49)),Forudsætninger!$E$48+Forudsætninger!$F$49*(K219-Forudsætninger!$C$48)),Forudsætninger!$E$48)+IF(K219&gt;Forudsætninger!$C$50,Forudsætninger!$G$50,IF(K219&gt;Forudsætninger!$C$49,Forudsætninger!$G$49+Forudsætninger!$H$50*(K219-Forudsætninger!$C$49),IF(K219&gt;Forudsætninger!$C$48,Forudsætninger!$G$48+Forudsætninger!$H$49*(K219-Forudsætninger!$C$48),Forudsætninger!$G$48)))*(U219-Forudsætninger!$H$48)</f>
        <v>35.251002362058422</v>
      </c>
      <c r="AC219" s="30">
        <f>IF(K219&gt;Forudsætninger!$C$52,IF(K219&gt;Forudsætninger!$C$53,IF(K219&gt;Forudsætninger!$C$54,Forudsætninger!$E$54,Forudsætninger!$E$53+Forudsætninger!$F$54*(K219-Forudsætninger!$C$53)),Forudsætninger!$E$52+Forudsætninger!$F$53*(K219-Forudsætninger!$C$52)),Forudsætninger!$E$52)+IF(K219&gt;Forudsætninger!$C$54,Forudsætninger!$G$54,IF(K219&gt;Forudsætninger!$C$53,Forudsætninger!$G$53+Forudsætninger!$H$54*(K219-Forudsætninger!$C$53),IF(K219&gt;Forudsætninger!$C$52,Forudsætninger!$G$52+Forudsætninger!$H$53*(K219-Forudsætninger!$C$52),Forudsætninger!$G$52)))*(V219-Forudsætninger!$H$52)</f>
        <v>30.277505905146054</v>
      </c>
      <c r="AD219" s="30">
        <f t="shared" si="88"/>
        <v>5430.1493046325049</v>
      </c>
      <c r="AE219" s="30">
        <f t="shared" si="89"/>
        <v>30.277505905146054</v>
      </c>
      <c r="AF219" s="7">
        <f>IF(G219&lt;=Forudsætninger!$C$97,Forudsætninger!$C$98,(IF(G219&lt;=Forudsætninger!$D$97,Forudsætninger!$D$98,IF(G219&lt;=Forudsætninger!$E$97,Forudsætninger!$E$98,IF(G219&lt;=Forudsætninger!$F$97,Forudsætninger!$F$98,IF(G219&lt;=Forudsætninger!$G$97,Forudsætninger!$G$98,IF(G219&lt;=Forudsætninger!$H$97,Forudsætninger!$H$98,IF(G219&lt;=Forudsætninger!$I$97,Forudsætninger!$I$98,Forudsætninger!$I$98))))))))</f>
        <v>3.8</v>
      </c>
      <c r="AG219" s="21">
        <f t="shared" si="99"/>
        <v>4.4000000000000004</v>
      </c>
      <c r="AH219" s="21">
        <f t="shared" si="103"/>
        <v>614.39999999999804</v>
      </c>
      <c r="AI219" s="21">
        <f t="shared" si="90"/>
        <v>2.831336405529945</v>
      </c>
      <c r="AJ219" s="28">
        <f>+(W219*Forudsætninger!$C$12)</f>
        <v>900</v>
      </c>
      <c r="AK219" s="28">
        <f>Forudsætninger!$C$17</f>
        <v>250</v>
      </c>
      <c r="AL219" s="28">
        <f>IF(A219&lt;92,Forudsætninger!$C$20,Forudsætninger!$C$21)</f>
        <v>1.0566762728146013</v>
      </c>
      <c r="AM219" s="28">
        <f t="shared" si="100"/>
        <v>497.8042340540606</v>
      </c>
      <c r="AN219" s="30">
        <f>IFERROR(AD219+AJ219-AA219-Z219-AK219-AM219-Forudsætninger!$E$75,-999999)</f>
        <v>488.57726486361355</v>
      </c>
      <c r="AO219" s="30">
        <f>IFERROR(AN219/(A219+Forudsætninger!$E$74),-999999)</f>
        <v>2.2515081330120439</v>
      </c>
      <c r="AP219" s="30">
        <f>IFERROR(((365/(A219+Forudsætninger!$E$74))*AN219)/(AI219+Forudsætninger!$E$73),-999999)</f>
        <v>279.3969662920386</v>
      </c>
      <c r="AQ219" s="28">
        <f t="shared" si="91"/>
        <v>217</v>
      </c>
      <c r="AR219" s="28">
        <f t="shared" si="104"/>
        <v>5650.3552784322756</v>
      </c>
      <c r="AS219" s="28">
        <f t="shared" si="83"/>
        <v>8.3000000000000007</v>
      </c>
      <c r="AT219" s="30">
        <f t="shared" si="105"/>
        <v>1.1963534548807502</v>
      </c>
      <c r="AU219" s="30">
        <f t="shared" si="106"/>
        <v>-4.8849753617190572E-3</v>
      </c>
      <c r="AV219" s="30">
        <f t="shared" si="107"/>
        <v>-1.2992478334790007</v>
      </c>
      <c r="AW219" s="16">
        <f t="shared" si="101"/>
        <v>4.5455368613717706</v>
      </c>
      <c r="AX219" s="28"/>
      <c r="AZ219" s="32"/>
      <c r="BA219" s="30"/>
      <c r="BB219" s="28"/>
      <c r="BC219" s="33"/>
      <c r="BD219" s="30"/>
      <c r="BE219" s="30"/>
      <c r="BF219" s="30"/>
    </row>
    <row r="220" spans="1:58" x14ac:dyDescent="0.25">
      <c r="A220">
        <v>218</v>
      </c>
      <c r="B220" s="1">
        <f>ROUND((A220+Forudsætninger!$E$60)/30.4,1)</f>
        <v>8.4</v>
      </c>
      <c r="C220" s="1">
        <f>VLOOKUP((A220+Forudsætninger!$E$60),'Model tilvækst, slagteform, fe'!A:D,4,FALSE)</f>
        <v>369.36363076870975</v>
      </c>
      <c r="D220" s="3">
        <f t="shared" si="108"/>
        <v>1346.0685690439504</v>
      </c>
      <c r="E220" s="3">
        <f>(1+Forudsætninger!$E$78)*C220</f>
        <v>339.81454030721301</v>
      </c>
      <c r="F220" s="2">
        <f t="shared" si="92"/>
        <v>0</v>
      </c>
      <c r="G220" s="1">
        <f t="shared" si="84"/>
        <v>339.81454030721301</v>
      </c>
      <c r="H220" s="3">
        <f t="shared" si="93"/>
        <v>1238.3830835204321</v>
      </c>
      <c r="I220" s="3">
        <f t="shared" si="85"/>
        <v>1246.8556894826286</v>
      </c>
      <c r="J220" s="1">
        <f>VLOOKUP((A220+Forudsætninger!$E$60),'Model tilvækst, slagteform, fe'!G:K,4,FALSE)*(1+Forudsætninger!$E$79)</f>
        <v>52.9850543361026</v>
      </c>
      <c r="K220" s="17">
        <f t="shared" si="86"/>
        <v>180.05091882375407</v>
      </c>
      <c r="L220" s="17">
        <f t="shared" si="94"/>
        <v>704.92772249957625</v>
      </c>
      <c r="M220" s="3">
        <f>((K220-(('Model tilvækst, slagteform, fe'!$J$9/100)*'Model tilvækst, slagteform, fe'!$D$9))*1000/(A220+Forudsætninger!$E$60))</f>
        <v>629.1988609799638</v>
      </c>
      <c r="N220" s="17">
        <f t="shared" si="95"/>
        <v>1095.7305211379303</v>
      </c>
      <c r="O220" s="19">
        <f>IF( A220&lt;Forudsætninger!$C$14,(G220/100)*Forudsætninger!$C$13,(Forudsætninger!$C$15/1000)*Forudsætninger!$C$13)</f>
        <v>2.2087945119968846</v>
      </c>
      <c r="P220" s="17" cm="1">
        <f t="array" ref="P220">INDEX('Model tilvækst, slagteform, fe'!$P$9:$P$375,MATCH(MIN(ABS('Model tilvækst, slagteform, fe'!$M$9:$M$375-G220)),ABS('Model tilvækst, slagteform, fe'!$M$9:$M$375-G220),0))*(1+Forudsætninger!$E$80)</f>
        <v>7.3893749498163066</v>
      </c>
      <c r="Q220" s="17">
        <f t="shared" si="96"/>
        <v>10.482457582480377</v>
      </c>
      <c r="R220" s="17">
        <f t="shared" si="97"/>
        <v>7.4496797671628183</v>
      </c>
      <c r="S220" s="17">
        <f t="shared" si="98"/>
        <v>4.0311696346321373</v>
      </c>
      <c r="T220" s="19">
        <f>(P220)*IF(N220&lt;Forudsætninger!$B$228,IF(N220&lt;Forudsætninger!$B$227,Forudsætninger!$B$225,Forudsætninger!$C$9),Forudsætninger!$C$11)+O220</f>
        <v>19.499931894567041</v>
      </c>
      <c r="U220" s="5">
        <f>Forudsætninger!$E$68+((K220-(Forudsætninger!$E$84)))*0.01</f>
        <v>6.5170728978092098</v>
      </c>
      <c r="V220" s="2">
        <f>U220+Forudsætninger!$E$69</f>
        <v>6.5170728978092098</v>
      </c>
      <c r="W220">
        <f t="shared" si="87"/>
        <v>1</v>
      </c>
      <c r="X220">
        <f>IF(A220+Forudsætninger!$E$60&gt;248,IF(A220+Forudsætninger!$E$60&lt;365,IF(K220&gt;180,IF(K220&lt;260,1,0),0),0),0)</f>
        <v>1</v>
      </c>
      <c r="Y220" s="22">
        <f>IF(X220=0,0,IF('Vækstfunktion, kry kvie'!A220&lt;Forudsætninger!$E$66,Forudsætninger!$E$67+(('Vækstfunktion, kry kvie'!A220-Forudsætninger!$E$66)/7)*Forudsætninger!$E$64,Forudsætninger!$E$67))</f>
        <v>0.83085714285714274</v>
      </c>
      <c r="Z220" s="19">
        <f t="shared" si="102"/>
        <v>3347.050976272782</v>
      </c>
      <c r="AA220" s="19">
        <f>Forudsætninger!$E$62+Forudsætninger!$C$16</f>
        <v>1575</v>
      </c>
      <c r="AB220" s="19">
        <f>IF(K220&gt;Forudsætninger!$C$48,IF(K220&gt;Forudsætninger!$C$49,IF(K220&gt;Forudsætninger!$C$50,Forudsætninger!$E$50,Forudsætninger!$E$49+Forudsætninger!$F$50*(K220-Forudsætninger!$C$49)),Forudsætninger!$E$48+Forudsætninger!$F$49*(K220-Forudsætninger!$C$48)),Forudsætninger!$E$48)+IF(K220&gt;Forudsætninger!$C$50,Forudsætninger!$G$50,IF(K220&gt;Forudsætninger!$C$49,Forudsætninger!$G$49+Forudsætninger!$H$50*(K220-Forudsætninger!$C$49),IF(K220&gt;Forudsætninger!$C$48,Forudsætninger!$G$48+Forudsætninger!$H$49*(K220-Forudsætninger!$C$48),Forudsætninger!$G$48)))*(U220-Forudsætninger!$H$48)</f>
        <v>35.253574313318573</v>
      </c>
      <c r="AC220" s="19">
        <f>IF(K220&gt;Forudsætninger!$C$52,IF(K220&gt;Forudsætninger!$C$53,IF(K220&gt;Forudsætninger!$C$54,Forudsætninger!$E$54,Forudsætninger!$E$53+Forudsætninger!$F$54*(K220-Forudsætninger!$C$53)),Forudsætninger!$E$52+Forudsætninger!$F$53*(K220-Forudsætninger!$C$52)),Forudsætninger!$E$52)+IF(K220&gt;Forudsætninger!$C$54,Forudsætninger!$G$54,IF(K220&gt;Forudsætninger!$C$53,Forudsætninger!$G$53+Forudsætninger!$H$54*(K220-Forudsætninger!$C$53),IF(K220&gt;Forudsætninger!$C$52,Forudsætninger!$G$52+Forudsætninger!$H$53*(K220-Forudsætninger!$C$52),Forudsætninger!$G$52)))*(V220-Forudsætninger!$H$52)</f>
        <v>30.279268224452302</v>
      </c>
      <c r="AD220" s="19">
        <f t="shared" si="88"/>
        <v>6195.9493034967636</v>
      </c>
      <c r="AE220" s="19">
        <f t="shared" si="89"/>
        <v>34.412205969144622</v>
      </c>
      <c r="AF220">
        <f>IF(G220&lt;=Forudsætninger!$C$97,Forudsætninger!$C$98,(IF(G220&lt;=Forudsætninger!$D$97,Forudsætninger!$D$98,IF(G220&lt;=Forudsætninger!$E$97,Forudsætninger!$E$98,IF(G220&lt;=Forudsætninger!$F$97,Forudsætninger!$F$98,IF(G220&lt;=Forudsætninger!$G$97,Forudsætninger!$G$98,IF(G220&lt;=Forudsætninger!$H$97,Forudsætninger!$H$98,IF(G220&lt;=Forudsætninger!$I$97,Forudsætninger!$I$98,Forudsætninger!$I$98))))))))</f>
        <v>3.8</v>
      </c>
      <c r="AG220" s="1">
        <f t="shared" si="99"/>
        <v>4.4000000000000004</v>
      </c>
      <c r="AH220" s="1">
        <f t="shared" si="103"/>
        <v>618.79999999999802</v>
      </c>
      <c r="AI220" s="1">
        <f t="shared" si="90"/>
        <v>2.8385321100917342</v>
      </c>
      <c r="AJ220" s="20">
        <f>+(W220*Forudsætninger!$C$12)</f>
        <v>900</v>
      </c>
      <c r="AK220" s="20">
        <f>Forudsætninger!$C$17</f>
        <v>250</v>
      </c>
      <c r="AL220" s="20">
        <f>IF(A220&lt;92,Forudsætninger!$C$20,Forudsætninger!$C$21)</f>
        <v>1.0566762728146013</v>
      </c>
      <c r="AM220" s="20">
        <f t="shared" si="100"/>
        <v>498.86091032687523</v>
      </c>
      <c r="AN220" s="19">
        <f>IFERROR(AD220+AJ220-AA220-Z220-AK220-AM220-Forudsætninger!$E$75,-999999)</f>
        <v>1233.8206555604906</v>
      </c>
      <c r="AO220" s="19">
        <f>IFERROR(AN220/(A220+Forudsætninger!$E$74),-999999)</f>
        <v>5.6597277778004162</v>
      </c>
      <c r="AP220" s="19">
        <f>IFERROR(((365/(A220+Forudsætninger!$E$74))*AN220)/(AI220+Forudsætninger!$E$73),-999999)</f>
        <v>700.62002439338562</v>
      </c>
      <c r="AQ220" s="18">
        <f t="shared" si="91"/>
        <v>218</v>
      </c>
      <c r="AR220" s="18">
        <f t="shared" si="104"/>
        <v>5670.911886599657</v>
      </c>
      <c r="AS220" s="18">
        <f t="shared" si="83"/>
        <v>8.4</v>
      </c>
      <c r="AT220" s="50">
        <f t="shared" si="105"/>
        <v>745.2433906968771</v>
      </c>
      <c r="AU220" s="50">
        <f t="shared" si="106"/>
        <v>3.4082196447883724</v>
      </c>
      <c r="AV220" s="2">
        <f t="shared" si="107"/>
        <v>421.22305810134702</v>
      </c>
      <c r="AW220" s="16">
        <f t="shared" si="101"/>
        <v>7.9480805774649808</v>
      </c>
      <c r="AZ220" s="16"/>
      <c r="BA220" s="2"/>
    </row>
    <row r="221" spans="1:58" x14ac:dyDescent="0.25">
      <c r="A221">
        <v>219</v>
      </c>
      <c r="B221" s="1">
        <f>ROUND((A221+Forudsætninger!$E$60)/30.4,1)</f>
        <v>8.4</v>
      </c>
      <c r="C221" s="1">
        <f>VLOOKUP((A221+Forudsætninger!$E$60),'Model tilvækst, slagteform, fe'!A:D,4,FALSE)</f>
        <v>370.70523469202772</v>
      </c>
      <c r="D221" s="3">
        <f t="shared" si="108"/>
        <v>1341.6039233179617</v>
      </c>
      <c r="E221" s="3">
        <f>(1+Forudsætninger!$E$78)*C221</f>
        <v>341.04881591666549</v>
      </c>
      <c r="F221" s="2">
        <f t="shared" si="92"/>
        <v>0</v>
      </c>
      <c r="G221" s="1">
        <f t="shared" si="84"/>
        <v>341.04881591666549</v>
      </c>
      <c r="H221" s="3">
        <f t="shared" si="93"/>
        <v>1234.2756094524816</v>
      </c>
      <c r="I221" s="3">
        <f t="shared" si="85"/>
        <v>1246.7982461948195</v>
      </c>
      <c r="J221" s="1">
        <f>VLOOKUP((A221+Forudsætninger!$E$60),'Model tilvækst, slagteform, fe'!G:K,4,FALSE)*(1+Forudsætninger!$E$79)</f>
        <v>52.999272866425606</v>
      </c>
      <c r="K221" s="17">
        <f t="shared" si="86"/>
        <v>180.75339255538711</v>
      </c>
      <c r="L221" s="17">
        <f t="shared" si="94"/>
        <v>702.4737316330345</v>
      </c>
      <c r="M221" s="3">
        <f>((K221-(('Model tilvækst, slagteform, fe'!$J$9/100)*'Model tilvækst, slagteform, fe'!$D$9))*1000/(A221+Forudsætninger!$E$60))</f>
        <v>629.48621341389753</v>
      </c>
      <c r="N221" s="17">
        <f t="shared" si="95"/>
        <v>1103.1245885464773</v>
      </c>
      <c r="O221" s="19">
        <f>IF( A221&lt;Forudsætninger!$C$14,(G221/100)*Forudsætninger!$C$13,(Forudsætninger!$C$15/1000)*Forudsætninger!$C$13)</f>
        <v>2.2168173034583258</v>
      </c>
      <c r="P221" s="17" cm="1">
        <f t="array" ref="P221">INDEX('Model tilvækst, slagteform, fe'!$P$9:$P$375,MATCH(MIN(ABS('Model tilvækst, slagteform, fe'!$M$9:$M$375-G221)),ABS('Model tilvækst, slagteform, fe'!$M$9:$M$375-G221),0))*(1+Forudsætninger!$E$80)</f>
        <v>7.3940674085469809</v>
      </c>
      <c r="Q221" s="17">
        <f t="shared" si="96"/>
        <v>10.525756445522962</v>
      </c>
      <c r="R221" s="17">
        <f t="shared" si="97"/>
        <v>7.4643012641910218</v>
      </c>
      <c r="S221" s="17">
        <f t="shared" si="98"/>
        <v>4.0400269997257592</v>
      </c>
      <c r="T221" s="19">
        <f>(P221)*IF(N221&lt;Forudsætninger!$B$228,IF(N221&lt;Forudsætninger!$B$227,Forudsætninger!$B$225,Forudsætninger!$C$9),Forudsætninger!$C$11)+O221</f>
        <v>19.518935039458263</v>
      </c>
      <c r="U221" s="5">
        <f>Forudsætninger!$E$68+((K221-(Forudsætninger!$E$84)))*0.01</f>
        <v>6.52409763512554</v>
      </c>
      <c r="V221" s="2">
        <f>U221+Forudsætninger!$E$69</f>
        <v>6.52409763512554</v>
      </c>
      <c r="W221">
        <f t="shared" si="87"/>
        <v>1</v>
      </c>
      <c r="X221">
        <f>IF(A221+Forudsætninger!$E$60&gt;248,IF(A221+Forudsætninger!$E$60&lt;365,IF(K221&gt;180,IF(K221&lt;260,1,0),0),0),0)</f>
        <v>1</v>
      </c>
      <c r="Y221" s="22">
        <f>IF(X221=0,0,IF('Vækstfunktion, kry kvie'!A221&lt;Forudsætninger!$E$66,Forudsætninger!$E$67+(('Vækstfunktion, kry kvie'!A221-Forudsætninger!$E$66)/7)*Forudsætninger!$E$64,Forudsætninger!$E$67))</f>
        <v>0.83514285714285708</v>
      </c>
      <c r="Z221" s="19">
        <f t="shared" si="102"/>
        <v>3366.5699113122405</v>
      </c>
      <c r="AA221" s="19">
        <f>Forudsætninger!$E$62+Forudsætninger!$C$16</f>
        <v>1575</v>
      </c>
      <c r="AB221" s="19">
        <f>IF(K221&gt;Forudsætninger!$C$48,IF(K221&gt;Forudsætninger!$C$49,IF(K221&gt;Forudsætninger!$C$50,Forudsætninger!$E$50,Forudsætninger!$E$49+Forudsætninger!$F$50*(K221-Forudsætninger!$C$49)),Forudsætninger!$E$48+Forudsætninger!$F$49*(K221-Forudsætninger!$C$48)),Forudsætninger!$E$48)+IF(K221&gt;Forudsætninger!$C$50,Forudsætninger!$G$50,IF(K221&gt;Forudsætninger!$C$49,Forudsætninger!$G$49+Forudsætninger!$H$50*(K221-Forudsætninger!$C$49),IF(K221&gt;Forudsætninger!$C$48,Forudsætninger!$G$48+Forudsætninger!$H$49*(K221-Forudsætninger!$C$48),Forudsætninger!$G$48)))*(U221-Forudsætninger!$H$48)</f>
        <v>35.280034157210082</v>
      </c>
      <c r="AC221" s="19">
        <f>IF(K221&gt;Forudsætninger!$C$52,IF(K221&gt;Forudsætninger!$C$53,IF(K221&gt;Forudsætninger!$C$54,Forudsætninger!$E$54,Forudsætninger!$E$53+Forudsætninger!$F$54*(K221-Forudsætninger!$C$53)),Forudsætninger!$E$52+Forudsætninger!$F$53*(K221-Forudsætninger!$C$52)),Forudsætninger!$E$52)+IF(K221&gt;Forudsætninger!$C$54,Forudsætninger!$G$54,IF(K221&gt;Forudsætninger!$C$53,Forudsætninger!$G$53+Forudsætninger!$H$54*(K221-Forudsætninger!$C$53),IF(K221&gt;Forudsætninger!$C$52,Forudsætninger!$G$52+Forudsætninger!$H$53*(K221-Forudsætninger!$C$52),Forudsætninger!$G$52)))*(V221-Forudsætninger!$H$52)</f>
        <v>30.281024408781384</v>
      </c>
      <c r="AD221" s="19">
        <f t="shared" si="88"/>
        <v>6228.0229320930011</v>
      </c>
      <c r="AE221" s="19">
        <f t="shared" si="89"/>
        <v>34.455911692969124</v>
      </c>
      <c r="AF221">
        <f>IF(G221&lt;=Forudsætninger!$C$97,Forudsætninger!$C$98,(IF(G221&lt;=Forudsætninger!$D$97,Forudsætninger!$D$98,IF(G221&lt;=Forudsætninger!$E$97,Forudsætninger!$E$98,IF(G221&lt;=Forudsætninger!$F$97,Forudsætninger!$F$98,IF(G221&lt;=Forudsætninger!$G$97,Forudsætninger!$G$98,IF(G221&lt;=Forudsætninger!$H$97,Forudsætninger!$H$98,IF(G221&lt;=Forudsætninger!$I$97,Forudsætninger!$I$98,Forudsætninger!$I$98))))))))</f>
        <v>3.8</v>
      </c>
      <c r="AG221" s="1">
        <f t="shared" si="99"/>
        <v>4.4000000000000004</v>
      </c>
      <c r="AH221" s="1">
        <f t="shared" si="103"/>
        <v>623.199999999998</v>
      </c>
      <c r="AI221" s="1">
        <f t="shared" si="90"/>
        <v>2.8456621004566118</v>
      </c>
      <c r="AJ221" s="20">
        <f>+(W221*Forudsætninger!$C$12)</f>
        <v>900</v>
      </c>
      <c r="AK221" s="20">
        <f>Forudsætninger!$C$17</f>
        <v>250</v>
      </c>
      <c r="AL221" s="20">
        <f>IF(A221&lt;92,Forudsætninger!$C$20,Forudsætninger!$C$21)</f>
        <v>1.0566762728146013</v>
      </c>
      <c r="AM221" s="20">
        <f t="shared" si="100"/>
        <v>499.91758659968986</v>
      </c>
      <c r="AN221" s="19">
        <f>IFERROR(AD221+AJ221-AA221-Z221-AK221-AM221-Forudsætninger!$E$75,-999999)</f>
        <v>1245.318672844455</v>
      </c>
      <c r="AO221" s="19">
        <f>IFERROR(AN221/(A221+Forudsætninger!$E$74),-999999)</f>
        <v>5.686386633992945</v>
      </c>
      <c r="AP221" s="19">
        <f>IFERROR(((365/(A221+Forudsætninger!$E$74))*AN221)/(AI221+Forudsætninger!$E$73),-999999)</f>
        <v>702.22205748308716</v>
      </c>
      <c r="AQ221" s="18">
        <f t="shared" si="91"/>
        <v>219</v>
      </c>
      <c r="AR221" s="18">
        <f t="shared" si="104"/>
        <v>5691.4874979119304</v>
      </c>
      <c r="AS221" s="18">
        <f t="shared" si="83"/>
        <v>8.4</v>
      </c>
      <c r="AT221" s="50">
        <f t="shared" si="105"/>
        <v>11.498017283964373</v>
      </c>
      <c r="AU221" s="50">
        <f t="shared" si="106"/>
        <v>2.6658856192528724E-2</v>
      </c>
      <c r="AV221" s="2">
        <f t="shared" si="107"/>
        <v>1.6020330897015356</v>
      </c>
      <c r="AW221" s="16">
        <f t="shared" si="101"/>
        <v>7.969115339927602</v>
      </c>
      <c r="AZ221" s="16"/>
      <c r="BA221" s="2"/>
    </row>
    <row r="222" spans="1:58" x14ac:dyDescent="0.25">
      <c r="A222">
        <v>220</v>
      </c>
      <c r="B222" s="1">
        <f>ROUND((A222+Forudsætninger!$E$60)/30.4,1)</f>
        <v>8.4</v>
      </c>
      <c r="C222" s="1">
        <f>VLOOKUP((A222+Forudsætninger!$E$60),'Model tilvækst, slagteform, fe'!A:D,4,FALSE)</f>
        <v>372.04235283486537</v>
      </c>
      <c r="D222" s="3">
        <f t="shared" si="108"/>
        <v>1337.1181428376531</v>
      </c>
      <c r="E222" s="3">
        <f>(1+Forudsætninger!$E$78)*C222</f>
        <v>342.27896460807614</v>
      </c>
      <c r="F222" s="2">
        <f t="shared" si="92"/>
        <v>0</v>
      </c>
      <c r="G222" s="1">
        <f t="shared" si="84"/>
        <v>342.27896460807614</v>
      </c>
      <c r="H222" s="3">
        <f t="shared" si="93"/>
        <v>1230.1486914106476</v>
      </c>
      <c r="I222" s="3">
        <f t="shared" si="85"/>
        <v>1246.7225664003461</v>
      </c>
      <c r="J222" s="1">
        <f>VLOOKUP((A222+Forudsætninger!$E$60),'Model tilvækst, slagteform, fe'!G:K,4,FALSE)*(1+Forudsætninger!$E$79)</f>
        <v>53.013309479347896</v>
      </c>
      <c r="K222" s="17">
        <f t="shared" si="86"/>
        <v>181.45340679038705</v>
      </c>
      <c r="L222" s="17">
        <f t="shared" si="94"/>
        <v>700.01423499994075</v>
      </c>
      <c r="M222" s="3">
        <f>((K222-(('Model tilvækst, slagteform, fe'!$J$9/100)*'Model tilvækst, slagteform, fe'!$D$9))*1000/(A222+Forudsætninger!$E$60))</f>
        <v>629.761713498218</v>
      </c>
      <c r="N222" s="17">
        <f t="shared" si="95"/>
        <v>1110.5231619688766</v>
      </c>
      <c r="O222" s="19">
        <f>IF( A222&lt;Forudsætninger!$C$14,(G222/100)*Forudsætninger!$C$13,(Forudsætninger!$C$15/1000)*Forudsætninger!$C$13)</f>
        <v>2.2248132699524947</v>
      </c>
      <c r="P222" s="17" cm="1">
        <f t="array" ref="P222">INDEX('Model tilvækst, slagteform, fe'!$P$9:$P$375,MATCH(MIN(ABS('Model tilvækst, slagteform, fe'!$M$9:$M$375-G222)),ABS('Model tilvækst, slagteform, fe'!$M$9:$M$375-G222),0))*(1+Forudsætninger!$E$80)</f>
        <v>7.3985734223991866</v>
      </c>
      <c r="Q222" s="17">
        <f t="shared" si="96"/>
        <v>10.569175671691609</v>
      </c>
      <c r="R222" s="17">
        <f t="shared" si="97"/>
        <v>7.4789386411837375</v>
      </c>
      <c r="S222" s="17">
        <f t="shared" si="98"/>
        <v>4.0488819970416987</v>
      </c>
      <c r="T222" s="19">
        <f>(P222)*IF(N222&lt;Forudsætninger!$B$228,IF(N222&lt;Forudsætninger!$B$227,Forudsætninger!$B$225,Forudsætninger!$C$9),Forudsætninger!$C$11)+O222</f>
        <v>19.53747507836659</v>
      </c>
      <c r="U222" s="5">
        <f>Forudsætninger!$E$68+((K222-(Forudsætninger!$E$84)))*0.01</f>
        <v>6.5310977774755399</v>
      </c>
      <c r="V222" s="2">
        <f>U222+Forudsætninger!$E$69</f>
        <v>6.5310977774755399</v>
      </c>
      <c r="W222">
        <f t="shared" si="87"/>
        <v>1</v>
      </c>
      <c r="X222">
        <f>IF(A222+Forudsætninger!$E$60&gt;248,IF(A222+Forudsætninger!$E$60&lt;365,IF(K222&gt;180,IF(K222&lt;260,1,0),0),0),0)</f>
        <v>1</v>
      </c>
      <c r="Y222" s="22">
        <f>IF(X222=0,0,IF('Vækstfunktion, kry kvie'!A222&lt;Forudsætninger!$E$66,Forudsætninger!$E$67+(('Vækstfunktion, kry kvie'!A222-Forudsætninger!$E$66)/7)*Forudsætninger!$E$64,Forudsætninger!$E$67))</f>
        <v>0.83942857142857141</v>
      </c>
      <c r="Z222" s="19">
        <f t="shared" si="102"/>
        <v>3386.1073863906072</v>
      </c>
      <c r="AA222" s="19">
        <f>Forudsætninger!$E$62+Forudsætninger!$C$16</f>
        <v>1575</v>
      </c>
      <c r="AB222" s="19">
        <f>IF(K222&gt;Forudsætninger!$C$48,IF(K222&gt;Forudsætninger!$C$49,IF(K222&gt;Forudsætninger!$C$50,Forudsætninger!$E$50,Forudsætninger!$E$49+Forudsætninger!$F$50*(K222-Forudsætninger!$C$49)),Forudsætninger!$E$48+Forudsætninger!$F$49*(K222-Forudsætninger!$C$48)),Forudsætninger!$E$48)+IF(K222&gt;Forudsætninger!$C$50,Forudsætninger!$G$50,IF(K222&gt;Forudsætninger!$C$49,Forudsætninger!$G$49+Forudsætninger!$H$50*(K222-Forudsætninger!$C$49),IF(K222&gt;Forudsætninger!$C$48,Forudsætninger!$G$48+Forudsætninger!$H$49*(K222-Forudsætninger!$C$48),Forudsætninger!$G$48)))*(U222-Forudsætninger!$H$48)</f>
        <v>35.306401360061749</v>
      </c>
      <c r="AC222" s="19">
        <f>IF(K222&gt;Forudsætninger!$C$52,IF(K222&gt;Forudsætninger!$C$53,IF(K222&gt;Forudsætninger!$C$54,Forudsætninger!$E$54,Forudsætninger!$E$53+Forudsætninger!$F$54*(K222-Forudsætninger!$C$53)),Forudsætninger!$E$52+Forudsætninger!$F$53*(K222-Forudsætninger!$C$52)),Forudsætninger!$E$52)+IF(K222&gt;Forudsætninger!$C$54,Forudsætninger!$G$54,IF(K222&gt;Forudsætninger!$C$53,Forudsætninger!$G$53+Forudsætninger!$H$54*(K222-Forudsætninger!$C$53),IF(K222&gt;Forudsætninger!$C$52,Forudsætninger!$G$52+Forudsætninger!$H$53*(K222-Forudsætninger!$C$52),Forudsætninger!$G$52)))*(V222-Forudsætninger!$H$52)</f>
        <v>30.282774444368883</v>
      </c>
      <c r="AD222" s="19">
        <f t="shared" si="88"/>
        <v>6260.0972452398019</v>
      </c>
      <c r="AE222" s="19">
        <f t="shared" si="89"/>
        <v>34.499750409599066</v>
      </c>
      <c r="AF222">
        <f>IF(G222&lt;=Forudsætninger!$C$97,Forudsætninger!$C$98,(IF(G222&lt;=Forudsætninger!$D$97,Forudsætninger!$D$98,IF(G222&lt;=Forudsætninger!$E$97,Forudsætninger!$E$98,IF(G222&lt;=Forudsætninger!$F$97,Forudsætninger!$F$98,IF(G222&lt;=Forudsætninger!$G$97,Forudsætninger!$G$98,IF(G222&lt;=Forudsætninger!$H$97,Forudsætninger!$H$98,IF(G222&lt;=Forudsætninger!$I$97,Forudsætninger!$I$98,Forudsætninger!$I$98))))))))</f>
        <v>3.8</v>
      </c>
      <c r="AG222" s="1">
        <f t="shared" si="99"/>
        <v>4.4000000000000004</v>
      </c>
      <c r="AH222" s="1">
        <f t="shared" si="103"/>
        <v>627.59999999999798</v>
      </c>
      <c r="AI222" s="1">
        <f t="shared" si="90"/>
        <v>2.8527272727272637</v>
      </c>
      <c r="AJ222" s="20">
        <f>+(W222*Forudsætninger!$C$12)</f>
        <v>900</v>
      </c>
      <c r="AK222" s="20">
        <f>Forudsætninger!$C$17</f>
        <v>250</v>
      </c>
      <c r="AL222" s="20">
        <f>IF(A222&lt;92,Forudsætninger!$C$20,Forudsætninger!$C$21)</f>
        <v>1.0566762728146013</v>
      </c>
      <c r="AM222" s="20">
        <f t="shared" si="100"/>
        <v>500.97426287250448</v>
      </c>
      <c r="AN222" s="19">
        <f>IFERROR(AD222+AJ222-AA222-Z222-AK222-AM222-Forudsætninger!$E$75,-999999)</f>
        <v>1256.7988346400746</v>
      </c>
      <c r="AO222" s="19">
        <f>IFERROR(AN222/(A222+Forudsætninger!$E$74),-999999)</f>
        <v>5.7127219756367023</v>
      </c>
      <c r="AP222" s="19">
        <f>IFERROR(((365/(A222+Forudsætninger!$E$74))*AN222)/(AI222+Forudsætninger!$E$73),-999999)</f>
        <v>703.79192182207532</v>
      </c>
      <c r="AQ222" s="18">
        <f t="shared" si="91"/>
        <v>220</v>
      </c>
      <c r="AR222" s="18">
        <f t="shared" si="104"/>
        <v>5712.081649263112</v>
      </c>
      <c r="AS222" s="18">
        <f t="shared" si="83"/>
        <v>8.4</v>
      </c>
      <c r="AT222" s="50">
        <f t="shared" si="105"/>
        <v>11.480161795619551</v>
      </c>
      <c r="AU222" s="50">
        <f t="shared" si="106"/>
        <v>2.6335341643757282E-2</v>
      </c>
      <c r="AV222" s="2">
        <f t="shared" si="107"/>
        <v>1.5698643389881681</v>
      </c>
      <c r="AW222" s="16">
        <f t="shared" si="101"/>
        <v>7.9898777159662693</v>
      </c>
      <c r="AZ222" s="16"/>
      <c r="BA222" s="2"/>
    </row>
    <row r="223" spans="1:58" x14ac:dyDescent="0.25">
      <c r="A223">
        <v>221</v>
      </c>
      <c r="B223" s="1">
        <f>ROUND((A223+Forudsætninger!$E$60)/30.4,1)</f>
        <v>8.5</v>
      </c>
      <c r="C223" s="1">
        <f>VLOOKUP((A223+Forudsætninger!$E$60),'Model tilvækst, slagteform, fe'!A:D,4,FALSE)</f>
        <v>373.37496464749006</v>
      </c>
      <c r="D223" s="3">
        <f t="shared" si="108"/>
        <v>1332.6118126246911</v>
      </c>
      <c r="E223" s="3">
        <f>(1+Forudsætninger!$E$78)*C223</f>
        <v>343.50496747569088</v>
      </c>
      <c r="F223" s="2">
        <f t="shared" si="92"/>
        <v>0</v>
      </c>
      <c r="G223" s="1">
        <f t="shared" si="84"/>
        <v>343.50496747569088</v>
      </c>
      <c r="H223" s="3">
        <f t="shared" si="93"/>
        <v>1226.0028676147385</v>
      </c>
      <c r="I223" s="3">
        <f t="shared" si="85"/>
        <v>1246.6288121071987</v>
      </c>
      <c r="J223" s="1">
        <f>VLOOKUP((A223+Forudsætninger!$E$60),'Model tilvækst, slagteform, fe'!G:K,4,FALSE)*(1+Forudsætninger!$E$79)</f>
        <v>53.027168100214176</v>
      </c>
      <c r="K223" s="17">
        <f t="shared" si="86"/>
        <v>182.15095653592061</v>
      </c>
      <c r="L223" s="17">
        <f t="shared" si="94"/>
        <v>697.54974553356419</v>
      </c>
      <c r="M223" s="3">
        <f>((K223-(('Model tilvækst, slagteform, fe'!$J$9/100)*'Model tilvækst, slagteform, fe'!$D$9))*1000/(A223+Forudsætninger!$E$60))</f>
        <v>630.02548015983416</v>
      </c>
      <c r="N223" s="17">
        <f t="shared" si="95"/>
        <v>1117.9260601805743</v>
      </c>
      <c r="O223" s="19">
        <f>IF( A223&lt;Forudsætninger!$C$14,(G223/100)*Forudsætninger!$C$13,(Forudsætninger!$C$15/1000)*Forudsætninger!$C$13)</f>
        <v>2.232782288591991</v>
      </c>
      <c r="P223" s="17" cm="1">
        <f t="array" ref="P223">INDEX('Model tilvækst, slagteform, fe'!$P$9:$P$375,MATCH(MIN(ABS('Model tilvækst, slagteform, fe'!$M$9:$M$375-G223)),ABS('Model tilvækst, slagteform, fe'!$M$9:$M$375-G223),0))*(1+Forudsætninger!$E$80)</f>
        <v>7.4028982116976181</v>
      </c>
      <c r="Q223" s="17">
        <f t="shared" si="96"/>
        <v>10.612717242173249</v>
      </c>
      <c r="R223" s="17">
        <f t="shared" si="97"/>
        <v>7.4935914345722621</v>
      </c>
      <c r="S223" s="17">
        <f t="shared" si="98"/>
        <v>4.0577346768864135</v>
      </c>
      <c r="T223" s="19">
        <f>(P223)*IF(N223&lt;Forudsætninger!$B$228,IF(N223&lt;Forudsætninger!$B$227,Forudsætninger!$B$225,Forudsætninger!$C$9),Forudsætninger!$C$11)+O223</f>
        <v>19.555564103964418</v>
      </c>
      <c r="U223" s="5">
        <f>Forudsætninger!$E$68+((K223-(Forudsætninger!$E$84)))*0.01</f>
        <v>6.5380732749308752</v>
      </c>
      <c r="V223" s="2">
        <f>U223+Forudsætninger!$E$69</f>
        <v>6.5380732749308752</v>
      </c>
      <c r="W223">
        <f t="shared" si="87"/>
        <v>1</v>
      </c>
      <c r="X223">
        <f>IF(A223+Forudsætninger!$E$60&gt;248,IF(A223+Forudsætninger!$E$60&lt;365,IF(K223&gt;180,IF(K223&lt;260,1,0),0),0),0)</f>
        <v>1</v>
      </c>
      <c r="Y223" s="22">
        <f>IF(X223=0,0,IF('Vækstfunktion, kry kvie'!A223&lt;Forudsætninger!$E$66,Forudsætninger!$E$67+(('Vækstfunktion, kry kvie'!A223-Forudsætninger!$E$66)/7)*Forudsætninger!$E$64,Forudsætninger!$E$67))</f>
        <v>0.84371428571428564</v>
      </c>
      <c r="Z223" s="19">
        <f t="shared" si="102"/>
        <v>3405.6629504945718</v>
      </c>
      <c r="AA223" s="19">
        <f>Forudsætninger!$E$62+Forudsætninger!$C$16</f>
        <v>1575</v>
      </c>
      <c r="AB223" s="19">
        <f>IF(K223&gt;Forudsætninger!$C$48,IF(K223&gt;Forudsætninger!$C$49,IF(K223&gt;Forudsætninger!$C$50,Forudsætninger!$E$50,Forudsætninger!$E$49+Forudsætninger!$F$50*(K223-Forudsætninger!$C$49)),Forudsætninger!$E$48+Forudsætninger!$F$49*(K223-Forudsætninger!$C$48)),Forudsætninger!$E$48)+IF(K223&gt;Forudsætninger!$C$50,Forudsætninger!$G$50,IF(K223&gt;Forudsætninger!$C$49,Forudsætninger!$G$49+Forudsætninger!$H$50*(K223-Forudsætninger!$C$49),IF(K223&gt;Forudsætninger!$C$48,Forudsætninger!$G$48+Forudsætninger!$H$49*(K223-Forudsætninger!$C$48),Forudsætninger!$G$48)))*(U223-Forudsætninger!$H$48)</f>
        <v>35.332675733810177</v>
      </c>
      <c r="AC223" s="19">
        <f>IF(K223&gt;Forudsætninger!$C$52,IF(K223&gt;Forudsætninger!$C$53,IF(K223&gt;Forudsætninger!$C$54,Forudsætninger!$E$54,Forudsætninger!$E$53+Forudsætninger!$F$54*(K223-Forudsætninger!$C$53)),Forudsætninger!$E$52+Forudsætninger!$F$53*(K223-Forudsætninger!$C$52)),Forudsætninger!$E$52)+IF(K223&gt;Forudsætninger!$C$54,Forudsætninger!$G$54,IF(K223&gt;Forudsætninger!$C$53,Forudsætninger!$G$53+Forudsætninger!$H$54*(K223-Forudsætninger!$C$53),IF(K223&gt;Forudsætninger!$C$52,Forudsætninger!$G$52+Forudsætninger!$H$53*(K223-Forudsætninger!$C$52),Forudsætninger!$G$52)))*(V223-Forudsætninger!$H$52)</f>
        <v>30.284518318732719</v>
      </c>
      <c r="AD223" s="19">
        <f t="shared" si="88"/>
        <v>6292.1717944757656</v>
      </c>
      <c r="AE223" s="19">
        <f t="shared" si="89"/>
        <v>34.543720846368075</v>
      </c>
      <c r="AF223">
        <f>IF(G223&lt;=Forudsætninger!$C$97,Forudsætninger!$C$98,(IF(G223&lt;=Forudsætninger!$D$97,Forudsætninger!$D$98,IF(G223&lt;=Forudsætninger!$E$97,Forudsætninger!$E$98,IF(G223&lt;=Forudsætninger!$F$97,Forudsætninger!$F$98,IF(G223&lt;=Forudsætninger!$G$97,Forudsætninger!$G$98,IF(G223&lt;=Forudsætninger!$H$97,Forudsætninger!$H$98,IF(G223&lt;=Forudsætninger!$I$97,Forudsætninger!$I$98,Forudsætninger!$I$98))))))))</f>
        <v>3.8</v>
      </c>
      <c r="AG223" s="1">
        <f t="shared" si="99"/>
        <v>4.4000000000000004</v>
      </c>
      <c r="AH223" s="1">
        <f t="shared" si="103"/>
        <v>631.99999999999795</v>
      </c>
      <c r="AI223" s="1">
        <f t="shared" si="90"/>
        <v>2.859728506787321</v>
      </c>
      <c r="AJ223" s="20">
        <f>+(W223*Forudsætninger!$C$12)</f>
        <v>900</v>
      </c>
      <c r="AK223" s="20">
        <f>Forudsætninger!$C$17</f>
        <v>250</v>
      </c>
      <c r="AL223" s="20">
        <f>IF(A223&lt;92,Forudsætninger!$C$20,Forudsætninger!$C$21)</f>
        <v>1.0566762728146013</v>
      </c>
      <c r="AM223" s="20">
        <f t="shared" si="100"/>
        <v>502.03093914531911</v>
      </c>
      <c r="AN223" s="19">
        <f>IFERROR(AD223+AJ223-AA223-Z223-AK223-AM223-Forudsætninger!$E$75,-999999)</f>
        <v>1268.2611434992591</v>
      </c>
      <c r="AO223" s="19">
        <f>IFERROR(AN223/(A223+Forudsætninger!$E$74),-999999)</f>
        <v>5.7387382058790006</v>
      </c>
      <c r="AP223" s="19">
        <f>IFERROR(((365/(A223+Forudsætninger!$E$74))*AN223)/(AI223+Forudsætninger!$E$73),-999999)</f>
        <v>705.33028199666467</v>
      </c>
      <c r="AQ223" s="18">
        <f t="shared" si="91"/>
        <v>221</v>
      </c>
      <c r="AR223" s="18">
        <f t="shared" si="104"/>
        <v>5732.6938896398915</v>
      </c>
      <c r="AS223" s="18">
        <f t="shared" si="83"/>
        <v>8.5</v>
      </c>
      <c r="AT223" s="50">
        <f t="shared" si="105"/>
        <v>11.462308859184532</v>
      </c>
      <c r="AU223" s="50">
        <f t="shared" si="106"/>
        <v>2.6016230242298377E-2</v>
      </c>
      <c r="AV223" s="2">
        <f t="shared" si="107"/>
        <v>1.5383601745893429</v>
      </c>
      <c r="AW223" s="16">
        <f t="shared" si="101"/>
        <v>8.0103714146813498</v>
      </c>
      <c r="AZ223" s="16"/>
      <c r="BA223" s="2"/>
    </row>
    <row r="224" spans="1:58" x14ac:dyDescent="0.25">
      <c r="A224">
        <v>222</v>
      </c>
      <c r="B224" s="1">
        <f>ROUND((A224+Forudsætninger!$E$60)/30.4,1)</f>
        <v>8.5</v>
      </c>
      <c r="C224" s="1">
        <f>VLOOKUP((A224+Forudsætninger!$E$60),'Model tilvækst, slagteform, fe'!A:D,4,FALSE)</f>
        <v>374.70305016518927</v>
      </c>
      <c r="D224" s="3">
        <f t="shared" si="108"/>
        <v>1328.0855176992077</v>
      </c>
      <c r="E224" s="3">
        <f>(1+Forudsætninger!$E$78)*C224</f>
        <v>344.72680615197413</v>
      </c>
      <c r="F224" s="2">
        <f t="shared" si="92"/>
        <v>0</v>
      </c>
      <c r="G224" s="1">
        <f t="shared" si="84"/>
        <v>344.72680615197413</v>
      </c>
      <c r="H224" s="3">
        <f t="shared" si="93"/>
        <v>1221.8386762832552</v>
      </c>
      <c r="I224" s="3">
        <f t="shared" si="85"/>
        <v>1246.5171448287124</v>
      </c>
      <c r="J224" s="1">
        <f>VLOOKUP((A224+Forudsætninger!$E$60),'Model tilvækst, slagteform, fe'!G:K,4,FALSE)*(1+Forudsætninger!$E$79)</f>
        <v>53.040852654369139</v>
      </c>
      <c r="K224" s="17">
        <f t="shared" si="86"/>
        <v>182.84603731118133</v>
      </c>
      <c r="L224" s="17">
        <f t="shared" si="94"/>
        <v>695.08077526072043</v>
      </c>
      <c r="M224" s="3">
        <f>((K224-(('Model tilvækst, slagteform, fe'!$J$9/100)*'Model tilvækst, slagteform, fe'!$D$9))*1000/(A224+Forudsætninger!$E$60))</f>
        <v>630.27763246642667</v>
      </c>
      <c r="N224" s="17">
        <f t="shared" si="95"/>
        <v>1125.3331071773412</v>
      </c>
      <c r="O224" s="19">
        <f>IF( A224&lt;Forudsætninger!$C$14,(G224/100)*Forudsætninger!$C$13,(Forudsætninger!$C$15/1000)*Forudsætninger!$C$13)</f>
        <v>2.240724239987832</v>
      </c>
      <c r="P224" s="17" cm="1">
        <f t="array" ref="P224">INDEX('Model tilvækst, slagteform, fe'!$P$9:$P$375,MATCH(MIN(ABS('Model tilvækst, slagteform, fe'!$M$9:$M$375-G224)),ABS('Model tilvækst, slagteform, fe'!$M$9:$M$375-G224),0))*(1+Forudsætninger!$E$80)</f>
        <v>7.4070469967669732</v>
      </c>
      <c r="Q224" s="17">
        <f t="shared" si="96"/>
        <v>10.656383057046336</v>
      </c>
      <c r="R224" s="17">
        <f t="shared" si="97"/>
        <v>7.5082592020854682</v>
      </c>
      <c r="S224" s="17">
        <f t="shared" si="98"/>
        <v>4.0665851018398467</v>
      </c>
      <c r="T224" s="19">
        <f>(P224)*IF(N224&lt;Forudsætninger!$B$228,IF(N224&lt;Forudsætninger!$B$227,Forudsætninger!$B$225,Forudsætninger!$C$9),Forudsætninger!$C$11)+O224</f>
        <v>19.573214212422545</v>
      </c>
      <c r="U224" s="5">
        <f>Forudsætninger!$E$68+((K224-(Forudsætninger!$E$84)))*0.01</f>
        <v>6.5450240826834829</v>
      </c>
      <c r="V224" s="2">
        <f>U224+Forudsætninger!$E$69</f>
        <v>6.5450240826834829</v>
      </c>
      <c r="W224">
        <f t="shared" si="87"/>
        <v>1</v>
      </c>
      <c r="X224">
        <f>IF(A224+Forudsætninger!$E$60&gt;248,IF(A224+Forudsætninger!$E$60&lt;365,IF(K224&gt;180,IF(K224&lt;260,1,0),0),0),0)</f>
        <v>1</v>
      </c>
      <c r="Y224" s="22">
        <f>IF(X224=0,0,IF('Vækstfunktion, kry kvie'!A224&lt;Forudsætninger!$E$66,Forudsætninger!$E$67+(('Vækstfunktion, kry kvie'!A224-Forudsætninger!$E$66)/7)*Forudsætninger!$E$64,Forudsætninger!$E$67))</f>
        <v>0.84799999999999998</v>
      </c>
      <c r="Z224" s="19">
        <f t="shared" si="102"/>
        <v>3425.2361647069943</v>
      </c>
      <c r="AA224" s="19">
        <f>Forudsætninger!$E$62+Forudsætninger!$C$16</f>
        <v>1575</v>
      </c>
      <c r="AB224" s="19">
        <f>IF(K224&gt;Forudsætninger!$C$48,IF(K224&gt;Forudsætninger!$C$49,IF(K224&gt;Forudsætninger!$C$50,Forudsætninger!$E$50,Forudsætninger!$E$49+Forudsætninger!$F$50*(K224-Forudsætninger!$C$49)),Forudsætninger!$E$48+Forudsætninger!$F$49*(K224-Forudsætninger!$C$48)),Forudsætninger!$E$48)+IF(K224&gt;Forudsætninger!$C$50,Forudsætninger!$G$50,IF(K224&gt;Forudsætninger!$C$49,Forudsætninger!$G$49+Forudsætninger!$H$50*(K224-Forudsætninger!$C$49),IF(K224&gt;Forudsætninger!$C$48,Forudsætninger!$G$48+Forudsætninger!$H$49*(K224-Forudsætninger!$C$48),Forudsætninger!$G$48)))*(U224-Forudsætninger!$H$48)</f>
        <v>35.358857109678333</v>
      </c>
      <c r="AC224" s="19">
        <f>IF(K224&gt;Forudsætninger!$C$52,IF(K224&gt;Forudsætninger!$C$53,IF(K224&gt;Forudsætninger!$C$54,Forudsætninger!$E$54,Forudsætninger!$E$53+Forudsætninger!$F$54*(K224-Forudsætninger!$C$53)),Forudsætninger!$E$52+Forudsætninger!$F$53*(K224-Forudsætninger!$C$52)),Forudsætninger!$E$52)+IF(K224&gt;Forudsætninger!$C$54,Forudsætninger!$G$54,IF(K224&gt;Forudsætninger!$C$53,Forudsætninger!$G$53+Forudsætninger!$H$54*(K224-Forudsætninger!$C$53),IF(K224&gt;Forudsætninger!$C$52,Forudsætninger!$G$52+Forudsætninger!$H$53*(K224-Forudsætninger!$C$52),Forudsætninger!$G$52)))*(V224-Forudsætninger!$H$52)</f>
        <v>30.286256020670869</v>
      </c>
      <c r="AD224" s="19">
        <f t="shared" si="88"/>
        <v>6324.2461451431927</v>
      </c>
      <c r="AE224" s="19">
        <f t="shared" si="89"/>
        <v>34.587821744149196</v>
      </c>
      <c r="AF224">
        <f>IF(G224&lt;=Forudsætninger!$C$97,Forudsætninger!$C$98,(IF(G224&lt;=Forudsætninger!$D$97,Forudsætninger!$D$98,IF(G224&lt;=Forudsætninger!$E$97,Forudsætninger!$E$98,IF(G224&lt;=Forudsætninger!$F$97,Forudsætninger!$F$98,IF(G224&lt;=Forudsætninger!$G$97,Forudsætninger!$G$98,IF(G224&lt;=Forudsætninger!$H$97,Forudsætninger!$H$98,IF(G224&lt;=Forudsætninger!$I$97,Forudsætninger!$I$98,Forudsætninger!$I$98))))))))</f>
        <v>3.8</v>
      </c>
      <c r="AG224" s="1">
        <f t="shared" si="99"/>
        <v>4.4000000000000004</v>
      </c>
      <c r="AH224" s="1">
        <f t="shared" si="103"/>
        <v>636.39999999999793</v>
      </c>
      <c r="AI224" s="1">
        <f t="shared" si="90"/>
        <v>2.8666666666666574</v>
      </c>
      <c r="AJ224" s="20">
        <f>+(W224*Forudsætninger!$C$12)</f>
        <v>900</v>
      </c>
      <c r="AK224" s="20">
        <f>Forudsætninger!$C$17</f>
        <v>250</v>
      </c>
      <c r="AL224" s="20">
        <f>IF(A224&lt;92,Forudsætninger!$C$20,Forudsætninger!$C$21)</f>
        <v>1.0566762728146013</v>
      </c>
      <c r="AM224" s="20">
        <f t="shared" si="100"/>
        <v>503.08761541813374</v>
      </c>
      <c r="AN224" s="19">
        <f>IFERROR(AD224+AJ224-AA224-Z224-AK224-AM224-Forudsætninger!$E$75,-999999)</f>
        <v>1279.705603681449</v>
      </c>
      <c r="AO224" s="19">
        <f>IFERROR(AN224/(A224+Forudsætninger!$E$74),-999999)</f>
        <v>5.7644396562227431</v>
      </c>
      <c r="AP224" s="19">
        <f>IFERROR(((365/(A224+Forudsætninger!$E$74))*AN224)/(AI224+Forudsætninger!$E$73),-999999)</f>
        <v>706.83778539349657</v>
      </c>
      <c r="AQ224" s="18">
        <f t="shared" si="91"/>
        <v>222</v>
      </c>
      <c r="AR224" s="18">
        <f t="shared" si="104"/>
        <v>5753.3237801251271</v>
      </c>
      <c r="AS224" s="18">
        <f t="shared" si="83"/>
        <v>8.5</v>
      </c>
      <c r="AT224" s="50">
        <f t="shared" si="105"/>
        <v>11.444460182189914</v>
      </c>
      <c r="AU224" s="50">
        <f t="shared" si="106"/>
        <v>2.5701450343742493E-2</v>
      </c>
      <c r="AV224" s="2">
        <f t="shared" si="107"/>
        <v>1.5075033968319076</v>
      </c>
      <c r="AW224" s="16">
        <f t="shared" si="101"/>
        <v>8.0306000860341573</v>
      </c>
      <c r="AZ224" s="16"/>
      <c r="BA224" s="2"/>
    </row>
    <row r="225" spans="1:58" x14ac:dyDescent="0.25">
      <c r="A225">
        <v>223</v>
      </c>
      <c r="B225" s="1">
        <f>ROUND((A225+Forudsætninger!$E$60)/30.4,1)</f>
        <v>8.5</v>
      </c>
      <c r="C225" s="1">
        <f>VLOOKUP((A225+Forudsætninger!$E$60),'Model tilvækst, slagteform, fe'!A:D,4,FALSE)</f>
        <v>376.02659000827111</v>
      </c>
      <c r="D225" s="3">
        <f t="shared" si="108"/>
        <v>1323.5398430818464</v>
      </c>
      <c r="E225" s="3">
        <f>(1+Forudsætninger!$E$78)*C225</f>
        <v>345.94446280760945</v>
      </c>
      <c r="F225" s="2">
        <f t="shared" si="92"/>
        <v>0</v>
      </c>
      <c r="G225" s="1">
        <f t="shared" si="84"/>
        <v>345.94446280760945</v>
      </c>
      <c r="H225" s="3">
        <f t="shared" si="93"/>
        <v>1217.6566556353237</v>
      </c>
      <c r="I225" s="3">
        <f t="shared" si="85"/>
        <v>1246.3877255946613</v>
      </c>
      <c r="J225" s="1">
        <f>VLOOKUP((A225+Forudsætninger!$E$60),'Model tilvækst, slagteform, fe'!G:K,4,FALSE)*(1+Forudsætninger!$E$79)</f>
        <v>53.054367067157486</v>
      </c>
      <c r="K225" s="17">
        <f t="shared" si="86"/>
        <v>183.53864514645522</v>
      </c>
      <c r="L225" s="17">
        <f t="shared" si="94"/>
        <v>692.6078352738898</v>
      </c>
      <c r="M225" s="3">
        <f>((K225-(('Model tilvækst, slagteform, fe'!$J$9/100)*'Model tilvækst, slagteform, fe'!$D$9))*1000/(A225+Forudsætninger!$E$60))</f>
        <v>630.51828962012348</v>
      </c>
      <c r="N225" s="17">
        <f t="shared" si="95"/>
        <v>1132.7441321752731</v>
      </c>
      <c r="O225" s="19">
        <f>IF( A225&lt;Forudsætninger!$C$14,(G225/100)*Forudsætninger!$C$13,(Forudsætninger!$C$15/1000)*Forudsætninger!$C$13)</f>
        <v>2.2486390082494614</v>
      </c>
      <c r="P225" s="17" cm="1">
        <f t="array" ref="P225">INDEX('Model tilvækst, slagteform, fe'!$P$9:$P$375,MATCH(MIN(ABS('Model tilvækst, slagteform, fe'!$M$9:$M$375-G225)),ABS('Model tilvækst, slagteform, fe'!$M$9:$M$375-G225),0))*(1+Forudsætninger!$E$80)</f>
        <v>7.4110249979319445</v>
      </c>
      <c r="Q225" s="17">
        <f t="shared" si="96"/>
        <v>10.700174933772264</v>
      </c>
      <c r="R225" s="17">
        <f t="shared" si="97"/>
        <v>7.5229415219861053</v>
      </c>
      <c r="S225" s="17">
        <f t="shared" si="98"/>
        <v>4.0754333464068608</v>
      </c>
      <c r="T225" s="19">
        <f>(P225)*IF(N225&lt;Forudsætninger!$B$228,IF(N225&lt;Forudsætninger!$B$227,Forudsætninger!$B$225,Forudsætninger!$C$9),Forudsætninger!$C$11)+O225</f>
        <v>19.590437503410211</v>
      </c>
      <c r="U225" s="5">
        <f>Forudsætninger!$E$68+((K225-(Forudsætninger!$E$84)))*0.01</f>
        <v>6.5519501610362214</v>
      </c>
      <c r="V225" s="2">
        <f>U225+Forudsætninger!$E$69</f>
        <v>6.5519501610362214</v>
      </c>
      <c r="W225">
        <f t="shared" si="87"/>
        <v>1</v>
      </c>
      <c r="X225">
        <f>IF(A225+Forudsætninger!$E$60&gt;248,IF(A225+Forudsætninger!$E$60&lt;365,IF(K225&gt;180,IF(K225&lt;260,1,0),0),0),0)</f>
        <v>1</v>
      </c>
      <c r="Y225" s="22">
        <f>IF(X225=0,0,IF('Vækstfunktion, kry kvie'!A225&lt;Forudsætninger!$E$66,Forudsætninger!$E$67+(('Vækstfunktion, kry kvie'!A225-Forudsætninger!$E$66)/7)*Forudsætninger!$E$64,Forudsætninger!$E$67))</f>
        <v>0.8522857142857142</v>
      </c>
      <c r="Z225" s="19">
        <f t="shared" si="102"/>
        <v>3444.8266022104044</v>
      </c>
      <c r="AA225" s="19">
        <f>Forudsætninger!$E$62+Forudsætninger!$C$16</f>
        <v>1575</v>
      </c>
      <c r="AB225" s="19">
        <f>IF(K225&gt;Forudsætninger!$C$48,IF(K225&gt;Forudsætninger!$C$49,IF(K225&gt;Forudsætninger!$C$50,Forudsætninger!$E$50,Forudsætninger!$E$49+Forudsætninger!$F$50*(K225-Forudsætninger!$C$49)),Forudsætninger!$E$48+Forudsætninger!$F$49*(K225-Forudsætninger!$C$48)),Forudsætninger!$E$48)+IF(K225&gt;Forudsætninger!$C$50,Forudsætninger!$G$50,IF(K225&gt;Forudsætninger!$C$49,Forudsætninger!$G$49+Forudsætninger!$H$50*(K225-Forudsætninger!$C$49),IF(K225&gt;Forudsætninger!$C$48,Forudsætninger!$G$48+Forudsætninger!$H$49*(K225-Forudsætninger!$C$48),Forudsætninger!$G$48)))*(U225-Forudsætninger!$H$48)</f>
        <v>35.384945338140312</v>
      </c>
      <c r="AC225" s="19">
        <f>IF(K225&gt;Forudsætninger!$C$52,IF(K225&gt;Forudsætninger!$C$53,IF(K225&gt;Forudsætninger!$C$54,Forudsætninger!$E$54,Forudsætninger!$E$53+Forudsætninger!$F$54*(K225-Forudsætninger!$C$53)),Forudsætninger!$E$52+Forudsætninger!$F$53*(K225-Forudsætninger!$C$52)),Forudsætninger!$E$52)+IF(K225&gt;Forudsætninger!$C$54,Forudsætninger!$G$54,IF(K225&gt;Forudsætninger!$C$53,Forudsætninger!$G$53+Forudsætninger!$H$54*(K225-Forudsætninger!$C$53),IF(K225&gt;Forudsætninger!$C$52,Forudsætninger!$G$52+Forudsætninger!$H$53*(K225-Forudsætninger!$C$52),Forudsætninger!$G$52)))*(V225-Forudsætninger!$H$52)</f>
        <v>30.287987540259053</v>
      </c>
      <c r="AD225" s="19">
        <f t="shared" si="88"/>
        <v>6356.3198766059486</v>
      </c>
      <c r="AE225" s="19">
        <f t="shared" si="89"/>
        <v>34.632051857710422</v>
      </c>
      <c r="AF225">
        <f>IF(G225&lt;=Forudsætninger!$C$97,Forudsætninger!$C$98,(IF(G225&lt;=Forudsætninger!$D$97,Forudsætninger!$D$98,IF(G225&lt;=Forudsætninger!$E$97,Forudsætninger!$E$98,IF(G225&lt;=Forudsætninger!$F$97,Forudsætninger!$F$98,IF(G225&lt;=Forudsætninger!$G$97,Forudsætninger!$G$98,IF(G225&lt;=Forudsætninger!$H$97,Forudsætninger!$H$98,IF(G225&lt;=Forudsætninger!$I$97,Forudsætninger!$I$98,Forudsætninger!$I$98))))))))</f>
        <v>3.8</v>
      </c>
      <c r="AG225" s="1">
        <f t="shared" si="99"/>
        <v>4.4000000000000004</v>
      </c>
      <c r="AH225" s="1">
        <f t="shared" si="103"/>
        <v>640.79999999999791</v>
      </c>
      <c r="AI225" s="1">
        <f t="shared" si="90"/>
        <v>2.8735426008968514</v>
      </c>
      <c r="AJ225" s="20">
        <f>+(W225*Forudsætninger!$C$12)</f>
        <v>900</v>
      </c>
      <c r="AK225" s="20">
        <f>Forudsætninger!$C$17</f>
        <v>250</v>
      </c>
      <c r="AL225" s="20">
        <f>IF(A225&lt;92,Forudsætninger!$C$20,Forudsætninger!$C$21)</f>
        <v>1.0566762728146013</v>
      </c>
      <c r="AM225" s="20">
        <f t="shared" si="100"/>
        <v>504.14429169094836</v>
      </c>
      <c r="AN225" s="19">
        <f>IFERROR(AD225+AJ225-AA225-Z225-AK225-AM225-Forudsætninger!$E$75,-999999)</f>
        <v>1291.13222136798</v>
      </c>
      <c r="AO225" s="19">
        <f>IFERROR(AN225/(A225+Forudsætninger!$E$74),-999999)</f>
        <v>5.7898305890940813</v>
      </c>
      <c r="AP225" s="19">
        <f>IFERROR(((365/(A225+Forudsætninger!$E$74))*AN225)/(AI225+Forudsætninger!$E$73),-999999)</f>
        <v>708.31506290008599</v>
      </c>
      <c r="AQ225" s="18">
        <f t="shared" si="91"/>
        <v>223</v>
      </c>
      <c r="AR225" s="18">
        <f t="shared" si="104"/>
        <v>5773.9708939013526</v>
      </c>
      <c r="AS225" s="18">
        <f t="shared" si="83"/>
        <v>8.5</v>
      </c>
      <c r="AT225" s="50">
        <f t="shared" si="105"/>
        <v>11.426617686531017</v>
      </c>
      <c r="AU225" s="50">
        <f t="shared" si="106"/>
        <v>2.5390932871338201E-2</v>
      </c>
      <c r="AV225" s="2">
        <f t="shared" si="107"/>
        <v>1.4772775065894166</v>
      </c>
      <c r="AW225" s="16">
        <f t="shared" si="101"/>
        <v>8.0505673231342083</v>
      </c>
      <c r="AZ225" s="16"/>
      <c r="BA225" s="2"/>
    </row>
    <row r="226" spans="1:58" x14ac:dyDescent="0.25">
      <c r="A226">
        <v>224</v>
      </c>
      <c r="B226" s="1">
        <f>ROUND((A226+Forudsætninger!$E$60)/30.4,1)</f>
        <v>8.6</v>
      </c>
      <c r="C226" s="1">
        <f>VLOOKUP((A226+Forudsætninger!$E$60),'Model tilvækst, slagteform, fe'!A:D,4,FALSE)</f>
        <v>377.34556538206436</v>
      </c>
      <c r="D226" s="3">
        <f t="shared" si="108"/>
        <v>1318.9753737932506</v>
      </c>
      <c r="E226" s="3">
        <f>(1+Forudsætninger!$E$78)*C226</f>
        <v>347.15792015149924</v>
      </c>
      <c r="F226" s="2">
        <f t="shared" si="92"/>
        <v>0</v>
      </c>
      <c r="G226" s="1">
        <f t="shared" si="84"/>
        <v>347.15792015149924</v>
      </c>
      <c r="H226" s="3">
        <f t="shared" si="93"/>
        <v>1213.457343889786</v>
      </c>
      <c r="I226" s="3">
        <f t="shared" si="85"/>
        <v>1246.2407149620501</v>
      </c>
      <c r="J226" s="1">
        <f>VLOOKUP((A226+Forudsætninger!$E$60),'Model tilvækst, slagteform, fe'!G:K,4,FALSE)*(1+Forudsætninger!$E$79)</f>
        <v>53.067715263923922</v>
      </c>
      <c r="K226" s="17">
        <f t="shared" si="86"/>
        <v>184.22877658215799</v>
      </c>
      <c r="L226" s="17">
        <f t="shared" si="94"/>
        <v>690.13143570276725</v>
      </c>
      <c r="M226" s="3">
        <f>((K226-(('Model tilvækst, slagteform, fe'!$J$9/100)*'Model tilvækst, slagteform, fe'!$D$9))*1000/(A226+Forudsætninger!$E$60))</f>
        <v>630.74757095121061</v>
      </c>
      <c r="N226" s="17">
        <f t="shared" si="95"/>
        <v>1140.1589696107903</v>
      </c>
      <c r="O226" s="19">
        <f>IF( A226&lt;Forudsætninger!$C$14,(G226/100)*Forudsætninger!$C$13,(Forudsætninger!$C$15/1000)*Forudsætninger!$C$13)</f>
        <v>2.256526480984745</v>
      </c>
      <c r="P226" s="17" cm="1">
        <f t="array" ref="P226">INDEX('Model tilvækst, slagteform, fe'!$P$9:$P$375,MATCH(MIN(ABS('Model tilvækst, slagteform, fe'!$M$9:$M$375-G226)),ABS('Model tilvækst, slagteform, fe'!$M$9:$M$375-G226),0))*(1+Forudsætninger!$E$80)</f>
        <v>7.4148374355172271</v>
      </c>
      <c r="Q226" s="17">
        <f t="shared" si="96"/>
        <v>10.744094605640779</v>
      </c>
      <c r="R226" s="17">
        <f t="shared" si="97"/>
        <v>7.5376379923341776</v>
      </c>
      <c r="S226" s="17">
        <f t="shared" si="98"/>
        <v>4.0842794966806784</v>
      </c>
      <c r="T226" s="19">
        <f>(P226)*IF(N226&lt;Forudsætninger!$B$228,IF(N226&lt;Forudsætninger!$B$227,Forudsætninger!$B$225,Forudsætninger!$C$9),Forudsætninger!$C$11)+O226</f>
        <v>19.607246080095056</v>
      </c>
      <c r="U226" s="5">
        <f>Forudsætninger!$E$68+((K226-(Forudsætninger!$E$84)))*0.01</f>
        <v>6.558851475393249</v>
      </c>
      <c r="V226" s="2">
        <f>U226+Forudsætninger!$E$69</f>
        <v>6.558851475393249</v>
      </c>
      <c r="W226">
        <f t="shared" si="87"/>
        <v>1</v>
      </c>
      <c r="X226">
        <f>IF(A226+Forudsætninger!$E$60&gt;248,IF(A226+Forudsætninger!$E$60&lt;365,IF(K226&gt;180,IF(K226&lt;260,1,0),0),0),0)</f>
        <v>1</v>
      </c>
      <c r="Y226" s="22">
        <f>IF(X226=0,0,IF('Vækstfunktion, kry kvie'!A226&lt;Forudsætninger!$E$66,Forudsætninger!$E$67+(('Vækstfunktion, kry kvie'!A226-Forudsætninger!$E$66)/7)*Forudsætninger!$E$64,Forudsætninger!$E$67))</f>
        <v>0.85657142857142854</v>
      </c>
      <c r="Z226" s="19">
        <f t="shared" si="102"/>
        <v>3464.4338482904996</v>
      </c>
      <c r="AA226" s="19">
        <f>Forudsætninger!$E$62+Forudsætninger!$C$16</f>
        <v>1575</v>
      </c>
      <c r="AB226" s="19">
        <f>IF(K226&gt;Forudsætninger!$C$48,IF(K226&gt;Forudsætninger!$C$49,IF(K226&gt;Forudsætninger!$C$50,Forudsætninger!$E$50,Forudsætninger!$E$49+Forudsætninger!$F$50*(K226-Forudsætninger!$C$49)),Forudsætninger!$E$48+Forudsætninger!$F$49*(K226-Forudsætninger!$C$48)),Forudsætninger!$E$48)+IF(K226&gt;Forudsætninger!$C$50,Forudsætninger!$G$50,IF(K226&gt;Forudsætninger!$C$49,Forudsætninger!$G$49+Forudsætninger!$H$50*(K226-Forudsætninger!$C$49),IF(K226&gt;Forudsætninger!$C$48,Forudsætninger!$G$48+Forudsætninger!$H$49*(K226-Forudsætninger!$C$48),Forudsætninger!$G$48)))*(U226-Forudsætninger!$H$48)</f>
        <v>35.410940288885115</v>
      </c>
      <c r="AC226" s="19">
        <f>IF(K226&gt;Forudsætninger!$C$52,IF(K226&gt;Forudsætninger!$C$53,IF(K226&gt;Forudsætninger!$C$54,Forudsætninger!$E$54,Forudsætninger!$E$53+Forudsætninger!$F$54*(K226-Forudsætninger!$C$53)),Forudsætninger!$E$52+Forudsætninger!$F$53*(K226-Forudsætninger!$C$52)),Forudsætninger!$E$52)+IF(K226&gt;Forudsætninger!$C$54,Forudsætninger!$G$54,IF(K226&gt;Forudsætninger!$C$53,Forudsætninger!$G$53+Forudsætninger!$H$54*(K226-Forudsætninger!$C$53),IF(K226&gt;Forudsætninger!$C$52,Forudsætninger!$G$52+Forudsætninger!$H$53*(K226-Forudsætninger!$C$52),Forudsætninger!$G$52)))*(V226-Forudsætninger!$H$52)</f>
        <v>30.289712868848312</v>
      </c>
      <c r="AD226" s="19">
        <f t="shared" si="88"/>
        <v>6388.3925824678454</v>
      </c>
      <c r="AE226" s="19">
        <f t="shared" si="89"/>
        <v>34.676409956068404</v>
      </c>
      <c r="AF226">
        <f>IF(G226&lt;=Forudsætninger!$C$97,Forudsætninger!$C$98,(IF(G226&lt;=Forudsætninger!$D$97,Forudsætninger!$D$98,IF(G226&lt;=Forudsætninger!$E$97,Forudsætninger!$E$98,IF(G226&lt;=Forudsætninger!$F$97,Forudsætninger!$F$98,IF(G226&lt;=Forudsætninger!$G$97,Forudsætninger!$G$98,IF(G226&lt;=Forudsætninger!$H$97,Forudsætninger!$H$98,IF(G226&lt;=Forudsætninger!$I$97,Forudsætninger!$I$98,Forudsætninger!$I$98))))))))</f>
        <v>3.8</v>
      </c>
      <c r="AG226" s="1">
        <f t="shared" si="99"/>
        <v>4.4000000000000004</v>
      </c>
      <c r="AH226" s="1">
        <f t="shared" si="103"/>
        <v>645.19999999999789</v>
      </c>
      <c r="AI226" s="1">
        <f t="shared" si="90"/>
        <v>2.8803571428571333</v>
      </c>
      <c r="AJ226" s="20">
        <f>+(W226*Forudsætninger!$C$12)</f>
        <v>900</v>
      </c>
      <c r="AK226" s="20">
        <f>Forudsætninger!$C$17</f>
        <v>250</v>
      </c>
      <c r="AL226" s="20">
        <f>IF(A226&lt;92,Forudsætninger!$C$20,Forudsætninger!$C$21)</f>
        <v>1.0566762728146013</v>
      </c>
      <c r="AM226" s="20">
        <f t="shared" si="100"/>
        <v>505.20096796376299</v>
      </c>
      <c r="AN226" s="19">
        <f>IFERROR(AD226+AJ226-AA226-Z226-AK226-AM226-Forudsætninger!$E$75,-999999)</f>
        <v>1302.541004876967</v>
      </c>
      <c r="AO226" s="19">
        <f>IFERROR(AN226/(A226+Forudsætninger!$E$74),-999999)</f>
        <v>5.8149152003436031</v>
      </c>
      <c r="AP226" s="19">
        <f>IFERROR(((365/(A226+Forudsætninger!$E$74))*AN226)/(AI226+Forudsætninger!$E$73),-999999)</f>
        <v>709.76272957735353</v>
      </c>
      <c r="AQ226" s="18">
        <f t="shared" si="91"/>
        <v>224</v>
      </c>
      <c r="AR226" s="18">
        <f t="shared" si="104"/>
        <v>5794.6348162542627</v>
      </c>
      <c r="AS226" s="18">
        <f t="shared" si="83"/>
        <v>8.6</v>
      </c>
      <c r="AT226" s="50">
        <f t="shared" si="105"/>
        <v>11.408783508986971</v>
      </c>
      <c r="AU226" s="50">
        <f t="shared" si="106"/>
        <v>2.5084611249521771E-2</v>
      </c>
      <c r="AV226" s="2">
        <f t="shared" si="107"/>
        <v>1.4476666772675344</v>
      </c>
      <c r="AW226" s="16">
        <f t="shared" si="101"/>
        <v>8.0702766644675439</v>
      </c>
      <c r="AZ226" s="16"/>
      <c r="BA226" s="2"/>
    </row>
    <row r="227" spans="1:58" x14ac:dyDescent="0.25">
      <c r="A227">
        <v>225</v>
      </c>
      <c r="B227" s="1">
        <f>ROUND((A227+Forudsætninger!$E$60)/30.4,1)</f>
        <v>8.6</v>
      </c>
      <c r="C227" s="1">
        <f>VLOOKUP((A227+Forudsætninger!$E$60),'Model tilvækst, slagteform, fe'!A:D,4,FALSE)</f>
        <v>378.65995807691826</v>
      </c>
      <c r="D227" s="3">
        <f t="shared" si="108"/>
        <v>1314.3926948538933</v>
      </c>
      <c r="E227" s="3">
        <f>(1+Forudsætninger!$E$78)*C227</f>
        <v>348.36716143076484</v>
      </c>
      <c r="F227" s="2">
        <f t="shared" si="92"/>
        <v>0</v>
      </c>
      <c r="G227" s="1">
        <f t="shared" si="84"/>
        <v>348.36716143076484</v>
      </c>
      <c r="H227" s="3">
        <f t="shared" si="93"/>
        <v>1209.2412792655978</v>
      </c>
      <c r="I227" s="3">
        <f t="shared" si="85"/>
        <v>1246.0762730256215</v>
      </c>
      <c r="J227" s="1">
        <f>VLOOKUP((A227+Forudsætninger!$E$60),'Model tilvækst, slagteform, fe'!G:K,4,FALSE)*(1+Forudsætninger!$E$79)</f>
        <v>53.080901170013121</v>
      </c>
      <c r="K227" s="17">
        <f t="shared" si="86"/>
        <v>184.91642866784434</v>
      </c>
      <c r="L227" s="17">
        <f t="shared" si="94"/>
        <v>687.65208568635217</v>
      </c>
      <c r="M227" s="3">
        <f>((K227-(('Model tilvækst, slagteform, fe'!$J$9/100)*'Model tilvækst, slagteform, fe'!$D$9))*1000/(A227+Forudsætninger!$E$60))</f>
        <v>630.96559591188156</v>
      </c>
      <c r="N227" s="17">
        <f t="shared" si="95"/>
        <v>1147.5774591406378</v>
      </c>
      <c r="O227" s="19">
        <f>IF( A227&lt;Forudsætninger!$C$14,(G227/100)*Forudsætninger!$C$13,(Forudsætninger!$C$15/1000)*Forudsætninger!$C$13)</f>
        <v>2.2643865492999717</v>
      </c>
      <c r="P227" s="17" cm="1">
        <f t="array" ref="P227">INDEX('Model tilvækst, slagteform, fe'!$P$9:$P$375,MATCH(MIN(ABS('Model tilvækst, slagteform, fe'!$M$9:$M$375-G227)),ABS('Model tilvækst, slagteform, fe'!$M$9:$M$375-G227),0))*(1+Forudsætninger!$E$80)</f>
        <v>7.4184895298475135</v>
      </c>
      <c r="Q227" s="17">
        <f t="shared" si="96"/>
        <v>10.788143720153263</v>
      </c>
      <c r="R227" s="17">
        <f t="shared" si="97"/>
        <v>7.5523482302763432</v>
      </c>
      <c r="S227" s="17">
        <f t="shared" si="98"/>
        <v>4.0931236500178567</v>
      </c>
      <c r="T227" s="19">
        <f>(P227)*IF(N227&lt;Forudsætninger!$B$228,IF(N227&lt;Forudsætninger!$B$227,Forudsætninger!$B$225,Forudsætninger!$C$9),Forudsætninger!$C$11)+O227</f>
        <v>19.62365204914315</v>
      </c>
      <c r="U227" s="5">
        <f>Forudsætninger!$E$68+((K227-(Forudsætninger!$E$84)))*0.01</f>
        <v>6.5657279962501125</v>
      </c>
      <c r="V227" s="2">
        <f>U227+Forudsætninger!$E$69</f>
        <v>6.5657279962501125</v>
      </c>
      <c r="W227">
        <f t="shared" si="87"/>
        <v>1</v>
      </c>
      <c r="X227">
        <f>IF(A227+Forudsætninger!$E$60&gt;248,IF(A227+Forudsætninger!$E$60&lt;365,IF(K227&gt;180,IF(K227&lt;260,1,0),0),0),0)</f>
        <v>1</v>
      </c>
      <c r="Y227" s="22">
        <f>IF(X227=0,0,IF('Vækstfunktion, kry kvie'!A227&lt;Forudsætninger!$E$66,Forudsætninger!$E$67+(('Vækstfunktion, kry kvie'!A227-Forudsætninger!$E$66)/7)*Forudsætninger!$E$64,Forudsætninger!$E$67))</f>
        <v>0.86085714285714277</v>
      </c>
      <c r="Z227" s="19">
        <f t="shared" si="102"/>
        <v>3484.0575003396425</v>
      </c>
      <c r="AA227" s="19">
        <f>Forudsætninger!$E$62+Forudsætninger!$C$16</f>
        <v>1575</v>
      </c>
      <c r="AB227" s="19">
        <f>IF(K227&gt;Forudsætninger!$C$48,IF(K227&gt;Forudsætninger!$C$49,IF(K227&gt;Forudsætninger!$C$50,Forudsætninger!$E$50,Forudsætninger!$E$49+Forudsætninger!$F$50*(K227-Forudsætninger!$C$49)),Forudsætninger!$E$48+Forudsætninger!$F$49*(K227-Forudsætninger!$C$48)),Forudsætninger!$E$48)+IF(K227&gt;Forudsætninger!$C$50,Forudsætninger!$G$50,IF(K227&gt;Forudsætninger!$C$49,Forudsætninger!$G$49+Forudsætninger!$H$50*(K227-Forudsætninger!$C$49),IF(K227&gt;Forudsætninger!$C$48,Forudsætninger!$G$48+Forudsætninger!$H$49*(K227-Forudsætninger!$C$48),Forudsætninger!$G$48)))*(U227-Forudsætninger!$H$48)</f>
        <v>35.436841850779302</v>
      </c>
      <c r="AC227" s="19">
        <f>IF(K227&gt;Forudsætninger!$C$52,IF(K227&gt;Forudsætninger!$C$53,IF(K227&gt;Forudsætninger!$C$54,Forudsætninger!$E$54,Forudsætninger!$E$53+Forudsætninger!$F$54*(K227-Forudsætninger!$C$53)),Forudsætninger!$E$52+Forudsætninger!$F$53*(K227-Forudsætninger!$C$52)),Forudsætninger!$E$52)+IF(K227&gt;Forudsætninger!$C$54,Forudsætninger!$G$54,IF(K227&gt;Forudsætninger!$C$53,Forudsætninger!$G$53+Forudsætninger!$H$54*(K227-Forudsætninger!$C$53),IF(K227&gt;Forudsætninger!$C$52,Forudsætninger!$G$52+Forudsætninger!$H$53*(K227-Forudsætninger!$C$52),Forudsætninger!$G$52)))*(V227-Forudsætninger!$H$52)</f>
        <v>30.291431999062528</v>
      </c>
      <c r="AD227" s="19">
        <f t="shared" si="88"/>
        <v>6420.4638707914964</v>
      </c>
      <c r="AE227" s="19">
        <f t="shared" si="89"/>
        <v>34.720894822840421</v>
      </c>
      <c r="AF227">
        <f>IF(G227&lt;=Forudsætninger!$C$97,Forudsætninger!$C$98,(IF(G227&lt;=Forudsætninger!$D$97,Forudsætninger!$D$98,IF(G227&lt;=Forudsætninger!$E$97,Forudsætninger!$E$98,IF(G227&lt;=Forudsætninger!$F$97,Forudsætninger!$F$98,IF(G227&lt;=Forudsætninger!$G$97,Forudsætninger!$G$98,IF(G227&lt;=Forudsætninger!$H$97,Forudsætninger!$H$98,IF(G227&lt;=Forudsætninger!$I$97,Forudsætninger!$I$98,Forudsætninger!$I$98))))))))</f>
        <v>3.8</v>
      </c>
      <c r="AG227" s="1">
        <f t="shared" si="99"/>
        <v>4.4000000000000004</v>
      </c>
      <c r="AH227" s="1">
        <f t="shared" si="103"/>
        <v>649.59999999999786</v>
      </c>
      <c r="AI227" s="1">
        <f t="shared" si="90"/>
        <v>2.8871111111111016</v>
      </c>
      <c r="AJ227" s="20">
        <f>+(W227*Forudsætninger!$C$12)</f>
        <v>900</v>
      </c>
      <c r="AK227" s="20">
        <f>Forudsætninger!$C$17</f>
        <v>250</v>
      </c>
      <c r="AL227" s="20">
        <f>IF(A227&lt;92,Forudsætninger!$C$20,Forudsætninger!$C$21)</f>
        <v>1.0566762728146013</v>
      </c>
      <c r="AM227" s="20">
        <f t="shared" si="100"/>
        <v>506.25764423657762</v>
      </c>
      <c r="AN227" s="19">
        <f>IFERROR(AD227+AJ227-AA227-Z227-AK227-AM227-Forudsætninger!$E$75,-999999)</f>
        <v>1313.9319648786607</v>
      </c>
      <c r="AO227" s="19">
        <f>IFERROR(AN227/(A227+Forudsætninger!$E$74),-999999)</f>
        <v>5.8396976216829364</v>
      </c>
      <c r="AP227" s="19">
        <f>IFERROR(((365/(A227+Forudsætninger!$E$74))*AN227)/(AI227+Forudsætninger!$E$73),-999999)</f>
        <v>711.18138530542399</v>
      </c>
      <c r="AQ227" s="18">
        <f t="shared" si="91"/>
        <v>225</v>
      </c>
      <c r="AR227" s="18">
        <f t="shared" si="104"/>
        <v>5815.3151445762205</v>
      </c>
      <c r="AS227" s="18">
        <f t="shared" si="83"/>
        <v>8.6</v>
      </c>
      <c r="AT227" s="50">
        <f t="shared" si="105"/>
        <v>11.390960001693657</v>
      </c>
      <c r="AU227" s="50">
        <f t="shared" si="106"/>
        <v>2.4782421339333283E-2</v>
      </c>
      <c r="AV227" s="2">
        <f t="shared" si="107"/>
        <v>1.4186557280704619</v>
      </c>
      <c r="AW227" s="16">
        <f t="shared" si="101"/>
        <v>8.0897315960677254</v>
      </c>
      <c r="AZ227" s="16"/>
      <c r="BA227" s="2"/>
    </row>
    <row r="228" spans="1:58" x14ac:dyDescent="0.25">
      <c r="A228">
        <v>226</v>
      </c>
      <c r="B228" s="1">
        <f>ROUND((A228+Forudsætninger!$E$60)/30.4,1)</f>
        <v>8.6</v>
      </c>
      <c r="C228" s="1">
        <f>VLOOKUP((A228+Forudsætninger!$E$60),'Model tilvækst, slagteform, fe'!A:D,4,FALSE)</f>
        <v>379.96975046820296</v>
      </c>
      <c r="D228" s="3">
        <f t="shared" si="108"/>
        <v>1309.7923912847023</v>
      </c>
      <c r="E228" s="3">
        <f>(1+Forudsætninger!$E$78)*C228</f>
        <v>349.57217043074672</v>
      </c>
      <c r="F228" s="2">
        <f t="shared" si="92"/>
        <v>0</v>
      </c>
      <c r="G228" s="1">
        <f t="shared" si="84"/>
        <v>349.57217043074672</v>
      </c>
      <c r="H228" s="3">
        <f t="shared" si="93"/>
        <v>1205.0089999818852</v>
      </c>
      <c r="I228" s="3">
        <f t="shared" si="85"/>
        <v>1245.8945594280829</v>
      </c>
      <c r="J228" s="1">
        <f>VLOOKUP((A228+Forudsætninger!$E$60),'Model tilvækst, slagteform, fe'!G:K,4,FALSE)*(1+Forudsætninger!$E$79)</f>
        <v>53.093928710769809</v>
      </c>
      <c r="K228" s="17">
        <f t="shared" si="86"/>
        <v>185.6015989611914</v>
      </c>
      <c r="L228" s="17">
        <f t="shared" si="94"/>
        <v>685.17029334705626</v>
      </c>
      <c r="M228" s="3">
        <f>((K228-(('Model tilvækst, slagteform, fe'!$J$9/100)*'Model tilvækst, slagteform, fe'!$D$9))*1000/(A228+Forudsætninger!$E$60))</f>
        <v>631.17248407003115</v>
      </c>
      <c r="N228" s="17">
        <f t="shared" si="95"/>
        <v>1154.9994456418854</v>
      </c>
      <c r="O228" s="19">
        <f>IF( A228&lt;Forudsætninger!$C$14,(G228/100)*Forudsætninger!$C$13,(Forudsætninger!$C$15/1000)*Forudsætninger!$C$13)</f>
        <v>2.2722191077998537</v>
      </c>
      <c r="P228" s="17" cm="1">
        <f t="array" ref="P228">INDEX('Model tilvækst, slagteform, fe'!$P$9:$P$375,MATCH(MIN(ABS('Model tilvækst, slagteform, fe'!$M$9:$M$375-G228)),ABS('Model tilvækst, slagteform, fe'!$M$9:$M$375-G228),0))*(1+Forudsætninger!$E$80)</f>
        <v>7.4219865012475008</v>
      </c>
      <c r="Q228" s="17">
        <f t="shared" si="96"/>
        <v>10.832323837320944</v>
      </c>
      <c r="R228" s="17">
        <f t="shared" si="97"/>
        <v>7.5670718713602687</v>
      </c>
      <c r="S228" s="17">
        <f t="shared" si="98"/>
        <v>4.1019659147243743</v>
      </c>
      <c r="T228" s="19">
        <f>(P228)*IF(N228&lt;Forudsætninger!$B$228,IF(N228&lt;Forudsætninger!$B$227,Forudsætninger!$B$225,Forudsætninger!$C$9),Forudsætninger!$C$11)+O228</f>
        <v>19.639667520719001</v>
      </c>
      <c r="U228" s="5">
        <f>Forudsætninger!$E$68+((K228-(Forudsætninger!$E$84)))*0.01</f>
        <v>6.5725796991835832</v>
      </c>
      <c r="V228" s="2">
        <f>U228+Forudsætninger!$E$69</f>
        <v>6.5725796991835832</v>
      </c>
      <c r="W228">
        <f t="shared" si="87"/>
        <v>1</v>
      </c>
      <c r="X228">
        <f>IF(A228+Forudsætninger!$E$60&gt;248,IF(A228+Forudsætninger!$E$60&lt;365,IF(K228&gt;180,IF(K228&lt;260,1,0),0),0),0)</f>
        <v>1</v>
      </c>
      <c r="Y228" s="22">
        <f>IF(X228=0,0,IF('Vækstfunktion, kry kvie'!A228&lt;Forudsætninger!$E$66,Forudsætninger!$E$67+(('Vækstfunktion, kry kvie'!A228-Forudsætninger!$E$66)/7)*Forudsætninger!$E$64,Forudsætninger!$E$67))</f>
        <v>0.8651428571428571</v>
      </c>
      <c r="Z228" s="19">
        <f t="shared" si="102"/>
        <v>3503.6971678603613</v>
      </c>
      <c r="AA228" s="19">
        <f>Forudsætninger!$E$62+Forudsætninger!$C$16</f>
        <v>1575</v>
      </c>
      <c r="AB228" s="19">
        <f>IF(K228&gt;Forudsætninger!$C$48,IF(K228&gt;Forudsætninger!$C$49,IF(K228&gt;Forudsætninger!$C$50,Forudsætninger!$E$50,Forudsætninger!$E$49+Forudsætninger!$F$50*(K228-Forudsætninger!$C$49)),Forudsætninger!$E$48+Forudsætninger!$F$49*(K228-Forudsætninger!$C$48)),Forudsætninger!$E$48)+IF(K228&gt;Forudsætninger!$C$50,Forudsætninger!$G$50,IF(K228&gt;Forudsætninger!$C$49,Forudsætninger!$G$49+Forudsætninger!$H$50*(K228-Forudsætninger!$C$49),IF(K228&gt;Forudsætninger!$C$48,Forudsætninger!$G$48+Forudsætninger!$H$49*(K228-Forudsætninger!$C$48),Forudsætninger!$G$48)))*(U228-Forudsætninger!$H$48)</f>
        <v>35.462649931828707</v>
      </c>
      <c r="AC228" s="19">
        <f>IF(K228&gt;Forudsætninger!$C$52,IF(K228&gt;Forudsætninger!$C$53,IF(K228&gt;Forudsætninger!$C$54,Forudsætninger!$E$54,Forudsætninger!$E$53+Forudsætninger!$F$54*(K228-Forudsætninger!$C$53)),Forudsætninger!$E$52+Forudsætninger!$F$53*(K228-Forudsætninger!$C$52)),Forudsætninger!$E$52)+IF(K228&gt;Forudsætninger!$C$54,Forudsætninger!$G$54,IF(K228&gt;Forudsætninger!$C$53,Forudsætninger!$G$53+Forudsætninger!$H$54*(K228-Forudsætninger!$C$53),IF(K228&gt;Forudsætninger!$C$52,Forudsætninger!$G$52+Forudsætninger!$H$53*(K228-Forudsætninger!$C$52),Forudsætninger!$G$52)))*(V228-Forudsætninger!$H$52)</f>
        <v>30.293144924795893</v>
      </c>
      <c r="AD228" s="19">
        <f t="shared" si="88"/>
        <v>6452.5333643176564</v>
      </c>
      <c r="AE228" s="19">
        <f t="shared" si="89"/>
        <v>34.765505256594565</v>
      </c>
      <c r="AF228">
        <f>IF(G228&lt;=Forudsætninger!$C$97,Forudsætninger!$C$98,(IF(G228&lt;=Forudsætninger!$D$97,Forudsætninger!$D$98,IF(G228&lt;=Forudsætninger!$E$97,Forudsætninger!$E$98,IF(G228&lt;=Forudsætninger!$F$97,Forudsætninger!$F$98,IF(G228&lt;=Forudsætninger!$G$97,Forudsætninger!$G$98,IF(G228&lt;=Forudsætninger!$H$97,Forudsætninger!$H$98,IF(G228&lt;=Forudsætninger!$I$97,Forudsætninger!$I$98,Forudsætninger!$I$98))))))))</f>
        <v>3.8</v>
      </c>
      <c r="AG228" s="1">
        <f t="shared" si="99"/>
        <v>4.4000000000000004</v>
      </c>
      <c r="AH228" s="1">
        <f t="shared" si="103"/>
        <v>653.99999999999784</v>
      </c>
      <c r="AI228" s="1">
        <f t="shared" si="90"/>
        <v>2.8938053097345038</v>
      </c>
      <c r="AJ228" s="20">
        <f>+(W228*Forudsætninger!$C$12)</f>
        <v>900</v>
      </c>
      <c r="AK228" s="20">
        <f>Forudsætninger!$C$17</f>
        <v>250</v>
      </c>
      <c r="AL228" s="20">
        <f>IF(A228&lt;92,Forudsætninger!$C$20,Forudsætninger!$C$21)</f>
        <v>1.0566762728146013</v>
      </c>
      <c r="AM228" s="20">
        <f t="shared" si="100"/>
        <v>507.31432050939225</v>
      </c>
      <c r="AN228" s="19">
        <f>IFERROR(AD228+AJ228-AA228-Z228-AK228-AM228-Forudsætninger!$E$75,-999999)</f>
        <v>1325.3051146112871</v>
      </c>
      <c r="AO228" s="19">
        <f>IFERROR(AN228/(A228+Forudsætninger!$E$74),-999999)</f>
        <v>5.8641819230587924</v>
      </c>
      <c r="AP228" s="19">
        <f>IFERROR(((365/(A228+Forudsætninger!$E$74))*AN228)/(AI228+Forudsætninger!$E$73),-999999)</f>
        <v>712.57161540394395</v>
      </c>
      <c r="AQ228" s="18">
        <f t="shared" si="91"/>
        <v>226</v>
      </c>
      <c r="AR228" s="18">
        <f t="shared" si="104"/>
        <v>5836.0114883697534</v>
      </c>
      <c r="AS228" s="18">
        <f t="shared" si="83"/>
        <v>8.6</v>
      </c>
      <c r="AT228" s="50">
        <f t="shared" si="105"/>
        <v>11.373149732626416</v>
      </c>
      <c r="AU228" s="50">
        <f t="shared" si="106"/>
        <v>2.4484301375855999E-2</v>
      </c>
      <c r="AV228" s="2">
        <f t="shared" si="107"/>
        <v>1.3902300985199645</v>
      </c>
      <c r="AW228" s="16">
        <f t="shared" si="101"/>
        <v>8.1089355536313246</v>
      </c>
      <c r="AZ228" s="16"/>
      <c r="BA228" s="2"/>
    </row>
    <row r="229" spans="1:58" x14ac:dyDescent="0.25">
      <c r="A229">
        <v>227</v>
      </c>
      <c r="B229" s="1">
        <f>ROUND((A229+Forudsætninger!$E$60)/30.4,1)</f>
        <v>8.6999999999999993</v>
      </c>
      <c r="C229" s="1">
        <f>VLOOKUP((A229+Forudsætninger!$E$60),'Model tilvækst, slagteform, fe'!A:D,4,FALSE)</f>
        <v>381.27492551630888</v>
      </c>
      <c r="D229" s="3">
        <f t="shared" si="108"/>
        <v>1305.175048105923</v>
      </c>
      <c r="E229" s="3">
        <f>(1+Forudsætninger!$E$78)*C229</f>
        <v>350.77293147500421</v>
      </c>
      <c r="F229" s="2">
        <f t="shared" si="92"/>
        <v>0</v>
      </c>
      <c r="G229" s="1">
        <f t="shared" si="84"/>
        <v>350.77293147500421</v>
      </c>
      <c r="H229" s="3">
        <f t="shared" si="93"/>
        <v>1200.7610442574901</v>
      </c>
      <c r="I229" s="3">
        <f t="shared" si="85"/>
        <v>1245.6957333700627</v>
      </c>
      <c r="J229" s="1">
        <f>VLOOKUP((A229+Forudsætninger!$E$60),'Model tilvækst, slagteform, fe'!G:K,4,FALSE)*(1+Forudsætninger!$E$79)</f>
        <v>53.106801811538666</v>
      </c>
      <c r="K229" s="17">
        <f t="shared" si="86"/>
        <v>186.28428552695482</v>
      </c>
      <c r="L229" s="17">
        <f t="shared" si="94"/>
        <v>682.68656576341868</v>
      </c>
      <c r="M229" s="3">
        <f>((K229-(('Model tilvækst, slagteform, fe'!$J$9/100)*'Model tilvækst, slagteform, fe'!$D$9))*1000/(A229+Forudsætninger!$E$60))</f>
        <v>631.36835510308583</v>
      </c>
      <c r="N229" s="17">
        <f t="shared" si="95"/>
        <v>1162.4279815984407</v>
      </c>
      <c r="O229" s="19">
        <f>IF( A229&lt;Forudsætninger!$C$14,(G229/100)*Forudsætninger!$C$13,(Forudsætninger!$C$15/1000)*Forudsætninger!$C$13)</f>
        <v>2.2800240545875274</v>
      </c>
      <c r="P229" s="17" cm="1">
        <f t="array" ref="P229">INDEX('Model tilvækst, slagteform, fe'!$P$9:$P$375,MATCH(MIN(ABS('Model tilvækst, slagteform, fe'!$M$9:$M$375-G229)),ABS('Model tilvækst, slagteform, fe'!$M$9:$M$375-G229),0))*(1+Forudsætninger!$E$80)</f>
        <v>7.428535956555355</v>
      </c>
      <c r="Q229" s="17">
        <f t="shared" si="96"/>
        <v>10.881327287066718</v>
      </c>
      <c r="R229" s="17">
        <f t="shared" si="97"/>
        <v>7.5818294561441366</v>
      </c>
      <c r="S229" s="17">
        <f t="shared" si="98"/>
        <v>4.1108177346925228</v>
      </c>
      <c r="T229" s="19">
        <f>(P229)*IF(N229&lt;Forudsætninger!$B$228,IF(N229&lt;Forudsætninger!$B$227,Forudsætninger!$B$225,Forudsætninger!$C$9),Forudsætninger!$C$11)+O229</f>
        <v>19.66279819292706</v>
      </c>
      <c r="U229" s="5">
        <f>Forudsætninger!$E$68+((K229-(Forudsætninger!$E$84)))*0.01</f>
        <v>6.579406564841217</v>
      </c>
      <c r="V229" s="2">
        <f>U229+Forudsætninger!$E$69</f>
        <v>6.579406564841217</v>
      </c>
      <c r="W229">
        <f t="shared" si="87"/>
        <v>1</v>
      </c>
      <c r="X229">
        <f>IF(A229+Forudsætninger!$E$60&gt;248,IF(A229+Forudsætninger!$E$60&lt;365,IF(K229&gt;180,IF(K229&lt;260,1,0),0),0),0)</f>
        <v>1</v>
      </c>
      <c r="Y229" s="22">
        <f>IF(X229=0,0,IF('Vækstfunktion, kry kvie'!A229&lt;Forudsætninger!$E$66,Forudsætninger!$E$67+(('Vækstfunktion, kry kvie'!A229-Forudsætninger!$E$66)/7)*Forudsætninger!$E$64,Forudsætninger!$E$67))</f>
        <v>0.86942857142857133</v>
      </c>
      <c r="Z229" s="19">
        <f t="shared" si="102"/>
        <v>3523.3599660532882</v>
      </c>
      <c r="AA229" s="19">
        <f>Forudsætninger!$E$62+Forudsætninger!$C$16</f>
        <v>1575</v>
      </c>
      <c r="AB229" s="19">
        <f>IF(K229&gt;Forudsætninger!$C$48,IF(K229&gt;Forudsætninger!$C$49,IF(K229&gt;Forudsætninger!$C$50,Forudsætninger!$E$50,Forudsætninger!$E$49+Forudsætninger!$F$50*(K229-Forudsætninger!$C$49)),Forudsætninger!$E$48+Forudsætninger!$F$49*(K229-Forudsætninger!$C$48)),Forudsætninger!$E$48)+IF(K229&gt;Forudsætninger!$C$50,Forudsætninger!$G$50,IF(K229&gt;Forudsætninger!$C$49,Forudsætninger!$G$49+Forudsætninger!$H$50*(K229-Forudsætninger!$C$49),IF(K229&gt;Forudsætninger!$C$48,Forudsætninger!$G$48+Forudsætninger!$H$49*(K229-Forudsætninger!$C$48),Forudsætninger!$G$48)))*(U229-Forudsætninger!$H$48)</f>
        <v>35.488364459139135</v>
      </c>
      <c r="AC229" s="19">
        <f>IF(K229&gt;Forudsætninger!$C$52,IF(K229&gt;Forudsætninger!$C$53,IF(K229&gt;Forudsætninger!$C$54,Forudsætninger!$E$54,Forudsætninger!$E$53+Forudsætninger!$F$54*(K229-Forudsætninger!$C$53)),Forudsætninger!$E$52+Forudsætninger!$F$53*(K229-Forudsætninger!$C$52)),Forudsætninger!$E$52)+IF(K229&gt;Forudsætninger!$C$54,Forudsætninger!$G$54,IF(K229&gt;Forudsætninger!$C$53,Forudsætninger!$G$53+Forudsætninger!$H$54*(K229-Forudsætninger!$C$53),IF(K229&gt;Forudsætninger!$C$52,Forudsætninger!$G$52+Forudsætninger!$H$53*(K229-Forudsætninger!$C$52),Forudsætninger!$G$52)))*(V229-Forudsætninger!$H$52)</f>
        <v>30.294851641210304</v>
      </c>
      <c r="AD229" s="19">
        <f t="shared" si="88"/>
        <v>6484.6007006849177</v>
      </c>
      <c r="AE229" s="19">
        <f t="shared" si="89"/>
        <v>34.810240071198137</v>
      </c>
      <c r="AF229">
        <f>IF(G229&lt;=Forudsætninger!$C$97,Forudsætninger!$C$98,(IF(G229&lt;=Forudsætninger!$D$97,Forudsætninger!$D$98,IF(G229&lt;=Forudsætninger!$E$97,Forudsætninger!$E$98,IF(G229&lt;=Forudsætninger!$F$97,Forudsætninger!$F$98,IF(G229&lt;=Forudsætninger!$G$97,Forudsætninger!$G$98,IF(G229&lt;=Forudsætninger!$H$97,Forudsætninger!$H$98,IF(G229&lt;=Forudsætninger!$I$97,Forudsætninger!$I$98,Forudsætninger!$I$98))))))))</f>
        <v>3.8</v>
      </c>
      <c r="AG229" s="1">
        <f t="shared" si="99"/>
        <v>4.4000000000000004</v>
      </c>
      <c r="AH229" s="1">
        <f t="shared" si="103"/>
        <v>658.39999999999782</v>
      </c>
      <c r="AI229" s="1">
        <f t="shared" si="90"/>
        <v>2.9004405286343515</v>
      </c>
      <c r="AJ229" s="20">
        <f>+(W229*Forudsætninger!$C$12)</f>
        <v>900</v>
      </c>
      <c r="AK229" s="20">
        <f>Forudsætninger!$C$17</f>
        <v>250</v>
      </c>
      <c r="AL229" s="20">
        <f>IF(A229&lt;92,Forudsætninger!$C$20,Forudsætninger!$C$21)</f>
        <v>1.0566762728146013</v>
      </c>
      <c r="AM229" s="20">
        <f t="shared" si="100"/>
        <v>508.37099678220687</v>
      </c>
      <c r="AN229" s="19">
        <f>IFERROR(AD229+AJ229-AA229-Z229-AK229-AM229-Forudsætninger!$E$75,-999999)</f>
        <v>1336.6529765128068</v>
      </c>
      <c r="AO229" s="19">
        <f>IFERROR(AN229/(A229+Forudsætninger!$E$74),-999999)</f>
        <v>5.8883391035806465</v>
      </c>
      <c r="AP229" s="19">
        <f>IFERROR(((365/(A229+Forudsætninger!$E$74))*AN229)/(AI229+Forudsætninger!$E$73),-999999)</f>
        <v>713.9299887720797</v>
      </c>
      <c r="AQ229" s="18">
        <f t="shared" si="91"/>
        <v>227</v>
      </c>
      <c r="AR229" s="18">
        <f t="shared" si="104"/>
        <v>5856.7309628354951</v>
      </c>
      <c r="AS229" s="18">
        <f t="shared" si="83"/>
        <v>8.6999999999999993</v>
      </c>
      <c r="AT229" s="50">
        <f t="shared" si="105"/>
        <v>11.347861901519764</v>
      </c>
      <c r="AU229" s="50">
        <f t="shared" si="106"/>
        <v>2.4157180521854116E-2</v>
      </c>
      <c r="AV229" s="2">
        <f t="shared" si="107"/>
        <v>1.3583733681357444</v>
      </c>
      <c r="AW229" s="16">
        <f t="shared" si="101"/>
        <v>8.1278589131938936</v>
      </c>
      <c r="AZ229" s="16"/>
      <c r="BA229" s="2"/>
    </row>
    <row r="230" spans="1:58" x14ac:dyDescent="0.25">
      <c r="A230">
        <v>228</v>
      </c>
      <c r="B230" s="1">
        <f>ROUND((A230+Forudsætninger!$E$60)/30.4,1)</f>
        <v>8.6999999999999993</v>
      </c>
      <c r="C230" s="1">
        <f>VLOOKUP((A230+Forudsætninger!$E$60),'Model tilvækst, slagteform, fe'!A:D,4,FALSE)</f>
        <v>382.57546676664725</v>
      </c>
      <c r="D230" s="3">
        <f t="shared" si="108"/>
        <v>1300.5412503383695</v>
      </c>
      <c r="E230" s="3">
        <f>(1+Forudsætninger!$E$78)*C230</f>
        <v>351.96942942531547</v>
      </c>
      <c r="F230" s="2">
        <f t="shared" si="92"/>
        <v>0</v>
      </c>
      <c r="G230" s="1">
        <f t="shared" si="84"/>
        <v>351.96942942531547</v>
      </c>
      <c r="H230" s="3">
        <f t="shared" si="93"/>
        <v>1196.4979503112545</v>
      </c>
      <c r="I230" s="3">
        <f t="shared" si="85"/>
        <v>1245.4799536198047</v>
      </c>
      <c r="J230" s="1">
        <f>VLOOKUP((A230+Forudsætninger!$E$60),'Model tilvækst, slagteform, fe'!G:K,4,FALSE)*(1+Forudsætninger!$E$79)</f>
        <v>53.119524397664406</v>
      </c>
      <c r="K230" s="17">
        <f t="shared" si="86"/>
        <v>186.96448693590065</v>
      </c>
      <c r="L230" s="17">
        <f t="shared" si="94"/>
        <v>680.20140894583392</v>
      </c>
      <c r="M230" s="3">
        <f>((K230-(('Model tilvækst, slagteform, fe'!$J$9/100)*'Model tilvækst, slagteform, fe'!$D$9))*1000/(A230+Forudsætninger!$E$60))</f>
        <v>631.55332879188404</v>
      </c>
      <c r="N230" s="17">
        <f t="shared" si="95"/>
        <v>1169.8595804795534</v>
      </c>
      <c r="O230" s="19">
        <f>IF( A230&lt;Forudsætninger!$C$14,(G230/100)*Forudsætninger!$C$13,(Forudsætninger!$C$15/1000)*Forudsætninger!$C$13)</f>
        <v>2.2878012912645507</v>
      </c>
      <c r="P230" s="17" cm="1">
        <f t="array" ref="P230">INDEX('Model tilvækst, slagteform, fe'!$P$9:$P$375,MATCH(MIN(ABS('Model tilvækst, slagteform, fe'!$M$9:$M$375-G230)),ABS('Model tilvækst, slagteform, fe'!$M$9:$M$375-G230),0))*(1+Forudsætninger!$E$80)</f>
        <v>7.4315988811126124</v>
      </c>
      <c r="Q230" s="17">
        <f t="shared" si="96"/>
        <v>10.925585838803237</v>
      </c>
      <c r="R230" s="17">
        <f t="shared" si="97"/>
        <v>7.5965986776184913</v>
      </c>
      <c r="S230" s="17">
        <f t="shared" si="98"/>
        <v>4.1196673277368712</v>
      </c>
      <c r="T230" s="19">
        <f>(P230)*IF(N230&lt;Forudsætninger!$B$228,IF(N230&lt;Forudsætninger!$B$227,Forudsætninger!$B$225,Forudsætninger!$C$9),Forudsætninger!$C$11)+O230</f>
        <v>19.677742673068064</v>
      </c>
      <c r="U230" s="5">
        <f>Forudsætninger!$E$68+((K230-(Forudsætninger!$E$84)))*0.01</f>
        <v>6.5862085789306759</v>
      </c>
      <c r="V230" s="2">
        <f>U230+Forudsætninger!$E$69</f>
        <v>6.5862085789306759</v>
      </c>
      <c r="W230">
        <f t="shared" si="87"/>
        <v>1</v>
      </c>
      <c r="X230">
        <f>IF(A230+Forudsætninger!$E$60&gt;248,IF(A230+Forudsætninger!$E$60&lt;365,IF(K230&gt;180,IF(K230&lt;260,1,0),0),0),0)</f>
        <v>1</v>
      </c>
      <c r="Y230" s="22">
        <f>IF(X230=0,0,IF('Vækstfunktion, kry kvie'!A230&lt;Forudsætninger!$E$66,Forudsætninger!$E$67+(('Vækstfunktion, kry kvie'!A230-Forudsætninger!$E$66)/7)*Forudsætninger!$E$64,Forudsætninger!$E$67))</f>
        <v>0.87371428571428567</v>
      </c>
      <c r="Z230" s="19">
        <f t="shared" si="102"/>
        <v>3543.0377087263564</v>
      </c>
      <c r="AA230" s="19">
        <f>Forudsætninger!$E$62+Forudsætninger!$C$16</f>
        <v>1575</v>
      </c>
      <c r="AB230" s="19">
        <f>IF(K230&gt;Forudsætninger!$C$48,IF(K230&gt;Forudsætninger!$C$49,IF(K230&gt;Forudsætninger!$C$50,Forudsætninger!$E$50,Forudsætninger!$E$49+Forudsætninger!$F$50*(K230-Forudsætninger!$C$49)),Forudsætninger!$E$48+Forudsætninger!$F$49*(K230-Forudsætninger!$C$48)),Forudsætninger!$E$48)+IF(K230&gt;Forudsætninger!$C$50,Forudsætninger!$G$50,IF(K230&gt;Forudsætninger!$C$49,Forudsætninger!$G$49+Forudsætninger!$H$50*(K230-Forudsætninger!$C$49),IF(K230&gt;Forudsætninger!$C$48,Forudsætninger!$G$48+Forudsætninger!$H$49*(K230-Forudsætninger!$C$48),Forudsætninger!$G$48)))*(U230-Forudsætninger!$H$48)</f>
        <v>35.513985378876093</v>
      </c>
      <c r="AC230" s="19">
        <f>IF(K230&gt;Forudsætninger!$C$52,IF(K230&gt;Forudsætninger!$C$53,IF(K230&gt;Forudsætninger!$C$54,Forudsætninger!$E$54,Forudsætninger!$E$53+Forudsætninger!$F$54*(K230-Forudsætninger!$C$53)),Forudsætninger!$E$52+Forudsætninger!$F$53*(K230-Forudsætninger!$C$52)),Forudsætninger!$E$52)+IF(K230&gt;Forudsætninger!$C$54,Forudsætninger!$G$54,IF(K230&gt;Forudsætninger!$C$53,Forudsætninger!$G$53+Forudsætninger!$H$54*(K230-Forudsætninger!$C$53),IF(K230&gt;Forudsætninger!$C$52,Forudsætninger!$G$52+Forudsætninger!$H$53*(K230-Forudsætninger!$C$52),Forudsætninger!$G$52)))*(V230-Forudsætninger!$H$52)</f>
        <v>30.296552144732669</v>
      </c>
      <c r="AD230" s="19">
        <f t="shared" si="88"/>
        <v>6516.6655326498403</v>
      </c>
      <c r="AE230" s="19">
        <f t="shared" si="89"/>
        <v>34.855098096164269</v>
      </c>
      <c r="AF230">
        <f>IF(G230&lt;=Forudsætninger!$C$97,Forudsætninger!$C$98,(IF(G230&lt;=Forudsætninger!$D$97,Forudsætninger!$D$98,IF(G230&lt;=Forudsætninger!$E$97,Forudsætninger!$E$98,IF(G230&lt;=Forudsætninger!$F$97,Forudsætninger!$F$98,IF(G230&lt;=Forudsætninger!$G$97,Forudsætninger!$G$98,IF(G230&lt;=Forudsætninger!$H$97,Forudsætninger!$H$98,IF(G230&lt;=Forudsætninger!$I$97,Forudsætninger!$I$98,Forudsætninger!$I$98))))))))</f>
        <v>3.8</v>
      </c>
      <c r="AG230" s="1">
        <f t="shared" si="99"/>
        <v>4.4000000000000004</v>
      </c>
      <c r="AH230" s="1">
        <f t="shared" si="103"/>
        <v>662.79999999999779</v>
      </c>
      <c r="AI230" s="1">
        <f t="shared" si="90"/>
        <v>2.9070175438596393</v>
      </c>
      <c r="AJ230" s="20">
        <f>+(W230*Forudsætninger!$C$12)</f>
        <v>900</v>
      </c>
      <c r="AK230" s="20">
        <f>Forudsætninger!$C$17</f>
        <v>250</v>
      </c>
      <c r="AL230" s="20">
        <f>IF(A230&lt;92,Forudsætninger!$C$20,Forudsætninger!$C$21)</f>
        <v>1.0566762728146013</v>
      </c>
      <c r="AM230" s="20">
        <f t="shared" si="100"/>
        <v>509.4276730550215</v>
      </c>
      <c r="AN230" s="19">
        <f>IFERROR(AD230+AJ230-AA230-Z230-AK230-AM230-Forudsætninger!$E$75,-999999)</f>
        <v>1347.9833895318468</v>
      </c>
      <c r="AO230" s="19">
        <f>IFERROR(AN230/(A230+Forudsætninger!$E$74),-999999)</f>
        <v>5.9122078488238898</v>
      </c>
      <c r="AP230" s="19">
        <f>IFERROR(((365/(A230+Forudsætninger!$E$74))*AN230)/(AI230+Forudsætninger!$E$73),-999999)</f>
        <v>715.26129147398638</v>
      </c>
      <c r="AQ230" s="18">
        <f t="shared" si="91"/>
        <v>228</v>
      </c>
      <c r="AR230" s="18">
        <f t="shared" si="104"/>
        <v>5877.4653817813787</v>
      </c>
      <c r="AS230" s="18">
        <f t="shared" si="83"/>
        <v>8.6999999999999993</v>
      </c>
      <c r="AT230" s="50">
        <f t="shared" si="105"/>
        <v>11.330413019039952</v>
      </c>
      <c r="AU230" s="50">
        <f t="shared" si="106"/>
        <v>2.3868745243243339E-2</v>
      </c>
      <c r="AV230" s="2">
        <f t="shared" si="107"/>
        <v>1.3313027019066794</v>
      </c>
      <c r="AW230" s="16">
        <f t="shared" si="101"/>
        <v>8.1465397481880188</v>
      </c>
      <c r="AZ230" s="16"/>
      <c r="BA230" s="2"/>
    </row>
    <row r="231" spans="1:58" s="7" customFormat="1" x14ac:dyDescent="0.25">
      <c r="A231" s="7">
        <v>229</v>
      </c>
      <c r="B231" s="21">
        <f>ROUND((A231+Forudsætninger!$E$60)/30.4,1)</f>
        <v>8.6999999999999993</v>
      </c>
      <c r="C231" s="21">
        <f>VLOOKUP((A231+Forudsætninger!$E$60),'Model tilvækst, slagteform, fe'!A:D,4,FALSE)</f>
        <v>383.87135834964965</v>
      </c>
      <c r="D231" s="28">
        <f t="shared" si="108"/>
        <v>1295.8915830024011</v>
      </c>
      <c r="E231" s="28">
        <f>(1+Forudsætninger!$E$78)*C231</f>
        <v>353.16164968167772</v>
      </c>
      <c r="F231" s="30">
        <f t="shared" si="92"/>
        <v>0</v>
      </c>
      <c r="G231" s="21">
        <f t="shared" si="84"/>
        <v>353.16164968167772</v>
      </c>
      <c r="H231" s="28">
        <f t="shared" si="93"/>
        <v>1192.2202563622477</v>
      </c>
      <c r="I231" s="28">
        <f t="shared" si="85"/>
        <v>1245.24737852261</v>
      </c>
      <c r="J231" s="21">
        <f>VLOOKUP((A231+Forudsætninger!$E$60),'Model tilvækst, slagteform, fe'!G:K,4,FALSE)*(1+Forudsætninger!$E$79)</f>
        <v>53.132100394491694</v>
      </c>
      <c r="K231" s="29">
        <f t="shared" si="86"/>
        <v>187.64220226371208</v>
      </c>
      <c r="L231" s="29">
        <f t="shared" si="94"/>
        <v>677.71532781142696</v>
      </c>
      <c r="M231" s="28">
        <f>((K231-(('Model tilvækst, slagteform, fe'!$J$9/100)*'Model tilvækst, slagteform, fe'!$D$9))*1000/(A231+Forudsætninger!$E$60))</f>
        <v>631.72752501459934</v>
      </c>
      <c r="N231" s="29">
        <f t="shared" si="95"/>
        <v>1177.2941080435917</v>
      </c>
      <c r="O231" s="30">
        <f>IF( A231&lt;Forudsætninger!$C$14,(G231/100)*Forudsætninger!$C$13,(Forudsætninger!$C$15/1000)*Forudsætninger!$C$13)</f>
        <v>2.2955507229309053</v>
      </c>
      <c r="P231" s="29" cm="1">
        <f t="array" ref="P231">INDEX('Model tilvækst, slagteform, fe'!$P$9:$P$375,MATCH(MIN(ABS('Model tilvækst, slagteform, fe'!$M$9:$M$375-G231)),ABS('Model tilvækst, slagteform, fe'!$M$9:$M$375-G231),0))*(1+Forudsætninger!$E$80)</f>
        <v>7.4345275640383486</v>
      </c>
      <c r="Q231" s="29">
        <f t="shared" si="96"/>
        <v>10.96998586124201</v>
      </c>
      <c r="R231" s="29">
        <f t="shared" si="97"/>
        <v>7.611379271742269</v>
      </c>
      <c r="S231" s="29">
        <f t="shared" si="98"/>
        <v>4.1285148594061996</v>
      </c>
      <c r="T231" s="30">
        <f>(P231)*IF(N231&lt;Forudsætninger!$B$228,IF(N231&lt;Forudsætninger!$B$227,Forudsætninger!$B$225,Forudsætninger!$C$9),Forudsætninger!$C$11)+O231</f>
        <v>19.692345222780638</v>
      </c>
      <c r="U231" s="33">
        <f>Forudsætninger!$E$68+((K231-(Forudsætninger!$E$84)))*0.01</f>
        <v>6.5929857322087901</v>
      </c>
      <c r="V231" s="30">
        <f>U231+Forudsætninger!$E$69</f>
        <v>6.5929857322087901</v>
      </c>
      <c r="W231" s="7">
        <f t="shared" si="87"/>
        <v>1</v>
      </c>
      <c r="X231" s="7">
        <f>IF(A231+Forudsætninger!$E$60&gt;248,IF(A231+Forudsætninger!$E$60&lt;365,IF(K231&gt;180,IF(K231&lt;260,1,0),0),0),0)</f>
        <v>1</v>
      </c>
      <c r="Y231" s="31">
        <f>IF(X231=0,0,IF('Vækstfunktion, kry kvie'!A231&lt;Forudsætninger!$E$66,Forudsætninger!$E$67+(('Vækstfunktion, kry kvie'!A231-Forudsætninger!$E$66)/7)*Forudsætninger!$E$64,Forudsætninger!$E$67))</f>
        <v>0.87799999999999989</v>
      </c>
      <c r="Z231" s="30">
        <f t="shared" si="102"/>
        <v>3562.7300539491371</v>
      </c>
      <c r="AA231" s="30">
        <f>Forudsætninger!$E$62+Forudsætninger!$C$16</f>
        <v>1575</v>
      </c>
      <c r="AB231" s="30">
        <f>IF(K231&gt;Forudsætninger!$C$48,IF(K231&gt;Forudsætninger!$C$49,IF(K231&gt;Forudsætninger!$C$50,Forudsætninger!$E$50,Forudsætninger!$E$49+Forudsætninger!$F$50*(K231-Forudsætninger!$C$49)),Forudsætninger!$E$48+Forudsætninger!$F$49*(K231-Forudsætninger!$C$48)),Forudsætninger!$E$48)+IF(K231&gt;Forudsætninger!$C$50,Forudsætninger!$G$50,IF(K231&gt;Forudsætninger!$C$49,Forudsætninger!$G$49+Forudsætninger!$H$50*(K231-Forudsætninger!$C$49),IF(K231&gt;Forudsætninger!$C$48,Forudsætninger!$G$48+Forudsætninger!$H$49*(K231-Forudsætninger!$C$48),Forudsætninger!$G$48)))*(U231-Forudsætninger!$H$48)</f>
        <v>35.539512656223657</v>
      </c>
      <c r="AC231" s="30">
        <f>IF(K231&gt;Forudsætninger!$C$52,IF(K231&gt;Forudsætninger!$C$53,IF(K231&gt;Forudsætninger!$C$54,Forudsætninger!$E$54,Forudsætninger!$E$53+Forudsætninger!$F$54*(K231-Forudsætninger!$C$53)),Forudsætninger!$E$52+Forudsætninger!$F$53*(K231-Forudsætninger!$C$52)),Forudsætninger!$E$52)+IF(K231&gt;Forudsætninger!$C$54,Forudsætninger!$G$54,IF(K231&gt;Forudsætninger!$C$53,Forudsætninger!$G$53+Forudsætninger!$H$54*(K231-Forudsætninger!$C$53),IF(K231&gt;Forudsætninger!$C$52,Forudsætninger!$G$52+Forudsætninger!$H$53*(K231-Forudsætninger!$C$52),Forudsætninger!$G$52)))*(V231-Forudsætninger!$H$52)</f>
        <v>30.298246433052196</v>
      </c>
      <c r="AD231" s="30">
        <f t="shared" si="88"/>
        <v>6548.7275283073868</v>
      </c>
      <c r="AE231" s="30">
        <f t="shared" si="89"/>
        <v>34.900078176996743</v>
      </c>
      <c r="AF231" s="7">
        <f>IF(G231&lt;=Forudsætninger!$C$97,Forudsætninger!$C$98,(IF(G231&lt;=Forudsætninger!$D$97,Forudsætninger!$D$98,IF(G231&lt;=Forudsætninger!$E$97,Forudsætninger!$E$98,IF(G231&lt;=Forudsætninger!$F$97,Forudsætninger!$F$98,IF(G231&lt;=Forudsætninger!$G$97,Forudsætninger!$G$98,IF(G231&lt;=Forudsætninger!$H$97,Forudsætninger!$H$98,IF(G231&lt;=Forudsætninger!$I$97,Forudsætninger!$I$98,Forudsætninger!$I$98))))))))</f>
        <v>3.8</v>
      </c>
      <c r="AG231" s="21">
        <f t="shared" si="99"/>
        <v>4.4000000000000004</v>
      </c>
      <c r="AH231" s="21">
        <f t="shared" si="103"/>
        <v>667.19999999999777</v>
      </c>
      <c r="AI231" s="21">
        <f t="shared" si="90"/>
        <v>2.9135371179039202</v>
      </c>
      <c r="AJ231" s="28">
        <f>+(W231*Forudsætninger!$C$12)</f>
        <v>900</v>
      </c>
      <c r="AK231" s="28">
        <f>Forudsætninger!$C$17</f>
        <v>250</v>
      </c>
      <c r="AL231" s="28">
        <f>IF(A231&lt;92,Forudsætninger!$C$20,Forudsætninger!$C$21)</f>
        <v>1.0566762728146013</v>
      </c>
      <c r="AM231" s="28">
        <f t="shared" si="100"/>
        <v>510.48434932783613</v>
      </c>
      <c r="AN231" s="30">
        <f>IFERROR(AD231+AJ231-AA231-Z231-AK231-AM231-Forudsætninger!$E$75,-999999)</f>
        <v>1359.296363693798</v>
      </c>
      <c r="AO231" s="30">
        <f>IFERROR(AN231/(A231+Forudsætninger!$E$74),-999999)</f>
        <v>5.9357919811956243</v>
      </c>
      <c r="AP231" s="30">
        <f>IFERROR(((365/(A231+Forudsætninger!$E$74))*AN231)/(AI231+Forudsætninger!$E$73),-999999)</f>
        <v>716.56605778280721</v>
      </c>
      <c r="AQ231" s="28">
        <f t="shared" si="91"/>
        <v>229</v>
      </c>
      <c r="AR231" s="28">
        <f t="shared" si="104"/>
        <v>5898.2144032769729</v>
      </c>
      <c r="AS231" s="28">
        <f t="shared" si="83"/>
        <v>8.6999999999999993</v>
      </c>
      <c r="AT231" s="30">
        <f t="shared" si="105"/>
        <v>11.312974161951161</v>
      </c>
      <c r="AU231" s="30">
        <f t="shared" si="106"/>
        <v>2.3584132371734512E-2</v>
      </c>
      <c r="AV231" s="30">
        <f t="shared" si="107"/>
        <v>1.304766308820831</v>
      </c>
      <c r="AW231" s="16">
        <f t="shared" si="101"/>
        <v>8.1649812795704548</v>
      </c>
      <c r="AX231" s="28"/>
      <c r="AZ231" s="32"/>
      <c r="BA231" s="30"/>
      <c r="BB231" s="28"/>
      <c r="BC231" s="33"/>
      <c r="BD231" s="30"/>
      <c r="BE231" s="30"/>
      <c r="BF231" s="30"/>
    </row>
    <row r="232" spans="1:58" x14ac:dyDescent="0.25">
      <c r="A232">
        <v>230</v>
      </c>
      <c r="B232" s="1">
        <f>ROUND((A232+Forudsætninger!$E$60)/30.4,1)</f>
        <v>8.8000000000000007</v>
      </c>
      <c r="C232" s="1">
        <f>VLOOKUP((A232+Forudsætninger!$E$60),'Model tilvækst, slagteform, fe'!A:D,4,FALSE)</f>
        <v>385.16258498076883</v>
      </c>
      <c r="D232" s="3">
        <f t="shared" si="108"/>
        <v>1291.2266311191729</v>
      </c>
      <c r="E232" s="3">
        <f>(1+Forudsætninger!$E$78)*C232</f>
        <v>354.34957818230731</v>
      </c>
      <c r="F232" s="2">
        <f t="shared" si="92"/>
        <v>0</v>
      </c>
      <c r="G232" s="1">
        <f t="shared" si="84"/>
        <v>354.34957818230731</v>
      </c>
      <c r="H232" s="3">
        <f t="shared" si="93"/>
        <v>1187.9285006295959</v>
      </c>
      <c r="I232" s="3">
        <f t="shared" si="85"/>
        <v>1244.9981660100318</v>
      </c>
      <c r="J232" s="1">
        <f>VLOOKUP((A232+Forudsætninger!$E$60),'Model tilvækst, slagteform, fe'!G:K,4,FALSE)*(1+Forudsætninger!$E$79)</f>
        <v>53.144533727365257</v>
      </c>
      <c r="K232" s="17">
        <f t="shared" si="86"/>
        <v>188.31743108987285</v>
      </c>
      <c r="L232" s="17">
        <f t="shared" si="94"/>
        <v>675.22882616077595</v>
      </c>
      <c r="M232" s="3">
        <f>((K232-(('Model tilvækst, slagteform, fe'!$J$9/100)*'Model tilvækst, slagteform, fe'!$D$9))*1000/(A232+Forudsætninger!$E$60))</f>
        <v>631.89106374071275</v>
      </c>
      <c r="N232" s="17">
        <f t="shared" si="95"/>
        <v>1184.731435269249</v>
      </c>
      <c r="O232" s="19">
        <f>IF( A232&lt;Forudsætninger!$C$14,(G232/100)*Forudsætninger!$C$13,(Forudsætninger!$C$15/1000)*Forudsætninger!$C$13)</f>
        <v>2.3032722581849976</v>
      </c>
      <c r="P232" s="17" cm="1">
        <f t="array" ref="P232">INDEX('Model tilvækst, slagteform, fe'!$P$9:$P$375,MATCH(MIN(ABS('Model tilvækst, slagteform, fe'!$M$9:$M$375-G232)),ABS('Model tilvækst, slagteform, fe'!$M$9:$M$375-G232),0))*(1+Forudsætninger!$E$80)</f>
        <v>7.437327225657258</v>
      </c>
      <c r="Q232" s="17">
        <f t="shared" si="96"/>
        <v>11.014528612388338</v>
      </c>
      <c r="R232" s="17">
        <f t="shared" si="97"/>
        <v>7.6261709894058649</v>
      </c>
      <c r="S232" s="17">
        <f t="shared" si="98"/>
        <v>4.1373605045612392</v>
      </c>
      <c r="T232" s="19">
        <f>(P232)*IF(N232&lt;Forudsætninger!$B$228,IF(N232&lt;Forudsætninger!$B$227,Forudsætninger!$B$225,Forudsætninger!$C$9),Forudsætninger!$C$11)+O232</f>
        <v>19.706617966222979</v>
      </c>
      <c r="U232" s="5">
        <f>Forudsætninger!$E$68+((K232-(Forudsætninger!$E$84)))*0.01</f>
        <v>6.5997380204703981</v>
      </c>
      <c r="V232" s="2">
        <f>U232+Forudsætninger!$E$69</f>
        <v>6.5997380204703981</v>
      </c>
      <c r="W232">
        <f t="shared" si="87"/>
        <v>1</v>
      </c>
      <c r="X232">
        <f>IF(A232+Forudsætninger!$E$60&gt;248,IF(A232+Forudsætninger!$E$60&lt;365,IF(K232&gt;180,IF(K232&lt;260,1,0),0),0),0)</f>
        <v>1</v>
      </c>
      <c r="Y232" s="22">
        <f>IF(X232=0,0,IF('Vækstfunktion, kry kvie'!A232&lt;Forudsætninger!$E$66,Forudsætninger!$E$67+(('Vækstfunktion, kry kvie'!A232-Forudsætninger!$E$66)/7)*Forudsætninger!$E$64,Forudsætninger!$E$67))</f>
        <v>0.88228571428571423</v>
      </c>
      <c r="Z232" s="19">
        <f t="shared" si="102"/>
        <v>3582.43667191536</v>
      </c>
      <c r="AA232" s="19">
        <f>Forudsætninger!$E$62+Forudsætninger!$C$16</f>
        <v>1575</v>
      </c>
      <c r="AB232" s="19">
        <f>IF(K232&gt;Forudsætninger!$C$48,IF(K232&gt;Forudsætninger!$C$49,IF(K232&gt;Forudsætninger!$C$50,Forudsætninger!$E$50,Forudsætninger!$E$49+Forudsætninger!$F$50*(K232-Forudsætninger!$C$49)),Forudsætninger!$E$48+Forudsætninger!$F$49*(K232-Forudsætninger!$C$48)),Forudsætninger!$E$48)+IF(K232&gt;Forudsætninger!$C$50,Forudsætninger!$G$50,IF(K232&gt;Forudsætninger!$C$49,Forudsætninger!$G$49+Forudsætninger!$H$50*(K232-Forudsætninger!$C$49),IF(K232&gt;Forudsætninger!$C$48,Forudsætninger!$G$48+Forudsætninger!$H$49*(K232-Forudsætninger!$C$48),Forudsætninger!$G$48)))*(U232-Forudsætninger!$H$48)</f>
        <v>35.564946275342379</v>
      </c>
      <c r="AC232" s="19">
        <f>IF(K232&gt;Forudsætninger!$C$52,IF(K232&gt;Forudsætninger!$C$53,IF(K232&gt;Forudsætninger!$C$54,Forudsætninger!$E$54,Forudsætninger!$E$53+Forudsætninger!$F$54*(K232-Forudsætninger!$C$53)),Forudsætninger!$E$52+Forudsætninger!$F$53*(K232-Forudsætninger!$C$52)),Forudsætninger!$E$52)+IF(K232&gt;Forudsætninger!$C$54,Forudsætninger!$G$54,IF(K232&gt;Forudsætninger!$C$53,Forudsætninger!$G$53+Forudsætninger!$H$54*(K232-Forudsætninger!$C$53),IF(K232&gt;Forudsætninger!$C$52,Forudsætninger!$G$52+Forudsætninger!$H$53*(K232-Forudsætninger!$C$52),Forudsætninger!$G$52)))*(V232-Forudsætninger!$H$52)</f>
        <v>30.299934505117598</v>
      </c>
      <c r="AD232" s="19">
        <f t="shared" si="88"/>
        <v>6580.7863713117076</v>
      </c>
      <c r="AE232" s="19">
        <f t="shared" si="89"/>
        <v>34.945179175533063</v>
      </c>
      <c r="AF232">
        <f>IF(G232&lt;=Forudsætninger!$C$97,Forudsætninger!$C$98,(IF(G232&lt;=Forudsætninger!$D$97,Forudsætninger!$D$98,IF(G232&lt;=Forudsætninger!$E$97,Forudsætninger!$E$98,IF(G232&lt;=Forudsætninger!$F$97,Forudsætninger!$F$98,IF(G232&lt;=Forudsætninger!$G$97,Forudsætninger!$G$98,IF(G232&lt;=Forudsætninger!$H$97,Forudsætninger!$H$98,IF(G232&lt;=Forudsætninger!$I$97,Forudsætninger!$I$98,Forudsætninger!$I$98))))))))</f>
        <v>3.8</v>
      </c>
      <c r="AG232" s="1">
        <f t="shared" si="99"/>
        <v>4.4000000000000004</v>
      </c>
      <c r="AH232" s="1">
        <f t="shared" si="103"/>
        <v>671.59999999999775</v>
      </c>
      <c r="AI232" s="1">
        <f t="shared" si="90"/>
        <v>2.9199999999999902</v>
      </c>
      <c r="AJ232" s="20">
        <f>+(W232*Forudsætninger!$C$12)</f>
        <v>900</v>
      </c>
      <c r="AK232" s="20">
        <f>Forudsætninger!$C$17</f>
        <v>250</v>
      </c>
      <c r="AL232" s="20">
        <f>IF(A232&lt;92,Forudsætninger!$C$20,Forudsætninger!$C$21)</f>
        <v>1.0566762728146013</v>
      </c>
      <c r="AM232" s="20">
        <f t="shared" si="100"/>
        <v>511.54102560065076</v>
      </c>
      <c r="AN232" s="19">
        <f>IFERROR(AD232+AJ232-AA232-Z232-AK232-AM232-Forudsætninger!$E$75,-999999)</f>
        <v>1370.5919124590812</v>
      </c>
      <c r="AO232" s="19">
        <f>IFERROR(AN232/(A232+Forudsætninger!$E$74),-999999)</f>
        <v>5.9590952715612229</v>
      </c>
      <c r="AP232" s="19">
        <f>IFERROR(((365/(A232+Forudsætninger!$E$74))*AN232)/(AI232+Forudsætninger!$E$73),-999999)</f>
        <v>717.84480994054559</v>
      </c>
      <c r="AQ232" s="18">
        <f t="shared" si="91"/>
        <v>230</v>
      </c>
      <c r="AR232" s="18">
        <f t="shared" si="104"/>
        <v>5918.9776975160112</v>
      </c>
      <c r="AS232" s="18">
        <f t="shared" si="83"/>
        <v>8.8000000000000007</v>
      </c>
      <c r="AT232" s="50">
        <f t="shared" si="105"/>
        <v>11.295548765283229</v>
      </c>
      <c r="AU232" s="50">
        <f t="shared" si="106"/>
        <v>2.3303290365598528E-2</v>
      </c>
      <c r="AV232" s="2">
        <f t="shared" si="107"/>
        <v>1.2787521577383814</v>
      </c>
      <c r="AW232" s="16">
        <f t="shared" si="101"/>
        <v>8.1831866872162262</v>
      </c>
      <c r="AZ232" s="16"/>
      <c r="BA232" s="2"/>
    </row>
    <row r="233" spans="1:58" x14ac:dyDescent="0.25">
      <c r="A233">
        <v>231</v>
      </c>
      <c r="B233" s="1">
        <f>ROUND((A233+Forudsætninger!$E$60)/30.4,1)</f>
        <v>8.8000000000000007</v>
      </c>
      <c r="C233" s="1">
        <f>VLOOKUP((A233+Forudsætninger!$E$60),'Model tilvækst, slagteform, fe'!A:D,4,FALSE)</f>
        <v>386.44913196047742</v>
      </c>
      <c r="D233" s="3">
        <f t="shared" si="108"/>
        <v>1286.5469797085893</v>
      </c>
      <c r="E233" s="3">
        <f>(1+Forudsætninger!$E$78)*C233</f>
        <v>355.53320140363923</v>
      </c>
      <c r="F233" s="2">
        <f t="shared" si="92"/>
        <v>0</v>
      </c>
      <c r="G233" s="1">
        <f t="shared" si="84"/>
        <v>355.53320140363923</v>
      </c>
      <c r="H233" s="3">
        <f t="shared" si="93"/>
        <v>1183.6232213319136</v>
      </c>
      <c r="I233" s="3">
        <f t="shared" si="85"/>
        <v>1244.7324736088278</v>
      </c>
      <c r="J233" s="1">
        <f>VLOOKUP((A233+Forudsætninger!$E$60),'Model tilvækst, slagteform, fe'!G:K,4,FALSE)*(1+Forudsætninger!$E$79)</f>
        <v>53.156828321629781</v>
      </c>
      <c r="K233" s="17">
        <f t="shared" si="86"/>
        <v>188.99017349652675</v>
      </c>
      <c r="L233" s="17">
        <f t="shared" si="94"/>
        <v>672.74240665389584</v>
      </c>
      <c r="M233" s="3">
        <f>((K233-(('Model tilvækst, slagteform, fe'!$J$9/100)*'Model tilvækst, slagteform, fe'!$D$9))*1000/(A233+Forudsætninger!$E$60))</f>
        <v>632.04406502503184</v>
      </c>
      <c r="N233" s="17">
        <f t="shared" si="95"/>
        <v>1192.1714383555429</v>
      </c>
      <c r="O233" s="19">
        <f>IF( A233&lt;Forudsætninger!$C$14,(G233/100)*Forudsætninger!$C$13,(Forudsætninger!$C$15/1000)*Forudsætninger!$C$13)</f>
        <v>2.3109658091236551</v>
      </c>
      <c r="P233" s="17" cm="1">
        <f t="array" ref="P233">INDEX('Model tilvækst, slagteform, fe'!$P$9:$P$375,MATCH(MIN(ABS('Model tilvækst, slagteform, fe'!$M$9:$M$375-G233)),ABS('Model tilvækst, slagteform, fe'!$M$9:$M$375-G233),0))*(1+Forudsætninger!$E$80)</f>
        <v>7.4400030862940358</v>
      </c>
      <c r="Q233" s="17">
        <f t="shared" si="96"/>
        <v>11.059215254913573</v>
      </c>
      <c r="R233" s="17">
        <f t="shared" si="97"/>
        <v>7.6409735958846774</v>
      </c>
      <c r="S233" s="17">
        <f t="shared" si="98"/>
        <v>4.1462044471239068</v>
      </c>
      <c r="T233" s="19">
        <f>(P233)*IF(N233&lt;Forudsætninger!$B$228,IF(N233&lt;Forudsætninger!$B$227,Forudsætninger!$B$225,Forudsætninger!$C$9),Forudsætninger!$C$11)+O233</f>
        <v>19.720573031051696</v>
      </c>
      <c r="U233" s="5">
        <f>Forudsætninger!$E$68+((K233-(Forudsætninger!$E$84)))*0.01</f>
        <v>6.6064654445369371</v>
      </c>
      <c r="V233" s="2">
        <f>U233+Forudsætninger!$E$69</f>
        <v>6.6064654445369371</v>
      </c>
      <c r="W233">
        <f t="shared" si="87"/>
        <v>1</v>
      </c>
      <c r="X233">
        <f>IF(A233+Forudsætninger!$E$60&gt;248,IF(A233+Forudsætninger!$E$60&lt;365,IF(K233&gt;180,IF(K233&lt;260,1,0),0),0),0)</f>
        <v>1</v>
      </c>
      <c r="Y233" s="22">
        <f>IF(X233=0,0,IF('Vækstfunktion, kry kvie'!A233&lt;Forudsætninger!$E$66,Forudsætninger!$E$67+(('Vækstfunktion, kry kvie'!A233-Forudsætninger!$E$66)/7)*Forudsætninger!$E$64,Forudsætninger!$E$67))</f>
        <v>0.88657142857142845</v>
      </c>
      <c r="Z233" s="19">
        <f t="shared" si="102"/>
        <v>3602.1572449464115</v>
      </c>
      <c r="AA233" s="19">
        <f>Forudsætninger!$E$62+Forudsætninger!$C$16</f>
        <v>1575</v>
      </c>
      <c r="AB233" s="19">
        <f>IF(K233&gt;Forudsætninger!$C$48,IF(K233&gt;Forudsætninger!$C$49,IF(K233&gt;Forudsætninger!$C$50,Forudsætninger!$E$50,Forudsætninger!$E$49+Forudsætninger!$F$50*(K233-Forudsætninger!$C$49)),Forudsætninger!$E$48+Forudsætninger!$F$49*(K233-Forudsætninger!$C$48)),Forudsætninger!$E$48)+IF(K233&gt;Forudsætninger!$C$50,Forudsætninger!$G$50,IF(K233&gt;Forudsætninger!$C$49,Forudsætninger!$G$49+Forudsætninger!$H$50*(K233-Forudsætninger!$C$49),IF(K233&gt;Forudsætninger!$C$48,Forudsætninger!$G$48+Forudsætninger!$H$49*(K233-Forudsætninger!$C$48),Forudsætninger!$G$48)))*(U233-Forudsætninger!$H$48)</f>
        <v>35.590286239326339</v>
      </c>
      <c r="AC233" s="19">
        <f>IF(K233&gt;Forudsætninger!$C$52,IF(K233&gt;Forudsætninger!$C$53,IF(K233&gt;Forudsætninger!$C$54,Forudsætninger!$E$54,Forudsætninger!$E$53+Forudsætninger!$F$54*(K233-Forudsætninger!$C$53)),Forudsætninger!$E$52+Forudsætninger!$F$53*(K233-Forudsætninger!$C$52)),Forudsætninger!$E$52)+IF(K233&gt;Forudsætninger!$C$54,Forudsætninger!$G$54,IF(K233&gt;Forudsætninger!$C$53,Forudsætninger!$G$53+Forudsætninger!$H$54*(K233-Forudsætninger!$C$53),IF(K233&gt;Forudsætninger!$C$52,Forudsætninger!$G$52+Forudsætninger!$H$53*(K233-Forudsætninger!$C$52),Forudsætninger!$G$52)))*(V233-Forudsætninger!$H$52)</f>
        <v>30.301616361134233</v>
      </c>
      <c r="AD233" s="19">
        <f t="shared" si="88"/>
        <v>6612.8417610971574</v>
      </c>
      <c r="AE233" s="19">
        <f t="shared" si="89"/>
        <v>34.990399970285694</v>
      </c>
      <c r="AF233">
        <f>IF(G233&lt;=Forudsætninger!$C$97,Forudsætninger!$C$98,(IF(G233&lt;=Forudsætninger!$D$97,Forudsætninger!$D$98,IF(G233&lt;=Forudsætninger!$E$97,Forudsætninger!$E$98,IF(G233&lt;=Forudsætninger!$F$97,Forudsætninger!$F$98,IF(G233&lt;=Forudsætninger!$G$97,Forudsætninger!$G$98,IF(G233&lt;=Forudsætninger!$H$97,Forudsætninger!$H$98,IF(G233&lt;=Forudsætninger!$I$97,Forudsætninger!$I$98,Forudsætninger!$I$98))))))))</f>
        <v>3.8</v>
      </c>
      <c r="AG233" s="1">
        <f t="shared" si="99"/>
        <v>4.4000000000000004</v>
      </c>
      <c r="AH233" s="1">
        <f t="shared" si="103"/>
        <v>675.99999999999773</v>
      </c>
      <c r="AI233" s="1">
        <f t="shared" si="90"/>
        <v>2.9264069264069166</v>
      </c>
      <c r="AJ233" s="20">
        <f>+(W233*Forudsætninger!$C$12)</f>
        <v>900</v>
      </c>
      <c r="AK233" s="20">
        <f>Forudsætninger!$C$17</f>
        <v>250</v>
      </c>
      <c r="AL233" s="20">
        <f>IF(A233&lt;92,Forudsætninger!$C$20,Forudsætninger!$C$21)</f>
        <v>1.0566762728146013</v>
      </c>
      <c r="AM233" s="20">
        <f t="shared" si="100"/>
        <v>512.59770187346533</v>
      </c>
      <c r="AN233" s="19">
        <f>IFERROR(AD233+AJ233-AA233-Z233-AK233-AM233-Forudsætninger!$E$75,-999999)</f>
        <v>1381.8700529406649</v>
      </c>
      <c r="AO233" s="19">
        <f>IFERROR(AN233/(A233+Forudsætninger!$E$74),-999999)</f>
        <v>5.9821214413015795</v>
      </c>
      <c r="AP233" s="19">
        <f>IFERROR(((365/(A233+Forudsætninger!$E$74))*AN233)/(AI233+Forudsætninger!$E$73),-999999)</f>
        <v>719.09805865805208</v>
      </c>
      <c r="AQ233" s="18">
        <f t="shared" si="91"/>
        <v>231</v>
      </c>
      <c r="AR233" s="18">
        <f t="shared" si="104"/>
        <v>5939.7549468198767</v>
      </c>
      <c r="AS233" s="18">
        <f t="shared" si="83"/>
        <v>8.8000000000000007</v>
      </c>
      <c r="AT233" s="50">
        <f t="shared" si="105"/>
        <v>11.278140481583705</v>
      </c>
      <c r="AU233" s="50">
        <f t="shared" si="106"/>
        <v>2.302616974035665E-2</v>
      </c>
      <c r="AV233" s="2">
        <f t="shared" si="107"/>
        <v>1.2532487175064944</v>
      </c>
      <c r="AW233" s="16">
        <f t="shared" si="101"/>
        <v>8.2011591117494813</v>
      </c>
      <c r="AZ233" s="16"/>
      <c r="BA233" s="2"/>
    </row>
    <row r="234" spans="1:58" x14ac:dyDescent="0.25">
      <c r="A234">
        <v>232</v>
      </c>
      <c r="B234" s="1">
        <f>ROUND((A234+Forudsætninger!$E$60)/30.4,1)</f>
        <v>8.8000000000000007</v>
      </c>
      <c r="C234" s="1">
        <f>VLOOKUP((A234+Forudsætninger!$E$60),'Model tilvækst, slagteform, fe'!A:D,4,FALSE)</f>
        <v>387.73098517426934</v>
      </c>
      <c r="D234" s="3">
        <f t="shared" si="108"/>
        <v>1281.8532137919192</v>
      </c>
      <c r="E234" s="3">
        <f>(1+Forudsætninger!$E$78)*C234</f>
        <v>356.71250636032778</v>
      </c>
      <c r="F234" s="2">
        <f t="shared" si="92"/>
        <v>0</v>
      </c>
      <c r="G234" s="1">
        <f t="shared" si="84"/>
        <v>356.71250636032778</v>
      </c>
      <c r="H234" s="3">
        <f t="shared" si="93"/>
        <v>1179.3049566885543</v>
      </c>
      <c r="I234" s="3">
        <f t="shared" si="85"/>
        <v>1244.4504584496885</v>
      </c>
      <c r="J234" s="1">
        <f>VLOOKUP((A234+Forudsætninger!$E$60),'Model tilvækst, slagteform, fe'!G:K,4,FALSE)*(1+Forudsætninger!$E$79)</f>
        <v>53.168988102629974</v>
      </c>
      <c r="K234" s="17">
        <f t="shared" si="86"/>
        <v>189.66043006731587</v>
      </c>
      <c r="L234" s="17">
        <f t="shared" si="94"/>
        <v>670.25657078912104</v>
      </c>
      <c r="M234" s="3">
        <f>((K234-(('Model tilvækst, slagteform, fe'!$J$9/100)*'Model tilvækst, slagteform, fe'!$D$9))*1000/(A234+Forudsætninger!$E$60))</f>
        <v>632.1866490017635</v>
      </c>
      <c r="N234" s="17">
        <f t="shared" si="95"/>
        <v>1199.6139987218164</v>
      </c>
      <c r="O234" s="19">
        <f>IF( A234&lt;Forudsætninger!$C$14,(G234/100)*Forudsætninger!$C$13,(Forudsætninger!$C$15/1000)*Forudsætninger!$C$13)</f>
        <v>2.3186312913421308</v>
      </c>
      <c r="P234" s="17" cm="1">
        <f t="array" ref="P234">INDEX('Model tilvækst, slagteform, fe'!$P$9:$P$375,MATCH(MIN(ABS('Model tilvækst, slagteform, fe'!$M$9:$M$375-G234)),ABS('Model tilvækst, slagteform, fe'!$M$9:$M$375-G234),0))*(1+Forudsætninger!$E$80)</f>
        <v>7.4425603662733764</v>
      </c>
      <c r="Q234" s="17">
        <f t="shared" si="96"/>
        <v>11.104046854044174</v>
      </c>
      <c r="R234" s="17">
        <f t="shared" si="97"/>
        <v>7.6557868703113749</v>
      </c>
      <c r="S234" s="17">
        <f t="shared" si="98"/>
        <v>4.1550468798349787</v>
      </c>
      <c r="T234" s="19">
        <f>(P234)*IF(N234&lt;Forudsætninger!$B$228,IF(N234&lt;Forudsætninger!$B$227,Forudsætninger!$B$225,Forudsætninger!$C$9),Forudsætninger!$C$11)+O234</f>
        <v>19.734222548421833</v>
      </c>
      <c r="U234" s="5">
        <f>Forudsætninger!$E$68+((K234-(Forudsætninger!$E$84)))*0.01</f>
        <v>6.613168010244828</v>
      </c>
      <c r="V234" s="2">
        <f>U234+Forudsætninger!$E$69</f>
        <v>6.613168010244828</v>
      </c>
      <c r="W234">
        <f t="shared" si="87"/>
        <v>1</v>
      </c>
      <c r="X234">
        <f>IF(A234+Forudsætninger!$E$60&gt;248,IF(A234+Forudsætninger!$E$60&lt;365,IF(K234&gt;180,IF(K234&lt;260,1,0),0),0),0)</f>
        <v>1</v>
      </c>
      <c r="Y234" s="22">
        <f>IF(X234=0,0,IF('Vækstfunktion, kry kvie'!A234&lt;Forudsætninger!$E$66,Forudsætninger!$E$67+(('Vækstfunktion, kry kvie'!A234-Forudsætninger!$E$66)/7)*Forudsætninger!$E$64,Forudsætninger!$E$67))</f>
        <v>0.89085714285714279</v>
      </c>
      <c r="Z234" s="19">
        <f t="shared" si="102"/>
        <v>3621.8914674948333</v>
      </c>
      <c r="AA234" s="19">
        <f>Forudsætninger!$E$62+Forudsætninger!$C$16</f>
        <v>1575</v>
      </c>
      <c r="AB234" s="19">
        <f>IF(K234&gt;Forudsætninger!$C$48,IF(K234&gt;Forudsætninger!$C$49,IF(K234&gt;Forudsætninger!$C$50,Forudsætninger!$E$50,Forudsætninger!$E$49+Forudsætninger!$F$50*(K234-Forudsætninger!$C$49)),Forudsætninger!$E$48+Forudsætninger!$F$49*(K234-Forudsætninger!$C$48)),Forudsætninger!$E$48)+IF(K234&gt;Forudsætninger!$C$50,Forudsætninger!$G$50,IF(K234&gt;Forudsætninger!$C$49,Forudsætninger!$G$49+Forudsætninger!$H$50*(K234-Forudsætninger!$C$49),IF(K234&gt;Forudsætninger!$C$48,Forudsætninger!$G$48+Forudsætninger!$H$49*(K234-Forudsætninger!$C$48),Forudsætninger!$G$48)))*(U234-Forudsætninger!$H$48)</f>
        <v>35.615532570159402</v>
      </c>
      <c r="AC234" s="19">
        <f>IF(K234&gt;Forudsætninger!$C$52,IF(K234&gt;Forudsætninger!$C$53,IF(K234&gt;Forudsætninger!$C$54,Forudsætninger!$E$54,Forudsætninger!$E$53+Forudsætninger!$F$54*(K234-Forudsætninger!$C$53)),Forudsætninger!$E$52+Forudsætninger!$F$53*(K234-Forudsætninger!$C$52)),Forudsætninger!$E$52)+IF(K234&gt;Forudsætninger!$C$54,Forudsætninger!$G$54,IF(K234&gt;Forudsætninger!$C$53,Forudsætninger!$G$53+Forudsætninger!$H$54*(K234-Forudsætninger!$C$53),IF(K234&gt;Forudsætninger!$C$52,Forudsætninger!$G$52+Forudsætninger!$H$53*(K234-Forudsætninger!$C$52),Forudsætninger!$G$52)))*(V234-Forudsætninger!$H$52)</f>
        <v>30.303292002561207</v>
      </c>
      <c r="AD234" s="19">
        <f t="shared" si="88"/>
        <v>6644.8934130996149</v>
      </c>
      <c r="AE234" s="19">
        <f t="shared" si="89"/>
        <v>35.035739456781542</v>
      </c>
      <c r="AF234">
        <f>IF(G234&lt;=Forudsætninger!$C$97,Forudsætninger!$C$98,(IF(G234&lt;=Forudsætninger!$D$97,Forudsætninger!$D$98,IF(G234&lt;=Forudsætninger!$E$97,Forudsætninger!$E$98,IF(G234&lt;=Forudsætninger!$F$97,Forudsætninger!$F$98,IF(G234&lt;=Forudsætninger!$G$97,Forudsætninger!$G$98,IF(G234&lt;=Forudsætninger!$H$97,Forudsætninger!$H$98,IF(G234&lt;=Forudsætninger!$I$97,Forudsætninger!$I$98,Forudsætninger!$I$98))))))))</f>
        <v>3.8</v>
      </c>
      <c r="AG234" s="1">
        <f t="shared" si="99"/>
        <v>4.4000000000000004</v>
      </c>
      <c r="AH234" s="1">
        <f t="shared" si="103"/>
        <v>680.3999999999977</v>
      </c>
      <c r="AI234" s="1">
        <f t="shared" si="90"/>
        <v>2.9327586206896452</v>
      </c>
      <c r="AJ234" s="20">
        <f>+(W234*Forudsætninger!$C$12)</f>
        <v>900</v>
      </c>
      <c r="AK234" s="20">
        <f>Forudsætninger!$C$17</f>
        <v>250</v>
      </c>
      <c r="AL234" s="20">
        <f>IF(A234&lt;92,Forudsætninger!$C$20,Forudsætninger!$C$21)</f>
        <v>1.0566762728146013</v>
      </c>
      <c r="AM234" s="20">
        <f t="shared" si="100"/>
        <v>513.6543781462799</v>
      </c>
      <c r="AN234" s="19">
        <f>IFERROR(AD234+AJ234-AA234-Z234-AK234-AM234-Forudsætninger!$E$75,-999999)</f>
        <v>1393.1308061218861</v>
      </c>
      <c r="AO234" s="19">
        <f>IFERROR(AN234/(A234+Forudsætninger!$E$74),-999999)</f>
        <v>6.0048741643184744</v>
      </c>
      <c r="AP234" s="19">
        <f>IFERROR(((365/(A234+Forudsætninger!$E$74))*AN234)/(AI234+Forudsætninger!$E$73),-999999)</f>
        <v>720.3263035960025</v>
      </c>
      <c r="AQ234" s="18">
        <f t="shared" si="91"/>
        <v>232</v>
      </c>
      <c r="AR234" s="18">
        <f t="shared" si="104"/>
        <v>5960.5458456411134</v>
      </c>
      <c r="AS234" s="18">
        <f t="shared" si="83"/>
        <v>8.8000000000000007</v>
      </c>
      <c r="AT234" s="50">
        <f t="shared" si="105"/>
        <v>11.260753181221162</v>
      </c>
      <c r="AU234" s="50">
        <f t="shared" si="106"/>
        <v>2.2752723016894905E-2</v>
      </c>
      <c r="AV234" s="2">
        <f t="shared" si="107"/>
        <v>1.2282449379504214</v>
      </c>
      <c r="AW234" s="16">
        <f t="shared" si="101"/>
        <v>8.2189016563283008</v>
      </c>
      <c r="AZ234" s="16"/>
      <c r="BA234" s="2"/>
    </row>
    <row r="235" spans="1:58" x14ac:dyDescent="0.25">
      <c r="A235">
        <v>233</v>
      </c>
      <c r="B235" s="1">
        <f>ROUND((A235+Forudsætninger!$E$60)/30.4,1)</f>
        <v>8.8000000000000007</v>
      </c>
      <c r="C235" s="1">
        <f>VLOOKUP((A235+Forudsætninger!$E$60),'Model tilvækst, slagteform, fe'!A:D,4,FALSE)</f>
        <v>389.00813109265852</v>
      </c>
      <c r="D235" s="3">
        <f t="shared" si="108"/>
        <v>1277.1459183891807</v>
      </c>
      <c r="E235" s="3">
        <f>(1+Forudsætninger!$E$78)*C235</f>
        <v>357.88748060524586</v>
      </c>
      <c r="F235" s="2">
        <f t="shared" si="92"/>
        <v>0</v>
      </c>
      <c r="G235" s="1">
        <f t="shared" si="84"/>
        <v>357.88748060524586</v>
      </c>
      <c r="H235" s="3">
        <f t="shared" si="93"/>
        <v>1174.9742449180758</v>
      </c>
      <c r="I235" s="3">
        <f t="shared" si="85"/>
        <v>1244.1522772757332</v>
      </c>
      <c r="J235" s="1">
        <f>VLOOKUP((A235+Forudsætninger!$E$60),'Model tilvækst, slagteform, fe'!G:K,4,FALSE)*(1+Forudsætninger!$E$79)</f>
        <v>53.181016995710529</v>
      </c>
      <c r="K235" s="17">
        <f t="shared" si="86"/>
        <v>190.32820188619601</v>
      </c>
      <c r="L235" s="17">
        <f t="shared" si="94"/>
        <v>667.7718188801407</v>
      </c>
      <c r="M235" s="3">
        <f>((K235-(('Model tilvækst, slagteform, fe'!$J$9/100)*'Model tilvækst, slagteform, fe'!$D$9))*1000/(A235+Forudsætninger!$E$60))</f>
        <v>632.31893587863476</v>
      </c>
      <c r="N235" s="17">
        <f t="shared" si="95"/>
        <v>1207.0590030077365</v>
      </c>
      <c r="O235" s="19">
        <f>IF( A235&lt;Forudsætninger!$C$14,(G235/100)*Forudsætninger!$C$13,(Forudsætninger!$C$15/1000)*Forudsætninger!$C$13)</f>
        <v>2.3262686239340979</v>
      </c>
      <c r="P235" s="17" cm="1">
        <f t="array" ref="P235">INDEX('Model tilvækst, slagteform, fe'!$P$9:$P$375,MATCH(MIN(ABS('Model tilvækst, slagteform, fe'!$M$9:$M$375-G235)),ABS('Model tilvækst, slagteform, fe'!$M$9:$M$375-G235),0))*(1+Forudsætninger!$E$80)</f>
        <v>7.4450042859199757</v>
      </c>
      <c r="Q235" s="17">
        <f t="shared" si="96"/>
        <v>11.14902437543009</v>
      </c>
      <c r="R235" s="17">
        <f t="shared" si="97"/>
        <v>7.6706106051662655</v>
      </c>
      <c r="S235" s="17">
        <f t="shared" si="98"/>
        <v>4.1638880040199062</v>
      </c>
      <c r="T235" s="19">
        <f>(P235)*IF(N235&lt;Forudsætninger!$B$228,IF(N235&lt;Forudsætninger!$B$227,Forudsætninger!$B$225,Forudsætninger!$C$9),Forudsætninger!$C$11)+O235</f>
        <v>19.747578652986839</v>
      </c>
      <c r="U235" s="5">
        <f>Forudsætninger!$E$68+((K235-(Forudsætninger!$E$84)))*0.01</f>
        <v>6.6198457284336296</v>
      </c>
      <c r="V235" s="2">
        <f>U235+Forudsætninger!$E$69</f>
        <v>6.6198457284336296</v>
      </c>
      <c r="W235">
        <f t="shared" si="87"/>
        <v>1</v>
      </c>
      <c r="X235">
        <f>IF(A235+Forudsætninger!$E$60&gt;248,IF(A235+Forudsætninger!$E$60&lt;365,IF(K235&gt;180,IF(K235&lt;260,1,0),0),0),0)</f>
        <v>1</v>
      </c>
      <c r="Y235" s="22">
        <f>IF(X235=0,0,IF('Vækstfunktion, kry kvie'!A235&lt;Forudsætninger!$E$66,Forudsætninger!$E$67+(('Vækstfunktion, kry kvie'!A235-Forudsætninger!$E$66)/7)*Forudsætninger!$E$64,Forudsætninger!$E$67))</f>
        <v>0.89514285714285713</v>
      </c>
      <c r="Z235" s="19">
        <f t="shared" si="102"/>
        <v>3641.63904614782</v>
      </c>
      <c r="AA235" s="19">
        <f>Forudsætninger!$E$62+Forudsætninger!$C$16</f>
        <v>1575</v>
      </c>
      <c r="AB235" s="19">
        <f>IF(K235&gt;Forudsætninger!$C$48,IF(K235&gt;Forudsætninger!$C$49,IF(K235&gt;Forudsætninger!$C$50,Forudsætninger!$E$50,Forudsætninger!$E$49+Forudsætninger!$F$50*(K235-Forudsætninger!$C$49)),Forudsætninger!$E$48+Forudsætninger!$F$49*(K235-Forudsætninger!$C$48)),Forudsætninger!$E$48)+IF(K235&gt;Forudsætninger!$C$50,Forudsætninger!$G$50,IF(K235&gt;Forudsætninger!$C$49,Forudsætninger!$G$49+Forudsætninger!$H$50*(K235-Forudsætninger!$C$49),IF(K235&gt;Forudsætninger!$C$48,Forudsætninger!$G$48+Forudsætninger!$H$49*(K235-Forudsætninger!$C$48),Forudsætninger!$G$48)))*(U235-Forudsætninger!$H$48)</f>
        <v>35.640685308670548</v>
      </c>
      <c r="AC235" s="19">
        <f>IF(K235&gt;Forudsætninger!$C$52,IF(K235&gt;Forudsætninger!$C$53,IF(K235&gt;Forudsætninger!$C$54,Forudsætninger!$E$54,Forudsætninger!$E$53+Forudsætninger!$F$54*(K235-Forudsætninger!$C$53)),Forudsætninger!$E$52+Forudsætninger!$F$53*(K235-Forudsætninger!$C$52)),Forudsætninger!$E$52)+IF(K235&gt;Forudsætninger!$C$54,Forudsætninger!$G$54,IF(K235&gt;Forudsætninger!$C$53,Forudsætninger!$G$53+Forudsætninger!$H$54*(K235-Forudsætninger!$C$53),IF(K235&gt;Forudsætninger!$C$52,Forudsætninger!$G$52+Forudsætninger!$H$53*(K235-Forudsætninger!$C$52),Forudsætninger!$G$52)))*(V235-Forudsætninger!$H$52)</f>
        <v>30.304961432108406</v>
      </c>
      <c r="AD235" s="19">
        <f t="shared" si="88"/>
        <v>6676.9410589779582</v>
      </c>
      <c r="AE235" s="19">
        <f t="shared" si="89"/>
        <v>35.081196547899602</v>
      </c>
      <c r="AF235">
        <f>IF(G235&lt;=Forudsætninger!$C$97,Forudsætninger!$C$98,(IF(G235&lt;=Forudsætninger!$D$97,Forudsætninger!$D$98,IF(G235&lt;=Forudsætninger!$E$97,Forudsætninger!$E$98,IF(G235&lt;=Forudsætninger!$F$97,Forudsætninger!$F$98,IF(G235&lt;=Forudsætninger!$G$97,Forudsætninger!$G$98,IF(G235&lt;=Forudsætninger!$H$97,Forudsætninger!$H$98,IF(G235&lt;=Forudsætninger!$I$97,Forudsætninger!$I$98,Forudsætninger!$I$98))))))))</f>
        <v>3.8</v>
      </c>
      <c r="AG235" s="1">
        <f t="shared" si="99"/>
        <v>4.4000000000000004</v>
      </c>
      <c r="AH235" s="1">
        <f t="shared" si="103"/>
        <v>684.79999999999768</v>
      </c>
      <c r="AI235" s="1">
        <f t="shared" si="90"/>
        <v>2.9390557939914062</v>
      </c>
      <c r="AJ235" s="20">
        <f>+(W235*Forudsætninger!$C$12)</f>
        <v>900</v>
      </c>
      <c r="AK235" s="20">
        <f>Forudsætninger!$C$17</f>
        <v>250</v>
      </c>
      <c r="AL235" s="20">
        <f>IF(A235&lt;92,Forudsætninger!$C$20,Forudsætninger!$C$21)</f>
        <v>1.0566762728146013</v>
      </c>
      <c r="AM235" s="20">
        <f t="shared" si="100"/>
        <v>514.71105441909447</v>
      </c>
      <c r="AN235" s="19">
        <f>IFERROR(AD235+AJ235-AA235-Z235-AK235-AM235-Forudsætninger!$E$75,-999999)</f>
        <v>1404.3741970744279</v>
      </c>
      <c r="AO235" s="19">
        <f>IFERROR(AN235/(A235+Forudsætninger!$E$74),-999999)</f>
        <v>6.0273570689889606</v>
      </c>
      <c r="AP235" s="19">
        <f>IFERROR(((365/(A235+Forudsætninger!$E$74))*AN235)/(AI235+Forudsætninger!$E$73),-999999)</f>
        <v>721.53003382763666</v>
      </c>
      <c r="AQ235" s="18">
        <f t="shared" si="91"/>
        <v>233</v>
      </c>
      <c r="AR235" s="18">
        <f t="shared" si="104"/>
        <v>5981.350100566915</v>
      </c>
      <c r="AS235" s="18">
        <f t="shared" si="83"/>
        <v>8.8000000000000007</v>
      </c>
      <c r="AT235" s="50">
        <f t="shared" si="105"/>
        <v>11.243390952541858</v>
      </c>
      <c r="AU235" s="50">
        <f t="shared" si="106"/>
        <v>2.2482904670486192E-2</v>
      </c>
      <c r="AV235" s="2">
        <f t="shared" si="107"/>
        <v>1.2037302316341538</v>
      </c>
      <c r="AW235" s="16">
        <f t="shared" si="101"/>
        <v>8.2364173883842149</v>
      </c>
      <c r="AZ235" s="16"/>
      <c r="BA235" s="2"/>
    </row>
    <row r="236" spans="1:58" x14ac:dyDescent="0.25">
      <c r="A236">
        <v>234</v>
      </c>
      <c r="B236" s="1">
        <f>ROUND((A236+Forudsætninger!$E$60)/30.4,1)</f>
        <v>8.9</v>
      </c>
      <c r="C236" s="1">
        <f>VLOOKUP((A236+Forudsætninger!$E$60),'Model tilvækst, slagteform, fe'!A:D,4,FALSE)</f>
        <v>390.28055677117993</v>
      </c>
      <c r="D236" s="3">
        <f t="shared" si="108"/>
        <v>1272.4256785214152</v>
      </c>
      <c r="E236" s="3">
        <f>(1+Forudsætninger!$E$78)*C236</f>
        <v>359.05811222948557</v>
      </c>
      <c r="F236" s="2">
        <f t="shared" si="92"/>
        <v>0</v>
      </c>
      <c r="G236" s="1">
        <f t="shared" si="84"/>
        <v>359.05811222948557</v>
      </c>
      <c r="H236" s="3">
        <f t="shared" si="93"/>
        <v>1170.6316242397179</v>
      </c>
      <c r="I236" s="3">
        <f t="shared" si="85"/>
        <v>1243.8380864507931</v>
      </c>
      <c r="J236" s="1">
        <f>VLOOKUP((A236+Forudsætninger!$E$60),'Model tilvækst, slagteform, fe'!G:K,4,FALSE)*(1+Forudsætninger!$E$79)</f>
        <v>53.19291892621613</v>
      </c>
      <c r="K236" s="17">
        <f t="shared" si="86"/>
        <v>190.99349053623237</v>
      </c>
      <c r="L236" s="17">
        <f t="shared" si="94"/>
        <v>665.28865003635929</v>
      </c>
      <c r="M236" s="3">
        <f>((K236-(('Model tilvækst, slagteform, fe'!$J$9/100)*'Model tilvækst, slagteform, fe'!$D$9))*1000/(A236+Forudsætninger!$E$60))</f>
        <v>632.44104593107079</v>
      </c>
      <c r="N236" s="17">
        <f t="shared" si="95"/>
        <v>1214.5063430732951</v>
      </c>
      <c r="O236" s="19">
        <f>IF( A236&lt;Forudsætninger!$C$14,(G236/100)*Forudsætninger!$C$13,(Forudsætninger!$C$15/1000)*Forudsætninger!$C$13)</f>
        <v>2.3338777294916562</v>
      </c>
      <c r="P236" s="17" cm="1">
        <f t="array" ref="P236">INDEX('Model tilvækst, slagteform, fe'!$P$9:$P$375,MATCH(MIN(ABS('Model tilvækst, slagteform, fe'!$M$9:$M$375-G236)),ABS('Model tilvækst, slagteform, fe'!$M$9:$M$375-G236),0))*(1+Forudsætninger!$E$80)</f>
        <v>7.4473400655585262</v>
      </c>
      <c r="Q236" s="17">
        <f t="shared" si="96"/>
        <v>11.194148682908562</v>
      </c>
      <c r="R236" s="17">
        <f t="shared" si="97"/>
        <v>7.6854446057849479</v>
      </c>
      <c r="S236" s="17">
        <f t="shared" si="98"/>
        <v>4.172728029362446</v>
      </c>
      <c r="T236" s="19">
        <f>(P236)*IF(N236&lt;Forudsætninger!$B$228,IF(N236&lt;Forudsætninger!$B$227,Forudsætninger!$B$225,Forudsætninger!$C$9),Forudsætninger!$C$11)+O236</f>
        <v>19.760653482898608</v>
      </c>
      <c r="U236" s="5">
        <f>Forudsætninger!$E$68+((K236-(Forudsætninger!$E$84)))*0.01</f>
        <v>6.6264986149339933</v>
      </c>
      <c r="V236" s="2">
        <f>U236+Forudsætninger!$E$69</f>
        <v>6.6264986149339933</v>
      </c>
      <c r="W236">
        <f t="shared" si="87"/>
        <v>1</v>
      </c>
      <c r="X236">
        <f>IF(A236+Forudsætninger!$E$60&gt;248,IF(A236+Forudsætninger!$E$60&lt;365,IF(K236&gt;180,IF(K236&lt;260,1,0),0),0),0)</f>
        <v>1</v>
      </c>
      <c r="Y236" s="22">
        <f>IF(X236=0,0,IF('Vækstfunktion, kry kvie'!A236&lt;Forudsætninger!$E$66,Forudsætninger!$E$67+(('Vækstfunktion, kry kvie'!A236-Forudsætninger!$E$66)/7)*Forudsætninger!$E$64,Forudsætninger!$E$67))</f>
        <v>0.89942857142857136</v>
      </c>
      <c r="Z236" s="19">
        <f t="shared" si="102"/>
        <v>3661.3996996307187</v>
      </c>
      <c r="AA236" s="19">
        <f>Forudsætninger!$E$62+Forudsætninger!$C$16</f>
        <v>1575</v>
      </c>
      <c r="AB236" s="19">
        <f>IF(K236&gt;Forudsætninger!$C$48,IF(K236&gt;Forudsætninger!$C$49,IF(K236&gt;Forudsætninger!$C$50,Forudsætninger!$E$50,Forudsætninger!$E$49+Forudsætninger!$F$50*(K236-Forudsætninger!$C$49)),Forudsætninger!$E$48+Forudsætninger!$F$49*(K236-Forudsætninger!$C$48)),Forudsætninger!$E$48)+IF(K236&gt;Forudsætninger!$C$50,Forudsætninger!$G$50,IF(K236&gt;Forudsætninger!$C$49,Forudsætninger!$G$49+Forudsætninger!$H$50*(K236-Forudsætninger!$C$49),IF(K236&gt;Forudsætninger!$C$48,Forudsætninger!$G$48+Forudsætninger!$H$49*(K236-Forudsætninger!$C$48),Forudsætninger!$G$48)))*(U236-Forudsætninger!$H$48)</f>
        <v>35.665744514488587</v>
      </c>
      <c r="AC236" s="19">
        <f>IF(K236&gt;Forudsætninger!$C$52,IF(K236&gt;Forudsætninger!$C$53,IF(K236&gt;Forudsætninger!$C$54,Forudsætninger!$E$54,Forudsætninger!$E$53+Forudsætninger!$F$54*(K236-Forudsætninger!$C$53)),Forudsætninger!$E$52+Forudsætninger!$F$53*(K236-Forudsætninger!$C$52)),Forudsætninger!$E$52)+IF(K236&gt;Forudsætninger!$C$54,Forudsætninger!$G$54,IF(K236&gt;Forudsætninger!$C$53,Forudsætninger!$G$53+Forudsætninger!$H$54*(K236-Forudsætninger!$C$53),IF(K236&gt;Forudsætninger!$C$52,Forudsætninger!$G$52+Forudsætninger!$H$53*(K236-Forudsætninger!$C$52),Forudsætninger!$G$52)))*(V236-Forudsætninger!$H$52)</f>
        <v>30.306624653733497</v>
      </c>
      <c r="AD236" s="19">
        <f t="shared" si="88"/>
        <v>6708.9844468358015</v>
      </c>
      <c r="AE236" s="19">
        <f t="shared" si="89"/>
        <v>35.126770174206932</v>
      </c>
      <c r="AF236">
        <f>IF(G236&lt;=Forudsætninger!$C$97,Forudsætninger!$C$98,(IF(G236&lt;=Forudsætninger!$D$97,Forudsætninger!$D$98,IF(G236&lt;=Forudsætninger!$E$97,Forudsætninger!$E$98,IF(G236&lt;=Forudsætninger!$F$97,Forudsætninger!$F$98,IF(G236&lt;=Forudsætninger!$G$97,Forudsætninger!$G$98,IF(G236&lt;=Forudsætninger!$H$97,Forudsætninger!$H$98,IF(G236&lt;=Forudsætninger!$I$97,Forudsætninger!$I$98,Forudsætninger!$I$98))))))))</f>
        <v>3.8</v>
      </c>
      <c r="AG236" s="1">
        <f t="shared" si="99"/>
        <v>4.4000000000000004</v>
      </c>
      <c r="AH236" s="1">
        <f t="shared" si="103"/>
        <v>689.19999999999766</v>
      </c>
      <c r="AI236" s="1">
        <f t="shared" si="90"/>
        <v>2.9452991452991353</v>
      </c>
      <c r="AJ236" s="20">
        <f>+(W236*Forudsætninger!$C$12)</f>
        <v>900</v>
      </c>
      <c r="AK236" s="20">
        <f>Forudsætninger!$C$17</f>
        <v>250</v>
      </c>
      <c r="AL236" s="20">
        <f>IF(A236&lt;92,Forudsætninger!$C$20,Forudsætninger!$C$21)</f>
        <v>1.0566762728146013</v>
      </c>
      <c r="AM236" s="20">
        <f t="shared" si="100"/>
        <v>515.76773069190904</v>
      </c>
      <c r="AN236" s="19">
        <f>IFERROR(AD236+AJ236-AA236-Z236-AK236-AM236-Forudsætninger!$E$75,-999999)</f>
        <v>1415.600255176558</v>
      </c>
      <c r="AO236" s="19">
        <f>IFERROR(AN236/(A236+Forudsætninger!$E$74),-999999)</f>
        <v>6.0495737400707608</v>
      </c>
      <c r="AP236" s="19">
        <f>IFERROR(((365/(A236+Forudsætninger!$E$74))*AN236)/(AI236+Forudsætninger!$E$73),-999999)</f>
        <v>722.70972828411527</v>
      </c>
      <c r="AQ236" s="18">
        <f t="shared" si="91"/>
        <v>234</v>
      </c>
      <c r="AR236" s="18">
        <f t="shared" si="104"/>
        <v>6002.1674303226282</v>
      </c>
      <c r="AS236" s="18">
        <f t="shared" si="83"/>
        <v>8.9</v>
      </c>
      <c r="AT236" s="50">
        <f t="shared" si="105"/>
        <v>11.226058102130082</v>
      </c>
      <c r="AU236" s="50">
        <f t="shared" si="106"/>
        <v>2.2216671081800143E-2</v>
      </c>
      <c r="AV236" s="2">
        <f t="shared" si="107"/>
        <v>1.1796944564786145</v>
      </c>
      <c r="AW236" s="16">
        <f t="shared" si="101"/>
        <v>8.2537093413182347</v>
      </c>
      <c r="AZ236" s="16"/>
      <c r="BA236" s="2"/>
    </row>
    <row r="237" spans="1:58" x14ac:dyDescent="0.25">
      <c r="A237">
        <v>235</v>
      </c>
      <c r="B237" s="1">
        <f>ROUND((A237+Forudsætninger!$E$60)/30.4,1)</f>
        <v>8.9</v>
      </c>
      <c r="C237" s="1">
        <f>VLOOKUP((A237+Forudsætninger!$E$60),'Model tilvækst, slagteform, fe'!A:D,4,FALSE)</f>
        <v>391.54824985038863</v>
      </c>
      <c r="D237" s="3">
        <f t="shared" si="108"/>
        <v>1267.6930792086978</v>
      </c>
      <c r="E237" s="3">
        <f>(1+Forudsætninger!$E$78)*C237</f>
        <v>360.22438986235755</v>
      </c>
      <c r="F237" s="2">
        <f t="shared" si="92"/>
        <v>0</v>
      </c>
      <c r="G237" s="1">
        <f t="shared" si="84"/>
        <v>360.22438986235755</v>
      </c>
      <c r="H237" s="3">
        <f t="shared" si="93"/>
        <v>1166.2776328719815</v>
      </c>
      <c r="I237" s="3">
        <f t="shared" si="85"/>
        <v>1243.5080419674791</v>
      </c>
      <c r="J237" s="1">
        <f>VLOOKUP((A237+Forudsætninger!$E$60),'Model tilvækst, slagteform, fe'!G:K,4,FALSE)*(1+Forudsætninger!$E$79)</f>
        <v>53.2046978194915</v>
      </c>
      <c r="K237" s="17">
        <f t="shared" si="86"/>
        <v>191.65629809837429</v>
      </c>
      <c r="L237" s="17">
        <f t="shared" si="94"/>
        <v>662.80756214192138</v>
      </c>
      <c r="M237" s="3">
        <f>((K237-(('Model tilvækst, slagteform, fe'!$J$9/100)*'Model tilvækst, slagteform, fe'!$D$9))*1000/(A237+Forudsætninger!$E$60))</f>
        <v>632.55309949642458</v>
      </c>
      <c r="N237" s="17">
        <f t="shared" si="95"/>
        <v>1221.9559159988087</v>
      </c>
      <c r="O237" s="19">
        <f>IF( A237&lt;Forudsætninger!$C$14,(G237/100)*Forudsætninger!$C$13,(Forudsætninger!$C$15/1000)*Forudsætninger!$C$13)</f>
        <v>2.3414585341053242</v>
      </c>
      <c r="P237" s="17" cm="1">
        <f t="array" ref="P237">INDEX('Model tilvækst, slagteform, fe'!$P$9:$P$375,MATCH(MIN(ABS('Model tilvækst, slagteform, fe'!$M$9:$M$375-G237)),ABS('Model tilvækst, slagteform, fe'!$M$9:$M$375-G237),0))*(1+Forudsætninger!$E$80)</f>
        <v>7.4495729255137251</v>
      </c>
      <c r="Q237" s="17">
        <f t="shared" si="96"/>
        <v>11.239420536240971</v>
      </c>
      <c r="R237" s="17">
        <f t="shared" si="97"/>
        <v>7.7002886898826741</v>
      </c>
      <c r="S237" s="17">
        <f t="shared" si="98"/>
        <v>4.1815671736858437</v>
      </c>
      <c r="T237" s="19">
        <f>(P237)*IF(N237&lt;Forudsætninger!$B$228,IF(N237&lt;Forudsætninger!$B$227,Forudsætninger!$B$225,Forudsætninger!$C$9),Forudsætninger!$C$11)+O237</f>
        <v>19.773459179807439</v>
      </c>
      <c r="U237" s="5">
        <f>Forudsætninger!$E$68+((K237-(Forudsætninger!$E$84)))*0.01</f>
        <v>6.6331266905554118</v>
      </c>
      <c r="V237" s="2">
        <f>U237+Forudsætninger!$E$69</f>
        <v>6.6331266905554118</v>
      </c>
      <c r="W237">
        <f t="shared" si="87"/>
        <v>1</v>
      </c>
      <c r="X237">
        <f>IF(A237+Forudsætninger!$E$60&gt;248,IF(A237+Forudsætninger!$E$60&lt;365,IF(K237&gt;180,IF(K237&lt;260,1,0),0),0),0)</f>
        <v>1</v>
      </c>
      <c r="Y237" s="22">
        <f>IF(X237=0,0,IF('Vækstfunktion, kry kvie'!A237&lt;Forudsætninger!$E$66,Forudsætninger!$E$67+(('Vækstfunktion, kry kvie'!A237-Forudsætninger!$E$66)/7)*Forudsætninger!$E$64,Forudsætninger!$E$67))</f>
        <v>0.90371428571428569</v>
      </c>
      <c r="Z237" s="19">
        <f t="shared" si="102"/>
        <v>3681.1731588105263</v>
      </c>
      <c r="AA237" s="19">
        <f>Forudsætninger!$E$62+Forudsætninger!$C$16</f>
        <v>1575</v>
      </c>
      <c r="AB237" s="19">
        <f>IF(K237&gt;Forudsætninger!$C$48,IF(K237&gt;Forudsætninger!$C$49,IF(K237&gt;Forudsætninger!$C$50,Forudsætninger!$E$50,Forudsætninger!$E$49+Forudsætninger!$F$50*(K237-Forudsætninger!$C$49)),Forudsætninger!$E$48+Forudsætninger!$F$49*(K237-Forudsætninger!$C$48)),Forudsætninger!$E$48)+IF(K237&gt;Forudsætninger!$C$50,Forudsætninger!$G$50,IF(K237&gt;Forudsætninger!$C$49,Forudsætninger!$G$49+Forudsætninger!$H$50*(K237-Forudsætninger!$C$49),IF(K237&gt;Forudsætninger!$C$48,Forudsætninger!$G$48+Forudsætninger!$H$49*(K237-Forudsætninger!$C$48),Forudsætninger!$G$48)))*(U237-Forudsætninger!$H$48)</f>
        <v>35.690710265995932</v>
      </c>
      <c r="AC237" s="19">
        <f>IF(K237&gt;Forudsætninger!$C$52,IF(K237&gt;Forudsætninger!$C$53,IF(K237&gt;Forudsætninger!$C$54,Forudsætninger!$E$54,Forudsætninger!$E$53+Forudsætninger!$F$54*(K237-Forudsætninger!$C$53)),Forudsætninger!$E$52+Forudsætninger!$F$53*(K237-Forudsætninger!$C$52)),Forudsætninger!$E$52)+IF(K237&gt;Forudsætninger!$C$54,Forudsætninger!$G$54,IF(K237&gt;Forudsætninger!$C$53,Forudsætninger!$G$53+Forudsætninger!$H$54*(K237-Forudsætninger!$C$53),IF(K237&gt;Forudsætninger!$C$52,Forudsætninger!$G$52+Forudsætninger!$H$53*(K237-Forudsætninger!$C$52),Forudsætninger!$G$52)))*(V237-Forudsætninger!$H$52)</f>
        <v>30.308281672638852</v>
      </c>
      <c r="AD237" s="19">
        <f t="shared" si="88"/>
        <v>6741.0233414433342</v>
      </c>
      <c r="AE237" s="19">
        <f t="shared" si="89"/>
        <v>35.1724592842927</v>
      </c>
      <c r="AF237">
        <f>IF(G237&lt;=Forudsætninger!$C$97,Forudsætninger!$C$98,(IF(G237&lt;=Forudsætninger!$D$97,Forudsætninger!$D$98,IF(G237&lt;=Forudsætninger!$E$97,Forudsætninger!$E$98,IF(G237&lt;=Forudsætninger!$F$97,Forudsætninger!$F$98,IF(G237&lt;=Forudsætninger!$G$97,Forudsætninger!$G$98,IF(G237&lt;=Forudsætninger!$H$97,Forudsætninger!$H$98,IF(G237&lt;=Forudsætninger!$I$97,Forudsætninger!$I$98,Forudsætninger!$I$98))))))))</f>
        <v>3.8</v>
      </c>
      <c r="AG237" s="1">
        <f t="shared" si="99"/>
        <v>4.4000000000000004</v>
      </c>
      <c r="AH237" s="1">
        <f t="shared" si="103"/>
        <v>693.59999999999764</v>
      </c>
      <c r="AI237" s="1">
        <f t="shared" si="90"/>
        <v>2.9514893617021176</v>
      </c>
      <c r="AJ237" s="20">
        <f>+(W237*Forudsætninger!$C$12)</f>
        <v>900</v>
      </c>
      <c r="AK237" s="20">
        <f>Forudsætninger!$C$17</f>
        <v>250</v>
      </c>
      <c r="AL237" s="20">
        <f>IF(A237&lt;92,Forudsætninger!$C$20,Forudsætninger!$C$21)</f>
        <v>1.0566762728146013</v>
      </c>
      <c r="AM237" s="20">
        <f t="shared" si="100"/>
        <v>516.82440696472361</v>
      </c>
      <c r="AN237" s="19">
        <f>IFERROR(AD237+AJ237-AA237-Z237-AK237-AM237-Forudsætninger!$E$75,-999999)</f>
        <v>1426.8090143314687</v>
      </c>
      <c r="AO237" s="19">
        <f>IFERROR(AN237/(A237+Forudsætninger!$E$74),-999999)</f>
        <v>6.0715277205594411</v>
      </c>
      <c r="AP237" s="19">
        <f>IFERROR(((365/(A237+Forudsætninger!$E$74))*AN237)/(AI237+Forudsætninger!$E$73),-999999)</f>
        <v>723.86585618317849</v>
      </c>
      <c r="AQ237" s="18">
        <f t="shared" si="91"/>
        <v>235</v>
      </c>
      <c r="AR237" s="18">
        <f t="shared" si="104"/>
        <v>6022.9975657752502</v>
      </c>
      <c r="AS237" s="18">
        <f t="shared" si="83"/>
        <v>8.9</v>
      </c>
      <c r="AT237" s="50">
        <f t="shared" si="105"/>
        <v>11.208759154910695</v>
      </c>
      <c r="AU237" s="50">
        <f t="shared" si="106"/>
        <v>2.1953980488680358E-2</v>
      </c>
      <c r="AV237" s="2">
        <f t="shared" si="107"/>
        <v>1.1561278990632218</v>
      </c>
      <c r="AW237" s="16">
        <f t="shared" si="101"/>
        <v>8.2707805161540104</v>
      </c>
      <c r="AZ237" s="16"/>
      <c r="BA237" s="2"/>
    </row>
    <row r="238" spans="1:58" x14ac:dyDescent="0.25">
      <c r="A238">
        <v>236</v>
      </c>
      <c r="B238" s="1">
        <f>ROUND((A238+Forudsætninger!$E$60)/30.4,1)</f>
        <v>8.9</v>
      </c>
      <c r="C238" s="1">
        <f>VLOOKUP((A238+Forudsætninger!$E$60),'Model tilvækst, slagteform, fe'!A:D,4,FALSE)</f>
        <v>392.81119855586076</v>
      </c>
      <c r="D238" s="3">
        <f t="shared" si="108"/>
        <v>1262.9487054721267</v>
      </c>
      <c r="E238" s="3">
        <f>(1+Forudsætninger!$E$78)*C238</f>
        <v>361.38630267139189</v>
      </c>
      <c r="F238" s="2">
        <f t="shared" si="92"/>
        <v>0</v>
      </c>
      <c r="G238" s="1">
        <f t="shared" si="84"/>
        <v>361.38630267139189</v>
      </c>
      <c r="H238" s="3">
        <f t="shared" si="93"/>
        <v>1161.9128090343338</v>
      </c>
      <c r="I238" s="3">
        <f t="shared" si="85"/>
        <v>1243.1622994550503</v>
      </c>
      <c r="J238" s="1">
        <f>VLOOKUP((A238+Forudsætninger!$E$60),'Model tilvækst, slagteform, fe'!G:K,4,FALSE)*(1+Forudsætninger!$E$79)</f>
        <v>53.216357600881317</v>
      </c>
      <c r="K238" s="17">
        <f t="shared" si="86"/>
        <v>192.31662715021122</v>
      </c>
      <c r="L238" s="17">
        <f t="shared" si="94"/>
        <v>660.32905183692492</v>
      </c>
      <c r="M238" s="3">
        <f>((K238-(('Model tilvækst, slagteform, fe'!$J$9/100)*'Model tilvækst, slagteform, fe'!$D$9))*1000/(A238+Forudsætninger!$E$60))</f>
        <v>632.65521696826454</v>
      </c>
      <c r="N238" s="17">
        <f t="shared" si="95"/>
        <v>1229.407624084919</v>
      </c>
      <c r="O238" s="19">
        <f>IF( A238&lt;Forudsætninger!$C$14,(G238/100)*Forudsætninger!$C$13,(Forudsætninger!$C$15/1000)*Forudsætninger!$C$13)</f>
        <v>2.3490109673640474</v>
      </c>
      <c r="P238" s="17" cm="1">
        <f t="array" ref="P238">INDEX('Model tilvækst, slagteform, fe'!$P$9:$P$375,MATCH(MIN(ABS('Model tilvækst, slagteform, fe'!$M$9:$M$375-G238)),ABS('Model tilvækst, slagteform, fe'!$M$9:$M$375-G238),0))*(1+Forudsætninger!$E$80)</f>
        <v>7.4517080861102656</v>
      </c>
      <c r="Q238" s="17">
        <f t="shared" si="96"/>
        <v>11.284840588765345</v>
      </c>
      <c r="R238" s="17">
        <f t="shared" si="97"/>
        <v>7.715142687094688</v>
      </c>
      <c r="S238" s="17">
        <f t="shared" si="98"/>
        <v>4.1904056627412505</v>
      </c>
      <c r="T238" s="19">
        <f>(P238)*IF(N238&lt;Forudsætninger!$B$228,IF(N238&lt;Forudsætninger!$B$227,Forudsætninger!$B$225,Forudsætninger!$C$9),Forudsætninger!$C$11)+O238</f>
        <v>19.78600788886207</v>
      </c>
      <c r="U238" s="5">
        <f>Forudsætninger!$E$68+((K238-(Forudsætninger!$E$84)))*0.01</f>
        <v>6.6397299810737813</v>
      </c>
      <c r="V238" s="2">
        <f>U238+Forudsætninger!$E$69</f>
        <v>6.6397299810737813</v>
      </c>
      <c r="W238">
        <f t="shared" si="87"/>
        <v>1</v>
      </c>
      <c r="X238">
        <f>IF(A238+Forudsætninger!$E$60&gt;248,IF(A238+Forudsætninger!$E$60&lt;365,IF(K238&gt;180,IF(K238&lt;260,1,0),0),0),0)</f>
        <v>1</v>
      </c>
      <c r="Y238" s="22">
        <f>IF(X238=0,0,IF('Vækstfunktion, kry kvie'!A238&lt;Forudsætninger!$E$66,Forudsætninger!$E$67+(('Vækstfunktion, kry kvie'!A238-Forudsætninger!$E$66)/7)*Forudsætninger!$E$64,Forudsætninger!$E$67))</f>
        <v>0.90799999999999992</v>
      </c>
      <c r="Z238" s="19">
        <f t="shared" si="102"/>
        <v>3700.9591666993883</v>
      </c>
      <c r="AA238" s="19">
        <f>Forudsætninger!$E$62+Forudsætninger!$C$16</f>
        <v>1575</v>
      </c>
      <c r="AB238" s="19">
        <f>IF(K238&gt;Forudsætninger!$C$48,IF(K238&gt;Forudsætninger!$C$49,IF(K238&gt;Forudsætninger!$C$50,Forudsætninger!$E$50,Forudsætninger!$E$49+Forudsætninger!$F$50*(K238-Forudsætninger!$C$49)),Forudsætninger!$E$48+Forudsætninger!$F$49*(K238-Forudsætninger!$C$48)),Forudsætninger!$E$48)+IF(K238&gt;Forudsætninger!$C$50,Forudsætninger!$G$50,IF(K238&gt;Forudsætninger!$C$49,Forudsætninger!$G$49+Forudsætninger!$H$50*(K238-Forudsætninger!$C$49),IF(K238&gt;Forudsætninger!$C$48,Forudsætninger!$G$48+Forudsætninger!$H$49*(K238-Forudsætninger!$C$48),Forudsætninger!$G$48)))*(U238-Forudsætninger!$H$48)</f>
        <v>35.71558266028179</v>
      </c>
      <c r="AC238" s="19">
        <f>IF(K238&gt;Forudsætninger!$C$52,IF(K238&gt;Forudsætninger!$C$53,IF(K238&gt;Forudsætninger!$C$54,Forudsætninger!$E$54,Forudsætninger!$E$53+Forudsætninger!$F$54*(K238-Forudsætninger!$C$53)),Forudsætninger!$E$52+Forudsætninger!$F$53*(K238-Forudsætninger!$C$52)),Forudsætninger!$E$52)+IF(K238&gt;Forudsætninger!$C$54,Forudsætninger!$G$54,IF(K238&gt;Forudsætninger!$C$53,Forudsætninger!$G$53+Forudsætninger!$H$54*(K238-Forudsætninger!$C$53),IF(K238&gt;Forudsætninger!$C$52,Forudsætninger!$G$52+Forudsætninger!$H$53*(K238-Forudsætninger!$C$52),Forudsætninger!$G$52)))*(V238-Forudsætninger!$H$52)</f>
        <v>30.309932495268445</v>
      </c>
      <c r="AD238" s="19">
        <f t="shared" si="88"/>
        <v>6773.0575244593419</v>
      </c>
      <c r="AE238" s="19">
        <f t="shared" si="89"/>
        <v>35.218262845100561</v>
      </c>
      <c r="AF238">
        <f>IF(G238&lt;=Forudsætninger!$C$97,Forudsætninger!$C$98,(IF(G238&lt;=Forudsætninger!$D$97,Forudsætninger!$D$98,IF(G238&lt;=Forudsætninger!$E$97,Forudsætninger!$E$98,IF(G238&lt;=Forudsætninger!$F$97,Forudsætninger!$F$98,IF(G238&lt;=Forudsætninger!$G$97,Forudsætninger!$G$98,IF(G238&lt;=Forudsætninger!$H$97,Forudsætninger!$H$98,IF(G238&lt;=Forudsætninger!$I$97,Forudsætninger!$I$98,Forudsætninger!$I$98))))))))</f>
        <v>3.8</v>
      </c>
      <c r="AG238" s="1">
        <f t="shared" si="99"/>
        <v>4.4000000000000004</v>
      </c>
      <c r="AH238" s="1">
        <f t="shared" si="103"/>
        <v>697.99999999999761</v>
      </c>
      <c r="AI238" s="1">
        <f t="shared" si="90"/>
        <v>2.9576271186440577</v>
      </c>
      <c r="AJ238" s="20">
        <f>+(W238*Forudsætninger!$C$12)</f>
        <v>900</v>
      </c>
      <c r="AK238" s="20">
        <f>Forudsætninger!$C$17</f>
        <v>250</v>
      </c>
      <c r="AL238" s="20">
        <f>IF(A238&lt;92,Forudsætninger!$C$20,Forudsætninger!$C$21)</f>
        <v>1.0566762728146013</v>
      </c>
      <c r="AM238" s="20">
        <f t="shared" si="100"/>
        <v>517.88108323753818</v>
      </c>
      <c r="AN238" s="19">
        <f>IFERROR(AD238+AJ238-AA238-Z238-AK238-AM238-Forudsætninger!$E$75,-999999)</f>
        <v>1438.0005131857997</v>
      </c>
      <c r="AO238" s="19">
        <f>IFERROR(AN238/(A238+Forudsætninger!$E$74),-999999)</f>
        <v>6.0932225134991516</v>
      </c>
      <c r="AP238" s="19">
        <f>IFERROR(((365/(A238+Forudsætninger!$E$74))*AN238)/(AI238+Forudsætninger!$E$73),-999999)</f>
        <v>724.99887744187333</v>
      </c>
      <c r="AQ238" s="18">
        <f t="shared" si="91"/>
        <v>236</v>
      </c>
      <c r="AR238" s="18">
        <f t="shared" si="104"/>
        <v>6043.8402499369267</v>
      </c>
      <c r="AS238" s="18">
        <f t="shared" si="83"/>
        <v>8.9</v>
      </c>
      <c r="AT238" s="50">
        <f t="shared" si="105"/>
        <v>11.19149885433103</v>
      </c>
      <c r="AU238" s="50">
        <f t="shared" si="106"/>
        <v>2.1694792939710439E-2</v>
      </c>
      <c r="AV238" s="2">
        <f t="shared" si="107"/>
        <v>1.1330212586948392</v>
      </c>
      <c r="AW238" s="16">
        <f t="shared" si="101"/>
        <v>8.287633883149736</v>
      </c>
      <c r="AZ238" s="16"/>
      <c r="BA238" s="2"/>
    </row>
    <row r="239" spans="1:58" x14ac:dyDescent="0.25">
      <c r="A239">
        <v>237</v>
      </c>
      <c r="B239" s="1">
        <f>ROUND((A239+Forudsætninger!$E$60)/30.4,1)</f>
        <v>9</v>
      </c>
      <c r="C239" s="1">
        <f>VLOOKUP((A239+Forudsætninger!$E$60),'Model tilvækst, slagteform, fe'!A:D,4,FALSE)</f>
        <v>394.06939169819327</v>
      </c>
      <c r="D239" s="3">
        <f t="shared" si="108"/>
        <v>1258.1931423325159</v>
      </c>
      <c r="E239" s="3">
        <f>(1+Forudsætninger!$E$78)*C239</f>
        <v>362.54384036233785</v>
      </c>
      <c r="F239" s="2">
        <f t="shared" si="92"/>
        <v>0</v>
      </c>
      <c r="G239" s="1">
        <f t="shared" si="84"/>
        <v>362.54384036233785</v>
      </c>
      <c r="H239" s="3">
        <f t="shared" si="93"/>
        <v>1157.5376909459578</v>
      </c>
      <c r="I239" s="3">
        <f t="shared" si="85"/>
        <v>1242.8010141870795</v>
      </c>
      <c r="J239" s="1">
        <f>VLOOKUP((A239+Forudsætninger!$E$60),'Model tilvækst, slagteform, fe'!G:K,4,FALSE)*(1+Forudsætninger!$E$79)</f>
        <v>53.227902195730273</v>
      </c>
      <c r="K239" s="17">
        <f t="shared" si="86"/>
        <v>192.97448076470968</v>
      </c>
      <c r="L239" s="17">
        <f t="shared" si="94"/>
        <v>657.85361449846391</v>
      </c>
      <c r="M239" s="3">
        <f>((K239-(('Model tilvækst, slagteform, fe'!$J$9/100)*'Model tilvækst, slagteform, fe'!$D$9))*1000/(A239+Forudsætninger!$E$60))</f>
        <v>632.74751879071948</v>
      </c>
      <c r="N239" s="17">
        <f t="shared" si="95"/>
        <v>1236.8613748525918</v>
      </c>
      <c r="O239" s="19">
        <f>IF( A239&lt;Forudsætninger!$C$14,(G239/100)*Forudsætninger!$C$13,(Forudsætninger!$C$15/1000)*Forudsætninger!$C$13)</f>
        <v>2.3565349623551963</v>
      </c>
      <c r="P239" s="17" cm="1">
        <f t="array" ref="P239">INDEX('Model tilvækst, slagteform, fe'!$P$9:$P$375,MATCH(MIN(ABS('Model tilvækst, slagteform, fe'!$M$9:$M$375-G239)),ABS('Model tilvækst, slagteform, fe'!$M$9:$M$375-G239),0))*(1+Forudsætninger!$E$80)</f>
        <v>7.4537507676728429</v>
      </c>
      <c r="Q239" s="17">
        <f t="shared" si="96"/>
        <v>11.330409385004979</v>
      </c>
      <c r="R239" s="17">
        <f t="shared" si="97"/>
        <v>7.7300064385319773</v>
      </c>
      <c r="S239" s="17">
        <f t="shared" si="98"/>
        <v>4.1992437300031362</v>
      </c>
      <c r="T239" s="19">
        <f>(P239)*IF(N239&lt;Forudsætninger!$B$228,IF(N239&lt;Forudsætninger!$B$227,Forudsætninger!$B$225,Forudsætninger!$C$9),Forudsætninger!$C$11)+O239</f>
        <v>19.798311758709644</v>
      </c>
      <c r="U239" s="5">
        <f>Forudsætninger!$E$68+((K239-(Forudsætninger!$E$84)))*0.01</f>
        <v>6.6463085172187659</v>
      </c>
      <c r="V239" s="2">
        <f>U239+Forudsætninger!$E$69</f>
        <v>6.6463085172187659</v>
      </c>
      <c r="W239">
        <f t="shared" si="87"/>
        <v>1</v>
      </c>
      <c r="X239">
        <f>IF(A239+Forudsætninger!$E$60&gt;248,IF(A239+Forudsætninger!$E$60&lt;365,IF(K239&gt;180,IF(K239&lt;260,1,0),0),0),0)</f>
        <v>1</v>
      </c>
      <c r="Y239" s="22">
        <f>IF(X239=0,0,IF('Vækstfunktion, kry kvie'!A239&lt;Forudsætninger!$E$66,Forudsætninger!$E$67+(('Vækstfunktion, kry kvie'!A239-Forudsætninger!$E$66)/7)*Forudsætninger!$E$64,Forudsætninger!$E$67))</f>
        <v>0.91228571428571426</v>
      </c>
      <c r="Z239" s="19">
        <f t="shared" si="102"/>
        <v>3720.7574784580979</v>
      </c>
      <c r="AA239" s="19">
        <f>Forudsætninger!$E$62+Forudsætninger!$C$16</f>
        <v>1575</v>
      </c>
      <c r="AB239" s="19">
        <f>IF(K239&gt;Forudsætninger!$C$48,IF(K239&gt;Forudsætninger!$C$49,IF(K239&gt;Forudsætninger!$C$50,Forudsætninger!$E$50,Forudsætninger!$E$49+Forudsætninger!$F$50*(K239-Forudsætninger!$C$49)),Forudsætninger!$E$48+Forudsætninger!$F$49*(K239-Forudsætninger!$C$48)),Forudsætninger!$E$48)+IF(K239&gt;Forudsætninger!$C$50,Forudsætninger!$G$50,IF(K239&gt;Forudsætninger!$C$49,Forudsætninger!$G$49+Forudsætninger!$H$50*(K239-Forudsætninger!$C$49),IF(K239&gt;Forudsætninger!$C$48,Forudsætninger!$G$48+Forudsætninger!$H$49*(K239-Forudsætninger!$C$48),Forudsætninger!$G$48)))*(U239-Forudsætninger!$H$48)</f>
        <v>35.740361813094566</v>
      </c>
      <c r="AC239" s="19">
        <f>IF(K239&gt;Forudsætninger!$C$52,IF(K239&gt;Forudsætninger!$C$53,IF(K239&gt;Forudsætninger!$C$54,Forudsætninger!$E$54,Forudsætninger!$E$53+Forudsætninger!$F$54*(K239-Forudsætninger!$C$53)),Forudsætninger!$E$52+Forudsætninger!$F$53*(K239-Forudsætninger!$C$52)),Forudsætninger!$E$52)+IF(K239&gt;Forudsætninger!$C$54,Forudsætninger!$G$54,IF(K239&gt;Forudsætninger!$C$53,Forudsætninger!$G$53+Forudsætninger!$H$54*(K239-Forudsætninger!$C$53),IF(K239&gt;Forudsætninger!$C$52,Forudsætninger!$G$52+Forudsætninger!$H$53*(K239-Forudsætninger!$C$52),Forudsætninger!$G$52)))*(V239-Forudsætninger!$H$52)</f>
        <v>30.311577129304691</v>
      </c>
      <c r="AD239" s="19">
        <f t="shared" si="88"/>
        <v>6805.0867946533263</v>
      </c>
      <c r="AE239" s="19">
        <f t="shared" si="89"/>
        <v>35.264179842259281</v>
      </c>
      <c r="AF239">
        <f>IF(G239&lt;=Forudsætninger!$C$97,Forudsætninger!$C$98,(IF(G239&lt;=Forudsætninger!$D$97,Forudsætninger!$D$98,IF(G239&lt;=Forudsætninger!$E$97,Forudsætninger!$E$98,IF(G239&lt;=Forudsætninger!$F$97,Forudsætninger!$F$98,IF(G239&lt;=Forudsætninger!$G$97,Forudsætninger!$G$98,IF(G239&lt;=Forudsætninger!$H$97,Forudsætninger!$H$98,IF(G239&lt;=Forudsætninger!$I$97,Forudsætninger!$I$98,Forudsætninger!$I$98))))))))</f>
        <v>3.8</v>
      </c>
      <c r="AG239" s="1">
        <f t="shared" si="99"/>
        <v>4.4000000000000004</v>
      </c>
      <c r="AH239" s="1">
        <f t="shared" si="103"/>
        <v>702.39999999999759</v>
      </c>
      <c r="AI239" s="1">
        <f t="shared" si="90"/>
        <v>2.9637130801687661</v>
      </c>
      <c r="AJ239" s="20">
        <f>+(W239*Forudsætninger!$C$12)</f>
        <v>900</v>
      </c>
      <c r="AK239" s="20">
        <f>Forudsætninger!$C$17</f>
        <v>250</v>
      </c>
      <c r="AL239" s="20">
        <f>IF(A239&lt;92,Forudsætninger!$C$20,Forudsætninger!$C$21)</f>
        <v>1.0566762728146013</v>
      </c>
      <c r="AM239" s="20">
        <f t="shared" si="100"/>
        <v>518.93775951035275</v>
      </c>
      <c r="AN239" s="19">
        <f>IFERROR(AD239+AJ239-AA239-Z239-AK239-AM239-Forudsætninger!$E$75,-999999)</f>
        <v>1449.1747953482597</v>
      </c>
      <c r="AO239" s="19">
        <f>IFERROR(AN239/(A239+Forudsætninger!$E$74),-999999)</f>
        <v>6.1146615837479317</v>
      </c>
      <c r="AP239" s="19">
        <f>IFERROR(((365/(A239+Forudsætninger!$E$74))*AN239)/(AI239+Forudsætninger!$E$73),-999999)</f>
        <v>726.10924307399978</v>
      </c>
      <c r="AQ239" s="18">
        <f t="shared" si="91"/>
        <v>237</v>
      </c>
      <c r="AR239" s="18">
        <f t="shared" si="104"/>
        <v>6064.6952379684499</v>
      </c>
      <c r="AS239" s="18">
        <f t="shared" si="83"/>
        <v>9</v>
      </c>
      <c r="AT239" s="50">
        <f t="shared" si="105"/>
        <v>11.174282162460031</v>
      </c>
      <c r="AU239" s="50">
        <f t="shared" si="106"/>
        <v>2.1439070248780112E-2</v>
      </c>
      <c r="AV239" s="2">
        <f t="shared" si="107"/>
        <v>1.1103656321264452</v>
      </c>
      <c r="AW239" s="16">
        <f t="shared" si="101"/>
        <v>8.304272383369673</v>
      </c>
      <c r="AZ239" s="16"/>
      <c r="BA239" s="2"/>
    </row>
    <row r="240" spans="1:58" x14ac:dyDescent="0.25">
      <c r="A240">
        <v>238</v>
      </c>
      <c r="B240" s="1">
        <f>ROUND((A240+Forudsætninger!$E$60)/30.4,1)</f>
        <v>9</v>
      </c>
      <c r="C240" s="1">
        <f>VLOOKUP((A240+Forudsætninger!$E$60),'Model tilvækst, slagteform, fe'!A:D,4,FALSE)</f>
        <v>395.32281867300298</v>
      </c>
      <c r="D240" s="3">
        <f t="shared" si="108"/>
        <v>1253.4269748097131</v>
      </c>
      <c r="E240" s="3">
        <f>(1+Forudsætninger!$E$78)*C240</f>
        <v>363.69699317916275</v>
      </c>
      <c r="F240" s="2">
        <f t="shared" si="92"/>
        <v>0</v>
      </c>
      <c r="G240" s="1">
        <f t="shared" si="84"/>
        <v>363.69699317916275</v>
      </c>
      <c r="H240" s="3">
        <f t="shared" si="93"/>
        <v>1153.1528168248997</v>
      </c>
      <c r="I240" s="3">
        <f t="shared" si="85"/>
        <v>1242.4243410889189</v>
      </c>
      <c r="J240" s="1">
        <f>VLOOKUP((A240+Forudsætninger!$E$60),'Model tilvækst, slagteform, fe'!G:K,4,FALSE)*(1+Forudsætninger!$E$79)</f>
        <v>53.239335529383105</v>
      </c>
      <c r="K240" s="17">
        <f t="shared" si="86"/>
        <v>193.62986250893204</v>
      </c>
      <c r="L240" s="17">
        <f t="shared" si="94"/>
        <v>655.38174422235329</v>
      </c>
      <c r="M240" s="3">
        <f>((K240-(('Model tilvækst, slagteform, fe'!$J$9/100)*'Model tilvækst, slagteform, fe'!$D$9))*1000/(A240+Forudsætninger!$E$60))</f>
        <v>632.83012545287875</v>
      </c>
      <c r="N240" s="17">
        <f t="shared" si="95"/>
        <v>1244.3170810431179</v>
      </c>
      <c r="O240" s="19">
        <f>IF( A240&lt;Forudsætninger!$C$14,(G240/100)*Forudsætninger!$C$13,(Forudsætninger!$C$15/1000)*Forudsætninger!$C$13)</f>
        <v>2.3640304556645582</v>
      </c>
      <c r="P240" s="17" cm="1">
        <f t="array" ref="P240">INDEX('Model tilvækst, slagteform, fe'!$P$9:$P$375,MATCH(MIN(ABS('Model tilvækst, slagteform, fe'!$M$9:$M$375-G240)),ABS('Model tilvækst, slagteform, fe'!$M$9:$M$375-G240),0))*(1+Forudsætninger!$E$80)</f>
        <v>7.4557061905261506</v>
      </c>
      <c r="Q240" s="17">
        <f t="shared" si="96"/>
        <v>11.376127358220449</v>
      </c>
      <c r="R240" s="17">
        <f t="shared" si="97"/>
        <v>7.7448797963518414</v>
      </c>
      <c r="S240" s="17">
        <f t="shared" si="98"/>
        <v>4.2080816164714481</v>
      </c>
      <c r="T240" s="19">
        <f>(P240)*IF(N240&lt;Forudsætninger!$B$228,IF(N240&lt;Forudsætninger!$B$227,Forudsætninger!$B$225,Forudsætninger!$C$9),Forudsætninger!$C$11)+O240</f>
        <v>19.81038294149575</v>
      </c>
      <c r="U240" s="5">
        <f>Forudsætninger!$E$68+((K240-(Forudsætninger!$E$84)))*0.01</f>
        <v>6.6528623346609894</v>
      </c>
      <c r="V240" s="2">
        <f>U240+Forudsætninger!$E$69</f>
        <v>6.6528623346609894</v>
      </c>
      <c r="W240">
        <f t="shared" si="87"/>
        <v>1</v>
      </c>
      <c r="X240">
        <f>IF(A240+Forudsætninger!$E$60&gt;248,IF(A240+Forudsætninger!$E$60&lt;365,IF(K240&gt;180,IF(K240&lt;260,1,0),0),0),0)</f>
        <v>1</v>
      </c>
      <c r="Y240" s="22">
        <f>IF(X240=0,0,IF('Vækstfunktion, kry kvie'!A240&lt;Forudsætninger!$E$66,Forudsætninger!$E$67+(('Vækstfunktion, kry kvie'!A240-Forudsætninger!$E$66)/7)*Forudsætninger!$E$64,Forudsætninger!$E$67))</f>
        <v>0.91657142857142848</v>
      </c>
      <c r="Z240" s="19">
        <f t="shared" si="102"/>
        <v>3740.5678613995938</v>
      </c>
      <c r="AA240" s="19">
        <f>Forudsætninger!$E$62+Forudsætninger!$C$16</f>
        <v>1575</v>
      </c>
      <c r="AB240" s="19">
        <f>IF(K240&gt;Forudsætninger!$C$48,IF(K240&gt;Forudsætninger!$C$49,IF(K240&gt;Forudsætninger!$C$50,Forudsætninger!$E$50,Forudsætninger!$E$49+Forudsætninger!$F$50*(K240-Forudsætninger!$C$49)),Forudsætninger!$E$48+Forudsætninger!$F$49*(K240-Forudsætninger!$C$48)),Forudsætninger!$E$48)+IF(K240&gt;Forudsætninger!$C$50,Forudsætninger!$G$50,IF(K240&gt;Forudsætninger!$C$49,Forudsætninger!$G$49+Forudsætninger!$H$50*(K240-Forudsætninger!$C$49),IF(K240&gt;Forudsætninger!$C$48,Forudsætninger!$G$48+Forudsætninger!$H$49*(K240-Forudsætninger!$C$48),Forudsætninger!$G$48)))*(U240-Forudsætninger!$H$48)</f>
        <v>35.765047858793608</v>
      </c>
      <c r="AC240" s="19">
        <f>IF(K240&gt;Forudsætninger!$C$52,IF(K240&gt;Forudsætninger!$C$53,IF(K240&gt;Forudsætninger!$C$54,Forudsætninger!$E$54,Forudsætninger!$E$53+Forudsætninger!$F$54*(K240-Forudsætninger!$C$53)),Forudsætninger!$E$52+Forudsætninger!$F$53*(K240-Forudsætninger!$C$52)),Forudsætninger!$E$52)+IF(K240&gt;Forudsætninger!$C$54,Forudsætninger!$G$54,IF(K240&gt;Forudsætninger!$C$53,Forudsætninger!$G$53+Forudsætninger!$H$54*(K240-Forudsætninger!$C$53),IF(K240&gt;Forudsætninger!$C$52,Forudsætninger!$G$52+Forudsætninger!$H$53*(K240-Forudsætninger!$C$52),Forudsætninger!$G$52)))*(V240-Forudsætninger!$H$52)</f>
        <v>30.313215583665247</v>
      </c>
      <c r="AD240" s="19">
        <f t="shared" si="88"/>
        <v>6837.1109681276894</v>
      </c>
      <c r="AE240" s="19">
        <f t="shared" si="89"/>
        <v>35.31020928041147</v>
      </c>
      <c r="AF240">
        <f>IF(G240&lt;=Forudsætninger!$C$97,Forudsætninger!$C$98,(IF(G240&lt;=Forudsætninger!$D$97,Forudsætninger!$D$98,IF(G240&lt;=Forudsætninger!$E$97,Forudsætninger!$E$98,IF(G240&lt;=Forudsætninger!$F$97,Forudsætninger!$F$98,IF(G240&lt;=Forudsætninger!$G$97,Forudsætninger!$G$98,IF(G240&lt;=Forudsætninger!$H$97,Forudsætninger!$H$98,IF(G240&lt;=Forudsætninger!$I$97,Forudsætninger!$I$98,Forudsætninger!$I$98))))))))</f>
        <v>3.8</v>
      </c>
      <c r="AG240" s="1">
        <f t="shared" si="99"/>
        <v>4.4000000000000004</v>
      </c>
      <c r="AH240" s="1">
        <f t="shared" si="103"/>
        <v>706.79999999999757</v>
      </c>
      <c r="AI240" s="1">
        <f t="shared" si="90"/>
        <v>2.9697478991596538</v>
      </c>
      <c r="AJ240" s="20">
        <f>+(W240*Forudsætninger!$C$12)</f>
        <v>900</v>
      </c>
      <c r="AK240" s="20">
        <f>Forudsætninger!$C$17</f>
        <v>250</v>
      </c>
      <c r="AL240" s="20">
        <f>IF(A240&lt;92,Forudsætninger!$C$20,Forudsætninger!$C$21)</f>
        <v>1.0566762728146013</v>
      </c>
      <c r="AM240" s="20">
        <f t="shared" si="100"/>
        <v>519.99443578316732</v>
      </c>
      <c r="AN240" s="19">
        <f>IFERROR(AD240+AJ240-AA240-Z240-AK240-AM240-Forudsætninger!$E$75,-999999)</f>
        <v>1460.3319096083126</v>
      </c>
      <c r="AO240" s="19">
        <f>IFERROR(AN240/(A240+Forudsætninger!$E$74),-999999)</f>
        <v>6.1358483596987927</v>
      </c>
      <c r="AP240" s="19">
        <f>IFERROR(((365/(A240+Forudsætninger!$E$74))*AN240)/(AI240+Forudsætninger!$E$73),-999999)</f>
        <v>727.19739557291587</v>
      </c>
      <c r="AQ240" s="18">
        <f t="shared" si="91"/>
        <v>238</v>
      </c>
      <c r="AR240" s="18">
        <f t="shared" si="104"/>
        <v>6085.5622971827606</v>
      </c>
      <c r="AS240" s="18">
        <f t="shared" si="83"/>
        <v>9</v>
      </c>
      <c r="AT240" s="50">
        <f t="shared" si="105"/>
        <v>11.157114260052822</v>
      </c>
      <c r="AU240" s="50">
        <f t="shared" si="106"/>
        <v>2.1186775950861048E-2</v>
      </c>
      <c r="AV240" s="2">
        <f t="shared" si="107"/>
        <v>1.088152498916088</v>
      </c>
      <c r="AW240" s="16">
        <f t="shared" si="101"/>
        <v>8.3206989302163024</v>
      </c>
      <c r="AZ240" s="16"/>
      <c r="BA240" s="2"/>
    </row>
    <row r="241" spans="1:53" x14ac:dyDescent="0.25">
      <c r="A241">
        <v>239</v>
      </c>
      <c r="B241" s="1">
        <f>ROUND((A241+Forudsætninger!$E$60)/30.4,1)</f>
        <v>9</v>
      </c>
      <c r="C241" s="1">
        <f>VLOOKUP((A241+Forudsætninger!$E$60),'Model tilvækst, slagteform, fe'!A:D,4,FALSE)</f>
        <v>396.57146946092786</v>
      </c>
      <c r="D241" s="3">
        <f t="shared" si="108"/>
        <v>1248.6507879248734</v>
      </c>
      <c r="E241" s="3">
        <f>(1+Forudsætninger!$E$78)*C241</f>
        <v>364.84575190405366</v>
      </c>
      <c r="F241" s="2">
        <f t="shared" si="92"/>
        <v>0</v>
      </c>
      <c r="G241" s="1">
        <f t="shared" si="84"/>
        <v>364.84575190405366</v>
      </c>
      <c r="H241" s="3">
        <f t="shared" si="93"/>
        <v>1148.7587248909108</v>
      </c>
      <c r="I241" s="3">
        <f t="shared" si="85"/>
        <v>1242.0324347449944</v>
      </c>
      <c r="J241" s="1">
        <f>VLOOKUP((A241+Forudsætninger!$E$60),'Model tilvækst, slagteform, fe'!G:K,4,FALSE)*(1+Forudsætninger!$E$79)</f>
        <v>53.250661527184462</v>
      </c>
      <c r="K241" s="17">
        <f t="shared" si="86"/>
        <v>194.28277644273876</v>
      </c>
      <c r="L241" s="17">
        <f t="shared" si="94"/>
        <v>652.91393380672957</v>
      </c>
      <c r="M241" s="3">
        <f>((K241-(('Model tilvækst, slagteform, fe'!$J$9/100)*'Model tilvækst, slagteform, fe'!$D$9))*1000/(A241+Forudsætninger!$E$60))</f>
        <v>632.90315748325645</v>
      </c>
      <c r="N241" s="17">
        <f t="shared" si="95"/>
        <v>1251.7746606181129</v>
      </c>
      <c r="O241" s="19">
        <f>IF( A241&lt;Forudsætninger!$C$14,(G241/100)*Forudsætninger!$C$13,(Forudsætninger!$C$15/1000)*Forudsætninger!$C$13)</f>
        <v>2.3714973873763485</v>
      </c>
      <c r="P241" s="17" cm="1">
        <f t="array" ref="P241">INDEX('Model tilvækst, slagteform, fe'!$P$9:$P$375,MATCH(MIN(ABS('Model tilvækst, slagteform, fe'!$M$9:$M$375-G241)),ABS('Model tilvækst, slagteform, fe'!$M$9:$M$375-G241),0))*(1+Forudsætninger!$E$80)</f>
        <v>7.4575795749948846</v>
      </c>
      <c r="Q241" s="17">
        <f t="shared" si="96"/>
        <v>11.421994827885566</v>
      </c>
      <c r="R241" s="17">
        <f t="shared" si="97"/>
        <v>7.7597626233426267</v>
      </c>
      <c r="S241" s="17">
        <f t="shared" si="98"/>
        <v>4.2169195704801963</v>
      </c>
      <c r="T241" s="19">
        <f>(P241)*IF(N241&lt;Forudsætninger!$B$228,IF(N241&lt;Forudsætninger!$B$227,Forudsætninger!$B$225,Forudsætninger!$C$9),Forudsætninger!$C$11)+O241</f>
        <v>19.822233592864375</v>
      </c>
      <c r="U241" s="5">
        <f>Forudsætninger!$E$68+((K241-(Forudsætninger!$E$84)))*0.01</f>
        <v>6.6593914739990572</v>
      </c>
      <c r="V241" s="2">
        <f>U241+Forudsætninger!$E$69</f>
        <v>6.6593914739990572</v>
      </c>
      <c r="W241">
        <f t="shared" si="87"/>
        <v>1</v>
      </c>
      <c r="X241">
        <f>IF(A241+Forudsætninger!$E$60&gt;248,IF(A241+Forudsætninger!$E$60&lt;365,IF(K241&gt;180,IF(K241&lt;260,1,0),0),0),0)</f>
        <v>1</v>
      </c>
      <c r="Y241" s="22">
        <f>IF(X241=0,0,IF('Vækstfunktion, kry kvie'!A241&lt;Forudsætninger!$E$66,Forudsætninger!$E$67+(('Vækstfunktion, kry kvie'!A241-Forudsætninger!$E$66)/7)*Forudsætninger!$E$64,Forudsætninger!$E$67))</f>
        <v>0.92085714285714282</v>
      </c>
      <c r="Z241" s="19">
        <f t="shared" si="102"/>
        <v>3760.3900949924582</v>
      </c>
      <c r="AA241" s="19">
        <f>Forudsætninger!$E$62+Forudsætninger!$C$16</f>
        <v>1575</v>
      </c>
      <c r="AB241" s="19">
        <f>IF(K241&gt;Forudsætninger!$C$48,IF(K241&gt;Forudsætninger!$C$49,IF(K241&gt;Forudsætninger!$C$50,Forudsætninger!$E$50,Forudsætninger!$E$49+Forudsætninger!$F$50*(K241-Forudsætninger!$C$49)),Forudsætninger!$E$48+Forudsætninger!$F$49*(K241-Forudsætninger!$C$48)),Forudsætninger!$E$48)+IF(K241&gt;Forudsætninger!$C$50,Forudsætninger!$G$50,IF(K241&gt;Forudsætninger!$C$49,Forudsætninger!$G$49+Forudsætninger!$H$50*(K241-Forudsætninger!$C$49),IF(K241&gt;Forudsætninger!$C$48,Forudsætninger!$G$48+Forudsætninger!$H$49*(K241-Forudsætninger!$C$48),Forudsætninger!$G$48)))*(U241-Forudsætninger!$H$48)</f>
        <v>35.789640950300324</v>
      </c>
      <c r="AC241" s="19">
        <f>IF(K241&gt;Forudsætninger!$C$52,IF(K241&gt;Forudsætninger!$C$53,IF(K241&gt;Forudsætninger!$C$54,Forudsætninger!$E$54,Forudsætninger!$E$53+Forudsætninger!$F$54*(K241-Forudsætninger!$C$53)),Forudsætninger!$E$52+Forudsætninger!$F$53*(K241-Forudsætninger!$C$52)),Forudsætninger!$E$52)+IF(K241&gt;Forudsætninger!$C$54,Forudsætninger!$G$54,IF(K241&gt;Forudsætninger!$C$53,Forudsætninger!$G$53+Forudsætninger!$H$54*(K241-Forudsætninger!$C$53),IF(K241&gt;Forudsætninger!$C$52,Forudsætninger!$G$52+Forudsætninger!$H$53*(K241-Forudsætninger!$C$52),Forudsætninger!$G$52)))*(V241-Forudsætninger!$H$52)</f>
        <v>30.314847868499761</v>
      </c>
      <c r="AD241" s="19">
        <f t="shared" si="88"/>
        <v>6869.1298785400204</v>
      </c>
      <c r="AE241" s="19">
        <f t="shared" si="89"/>
        <v>35.356350183540684</v>
      </c>
      <c r="AF241">
        <f>IF(G241&lt;=Forudsætninger!$C$97,Forudsætninger!$C$98,(IF(G241&lt;=Forudsætninger!$D$97,Forudsætninger!$D$98,IF(G241&lt;=Forudsætninger!$E$97,Forudsætninger!$E$98,IF(G241&lt;=Forudsætninger!$F$97,Forudsætninger!$F$98,IF(G241&lt;=Forudsætninger!$G$97,Forudsætninger!$G$98,IF(G241&lt;=Forudsætninger!$H$97,Forudsætninger!$H$98,IF(G241&lt;=Forudsætninger!$I$97,Forudsætninger!$I$98,Forudsætninger!$I$98))))))))</f>
        <v>3.8</v>
      </c>
      <c r="AG241" s="1">
        <f t="shared" si="99"/>
        <v>4.4000000000000004</v>
      </c>
      <c r="AH241" s="1">
        <f t="shared" si="103"/>
        <v>711.19999999999754</v>
      </c>
      <c r="AI241" s="1">
        <f t="shared" si="90"/>
        <v>2.9757322175732113</v>
      </c>
      <c r="AJ241" s="20">
        <f>+(W241*Forudsætninger!$C$12)</f>
        <v>900</v>
      </c>
      <c r="AK241" s="20">
        <f>Forudsætninger!$C$17</f>
        <v>250</v>
      </c>
      <c r="AL241" s="20">
        <f>IF(A241&lt;92,Forudsætninger!$C$20,Forudsætninger!$C$21)</f>
        <v>1.0566762728146013</v>
      </c>
      <c r="AM241" s="20">
        <f t="shared" si="100"/>
        <v>521.05111205598189</v>
      </c>
      <c r="AN241" s="19">
        <f>IFERROR(AD241+AJ241-AA241-Z241-AK241-AM241-Forudsætninger!$E$75,-999999)</f>
        <v>1471.4719101549647</v>
      </c>
      <c r="AO241" s="19">
        <f>IFERROR(AN241/(A241+Forudsætninger!$E$74),-999999)</f>
        <v>6.1567862349580116</v>
      </c>
      <c r="AP241" s="19">
        <f>IFERROR(((365/(A241+Forudsætninger!$E$74))*AN241)/(AI241+Forudsætninger!$E$73),-999999)</f>
        <v>728.26376928034813</v>
      </c>
      <c r="AQ241" s="18">
        <f t="shared" si="91"/>
        <v>239</v>
      </c>
      <c r="AR241" s="18">
        <f t="shared" si="104"/>
        <v>6106.4412070484404</v>
      </c>
      <c r="AS241" s="18">
        <f t="shared" si="83"/>
        <v>9</v>
      </c>
      <c r="AT241" s="50">
        <f t="shared" si="105"/>
        <v>11.140000546652118</v>
      </c>
      <c r="AU241" s="50">
        <f t="shared" si="106"/>
        <v>2.0937875259218863E-2</v>
      </c>
      <c r="AV241" s="2">
        <f t="shared" si="107"/>
        <v>1.0663737074322626</v>
      </c>
      <c r="AW241" s="16">
        <f t="shared" si="101"/>
        <v>8.3369164109244629</v>
      </c>
      <c r="AZ241" s="16"/>
      <c r="BA241" s="2"/>
    </row>
    <row r="242" spans="1:53" x14ac:dyDescent="0.25">
      <c r="A242">
        <v>240</v>
      </c>
      <c r="B242" s="1">
        <f>ROUND((A242+Forudsætninger!$E$60)/30.4,1)</f>
        <v>9.1</v>
      </c>
      <c r="C242" s="1">
        <f>VLOOKUP((A242+Forudsætninger!$E$60),'Model tilvækst, slagteform, fe'!A:D,4,FALSE)</f>
        <v>397.81533462762638</v>
      </c>
      <c r="D242" s="3">
        <f t="shared" si="108"/>
        <v>1243.8651666985265</v>
      </c>
      <c r="E242" s="3">
        <f>(1+Forudsætninger!$E$78)*C242</f>
        <v>365.99010785741626</v>
      </c>
      <c r="F242" s="2">
        <f t="shared" si="92"/>
        <v>0</v>
      </c>
      <c r="G242" s="1">
        <f t="shared" si="84"/>
        <v>365.99010785741626</v>
      </c>
      <c r="H242" s="3">
        <f t="shared" si="93"/>
        <v>1144.3559533626058</v>
      </c>
      <c r="I242" s="3">
        <f t="shared" si="85"/>
        <v>1241.625449405901</v>
      </c>
      <c r="J242" s="1">
        <f>VLOOKUP((A242+Forudsætninger!$E$60),'Model tilvækst, slagteform, fe'!G:K,4,FALSE)*(1+Forudsætninger!$E$79)</f>
        <v>53.261884114479074</v>
      </c>
      <c r="K242" s="17">
        <f t="shared" si="86"/>
        <v>194.93322711747402</v>
      </c>
      <c r="L242" s="17">
        <f t="shared" si="94"/>
        <v>650.45067473525364</v>
      </c>
      <c r="M242" s="3">
        <f>((K242-(('Model tilvækst, slagteform, fe'!$J$9/100)*'Model tilvækst, slagteform, fe'!$D$9))*1000/(A242+Forudsætninger!$E$60))</f>
        <v>632.96673544431439</v>
      </c>
      <c r="N242" s="17">
        <f t="shared" si="95"/>
        <v>1259.2340367595166</v>
      </c>
      <c r="O242" s="19">
        <f>IF( A242&lt;Forudsætninger!$C$14,(G242/100)*Forudsætninger!$C$13,(Forudsætninger!$C$15/1000)*Forudsætninger!$C$13)</f>
        <v>2.378935701073206</v>
      </c>
      <c r="P242" s="17" cm="1">
        <f t="array" ref="P242">INDEX('Model tilvækst, slagteform, fe'!$P$9:$P$375,MATCH(MIN(ABS('Model tilvækst, slagteform, fe'!$M$9:$M$375-G242)),ABS('Model tilvækst, slagteform, fe'!$M$9:$M$375-G242),0))*(1+Forudsætninger!$E$80)</f>
        <v>7.4593761414037383</v>
      </c>
      <c r="Q242" s="17">
        <f t="shared" si="96"/>
        <v>11.468011997127764</v>
      </c>
      <c r="R242" s="17">
        <f t="shared" si="97"/>
        <v>7.7746547925221616</v>
      </c>
      <c r="S242" s="17">
        <f t="shared" si="98"/>
        <v>4.2257578475123108</v>
      </c>
      <c r="T242" s="19">
        <f>(P242)*IF(N242&lt;Forudsætninger!$B$228,IF(N242&lt;Forudsætninger!$B$227,Forudsætninger!$B$225,Forudsætninger!$C$9),Forudsætninger!$C$11)+O242</f>
        <v>19.833875871957954</v>
      </c>
      <c r="U242" s="5">
        <f>Forudsætninger!$E$68+((K242-(Forudsætninger!$E$84)))*0.01</f>
        <v>6.6658959807464093</v>
      </c>
      <c r="V242" s="2">
        <f>U242+Forudsætninger!$E$69</f>
        <v>6.6658959807464093</v>
      </c>
      <c r="W242">
        <f t="shared" si="87"/>
        <v>1</v>
      </c>
      <c r="X242">
        <f>IF(A242+Forudsætninger!$E$60&gt;248,IF(A242+Forudsætninger!$E$60&lt;365,IF(K242&gt;180,IF(K242&lt;260,1,0),0),0),0)</f>
        <v>1</v>
      </c>
      <c r="Y242" s="22">
        <f>IF(X242=0,0,IF('Vækstfunktion, kry kvie'!A242&lt;Forudsætninger!$E$66,Forudsætninger!$E$67+(('Vækstfunktion, kry kvie'!A242-Forudsætninger!$E$66)/7)*Forudsætninger!$E$64,Forudsætninger!$E$67))</f>
        <v>0.92514285714285704</v>
      </c>
      <c r="Z242" s="19">
        <f t="shared" si="102"/>
        <v>3780.2239708644161</v>
      </c>
      <c r="AA242" s="19">
        <f>Forudsætninger!$E$62+Forudsætninger!$C$16</f>
        <v>1575</v>
      </c>
      <c r="AB242" s="19">
        <f>IF(K242&gt;Forudsætninger!$C$48,IF(K242&gt;Forudsætninger!$C$49,IF(K242&gt;Forudsætninger!$C$50,Forudsætninger!$E$50,Forudsætninger!$E$49+Forudsætninger!$F$50*(K242-Forudsætninger!$C$49)),Forudsætninger!$E$48+Forudsætninger!$F$49*(K242-Forudsætninger!$C$48)),Forudsætninger!$E$48)+IF(K242&gt;Forudsætninger!$C$50,Forudsætninger!$G$50,IF(K242&gt;Forudsætninger!$C$49,Forudsætninger!$G$49+Forudsætninger!$H$50*(K242-Forudsætninger!$C$49),IF(K242&gt;Forudsætninger!$C$48,Forudsætninger!$G$48+Forudsætninger!$H$49*(K242-Forudsætninger!$C$48),Forudsætninger!$G$48)))*(U242-Forudsætninger!$H$48)</f>
        <v>35.814141259048689</v>
      </c>
      <c r="AC242" s="19">
        <f>IF(K242&gt;Forudsætninger!$C$52,IF(K242&gt;Forudsætninger!$C$53,IF(K242&gt;Forudsætninger!$C$54,Forudsætninger!$E$54,Forudsætninger!$E$53+Forudsætninger!$F$54*(K242-Forudsætninger!$C$53)),Forudsætninger!$E$52+Forudsætninger!$F$53*(K242-Forudsætninger!$C$52)),Forudsætninger!$E$52)+IF(K242&gt;Forudsætninger!$C$54,Forudsætninger!$G$54,IF(K242&gt;Forudsætninger!$C$53,Forudsætninger!$G$53+Forudsætninger!$H$54*(K242-Forudsætninger!$C$53),IF(K242&gt;Forudsætninger!$C$52,Forudsætninger!$G$52+Forudsætninger!$H$53*(K242-Forudsætninger!$C$52),Forudsætninger!$G$52)))*(V242-Forudsætninger!$H$52)</f>
        <v>30.316473995186602</v>
      </c>
      <c r="AD242" s="19">
        <f t="shared" si="88"/>
        <v>6901.1433773254257</v>
      </c>
      <c r="AE242" s="19">
        <f t="shared" si="89"/>
        <v>35.40260159529673</v>
      </c>
      <c r="AF242">
        <f>IF(G242&lt;=Forudsætninger!$C$97,Forudsætninger!$C$98,(IF(G242&lt;=Forudsætninger!$D$97,Forudsætninger!$D$98,IF(G242&lt;=Forudsætninger!$E$97,Forudsætninger!$E$98,IF(G242&lt;=Forudsætninger!$F$97,Forudsætninger!$F$98,IF(G242&lt;=Forudsætninger!$G$97,Forudsætninger!$G$98,IF(G242&lt;=Forudsætninger!$H$97,Forudsætninger!$H$98,IF(G242&lt;=Forudsætninger!$I$97,Forudsætninger!$I$98,Forudsætninger!$I$98))))))))</f>
        <v>3.8</v>
      </c>
      <c r="AG242" s="1">
        <f t="shared" si="99"/>
        <v>4.4000000000000004</v>
      </c>
      <c r="AH242" s="1">
        <f t="shared" si="103"/>
        <v>715.59999999999752</v>
      </c>
      <c r="AI242" s="1">
        <f t="shared" si="90"/>
        <v>2.9816666666666563</v>
      </c>
      <c r="AJ242" s="20">
        <f>+(W242*Forudsætninger!$C$12)</f>
        <v>900</v>
      </c>
      <c r="AK242" s="20">
        <f>Forudsætninger!$C$17</f>
        <v>250</v>
      </c>
      <c r="AL242" s="20">
        <f>IF(A242&lt;92,Forudsætninger!$C$20,Forudsætninger!$C$21)</f>
        <v>1.0566762728146013</v>
      </c>
      <c r="AM242" s="20">
        <f t="shared" si="100"/>
        <v>522.10778832879646</v>
      </c>
      <c r="AN242" s="19">
        <f>IFERROR(AD242+AJ242-AA242-Z242-AK242-AM242-Forudsætninger!$E$75,-999999)</f>
        <v>1482.5948567955975</v>
      </c>
      <c r="AO242" s="19">
        <f>IFERROR(AN242/(A242+Forudsætninger!$E$74),-999999)</f>
        <v>6.1774785699816563</v>
      </c>
      <c r="AP242" s="19">
        <f>IFERROR(((365/(A242+Forudsætninger!$E$74))*AN242)/(AI242+Forudsætninger!$E$73),-999999)</f>
        <v>729.3087907417721</v>
      </c>
      <c r="AQ242" s="18">
        <f t="shared" si="91"/>
        <v>240</v>
      </c>
      <c r="AR242" s="18">
        <f t="shared" si="104"/>
        <v>6127.3317591932118</v>
      </c>
      <c r="AS242" s="18">
        <f t="shared" si="83"/>
        <v>9.1</v>
      </c>
      <c r="AT242" s="50">
        <f t="shared" si="105"/>
        <v>11.12294664063279</v>
      </c>
      <c r="AU242" s="50">
        <f t="shared" si="106"/>
        <v>2.0692335023644759E-2</v>
      </c>
      <c r="AV242" s="2">
        <f t="shared" si="107"/>
        <v>1.0450214614239712</v>
      </c>
      <c r="AW242" s="16">
        <f t="shared" si="101"/>
        <v>8.3529276880183083</v>
      </c>
      <c r="AZ242" s="16"/>
      <c r="BA242" s="2"/>
    </row>
    <row r="243" spans="1:53" x14ac:dyDescent="0.25">
      <c r="A243">
        <v>241</v>
      </c>
      <c r="B243" s="1">
        <f>ROUND((A243+Forudsætninger!$E$60)/30.4,1)</f>
        <v>9.1</v>
      </c>
      <c r="C243" s="1">
        <f>VLOOKUP((A243+Forudsætninger!$E$60),'Model tilvækst, slagteform, fe'!A:D,4,FALSE)</f>
        <v>399.0544053237777</v>
      </c>
      <c r="D243" s="3">
        <f t="shared" si="108"/>
        <v>1239.070696151316</v>
      </c>
      <c r="E243" s="3">
        <f>(1+Forudsætninger!$E$78)*C243</f>
        <v>367.13005289787549</v>
      </c>
      <c r="F243" s="2">
        <f t="shared" si="92"/>
        <v>0</v>
      </c>
      <c r="G243" s="1">
        <f t="shared" si="84"/>
        <v>367.13005289787549</v>
      </c>
      <c r="H243" s="3">
        <f t="shared" si="93"/>
        <v>1139.9450404592244</v>
      </c>
      <c r="I243" s="3">
        <f t="shared" si="85"/>
        <v>1241.2035389953339</v>
      </c>
      <c r="J243" s="1">
        <f>VLOOKUP((A243+Forudsætninger!$E$60),'Model tilvækst, slagteform, fe'!G:K,4,FALSE)*(1+Forudsætninger!$E$79)</f>
        <v>53.273007216611632</v>
      </c>
      <c r="K243" s="17">
        <f t="shared" si="86"/>
        <v>195.58121957463533</v>
      </c>
      <c r="L243" s="17">
        <f t="shared" si="94"/>
        <v>647.99245716130827</v>
      </c>
      <c r="M243" s="3">
        <f>((K243-(('Model tilvækst, slagteform, fe'!$J$9/100)*'Model tilvækst, slagteform, fe'!$D$9))*1000/(A243+Forudsætninger!$E$60))</f>
        <v>633.02097992704716</v>
      </c>
      <c r="N243" s="17">
        <f t="shared" si="95"/>
        <v>1266.695137869594</v>
      </c>
      <c r="O243" s="19">
        <f>IF( A243&lt;Forudsætninger!$C$14,(G243/100)*Forudsætninger!$C$13,(Forudsætninger!$C$15/1000)*Forudsætninger!$C$13)</f>
        <v>2.386345343836191</v>
      </c>
      <c r="P243" s="17" cm="1">
        <f t="array" ref="P243">INDEX('Model tilvækst, slagteform, fe'!$P$9:$P$375,MATCH(MIN(ABS('Model tilvækst, slagteform, fe'!$M$9:$M$375-G243)),ABS('Model tilvækst, slagteform, fe'!$M$9:$M$375-G243),0))*(1+Forudsætninger!$E$80)</f>
        <v>7.4611011100774087</v>
      </c>
      <c r="Q243" s="17">
        <f t="shared" si="96"/>
        <v>11.514178950110953</v>
      </c>
      <c r="R243" s="17">
        <f t="shared" si="97"/>
        <v>7.7895561867493237</v>
      </c>
      <c r="S243" s="17">
        <f t="shared" si="98"/>
        <v>4.2345967100204742</v>
      </c>
      <c r="T243" s="19">
        <f>(P243)*IF(N243&lt;Forudsætninger!$B$228,IF(N243&lt;Forudsætninger!$B$227,Forudsætninger!$B$225,Forudsætninger!$C$9),Forudsætninger!$C$11)+O243</f>
        <v>19.845321941417325</v>
      </c>
      <c r="U243" s="5">
        <f>Forudsætninger!$E$68+((K243-(Forudsætninger!$E$84)))*0.01</f>
        <v>6.672375905318022</v>
      </c>
      <c r="V243" s="2">
        <f>U243+Forudsætninger!$E$69</f>
        <v>6.672375905318022</v>
      </c>
      <c r="W243">
        <f t="shared" si="87"/>
        <v>1</v>
      </c>
      <c r="X243">
        <f>IF(A243+Forudsætninger!$E$60&gt;248,IF(A243+Forudsætninger!$E$60&lt;365,IF(K243&gt;180,IF(K243&lt;260,1,0),0),0),0)</f>
        <v>1</v>
      </c>
      <c r="Y243" s="22">
        <f>IF(X243=0,0,IF('Vækstfunktion, kry kvie'!A243&lt;Forudsætninger!$E$66,Forudsætninger!$E$67+(('Vækstfunktion, kry kvie'!A243-Forudsætninger!$E$66)/7)*Forudsætninger!$E$64,Forudsætninger!$E$67))</f>
        <v>0.92942857142857138</v>
      </c>
      <c r="Z243" s="19">
        <f t="shared" si="102"/>
        <v>3800.0692928058334</v>
      </c>
      <c r="AA243" s="19">
        <f>Forudsætninger!$E$62+Forudsætninger!$C$16</f>
        <v>1575</v>
      </c>
      <c r="AB243" s="19">
        <f>IF(K243&gt;Forudsætninger!$C$48,IF(K243&gt;Forudsætninger!$C$49,IF(K243&gt;Forudsætninger!$C$50,Forudsætninger!$E$50,Forudsætninger!$E$49+Forudsætninger!$F$50*(K243-Forudsætninger!$C$49)),Forudsætninger!$E$48+Forudsætninger!$F$49*(K243-Forudsætninger!$C$48)),Forudsætninger!$E$48)+IF(K243&gt;Forudsætninger!$C$50,Forudsætninger!$G$50,IF(K243&gt;Forudsætninger!$C$49,Forudsætninger!$G$49+Forudsætninger!$H$50*(K243-Forudsætninger!$C$49),IF(K243&gt;Forudsætninger!$C$48,Forudsætninger!$G$48+Forudsætninger!$H$49*(K243-Forudsætninger!$C$48),Forudsætninger!$G$48)))*(U243-Forudsætninger!$H$48)</f>
        <v>35.838548974935094</v>
      </c>
      <c r="AC243" s="19">
        <f>IF(K243&gt;Forudsætninger!$C$52,IF(K243&gt;Forudsætninger!$C$53,IF(K243&gt;Forudsætninger!$C$54,Forudsætninger!$E$54,Forudsætninger!$E$53+Forudsætninger!$F$54*(K243-Forudsætninger!$C$53)),Forudsætninger!$E$52+Forudsætninger!$F$53*(K243-Forudsætninger!$C$52)),Forudsætninger!$E$52)+IF(K243&gt;Forudsætninger!$C$54,Forudsætninger!$G$54,IF(K243&gt;Forudsætninger!$C$53,Forudsætninger!$G$53+Forudsætninger!$H$54*(K243-Forudsætninger!$C$53),IF(K243&gt;Forudsætninger!$C$52,Forudsætninger!$G$52+Forudsætninger!$H$53*(K243-Forudsætninger!$C$52),Forudsætninger!$G$52)))*(V243-Forudsætninger!$H$52)</f>
        <v>30.318093976329504</v>
      </c>
      <c r="AD243" s="19">
        <f t="shared" si="88"/>
        <v>6933.1513339188623</v>
      </c>
      <c r="AE243" s="19">
        <f t="shared" si="89"/>
        <v>35.448962579319215</v>
      </c>
      <c r="AF243">
        <f>IF(G243&lt;=Forudsætninger!$C$97,Forudsætninger!$C$98,(IF(G243&lt;=Forudsætninger!$D$97,Forudsætninger!$D$98,IF(G243&lt;=Forudsætninger!$E$97,Forudsætninger!$E$98,IF(G243&lt;=Forudsætninger!$F$97,Forudsætninger!$F$98,IF(G243&lt;=Forudsætninger!$G$97,Forudsætninger!$G$98,IF(G243&lt;=Forudsætninger!$H$97,Forudsætninger!$H$98,IF(G243&lt;=Forudsætninger!$I$97,Forudsætninger!$I$98,Forudsætninger!$I$98))))))))</f>
        <v>3.8</v>
      </c>
      <c r="AG243" s="1">
        <f t="shared" si="99"/>
        <v>4.4000000000000004</v>
      </c>
      <c r="AH243" s="1">
        <f t="shared" si="103"/>
        <v>719.9999999999975</v>
      </c>
      <c r="AI243" s="1">
        <f t="shared" si="90"/>
        <v>2.9875518672199068</v>
      </c>
      <c r="AJ243" s="20">
        <f>+(W243*Forudsætninger!$C$12)</f>
        <v>900</v>
      </c>
      <c r="AK243" s="20">
        <f>Forudsætninger!$C$17</f>
        <v>250</v>
      </c>
      <c r="AL243" s="20">
        <f>IF(A243&lt;92,Forudsætninger!$C$20,Forudsætninger!$C$21)</f>
        <v>1.0566762728146013</v>
      </c>
      <c r="AM243" s="20">
        <f t="shared" si="100"/>
        <v>523.16446460161103</v>
      </c>
      <c r="AN243" s="19">
        <f>IFERROR(AD243+AJ243-AA243-Z243-AK243-AM243-Forudsætninger!$E$75,-999999)</f>
        <v>1493.7008151748021</v>
      </c>
      <c r="AO243" s="19">
        <f>IFERROR(AN243/(A243+Forudsætninger!$E$74),-999999)</f>
        <v>6.1979286936713782</v>
      </c>
      <c r="AP243" s="19">
        <f>IFERROR(((365/(A243+Forudsætninger!$E$74))*AN243)/(AI243+Forudsætninger!$E$73),-999999)</f>
        <v>730.33287904891358</v>
      </c>
      <c r="AQ243" s="18">
        <f t="shared" si="91"/>
        <v>241</v>
      </c>
      <c r="AR243" s="18">
        <f t="shared" si="104"/>
        <v>6148.2337574074445</v>
      </c>
      <c r="AS243" s="18">
        <f t="shared" si="83"/>
        <v>9.1</v>
      </c>
      <c r="AT243" s="50">
        <f t="shared" si="105"/>
        <v>11.105958379204594</v>
      </c>
      <c r="AU243" s="50">
        <f t="shared" si="106"/>
        <v>2.0450123689721877E-2</v>
      </c>
      <c r="AV243" s="2">
        <f t="shared" si="107"/>
        <v>1.0240883071414828</v>
      </c>
      <c r="AW243" s="16">
        <f t="shared" si="101"/>
        <v>8.3687356007320037</v>
      </c>
      <c r="AZ243" s="16"/>
      <c r="BA243" s="2"/>
    </row>
    <row r="244" spans="1:53" x14ac:dyDescent="0.25">
      <c r="A244">
        <v>242</v>
      </c>
      <c r="B244" s="1">
        <f>ROUND((A244+Forudsætninger!$E$60)/30.4,1)</f>
        <v>9.1</v>
      </c>
      <c r="C244" s="1">
        <f>VLOOKUP((A244+Forudsætninger!$E$60),'Model tilvækst, slagteform, fe'!A:D,4,FALSE)</f>
        <v>400.28867328508079</v>
      </c>
      <c r="D244" s="3">
        <f t="shared" si="108"/>
        <v>1234.2679613030896</v>
      </c>
      <c r="E244" s="3">
        <f>(1+Forudsætninger!$E$78)*C244</f>
        <v>368.26557942227436</v>
      </c>
      <c r="F244" s="2">
        <f t="shared" si="92"/>
        <v>0</v>
      </c>
      <c r="G244" s="1">
        <f t="shared" si="84"/>
        <v>368.26557942227436</v>
      </c>
      <c r="H244" s="3">
        <f t="shared" si="93"/>
        <v>1135.5265243988697</v>
      </c>
      <c r="I244" s="3">
        <f t="shared" si="85"/>
        <v>1240.7668571168363</v>
      </c>
      <c r="J244" s="1">
        <f>VLOOKUP((A244+Forudsætninger!$E$60),'Model tilvækst, slagteform, fe'!G:K,4,FALSE)*(1+Forudsætninger!$E$79)</f>
        <v>53.284034758926808</v>
      </c>
      <c r="K244" s="17">
        <f t="shared" si="86"/>
        <v>196.22675934452789</v>
      </c>
      <c r="L244" s="17">
        <f t="shared" si="94"/>
        <v>645.53976989256512</v>
      </c>
      <c r="M244" s="3">
        <f>((K244-(('Model tilvækst, slagteform, fe'!$J$9/100)*'Model tilvækst, slagteform, fe'!$D$9))*1000/(A244+Forudsætninger!$E$60))</f>
        <v>633.06601154562827</v>
      </c>
      <c r="N244" s="17">
        <f t="shared" si="95"/>
        <v>1274.1578975709344</v>
      </c>
      <c r="O244" s="19">
        <f>IF( A244&lt;Forudsætninger!$C$14,(G244/100)*Forudsætninger!$C$13,(Forudsætninger!$C$15/1000)*Forudsætninger!$C$13)</f>
        <v>2.3937262662447836</v>
      </c>
      <c r="P244" s="17" cm="1">
        <f t="array" ref="P244">INDEX('Model tilvækst, slagteform, fe'!$P$9:$P$375,MATCH(MIN(ABS('Model tilvækst, slagteform, fe'!$M$9:$M$375-G244)),ABS('Model tilvækst, slagteform, fe'!$M$9:$M$375-G244),0))*(1+Forudsætninger!$E$80)</f>
        <v>7.4627597013405875</v>
      </c>
      <c r="Q244" s="17">
        <f t="shared" si="96"/>
        <v>11.560495649373529</v>
      </c>
      <c r="R244" s="17">
        <f t="shared" si="97"/>
        <v>7.8044666983482518</v>
      </c>
      <c r="S244" s="17">
        <f t="shared" si="98"/>
        <v>4.243436427253755</v>
      </c>
      <c r="T244" s="19">
        <f>(P244)*IF(N244&lt;Forudsætninger!$B$228,IF(N244&lt;Forudsætninger!$B$227,Forudsætninger!$B$225,Forudsætninger!$C$9),Forudsætninger!$C$11)+O244</f>
        <v>19.856583967381756</v>
      </c>
      <c r="U244" s="5">
        <f>Forudsætninger!$E$68+((K244-(Forudsætninger!$E$84)))*0.01</f>
        <v>6.6788313030169482</v>
      </c>
      <c r="V244" s="2">
        <f>U244+Forudsætninger!$E$69</f>
        <v>6.6788313030169482</v>
      </c>
      <c r="W244">
        <f t="shared" si="87"/>
        <v>1</v>
      </c>
      <c r="X244">
        <f>IF(A244+Forudsætninger!$E$60&gt;248,IF(A244+Forudsætninger!$E$60&lt;365,IF(K244&gt;180,IF(K244&lt;260,1,0),0),0),0)</f>
        <v>1</v>
      </c>
      <c r="Y244" s="22">
        <f>IF(X244=0,0,IF('Vækstfunktion, kry kvie'!A244&lt;Forudsætninger!$E$66,Forudsætninger!$E$67+(('Vækstfunktion, kry kvie'!A244-Forudsætninger!$E$66)/7)*Forudsætninger!$E$64,Forudsætninger!$E$67))</f>
        <v>0.93371428571428561</v>
      </c>
      <c r="Z244" s="19">
        <f t="shared" si="102"/>
        <v>3819.9258767732149</v>
      </c>
      <c r="AA244" s="19">
        <f>Forudsætninger!$E$62+Forudsætninger!$C$16</f>
        <v>1575</v>
      </c>
      <c r="AB244" s="19">
        <f>IF(K244&gt;Forudsætninger!$C$48,IF(K244&gt;Forudsætninger!$C$49,IF(K244&gt;Forudsætninger!$C$50,Forudsætninger!$E$50,Forudsætninger!$E$49+Forudsætninger!$F$50*(K244-Forudsætninger!$C$49)),Forudsætninger!$E$48+Forudsætninger!$F$49*(K244-Forudsætninger!$C$48)),Forudsætninger!$E$48)+IF(K244&gt;Forudsætninger!$C$50,Forudsætninger!$G$50,IF(K244&gt;Forudsætninger!$C$49,Forudsætninger!$G$49+Forudsætninger!$H$50*(K244-Forudsætninger!$C$49),IF(K244&gt;Forudsætninger!$C$48,Forudsætninger!$G$48+Forudsætninger!$H$49*(K244-Forudsætninger!$C$48),Forudsætninger!$G$48)))*(U244-Forudsætninger!$H$48)</f>
        <v>35.862864306267724</v>
      </c>
      <c r="AC244" s="19">
        <f>IF(K244&gt;Forudsætninger!$C$52,IF(K244&gt;Forudsætninger!$C$53,IF(K244&gt;Forudsætninger!$C$54,Forudsætninger!$E$54,Forudsætninger!$E$53+Forudsætninger!$F$54*(K244-Forudsætninger!$C$53)),Forudsætninger!$E$52+Forudsætninger!$F$53*(K244-Forudsætninger!$C$52)),Forudsætninger!$E$52)+IF(K244&gt;Forudsætninger!$C$54,Forudsætninger!$G$54,IF(K244&gt;Forudsætninger!$C$53,Forudsætninger!$G$53+Forudsætninger!$H$54*(K244-Forudsætninger!$C$53),IF(K244&gt;Forudsætninger!$C$52,Forudsætninger!$G$52+Forudsætninger!$H$53*(K244-Forudsætninger!$C$52),Forudsætninger!$G$52)))*(V244-Forudsætninger!$H$52)</f>
        <v>30.319707825754236</v>
      </c>
      <c r="AD244" s="19">
        <f t="shared" si="88"/>
        <v>6965.1536359774836</v>
      </c>
      <c r="AE244" s="19">
        <f t="shared" si="89"/>
        <v>35.495432219559397</v>
      </c>
      <c r="AF244">
        <f>IF(G244&lt;=Forudsætninger!$C$97,Forudsætninger!$C$98,(IF(G244&lt;=Forudsætninger!$D$97,Forudsætninger!$D$98,IF(G244&lt;=Forudsætninger!$E$97,Forudsætninger!$E$98,IF(G244&lt;=Forudsætninger!$F$97,Forudsætninger!$F$98,IF(G244&lt;=Forudsætninger!$G$97,Forudsætninger!$G$98,IF(G244&lt;=Forudsætninger!$H$97,Forudsætninger!$H$98,IF(G244&lt;=Forudsætninger!$I$97,Forudsætninger!$I$98,Forudsætninger!$I$98))))))))</f>
        <v>3.8</v>
      </c>
      <c r="AG244" s="1">
        <f t="shared" si="99"/>
        <v>4.4000000000000004</v>
      </c>
      <c r="AH244" s="1">
        <f t="shared" si="103"/>
        <v>724.39999999999748</v>
      </c>
      <c r="AI244" s="1">
        <f t="shared" si="90"/>
        <v>2.9933884297520557</v>
      </c>
      <c r="AJ244" s="20">
        <f>+(W244*Forudsætninger!$C$12)</f>
        <v>900</v>
      </c>
      <c r="AK244" s="20">
        <f>Forudsætninger!$C$17</f>
        <v>250</v>
      </c>
      <c r="AL244" s="20">
        <f>IF(A244&lt;92,Forudsætninger!$C$20,Forudsætninger!$C$21)</f>
        <v>1.0566762728146013</v>
      </c>
      <c r="AM244" s="20">
        <f t="shared" si="100"/>
        <v>524.2211408744256</v>
      </c>
      <c r="AN244" s="19">
        <f>IFERROR(AD244+AJ244-AA244-Z244-AK244-AM244-Forudsætninger!$E$75,-999999)</f>
        <v>1504.7898569932274</v>
      </c>
      <c r="AO244" s="19">
        <f>IFERROR(AN244/(A244+Forudsætninger!$E$74),-999999)</f>
        <v>6.218139904930692</v>
      </c>
      <c r="AP244" s="19">
        <f>IFERROR(((365/(A244+Forudsætninger!$E$74))*AN244)/(AI244+Forudsætninger!$E$73),-999999)</f>
        <v>731.33644616991535</v>
      </c>
      <c r="AQ244" s="18">
        <f t="shared" si="91"/>
        <v>242</v>
      </c>
      <c r="AR244" s="18">
        <f t="shared" si="104"/>
        <v>6169.1470176476414</v>
      </c>
      <c r="AS244" s="18">
        <f t="shared" si="83"/>
        <v>9.1</v>
      </c>
      <c r="AT244" s="50">
        <f t="shared" si="105"/>
        <v>11.089041818425358</v>
      </c>
      <c r="AU244" s="50">
        <f t="shared" si="106"/>
        <v>2.0211211259313799E-2</v>
      </c>
      <c r="AV244" s="2">
        <f t="shared" si="107"/>
        <v>1.0035671210017654</v>
      </c>
      <c r="AW244" s="16">
        <f t="shared" si="101"/>
        <v>8.3843429663952609</v>
      </c>
      <c r="AZ244" s="16"/>
      <c r="BA244" s="2"/>
    </row>
    <row r="245" spans="1:53" ht="14.25" customHeight="1" x14ac:dyDescent="0.25">
      <c r="A245">
        <v>243</v>
      </c>
      <c r="B245" s="1">
        <f>ROUND((A245+Forudsætninger!$E$60)/30.4,1)</f>
        <v>9.1999999999999993</v>
      </c>
      <c r="C245" s="1">
        <f>VLOOKUP((A245+Forudsætninger!$E$60),'Model tilvækst, slagteform, fe'!A:D,4,FALSE)</f>
        <v>401.51813083225676</v>
      </c>
      <c r="D245" s="3">
        <f t="shared" si="108"/>
        <v>1229.4575471759686</v>
      </c>
      <c r="E245" s="3">
        <f>(1+Forudsætninger!$E$78)*C245</f>
        <v>369.39668036567622</v>
      </c>
      <c r="F245" s="2">
        <f t="shared" si="92"/>
        <v>0</v>
      </c>
      <c r="G245" s="1">
        <f t="shared" si="84"/>
        <v>369.39668036567622</v>
      </c>
      <c r="H245" s="3">
        <f t="shared" si="93"/>
        <v>1131.1009434018615</v>
      </c>
      <c r="I245" s="3">
        <f t="shared" si="85"/>
        <v>1240.315557060396</v>
      </c>
      <c r="J245" s="1">
        <f>VLOOKUP((A245+Forudsætninger!$E$60),'Model tilvækst, slagteform, fe'!G:K,4,FALSE)*(1+Forudsætninger!$E$79)</f>
        <v>53.294970666769331</v>
      </c>
      <c r="K245" s="17">
        <f t="shared" si="86"/>
        <v>196.8698524449068</v>
      </c>
      <c r="L245" s="17">
        <f t="shared" si="94"/>
        <v>643.09310037890555</v>
      </c>
      <c r="M245" s="3">
        <f>((K245-(('Model tilvækst, slagteform, fe'!$J$9/100)*'Model tilvækst, slagteform, fe'!$D$9))*1000/(A245+Forudsætninger!$E$60))</f>
        <v>633.10195093212747</v>
      </c>
      <c r="N245" s="17">
        <f t="shared" si="95"/>
        <v>1281.6222547064524</v>
      </c>
      <c r="O245" s="19">
        <f>IF( A245&lt;Forudsætninger!$C$14,(G245/100)*Forudsætninger!$C$13,(Forudsætninger!$C$15/1000)*Forudsætninger!$C$13)</f>
        <v>2.4010784223768953</v>
      </c>
      <c r="P245" s="17" cm="1">
        <f t="array" ref="P245">INDEX('Model tilvækst, slagteform, fe'!$P$9:$P$375,MATCH(MIN(ABS('Model tilvækst, slagteform, fe'!$M$9:$M$375-G245)),ABS('Model tilvækst, slagteform, fe'!$M$9:$M$375-G245),0))*(1+Forudsætninger!$E$80)</f>
        <v>7.4643571355179716</v>
      </c>
      <c r="Q245" s="17">
        <f t="shared" si="96"/>
        <v>11.606961933070078</v>
      </c>
      <c r="R245" s="17">
        <f t="shared" si="97"/>
        <v>7.8193862287445919</v>
      </c>
      <c r="S245" s="17">
        <f t="shared" si="98"/>
        <v>4.2522772750897442</v>
      </c>
      <c r="T245" s="19">
        <f>(P245)*IF(N245&lt;Forudsætninger!$B$228,IF(N245&lt;Forudsætninger!$B$227,Forudsætninger!$B$225,Forudsætninger!$C$9),Forudsætninger!$C$11)+O245</f>
        <v>19.867674119488946</v>
      </c>
      <c r="U245" s="5">
        <f>Forudsætninger!$E$68+((K245-(Forudsætninger!$E$84)))*0.01</f>
        <v>6.6852622340207368</v>
      </c>
      <c r="V245" s="2">
        <f>U245+Forudsætninger!$E$69</f>
        <v>6.6852622340207368</v>
      </c>
      <c r="W245">
        <f t="shared" si="87"/>
        <v>1</v>
      </c>
      <c r="X245">
        <f>IF(A245+Forudsætninger!$E$60&gt;248,IF(A245+Forudsætninger!$E$60&lt;365,IF(K245&gt;180,IF(K245&lt;260,1,0),0),0),0)</f>
        <v>1</v>
      </c>
      <c r="Y245" s="22">
        <f>IF(X245=0,0,IF('Vækstfunktion, kry kvie'!A245&lt;Forudsætninger!$E$66,Forudsætninger!$E$67+(('Vækstfunktion, kry kvie'!A245-Forudsætninger!$E$66)/7)*Forudsætninger!$E$64,Forudsætninger!$E$67))</f>
        <v>0.93799999999999994</v>
      </c>
      <c r="Z245" s="19">
        <f t="shared" si="102"/>
        <v>3839.7935508927039</v>
      </c>
      <c r="AA245" s="19">
        <f>Forudsætninger!$E$62+Forudsætninger!$C$16</f>
        <v>1575</v>
      </c>
      <c r="AB245" s="19">
        <f>IF(K245&gt;Forudsætninger!$C$48,IF(K245&gt;Forudsætninger!$C$49,IF(K245&gt;Forudsætninger!$C$50,Forudsætninger!$E$50,Forudsætninger!$E$49+Forudsætninger!$F$50*(K245-Forudsætninger!$C$49)),Forudsætninger!$E$48+Forudsætninger!$F$49*(K245-Forudsætninger!$C$48)),Forudsætninger!$E$48)+IF(K245&gt;Forudsætninger!$C$50,Forudsætninger!$G$50,IF(K245&gt;Forudsætninger!$C$49,Forudsætninger!$G$49+Forudsætninger!$H$50*(K245-Forudsætninger!$C$49),IF(K245&gt;Forudsætninger!$C$48,Forudsætninger!$G$48+Forudsætninger!$H$49*(K245-Forudsætninger!$C$48),Forudsætninger!$G$48)))*(U245-Forudsætninger!$H$48)</f>
        <v>35.887087479715326</v>
      </c>
      <c r="AC245" s="19">
        <f>IF(K245&gt;Forudsætninger!$C$52,IF(K245&gt;Forudsætninger!$C$53,IF(K245&gt;Forudsætninger!$C$54,Forudsætninger!$E$54,Forudsætninger!$E$53+Forudsætninger!$F$54*(K245-Forudsætninger!$C$53)),Forudsætninger!$E$52+Forudsætninger!$F$53*(K245-Forudsætninger!$C$52)),Forudsætninger!$E$52)+IF(K245&gt;Forudsætninger!$C$54,Forudsætninger!$G$54,IF(K245&gt;Forudsætninger!$C$53,Forudsætninger!$G$53+Forudsætninger!$H$54*(K245-Forudsætninger!$C$53),IF(K245&gt;Forudsætninger!$C$52,Forudsætninger!$G$52+Forudsætninger!$H$53*(K245-Forudsætninger!$C$52),Forudsætninger!$G$52)))*(V245-Forudsætninger!$H$52)</f>
        <v>30.321315558505184</v>
      </c>
      <c r="AD245" s="19">
        <f t="shared" si="88"/>
        <v>6997.1501896030386</v>
      </c>
      <c r="AE245" s="19">
        <f t="shared" si="89"/>
        <v>35.542009620600297</v>
      </c>
      <c r="AF245">
        <f>IF(G245&lt;=Forudsætninger!$C$97,Forudsætninger!$C$98,(IF(G245&lt;=Forudsætninger!$D$97,Forudsætninger!$D$98,IF(G245&lt;=Forudsætninger!$E$97,Forudsætninger!$E$98,IF(G245&lt;=Forudsætninger!$F$97,Forudsætninger!$F$98,IF(G245&lt;=Forudsætninger!$G$97,Forudsætninger!$G$98,IF(G245&lt;=Forudsætninger!$H$97,Forudsætninger!$H$98,IF(G245&lt;=Forudsætninger!$I$97,Forudsætninger!$I$98,Forudsætninger!$I$98))))))))</f>
        <v>3.8</v>
      </c>
      <c r="AG245" s="1">
        <f t="shared" si="99"/>
        <v>4.4000000000000004</v>
      </c>
      <c r="AH245" s="1">
        <f t="shared" si="103"/>
        <v>728.79999999999745</v>
      </c>
      <c r="AI245" s="1">
        <f t="shared" si="90"/>
        <v>2.9991769547325</v>
      </c>
      <c r="AJ245" s="20">
        <f>+(W245*Forudsætninger!$C$12)</f>
        <v>900</v>
      </c>
      <c r="AK245" s="20">
        <f>Forudsætninger!$C$17</f>
        <v>250</v>
      </c>
      <c r="AL245" s="20">
        <f>IF(A245&lt;92,Forudsætninger!$C$20,Forudsætninger!$C$21)</f>
        <v>1.0566762728146013</v>
      </c>
      <c r="AM245" s="20">
        <f t="shared" si="100"/>
        <v>525.27781714724017</v>
      </c>
      <c r="AN245" s="19">
        <f>IFERROR(AD245+AJ245-AA245-Z245-AK245-AM245-Forudsætninger!$E$75,-999999)</f>
        <v>1515.8620602264789</v>
      </c>
      <c r="AO245" s="19">
        <f>IFERROR(AN245/(A245+Forudsætninger!$E$74),-999999)</f>
        <v>6.2381154741830409</v>
      </c>
      <c r="AP245" s="19">
        <f>IFERROR(((365/(A245+Forudsætninger!$E$74))*AN245)/(AI245+Forudsætninger!$E$73),-999999)</f>
        <v>732.31989726770166</v>
      </c>
      <c r="AQ245" s="18">
        <f t="shared" si="91"/>
        <v>243</v>
      </c>
      <c r="AR245" s="18">
        <f t="shared" si="104"/>
        <v>6190.071368039944</v>
      </c>
      <c r="AS245" s="18">
        <f t="shared" si="83"/>
        <v>9.1999999999999993</v>
      </c>
      <c r="AT245" s="50">
        <f t="shared" si="105"/>
        <v>11.072203233251457</v>
      </c>
      <c r="AU245" s="50">
        <f t="shared" si="106"/>
        <v>1.997556925234889E-2</v>
      </c>
      <c r="AV245" s="2">
        <f t="shared" si="107"/>
        <v>0.98345109778631468</v>
      </c>
      <c r="AW245" s="16">
        <f t="shared" si="101"/>
        <v>8.3997525817848526</v>
      </c>
      <c r="AZ245" s="16"/>
      <c r="BA245" s="2"/>
    </row>
    <row r="246" spans="1:53" x14ac:dyDescent="0.25">
      <c r="A246">
        <v>244</v>
      </c>
      <c r="B246" s="1">
        <f>ROUND((A246+Forudsætninger!$E$60)/30.4,1)</f>
        <v>9.1999999999999993</v>
      </c>
      <c r="C246" s="1">
        <f>VLOOKUP((A246+Forudsætninger!$E$60),'Model tilvækst, slagteform, fe'!A:D,4,FALSE)</f>
        <v>402.74277087104576</v>
      </c>
      <c r="D246" s="3">
        <f t="shared" si="108"/>
        <v>1224.6400387890048</v>
      </c>
      <c r="E246" s="3">
        <f>(1+Forudsætninger!$E$78)*C246</f>
        <v>370.52334920136212</v>
      </c>
      <c r="F246" s="2">
        <f t="shared" si="92"/>
        <v>0</v>
      </c>
      <c r="G246" s="1">
        <f t="shared" si="84"/>
        <v>370.52334920136212</v>
      </c>
      <c r="H246" s="3">
        <f t="shared" si="93"/>
        <v>1126.6688356859049</v>
      </c>
      <c r="I246" s="3">
        <f t="shared" si="85"/>
        <v>1239.849791808861</v>
      </c>
      <c r="J246" s="1">
        <f>VLOOKUP((A246+Forudsætninger!$E$60),'Model tilvækst, slagteform, fe'!G:K,4,FALSE)*(1+Forudsætninger!$E$79)</f>
        <v>53.305818865483893</v>
      </c>
      <c r="K246" s="17">
        <f t="shared" si="86"/>
        <v>197.51050537960245</v>
      </c>
      <c r="L246" s="17">
        <f t="shared" si="94"/>
        <v>640.65293469565177</v>
      </c>
      <c r="M246" s="3">
        <f>((K246-(('Model tilvækst, slagteform, fe'!$J$9/100)*'Model tilvækst, slagteform, fe'!$D$9))*1000/(A246+Forudsætninger!$E$60))</f>
        <v>633.12891873128285</v>
      </c>
      <c r="N246" s="17">
        <f t="shared" si="95"/>
        <v>1289.0881533393867</v>
      </c>
      <c r="O246" s="19">
        <f>IF( A246&lt;Forudsætninger!$C$14,(G246/100)*Forudsætninger!$C$13,(Forudsætninger!$C$15/1000)*Forudsætninger!$C$13)</f>
        <v>2.408401769808854</v>
      </c>
      <c r="P246" s="17" cm="1">
        <f t="array" ref="P246">INDEX('Model tilvækst, slagteform, fe'!$P$9:$P$375,MATCH(MIN(ABS('Model tilvækst, slagteform, fe'!$M$9:$M$375-G246)),ABS('Model tilvækst, slagteform, fe'!$M$9:$M$375-G246),0))*(1+Forudsætninger!$E$80)</f>
        <v>7.4658986329342563</v>
      </c>
      <c r="Q246" s="17">
        <f t="shared" si="96"/>
        <v>11.653577512262551</v>
      </c>
      <c r="R246" s="17">
        <f t="shared" si="97"/>
        <v>7.834314688113559</v>
      </c>
      <c r="S246" s="17">
        <f t="shared" si="98"/>
        <v>4.2611195358721172</v>
      </c>
      <c r="T246" s="19">
        <f>(P246)*IF(N246&lt;Forudsætninger!$B$228,IF(N246&lt;Forudsætninger!$B$227,Forudsætninger!$B$225,Forudsætninger!$C$9),Forudsætninger!$C$11)+O246</f>
        <v>19.878604570875012</v>
      </c>
      <c r="U246" s="5">
        <f>Forudsætninger!$E$68+((K246-(Forudsætninger!$E$84)))*0.01</f>
        <v>6.6916687633676935</v>
      </c>
      <c r="V246" s="2">
        <f>U246+Forudsætninger!$E$69</f>
        <v>6.6916687633676935</v>
      </c>
      <c r="W246">
        <f t="shared" si="87"/>
        <v>1</v>
      </c>
      <c r="X246">
        <f>IF(A246+Forudsætninger!$E$60&gt;248,IF(A246+Forudsætninger!$E$60&lt;365,IF(K246&gt;180,IF(K246&lt;260,1,0),0),0),0)</f>
        <v>1</v>
      </c>
      <c r="Y246" s="22">
        <f>IF(X246=0,0,IF('Vækstfunktion, kry kvie'!A246&lt;Forudsætninger!$E$66,Forudsætninger!$E$67+(('Vækstfunktion, kry kvie'!A246-Forudsætninger!$E$66)/7)*Forudsætninger!$E$64,Forudsætninger!$E$67))</f>
        <v>0.94228571428571417</v>
      </c>
      <c r="Z246" s="19">
        <f t="shared" si="102"/>
        <v>3859.6721554635787</v>
      </c>
      <c r="AA246" s="19">
        <f>Forudsætninger!$E$62+Forudsætninger!$C$16</f>
        <v>1575</v>
      </c>
      <c r="AB246" s="19">
        <f>IF(K246&gt;Forudsætninger!$C$48,IF(K246&gt;Forudsætninger!$C$49,IF(K246&gt;Forudsætninger!$C$50,Forudsætninger!$E$50,Forudsætninger!$E$49+Forudsætninger!$F$50*(K246-Forudsætninger!$C$49)),Forudsætninger!$E$48+Forudsætninger!$F$49*(K246-Forudsætninger!$C$48)),Forudsætninger!$E$48)+IF(K246&gt;Forudsætninger!$C$50,Forudsætninger!$G$50,IF(K246&gt;Forudsætninger!$C$49,Forudsætninger!$G$49+Forudsætninger!$H$50*(K246-Forudsætninger!$C$49),IF(K246&gt;Forudsætninger!$C$48,Forudsætninger!$G$48+Forudsætninger!$H$49*(K246-Forudsætninger!$C$48),Forudsætninger!$G$48)))*(U246-Forudsætninger!$H$48)</f>
        <v>35.911218740255528</v>
      </c>
      <c r="AC246" s="19">
        <f>IF(K246&gt;Forudsætninger!$C$52,IF(K246&gt;Forudsætninger!$C$53,IF(K246&gt;Forudsætninger!$C$54,Forudsætninger!$E$54,Forudsætninger!$E$53+Forudsætninger!$F$54*(K246-Forudsætninger!$C$53)),Forudsætninger!$E$52+Forudsætninger!$F$53*(K246-Forudsætninger!$C$52)),Forudsætninger!$E$52)+IF(K246&gt;Forudsætninger!$C$54,Forudsætninger!$G$54,IF(K246&gt;Forudsætninger!$C$53,Forudsætninger!$G$53+Forudsætninger!$H$54*(K246-Forudsætninger!$C$53),IF(K246&gt;Forudsætninger!$C$52,Forudsætninger!$G$52+Forudsætninger!$H$53*(K246-Forudsætninger!$C$52),Forudsætninger!$G$52)))*(V246-Forudsætninger!$H$52)</f>
        <v>30.32291719084192</v>
      </c>
      <c r="AD246" s="19">
        <f t="shared" si="88"/>
        <v>7029.1409195641381</v>
      </c>
      <c r="AE246" s="19">
        <f t="shared" si="89"/>
        <v>35.588693907975085</v>
      </c>
      <c r="AF246">
        <f>IF(G246&lt;=Forudsætninger!$C$97,Forudsætninger!$C$98,(IF(G246&lt;=Forudsætninger!$D$97,Forudsætninger!$D$98,IF(G246&lt;=Forudsætninger!$E$97,Forudsætninger!$E$98,IF(G246&lt;=Forudsætninger!$F$97,Forudsætninger!$F$98,IF(G246&lt;=Forudsætninger!$G$97,Forudsætninger!$G$98,IF(G246&lt;=Forudsætninger!$H$97,Forudsætninger!$H$98,IF(G246&lt;=Forudsætninger!$I$97,Forudsætninger!$I$98,Forudsætninger!$I$98))))))))</f>
        <v>3.8</v>
      </c>
      <c r="AG246" s="1">
        <f t="shared" si="99"/>
        <v>4.4000000000000004</v>
      </c>
      <c r="AH246" s="1">
        <f t="shared" si="103"/>
        <v>733.19999999999743</v>
      </c>
      <c r="AI246" s="1">
        <f t="shared" si="90"/>
        <v>3.0049180327868745</v>
      </c>
      <c r="AJ246" s="20">
        <f>+(W246*Forudsætninger!$C$12)</f>
        <v>900</v>
      </c>
      <c r="AK246" s="20">
        <f>Forudsætninger!$C$17</f>
        <v>250</v>
      </c>
      <c r="AL246" s="20">
        <f>IF(A246&lt;92,Forudsætninger!$C$20,Forudsætninger!$C$21)</f>
        <v>1.0566762728146013</v>
      </c>
      <c r="AM246" s="20">
        <f t="shared" si="100"/>
        <v>526.33449342005474</v>
      </c>
      <c r="AN246" s="19">
        <f>IFERROR(AD246+AJ246-AA246-Z246-AK246-AM246-Forudsætninger!$E$75,-999999)</f>
        <v>1526.9175093438889</v>
      </c>
      <c r="AO246" s="19">
        <f>IFERROR(AN246/(A246+Forudsætninger!$E$74),-999999)</f>
        <v>6.2578586448520035</v>
      </c>
      <c r="AP246" s="19">
        <f>IFERROR(((365/(A246+Forudsætninger!$E$74))*AN246)/(AI246+Forudsætninger!$E$73),-999999)</f>
        <v>733.28363100694878</v>
      </c>
      <c r="AQ246" s="18">
        <f t="shared" si="91"/>
        <v>244</v>
      </c>
      <c r="AR246" s="18">
        <f t="shared" si="104"/>
        <v>6211.0066488836337</v>
      </c>
      <c r="AS246" s="18">
        <f t="shared" si="83"/>
        <v>9.1999999999999993</v>
      </c>
      <c r="AT246" s="50">
        <f t="shared" si="105"/>
        <v>11.055449117410035</v>
      </c>
      <c r="AU246" s="50">
        <f t="shared" si="106"/>
        <v>1.9743170668962584E-2</v>
      </c>
      <c r="AV246" s="2">
        <f t="shared" si="107"/>
        <v>0.96373373924711814</v>
      </c>
      <c r="AW246" s="16">
        <f t="shared" si="101"/>
        <v>8.4149672244423925</v>
      </c>
      <c r="AZ246" s="16"/>
      <c r="BA246" s="2"/>
    </row>
    <row r="247" spans="1:53" x14ac:dyDescent="0.25">
      <c r="A247">
        <v>245</v>
      </c>
      <c r="B247" s="1">
        <f>ROUND((A247+Forudsætninger!$E$60)/30.4,1)</f>
        <v>9.1999999999999993</v>
      </c>
      <c r="C247" s="1">
        <f>VLOOKUP((A247+Forudsætninger!$E$60),'Model tilvækst, slagteform, fe'!A:D,4,FALSE)</f>
        <v>403.96258689220963</v>
      </c>
      <c r="D247" s="3">
        <f t="shared" si="108"/>
        <v>1219.8160211638651</v>
      </c>
      <c r="E247" s="3">
        <f>(1+Forudsætninger!$E$78)*C247</f>
        <v>371.64557994083287</v>
      </c>
      <c r="F247" s="2">
        <f t="shared" si="92"/>
        <v>0</v>
      </c>
      <c r="G247" s="1">
        <f t="shared" si="84"/>
        <v>371.64557994083287</v>
      </c>
      <c r="H247" s="3">
        <f t="shared" si="93"/>
        <v>1122.2307394707514</v>
      </c>
      <c r="I247" s="3">
        <f t="shared" si="85"/>
        <v>1239.3697140442157</v>
      </c>
      <c r="J247" s="1">
        <f>VLOOKUP((A247+Forudsætninger!$E$60),'Model tilvækst, slagteform, fe'!G:K,4,FALSE)*(1+Forudsætninger!$E$79)</f>
        <v>53.316583280415195</v>
      </c>
      <c r="K247" s="17">
        <f t="shared" si="86"/>
        <v>198.14872513713621</v>
      </c>
      <c r="L247" s="17">
        <f t="shared" si="94"/>
        <v>638.21975753376137</v>
      </c>
      <c r="M247" s="3">
        <f>((K247-(('Model tilvækst, slagteform, fe'!$J$9/100)*'Model tilvækst, slagteform, fe'!$D$9))*1000/(A247+Forudsætninger!$E$60))</f>
        <v>633.1470355953486</v>
      </c>
      <c r="N247" s="17">
        <f t="shared" si="95"/>
        <v>1296.5555427533009</v>
      </c>
      <c r="O247" s="19">
        <f>IF( A247&lt;Forudsætninger!$C$14,(G247/100)*Forudsætninger!$C$13,(Forudsætninger!$C$15/1000)*Forudsætninger!$C$13)</f>
        <v>2.4156962696154136</v>
      </c>
      <c r="P247" s="17" cm="1">
        <f t="array" ref="P247">INDEX('Model tilvækst, slagteform, fe'!$P$9:$P$375,MATCH(MIN(ABS('Model tilvækst, slagteform, fe'!$M$9:$M$375-G247)),ABS('Model tilvækst, slagteform, fe'!$M$9:$M$375-G247),0))*(1+Forudsætninger!$E$80)</f>
        <v>7.4673894139141321</v>
      </c>
      <c r="Q247" s="17">
        <f t="shared" si="96"/>
        <v>11.700341968054966</v>
      </c>
      <c r="R247" s="17">
        <f t="shared" si="97"/>
        <v>7.8492519950390607</v>
      </c>
      <c r="S247" s="17">
        <f t="shared" si="98"/>
        <v>4.2699634982532677</v>
      </c>
      <c r="T247" s="19">
        <f>(P247)*IF(N247&lt;Forudsætninger!$B$228,IF(N247&lt;Forudsætninger!$B$227,Forudsætninger!$B$225,Forudsætninger!$C$9),Forudsætninger!$C$11)+O247</f>
        <v>19.889387498174482</v>
      </c>
      <c r="U247" s="5">
        <f>Forudsætninger!$E$68+((K247-(Forudsætninger!$E$84)))*0.01</f>
        <v>6.6980509609430312</v>
      </c>
      <c r="V247" s="2">
        <f>U247+Forudsætninger!$E$69</f>
        <v>6.6980509609430312</v>
      </c>
      <c r="W247">
        <f t="shared" si="87"/>
        <v>1</v>
      </c>
      <c r="X247">
        <f>IF(A247+Forudsætninger!$E$60&gt;248,IF(A247+Forudsætninger!$E$60&lt;365,IF(K247&gt;180,IF(K247&lt;260,1,0),0),0),0)</f>
        <v>1</v>
      </c>
      <c r="Y247" s="22">
        <f>IF(X247=0,0,IF('Vækstfunktion, kry kvie'!A247&lt;Forudsætninger!$E$66,Forudsætninger!$E$67+(('Vækstfunktion, kry kvie'!A247-Forudsætninger!$E$66)/7)*Forudsætninger!$E$64,Forudsætninger!$E$67))</f>
        <v>0.94657142857142851</v>
      </c>
      <c r="Z247" s="19">
        <f t="shared" si="102"/>
        <v>3879.5615429617533</v>
      </c>
      <c r="AA247" s="19">
        <f>Forudsætninger!$E$62+Forudsætninger!$C$16</f>
        <v>1575</v>
      </c>
      <c r="AB247" s="19">
        <f>IF(K247&gt;Forudsætninger!$C$48,IF(K247&gt;Forudsætninger!$C$49,IF(K247&gt;Forudsætninger!$C$50,Forudsætninger!$E$50,Forudsætninger!$E$49+Forudsætninger!$F$50*(K247-Forudsætninger!$C$49)),Forudsætninger!$E$48+Forudsætninger!$F$49*(K247-Forudsætninger!$C$48)),Forudsætninger!$E$48)+IF(K247&gt;Forudsætninger!$C$50,Forudsætninger!$G$50,IF(K247&gt;Forudsætninger!$C$49,Forudsætninger!$G$49+Forudsætninger!$H$50*(K247-Forudsætninger!$C$49),IF(K247&gt;Forudsætninger!$C$48,Forudsætninger!$G$48+Forudsætninger!$H$49*(K247-Forudsætninger!$C$48),Forudsætninger!$G$48)))*(U247-Forudsætninger!$H$48)</f>
        <v>35.935258351122634</v>
      </c>
      <c r="AC247" s="19">
        <f>IF(K247&gt;Forudsætninger!$C$52,IF(K247&gt;Forudsætninger!$C$53,IF(K247&gt;Forudsætninger!$C$54,Forudsætninger!$E$54,Forudsætninger!$E$53+Forudsætninger!$F$54*(K247-Forudsætninger!$C$53)),Forudsætninger!$E$52+Forudsætninger!$F$53*(K247-Forudsætninger!$C$52)),Forudsætninger!$E$52)+IF(K247&gt;Forudsætninger!$C$54,Forudsætninger!$G$54,IF(K247&gt;Forudsætninger!$C$53,Forudsætninger!$G$53+Forudsætninger!$H$54*(K247-Forudsætninger!$C$53),IF(K247&gt;Forudsætninger!$C$52,Forudsætninger!$G$52+Forudsætninger!$H$53*(K247-Forudsætninger!$C$52),Forudsætninger!$G$52)))*(V247-Forudsætninger!$H$52)</f>
        <v>30.324512740235757</v>
      </c>
      <c r="AD247" s="19">
        <f t="shared" si="88"/>
        <v>7061.1257695185923</v>
      </c>
      <c r="AE247" s="19">
        <f t="shared" si="89"/>
        <v>35.635484228483818</v>
      </c>
      <c r="AF247">
        <f>IF(G247&lt;=Forudsætninger!$C$97,Forudsætninger!$C$98,(IF(G247&lt;=Forudsætninger!$D$97,Forudsætninger!$D$98,IF(G247&lt;=Forudsætninger!$E$97,Forudsætninger!$E$98,IF(G247&lt;=Forudsætninger!$F$97,Forudsætninger!$F$98,IF(G247&lt;=Forudsætninger!$G$97,Forudsætninger!$G$98,IF(G247&lt;=Forudsætninger!$H$97,Forudsætninger!$H$98,IF(G247&lt;=Forudsætninger!$I$97,Forudsætninger!$I$98,Forudsætninger!$I$98))))))))</f>
        <v>3.8</v>
      </c>
      <c r="AG247" s="1">
        <f t="shared" si="99"/>
        <v>4.4000000000000004</v>
      </c>
      <c r="AH247" s="1">
        <f t="shared" si="103"/>
        <v>737.59999999999741</v>
      </c>
      <c r="AI247" s="1">
        <f t="shared" si="90"/>
        <v>3.0106122448979487</v>
      </c>
      <c r="AJ247" s="20">
        <f>+(W247*Forudsætninger!$C$12)</f>
        <v>900</v>
      </c>
      <c r="AK247" s="20">
        <f>Forudsætninger!$C$17</f>
        <v>250</v>
      </c>
      <c r="AL247" s="20">
        <f>IF(A247&lt;92,Forudsætninger!$C$20,Forudsætninger!$C$21)</f>
        <v>1.0566762728146013</v>
      </c>
      <c r="AM247" s="20">
        <f t="shared" si="100"/>
        <v>527.39116969286931</v>
      </c>
      <c r="AN247" s="19">
        <f>IFERROR(AD247+AJ247-AA247-Z247-AK247-AM247-Forudsætninger!$E$75,-999999)</f>
        <v>1537.9562955273539</v>
      </c>
      <c r="AO247" s="19">
        <f>IFERROR(AN247/(A247+Forudsætninger!$E$74),-999999)</f>
        <v>6.2773726348055261</v>
      </c>
      <c r="AP247" s="19">
        <f>IFERROR(((365/(A247+Forudsætninger!$E$74))*AN247)/(AI247+Forudsætninger!$E$73),-999999)</f>
        <v>734.22803985022051</v>
      </c>
      <c r="AQ247" s="18">
        <f t="shared" si="91"/>
        <v>245</v>
      </c>
      <c r="AR247" s="18">
        <f t="shared" si="104"/>
        <v>6231.9527126546227</v>
      </c>
      <c r="AS247" s="18">
        <f t="shared" si="83"/>
        <v>9.1999999999999993</v>
      </c>
      <c r="AT247" s="50">
        <f t="shared" si="105"/>
        <v>11.038786183464936</v>
      </c>
      <c r="AU247" s="50">
        <f t="shared" si="106"/>
        <v>1.9513989953522604E-2</v>
      </c>
      <c r="AV247" s="2">
        <f t="shared" si="107"/>
        <v>0.9444088432717308</v>
      </c>
      <c r="AW247" s="16">
        <f t="shared" si="101"/>
        <v>8.429989653960094</v>
      </c>
      <c r="AZ247" s="16"/>
      <c r="BA247" s="2"/>
    </row>
    <row r="248" spans="1:53" x14ac:dyDescent="0.25">
      <c r="A248">
        <v>246</v>
      </c>
      <c r="B248" s="1">
        <f>ROUND((A248+Forudsætninger!$E$60)/30.4,1)</f>
        <v>9.3000000000000007</v>
      </c>
      <c r="C248" s="1">
        <f>VLOOKUP((A248+Forudsætninger!$E$60),'Model tilvækst, slagteform, fe'!A:D,4,FALSE)</f>
        <v>405.17757297153014</v>
      </c>
      <c r="D248" s="3">
        <f t="shared" si="108"/>
        <v>1214.9860793205107</v>
      </c>
      <c r="E248" s="3">
        <f>(1+Forudsætninger!$E$78)*C248</f>
        <v>372.76336713380772</v>
      </c>
      <c r="F248" s="2">
        <f t="shared" si="92"/>
        <v>0</v>
      </c>
      <c r="G248" s="1">
        <f t="shared" si="84"/>
        <v>372.76336713380772</v>
      </c>
      <c r="H248" s="3">
        <f t="shared" si="93"/>
        <v>1117.7871929748449</v>
      </c>
      <c r="I248" s="3">
        <f t="shared" si="85"/>
        <v>1238.87547615369</v>
      </c>
      <c r="J248" s="1">
        <f>VLOOKUP((A248+Forudsætninger!$E$60),'Model tilvækst, slagteform, fe'!G:K,4,FALSE)*(1+Forudsætninger!$E$79)</f>
        <v>53.3272678369079</v>
      </c>
      <c r="K248" s="17">
        <f t="shared" si="86"/>
        <v>198.78451918932194</v>
      </c>
      <c r="L248" s="17">
        <f t="shared" si="94"/>
        <v>635.79405218573015</v>
      </c>
      <c r="M248" s="3">
        <f>((K248-(('Model tilvækst, slagteform, fe'!$J$9/100)*'Model tilvækst, slagteform, fe'!$D$9))*1000/(A248+Forudsætninger!$E$60))</f>
        <v>633.15642217900245</v>
      </c>
      <c r="N248" s="17">
        <f t="shared" si="95"/>
        <v>1304.0243774520832</v>
      </c>
      <c r="O248" s="19">
        <f>IF( A248&lt;Forudsætninger!$C$14,(G248/100)*Forudsætninger!$C$13,(Forudsætninger!$C$15/1000)*Forudsætninger!$C$13)</f>
        <v>2.4229618863697504</v>
      </c>
      <c r="P248" s="17" cm="1">
        <f t="array" ref="P248">INDEX('Model tilvækst, slagteform, fe'!$P$9:$P$375,MATCH(MIN(ABS('Model tilvækst, slagteform, fe'!$M$9:$M$375-G248)),ABS('Model tilvækst, slagteform, fe'!$M$9:$M$375-G248),0))*(1+Forudsætninger!$E$80)</f>
        <v>7.468834698782298</v>
      </c>
      <c r="Q248" s="17">
        <f t="shared" si="96"/>
        <v>11.74725474877591</v>
      </c>
      <c r="R248" s="17">
        <f t="shared" si="97"/>
        <v>7.8641980761836923</v>
      </c>
      <c r="S248" s="17">
        <f t="shared" si="98"/>
        <v>4.2788094570419464</v>
      </c>
      <c r="T248" s="19">
        <f>(P248)*IF(N248&lt;Forudsætninger!$B$228,IF(N248&lt;Forudsætninger!$B$227,Forudsætninger!$B$225,Forudsætninger!$C$9),Forudsætninger!$C$11)+O248</f>
        <v>19.900035081520329</v>
      </c>
      <c r="U248" s="5">
        <f>Forudsætninger!$E$68+((K248-(Forudsætninger!$E$84)))*0.01</f>
        <v>6.7044089014648884</v>
      </c>
      <c r="V248" s="2">
        <f>U248+Forudsætninger!$E$69</f>
        <v>6.7044089014648884</v>
      </c>
      <c r="W248">
        <f t="shared" si="87"/>
        <v>1</v>
      </c>
      <c r="X248">
        <f>IF(A248+Forudsætninger!$E$60&gt;248,IF(A248+Forudsætninger!$E$60&lt;365,IF(K248&gt;180,IF(K248&lt;260,1,0),0),0),0)</f>
        <v>1</v>
      </c>
      <c r="Y248" s="22">
        <f>IF(X248=0,0,IF('Vækstfunktion, kry kvie'!A248&lt;Forudsætninger!$E$66,Forudsætninger!$E$67+(('Vækstfunktion, kry kvie'!A248-Forudsætninger!$E$66)/7)*Forudsætninger!$E$64,Forudsætninger!$E$67))</f>
        <v>0.95085714285714285</v>
      </c>
      <c r="Z248" s="19">
        <f t="shared" si="102"/>
        <v>3899.4615780432737</v>
      </c>
      <c r="AA248" s="19">
        <f>Forudsætninger!$E$62+Forudsætninger!$C$16</f>
        <v>1575</v>
      </c>
      <c r="AB248" s="19">
        <f>IF(K248&gt;Forudsætninger!$C$48,IF(K248&gt;Forudsætninger!$C$49,IF(K248&gt;Forudsætninger!$C$50,Forudsætninger!$E$50,Forudsætninger!$E$49+Forudsætninger!$F$50*(K248-Forudsætninger!$C$49)),Forudsætninger!$E$48+Forudsætninger!$F$49*(K248-Forudsætninger!$C$48)),Forudsætninger!$E$48)+IF(K248&gt;Forudsætninger!$C$50,Forudsætninger!$G$50,IF(K248&gt;Forudsætninger!$C$49,Forudsætninger!$G$49+Forudsætninger!$H$50*(K248-Forudsætninger!$C$49),IF(K248&gt;Forudsætninger!$C$48,Forudsætninger!$G$48+Forudsætninger!$H$49*(K248-Forudsætninger!$C$48),Forudsætninger!$G$48)))*(U248-Forudsætninger!$H$48)</f>
        <v>35.959206593754963</v>
      </c>
      <c r="AC248" s="19">
        <f>IF(K248&gt;Forudsætninger!$C$52,IF(K248&gt;Forudsætninger!$C$53,IF(K248&gt;Forudsætninger!$C$54,Forudsætninger!$E$54,Forudsætninger!$E$53+Forudsætninger!$F$54*(K248-Forudsætninger!$C$53)),Forudsætninger!$E$52+Forudsætninger!$F$53*(K248-Forudsætninger!$C$52)),Forudsætninger!$E$52)+IF(K248&gt;Forudsætninger!$C$54,Forudsætninger!$G$54,IF(K248&gt;Forudsætninger!$C$53,Forudsætninger!$G$53+Forudsætninger!$H$54*(K248-Forudsætninger!$C$53),IF(K248&gt;Forudsætninger!$C$52,Forudsætninger!$G$52+Forudsætninger!$H$53*(K248-Forudsætninger!$C$52),Forudsætninger!$G$52)))*(V248-Forudsætninger!$H$52)</f>
        <v>30.32610222536622</v>
      </c>
      <c r="AD248" s="19">
        <f t="shared" si="88"/>
        <v>7093.1047022356161</v>
      </c>
      <c r="AE248" s="19">
        <f t="shared" si="89"/>
        <v>35.682379750508431</v>
      </c>
      <c r="AF248">
        <f>IF(G248&lt;=Forudsætninger!$C$97,Forudsætninger!$C$98,(IF(G248&lt;=Forudsætninger!$D$97,Forudsætninger!$D$98,IF(G248&lt;=Forudsætninger!$E$97,Forudsætninger!$E$98,IF(G248&lt;=Forudsætninger!$F$97,Forudsætninger!$F$98,IF(G248&lt;=Forudsætninger!$G$97,Forudsætninger!$G$98,IF(G248&lt;=Forudsætninger!$H$97,Forudsætninger!$H$98,IF(G248&lt;=Forudsætninger!$I$97,Forudsætninger!$I$98,Forudsætninger!$I$98))))))))</f>
        <v>3.8</v>
      </c>
      <c r="AG248" s="1">
        <f t="shared" si="99"/>
        <v>4.4000000000000004</v>
      </c>
      <c r="AH248" s="1">
        <f t="shared" si="103"/>
        <v>741.99999999999739</v>
      </c>
      <c r="AI248" s="1">
        <f t="shared" si="90"/>
        <v>3.0162601626016152</v>
      </c>
      <c r="AJ248" s="20">
        <f>+(W248*Forudsætninger!$C$12)</f>
        <v>900</v>
      </c>
      <c r="AK248" s="20">
        <f>Forudsætninger!$C$17</f>
        <v>250</v>
      </c>
      <c r="AL248" s="20">
        <f>IF(A248&lt;92,Forudsætninger!$C$20,Forudsætninger!$C$21)</f>
        <v>1.0566762728146013</v>
      </c>
      <c r="AM248" s="20">
        <f t="shared" si="100"/>
        <v>528.44784596568388</v>
      </c>
      <c r="AN248" s="19">
        <f>IFERROR(AD248+AJ248-AA248-Z248-AK248-AM248-Forudsætninger!$E$75,-999999)</f>
        <v>1548.9785168900428</v>
      </c>
      <c r="AO248" s="19">
        <f>IFERROR(AN248/(A248+Forudsætninger!$E$74),-999999)</f>
        <v>6.2966606377644014</v>
      </c>
      <c r="AP248" s="19">
        <f>IFERROR(((365/(A248+Forudsætninger!$E$74))*AN248)/(AI248+Forudsætninger!$E$73),-999999)</f>
        <v>735.15351034362402</v>
      </c>
      <c r="AQ248" s="18">
        <f t="shared" si="91"/>
        <v>246</v>
      </c>
      <c r="AR248" s="18">
        <f t="shared" si="104"/>
        <v>6252.909424008958</v>
      </c>
      <c r="AS248" s="18">
        <f t="shared" si="83"/>
        <v>9.3000000000000007</v>
      </c>
      <c r="AT248" s="50">
        <f t="shared" si="105"/>
        <v>11.022221362688924</v>
      </c>
      <c r="AU248" s="50">
        <f t="shared" si="106"/>
        <v>1.9288002958875339E-2</v>
      </c>
      <c r="AV248" s="2">
        <f t="shared" si="107"/>
        <v>0.92547049340350895</v>
      </c>
      <c r="AW248" s="16">
        <f t="shared" si="101"/>
        <v>8.4448226132346598</v>
      </c>
      <c r="AZ248" s="16"/>
      <c r="BA248" s="2"/>
    </row>
    <row r="249" spans="1:53" x14ac:dyDescent="0.25">
      <c r="A249">
        <v>247</v>
      </c>
      <c r="B249" s="1">
        <f>ROUND((A249+Forudsætninger!$E$60)/30.4,1)</f>
        <v>9.3000000000000007</v>
      </c>
      <c r="C249" s="1">
        <f>VLOOKUP((A249+Forudsætninger!$E$60),'Model tilvækst, slagteform, fe'!A:D,4,FALSE)</f>
        <v>406.38772376981035</v>
      </c>
      <c r="D249" s="3">
        <f t="shared" si="108"/>
        <v>1210.1507982802104</v>
      </c>
      <c r="E249" s="3">
        <f>(1+Forudsætninger!$E$78)*C249</f>
        <v>373.87670586822554</v>
      </c>
      <c r="F249" s="2">
        <f t="shared" si="92"/>
        <v>0</v>
      </c>
      <c r="G249" s="1">
        <f t="shared" si="84"/>
        <v>373.87670586822554</v>
      </c>
      <c r="H249" s="3">
        <f t="shared" si="93"/>
        <v>1113.3387344178232</v>
      </c>
      <c r="I249" s="3">
        <f t="shared" si="85"/>
        <v>1238.3672302357309</v>
      </c>
      <c r="J249" s="1">
        <f>VLOOKUP((A249+Forudsætninger!$E$60),'Model tilvækst, slagteform, fe'!G:K,4,FALSE)*(1+Forudsætninger!$E$79)</f>
        <v>53.337876460306759</v>
      </c>
      <c r="K249" s="17">
        <f t="shared" si="86"/>
        <v>199.41789548985858</v>
      </c>
      <c r="L249" s="17">
        <f t="shared" si="94"/>
        <v>633.37630053663929</v>
      </c>
      <c r="M249" s="3">
        <f>((K249-(('Model tilvækst, slagteform, fe'!$J$9/100)*'Model tilvækst, slagteform, fe'!$D$9))*1000/(A249+Forudsætninger!$E$60))</f>
        <v>633.15719913432974</v>
      </c>
      <c r="N249" s="17">
        <f t="shared" si="95"/>
        <v>1311.4946171599465</v>
      </c>
      <c r="O249" s="19">
        <f>IF( A249&lt;Forudsætninger!$C$14,(G249/100)*Forudsætninger!$C$13,(Forudsætninger!$C$15/1000)*Forudsætninger!$C$13)</f>
        <v>2.4301985881434658</v>
      </c>
      <c r="P249" s="17" cm="1">
        <f t="array" ref="P249">INDEX('Model tilvækst, slagteform, fe'!$P$9:$P$375,MATCH(MIN(ABS('Model tilvækst, slagteform, fe'!$M$9:$M$375-G249)),ABS('Model tilvækst, slagteform, fe'!$M$9:$M$375-G249),0))*(1+Forudsætninger!$E$80)</f>
        <v>7.4702397078634482</v>
      </c>
      <c r="Q249" s="17">
        <f t="shared" si="96"/>
        <v>11.794315167040756</v>
      </c>
      <c r="R249" s="17">
        <f t="shared" si="97"/>
        <v>7.8791528659689645</v>
      </c>
      <c r="S249" s="17">
        <f t="shared" si="98"/>
        <v>4.2876577130556335</v>
      </c>
      <c r="T249" s="19">
        <f>(P249)*IF(N249&lt;Forudsætninger!$B$228,IF(N249&lt;Forudsætninger!$B$227,Forudsætninger!$B$225,Forudsætninger!$C$9),Forudsætninger!$C$11)+O249</f>
        <v>19.910559504543933</v>
      </c>
      <c r="U249" s="5">
        <f>Forudsætninger!$E$68+((K249-(Forudsætninger!$E$84)))*0.01</f>
        <v>6.7107426644702546</v>
      </c>
      <c r="V249" s="2">
        <f>U249+Forudsætninger!$E$69</f>
        <v>6.7107426644702546</v>
      </c>
      <c r="W249">
        <f t="shared" si="87"/>
        <v>1</v>
      </c>
      <c r="X249">
        <f>IF(A249+Forudsætninger!$E$60&gt;248,IF(A249+Forudsætninger!$E$60&lt;365,IF(K249&gt;180,IF(K249&lt;260,1,0),0),0),0)</f>
        <v>1</v>
      </c>
      <c r="Y249" s="22">
        <f>IF(X249=0,0,IF('Vækstfunktion, kry kvie'!A249&lt;Forudsætninger!$E$66,Forudsætninger!$E$67+(('Vækstfunktion, kry kvie'!A249-Forudsætninger!$E$66)/7)*Forudsætninger!$E$64,Forudsætninger!$E$67))</f>
        <v>0.95514285714285707</v>
      </c>
      <c r="Z249" s="19">
        <f t="shared" si="102"/>
        <v>3919.3721375478176</v>
      </c>
      <c r="AA249" s="19">
        <f>Forudsætninger!$E$62+Forudsætninger!$C$16</f>
        <v>1575</v>
      </c>
      <c r="AB249" s="19">
        <f>IF(K249&gt;Forudsætninger!$C$48,IF(K249&gt;Forudsætninger!$C$49,IF(K249&gt;Forudsætninger!$C$50,Forudsætninger!$E$50,Forudsætninger!$E$49+Forudsætninger!$F$50*(K249-Forudsætninger!$C$49)),Forudsætninger!$E$48+Forudsætninger!$F$49*(K249-Forudsætninger!$C$48)),Forudsætninger!$E$48)+IF(K249&gt;Forudsætninger!$C$50,Forudsætninger!$G$50,IF(K249&gt;Forudsætninger!$C$49,Forudsætninger!$G$49+Forudsætninger!$H$50*(K249-Forudsætninger!$C$49),IF(K249&gt;Forudsætninger!$C$48,Forudsætninger!$G$48+Forudsætninger!$H$49*(K249-Forudsætninger!$C$48),Forudsætninger!$G$48)))*(U249-Forudsætninger!$H$48)</f>
        <v>35.983063767741839</v>
      </c>
      <c r="AC249" s="19">
        <f>IF(K249&gt;Forudsætninger!$C$52,IF(K249&gt;Forudsætninger!$C$53,IF(K249&gt;Forudsætninger!$C$54,Forudsætninger!$E$54,Forudsætninger!$E$53+Forudsætninger!$F$54*(K249-Forudsætninger!$C$53)),Forudsætninger!$E$52+Forudsætninger!$F$53*(K249-Forudsætninger!$C$52)),Forudsætninger!$E$52)+IF(K249&gt;Forudsætninger!$C$54,Forudsætninger!$G$54,IF(K249&gt;Forudsætninger!$C$53,Forudsætninger!$G$53+Forudsætninger!$H$54*(K249-Forudsætninger!$C$53),IF(K249&gt;Forudsætninger!$C$52,Forudsætninger!$G$52+Forudsætninger!$H$53*(K249-Forudsætninger!$C$52),Forudsætninger!$G$52)))*(V249-Forudsætninger!$H$52)</f>
        <v>30.327685666117564</v>
      </c>
      <c r="AD249" s="19">
        <f t="shared" si="88"/>
        <v>7125.0776998180654</v>
      </c>
      <c r="AE249" s="19">
        <f t="shared" si="89"/>
        <v>35.729379664326125</v>
      </c>
      <c r="AF249">
        <f>IF(G249&lt;=Forudsætninger!$C$97,Forudsætninger!$C$98,(IF(G249&lt;=Forudsætninger!$D$97,Forudsætninger!$D$98,IF(G249&lt;=Forudsætninger!$E$97,Forudsætninger!$E$98,IF(G249&lt;=Forudsætninger!$F$97,Forudsætninger!$F$98,IF(G249&lt;=Forudsætninger!$G$97,Forudsætninger!$G$98,IF(G249&lt;=Forudsætninger!$H$97,Forudsætninger!$H$98,IF(G249&lt;=Forudsætninger!$I$97,Forudsætninger!$I$98,Forudsætninger!$I$98))))))))</f>
        <v>3.8</v>
      </c>
      <c r="AG249" s="1">
        <f t="shared" si="99"/>
        <v>4.4000000000000004</v>
      </c>
      <c r="AH249" s="1">
        <f t="shared" si="103"/>
        <v>746.39999999999736</v>
      </c>
      <c r="AI249" s="1">
        <f t="shared" si="90"/>
        <v>3.0218623481781268</v>
      </c>
      <c r="AJ249" s="20">
        <f>+(W249*Forudsætninger!$C$12)</f>
        <v>900</v>
      </c>
      <c r="AK249" s="20">
        <f>Forudsætninger!$C$17</f>
        <v>250</v>
      </c>
      <c r="AL249" s="20">
        <f>IF(A249&lt;92,Forudsætninger!$C$20,Forudsætninger!$C$21)</f>
        <v>1.0566762728146013</v>
      </c>
      <c r="AM249" s="20">
        <f t="shared" si="100"/>
        <v>529.50452223849845</v>
      </c>
      <c r="AN249" s="19">
        <f>IFERROR(AD249+AJ249-AA249-Z249-AK249-AM249-Forudsætninger!$E$75,-999999)</f>
        <v>1559.9842786951338</v>
      </c>
      <c r="AO249" s="19">
        <f>IFERROR(AN249/(A249+Forudsætninger!$E$74),-999999)</f>
        <v>6.3157258246766546</v>
      </c>
      <c r="AP249" s="19">
        <f>IFERROR(((365/(A249+Forudsætninger!$E$74))*AN249)/(AI249+Forudsætninger!$E$73),-999999)</f>
        <v>736.06042339248654</v>
      </c>
      <c r="AQ249" s="18">
        <f t="shared" si="91"/>
        <v>247</v>
      </c>
      <c r="AR249" s="18">
        <f t="shared" si="104"/>
        <v>6273.8766597863168</v>
      </c>
      <c r="AS249" s="18">
        <f t="shared" si="83"/>
        <v>9.3000000000000007</v>
      </c>
      <c r="AT249" s="50">
        <f t="shared" si="105"/>
        <v>11.00576180509097</v>
      </c>
      <c r="AU249" s="50">
        <f t="shared" si="106"/>
        <v>1.9065186912253118E-2</v>
      </c>
      <c r="AV249" s="2">
        <f t="shared" si="107"/>
        <v>0.90691304886252055</v>
      </c>
      <c r="AW249" s="16">
        <f t="shared" si="101"/>
        <v>8.4594688296908185</v>
      </c>
      <c r="AZ249" s="16"/>
      <c r="BA249" s="2"/>
    </row>
    <row r="250" spans="1:53" x14ac:dyDescent="0.25">
      <c r="A250">
        <v>248</v>
      </c>
      <c r="B250" s="1">
        <f>ROUND((A250+Forudsætninger!$E$60)/30.4,1)</f>
        <v>9.3000000000000007</v>
      </c>
      <c r="C250" s="1">
        <f>VLOOKUP((A250+Forudsætninger!$E$60),'Model tilvækst, slagteform, fe'!A:D,4,FALSE)</f>
        <v>407.59303453287305</v>
      </c>
      <c r="D250" s="3">
        <f t="shared" si="108"/>
        <v>1205.3107630626982</v>
      </c>
      <c r="E250" s="3">
        <f>(1+Forudsætninger!$E$78)*C250</f>
        <v>374.98559177024322</v>
      </c>
      <c r="F250" s="2">
        <f t="shared" si="92"/>
        <v>0</v>
      </c>
      <c r="G250" s="1">
        <f t="shared" si="84"/>
        <v>374.98559177024322</v>
      </c>
      <c r="H250" s="3">
        <f t="shared" si="93"/>
        <v>1108.8859020176756</v>
      </c>
      <c r="I250" s="3">
        <f t="shared" si="85"/>
        <v>1237.8451281058194</v>
      </c>
      <c r="J250" s="1">
        <f>VLOOKUP((A250+Forudsætninger!$E$60),'Model tilvækst, slagteform, fe'!G:K,4,FALSE)*(1+Forudsætninger!$E$79)</f>
        <v>53.348413075956429</v>
      </c>
      <c r="K250" s="17">
        <f t="shared" si="86"/>
        <v>200.04886247290901</v>
      </c>
      <c r="L250" s="17">
        <f t="shared" si="94"/>
        <v>630.96698305042764</v>
      </c>
      <c r="M250" s="3">
        <f>((K250-(('Model tilvækst, slagteform, fe'!$J$9/100)*'Model tilvækst, slagteform, fe'!$D$9))*1000/(A250+Forudsætninger!$E$60))</f>
        <v>633.14948710586532</v>
      </c>
      <c r="N250" s="17">
        <f t="shared" si="95"/>
        <v>1318.9662268214288</v>
      </c>
      <c r="O250" s="19">
        <f>IF( A250&lt;Forudsætninger!$C$14,(G250/100)*Forudsætninger!$C$13,(Forudsætninger!$C$15/1000)*Forudsætninger!$C$13)</f>
        <v>2.4374063465065809</v>
      </c>
      <c r="P250" s="17" cm="1">
        <f t="array" ref="P250">INDEX('Model tilvækst, slagteform, fe'!$P$9:$P$375,MATCH(MIN(ABS('Model tilvækst, slagteform, fe'!$M$9:$M$375-G250)),ABS('Model tilvækst, slagteform, fe'!$M$9:$M$375-G250),0))*(1+Forudsætninger!$E$80)</f>
        <v>7.4716096614822742</v>
      </c>
      <c r="Q250" s="17">
        <f t="shared" si="96"/>
        <v>11.841522396878149</v>
      </c>
      <c r="R250" s="17">
        <f t="shared" si="97"/>
        <v>7.8941163062656292</v>
      </c>
      <c r="S250" s="17">
        <f t="shared" si="98"/>
        <v>4.2965085729775252</v>
      </c>
      <c r="T250" s="19">
        <f>(P250)*IF(N250&lt;Forudsætninger!$B$228,IF(N250&lt;Forudsætninger!$B$227,Forudsætninger!$B$225,Forudsætninger!$C$9),Forudsætninger!$C$11)+O250</f>
        <v>19.920972954375102</v>
      </c>
      <c r="U250" s="5">
        <f>Forudsætninger!$E$68+((K250-(Forudsætninger!$E$84)))*0.01</f>
        <v>6.7170523343007593</v>
      </c>
      <c r="V250" s="2">
        <f>U250+Forudsætninger!$E$69</f>
        <v>6.7170523343007593</v>
      </c>
      <c r="W250">
        <f t="shared" si="87"/>
        <v>1</v>
      </c>
      <c r="X250">
        <f>IF(A250+Forudsætninger!$E$60&gt;248,IF(A250+Forudsætninger!$E$60&lt;365,IF(K250&gt;180,IF(K250&lt;260,1,0),0),0),0)</f>
        <v>1</v>
      </c>
      <c r="Y250" s="22">
        <f>IF(X250=0,0,IF('Vækstfunktion, kry kvie'!A250&lt;Forudsætninger!$E$66,Forudsætninger!$E$67+(('Vækstfunktion, kry kvie'!A250-Forudsætninger!$E$66)/7)*Forudsætninger!$E$64,Forudsætninger!$E$67))</f>
        <v>0.95942857142857141</v>
      </c>
      <c r="Z250" s="19">
        <f t="shared" si="102"/>
        <v>3939.2931105021926</v>
      </c>
      <c r="AA250" s="19">
        <f>Forudsætninger!$E$62+Forudsætninger!$C$16</f>
        <v>1575</v>
      </c>
      <c r="AB250" s="19">
        <f>IF(K250&gt;Forudsætninger!$C$48,IF(K250&gt;Forudsætninger!$C$49,IF(K250&gt;Forudsætninger!$C$50,Forudsætninger!$E$50,Forudsætninger!$E$49+Forudsætninger!$F$50*(K250-Forudsætninger!$C$49)),Forudsætninger!$E$48+Forudsætninger!$F$49*(K250-Forudsætninger!$C$48)),Forudsætninger!$E$48)+IF(K250&gt;Forudsætninger!$C$50,Forudsætninger!$G$50,IF(K250&gt;Forudsætninger!$C$49,Forudsætninger!$G$49+Forudsætninger!$H$50*(K250-Forudsætninger!$C$49),IF(K250&gt;Forudsætninger!$C$48,Forudsætninger!$G$48+Forudsætninger!$H$49*(K250-Forudsætninger!$C$48),Forudsætninger!$G$48)))*(U250-Forudsætninger!$H$48)</f>
        <v>36.006830190770074</v>
      </c>
      <c r="AC250" s="19">
        <f>IF(K250&gt;Forudsætninger!$C$52,IF(K250&gt;Forudsætninger!$C$53,IF(K250&gt;Forudsætninger!$C$54,Forudsætninger!$E$54,Forudsætninger!$E$53+Forudsætninger!$F$54*(K250-Forudsætninger!$C$53)),Forudsætninger!$E$52+Forudsætninger!$F$53*(K250-Forudsætninger!$C$52)),Forudsætninger!$E$52)+IF(K250&gt;Forudsætninger!$C$54,Forudsætninger!$G$54,IF(K250&gt;Forudsætninger!$C$53,Forudsætninger!$G$53+Forudsætninger!$H$54*(K250-Forudsætninger!$C$53),IF(K250&gt;Forudsætninger!$C$52,Forudsætninger!$G$52+Forudsætninger!$H$53*(K250-Forudsætninger!$C$52),Forudsætninger!$G$52)))*(V250-Forudsætninger!$H$52)</f>
        <v>30.330493089206392</v>
      </c>
      <c r="AD250" s="19">
        <f t="shared" si="88"/>
        <v>7157.054746979994</v>
      </c>
      <c r="AE250" s="19">
        <f t="shared" si="89"/>
        <v>35.776533085506628</v>
      </c>
      <c r="AF250">
        <f>IF(G250&lt;=Forudsætninger!$C$97,Forudsætninger!$C$98,(IF(G250&lt;=Forudsætninger!$D$97,Forudsætninger!$D$98,IF(G250&lt;=Forudsætninger!$E$97,Forudsætninger!$E$98,IF(G250&lt;=Forudsætninger!$F$97,Forudsætninger!$F$98,IF(G250&lt;=Forudsætninger!$G$97,Forudsætninger!$G$98,IF(G250&lt;=Forudsætninger!$H$97,Forudsætninger!$H$98,IF(G250&lt;=Forudsætninger!$I$97,Forudsætninger!$I$98,Forudsætninger!$I$98))))))))</f>
        <v>3.8</v>
      </c>
      <c r="AG250" s="1">
        <f t="shared" si="99"/>
        <v>4.4000000000000004</v>
      </c>
      <c r="AH250" s="1">
        <f t="shared" si="103"/>
        <v>750.79999999999734</v>
      </c>
      <c r="AI250" s="1">
        <f t="shared" si="90"/>
        <v>3.027419354838699</v>
      </c>
      <c r="AJ250" s="20">
        <f>+(W250*Forudsætninger!$C$12)</f>
        <v>900</v>
      </c>
      <c r="AK250" s="20">
        <f>Forudsætninger!$C$17</f>
        <v>250</v>
      </c>
      <c r="AL250" s="20">
        <f>IF(A250&lt;92,Forudsætninger!$C$20,Forudsætninger!$C$21)</f>
        <v>1.0566762728146013</v>
      </c>
      <c r="AM250" s="20">
        <f t="shared" si="100"/>
        <v>530.56119851131302</v>
      </c>
      <c r="AN250" s="19">
        <f>IFERROR(AD250+AJ250-AA250-Z250-AK250-AM250-Forudsætninger!$E$75,-999999)</f>
        <v>1570.9836766298727</v>
      </c>
      <c r="AO250" s="19">
        <f>IFERROR(AN250/(A250+Forudsætninger!$E$74),-999999)</f>
        <v>6.3346115993140026</v>
      </c>
      <c r="AP250" s="19">
        <f>IFERROR(((365/(A250+Forudsætninger!$E$74))*AN250)/(AI250+Forudsætninger!$E$73),-999999)</f>
        <v>736.95383761297751</v>
      </c>
      <c r="AQ250" s="18">
        <f t="shared" si="91"/>
        <v>248</v>
      </c>
      <c r="AR250" s="18">
        <f t="shared" si="104"/>
        <v>6294.8543090135054</v>
      </c>
      <c r="AS250" s="18">
        <f t="shared" si="83"/>
        <v>9.3000000000000007</v>
      </c>
      <c r="AT250" s="50">
        <f t="shared" si="105"/>
        <v>10.999397934738909</v>
      </c>
      <c r="AU250" s="50">
        <f t="shared" si="106"/>
        <v>1.8885774637348085E-2</v>
      </c>
      <c r="AV250" s="2">
        <f t="shared" si="107"/>
        <v>0.89341422049096764</v>
      </c>
      <c r="AW250" s="16">
        <f t="shared" si="101"/>
        <v>8.4739712707305888</v>
      </c>
      <c r="AZ250" s="16"/>
      <c r="BA250" s="2"/>
    </row>
    <row r="251" spans="1:53" x14ac:dyDescent="0.25">
      <c r="A251">
        <v>249</v>
      </c>
      <c r="B251" s="1">
        <f>ROUND((A251+Forudsætninger!$E$60)/30.4,1)</f>
        <v>9.4</v>
      </c>
      <c r="C251" s="1">
        <f>VLOOKUP((A251+Forudsætninger!$E$60),'Model tilvækst, slagteform, fe'!A:D,4,FALSE)</f>
        <v>408.79350109156246</v>
      </c>
      <c r="D251" s="3">
        <f t="shared" si="108"/>
        <v>1200.4665586894134</v>
      </c>
      <c r="E251" s="3">
        <f>(1+Forudsætninger!$E$78)*C251</f>
        <v>376.09002100423749</v>
      </c>
      <c r="F251" s="2">
        <f t="shared" si="92"/>
        <v>0</v>
      </c>
      <c r="G251" s="1">
        <f t="shared" si="84"/>
        <v>376.09002100423749</v>
      </c>
      <c r="H251" s="3">
        <f t="shared" si="93"/>
        <v>1104.4292339942672</v>
      </c>
      <c r="I251" s="3">
        <f t="shared" si="85"/>
        <v>1237.3093213021584</v>
      </c>
      <c r="J251" s="1">
        <f>VLOOKUP((A251+Forudsætninger!$E$60),'Model tilvækst, slagteform, fe'!G:K,4,FALSE)*(1+Forudsætninger!$E$79)</f>
        <v>53.358881609201624</v>
      </c>
      <c r="K251" s="17">
        <f t="shared" si="86"/>
        <v>200.67742905167259</v>
      </c>
      <c r="L251" s="17">
        <f t="shared" si="94"/>
        <v>628.56657876358213</v>
      </c>
      <c r="M251" s="3">
        <f>((K251-(('Model tilvækst, slagteform, fe'!$J$9/100)*'Model tilvækst, slagteform, fe'!$D$9))*1000/(A251+Forudsætninger!$E$60))</f>
        <v>633.13340672571701</v>
      </c>
      <c r="N251" s="17">
        <f t="shared" si="95"/>
        <v>1326.4378364829111</v>
      </c>
      <c r="O251" s="19">
        <f>IF( A251&lt;Forudsætninger!$C$14,(G251/100)*Forudsætninger!$C$13,(Forudsætninger!$C$15/1000)*Forudsætninger!$C$13)</f>
        <v>2.4445851365275439</v>
      </c>
      <c r="P251" s="17" cm="1">
        <f t="array" ref="P251">INDEX('Model tilvækst, slagteform, fe'!$P$9:$P$375,MATCH(MIN(ABS('Model tilvækst, slagteform, fe'!$M$9:$M$375-G251)),ABS('Model tilvækst, slagteform, fe'!$M$9:$M$375-G251),0))*(1+Forudsætninger!$E$80)</f>
        <v>7.4716096614822742</v>
      </c>
      <c r="Q251" s="17">
        <f t="shared" si="96"/>
        <v>11.88674344757441</v>
      </c>
      <c r="R251" s="17">
        <f t="shared" si="97"/>
        <v>7.9090803554401719</v>
      </c>
      <c r="S251" s="17">
        <f t="shared" si="98"/>
        <v>4.3053579994551887</v>
      </c>
      <c r="T251" s="19">
        <f>(P251)*IF(N251&lt;Forudsætninger!$B$228,IF(N251&lt;Forudsætninger!$B$227,Forudsætninger!$B$225,Forudsætninger!$C$9),Forudsætninger!$C$11)+O251</f>
        <v>19.928151744396065</v>
      </c>
      <c r="U251" s="5">
        <f>Forudsætninger!$E$68+((K251-(Forudsætninger!$E$84)))*0.01</f>
        <v>6.7233380000883951</v>
      </c>
      <c r="V251" s="2">
        <f>U251+Forudsætninger!$E$69</f>
        <v>6.7233380000883951</v>
      </c>
      <c r="W251">
        <f t="shared" si="87"/>
        <v>1</v>
      </c>
      <c r="X251">
        <f>IF(A251+Forudsætninger!$E$60&gt;248,IF(A251+Forudsætninger!$E$60&lt;365,IF(K251&gt;180,IF(K251&lt;260,1,0),0),0),0)</f>
        <v>1</v>
      </c>
      <c r="Y251" s="22">
        <f>IF(X251=0,0,IF('Vækstfunktion, kry kvie'!A251&lt;Forudsætninger!$E$66,Forudsætninger!$E$67+(('Vækstfunktion, kry kvie'!A251-Forudsætninger!$E$66)/7)*Forudsætninger!$E$64,Forudsætninger!$E$67))</f>
        <v>0.96371428571428563</v>
      </c>
      <c r="Z251" s="19">
        <f t="shared" si="102"/>
        <v>3959.2212622465886</v>
      </c>
      <c r="AA251" s="19">
        <f>Forudsætninger!$E$62+Forudsætninger!$C$16</f>
        <v>1575</v>
      </c>
      <c r="AB251" s="19">
        <f>IF(K251&gt;Forudsætninger!$C$48,IF(K251&gt;Forudsætninger!$C$49,IF(K251&gt;Forudsætninger!$C$50,Forudsætninger!$E$50,Forudsætninger!$E$49+Forudsætninger!$F$50*(K251-Forudsætninger!$C$49)),Forudsætninger!$E$48+Forudsætninger!$F$49*(K251-Forudsætninger!$C$48)),Forudsætninger!$E$48)+IF(K251&gt;Forudsætninger!$C$50,Forudsætninger!$G$50,IF(K251&gt;Forudsætninger!$C$49,Forudsætninger!$G$49+Forudsætninger!$H$50*(K251-Forudsætninger!$C$49),IF(K251&gt;Forudsætninger!$C$48,Forudsætninger!$G$48+Forudsætninger!$H$49*(K251-Forudsætninger!$C$48),Forudsætninger!$G$48)))*(U251-Forudsætninger!$H$48)</f>
        <v>36.030506198570166</v>
      </c>
      <c r="AC251" s="19">
        <f>IF(K251&gt;Forudsætninger!$C$52,IF(K251&gt;Forudsætninger!$C$53,IF(K251&gt;Forudsætninger!$C$54,Forudsætninger!$E$54,Forudsætninger!$E$53+Forudsætninger!$F$54*(K251-Forudsætninger!$C$53)),Forudsætninger!$E$52+Forudsætninger!$F$53*(K251-Forudsætninger!$C$52)),Forudsætninger!$E$52)+IF(K251&gt;Forudsætninger!$C$54,Forudsætninger!$G$54,IF(K251&gt;Forudsætninger!$C$53,Forudsætninger!$G$53+Forudsætninger!$H$54*(K251-Forudsætninger!$C$53),IF(K251&gt;Forudsætninger!$C$52,Forudsætninger!$G$52+Forudsætninger!$H$53*(K251-Forudsætninger!$C$52),Forudsætninger!$G$52)))*(V251-Forudsætninger!$H$52)</f>
        <v>30.347878420201205</v>
      </c>
      <c r="AD251" s="19">
        <f t="shared" si="88"/>
        <v>7189.130025111348</v>
      </c>
      <c r="AE251" s="19">
        <f t="shared" si="89"/>
        <v>35.824307990612205</v>
      </c>
      <c r="AF251">
        <f>IF(G251&lt;=Forudsætninger!$C$97,Forudsætninger!$C$98,(IF(G251&lt;=Forudsætninger!$D$97,Forudsætninger!$D$98,IF(G251&lt;=Forudsætninger!$E$97,Forudsætninger!$E$98,IF(G251&lt;=Forudsætninger!$F$97,Forudsætninger!$F$98,IF(G251&lt;=Forudsætninger!$G$97,Forudsætninger!$G$98,IF(G251&lt;=Forudsætninger!$H$97,Forudsætninger!$H$98,IF(G251&lt;=Forudsætninger!$I$97,Forudsætninger!$I$98,Forudsætninger!$I$98))))))))</f>
        <v>3.8</v>
      </c>
      <c r="AG251" s="1">
        <f t="shared" si="99"/>
        <v>4.4000000000000004</v>
      </c>
      <c r="AH251" s="1">
        <f t="shared" si="103"/>
        <v>755.19999999999732</v>
      </c>
      <c r="AI251" s="1">
        <f t="shared" si="90"/>
        <v>3.0329317269076199</v>
      </c>
      <c r="AJ251" s="20">
        <f>+(W251*Forudsætninger!$C$12)</f>
        <v>900</v>
      </c>
      <c r="AK251" s="20">
        <f>Forudsætninger!$C$17</f>
        <v>250</v>
      </c>
      <c r="AL251" s="20">
        <f>IF(A251&lt;92,Forudsætninger!$C$20,Forudsætninger!$C$21)</f>
        <v>1.0566762728146013</v>
      </c>
      <c r="AM251" s="20">
        <f t="shared" si="100"/>
        <v>531.61787478412759</v>
      </c>
      <c r="AN251" s="19">
        <f>IFERROR(AD251+AJ251-AA251-Z251-AK251-AM251-Forudsætninger!$E$75,-999999)</f>
        <v>1582.074126744016</v>
      </c>
      <c r="AO251" s="19">
        <f>IFERROR(AN251/(A251+Forudsætninger!$E$74),-999999)</f>
        <v>6.3537113523856066</v>
      </c>
      <c r="AP251" s="19">
        <f>IFERROR(((365/(A251+Forudsætninger!$E$74))*AN251)/(AI251+Forudsætninger!$E$73),-999999)</f>
        <v>737.87942123151049</v>
      </c>
      <c r="AQ251" s="18">
        <f t="shared" si="91"/>
        <v>249</v>
      </c>
      <c r="AR251" s="18">
        <f t="shared" si="104"/>
        <v>6315.8391370307163</v>
      </c>
      <c r="AS251" s="18">
        <f t="shared" si="83"/>
        <v>9.4</v>
      </c>
      <c r="AT251" s="50">
        <f t="shared" si="105"/>
        <v>11.090450114143323</v>
      </c>
      <c r="AU251" s="50">
        <f t="shared" si="106"/>
        <v>1.9099753071603942E-2</v>
      </c>
      <c r="AV251" s="2">
        <f t="shared" si="107"/>
        <v>0.92558361853298265</v>
      </c>
      <c r="AW251" s="16">
        <f t="shared" si="101"/>
        <v>8.4887228977033882</v>
      </c>
      <c r="AZ251" s="16"/>
      <c r="BA251" s="2"/>
    </row>
    <row r="252" spans="1:53" x14ac:dyDescent="0.25">
      <c r="A252">
        <v>250</v>
      </c>
      <c r="B252" s="1">
        <f>ROUND((A252+Forudsætninger!$E$60)/30.4,1)</f>
        <v>9.4</v>
      </c>
      <c r="C252" s="1">
        <f>VLOOKUP((A252+Forudsætninger!$E$60),'Model tilvækst, slagteform, fe'!A:D,4,FALSE)</f>
        <v>409.98911986174278</v>
      </c>
      <c r="D252" s="3">
        <f t="shared" si="108"/>
        <v>1195.6187701803174</v>
      </c>
      <c r="E252" s="3">
        <f>(1+Forudsætninger!$E$78)*C252</f>
        <v>377.18999027280336</v>
      </c>
      <c r="F252" s="2">
        <f t="shared" si="92"/>
        <v>0</v>
      </c>
      <c r="G252" s="1">
        <f t="shared" si="84"/>
        <v>377.18999027280336</v>
      </c>
      <c r="H252" s="3">
        <f>(G252-G251)*1000</f>
        <v>1099.9692685658715</v>
      </c>
      <c r="I252" s="3">
        <f t="shared" si="85"/>
        <v>1236.7599610912134</v>
      </c>
      <c r="J252" s="1">
        <f>VLOOKUP((A252+Forudsætninger!$E$60),'Model tilvækst, slagteform, fe'!G:K,4,FALSE)*(1+Forudsætninger!$E$79)</f>
        <v>53.369285985387052</v>
      </c>
      <c r="K252" s="17">
        <f t="shared" si="86"/>
        <v>201.30360461694602</v>
      </c>
      <c r="L252" s="17">
        <f t="shared" si="94"/>
        <v>626.17556527342799</v>
      </c>
      <c r="M252" s="3">
        <f>((K252-(('Model tilvækst, slagteform, fe'!$J$9/100)*'Model tilvækst, slagteform, fe'!$D$9))*1000/(A252+Forudsætninger!$E$60))</f>
        <v>633.10907860875091</v>
      </c>
      <c r="N252" s="17">
        <f t="shared" si="95"/>
        <v>1333.9107862628746</v>
      </c>
      <c r="O252" s="19">
        <f>IF( A252&lt;Forudsætninger!$C$14,(G252/100)*Forudsætninger!$C$13,(Forudsætninger!$C$15/1000)*Forudsætninger!$C$13)</f>
        <v>2.4517349367732217</v>
      </c>
      <c r="P252" s="17" cm="1">
        <f t="array" ref="P252">INDEX('Model tilvækst, slagteform, fe'!$P$9:$P$375,MATCH(MIN(ABS('Model tilvækst, slagteform, fe'!$M$9:$M$375-G252)),ABS('Model tilvækst, slagteform, fe'!$M$9:$M$375-G252),0))*(1+Forudsætninger!$E$80)</f>
        <v>7.4729497799634741</v>
      </c>
      <c r="Q252" s="17">
        <f t="shared" si="96"/>
        <v>11.934272421984895</v>
      </c>
      <c r="R252" s="17">
        <f t="shared" si="97"/>
        <v>7.9240531656938051</v>
      </c>
      <c r="S252" s="17">
        <f t="shared" si="98"/>
        <v>4.3142107708142277</v>
      </c>
      <c r="T252" s="19">
        <f>(P252)*IF(N252&lt;Forudsætninger!$B$228,IF(N252&lt;Forudsætninger!$B$227,Forudsætninger!$B$225,Forudsætninger!$C$9),Forudsætninger!$C$11)+O252</f>
        <v>19.938437421887748</v>
      </c>
      <c r="U252" s="5">
        <f>Forudsætninger!$E$68+((K252-(Forudsætninger!$E$84)))*0.01</f>
        <v>6.7295997557411296</v>
      </c>
      <c r="V252" s="2">
        <f>U252+Forudsætninger!$E$69</f>
        <v>6.7295997557411296</v>
      </c>
      <c r="W252">
        <f t="shared" si="87"/>
        <v>1</v>
      </c>
      <c r="X252">
        <f>IF(A252+Forudsætninger!$E$60&gt;248,IF(A252+Forudsætninger!$E$60&lt;365,IF(K252&gt;180,IF(K252&lt;260,1,0),0),0),0)</f>
        <v>1</v>
      </c>
      <c r="Y252" s="22">
        <f>IF(X252=0,0,IF('Vækstfunktion, kry kvie'!A252&lt;Forudsætninger!$E$66,Forudsætninger!$E$67+(('Vækstfunktion, kry kvie'!A252-Forudsætninger!$E$66)/7)*Forudsætninger!$E$64,Forudsætninger!$E$67))</f>
        <v>0.96799999999999997</v>
      </c>
      <c r="Z252" s="19">
        <f t="shared" si="102"/>
        <v>3979.1596996684762</v>
      </c>
      <c r="AA252" s="19">
        <f>Forudsætninger!$E$62+Forudsætninger!$C$16</f>
        <v>1575</v>
      </c>
      <c r="AB252" s="19">
        <f>IF(K252&gt;Forudsætninger!$C$48,IF(K252&gt;Forudsætninger!$C$49,IF(K252&gt;Forudsætninger!$C$50,Forudsætninger!$E$50,Forudsætninger!$E$49+Forudsætninger!$F$50*(K252-Forudsætninger!$C$49)),Forudsætninger!$E$48+Forudsætninger!$F$49*(K252-Forudsætninger!$C$48)),Forudsætninger!$E$48)+IF(K252&gt;Forudsætninger!$C$50,Forudsætninger!$G$50,IF(K252&gt;Forudsætninger!$C$49,Forudsætninger!$G$49+Forudsætninger!$H$50*(K252-Forudsætninger!$C$49),IF(K252&gt;Forudsætninger!$C$48,Forudsætninger!$G$48+Forudsætninger!$H$49*(K252-Forudsætninger!$C$48),Forudsætninger!$G$48)))*(U252-Forudsætninger!$H$48)</f>
        <v>36.054092144862132</v>
      </c>
      <c r="AC252" s="19">
        <f>IF(K252&gt;Forudsætninger!$C$52,IF(K252&gt;Forudsætninger!$C$53,IF(K252&gt;Forudsætninger!$C$54,Forudsætninger!$E$54,Forudsætninger!$E$53+Forudsætninger!$F$54*(K252-Forudsætninger!$C$53)),Forudsætninger!$E$52+Forudsætninger!$F$53*(K252-Forudsætninger!$C$52)),Forudsætninger!$E$52)+IF(K252&gt;Forudsætninger!$C$54,Forudsætninger!$G$54,IF(K252&gt;Forudsætninger!$C$53,Forudsætninger!$G$53+Forudsætninger!$H$54*(K252-Forudsætninger!$C$53),IF(K252&gt;Forudsætninger!$C$52,Forudsætninger!$G$52+Forudsætninger!$H$53*(K252-Forudsætninger!$C$52),Forudsætninger!$G$52)))*(V252-Forudsætninger!$H$52)</f>
        <v>30.36518125036612</v>
      </c>
      <c r="AD252" s="19">
        <f t="shared" si="88"/>
        <v>7221.1723653312529</v>
      </c>
      <c r="AE252" s="19">
        <f t="shared" si="89"/>
        <v>35.872046996238261</v>
      </c>
      <c r="AF252">
        <f>IF(G252&lt;=Forudsætninger!$C$97,Forudsætninger!$C$98,(IF(G252&lt;=Forudsætninger!$D$97,Forudsætninger!$D$98,IF(G252&lt;=Forudsætninger!$E$97,Forudsætninger!$E$98,IF(G252&lt;=Forudsætninger!$F$97,Forudsætninger!$F$98,IF(G252&lt;=Forudsætninger!$G$97,Forudsætninger!$G$98,IF(G252&lt;=Forudsætninger!$H$97,Forudsætninger!$H$98,IF(G252&lt;=Forudsætninger!$I$97,Forudsætninger!$I$98,Forudsætninger!$I$98))))))))</f>
        <v>3.8</v>
      </c>
      <c r="AG252" s="1">
        <f t="shared" si="99"/>
        <v>4.4000000000000004</v>
      </c>
      <c r="AH252" s="1">
        <f t="shared" si="103"/>
        <v>759.59999999999729</v>
      </c>
      <c r="AI252" s="1">
        <f t="shared" si="90"/>
        <v>3.0383999999999891</v>
      </c>
      <c r="AJ252" s="20">
        <f>+(W252*Forudsætninger!$C$12)</f>
        <v>900</v>
      </c>
      <c r="AK252" s="20">
        <f>Forudsætninger!$C$17</f>
        <v>250</v>
      </c>
      <c r="AL252" s="20">
        <f>IF(A252&lt;92,Forudsætninger!$C$20,Forudsætninger!$C$21)</f>
        <v>1.0566762728146013</v>
      </c>
      <c r="AM252" s="20">
        <f t="shared" si="100"/>
        <v>532.67455105694216</v>
      </c>
      <c r="AN252" s="19">
        <f>IFERROR(AD252+AJ252-AA252-Z252-AK252-AM252-Forudsætninger!$E$75,-999999)</f>
        <v>1593.1213532692188</v>
      </c>
      <c r="AO252" s="19">
        <f>IFERROR(AN252/(A252+Forudsætninger!$E$74),-999999)</f>
        <v>6.3724854130768751</v>
      </c>
      <c r="AP252" s="19">
        <f>IFERROR(((365/(A252+Forudsætninger!$E$74))*AN252)/(AI252+Forudsætninger!$E$73),-999999)</f>
        <v>738.77435388548713</v>
      </c>
      <c r="AQ252" s="18">
        <f t="shared" si="91"/>
        <v>250</v>
      </c>
      <c r="AR252" s="18">
        <f t="shared" si="104"/>
        <v>6336.8342507254183</v>
      </c>
      <c r="AS252" s="18">
        <f t="shared" si="83"/>
        <v>9.4</v>
      </c>
      <c r="AT252" s="50">
        <f t="shared" si="105"/>
        <v>11.047226525202859</v>
      </c>
      <c r="AU252" s="50">
        <f t="shared" si="106"/>
        <v>1.8774060691268524E-2</v>
      </c>
      <c r="AV252" s="2">
        <f t="shared" si="107"/>
        <v>0.8949326539766389</v>
      </c>
      <c r="AW252" s="16">
        <f t="shared" si="101"/>
        <v>8.5031836173046429</v>
      </c>
      <c r="AZ252" s="16"/>
      <c r="BA252" s="2"/>
    </row>
    <row r="253" spans="1:53" x14ac:dyDescent="0.25">
      <c r="A253">
        <v>251</v>
      </c>
      <c r="B253" s="1">
        <f>ROUND((A253+Forudsætninger!$E$60)/30.4,1)</f>
        <v>9.4</v>
      </c>
      <c r="C253" s="1">
        <f>VLOOKUP((A253+Forudsætninger!$E$60),'Model tilvækst, slagteform, fe'!A:D,4,FALSE)</f>
        <v>411.17988784429929</v>
      </c>
      <c r="D253" s="3">
        <f t="shared" si="108"/>
        <v>1190.7679825565083</v>
      </c>
      <c r="E253" s="3">
        <f>(1+Forudsætninger!$E$78)*C253</f>
        <v>378.28549681675537</v>
      </c>
      <c r="F253" s="2">
        <f t="shared" si="92"/>
        <v>0</v>
      </c>
      <c r="G253" s="1">
        <f t="shared" si="84"/>
        <v>378.28549681675537</v>
      </c>
      <c r="H253" s="3">
        <f>(G253-G252)*1000</f>
        <v>1095.5065439520126</v>
      </c>
      <c r="I253" s="3">
        <f t="shared" si="85"/>
        <v>1236.197198473129</v>
      </c>
      <c r="J253" s="1">
        <f>VLOOKUP((A253+Forudsætninger!$E$60),'Model tilvækst, slagteform, fe'!G:K,4,FALSE)*(1+Forudsætninger!$E$79)</f>
        <v>53.379630129857389</v>
      </c>
      <c r="K253" s="17">
        <f t="shared" si="86"/>
        <v>201.92739903567747</v>
      </c>
      <c r="L253" s="17">
        <f t="shared" si="94"/>
        <v>623.7944187314497</v>
      </c>
      <c r="M253" s="3">
        <f>((K253-(('Model tilvækst, slagteform, fe'!$J$9/100)*'Model tilvækst, slagteform, fe'!$D$9))*1000/(A253+Forudsætninger!$E$60))</f>
        <v>633.07662334785437</v>
      </c>
      <c r="N253" s="17">
        <f t="shared" si="95"/>
        <v>1341.3850515465062</v>
      </c>
      <c r="O253" s="19">
        <f>IF( A253&lt;Forudsætninger!$C$14,(G253/100)*Forudsætninger!$C$13,(Forudsætninger!$C$15/1000)*Forudsætninger!$C$13)</f>
        <v>2.4588557293089099</v>
      </c>
      <c r="P253" s="17" cm="1">
        <f t="array" ref="P253">INDEX('Model tilvækst, slagteform, fe'!$P$9:$P$375,MATCH(MIN(ABS('Model tilvækst, slagteform, fe'!$M$9:$M$375-G253)),ABS('Model tilvækst, slagteform, fe'!$M$9:$M$375-G253),0))*(1+Forudsætninger!$E$80)</f>
        <v>7.474265283631742</v>
      </c>
      <c r="Q253" s="17">
        <f t="shared" si="96"/>
        <v>11.981936771462996</v>
      </c>
      <c r="R253" s="17">
        <f t="shared" si="97"/>
        <v>7.9390346659673847</v>
      </c>
      <c r="S253" s="17">
        <f t="shared" si="98"/>
        <v>4.3230671923370148</v>
      </c>
      <c r="T253" s="19">
        <f>(P253)*IF(N253&lt;Forudsætninger!$B$228,IF(N253&lt;Forudsætninger!$B$227,Forudsætninger!$B$225,Forudsætninger!$C$9),Forudsætninger!$C$11)+O253</f>
        <v>19.948636493007186</v>
      </c>
      <c r="U253" s="5">
        <f>Forudsætninger!$E$68+((K253-(Forudsætninger!$E$84)))*0.01</f>
        <v>6.7358376999284442</v>
      </c>
      <c r="V253" s="2">
        <f>U253+Forudsætninger!$E$69</f>
        <v>6.7358376999284442</v>
      </c>
      <c r="W253">
        <f t="shared" si="87"/>
        <v>1</v>
      </c>
      <c r="X253">
        <f>IF(A253+Forudsætninger!$E$60&gt;248,IF(A253+Forudsætninger!$E$60&lt;365,IF(K253&gt;180,IF(K253&lt;260,1,0),0),0),0)</f>
        <v>1</v>
      </c>
      <c r="Y253" s="22">
        <f>IF(X253=0,0,IF('Vækstfunktion, kry kvie'!A253&lt;Forudsætninger!$E$66,Forudsætninger!$E$67+(('Vækstfunktion, kry kvie'!A253-Forudsætninger!$E$66)/7)*Forudsætninger!$E$64,Forudsætninger!$E$67))</f>
        <v>0.9722857142857142</v>
      </c>
      <c r="Z253" s="19">
        <f t="shared" si="102"/>
        <v>3999.1083361614833</v>
      </c>
      <c r="AA253" s="19">
        <f>Forudsætninger!$E$62+Forudsætninger!$C$16</f>
        <v>1575</v>
      </c>
      <c r="AB253" s="19">
        <f>IF(K253&gt;Forudsætninger!$C$48,IF(K253&gt;Forudsætninger!$C$49,IF(K253&gt;Forudsætninger!$C$50,Forudsætninger!$E$50,Forudsætninger!$E$49+Forudsætninger!$F$50*(K253-Forudsætninger!$C$49)),Forudsætninger!$E$48+Forudsætninger!$F$49*(K253-Forudsætninger!$C$48)),Forudsætninger!$E$48)+IF(K253&gt;Forudsætninger!$C$50,Forudsætninger!$G$50,IF(K253&gt;Forudsætninger!$C$49,Forudsætninger!$G$49+Forudsætninger!$H$50*(K253-Forudsætninger!$C$49),IF(K253&gt;Forudsætninger!$C$48,Forudsætninger!$G$48+Forudsætninger!$H$49*(K253-Forudsætninger!$C$48),Forudsætninger!$G$48)))*(U253-Forudsætninger!$H$48)</f>
        <v>36.077588401301021</v>
      </c>
      <c r="AC253" s="19">
        <f>IF(K253&gt;Forudsætninger!$C$52,IF(K253&gt;Forudsætninger!$C$53,IF(K253&gt;Forudsætninger!$C$54,Forudsætninger!$E$54,Forudsætninger!$E$53+Forudsætninger!$F$54*(K253-Forudsætninger!$C$53)),Forudsætninger!$E$52+Forudsætninger!$F$53*(K253-Forudsætninger!$C$52)),Forudsætninger!$E$52)+IF(K253&gt;Forudsætninger!$C$54,Forudsætninger!$G$54,IF(K253&gt;Forudsætninger!$C$53,Forudsætninger!$G$53+Forudsætninger!$H$54*(K253-Forudsætninger!$C$53),IF(K253&gt;Forudsætninger!$C$52,Forudsætninger!$G$52+Forudsætninger!$H$53*(K253-Forudsætninger!$C$52),Forudsætninger!$G$52)))*(V253-Forudsætninger!$H$52)</f>
        <v>30.382402039114222</v>
      </c>
      <c r="AD253" s="19">
        <f t="shared" si="88"/>
        <v>7253.1817680954218</v>
      </c>
      <c r="AE253" s="19">
        <f t="shared" si="89"/>
        <v>35.91975037926327</v>
      </c>
      <c r="AF253">
        <f>IF(G253&lt;=Forudsætninger!$C$97,Forudsætninger!$C$98,(IF(G253&lt;=Forudsætninger!$D$97,Forudsætninger!$D$98,IF(G253&lt;=Forudsætninger!$E$97,Forudsætninger!$E$98,IF(G253&lt;=Forudsætninger!$F$97,Forudsætninger!$F$98,IF(G253&lt;=Forudsætninger!$G$97,Forudsætninger!$G$98,IF(G253&lt;=Forudsætninger!$H$97,Forudsætninger!$H$98,IF(G253&lt;=Forudsætninger!$I$97,Forudsætninger!$I$98,Forudsætninger!$I$98))))))))</f>
        <v>3.8</v>
      </c>
      <c r="AG253" s="1">
        <f t="shared" si="99"/>
        <v>4.4000000000000004</v>
      </c>
      <c r="AH253" s="1">
        <f t="shared" si="103"/>
        <v>763.99999999999727</v>
      </c>
      <c r="AI253" s="1">
        <f t="shared" si="90"/>
        <v>3.0438247011952084</v>
      </c>
      <c r="AJ253" s="20">
        <f>+(W253*Forudsætninger!$C$12)</f>
        <v>900</v>
      </c>
      <c r="AK253" s="20">
        <f>Forudsætninger!$C$17</f>
        <v>250</v>
      </c>
      <c r="AL253" s="20">
        <f>IF(A253&lt;92,Forudsætninger!$C$20,Forudsætninger!$C$21)</f>
        <v>1.0566762728146013</v>
      </c>
      <c r="AM253" s="20">
        <f t="shared" si="100"/>
        <v>533.73122732975673</v>
      </c>
      <c r="AN253" s="19">
        <f>IFERROR(AD253+AJ253-AA253-Z253-AK253-AM253-Forudsætninger!$E$75,-999999)</f>
        <v>1604.1254432675662</v>
      </c>
      <c r="AO253" s="19">
        <f>IFERROR(AN253/(A253+Forudsætninger!$E$74),-999999)</f>
        <v>6.3909380209863196</v>
      </c>
      <c r="AP253" s="19">
        <f>IFERROR(((365/(A253+Forudsætninger!$E$74))*AN253)/(AI253+Forudsætninger!$E$73),-999999)</f>
        <v>739.63919959659893</v>
      </c>
      <c r="AQ253" s="18">
        <f t="shared" si="91"/>
        <v>251</v>
      </c>
      <c r="AR253" s="18">
        <f t="shared" si="104"/>
        <v>6357.8395634912404</v>
      </c>
      <c r="AS253" s="18">
        <f t="shared" si="83"/>
        <v>9.4</v>
      </c>
      <c r="AT253" s="50">
        <f t="shared" si="105"/>
        <v>11.004089998347354</v>
      </c>
      <c r="AU253" s="50">
        <f t="shared" si="106"/>
        <v>1.8452607909444474E-2</v>
      </c>
      <c r="AV253" s="2">
        <f t="shared" si="107"/>
        <v>0.86484571111179775</v>
      </c>
      <c r="AW253" s="16">
        <f t="shared" si="101"/>
        <v>8.5173572533757884</v>
      </c>
      <c r="AZ253" s="16"/>
      <c r="BA253" s="2"/>
    </row>
    <row r="254" spans="1:53" x14ac:dyDescent="0.25">
      <c r="A254">
        <v>252</v>
      </c>
      <c r="B254" s="1">
        <f>ROUND((A254+Forudsætninger!$E$60)/30.4,1)</f>
        <v>9.5</v>
      </c>
      <c r="C254" s="1">
        <f>VLOOKUP((A254+Forudsætninger!$E$60),'Model tilvækst, slagteform, fe'!A:D,4,FALSE)</f>
        <v>412.36580262513752</v>
      </c>
      <c r="D254" s="3">
        <f t="shared" si="108"/>
        <v>1185.9147808382318</v>
      </c>
      <c r="E254" s="3">
        <f>(1+Forudsætninger!$E$78)*C254</f>
        <v>379.37653841512656</v>
      </c>
      <c r="F254" s="2">
        <f t="shared" si="92"/>
        <v>0</v>
      </c>
      <c r="G254" s="1">
        <f t="shared" si="84"/>
        <v>379.37653841512656</v>
      </c>
      <c r="H254" s="3">
        <f t="shared" si="93"/>
        <v>1091.0415983711914</v>
      </c>
      <c r="I254" s="3">
        <f t="shared" si="85"/>
        <v>1235.6211841870102</v>
      </c>
      <c r="J254" s="1">
        <f>VLOOKUP((A254+Forudsætninger!$E$60),'Model tilvækst, slagteform, fe'!G:K,4,FALSE)*(1+Forudsætninger!$E$79)</f>
        <v>53.389917967957345</v>
      </c>
      <c r="K254" s="17">
        <f t="shared" si="86"/>
        <v>202.54882264951226</v>
      </c>
      <c r="L254" s="17">
        <f t="shared" si="94"/>
        <v>621.42361383479283</v>
      </c>
      <c r="M254" s="3">
        <f>((K254-(('Model tilvækst, slagteform, fe'!$J$9/100)*'Model tilvækst, slagteform, fe'!$D$9))*1000/(A254+Forudsætninger!$E$60))</f>
        <v>633.03616150926746</v>
      </c>
      <c r="N254" s="17">
        <f t="shared" si="95"/>
        <v>1348.8606129393181</v>
      </c>
      <c r="O254" s="19">
        <f>IF( A254&lt;Forudsætninger!$C$14,(G254/100)*Forudsætninger!$C$13,(Forudsætninger!$C$15/1000)*Forudsætninger!$C$13)</f>
        <v>2.4659474996983226</v>
      </c>
      <c r="P254" s="17" cm="1">
        <f t="array" ref="P254">INDEX('Model tilvækst, slagteform, fe'!$P$9:$P$375,MATCH(MIN(ABS('Model tilvækst, slagteform, fe'!$M$9:$M$375-G254)),ABS('Model tilvækst, slagteform, fe'!$M$9:$M$375-G254),0))*(1+Forudsætninger!$E$80)</f>
        <v>7.4755613928117715</v>
      </c>
      <c r="Q254" s="17">
        <f t="shared" si="96"/>
        <v>12.029734992978831</v>
      </c>
      <c r="R254" s="17">
        <f t="shared" si="97"/>
        <v>7.9540247920141303</v>
      </c>
      <c r="S254" s="17">
        <f t="shared" si="98"/>
        <v>4.3319275749061736</v>
      </c>
      <c r="T254" s="19">
        <f>(P254)*IF(N254&lt;Forudsætninger!$B$228,IF(N254&lt;Forudsætninger!$B$227,Forudsætninger!$B$225,Forudsætninger!$C$9),Forudsætninger!$C$11)+O254</f>
        <v>19.958761158877866</v>
      </c>
      <c r="U254" s="5">
        <f>Forudsætninger!$E$68+((K254-(Forudsætninger!$E$84)))*0.01</f>
        <v>6.7420519360667921</v>
      </c>
      <c r="V254" s="2">
        <f>U254+Forudsætninger!$E$69</f>
        <v>6.7420519360667921</v>
      </c>
      <c r="W254">
        <f t="shared" si="87"/>
        <v>1</v>
      </c>
      <c r="X254">
        <f>IF(A254+Forudsætninger!$E$60&gt;248,IF(A254+Forudsætninger!$E$60&lt;365,IF(K254&gt;180,IF(K254&lt;260,1,0),0),0),0)</f>
        <v>1</v>
      </c>
      <c r="Y254" s="22">
        <f>IF(X254=0,0,IF('Vækstfunktion, kry kvie'!A254&lt;Forudsætninger!$E$66,Forudsætninger!$E$67+(('Vækstfunktion, kry kvie'!A254-Forudsætninger!$E$66)/7)*Forudsætninger!$E$64,Forudsætninger!$E$67))</f>
        <v>0.97657142857142853</v>
      </c>
      <c r="Z254" s="19">
        <f t="shared" si="102"/>
        <v>4019.067097320361</v>
      </c>
      <c r="AA254" s="19">
        <f>Forudsætninger!$E$62+Forudsætninger!$C$16</f>
        <v>1575</v>
      </c>
      <c r="AB254" s="19">
        <f>IF(K254&gt;Forudsætninger!$C$48,IF(K254&gt;Forudsætninger!$C$49,IF(K254&gt;Forudsætninger!$C$50,Forudsætninger!$E$50,Forudsætninger!$E$49+Forudsætninger!$F$50*(K254-Forudsætninger!$C$49)),Forudsætninger!$E$48+Forudsætninger!$F$49*(K254-Forudsætninger!$C$48)),Forudsætninger!$E$48)+IF(K254&gt;Forudsætninger!$C$50,Forudsætninger!$G$50,IF(K254&gt;Forudsætninger!$C$49,Forudsætninger!$G$49+Forudsætninger!$H$50*(K254-Forudsætninger!$C$49),IF(K254&gt;Forudsætninger!$C$48,Forudsætninger!$G$48+Forudsætninger!$H$49*(K254-Forudsætninger!$C$48),Forudsætninger!$G$48)))*(U254-Forudsætninger!$H$48)</f>
        <v>36.100995357422129</v>
      </c>
      <c r="AC254" s="19">
        <f>IF(K254&gt;Forudsætninger!$C$52,IF(K254&gt;Forudsætninger!$C$53,IF(K254&gt;Forudsætninger!$C$54,Forudsætninger!$E$54,Forudsætninger!$E$53+Forudsætninger!$F$54*(K254-Forudsætninger!$C$53)),Forudsætninger!$E$52+Forudsætninger!$F$53*(K254-Forudsætninger!$C$52)),Forudsætninger!$E$52)+IF(K254&gt;Forudsætninger!$C$54,Forudsætninger!$G$54,IF(K254&gt;Forudsætninger!$C$53,Forudsætninger!$G$53+Forudsætninger!$H$54*(K254-Forudsætninger!$C$53),IF(K254&gt;Forudsætninger!$C$52,Forudsætninger!$G$52+Forudsætninger!$H$53*(K254-Forudsætninger!$C$52),Forudsætninger!$G$52)))*(V254-Forudsætninger!$H$52)</f>
        <v>30.399541257208355</v>
      </c>
      <c r="AD254" s="19">
        <f t="shared" si="88"/>
        <v>7285.1582573036858</v>
      </c>
      <c r="AE254" s="19">
        <f t="shared" si="89"/>
        <v>35.967418432788548</v>
      </c>
      <c r="AF254">
        <f>IF(G254&lt;=Forudsætninger!$C$97,Forudsætninger!$C$98,(IF(G254&lt;=Forudsætninger!$D$97,Forudsætninger!$D$98,IF(G254&lt;=Forudsætninger!$E$97,Forudsætninger!$E$98,IF(G254&lt;=Forudsætninger!$F$97,Forudsætninger!$F$98,IF(G254&lt;=Forudsætninger!$G$97,Forudsætninger!$G$98,IF(G254&lt;=Forudsætninger!$H$97,Forudsætninger!$H$98,IF(G254&lt;=Forudsætninger!$I$97,Forudsætninger!$I$98,Forudsætninger!$I$98))))))))</f>
        <v>3.8</v>
      </c>
      <c r="AG254" s="1">
        <f t="shared" si="99"/>
        <v>4.4000000000000004</v>
      </c>
      <c r="AH254" s="1">
        <f t="shared" si="103"/>
        <v>768.39999999999725</v>
      </c>
      <c r="AI254" s="1">
        <f t="shared" si="90"/>
        <v>3.0492063492063384</v>
      </c>
      <c r="AJ254" s="20">
        <f>+(W254*Forudsætninger!$C$12)</f>
        <v>900</v>
      </c>
      <c r="AK254" s="20">
        <f>Forudsætninger!$C$17</f>
        <v>250</v>
      </c>
      <c r="AL254" s="20">
        <f>IF(A254&lt;92,Forudsætninger!$C$20,Forudsætninger!$C$21)</f>
        <v>1.0566762728146013</v>
      </c>
      <c r="AM254" s="20">
        <f t="shared" si="100"/>
        <v>534.7879036025713</v>
      </c>
      <c r="AN254" s="19">
        <f>IFERROR(AD254+AJ254-AA254-Z254-AK254-AM254-Forudsætninger!$E$75,-999999)</f>
        <v>1615.0864950441378</v>
      </c>
      <c r="AO254" s="19">
        <f>IFERROR(AN254/(A254+Forudsætninger!$E$74),-999999)</f>
        <v>6.4090733930322932</v>
      </c>
      <c r="AP254" s="19">
        <f>IFERROR(((365/(A254+Forudsætninger!$E$74))*AN254)/(AI254+Forudsætninger!$E$73),-999999)</f>
        <v>740.47451476047877</v>
      </c>
      <c r="AQ254" s="18">
        <f t="shared" si="91"/>
        <v>252</v>
      </c>
      <c r="AR254" s="18">
        <f t="shared" si="104"/>
        <v>6378.855000922933</v>
      </c>
      <c r="AS254" s="18">
        <f t="shared" si="83"/>
        <v>9.5</v>
      </c>
      <c r="AT254" s="50">
        <f t="shared" si="105"/>
        <v>10.961051776571594</v>
      </c>
      <c r="AU254" s="50">
        <f t="shared" si="106"/>
        <v>1.8135372045973597E-2</v>
      </c>
      <c r="AV254" s="2">
        <f t="shared" si="107"/>
        <v>0.83531516387984084</v>
      </c>
      <c r="AW254" s="16">
        <f t="shared" si="101"/>
        <v>8.5312476136774169</v>
      </c>
      <c r="AZ254" s="16"/>
      <c r="BA254" s="2"/>
    </row>
    <row r="255" spans="1:53" x14ac:dyDescent="0.25">
      <c r="A255">
        <v>253</v>
      </c>
      <c r="B255" s="1">
        <f>ROUND((A255+Forudsætninger!$E$60)/30.4,1)</f>
        <v>9.5</v>
      </c>
      <c r="C255" s="1">
        <f>VLOOKUP((A255+Forudsætninger!$E$60),'Model tilvækst, slagteform, fe'!A:D,4,FALSE)</f>
        <v>413.54686237518376</v>
      </c>
      <c r="D255" s="3">
        <f t="shared" si="108"/>
        <v>1181.059750046245</v>
      </c>
      <c r="E255" s="3">
        <f>(1+Forudsætninger!$E$78)*C255</f>
        <v>380.46311338516909</v>
      </c>
      <c r="F255" s="2">
        <f t="shared" si="92"/>
        <v>0</v>
      </c>
      <c r="G255" s="1">
        <f t="shared" si="84"/>
        <v>380.46311338516909</v>
      </c>
      <c r="H255" s="3">
        <f t="shared" si="93"/>
        <v>1086.574970042534</v>
      </c>
      <c r="I255" s="3">
        <f t="shared" si="85"/>
        <v>1235.0320687160834</v>
      </c>
      <c r="J255" s="1">
        <f>VLOOKUP((A255+Forudsætninger!$E$60),'Model tilvækst, slagteform, fe'!G:K,4,FALSE)*(1+Forudsætninger!$E$79)</f>
        <v>53.400153425031604</v>
      </c>
      <c r="K255" s="17">
        <f t="shared" si="86"/>
        <v>203.16788627333224</v>
      </c>
      <c r="L255" s="17">
        <f t="shared" si="94"/>
        <v>619.06362381998292</v>
      </c>
      <c r="M255" s="3">
        <f>((K255-(('Model tilvækst, slagteform, fe'!$J$9/100)*'Model tilvækst, slagteform, fe'!$D$9))*1000/(A255+Forudsætninger!$E$60))</f>
        <v>632.98781362798957</v>
      </c>
      <c r="N255" s="17">
        <f t="shared" si="95"/>
        <v>1356.3374562671463</v>
      </c>
      <c r="O255" s="19">
        <f>IF( A255&lt;Forudsætninger!$C$14,(G255/100)*Forudsætninger!$C$13,(Forudsætninger!$C$15/1000)*Forudsætninger!$C$13)</f>
        <v>2.4730102370035993</v>
      </c>
      <c r="P255" s="17" cm="1">
        <f t="array" ref="P255">INDEX('Model tilvækst, slagteform, fe'!$P$9:$P$375,MATCH(MIN(ABS('Model tilvækst, slagteform, fe'!$M$9:$M$375-G255)),ABS('Model tilvækst, slagteform, fe'!$M$9:$M$375-G255),0))*(1+Forudsætninger!$E$80)</f>
        <v>7.4768433278282567</v>
      </c>
      <c r="Q255" s="17">
        <f t="shared" si="96"/>
        <v>12.077665429106917</v>
      </c>
      <c r="R255" s="17">
        <f t="shared" si="97"/>
        <v>7.9690234861200198</v>
      </c>
      <c r="S255" s="17">
        <f t="shared" si="98"/>
        <v>4.3407922348748</v>
      </c>
      <c r="T255" s="19">
        <f>(P255)*IF(N255&lt;Forudsætninger!$B$228,IF(N255&lt;Forudsætninger!$B$227,Forudsætninger!$B$225,Forudsætninger!$C$9),Forudsætninger!$C$11)+O255</f>
        <v>19.968823624121718</v>
      </c>
      <c r="U255" s="5">
        <f>Forudsætninger!$E$68+((K255-(Forudsætninger!$E$84)))*0.01</f>
        <v>6.7482425723049912</v>
      </c>
      <c r="V255" s="2">
        <f>U255+Forudsætninger!$E$69</f>
        <v>6.7482425723049912</v>
      </c>
      <c r="W255">
        <f t="shared" si="87"/>
        <v>1</v>
      </c>
      <c r="X255">
        <f>IF(A255+Forudsætninger!$E$60&gt;248,IF(A255+Forudsætninger!$E$60&lt;365,IF(K255&gt;180,IF(K255&lt;260,1,0),0),0),0)</f>
        <v>1</v>
      </c>
      <c r="Y255" s="22">
        <f>IF(X255=0,0,IF('Vækstfunktion, kry kvie'!A255&lt;Forudsætninger!$E$66,Forudsætninger!$E$67+(('Vækstfunktion, kry kvie'!A255-Forudsætninger!$E$66)/7)*Forudsætninger!$E$64,Forudsætninger!$E$67))</f>
        <v>0.98</v>
      </c>
      <c r="Z255" s="19">
        <f t="shared" si="102"/>
        <v>4039.0359209444828</v>
      </c>
      <c r="AA255" s="19">
        <f>Forudsætninger!$E$62+Forudsætninger!$C$16</f>
        <v>1575</v>
      </c>
      <c r="AB255" s="19">
        <f>IF(K255&gt;Forudsætninger!$C$48,IF(K255&gt;Forudsætninger!$C$49,IF(K255&gt;Forudsætninger!$C$50,Forudsætninger!$E$50,Forudsætninger!$E$49+Forudsætninger!$F$50*(K255-Forudsætninger!$C$49)),Forudsætninger!$E$48+Forudsætninger!$F$49*(K255-Forudsætninger!$C$48)),Forudsætninger!$E$48)+IF(K255&gt;Forudsætninger!$C$50,Forudsætninger!$G$50,IF(K255&gt;Forudsætninger!$C$49,Forudsætninger!$G$49+Forudsætninger!$H$50*(K255-Forudsætninger!$C$49),IF(K255&gt;Forudsætninger!$C$48,Forudsætninger!$G$48+Forudsætninger!$H$49*(K255-Forudsætninger!$C$48),Forudsætninger!$G$48)))*(U255-Forudsætninger!$H$48)</f>
        <v>36.124313420586013</v>
      </c>
      <c r="AC255" s="19">
        <f>IF(K255&gt;Forudsætninger!$C$52,IF(K255&gt;Forudsætninger!$C$53,IF(K255&gt;Forudsætninger!$C$54,Forudsætninger!$E$54,Forudsætninger!$E$53+Forudsætninger!$F$54*(K255-Forudsætninger!$C$53)),Forudsætninger!$E$52+Forudsætninger!$F$53*(K255-Forudsætninger!$C$52)),Forudsætninger!$E$52)+IF(K255&gt;Forudsætninger!$C$54,Forudsætninger!$G$54,IF(K255&gt;Forudsætninger!$C$53,Forudsætninger!$G$53+Forudsætninger!$H$54*(K255-Forudsætninger!$C$53),IF(K255&gt;Forudsætninger!$C$52,Forudsætninger!$G$52+Forudsætninger!$H$53*(K255-Forudsætninger!$C$52),Forudsætninger!$G$52)))*(V255-Forudsætninger!$H$52)</f>
        <v>30.416599386669425</v>
      </c>
      <c r="AD255" s="19">
        <f t="shared" si="88"/>
        <v>7316.1079168213591</v>
      </c>
      <c r="AE255" s="19">
        <f t="shared" si="89"/>
        <v>36.010159139907678</v>
      </c>
      <c r="AF255">
        <f>IF(G255&lt;=Forudsætninger!$C$97,Forudsætninger!$C$98,(IF(G255&lt;=Forudsætninger!$D$97,Forudsætninger!$D$98,IF(G255&lt;=Forudsætninger!$E$97,Forudsætninger!$E$98,IF(G255&lt;=Forudsætninger!$F$97,Forudsætninger!$F$98,IF(G255&lt;=Forudsætninger!$G$97,Forudsætninger!$G$98,IF(G255&lt;=Forudsætninger!$H$97,Forudsætninger!$H$98,IF(G255&lt;=Forudsætninger!$I$97,Forudsætninger!$I$98,Forudsætninger!$I$98))))))))</f>
        <v>3.8</v>
      </c>
      <c r="AG255" s="1">
        <f t="shared" si="99"/>
        <v>4.4000000000000004</v>
      </c>
      <c r="AH255" s="1">
        <f t="shared" si="103"/>
        <v>772.79999999999723</v>
      </c>
      <c r="AI255" s="1">
        <f t="shared" si="90"/>
        <v>3.0545454545454436</v>
      </c>
      <c r="AJ255" s="20">
        <f>+(W255*Forudsætninger!$C$12)</f>
        <v>900</v>
      </c>
      <c r="AK255" s="20">
        <f>Forudsætninger!$C$17</f>
        <v>250</v>
      </c>
      <c r="AL255" s="20">
        <f>IF(A255&lt;92,Forudsætninger!$C$20,Forudsætninger!$C$21)</f>
        <v>1.0566762728146013</v>
      </c>
      <c r="AM255" s="20">
        <f t="shared" si="100"/>
        <v>535.84457987538588</v>
      </c>
      <c r="AN255" s="19">
        <f>IFERROR(AD255+AJ255-AA255-Z255-AK255-AM255-Forudsætninger!$E$75,-999999)</f>
        <v>1625.0106546648738</v>
      </c>
      <c r="AO255" s="19">
        <f>IFERROR(AN255/(A255+Forudsætninger!$E$74),-999999)</f>
        <v>6.4229670144856668</v>
      </c>
      <c r="AP255" s="19">
        <f>IFERROR(((365/(A255+Forudsætninger!$E$74))*AN255)/(AI255+Forudsætninger!$E$73),-999999)</f>
        <v>740.8277093697227</v>
      </c>
      <c r="AQ255" s="18">
        <f t="shared" si="91"/>
        <v>253</v>
      </c>
      <c r="AR255" s="18">
        <f t="shared" si="104"/>
        <v>6399.8805008198688</v>
      </c>
      <c r="AS255" s="18">
        <f t="shared" si="83"/>
        <v>9.5</v>
      </c>
      <c r="AT255" s="50">
        <f t="shared" si="105"/>
        <v>9.9241596207359635</v>
      </c>
      <c r="AU255" s="50">
        <f t="shared" si="106"/>
        <v>1.3893621453373584E-2</v>
      </c>
      <c r="AV255" s="2">
        <f t="shared" si="107"/>
        <v>0.35319460924392843</v>
      </c>
      <c r="AW255" s="16">
        <f t="shared" si="101"/>
        <v>8.5409297807915401</v>
      </c>
      <c r="AZ255" s="16"/>
      <c r="BA255" s="2"/>
    </row>
    <row r="256" spans="1:53" x14ac:dyDescent="0.25">
      <c r="A256">
        <v>254</v>
      </c>
      <c r="B256" s="1">
        <f>ROUND((A256+Forudsætninger!$E$60)/30.4,1)</f>
        <v>9.5</v>
      </c>
      <c r="C256" s="1">
        <f>VLOOKUP((A256+Forudsætninger!$E$60),'Model tilvækst, slagteform, fe'!A:D,4,FALSE)</f>
        <v>414.72306585038496</v>
      </c>
      <c r="D256" s="3">
        <f t="shared" si="108"/>
        <v>1176.2034752011914</v>
      </c>
      <c r="E256" s="3">
        <f>(1+Forudsætninger!$E$78)*C256</f>
        <v>381.54522058235415</v>
      </c>
      <c r="F256" s="2">
        <f t="shared" si="92"/>
        <v>0</v>
      </c>
      <c r="G256" s="1">
        <f t="shared" si="84"/>
        <v>381.54522058235415</v>
      </c>
      <c r="H256" s="3">
        <f t="shared" si="93"/>
        <v>1082.1071971850529</v>
      </c>
      <c r="I256" s="3">
        <f t="shared" si="85"/>
        <v>1234.430002292733</v>
      </c>
      <c r="J256" s="1">
        <f>VLOOKUP((A256+Forudsætninger!$E$60),'Model tilvækst, slagteform, fe'!G:K,4,FALSE)*(1+Forudsætninger!$E$79)</f>
        <v>53.410340426424895</v>
      </c>
      <c r="K256" s="17">
        <f t="shared" si="86"/>
        <v>203.78460119378914</v>
      </c>
      <c r="L256" s="17">
        <f t="shared" si="94"/>
        <v>616.71492045690002</v>
      </c>
      <c r="M256" s="3">
        <f>((K256-(('Model tilvækst, slagteform, fe'!$J$9/100)*'Model tilvækst, slagteform, fe'!$D$9))*1000/(A256+Forudsætninger!$E$60))</f>
        <v>632.9317002032617</v>
      </c>
      <c r="N256" s="17">
        <f t="shared" si="95"/>
        <v>1363.8155725761521</v>
      </c>
      <c r="O256" s="19">
        <f>IF( A256&lt;Forudsætninger!$C$14,(G256/100)*Forudsætninger!$C$13,(Forudsætninger!$C$15/1000)*Forudsætninger!$C$13)</f>
        <v>2.4800439337853022</v>
      </c>
      <c r="P256" s="17" cm="1">
        <f t="array" ref="P256">INDEX('Model tilvækst, slagteform, fe'!$P$9:$P$375,MATCH(MIN(ABS('Model tilvækst, slagteform, fe'!$M$9:$M$375-G256)),ABS('Model tilvækst, slagteform, fe'!$M$9:$M$375-G256),0))*(1+Forudsætninger!$E$80)</f>
        <v>7.4781163090058946</v>
      </c>
      <c r="Q256" s="17">
        <f t="shared" si="96"/>
        <v>12.125726265006934</v>
      </c>
      <c r="R256" s="17">
        <f t="shared" si="97"/>
        <v>7.984030696832435</v>
      </c>
      <c r="S256" s="17">
        <f t="shared" si="98"/>
        <v>4.3496614939405189</v>
      </c>
      <c r="T256" s="19">
        <f>(P256)*IF(N256&lt;Forudsætninger!$B$228,IF(N256&lt;Forudsætninger!$B$227,Forudsætninger!$B$225,Forudsætninger!$C$9),Forudsætninger!$C$11)+O256</f>
        <v>19.978836096859094</v>
      </c>
      <c r="U256" s="5">
        <f>Forudsætninger!$E$68+((K256-(Forudsætninger!$E$84)))*0.01</f>
        <v>6.7544097215095604</v>
      </c>
      <c r="V256" s="2">
        <f>U256+Forudsætninger!$E$69</f>
        <v>6.7544097215095604</v>
      </c>
      <c r="W256">
        <f t="shared" si="87"/>
        <v>1</v>
      </c>
      <c r="X256">
        <f>IF(A256+Forudsætninger!$E$60&gt;248,IF(A256+Forudsætninger!$E$60&lt;365,IF(K256&gt;180,IF(K256&lt;260,1,0),0),0),0)</f>
        <v>1</v>
      </c>
      <c r="Y256" s="22">
        <f>IF(X256=0,0,IF('Vækstfunktion, kry kvie'!A256&lt;Forudsætninger!$E$66,Forudsætninger!$E$67+(('Vækstfunktion, kry kvie'!A256-Forudsætninger!$E$66)/7)*Forudsætninger!$E$64,Forudsætninger!$E$67))</f>
        <v>0.98</v>
      </c>
      <c r="Z256" s="19">
        <f t="shared" si="102"/>
        <v>4059.0147570413419</v>
      </c>
      <c r="AA256" s="19">
        <f>Forudsætninger!$E$62+Forudsætninger!$C$16</f>
        <v>1575</v>
      </c>
      <c r="AB256" s="19">
        <f>IF(K256&gt;Forudsætninger!$C$48,IF(K256&gt;Forudsætninger!$C$49,IF(K256&gt;Forudsætninger!$C$50,Forudsætninger!$E$50,Forudsætninger!$E$49+Forudsætninger!$F$50*(K256-Forudsætninger!$C$49)),Forudsætninger!$E$48+Forudsætninger!$F$49*(K256-Forudsætninger!$C$48)),Forudsætninger!$E$48)+IF(K256&gt;Forudsætninger!$C$50,Forudsætninger!$G$50,IF(K256&gt;Forudsætninger!$C$49,Forudsætninger!$G$49+Forudsætninger!$H$50*(K256-Forudsætninger!$C$49),IF(K256&gt;Forudsætninger!$C$48,Forudsætninger!$G$48+Forudsætninger!$H$49*(K256-Forudsætninger!$C$48),Forudsætninger!$G$48)))*(U256-Forudsætninger!$H$48)</f>
        <v>36.147543015923226</v>
      </c>
      <c r="AC256" s="19">
        <f>IF(K256&gt;Forudsætninger!$C$52,IF(K256&gt;Forudsætninger!$C$53,IF(K256&gt;Forudsætninger!$C$54,Forudsætninger!$E$54,Forudsætninger!$E$53+Forudsætninger!$F$54*(K256-Forudsætninger!$C$53)),Forudsætninger!$E$52+Forudsætninger!$F$53*(K256-Forudsætninger!$C$52)),Forudsætninger!$E$52)+IF(K256&gt;Forudsætninger!$C$54,Forudsætninger!$G$54,IF(K256&gt;Forudsætninger!$C$53,Forudsætninger!$G$53+Forudsætninger!$H$54*(K256-Forudsætninger!$C$53),IF(K256&gt;Forudsætninger!$C$52,Forudsætninger!$G$52+Forudsætninger!$H$53*(K256-Forudsætninger!$C$52),Forudsætninger!$G$52)))*(V256-Forudsætninger!$H$52)</f>
        <v>30.433576920685454</v>
      </c>
      <c r="AD256" s="19">
        <f t="shared" si="88"/>
        <v>7343.0242715961958</v>
      </c>
      <c r="AE256" s="19">
        <f t="shared" si="89"/>
        <v>36.033263694018473</v>
      </c>
      <c r="AF256">
        <f>IF(G256&lt;=Forudsætninger!$C$97,Forudsætninger!$C$98,(IF(G256&lt;=Forudsætninger!$D$97,Forudsætninger!$D$98,IF(G256&lt;=Forudsætninger!$E$97,Forudsætninger!$E$98,IF(G256&lt;=Forudsætninger!$F$97,Forudsætninger!$F$98,IF(G256&lt;=Forudsætninger!$G$97,Forudsætninger!$G$98,IF(G256&lt;=Forudsætninger!$H$97,Forudsætninger!$H$98,IF(G256&lt;=Forudsætninger!$I$97,Forudsætninger!$I$98,Forudsætninger!$I$98))))))))</f>
        <v>3.8</v>
      </c>
      <c r="AG256" s="1">
        <f t="shared" si="99"/>
        <v>4.4000000000000004</v>
      </c>
      <c r="AH256" s="1">
        <f t="shared" si="103"/>
        <v>777.1999999999972</v>
      </c>
      <c r="AI256" s="1">
        <f t="shared" si="90"/>
        <v>3.0598425196850285</v>
      </c>
      <c r="AJ256" s="20">
        <f>+(W256*Forudsætninger!$C$12)</f>
        <v>900</v>
      </c>
      <c r="AK256" s="20">
        <f>Forudsætninger!$C$17</f>
        <v>250</v>
      </c>
      <c r="AL256" s="20">
        <f>IF(A256&lt;92,Forudsætninger!$C$20,Forudsætninger!$C$21)</f>
        <v>1.0566762728146013</v>
      </c>
      <c r="AM256" s="20">
        <f t="shared" si="100"/>
        <v>536.90125614820045</v>
      </c>
      <c r="AN256" s="19">
        <f>IFERROR(AD256+AJ256-AA256-Z256-AK256-AM256-Forudsætninger!$E$75,-999999)</f>
        <v>1630.8914970700378</v>
      </c>
      <c r="AO256" s="19">
        <f>IFERROR(AN256/(A256+Forudsætninger!$E$74),-999999)</f>
        <v>6.42083266563007</v>
      </c>
      <c r="AP256" s="19">
        <f>IFERROR(((365/(A256+Forudsætninger!$E$74))*AN256)/(AI256+Forudsætninger!$E$73),-999999)</f>
        <v>739.34396059140738</v>
      </c>
      <c r="AQ256" s="18">
        <f t="shared" si="91"/>
        <v>254</v>
      </c>
      <c r="AR256" s="18">
        <f t="shared" si="104"/>
        <v>6420.9160131895424</v>
      </c>
      <c r="AS256" s="18">
        <f t="shared" si="83"/>
        <v>9.5</v>
      </c>
      <c r="AT256" s="50">
        <f t="shared" si="105"/>
        <v>5.8808424051640031</v>
      </c>
      <c r="AU256" s="50">
        <f t="shared" si="106"/>
        <v>-2.1343488555967127E-3</v>
      </c>
      <c r="AV256" s="2">
        <f t="shared" si="107"/>
        <v>-1.4837487783153165</v>
      </c>
      <c r="AW256" s="16">
        <f t="shared" si="101"/>
        <v>8.5346171386544825</v>
      </c>
      <c r="AZ256" s="16"/>
      <c r="BA256" s="2"/>
    </row>
    <row r="257" spans="1:58" x14ac:dyDescent="0.25">
      <c r="A257">
        <v>255</v>
      </c>
      <c r="B257" s="1">
        <f>ROUND((A257+Forudsætninger!$E$60)/30.4,1)</f>
        <v>9.6</v>
      </c>
      <c r="C257" s="1">
        <f>VLOOKUP((A257+Forudsætninger!$E$60),'Model tilvækst, slagteform, fe'!A:D,4,FALSE)</f>
        <v>415.89441239170861</v>
      </c>
      <c r="D257" s="3">
        <f t="shared" si="108"/>
        <v>1171.3465413236577</v>
      </c>
      <c r="E257" s="3">
        <f>(1+Forudsætninger!$E$78)*C257</f>
        <v>382.62285940037196</v>
      </c>
      <c r="F257" s="2">
        <f t="shared" si="92"/>
        <v>0</v>
      </c>
      <c r="G257" s="1">
        <f t="shared" si="84"/>
        <v>382.62285940037196</v>
      </c>
      <c r="H257" s="3">
        <f t="shared" si="93"/>
        <v>1077.6388180178174</v>
      </c>
      <c r="I257" s="3">
        <f t="shared" si="85"/>
        <v>1233.8151349034194</v>
      </c>
      <c r="J257" s="1">
        <f>VLOOKUP((A257+Forudsætninger!$E$60),'Model tilvækst, slagteform, fe'!G:K,4,FALSE)*(1+Forudsætninger!$E$79)</f>
        <v>53.420482897481889</v>
      </c>
      <c r="K257" s="17">
        <f t="shared" si="86"/>
        <v>204.3989791678319</v>
      </c>
      <c r="L257" s="17">
        <f t="shared" si="94"/>
        <v>614.37797404275329</v>
      </c>
      <c r="M257" s="3">
        <f>((K257-(('Model tilvækst, slagteform, fe'!$J$9/100)*'Model tilvækst, slagteform, fe'!$D$9))*1000/(A257+Forudsætninger!$E$60))</f>
        <v>632.86794169411905</v>
      </c>
      <c r="N257" s="17">
        <f t="shared" si="95"/>
        <v>1371.2949581328214</v>
      </c>
      <c r="O257" s="19">
        <f>IF( A257&lt;Forudsætninger!$C$14,(G257/100)*Forudsætninger!$C$13,(Forudsætninger!$C$15/1000)*Forudsætninger!$C$13)</f>
        <v>2.4870485861024179</v>
      </c>
      <c r="P257" s="17" cm="1">
        <f t="array" ref="P257">INDEX('Model tilvækst, slagteform, fe'!$P$9:$P$375,MATCH(MIN(ABS('Model tilvækst, slagteform, fe'!$M$9:$M$375-G257)),ABS('Model tilvækst, slagteform, fe'!$M$9:$M$375-G257),0))*(1+Forudsætninger!$E$80)</f>
        <v>7.4793855566693779</v>
      </c>
      <c r="Q257" s="17">
        <f t="shared" si="96"/>
        <v>12.173915525410589</v>
      </c>
      <c r="R257" s="17">
        <f t="shared" si="97"/>
        <v>7.9990463786967547</v>
      </c>
      <c r="S257" s="17">
        <f t="shared" si="98"/>
        <v>4.358535679023201</v>
      </c>
      <c r="T257" s="19">
        <f>(P257)*IF(N257&lt;Forudsætninger!$B$228,IF(N257&lt;Forudsætninger!$B$227,Forudsætninger!$B$225,Forudsætninger!$C$9),Forudsætninger!$C$11)+O257</f>
        <v>19.988810788708761</v>
      </c>
      <c r="U257" s="5">
        <f>Forudsætninger!$E$68+((K257-(Forudsætninger!$E$84)))*0.01</f>
        <v>6.760553501249988</v>
      </c>
      <c r="V257" s="2">
        <f>U257+Forudsætninger!$E$69</f>
        <v>6.760553501249988</v>
      </c>
      <c r="W257">
        <f t="shared" si="87"/>
        <v>1</v>
      </c>
      <c r="X257">
        <f>IF(A257+Forudsætninger!$E$60&gt;248,IF(A257+Forudsætninger!$E$60&lt;365,IF(K257&gt;180,IF(K257&lt;260,1,0),0),0),0)</f>
        <v>1</v>
      </c>
      <c r="Y257" s="22">
        <f>IF(X257=0,0,IF('Vækstfunktion, kry kvie'!A257&lt;Forudsætninger!$E$66,Forudsætninger!$E$67+(('Vækstfunktion, kry kvie'!A257-Forudsætninger!$E$66)/7)*Forudsætninger!$E$64,Forudsætninger!$E$67))</f>
        <v>0.98</v>
      </c>
      <c r="Z257" s="19">
        <f t="shared" si="102"/>
        <v>4079.0035678300505</v>
      </c>
      <c r="AA257" s="19">
        <f>Forudsætninger!$E$62+Forudsætninger!$C$16</f>
        <v>1575</v>
      </c>
      <c r="AB257" s="19">
        <f>IF(K257&gt;Forudsætninger!$C$48,IF(K257&gt;Forudsætninger!$C$49,IF(K257&gt;Forudsætninger!$C$50,Forudsætninger!$E$50,Forudsætninger!$E$49+Forudsætninger!$F$50*(K257-Forudsætninger!$C$49)),Forudsætninger!$E$48+Forudsætninger!$F$49*(K257-Forudsætninger!$C$48)),Forudsætninger!$E$48)+IF(K257&gt;Forudsætninger!$C$50,Forudsætninger!$G$50,IF(K257&gt;Forudsætninger!$C$49,Forudsætninger!$G$49+Forudsætninger!$H$50*(K257-Forudsætninger!$C$49),IF(K257&gt;Forudsætninger!$C$48,Forudsætninger!$G$48+Forudsætninger!$H$49*(K257-Forudsætninger!$C$48),Forudsætninger!$G$48)))*(U257-Forudsætninger!$H$48)</f>
        <v>36.170684586278838</v>
      </c>
      <c r="AC257" s="19">
        <f>IF(K257&gt;Forudsætninger!$C$52,IF(K257&gt;Forudsætninger!$C$53,IF(K257&gt;Forudsætninger!$C$54,Forudsætninger!$E$54,Forudsætninger!$E$53+Forudsætninger!$F$54*(K257-Forudsætninger!$C$53)),Forudsætninger!$E$52+Forudsætninger!$F$53*(K257-Forudsætninger!$C$52)),Forudsætninger!$E$52)+IF(K257&gt;Forudsætninger!$C$54,Forudsætninger!$G$54,IF(K257&gt;Forudsætninger!$C$53,Forudsætninger!$G$53+Forudsætninger!$H$54*(K257-Forudsætninger!$C$53),IF(K257&gt;Forudsætninger!$C$52,Forudsætninger!$G$52+Forudsætninger!$H$53*(K257-Forudsætninger!$C$52),Forudsætninger!$G$52)))*(V257-Forudsætninger!$H$52)</f>
        <v>30.450474363521302</v>
      </c>
      <c r="AD257" s="19">
        <f t="shared" si="88"/>
        <v>7369.8669026338866</v>
      </c>
      <c r="AE257" s="19">
        <f t="shared" si="89"/>
        <v>36.05628038182369</v>
      </c>
      <c r="AF257">
        <f>IF(G257&lt;=Forudsætninger!$C$97,Forudsætninger!$C$98,(IF(G257&lt;=Forudsætninger!$D$97,Forudsætninger!$D$98,IF(G257&lt;=Forudsætninger!$E$97,Forudsætninger!$E$98,IF(G257&lt;=Forudsætninger!$F$97,Forudsætninger!$F$98,IF(G257&lt;=Forudsætninger!$G$97,Forudsætninger!$G$98,IF(G257&lt;=Forudsætninger!$H$97,Forudsætninger!$H$98,IF(G257&lt;=Forudsætninger!$I$97,Forudsætninger!$I$98,Forudsætninger!$I$98))))))))</f>
        <v>3.8</v>
      </c>
      <c r="AG257" s="1">
        <f t="shared" si="99"/>
        <v>4.4000000000000004</v>
      </c>
      <c r="AH257" s="1">
        <f t="shared" si="103"/>
        <v>781.59999999999718</v>
      </c>
      <c r="AI257" s="1">
        <f t="shared" si="90"/>
        <v>3.065098039215675</v>
      </c>
      <c r="AJ257" s="20">
        <f>+(W257*Forudsætninger!$C$12)</f>
        <v>900</v>
      </c>
      <c r="AK257" s="20">
        <f>Forudsætninger!$C$17</f>
        <v>250</v>
      </c>
      <c r="AL257" s="20">
        <f>IF(A257&lt;92,Forudsætninger!$C$20,Forudsætninger!$C$21)</f>
        <v>1.0566762728146013</v>
      </c>
      <c r="AM257" s="20">
        <f t="shared" si="100"/>
        <v>537.95793242101502</v>
      </c>
      <c r="AN257" s="19">
        <f>IFERROR(AD257+AJ257-AA257-Z257-AK257-AM257-Forudsætninger!$E$75,-999999)</f>
        <v>1636.6886410462055</v>
      </c>
      <c r="AO257" s="19">
        <f>IFERROR(AN257/(A257+Forudsætninger!$E$74),-999999)</f>
        <v>6.4183868276321787</v>
      </c>
      <c r="AP257" s="19">
        <f>IFERROR(((365/(A257+Forudsætninger!$E$74))*AN257)/(AI257+Forudsætninger!$E$73),-999999)</f>
        <v>737.83900942613127</v>
      </c>
      <c r="AQ257" s="18">
        <f t="shared" si="91"/>
        <v>255</v>
      </c>
      <c r="AR257" s="18">
        <f t="shared" si="104"/>
        <v>6441.9615002510654</v>
      </c>
      <c r="AS257" s="18">
        <f t="shared" si="83"/>
        <v>9.6</v>
      </c>
      <c r="AT257" s="50">
        <f t="shared" si="105"/>
        <v>5.7971439761677175</v>
      </c>
      <c r="AU257" s="50">
        <f t="shared" si="106"/>
        <v>-2.4458379978913314E-3</v>
      </c>
      <c r="AV257" s="2">
        <f t="shared" si="107"/>
        <v>-1.5049511652761112</v>
      </c>
      <c r="AW257" s="16">
        <f t="shared" si="101"/>
        <v>8.5280257783028262</v>
      </c>
      <c r="AZ257" s="16"/>
      <c r="BA257" s="2"/>
    </row>
    <row r="258" spans="1:58" x14ac:dyDescent="0.25">
      <c r="A258">
        <v>256</v>
      </c>
      <c r="B258" s="1">
        <f>ROUND((A258+Forudsætninger!$E$60)/30.4,1)</f>
        <v>9.6</v>
      </c>
      <c r="C258" s="1">
        <f>VLOOKUP((A258+Forudsætninger!$E$60),'Model tilvækst, slagteform, fe'!A:D,4,FALSE)</f>
        <v>417.06090192514284</v>
      </c>
      <c r="D258" s="3">
        <f t="shared" si="108"/>
        <v>1166.4895334342305</v>
      </c>
      <c r="E258" s="3">
        <f>(1+Forudsætninger!$E$78)*C258</f>
        <v>383.69602977113141</v>
      </c>
      <c r="F258" s="2">
        <f t="shared" si="92"/>
        <v>0</v>
      </c>
      <c r="G258" s="1">
        <f t="shared" si="84"/>
        <v>383.69602977113141</v>
      </c>
      <c r="H258" s="3">
        <f t="shared" si="93"/>
        <v>1073.170370759442</v>
      </c>
      <c r="I258" s="3">
        <f t="shared" si="85"/>
        <v>1233.1876162934821</v>
      </c>
      <c r="J258" s="1">
        <f>VLOOKUP((A258+Forudsætninger!$E$60),'Model tilvækst, slagteform, fe'!G:K,4,FALSE)*(1+Forudsætninger!$E$79)</f>
        <v>53.430584763547287</v>
      </c>
      <c r="K258" s="17">
        <f t="shared" si="86"/>
        <v>205.01103242123</v>
      </c>
      <c r="L258" s="17">
        <f t="shared" si="94"/>
        <v>612.05325339810202</v>
      </c>
      <c r="M258" s="3">
        <f>((K258-(('Model tilvækst, slagteform, fe'!$J$9/100)*'Model tilvækst, slagteform, fe'!$D$9))*1000/(A258+Forudsætninger!$E$60))</f>
        <v>632.79665851502307</v>
      </c>
      <c r="N258" s="17">
        <f t="shared" si="95"/>
        <v>1378.7756144239647</v>
      </c>
      <c r="O258" s="19">
        <f>IF( A258&lt;Forudsætninger!$C$14,(G258/100)*Forudsætninger!$C$13,(Forudsætninger!$C$15/1000)*Forudsætninger!$C$13)</f>
        <v>2.4940241935123542</v>
      </c>
      <c r="P258" s="17" cm="1">
        <f t="array" ref="P258">INDEX('Model tilvækst, slagteform, fe'!$P$9:$P$375,MATCH(MIN(ABS('Model tilvækst, slagteform, fe'!$M$9:$M$375-G258)),ABS('Model tilvækst, slagteform, fe'!$M$9:$M$375-G258),0))*(1+Forudsætninger!$E$80)</f>
        <v>7.4806562911434016</v>
      </c>
      <c r="Q258" s="17">
        <f t="shared" si="96"/>
        <v>12.22223107157917</v>
      </c>
      <c r="R258" s="17">
        <f t="shared" si="97"/>
        <v>8.0140704920005206</v>
      </c>
      <c r="S258" s="17">
        <f t="shared" si="98"/>
        <v>4.3674151221462267</v>
      </c>
      <c r="T258" s="19">
        <f>(P258)*IF(N258&lt;Forudsætninger!$B$228,IF(N258&lt;Forudsætninger!$B$227,Forudsætninger!$B$225,Forudsætninger!$C$9),Forudsætninger!$C$11)+O258</f>
        <v>19.998759914787911</v>
      </c>
      <c r="U258" s="5">
        <f>Forudsætninger!$E$68+((K258-(Forudsætninger!$E$84)))*0.01</f>
        <v>6.7666740337839695</v>
      </c>
      <c r="V258" s="2">
        <f>U258+Forudsætninger!$E$69</f>
        <v>6.7666740337839695</v>
      </c>
      <c r="W258">
        <f t="shared" si="87"/>
        <v>1</v>
      </c>
      <c r="X258">
        <f>IF(A258+Forudsætninger!$E$60&gt;248,IF(A258+Forudsætninger!$E$60&lt;365,IF(K258&gt;180,IF(K258&lt;260,1,0),0),0),0)</f>
        <v>1</v>
      </c>
      <c r="Y258" s="22">
        <f>IF(X258=0,0,IF('Vækstfunktion, kry kvie'!A258&lt;Forudsætninger!$E$66,Forudsætninger!$E$67+(('Vækstfunktion, kry kvie'!A258-Forudsætninger!$E$66)/7)*Forudsætninger!$E$64,Forudsætninger!$E$67))</f>
        <v>0.98</v>
      </c>
      <c r="Z258" s="19">
        <f t="shared" si="102"/>
        <v>4099.0023277448381</v>
      </c>
      <c r="AA258" s="19">
        <f>Forudsætninger!$E$62+Forudsætninger!$C$16</f>
        <v>1575</v>
      </c>
      <c r="AB258" s="19">
        <f>IF(K258&gt;Forudsætninger!$C$48,IF(K258&gt;Forudsætninger!$C$49,IF(K258&gt;Forudsætninger!$C$50,Forudsætninger!$E$50,Forudsætninger!$E$49+Forudsætninger!$F$50*(K258-Forudsætninger!$C$49)),Forudsætninger!$E$48+Forudsætninger!$F$49*(K258-Forudsætninger!$C$48)),Forudsætninger!$E$48)+IF(K258&gt;Forudsætninger!$C$50,Forudsætninger!$G$50,IF(K258&gt;Forudsætninger!$C$49,Forudsætninger!$G$49+Forudsætninger!$H$50*(K258-Forudsætninger!$C$49),IF(K258&gt;Forudsætninger!$C$48,Forudsætninger!$G$48+Forudsætninger!$H$49*(K258-Forudsætninger!$C$48),Forudsætninger!$G$48)))*(U258-Forudsætninger!$H$48)</f>
        <v>36.193738592156834</v>
      </c>
      <c r="AC258" s="19">
        <f>IF(K258&gt;Forudsætninger!$C$52,IF(K258&gt;Forudsætninger!$C$53,IF(K258&gt;Forudsætninger!$C$54,Forudsætninger!$E$54,Forudsætninger!$E$53+Forudsætninger!$F$54*(K258-Forudsætninger!$C$53)),Forudsætninger!$E$52+Forudsætninger!$F$53*(K258-Forudsætninger!$C$52)),Forudsætninger!$E$52)+IF(K258&gt;Forudsætninger!$C$54,Forudsætninger!$G$54,IF(K258&gt;Forudsætninger!$C$53,Forudsætninger!$G$53+Forudsætninger!$H$54*(K258-Forudsætninger!$C$53),IF(K258&gt;Forudsætninger!$C$52,Forudsætninger!$G$52+Forudsætninger!$H$53*(K258-Forudsætninger!$C$52),Forudsætninger!$G$52)))*(V258-Forudsætninger!$H$52)</f>
        <v>30.467292230429194</v>
      </c>
      <c r="AD258" s="19">
        <f t="shared" si="88"/>
        <v>7396.6360223477368</v>
      </c>
      <c r="AE258" s="19">
        <f t="shared" si="89"/>
        <v>36.079209664922281</v>
      </c>
      <c r="AF258">
        <f>IF(G258&lt;=Forudsætninger!$C$97,Forudsætninger!$C$98,(IF(G258&lt;=Forudsætninger!$D$97,Forudsætninger!$D$98,IF(G258&lt;=Forudsætninger!$E$97,Forudsætninger!$E$98,IF(G258&lt;=Forudsætninger!$F$97,Forudsætninger!$F$98,IF(G258&lt;=Forudsætninger!$G$97,Forudsætninger!$G$98,IF(G258&lt;=Forudsætninger!$H$97,Forudsætninger!$H$98,IF(G258&lt;=Forudsætninger!$I$97,Forudsætninger!$I$98,Forudsætninger!$I$98))))))))</f>
        <v>3.8</v>
      </c>
      <c r="AG258" s="1">
        <f t="shared" si="99"/>
        <v>4.4000000000000004</v>
      </c>
      <c r="AH258" s="1">
        <f t="shared" si="103"/>
        <v>785.99999999999716</v>
      </c>
      <c r="AI258" s="1">
        <f t="shared" si="90"/>
        <v>3.0703124999999889</v>
      </c>
      <c r="AJ258" s="20">
        <f>+(W258*Forudsætninger!$C$12)</f>
        <v>900</v>
      </c>
      <c r="AK258" s="20">
        <f>Forudsætninger!$C$17</f>
        <v>250</v>
      </c>
      <c r="AL258" s="20">
        <f>IF(A258&lt;92,Forudsætninger!$C$20,Forudsætninger!$C$21)</f>
        <v>1.0566762728146013</v>
      </c>
      <c r="AM258" s="20">
        <f t="shared" si="100"/>
        <v>539.01460869382959</v>
      </c>
      <c r="AN258" s="19">
        <f>IFERROR(AD258+AJ258-AA258-Z258-AK258-AM258-Forudsætninger!$E$75,-999999)</f>
        <v>1642.4023245724534</v>
      </c>
      <c r="AO258" s="19">
        <f>IFERROR(AN258/(A258+Forudsætninger!$E$74),-999999)</f>
        <v>6.415634080361146</v>
      </c>
      <c r="AP258" s="19">
        <f>IFERROR(((365/(A258+Forudsætninger!$E$74))*AN258)/(AI258+Forudsætninger!$E$73),-999999)</f>
        <v>736.31331491223784</v>
      </c>
      <c r="AQ258" s="18">
        <f t="shared" si="91"/>
        <v>256</v>
      </c>
      <c r="AR258" s="18">
        <f t="shared" si="104"/>
        <v>6463.0169364386675</v>
      </c>
      <c r="AS258" s="18">
        <f t="shared" ref="AS258:AS321" si="109">B258</f>
        <v>9.6</v>
      </c>
      <c r="AT258" s="50">
        <f t="shared" si="105"/>
        <v>5.7136835262479053</v>
      </c>
      <c r="AU258" s="50">
        <f t="shared" si="106"/>
        <v>-2.7527472710326961E-3</v>
      </c>
      <c r="AV258" s="2">
        <f t="shared" si="107"/>
        <v>-1.525694513893427</v>
      </c>
      <c r="AW258" s="16">
        <f t="shared" si="101"/>
        <v>8.5211598955714187</v>
      </c>
      <c r="AZ258" s="16"/>
      <c r="BA258" s="2"/>
    </row>
    <row r="259" spans="1:58" x14ac:dyDescent="0.25">
      <c r="A259">
        <v>257</v>
      </c>
      <c r="B259" s="1">
        <f>ROUND((A259+Forudsætninger!$E$60)/30.4,1)</f>
        <v>9.6</v>
      </c>
      <c r="C259" s="1">
        <f>VLOOKUP((A259+Forudsætninger!$E$60),'Model tilvækst, slagteform, fe'!A:D,4,FALSE)</f>
        <v>418.22253496169617</v>
      </c>
      <c r="D259" s="3">
        <f t="shared" si="108"/>
        <v>1161.6330365533258</v>
      </c>
      <c r="E259" s="3">
        <f>(1+Forudsætninger!$E$78)*C259</f>
        <v>384.76473216476052</v>
      </c>
      <c r="F259" s="2">
        <f t="shared" si="92"/>
        <v>0</v>
      </c>
      <c r="G259" s="1">
        <f t="shared" ref="G259:G322" si="110">E259+F259</f>
        <v>384.76473216476052</v>
      </c>
      <c r="H259" s="3">
        <f t="shared" si="93"/>
        <v>1068.7023936291098</v>
      </c>
      <c r="I259" s="3">
        <f t="shared" ref="I259:I322" si="111">(G259-$G$2)*1000/A259</f>
        <v>1232.5475959718308</v>
      </c>
      <c r="J259" s="1">
        <f>VLOOKUP((A259+Forudsætninger!$E$60),'Model tilvækst, slagteform, fe'!G:K,4,FALSE)*(1+Forudsætninger!$E$79)</f>
        <v>53.440649949965788</v>
      </c>
      <c r="K259" s="17">
        <f t="shared" ref="K259:K322" si="112">G259*(J259/100)</f>
        <v>205.6207736470931</v>
      </c>
      <c r="L259" s="17">
        <f t="shared" si="94"/>
        <v>609.74122586310386</v>
      </c>
      <c r="M259" s="3">
        <f>((K259-(('Model tilvækst, slagteform, fe'!$J$9/100)*'Model tilvækst, slagteform, fe'!$D$9))*1000/(A259+Forudsætninger!$E$60))</f>
        <v>632.71797103156939</v>
      </c>
      <c r="N259" s="17">
        <f t="shared" si="95"/>
        <v>1386.2575481567173</v>
      </c>
      <c r="O259" s="19">
        <f>IF( A259&lt;Forudsætninger!$C$14,(G259/100)*Forudsætninger!$C$13,(Forudsætninger!$C$15/1000)*Forudsætninger!$C$13)</f>
        <v>2.5009707590709436</v>
      </c>
      <c r="P259" s="17" cm="1">
        <f t="array" ref="P259">INDEX('Model tilvækst, slagteform, fe'!$P$9:$P$375,MATCH(MIN(ABS('Model tilvækst, slagteform, fe'!$M$9:$M$375-G259)),ABS('Model tilvækst, slagteform, fe'!$M$9:$M$375-G259),0))*(1+Forudsætninger!$E$80)</f>
        <v>7.4819337327526618</v>
      </c>
      <c r="Q259" s="17">
        <f t="shared" si="96"/>
        <v>12.270670598271913</v>
      </c>
      <c r="R259" s="17">
        <f t="shared" si="97"/>
        <v>8.0291030025249075</v>
      </c>
      <c r="S259" s="17">
        <f t="shared" si="98"/>
        <v>4.3763001603211178</v>
      </c>
      <c r="T259" s="19">
        <f>(P259)*IF(N259&lt;Forudsætninger!$B$228,IF(N259&lt;Forudsætninger!$B$227,Forudsætninger!$B$225,Forudsætninger!$C$9),Forudsætninger!$C$11)+O259</f>
        <v>20.00869569371217</v>
      </c>
      <c r="U259" s="5">
        <f>Forudsætninger!$E$68+((K259-(Forudsætninger!$E$84)))*0.01</f>
        <v>6.7727714460425998</v>
      </c>
      <c r="V259" s="2">
        <f>U259+Forudsætninger!$E$69</f>
        <v>6.7727714460425998</v>
      </c>
      <c r="W259">
        <f t="shared" ref="W259:W322" si="113">IF(K259&gt;130,1,0)</f>
        <v>1</v>
      </c>
      <c r="X259">
        <f>IF(A259+Forudsætninger!$E$60&gt;248,IF(A259+Forudsætninger!$E$60&lt;365,IF(K259&gt;180,IF(K259&lt;260,1,0),0),0),0)</f>
        <v>1</v>
      </c>
      <c r="Y259" s="22">
        <f>IF(X259=0,0,IF('Vækstfunktion, kry kvie'!A259&lt;Forudsætninger!$E$66,Forudsætninger!$E$67+(('Vækstfunktion, kry kvie'!A259-Forudsætninger!$E$66)/7)*Forudsætninger!$E$64,Forudsætninger!$E$67))</f>
        <v>0.98</v>
      </c>
      <c r="Z259" s="19">
        <f t="shared" si="102"/>
        <v>4119.0110234385502</v>
      </c>
      <c r="AA259" s="19">
        <f>Forudsætninger!$E$62+Forudsætninger!$C$16</f>
        <v>1575</v>
      </c>
      <c r="AB259" s="19">
        <f>IF(K259&gt;Forudsætninger!$C$48,IF(K259&gt;Forudsætninger!$C$49,IF(K259&gt;Forudsætninger!$C$50,Forudsætninger!$E$50,Forudsætninger!$E$49+Forudsætninger!$F$50*(K259-Forudsætninger!$C$49)),Forudsætninger!$E$48+Forudsætninger!$F$49*(K259-Forudsætninger!$C$48)),Forudsætninger!$E$48)+IF(K259&gt;Forudsætninger!$C$50,Forudsætninger!$G$50,IF(K259&gt;Forudsætninger!$C$49,Forudsætninger!$G$49+Forudsætninger!$H$50*(K259-Forudsætninger!$C$49),IF(K259&gt;Forudsætninger!$C$48,Forudsætninger!$G$48+Forudsætninger!$H$49*(K259-Forudsætninger!$C$48),Forudsætninger!$G$48)))*(U259-Forudsætninger!$H$48)</f>
        <v>36.216705511664344</v>
      </c>
      <c r="AC259" s="19">
        <f>IF(K259&gt;Forudsætninger!$C$52,IF(K259&gt;Forudsætninger!$C$53,IF(K259&gt;Forudsætninger!$C$54,Forudsætninger!$E$54,Forudsætninger!$E$53+Forudsætninger!$F$54*(K259-Forudsætninger!$C$53)),Forudsætninger!$E$52+Forudsætninger!$F$53*(K259-Forudsætninger!$C$52)),Forudsætninger!$E$52)+IF(K259&gt;Forudsætninger!$C$54,Forudsætninger!$G$54,IF(K259&gt;Forudsætninger!$C$53,Forudsætninger!$G$53+Forudsætninger!$H$54*(K259-Forudsætninger!$C$53),IF(K259&gt;Forudsætninger!$C$52,Forudsætninger!$G$52+Forudsætninger!$H$53*(K259-Forudsætninger!$C$52),Forudsætninger!$G$52)))*(V259-Forudsætninger!$H$52)</f>
        <v>30.48403104755992</v>
      </c>
      <c r="AD259" s="19">
        <f t="shared" ref="AD259:AD322" si="114">(K259*(Y259*AB259+((1-Y259)*AC259)))</f>
        <v>7423.3318670898407</v>
      </c>
      <c r="AE259" s="19">
        <f t="shared" ref="AE259:AE322" si="115">AD259/K259</f>
        <v>36.102052022382253</v>
      </c>
      <c r="AF259">
        <f>IF(G259&lt;=Forudsætninger!$C$97,Forudsætninger!$C$98,(IF(G259&lt;=Forudsætninger!$D$97,Forudsætninger!$D$98,IF(G259&lt;=Forudsætninger!$E$97,Forudsætninger!$E$98,IF(G259&lt;=Forudsætninger!$F$97,Forudsætninger!$F$98,IF(G259&lt;=Forudsætninger!$G$97,Forudsætninger!$G$98,IF(G259&lt;=Forudsætninger!$H$97,Forudsætninger!$H$98,IF(G259&lt;=Forudsætninger!$I$97,Forudsætninger!$I$98,Forudsætninger!$I$98))))))))</f>
        <v>3.8</v>
      </c>
      <c r="AG259" s="1">
        <f t="shared" si="99"/>
        <v>4.4000000000000004</v>
      </c>
      <c r="AH259" s="1">
        <f t="shared" si="103"/>
        <v>790.39999999999714</v>
      </c>
      <c r="AI259" s="1">
        <f t="shared" ref="AI259:AI322" si="116">AH259/A259</f>
        <v>3.0754863813229463</v>
      </c>
      <c r="AJ259" s="20">
        <f>+(W259*Forudsætninger!$C$12)</f>
        <v>900</v>
      </c>
      <c r="AK259" s="20">
        <f>Forudsætninger!$C$17</f>
        <v>250</v>
      </c>
      <c r="AL259" s="20">
        <f>IF(A259&lt;92,Forudsætninger!$C$20,Forudsætninger!$C$21)</f>
        <v>1.0566762728146013</v>
      </c>
      <c r="AM259" s="20">
        <f t="shared" si="100"/>
        <v>540.07128496664416</v>
      </c>
      <c r="AN259" s="19">
        <f>IFERROR(AD259+AJ259-AA259-Z259-AK259-AM259-Forudsætninger!$E$75,-999999)</f>
        <v>1648.0327973480305</v>
      </c>
      <c r="AO259" s="19">
        <f>IFERROR(AN259/(A259+Forudsætninger!$E$74),-999999)</f>
        <v>6.4125789780079003</v>
      </c>
      <c r="AP259" s="19">
        <f>IFERROR(((365/(A259+Forudsætninger!$E$74))*AN259)/(AI259+Forudsætninger!$E$73),-999999)</f>
        <v>734.76733119820346</v>
      </c>
      <c r="AQ259" s="18">
        <f t="shared" ref="AQ259:AQ322" si="117">A259</f>
        <v>257</v>
      </c>
      <c r="AR259" s="18">
        <f t="shared" si="104"/>
        <v>6484.0823084051945</v>
      </c>
      <c r="AS259" s="18">
        <f t="shared" si="109"/>
        <v>9.6</v>
      </c>
      <c r="AT259" s="50">
        <f t="shared" si="105"/>
        <v>5.6304727755771182</v>
      </c>
      <c r="AU259" s="50">
        <f t="shared" si="106"/>
        <v>-3.0551023532456867E-3</v>
      </c>
      <c r="AV259" s="2">
        <f t="shared" si="107"/>
        <v>-1.545983714034378</v>
      </c>
      <c r="AW259" s="16">
        <f t="shared" si="101"/>
        <v>8.5140236665940652</v>
      </c>
      <c r="AZ259" s="16"/>
      <c r="BA259" s="2"/>
    </row>
    <row r="260" spans="1:58" x14ac:dyDescent="0.25">
      <c r="A260">
        <v>258</v>
      </c>
      <c r="B260" s="1">
        <f>ROUND((A260+Forudsætninger!$E$60)/30.4,1)</f>
        <v>9.6999999999999993</v>
      </c>
      <c r="C260" s="1">
        <f>VLOOKUP((A260+Forudsætninger!$E$60),'Model tilvækst, slagteform, fe'!A:D,4,FALSE)</f>
        <v>419.37931259739798</v>
      </c>
      <c r="D260" s="3">
        <f t="shared" si="108"/>
        <v>1156.7776357018147</v>
      </c>
      <c r="E260" s="3">
        <f>(1+Forudsætninger!$E$78)*C260</f>
        <v>385.82896758960618</v>
      </c>
      <c r="F260" s="2">
        <f t="shared" ref="F260:F323" si="118">MAX(F259-((D260/1000)/15),0)</f>
        <v>0</v>
      </c>
      <c r="G260" s="1">
        <f t="shared" si="110"/>
        <v>385.82896758960618</v>
      </c>
      <c r="H260" s="3">
        <f t="shared" ref="H260:H323" si="119">(G260-G259)*1000</f>
        <v>1064.2354248456627</v>
      </c>
      <c r="I260" s="3">
        <f t="shared" si="111"/>
        <v>1231.8952232155279</v>
      </c>
      <c r="J260" s="1">
        <f>VLOOKUP((A260+Forudsætninger!$E$60),'Model tilvækst, slagteform, fe'!G:K,4,FALSE)*(1+Forudsætninger!$E$79)</f>
        <v>53.450682382082093</v>
      </c>
      <c r="K260" s="17">
        <f t="shared" si="112"/>
        <v>206.22821600438687</v>
      </c>
      <c r="L260" s="17">
        <f t="shared" ref="L260:L323" si="120">(K260-K259)*1000</f>
        <v>607.44235729376328</v>
      </c>
      <c r="M260" s="3">
        <f>((K260-(('Model tilvækst, slagteform, fe'!$J$9/100)*'Model tilvækst, slagteform, fe'!$D$9))*1000/(A260+Forudsætninger!$E$60))</f>
        <v>632.63199955627078</v>
      </c>
      <c r="N260" s="17">
        <f t="shared" ref="N260:N323" si="121">N259+P260</f>
        <v>1393.7407712585391</v>
      </c>
      <c r="O260" s="19">
        <f>IF( A260&lt;Forudsætninger!$C$14,(G260/100)*Forudsætninger!$C$13,(Forudsætninger!$C$15/1000)*Forudsætninger!$C$13)</f>
        <v>2.5078882893324401</v>
      </c>
      <c r="P260" s="17" cm="1">
        <f t="array" ref="P260">INDEX('Model tilvækst, slagteform, fe'!$P$9:$P$375,MATCH(MIN(ABS('Model tilvækst, slagteform, fe'!$M$9:$M$375-G260)),ABS('Model tilvækst, slagteform, fe'!$M$9:$M$375-G260),0))*(1+Forudsætninger!$E$80)</f>
        <v>7.4832231018218511</v>
      </c>
      <c r="Q260" s="17">
        <f t="shared" ref="Q260:Q323" si="122">P260/(L260/1000)</f>
        <v>12.31923163073548</v>
      </c>
      <c r="R260" s="17">
        <f t="shared" ref="R260:R323" si="123">N260/(K260-$K$2)</f>
        <v>8.0441438813032224</v>
      </c>
      <c r="S260" s="17">
        <f t="shared" ref="S260:S323" si="124">N260/(G260-$G$2)</f>
        <v>4.3851911354354414</v>
      </c>
      <c r="T260" s="19">
        <f>(P260)*IF(N260&lt;Forudsætninger!$B$228,IF(N260&lt;Forudsætninger!$B$227,Forudsætninger!$B$225,Forudsætninger!$C$9),Forudsætninger!$C$11)+O260</f>
        <v>20.018630347595568</v>
      </c>
      <c r="U260" s="5">
        <f>Forudsætninger!$E$68+((K260-(Forudsætninger!$E$84)))*0.01</f>
        <v>6.7788458696155383</v>
      </c>
      <c r="V260" s="2">
        <f>U260+Forudsætninger!$E$69</f>
        <v>6.7788458696155383</v>
      </c>
      <c r="W260">
        <f t="shared" si="113"/>
        <v>1</v>
      </c>
      <c r="X260">
        <f>IF(A260+Forudsætninger!$E$60&gt;248,IF(A260+Forudsætninger!$E$60&lt;365,IF(K260&gt;180,IF(K260&lt;260,1,0),0),0),0)</f>
        <v>1</v>
      </c>
      <c r="Y260" s="22">
        <f>IF(X260=0,0,IF('Vækstfunktion, kry kvie'!A260&lt;Forudsætninger!$E$66,Forudsætninger!$E$67+(('Vækstfunktion, kry kvie'!A260-Forudsætninger!$E$66)/7)*Forudsætninger!$E$64,Forudsætninger!$E$67))</f>
        <v>0.98</v>
      </c>
      <c r="Z260" s="19">
        <f t="shared" si="102"/>
        <v>4139.0296537861459</v>
      </c>
      <c r="AA260" s="19">
        <f>Forudsætninger!$E$62+Forudsætninger!$C$16</f>
        <v>1575</v>
      </c>
      <c r="AB260" s="19">
        <f>IF(K260&gt;Forudsætninger!$C$48,IF(K260&gt;Forudsætninger!$C$49,IF(K260&gt;Forudsætninger!$C$50,Forudsætninger!$E$50,Forudsætninger!$E$49+Forudsætninger!$F$50*(K260-Forudsætninger!$C$49)),Forudsætninger!$E$48+Forudsætninger!$F$49*(K260-Forudsætninger!$C$48)),Forudsætninger!$E$48)+IF(K260&gt;Forudsætninger!$C$50,Forudsætninger!$G$50,IF(K260&gt;Forudsætninger!$C$49,Forudsætninger!$G$49+Forudsætninger!$H$50*(K260-Forudsætninger!$C$49),IF(K260&gt;Forudsætninger!$C$48,Forudsætninger!$G$48+Forudsætninger!$H$49*(K260-Forudsætninger!$C$48),Forudsætninger!$G$48)))*(U260-Forudsætninger!$H$48)</f>
        <v>36.239585840455739</v>
      </c>
      <c r="AC260" s="19">
        <f>IF(K260&gt;Forudsætninger!$C$52,IF(K260&gt;Forudsætninger!$C$53,IF(K260&gt;Forudsætninger!$C$54,Forudsætninger!$E$54,Forudsætninger!$E$53+Forudsætninger!$F$54*(K260-Forudsætninger!$C$53)),Forudsætninger!$E$52+Forudsætninger!$F$53*(K260-Forudsætninger!$C$52)),Forudsætninger!$E$52)+IF(K260&gt;Forudsætninger!$C$54,Forudsætninger!$G$54,IF(K260&gt;Forudsætninger!$C$53,Forudsætninger!$G$53+Forudsætninger!$H$54*(K260-Forudsætninger!$C$53),IF(K260&gt;Forudsætninger!$C$52,Forudsætninger!$G$52+Forudsætninger!$H$53*(K260-Forudsætninger!$C$52),Forudsætninger!$G$52)))*(V260-Forudsætninger!$H$52)</f>
        <v>30.500691351874845</v>
      </c>
      <c r="AD260" s="19">
        <f t="shared" si="114"/>
        <v>7449.9546971706768</v>
      </c>
      <c r="AE260" s="19">
        <f t="shared" si="115"/>
        <v>36.124807950684122</v>
      </c>
      <c r="AF260">
        <f>IF(G260&lt;=Forudsætninger!$C$97,Forudsætninger!$C$98,(IF(G260&lt;=Forudsætninger!$D$97,Forudsætninger!$D$98,IF(G260&lt;=Forudsætninger!$E$97,Forudsætninger!$E$98,IF(G260&lt;=Forudsætninger!$F$97,Forudsætninger!$F$98,IF(G260&lt;=Forudsætninger!$G$97,Forudsætninger!$G$98,IF(G260&lt;=Forudsætninger!$H$97,Forudsætninger!$H$98,IF(G260&lt;=Forudsætninger!$I$97,Forudsætninger!$I$98,Forudsætninger!$I$98))))))))</f>
        <v>3.8</v>
      </c>
      <c r="AG260" s="1">
        <f t="shared" ref="AG260:AG323" si="125">IF(AF260&lt;=3.2,IF(AF260&lt;=2.2,2.2,3.2),4.4)</f>
        <v>4.4000000000000004</v>
      </c>
      <c r="AH260" s="1">
        <f t="shared" si="103"/>
        <v>794.79999999999711</v>
      </c>
      <c r="AI260" s="1">
        <f t="shared" si="116"/>
        <v>3.0806201550387486</v>
      </c>
      <c r="AJ260" s="20">
        <f>+(W260*Forudsætninger!$C$12)</f>
        <v>900</v>
      </c>
      <c r="AK260" s="20">
        <f>Forudsætninger!$C$17</f>
        <v>250</v>
      </c>
      <c r="AL260" s="20">
        <f>IF(A260&lt;92,Forudsætninger!$C$20,Forudsætninger!$C$21)</f>
        <v>1.0566762728146013</v>
      </c>
      <c r="AM260" s="20">
        <f t="shared" ref="AM260:AM323" si="126">AL260+AM259</f>
        <v>541.12796123945873</v>
      </c>
      <c r="AN260" s="19">
        <f>IFERROR(AD260+AJ260-AA260-Z260-AK260-AM260-Forudsætninger!$E$75,-999999)</f>
        <v>1653.5803208084565</v>
      </c>
      <c r="AO260" s="19">
        <f>IFERROR(AN260/(A260+Forudsætninger!$E$74),-999999)</f>
        <v>6.4092260496451798</v>
      </c>
      <c r="AP260" s="19">
        <f>IFERROR(((365/(A260+Forudsætninger!$E$74))*AN260)/(AI260+Forudsætninger!$E$73),-999999)</f>
        <v>733.20150768372503</v>
      </c>
      <c r="AQ260" s="18">
        <f t="shared" si="117"/>
        <v>258</v>
      </c>
      <c r="AR260" s="18">
        <f t="shared" si="104"/>
        <v>6505.1576150256042</v>
      </c>
      <c r="AS260" s="18">
        <f t="shared" si="109"/>
        <v>9.6999999999999993</v>
      </c>
      <c r="AT260" s="50">
        <f t="shared" si="105"/>
        <v>5.547523460425964</v>
      </c>
      <c r="AU260" s="50">
        <f t="shared" si="106"/>
        <v>-3.3529283627204975E-3</v>
      </c>
      <c r="AV260" s="2">
        <f t="shared" si="107"/>
        <v>-1.5658235144784385</v>
      </c>
      <c r="AW260" s="16">
        <f t="shared" ref="AW260:AW323" si="127">((AN260+AM260)/A260)</f>
        <v>8.5066212482477344</v>
      </c>
      <c r="AZ260" s="16"/>
      <c r="BA260" s="2"/>
    </row>
    <row r="261" spans="1:58" x14ac:dyDescent="0.25">
      <c r="A261">
        <v>259</v>
      </c>
      <c r="B261" s="1">
        <f>ROUND((A261+Forudsætninger!$E$60)/30.4,1)</f>
        <v>9.6999999999999993</v>
      </c>
      <c r="C261" s="1">
        <f>VLOOKUP((A261+Forudsætninger!$E$60),'Model tilvækst, slagteform, fe'!A:D,4,FALSE)</f>
        <v>420.53123651329827</v>
      </c>
      <c r="D261" s="3">
        <f t="shared" si="108"/>
        <v>1151.9239159002836</v>
      </c>
      <c r="E261" s="3">
        <f>(1+Forudsætninger!$E$78)*C261</f>
        <v>386.88873759223441</v>
      </c>
      <c r="F261" s="2">
        <f t="shared" si="118"/>
        <v>0</v>
      </c>
      <c r="G261" s="1">
        <f t="shared" si="110"/>
        <v>386.88873759223441</v>
      </c>
      <c r="H261" s="3">
        <f t="shared" si="119"/>
        <v>1059.7700026282268</v>
      </c>
      <c r="I261" s="3">
        <f t="shared" si="111"/>
        <v>1231.230647074264</v>
      </c>
      <c r="J261" s="1">
        <f>VLOOKUP((A261+Forudsætninger!$E$60),'Model tilvækst, slagteform, fe'!G:K,4,FALSE)*(1+Forudsætninger!$E$79)</f>
        <v>53.460685985240893</v>
      </c>
      <c r="K261" s="17">
        <f t="shared" si="112"/>
        <v>206.83337311644709</v>
      </c>
      <c r="L261" s="17">
        <f t="shared" si="120"/>
        <v>605.15711206022615</v>
      </c>
      <c r="M261" s="3">
        <f>((K261-(('Model tilvækst, slagteform, fe'!$J$9/100)*'Model tilvækst, slagteform, fe'!$D$9))*1000/(A261+Forudsætninger!$E$60))</f>
        <v>632.53886434441984</v>
      </c>
      <c r="N261" s="17">
        <f t="shared" si="121"/>
        <v>1401.2253008772147</v>
      </c>
      <c r="O261" s="19">
        <f>IF( A261&lt;Forudsætninger!$C$14,(G261/100)*Forudsætninger!$C$13,(Forudsætninger!$C$15/1000)*Forudsætninger!$C$13)</f>
        <v>2.5147767943495234</v>
      </c>
      <c r="P261" s="17" cm="1">
        <f t="array" ref="P261">INDEX('Model tilvækst, slagteform, fe'!$P$9:$P$375,MATCH(MIN(ABS('Model tilvækst, slagteform, fe'!$M$9:$M$375-G261)),ABS('Model tilvækst, slagteform, fe'!$M$9:$M$375-G261),0))*(1+Forudsætninger!$E$80)</f>
        <v>7.4845296186756656</v>
      </c>
      <c r="Q261" s="17">
        <f t="shared" si="122"/>
        <v>12.367911521679009</v>
      </c>
      <c r="R261" s="17">
        <f t="shared" si="123"/>
        <v>8.0591931043861145</v>
      </c>
      <c r="S261" s="17">
        <f t="shared" si="124"/>
        <v>4.3940883941438305</v>
      </c>
      <c r="T261" s="19">
        <f>(P261)*IF(N261&lt;Forudsætninger!$B$228,IF(N261&lt;Forudsætninger!$B$227,Forudsætninger!$B$225,Forudsætninger!$C$9),Forudsætninger!$C$11)+O261</f>
        <v>20.028576102050579</v>
      </c>
      <c r="U261" s="5">
        <f>Forudsætninger!$E$68+((K261-(Forudsætninger!$E$84)))*0.01</f>
        <v>6.78489744073614</v>
      </c>
      <c r="V261" s="2">
        <f>U261+Forudsætninger!$E$69</f>
        <v>6.78489744073614</v>
      </c>
      <c r="W261">
        <f t="shared" si="113"/>
        <v>1</v>
      </c>
      <c r="X261">
        <f>IF(A261+Forudsætninger!$E$60&gt;248,IF(A261+Forudsætninger!$E$60&lt;365,IF(K261&gt;180,IF(K261&lt;260,1,0),0),0),0)</f>
        <v>1</v>
      </c>
      <c r="Y261" s="22">
        <f>IF(X261=0,0,IF('Vækstfunktion, kry kvie'!A261&lt;Forudsætninger!$E$66,Forudsætninger!$E$67+(('Vækstfunktion, kry kvie'!A261-Forudsætninger!$E$66)/7)*Forudsætninger!$E$64,Forudsætninger!$E$67))</f>
        <v>0.98</v>
      </c>
      <c r="Z261" s="19">
        <f t="shared" ref="Z261:Z324" si="128">Z260+T261</f>
        <v>4159.0582298881964</v>
      </c>
      <c r="AA261" s="19">
        <f>Forudsætninger!$E$62+Forudsætninger!$C$16</f>
        <v>1575</v>
      </c>
      <c r="AB261" s="19">
        <f>IF(K261&gt;Forudsætninger!$C$48,IF(K261&gt;Forudsætninger!$C$49,IF(K261&gt;Forudsætninger!$C$50,Forudsætninger!$E$50,Forudsætninger!$E$49+Forudsætninger!$F$50*(K261-Forudsætninger!$C$49)),Forudsætninger!$E$48+Forudsætninger!$F$49*(K261-Forudsætninger!$C$48)),Forudsætninger!$E$48)+IF(K261&gt;Forudsætninger!$C$50,Forudsætninger!$G$50,IF(K261&gt;Forudsætninger!$C$49,Forudsætninger!$G$49+Forudsætninger!$H$50*(K261-Forudsætninger!$C$49),IF(K261&gt;Forudsætninger!$C$48,Forudsætninger!$G$48+Forudsætninger!$H$49*(K261-Forudsætninger!$C$48),Forudsætninger!$G$48)))*(U261-Forudsætninger!$H$48)</f>
        <v>36.262380091676668</v>
      </c>
      <c r="AC261" s="19">
        <f>IF(K261&gt;Forudsætninger!$C$52,IF(K261&gt;Forudsætninger!$C$53,IF(K261&gt;Forudsætninger!$C$54,Forudsætninger!$E$54,Forudsætninger!$E$53+Forudsætninger!$F$54*(K261-Forudsætninger!$C$53)),Forudsætninger!$E$52+Forudsætninger!$F$53*(K261-Forudsætninger!$C$52)),Forudsætninger!$E$52)+IF(K261&gt;Forudsætninger!$C$54,Forudsætninger!$G$54,IF(K261&gt;Forudsætninger!$C$53,Forudsætninger!$G$53+Forudsætninger!$H$54*(K261-Forudsætninger!$C$53),IF(K261&gt;Forudsætninger!$C$52,Forudsætninger!$G$52+Forudsætninger!$H$53*(K261-Forudsætninger!$C$52),Forudsætninger!$G$52)))*(V261-Forudsætninger!$H$52)</f>
        <v>30.517273691058676</v>
      </c>
      <c r="AD261" s="19">
        <f t="shared" si="114"/>
        <v>7476.5047968771287</v>
      </c>
      <c r="AE261" s="19">
        <f t="shared" si="115"/>
        <v>36.147477963664308</v>
      </c>
      <c r="AF261">
        <f>IF(G261&lt;=Forudsætninger!$C$97,Forudsætninger!$C$98,(IF(G261&lt;=Forudsætninger!$D$97,Forudsætninger!$D$98,IF(G261&lt;=Forudsætninger!$E$97,Forudsætninger!$E$98,IF(G261&lt;=Forudsætninger!$F$97,Forudsætninger!$F$98,IF(G261&lt;=Forudsætninger!$G$97,Forudsætninger!$G$98,IF(G261&lt;=Forudsætninger!$H$97,Forudsætninger!$H$98,IF(G261&lt;=Forudsætninger!$I$97,Forudsætninger!$I$98,Forudsætninger!$I$98))))))))</f>
        <v>3.8</v>
      </c>
      <c r="AG261" s="1">
        <f t="shared" si="125"/>
        <v>4.4000000000000004</v>
      </c>
      <c r="AH261" s="1">
        <f t="shared" ref="AH261:AH324" si="129">AH260+AG261</f>
        <v>799.19999999999709</v>
      </c>
      <c r="AI261" s="1">
        <f t="shared" si="116"/>
        <v>3.0857142857142743</v>
      </c>
      <c r="AJ261" s="20">
        <f>+(W261*Forudsætninger!$C$12)</f>
        <v>900</v>
      </c>
      <c r="AK261" s="20">
        <f>Forudsætninger!$C$17</f>
        <v>250</v>
      </c>
      <c r="AL261" s="20">
        <f>IF(A261&lt;92,Forudsætninger!$C$20,Forudsætninger!$C$21)</f>
        <v>1.0566762728146013</v>
      </c>
      <c r="AM261" s="20">
        <f t="shared" si="126"/>
        <v>542.1846375122733</v>
      </c>
      <c r="AN261" s="19">
        <f>IFERROR(AD261+AJ261-AA261-Z261-AK261-AM261-Forudsætninger!$E$75,-999999)</f>
        <v>1659.0451681400434</v>
      </c>
      <c r="AO261" s="19">
        <f>IFERROR(AN261/(A261+Forudsætninger!$E$74),-999999)</f>
        <v>6.4055797997685078</v>
      </c>
      <c r="AP261" s="19">
        <f>IFERROR(((365/(A261+Forudsætninger!$E$74))*AN261)/(AI261+Forudsætninger!$E$73),-999999)</f>
        <v>731.61628915550273</v>
      </c>
      <c r="AQ261" s="18">
        <f t="shared" si="117"/>
        <v>259</v>
      </c>
      <c r="AR261" s="18">
        <f t="shared" ref="AR261:AR324" si="130">AA261+Z261+AK261+AM261</f>
        <v>6526.2428674004695</v>
      </c>
      <c r="AS261" s="18">
        <f t="shared" si="109"/>
        <v>9.6999999999999993</v>
      </c>
      <c r="AT261" s="50">
        <f t="shared" ref="AT261:AT324" si="131">AN261-AN260</f>
        <v>5.4648473315869524</v>
      </c>
      <c r="AU261" s="50">
        <f t="shared" ref="AU261:AU324" si="132">AO261-AO260</f>
        <v>-3.6462498766720586E-3</v>
      </c>
      <c r="AV261" s="2">
        <f t="shared" ref="AV261:AV324" si="133">AP261-AP260</f>
        <v>-1.585218528222299</v>
      </c>
      <c r="AW261" s="16">
        <f t="shared" si="127"/>
        <v>8.4989567785803732</v>
      </c>
      <c r="AZ261" s="16"/>
      <c r="BA261" s="2"/>
    </row>
    <row r="262" spans="1:58" x14ac:dyDescent="0.25">
      <c r="A262">
        <v>260</v>
      </c>
      <c r="B262" s="1">
        <f>ROUND((A262+Forudsætninger!$E$60)/30.4,1)</f>
        <v>9.6999999999999993</v>
      </c>
      <c r="C262" s="1">
        <f>VLOOKUP((A262+Forudsætninger!$E$60),'Model tilvækst, slagteform, fe'!A:D,4,FALSE)</f>
        <v>421.67830897546742</v>
      </c>
      <c r="D262" s="3">
        <f t="shared" ref="D262:D325" si="134">(C262-C261)*1000</f>
        <v>1147.0724621691488</v>
      </c>
      <c r="E262" s="3">
        <f>(1+Forudsætninger!$E$78)*C262</f>
        <v>387.94404425743005</v>
      </c>
      <c r="F262" s="2">
        <f t="shared" si="118"/>
        <v>0</v>
      </c>
      <c r="G262" s="1">
        <f t="shared" si="110"/>
        <v>387.94404425743005</v>
      </c>
      <c r="H262" s="3">
        <f t="shared" si="119"/>
        <v>1055.3066651956442</v>
      </c>
      <c r="I262" s="3">
        <f t="shared" si="111"/>
        <v>1230.554016374731</v>
      </c>
      <c r="J262" s="1">
        <f>VLOOKUP((A262+Forudsætninger!$E$60),'Model tilvækst, slagteform, fe'!G:K,4,FALSE)*(1+Forudsætninger!$E$79)</f>
        <v>53.470664684786911</v>
      </c>
      <c r="K262" s="17">
        <f t="shared" si="112"/>
        <v>207.43625906949174</v>
      </c>
      <c r="L262" s="17">
        <f t="shared" si="120"/>
        <v>602.8859530446482</v>
      </c>
      <c r="M262" s="3">
        <f>((K262-(('Model tilvækst, slagteform, fe'!$J$9/100)*'Model tilvækst, slagteform, fe'!$D$9))*1000/(A262+Forudsætninger!$E$60))</f>
        <v>632.43868559002863</v>
      </c>
      <c r="N262" s="17">
        <f t="shared" si="121"/>
        <v>1408.7111593808536</v>
      </c>
      <c r="O262" s="19">
        <f>IF( A262&lt;Forudsætninger!$C$14,(G262/100)*Forudsætninger!$C$13,(Forudsætninger!$C$15/1000)*Forudsætninger!$C$13)</f>
        <v>2.5216362876732954</v>
      </c>
      <c r="P262" s="17" cm="1">
        <f t="array" ref="P262">INDEX('Model tilvækst, slagteform, fe'!$P$9:$P$375,MATCH(MIN(ABS('Model tilvækst, slagteform, fe'!$M$9:$M$375-G262)),ABS('Model tilvækst, slagteform, fe'!$M$9:$M$375-G262),0))*(1+Forudsætninger!$E$80)</f>
        <v>7.4858585036388003</v>
      </c>
      <c r="Q262" s="17">
        <f t="shared" si="122"/>
        <v>12.416707448289838</v>
      </c>
      <c r="R262" s="17">
        <f t="shared" si="123"/>
        <v>8.074250652613248</v>
      </c>
      <c r="S262" s="17">
        <f t="shared" si="124"/>
        <v>4.4029922877620162</v>
      </c>
      <c r="T262" s="19">
        <f>(P262)*IF(N262&lt;Forudsætninger!$B$228,IF(N262&lt;Forudsætninger!$B$227,Forudsætninger!$B$225,Forudsætninger!$C$9),Forudsætninger!$C$11)+O262</f>
        <v>20.038545186188088</v>
      </c>
      <c r="U262" s="5">
        <f>Forudsætninger!$E$68+((K262-(Forudsætninger!$E$84)))*0.01</f>
        <v>6.7909263002665865</v>
      </c>
      <c r="V262" s="2">
        <f>U262+Forudsætninger!$E$69</f>
        <v>6.7909263002665865</v>
      </c>
      <c r="W262">
        <f t="shared" si="113"/>
        <v>1</v>
      </c>
      <c r="X262">
        <f>IF(A262+Forudsætninger!$E$60&gt;248,IF(A262+Forudsætninger!$E$60&lt;365,IF(K262&gt;180,IF(K262&lt;260,1,0),0),0),0)</f>
        <v>1</v>
      </c>
      <c r="Y262" s="22">
        <f>IF(X262=0,0,IF('Vækstfunktion, kry kvie'!A262&lt;Forudsætninger!$E$66,Forudsætninger!$E$67+(('Vækstfunktion, kry kvie'!A262-Forudsætninger!$E$66)/7)*Forudsætninger!$E$64,Forudsætninger!$E$67))</f>
        <v>0.98</v>
      </c>
      <c r="Z262" s="19">
        <f t="shared" si="128"/>
        <v>4179.0967750743848</v>
      </c>
      <c r="AA262" s="19">
        <f>Forudsætninger!$E$62+Forudsætninger!$C$16</f>
        <v>1575</v>
      </c>
      <c r="AB262" s="19">
        <f>IF(K262&gt;Forudsætninger!$C$48,IF(K262&gt;Forudsætninger!$C$49,IF(K262&gt;Forudsætninger!$C$50,Forudsætninger!$E$50,Forudsætninger!$E$49+Forudsætninger!$F$50*(K262-Forudsætninger!$C$49)),Forudsætninger!$E$48+Forudsætninger!$F$49*(K262-Forudsætninger!$C$48)),Forudsætninger!$E$48)+IF(K262&gt;Forudsætninger!$C$50,Forudsætninger!$G$50,IF(K262&gt;Forudsætninger!$C$49,Forudsætninger!$G$49+Forudsætninger!$H$50*(K262-Forudsætninger!$C$49),IF(K262&gt;Forudsætninger!$C$48,Forudsætninger!$G$48+Forudsætninger!$H$49*(K262-Forudsætninger!$C$48),Forudsætninger!$G$48)))*(U262-Forudsætninger!$H$48)</f>
        <v>36.285088795908024</v>
      </c>
      <c r="AC262" s="19">
        <f>IF(K262&gt;Forudsætninger!$C$52,IF(K262&gt;Forudsætninger!$C$53,IF(K262&gt;Forudsætninger!$C$54,Forudsætninger!$E$54,Forudsætninger!$E$53+Forudsætninger!$F$54*(K262-Forudsætninger!$C$53)),Forudsætninger!$E$52+Forudsætninger!$F$53*(K262-Forudsætninger!$C$52)),Forudsætninger!$E$52)+IF(K262&gt;Forudsætninger!$C$54,Forudsætninger!$G$54,IF(K262&gt;Forudsætninger!$C$53,Forudsætninger!$G$53+Forudsætninger!$H$54*(K262-Forudsætninger!$C$53),IF(K262&gt;Forudsætninger!$C$52,Forudsætninger!$G$52+Forudsætninger!$H$53*(K262-Forudsætninger!$C$52),Forudsætninger!$G$52)))*(V262-Forudsætninger!$H$52)</f>
        <v>30.533778623432973</v>
      </c>
      <c r="AD262" s="19">
        <f t="shared" si="114"/>
        <v>7502.9824744889575</v>
      </c>
      <c r="AE262" s="19">
        <f t="shared" si="115"/>
        <v>36.170062592458521</v>
      </c>
      <c r="AF262">
        <f>IF(G262&lt;=Forudsætninger!$C$97,Forudsætninger!$C$98,(IF(G262&lt;=Forudsætninger!$D$97,Forudsætninger!$D$98,IF(G262&lt;=Forudsætninger!$E$97,Forudsætninger!$E$98,IF(G262&lt;=Forudsætninger!$F$97,Forudsætninger!$F$98,IF(G262&lt;=Forudsætninger!$G$97,Forudsætninger!$G$98,IF(G262&lt;=Forudsætninger!$H$97,Forudsætninger!$H$98,IF(G262&lt;=Forudsætninger!$I$97,Forudsætninger!$I$98,Forudsætninger!$I$98))))))))</f>
        <v>3.8</v>
      </c>
      <c r="AG262" s="1">
        <f t="shared" si="125"/>
        <v>4.4000000000000004</v>
      </c>
      <c r="AH262" s="1">
        <f t="shared" si="129"/>
        <v>803.59999999999707</v>
      </c>
      <c r="AI262" s="1">
        <f t="shared" si="116"/>
        <v>3.0907692307692196</v>
      </c>
      <c r="AJ262" s="20">
        <f>+(W262*Forudsætninger!$C$12)</f>
        <v>900</v>
      </c>
      <c r="AK262" s="20">
        <f>Forudsætninger!$C$17</f>
        <v>250</v>
      </c>
      <c r="AL262" s="20">
        <f>IF(A262&lt;92,Forudsætninger!$C$20,Forudsætninger!$C$21)</f>
        <v>1.0566762728146013</v>
      </c>
      <c r="AM262" s="20">
        <f t="shared" si="126"/>
        <v>543.24131378508787</v>
      </c>
      <c r="AN262" s="19">
        <f>IFERROR(AD262+AJ262-AA262-Z262-AK262-AM262-Forudsætninger!$E$75,-999999)</f>
        <v>1664.427624292869</v>
      </c>
      <c r="AO262" s="19">
        <f>IFERROR(AN262/(A262+Forudsætninger!$E$74),-999999)</f>
        <v>6.4016447088187274</v>
      </c>
      <c r="AP262" s="19">
        <f>IFERROR(((365/(A262+Forudsætninger!$E$74))*AN262)/(AI262+Forudsætninger!$E$73),-999999)</f>
        <v>730.01211591792753</v>
      </c>
      <c r="AQ262" s="18">
        <f t="shared" si="117"/>
        <v>260</v>
      </c>
      <c r="AR262" s="18">
        <f t="shared" si="130"/>
        <v>6547.3380888594729</v>
      </c>
      <c r="AS262" s="18">
        <f t="shared" si="109"/>
        <v>9.6999999999999993</v>
      </c>
      <c r="AT262" s="50">
        <f t="shared" si="131"/>
        <v>5.3824561528256254</v>
      </c>
      <c r="AU262" s="50">
        <f t="shared" si="132"/>
        <v>-3.9350909497803954E-3</v>
      </c>
      <c r="AV262" s="2">
        <f t="shared" si="133"/>
        <v>-1.6041732375751963</v>
      </c>
      <c r="AW262" s="16">
        <f t="shared" si="127"/>
        <v>8.4910343772229115</v>
      </c>
      <c r="AZ262" s="16"/>
      <c r="BA262" s="2"/>
    </row>
    <row r="263" spans="1:58" x14ac:dyDescent="0.25">
      <c r="A263">
        <v>261</v>
      </c>
      <c r="B263" s="1">
        <f>ROUND((A263+Forudsætninger!$E$60)/30.4,1)</f>
        <v>9.8000000000000007</v>
      </c>
      <c r="C263" s="1">
        <f>VLOOKUP((A263+Forudsætninger!$E$60),'Model tilvækst, slagteform, fe'!A:D,4,FALSE)</f>
        <v>422.8205328349967</v>
      </c>
      <c r="D263" s="3">
        <f t="shared" si="134"/>
        <v>1142.2238595292811</v>
      </c>
      <c r="E263" s="3">
        <f>(1+Forudsætninger!$E$78)*C263</f>
        <v>388.99489020819698</v>
      </c>
      <c r="F263" s="2">
        <f t="shared" si="118"/>
        <v>0</v>
      </c>
      <c r="G263" s="1">
        <f t="shared" si="110"/>
        <v>388.99489020819698</v>
      </c>
      <c r="H263" s="3">
        <f t="shared" si="119"/>
        <v>1050.8459507669272</v>
      </c>
      <c r="I263" s="3">
        <f t="shared" si="111"/>
        <v>1229.8654797248928</v>
      </c>
      <c r="J263" s="1">
        <f>VLOOKUP((A263+Forudsætninger!$E$60),'Model tilvækst, slagteform, fe'!G:K,4,FALSE)*(1+Forudsætninger!$E$79)</f>
        <v>53.480622406064811</v>
      </c>
      <c r="K263" s="17">
        <f t="shared" si="112"/>
        <v>208.03688841113222</v>
      </c>
      <c r="L263" s="17">
        <f t="shared" si="120"/>
        <v>600.62934164048443</v>
      </c>
      <c r="M263" s="3">
        <f>((K263-(('Model tilvækst, slagteform, fe'!$J$9/100)*'Model tilvækst, slagteform, fe'!$D$9))*1000/(A263+Forudsætninger!$E$60))</f>
        <v>632.33158342184845</v>
      </c>
      <c r="N263" s="17">
        <f t="shared" si="121"/>
        <v>1416.1983743578896</v>
      </c>
      <c r="O263" s="19">
        <f>IF( A263&lt;Forudsætninger!$C$14,(G263/100)*Forudsætninger!$C$13,(Forudsætninger!$C$15/1000)*Forudsætninger!$C$13)</f>
        <v>2.5284667863532806</v>
      </c>
      <c r="P263" s="17" cm="1">
        <f t="array" ref="P263">INDEX('Model tilvækst, slagteform, fe'!$P$9:$P$375,MATCH(MIN(ABS('Model tilvækst, slagteform, fe'!$M$9:$M$375-G263)),ABS('Model tilvækst, slagteform, fe'!$M$9:$M$375-G263),0))*(1+Forudsætninger!$E$80)</f>
        <v>7.487214977035948</v>
      </c>
      <c r="Q263" s="17">
        <f t="shared" si="122"/>
        <v>12.465616409258825</v>
      </c>
      <c r="R263" s="17">
        <f t="shared" si="123"/>
        <v>8.0893165113911802</v>
      </c>
      <c r="S263" s="17">
        <f t="shared" si="124"/>
        <v>4.4119031721637212</v>
      </c>
      <c r="T263" s="19">
        <f>(P263)*IF(N263&lt;Forudsætninger!$B$228,IF(N263&lt;Forudsætninger!$B$227,Forudsætninger!$B$225,Forudsætninger!$C$9),Forudsætninger!$C$11)+O263</f>
        <v>20.048549832617397</v>
      </c>
      <c r="U263" s="5">
        <f>Forudsætninger!$E$68+((K263-(Forudsætninger!$E$84)))*0.01</f>
        <v>6.7969325936829916</v>
      </c>
      <c r="V263" s="2">
        <f>U263+Forudsætninger!$E$69</f>
        <v>6.7969325936829916</v>
      </c>
      <c r="W263">
        <f t="shared" si="113"/>
        <v>1</v>
      </c>
      <c r="X263">
        <f>IF(A263+Forudsætninger!$E$60&gt;248,IF(A263+Forudsætninger!$E$60&lt;365,IF(K263&gt;180,IF(K263&lt;260,1,0),0),0),0)</f>
        <v>1</v>
      </c>
      <c r="Y263" s="22">
        <f>IF(X263=0,0,IF('Vækstfunktion, kry kvie'!A263&lt;Forudsætninger!$E$66,Forudsætninger!$E$67+(('Vækstfunktion, kry kvie'!A263-Forudsætninger!$E$66)/7)*Forudsætninger!$E$64,Forudsætninger!$E$67))</f>
        <v>0.98</v>
      </c>
      <c r="Z263" s="19">
        <f t="shared" si="128"/>
        <v>4199.1453249070019</v>
      </c>
      <c r="AA263" s="19">
        <f>Forudsætninger!$E$62+Forudsætninger!$C$16</f>
        <v>1575</v>
      </c>
      <c r="AB263" s="19">
        <f>IF(K263&gt;Forudsætninger!$C$48,IF(K263&gt;Forudsætninger!$C$49,IF(K263&gt;Forudsætninger!$C$50,Forudsætninger!$E$50,Forudsætninger!$E$49+Forudsætninger!$F$50*(K263-Forudsætninger!$C$49)),Forudsætninger!$E$48+Forudsætninger!$F$49*(K263-Forudsætninger!$C$48)),Forudsætninger!$E$48)+IF(K263&gt;Forudsætninger!$C$50,Forudsætninger!$G$50,IF(K263&gt;Forudsætninger!$C$49,Forudsætninger!$G$49+Forudsætninger!$H$50*(K263-Forudsætninger!$C$49),IF(K263&gt;Forudsætninger!$C$48,Forudsætninger!$G$48+Forudsætninger!$H$49*(K263-Forudsætninger!$C$48),Forudsætninger!$G$48)))*(U263-Forudsætninger!$H$48)</f>
        <v>36.307712501109819</v>
      </c>
      <c r="AC263" s="19">
        <f>IF(K263&gt;Forudsætninger!$C$52,IF(K263&gt;Forudsætninger!$C$53,IF(K263&gt;Forudsætninger!$C$54,Forudsætninger!$E$54,Forudsætninger!$E$53+Forudsætninger!$F$54*(K263-Forudsætninger!$C$53)),Forudsætninger!$E$52+Forudsætninger!$F$53*(K263-Forudsætninger!$C$52)),Forudsætninger!$E$52)+IF(K263&gt;Forudsætninger!$C$54,Forudsætninger!$G$54,IF(K263&gt;Forudsætninger!$C$53,Forudsætninger!$G$53+Forudsætninger!$H$54*(K263-Forudsætninger!$C$53),IF(K263&gt;Forudsætninger!$C$52,Forudsætninger!$G$52+Forudsætninger!$H$53*(K263-Forudsætninger!$C$52),Forudsætninger!$G$52)))*(V263-Forudsætninger!$H$52)</f>
        <v>30.550206717870473</v>
      </c>
      <c r="AD263" s="19">
        <f t="shared" si="114"/>
        <v>7529.3880622937695</v>
      </c>
      <c r="AE263" s="19">
        <f t="shared" si="115"/>
        <v>36.192562385445029</v>
      </c>
      <c r="AF263">
        <f>IF(G263&lt;=Forudsætninger!$C$97,Forudsætninger!$C$98,(IF(G263&lt;=Forudsætninger!$D$97,Forudsætninger!$D$98,IF(G263&lt;=Forudsætninger!$E$97,Forudsætninger!$E$98,IF(G263&lt;=Forudsætninger!$F$97,Forudsætninger!$F$98,IF(G263&lt;=Forudsætninger!$G$97,Forudsætninger!$G$98,IF(G263&lt;=Forudsætninger!$H$97,Forudsætninger!$H$98,IF(G263&lt;=Forudsætninger!$I$97,Forudsætninger!$I$98,Forudsætninger!$I$98))))))))</f>
        <v>3.8</v>
      </c>
      <c r="AG263" s="1">
        <f t="shared" si="125"/>
        <v>4.4000000000000004</v>
      </c>
      <c r="AH263" s="1">
        <f t="shared" si="129"/>
        <v>807.99999999999704</v>
      </c>
      <c r="AI263" s="1">
        <f t="shared" si="116"/>
        <v>3.0957854406130156</v>
      </c>
      <c r="AJ263" s="20">
        <f>+(W263*Forudsætninger!$C$12)</f>
        <v>900</v>
      </c>
      <c r="AK263" s="20">
        <f>Forudsætninger!$C$17</f>
        <v>250</v>
      </c>
      <c r="AL263" s="20">
        <f>IF(A263&lt;92,Forudsætninger!$C$20,Forudsætninger!$C$21)</f>
        <v>1.0566762728146013</v>
      </c>
      <c r="AM263" s="20">
        <f t="shared" si="126"/>
        <v>544.29799005790244</v>
      </c>
      <c r="AN263" s="19">
        <f>IFERROR(AD263+AJ263-AA263-Z263-AK263-AM263-Forudsætninger!$E$75,-999999)</f>
        <v>1669.7279859922485</v>
      </c>
      <c r="AO263" s="19">
        <f>IFERROR(AN263/(A263+Forudsætninger!$E$74),-999999)</f>
        <v>6.3974252336867758</v>
      </c>
      <c r="AP263" s="19">
        <f>IFERROR(((365/(A263+Forudsætninger!$E$74))*AN263)/(AI263+Forudsætninger!$E$73),-999999)</f>
        <v>728.38942391888804</v>
      </c>
      <c r="AQ263" s="18">
        <f t="shared" si="117"/>
        <v>261</v>
      </c>
      <c r="AR263" s="18">
        <f t="shared" si="130"/>
        <v>6568.4433149649039</v>
      </c>
      <c r="AS263" s="18">
        <f t="shared" si="109"/>
        <v>9.8000000000000007</v>
      </c>
      <c r="AT263" s="50">
        <f t="shared" si="131"/>
        <v>5.3003616993794367</v>
      </c>
      <c r="AU263" s="50">
        <f t="shared" si="132"/>
        <v>-4.2194751319515333E-3</v>
      </c>
      <c r="AV263" s="2">
        <f t="shared" si="133"/>
        <v>-1.622691999039489</v>
      </c>
      <c r="AW263" s="16">
        <f t="shared" si="127"/>
        <v>8.4828581457860182</v>
      </c>
      <c r="AZ263" s="16"/>
      <c r="BA263" s="2"/>
    </row>
    <row r="264" spans="1:58" x14ac:dyDescent="0.25">
      <c r="A264">
        <v>262</v>
      </c>
      <c r="B264" s="1">
        <f>ROUND((A264+Forudsætninger!$E$60)/30.4,1)</f>
        <v>9.8000000000000007</v>
      </c>
      <c r="C264" s="1">
        <f>VLOOKUP((A264+Forudsætninger!$E$60),'Model tilvækst, slagteform, fe'!A:D,4,FALSE)</f>
        <v>423.95791152799779</v>
      </c>
      <c r="D264" s="3">
        <f t="shared" si="134"/>
        <v>1137.3786930010965</v>
      </c>
      <c r="E264" s="3">
        <f>(1+Forudsætninger!$E$78)*C264</f>
        <v>390.04127860575801</v>
      </c>
      <c r="F264" s="2">
        <f t="shared" si="118"/>
        <v>0</v>
      </c>
      <c r="G264" s="1">
        <f t="shared" si="110"/>
        <v>390.04127860575801</v>
      </c>
      <c r="H264" s="3">
        <f t="shared" si="119"/>
        <v>1046.3883975610315</v>
      </c>
      <c r="I264" s="3">
        <f t="shared" si="111"/>
        <v>1229.1651855181603</v>
      </c>
      <c r="J264" s="1">
        <f>VLOOKUP((A264+Forudsætninger!$E$60),'Model tilvækst, slagteform, fe'!G:K,4,FALSE)*(1+Forudsætninger!$E$79)</f>
        <v>53.490563074419299</v>
      </c>
      <c r="K264" s="17">
        <f t="shared" si="112"/>
        <v>208.63527614888449</v>
      </c>
      <c r="L264" s="17">
        <f t="shared" si="120"/>
        <v>598.38773775226173</v>
      </c>
      <c r="M264" s="3">
        <f>((K264-(('Model tilvækst, slagteform, fe'!$J$9/100)*'Model tilvækst, slagteform, fe'!$D$9))*1000/(A264+Forudsætninger!$E$60))</f>
        <v>632.21767789946728</v>
      </c>
      <c r="N264" s="17">
        <f t="shared" si="121"/>
        <v>1423.6869786170814</v>
      </c>
      <c r="O264" s="19">
        <f>IF( A264&lt;Forudsætninger!$C$14,(G264/100)*Forudsætninger!$C$13,(Forudsætninger!$C$15/1000)*Forudsætninger!$C$13)</f>
        <v>2.5352683109374272</v>
      </c>
      <c r="P264" s="17" cm="1">
        <f t="array" ref="P264">INDEX('Model tilvækst, slagteform, fe'!$P$9:$P$375,MATCH(MIN(ABS('Model tilvækst, slagteform, fe'!$M$9:$M$375-G264)),ABS('Model tilvækst, slagteform, fe'!$M$9:$M$375-G264),0))*(1+Forudsætninger!$E$80)</f>
        <v>7.4886042591918045</v>
      </c>
      <c r="Q264" s="17">
        <f t="shared" si="122"/>
        <v>12.514635221840322</v>
      </c>
      <c r="R264" s="17">
        <f t="shared" si="123"/>
        <v>8.1043906704771587</v>
      </c>
      <c r="S264" s="17">
        <f t="shared" si="124"/>
        <v>4.4208214076803332</v>
      </c>
      <c r="T264" s="19">
        <f>(P264)*IF(N264&lt;Forudsætninger!$B$228,IF(N264&lt;Forudsætninger!$B$227,Forudsætninger!$B$225,Forudsætninger!$C$9),Forudsætninger!$C$11)+O264</f>
        <v>20.058602277446248</v>
      </c>
      <c r="U264" s="5">
        <f>Forudsætninger!$E$68+((K264-(Forudsætninger!$E$84)))*0.01</f>
        <v>6.8029164710605139</v>
      </c>
      <c r="V264" s="2">
        <f>U264+Forudsætninger!$E$69</f>
        <v>6.8029164710605139</v>
      </c>
      <c r="W264">
        <f t="shared" si="113"/>
        <v>1</v>
      </c>
      <c r="X264">
        <f>IF(A264+Forudsætninger!$E$60&gt;248,IF(A264+Forudsætninger!$E$60&lt;365,IF(K264&gt;180,IF(K264&lt;260,1,0),0),0),0)</f>
        <v>1</v>
      </c>
      <c r="Y264" s="22">
        <f>IF(X264=0,0,IF('Vækstfunktion, kry kvie'!A264&lt;Forudsætninger!$E$66,Forudsætninger!$E$67+(('Vækstfunktion, kry kvie'!A264-Forudsætninger!$E$66)/7)*Forudsætninger!$E$64,Forudsætninger!$E$67))</f>
        <v>0.98</v>
      </c>
      <c r="Z264" s="19">
        <f t="shared" si="128"/>
        <v>4219.2039271844478</v>
      </c>
      <c r="AA264" s="19">
        <f>Forudsætninger!$E$62+Forudsætninger!$C$16</f>
        <v>1575</v>
      </c>
      <c r="AB264" s="19">
        <f>IF(K264&gt;Forudsætninger!$C$48,IF(K264&gt;Forudsætninger!$C$49,IF(K264&gt;Forudsætninger!$C$50,Forudsætninger!$E$50,Forudsætninger!$E$49+Forudsætninger!$F$50*(K264-Forudsætninger!$C$49)),Forudsætninger!$E$48+Forudsætninger!$F$49*(K264-Forudsætninger!$C$48)),Forudsætninger!$E$48)+IF(K264&gt;Forudsætninger!$C$50,Forudsætninger!$G$50,IF(K264&gt;Forudsætninger!$C$49,Forudsætninger!$G$49+Forudsætninger!$H$50*(K264-Forudsætninger!$C$49),IF(K264&gt;Forudsætninger!$C$48,Forudsætninger!$G$48+Forudsætninger!$H$49*(K264-Forudsætninger!$C$48),Forudsætninger!$G$48)))*(U264-Forudsætninger!$H$48)</f>
        <v>36.330251772565155</v>
      </c>
      <c r="AC264" s="19">
        <f>IF(K264&gt;Forudsætninger!$C$52,IF(K264&gt;Forudsætninger!$C$53,IF(K264&gt;Forudsætninger!$C$54,Forudsætninger!$E$54,Forudsætninger!$E$53+Forudsætninger!$F$54*(K264-Forudsætninger!$C$53)),Forudsætninger!$E$52+Forudsætninger!$F$53*(K264-Forudsætninger!$C$52)),Forudsætninger!$E$52)+IF(K264&gt;Forudsætninger!$C$54,Forudsætninger!$G$54,IF(K264&gt;Forudsætninger!$C$53,Forudsætninger!$G$53+Forudsætninger!$H$54*(K264-Forudsætninger!$C$53),IF(K264&gt;Forudsætninger!$C$52,Forudsætninger!$G$52+Forudsætninger!$H$53*(K264-Forudsætninger!$C$52),Forudsætninger!$G$52)))*(V264-Forudsætninger!$H$52)</f>
        <v>30.566558553710184</v>
      </c>
      <c r="AD264" s="19">
        <f t="shared" si="114"/>
        <v>7555.7219166005652</v>
      </c>
      <c r="AE264" s="19">
        <f t="shared" si="115"/>
        <v>36.214977908188054</v>
      </c>
      <c r="AF264">
        <f>IF(G264&lt;=Forudsætninger!$C$97,Forudsætninger!$C$98,(IF(G264&lt;=Forudsætninger!$D$97,Forudsætninger!$D$98,IF(G264&lt;=Forudsætninger!$E$97,Forudsætninger!$E$98,IF(G264&lt;=Forudsætninger!$F$97,Forudsætninger!$F$98,IF(G264&lt;=Forudsætninger!$G$97,Forudsætninger!$G$98,IF(G264&lt;=Forudsætninger!$H$97,Forudsætninger!$H$98,IF(G264&lt;=Forudsætninger!$I$97,Forudsætninger!$I$98,Forudsætninger!$I$98))))))))</f>
        <v>3.8</v>
      </c>
      <c r="AG264" s="1">
        <f t="shared" si="125"/>
        <v>4.4000000000000004</v>
      </c>
      <c r="AH264" s="1">
        <f t="shared" si="129"/>
        <v>812.39999999999702</v>
      </c>
      <c r="AI264" s="1">
        <f t="shared" si="116"/>
        <v>3.1007633587786145</v>
      </c>
      <c r="AJ264" s="20">
        <f>+(W264*Forudsætninger!$C$12)</f>
        <v>900</v>
      </c>
      <c r="AK264" s="20">
        <f>Forudsætninger!$C$17</f>
        <v>250</v>
      </c>
      <c r="AL264" s="20">
        <f>IF(A264&lt;92,Forudsætninger!$C$20,Forudsætninger!$C$21)</f>
        <v>1.0566762728146013</v>
      </c>
      <c r="AM264" s="20">
        <f t="shared" si="126"/>
        <v>545.35466633071701</v>
      </c>
      <c r="AN264" s="19">
        <f>IFERROR(AD264+AJ264-AA264-Z264-AK264-AM264-Forudsætninger!$E$75,-999999)</f>
        <v>1674.9465617487847</v>
      </c>
      <c r="AO264" s="19">
        <f>IFERROR(AN264/(A264+Forudsætninger!$E$74),-999999)</f>
        <v>6.3929258082014684</v>
      </c>
      <c r="AP264" s="19">
        <f>IFERROR(((365/(A264+Forudsætninger!$E$74))*AN264)/(AI264+Forudsætninger!$E$73),-999999)</f>
        <v>726.74864487091202</v>
      </c>
      <c r="AQ264" s="18">
        <f t="shared" si="117"/>
        <v>262</v>
      </c>
      <c r="AR264" s="18">
        <f t="shared" si="130"/>
        <v>6589.5585935151648</v>
      </c>
      <c r="AS264" s="18">
        <f t="shared" si="109"/>
        <v>9.8000000000000007</v>
      </c>
      <c r="AT264" s="50">
        <f t="shared" si="131"/>
        <v>5.218575756536211</v>
      </c>
      <c r="AU264" s="50">
        <f t="shared" si="132"/>
        <v>-4.4994254853074622E-3</v>
      </c>
      <c r="AV264" s="2">
        <f t="shared" si="133"/>
        <v>-1.6407790479760251</v>
      </c>
      <c r="AW264" s="16">
        <f t="shared" si="127"/>
        <v>8.4744321682423731</v>
      </c>
      <c r="AZ264" s="16"/>
      <c r="BA264" s="2"/>
    </row>
    <row r="265" spans="1:58" x14ac:dyDescent="0.25">
      <c r="A265">
        <v>263</v>
      </c>
      <c r="B265" s="1">
        <f>ROUND((A265+Forudsætninger!$E$60)/30.4,1)</f>
        <v>9.8000000000000007</v>
      </c>
      <c r="C265" s="1">
        <f>VLOOKUP((A265+Forudsætninger!$E$60),'Model tilvækst, slagteform, fe'!A:D,4,FALSE)</f>
        <v>425.09044907560286</v>
      </c>
      <c r="D265" s="3">
        <f t="shared" si="134"/>
        <v>1132.5375476050681</v>
      </c>
      <c r="E265" s="3">
        <f>(1+Forudsætninger!$E$78)*C265</f>
        <v>391.08321314955464</v>
      </c>
      <c r="F265" s="2">
        <f t="shared" si="118"/>
        <v>0</v>
      </c>
      <c r="G265" s="1">
        <f t="shared" si="110"/>
        <v>391.08321314955464</v>
      </c>
      <c r="H265" s="3">
        <f t="shared" si="119"/>
        <v>1041.9345437966285</v>
      </c>
      <c r="I265" s="3">
        <f t="shared" si="111"/>
        <v>1228.4532819374701</v>
      </c>
      <c r="J265" s="1">
        <f>VLOOKUP((A265+Forudsætninger!$E$60),'Model tilvækst, slagteform, fe'!G:K,4,FALSE)*(1+Forudsætninger!$E$79)</f>
        <v>53.500490615195083</v>
      </c>
      <c r="K265" s="17">
        <f t="shared" si="112"/>
        <v>209.23143774868086</v>
      </c>
      <c r="L265" s="17">
        <f t="shared" si="120"/>
        <v>596.16159979637473</v>
      </c>
      <c r="M265" s="3">
        <f>((K265-(('Model tilvækst, slagteform, fe'!$J$9/100)*'Model tilvækst, slagteform, fe'!$D$9))*1000/(A265+Forudsætninger!$E$60))</f>
        <v>632.09708900949033</v>
      </c>
      <c r="N265" s="17">
        <f t="shared" si="121"/>
        <v>1431.1755828762732</v>
      </c>
      <c r="O265" s="19">
        <f>IF( A265&lt;Forudsætninger!$C$14,(G265/100)*Forudsætninger!$C$13,(Forudsætninger!$C$15/1000)*Forudsætninger!$C$13)</f>
        <v>2.5420408854721055</v>
      </c>
      <c r="P265" s="17" cm="1">
        <f t="array" ref="P265">INDEX('Model tilvækst, slagteform, fe'!$P$9:$P$375,MATCH(MIN(ABS('Model tilvækst, slagteform, fe'!$M$9:$M$375-G265)),ABS('Model tilvækst, slagteform, fe'!$M$9:$M$375-G265),0))*(1+Forudsætninger!$E$80)</f>
        <v>7.4886042591918045</v>
      </c>
      <c r="Q265" s="17">
        <f t="shared" si="122"/>
        <v>12.561366350582823</v>
      </c>
      <c r="R265" s="17">
        <f t="shared" si="123"/>
        <v>8.1194650262271217</v>
      </c>
      <c r="S265" s="17">
        <f t="shared" si="124"/>
        <v>4.4297429412211047</v>
      </c>
      <c r="T265" s="19">
        <f>(P265)*IF(N265&lt;Forudsætninger!$B$228,IF(N265&lt;Forudsætninger!$B$227,Forudsætninger!$B$225,Forudsætninger!$C$9),Forudsætninger!$C$11)+O265</f>
        <v>20.065374851980927</v>
      </c>
      <c r="U265" s="5">
        <f>Forudsætninger!$E$68+((K265-(Forudsætninger!$E$84)))*0.01</f>
        <v>6.8088780870584777</v>
      </c>
      <c r="V265" s="2">
        <f>U265+Forudsætninger!$E$69</f>
        <v>6.8088780870584777</v>
      </c>
      <c r="W265">
        <f t="shared" si="113"/>
        <v>1</v>
      </c>
      <c r="X265">
        <f>IF(A265+Forudsætninger!$E$60&gt;248,IF(A265+Forudsætninger!$E$60&lt;365,IF(K265&gt;180,IF(K265&lt;260,1,0),0),0),0)</f>
        <v>1</v>
      </c>
      <c r="Y265" s="22">
        <f>IF(X265=0,0,IF('Vækstfunktion, kry kvie'!A265&lt;Forudsætninger!$E$66,Forudsætninger!$E$67+(('Vækstfunktion, kry kvie'!A265-Forudsætninger!$E$66)/7)*Forudsætninger!$E$64,Forudsætninger!$E$67))</f>
        <v>0.98</v>
      </c>
      <c r="Z265" s="19">
        <f t="shared" si="128"/>
        <v>4239.2693020364286</v>
      </c>
      <c r="AA265" s="19">
        <f>Forudsætninger!$E$62+Forudsætninger!$C$16</f>
        <v>1575</v>
      </c>
      <c r="AB265" s="19">
        <f>IF(K265&gt;Forudsætninger!$C$48,IF(K265&gt;Forudsætninger!$C$49,IF(K265&gt;Forudsætninger!$C$50,Forudsætninger!$E$50,Forudsætninger!$E$49+Forudsætninger!$F$50*(K265-Forudsætninger!$C$49)),Forudsætninger!$E$48+Forudsætninger!$F$49*(K265-Forudsætninger!$C$48)),Forudsætninger!$E$48)+IF(K265&gt;Forudsætninger!$C$50,Forudsætninger!$G$50,IF(K265&gt;Forudsætninger!$C$49,Forudsætninger!$G$49+Forudsætninger!$H$50*(K265-Forudsætninger!$C$49),IF(K265&gt;Forudsætninger!$C$48,Forudsætninger!$G$48+Forudsætninger!$H$49*(K265-Forudsætninger!$C$48),Forudsætninger!$G$48)))*(U265-Forudsætninger!$H$48)</f>
        <v>36.352707192824148</v>
      </c>
      <c r="AC265" s="19">
        <f>IF(K265&gt;Forudsætninger!$C$52,IF(K265&gt;Forudsætninger!$C$53,IF(K265&gt;Forudsætninger!$C$54,Forudsætninger!$E$54,Forudsætninger!$E$53+Forudsætninger!$F$54*(K265-Forudsætninger!$C$53)),Forudsætninger!$E$52+Forudsætninger!$F$53*(K265-Forudsætninger!$C$52)),Forudsætninger!$E$52)+IF(K265&gt;Forudsætninger!$C$54,Forudsætninger!$G$54,IF(K265&gt;Forudsætninger!$C$53,Forudsætninger!$G$53+Forudsætninger!$H$54*(K265-Forudsætninger!$C$53),IF(K265&gt;Forudsætninger!$C$52,Forudsætninger!$G$52+Forudsætninger!$H$53*(K265-Forudsætninger!$C$52),Forudsætninger!$G$52)))*(V265-Forudsætninger!$H$52)</f>
        <v>30.58283472067329</v>
      </c>
      <c r="AD265" s="19">
        <f t="shared" si="114"/>
        <v>7581.9844177519162</v>
      </c>
      <c r="AE265" s="19">
        <f t="shared" si="115"/>
        <v>36.237309743381132</v>
      </c>
      <c r="AF265">
        <f>IF(G265&lt;=Forudsætninger!$C$97,Forudsætninger!$C$98,(IF(G265&lt;=Forudsætninger!$D$97,Forudsætninger!$D$98,IF(G265&lt;=Forudsætninger!$E$97,Forudsætninger!$E$98,IF(G265&lt;=Forudsætninger!$F$97,Forudsætninger!$F$98,IF(G265&lt;=Forudsætninger!$G$97,Forudsætninger!$G$98,IF(G265&lt;=Forudsætninger!$H$97,Forudsætninger!$H$98,IF(G265&lt;=Forudsætninger!$I$97,Forudsætninger!$I$98,Forudsætninger!$I$98))))))))</f>
        <v>3.8</v>
      </c>
      <c r="AG265" s="1">
        <f t="shared" si="125"/>
        <v>4.4000000000000004</v>
      </c>
      <c r="AH265" s="1">
        <f t="shared" si="129"/>
        <v>816.799999999997</v>
      </c>
      <c r="AI265" s="1">
        <f t="shared" si="116"/>
        <v>3.1057034220532205</v>
      </c>
      <c r="AJ265" s="20">
        <f>+(W265*Forudsætninger!$C$12)</f>
        <v>900</v>
      </c>
      <c r="AK265" s="20">
        <f>Forudsætninger!$C$17</f>
        <v>250</v>
      </c>
      <c r="AL265" s="20">
        <f>IF(A265&lt;92,Forudsætninger!$C$20,Forudsætninger!$C$21)</f>
        <v>1.0566762728146013</v>
      </c>
      <c r="AM265" s="20">
        <f t="shared" si="126"/>
        <v>546.41134260353158</v>
      </c>
      <c r="AN265" s="19">
        <f>IFERROR(AD265+AJ265-AA265-Z265-AK265-AM265-Forudsætninger!$E$75,-999999)</f>
        <v>1680.0870117753395</v>
      </c>
      <c r="AO265" s="19">
        <f>IFERROR(AN265/(A265+Forudsætninger!$E$74),-999999)</f>
        <v>6.3881635428720136</v>
      </c>
      <c r="AP265" s="19">
        <f>IFERROR(((365/(A265+Forudsætninger!$E$74))*AN265)/(AI265+Forudsætninger!$E$73),-999999)</f>
        <v>725.09164780485639</v>
      </c>
      <c r="AQ265" s="18">
        <f t="shared" si="117"/>
        <v>263</v>
      </c>
      <c r="AR265" s="18">
        <f t="shared" si="130"/>
        <v>6610.6806446399605</v>
      </c>
      <c r="AS265" s="18">
        <f t="shared" si="109"/>
        <v>9.8000000000000007</v>
      </c>
      <c r="AT265" s="50">
        <f t="shared" si="131"/>
        <v>5.140450026554845</v>
      </c>
      <c r="AU265" s="50">
        <f t="shared" si="132"/>
        <v>-4.7622653294547845E-3</v>
      </c>
      <c r="AV265" s="2">
        <f t="shared" si="133"/>
        <v>-1.6569970660556237</v>
      </c>
      <c r="AW265" s="16">
        <f t="shared" si="127"/>
        <v>8.4657732105660504</v>
      </c>
      <c r="AZ265" s="16"/>
      <c r="BA265" s="2"/>
    </row>
    <row r="266" spans="1:58" x14ac:dyDescent="0.25">
      <c r="A266">
        <v>264</v>
      </c>
      <c r="B266" s="1">
        <f>ROUND((A266+Forudsætninger!$E$60)/30.4,1)</f>
        <v>9.9</v>
      </c>
      <c r="C266" s="1">
        <f>VLOOKUP((A266+Forudsætninger!$E$60),'Model tilvækst, slagteform, fe'!A:D,4,FALSE)</f>
        <v>426.21815008396482</v>
      </c>
      <c r="D266" s="3">
        <f t="shared" si="134"/>
        <v>1127.701008361953</v>
      </c>
      <c r="E266" s="3">
        <f>(1+Forudsætninger!$E$78)*C266</f>
        <v>392.12069807724765</v>
      </c>
      <c r="F266" s="2">
        <f t="shared" si="118"/>
        <v>0</v>
      </c>
      <c r="G266" s="1">
        <f t="shared" si="110"/>
        <v>392.12069807724765</v>
      </c>
      <c r="H266" s="3">
        <f t="shared" si="119"/>
        <v>1037.4849276930149</v>
      </c>
      <c r="I266" s="3">
        <f t="shared" si="111"/>
        <v>1227.7299169592713</v>
      </c>
      <c r="J266" s="1">
        <f>VLOOKUP((A266+Forudsætninger!$E$60),'Model tilvækst, slagteform, fe'!G:K,4,FALSE)*(1+Forudsætninger!$E$79)</f>
        <v>53.510408953736864</v>
      </c>
      <c r="K266" s="17">
        <f t="shared" si="112"/>
        <v>209.82538913338303</v>
      </c>
      <c r="L266" s="17">
        <f t="shared" si="120"/>
        <v>593.9513847021658</v>
      </c>
      <c r="M266" s="3">
        <f>((K266-(('Model tilvækst, slagteform, fe'!$J$9/100)*'Model tilvækst, slagteform, fe'!$D$9))*1000/(A266+Forudsætninger!$E$60))</f>
        <v>631.96993666179924</v>
      </c>
      <c r="N266" s="17">
        <f t="shared" si="121"/>
        <v>1438.6656144467042</v>
      </c>
      <c r="O266" s="19">
        <f>IF( A266&lt;Forudsætninger!$C$14,(G266/100)*Forudsætninger!$C$13,(Forudsætninger!$C$15/1000)*Forudsætninger!$C$13)</f>
        <v>2.5487845375021099</v>
      </c>
      <c r="P266" s="17" cm="1">
        <f t="array" ref="P266">INDEX('Model tilvækst, slagteform, fe'!$P$9:$P$375,MATCH(MIN(ABS('Model tilvækst, slagteform, fe'!$M$9:$M$375-G266)),ABS('Model tilvækst, slagteform, fe'!$M$9:$M$375-G266),0))*(1+Forudsætninger!$E$80)</f>
        <v>7.4900315704310652</v>
      </c>
      <c r="Q266" s="17">
        <f t="shared" si="122"/>
        <v>12.610512852305087</v>
      </c>
      <c r="R266" s="17">
        <f t="shared" si="123"/>
        <v>8.1345474838616134</v>
      </c>
      <c r="S266" s="17">
        <f t="shared" si="124"/>
        <v>4.4386724543701535</v>
      </c>
      <c r="T266" s="19">
        <f>(P266)*IF(N266&lt;Forudsætninger!$B$228,IF(N266&lt;Forudsætninger!$B$227,Forudsætninger!$B$225,Forudsætninger!$C$9),Forudsætninger!$C$11)+O266</f>
        <v>20.075458412310802</v>
      </c>
      <c r="U266" s="5">
        <f>Forudsætninger!$E$68+((K266-(Forudsætninger!$E$84)))*0.01</f>
        <v>6.8148176009054993</v>
      </c>
      <c r="V266" s="2">
        <f>U266+Forudsætninger!$E$69</f>
        <v>6.8148176009054993</v>
      </c>
      <c r="W266">
        <f t="shared" si="113"/>
        <v>1</v>
      </c>
      <c r="X266">
        <f>IF(A266+Forudsætninger!$E$60&gt;248,IF(A266+Forudsætninger!$E$60&lt;365,IF(K266&gt;180,IF(K266&lt;260,1,0),0),0),0)</f>
        <v>1</v>
      </c>
      <c r="Y266" s="22">
        <f>IF(X266=0,0,IF('Vækstfunktion, kry kvie'!A266&lt;Forudsætninger!$E$66,Forudsætninger!$E$67+(('Vækstfunktion, kry kvie'!A266-Forudsætninger!$E$66)/7)*Forudsætninger!$E$64,Forudsætninger!$E$67))</f>
        <v>0.98</v>
      </c>
      <c r="Z266" s="19">
        <f t="shared" si="128"/>
        <v>4259.3447604487392</v>
      </c>
      <c r="AA266" s="19">
        <f>Forudsætninger!$E$62+Forudsætninger!$C$16</f>
        <v>1575</v>
      </c>
      <c r="AB266" s="19">
        <f>IF(K266&gt;Forudsætninger!$C$48,IF(K266&gt;Forudsætninger!$C$49,IF(K266&gt;Forudsætninger!$C$50,Forudsætninger!$E$50,Forudsætninger!$E$49+Forudsætninger!$F$50*(K266-Forudsætninger!$C$49)),Forudsætninger!$E$48+Forudsætninger!$F$49*(K266-Forudsætninger!$C$48)),Forudsætninger!$E$48)+IF(K266&gt;Forudsætninger!$C$50,Forudsætninger!$G$50,IF(K266&gt;Forudsætninger!$C$49,Forudsætninger!$G$49+Forudsætninger!$H$50*(K266-Forudsætninger!$C$49),IF(K266&gt;Forudsætninger!$C$48,Forudsætninger!$G$48+Forudsætninger!$H$49*(K266-Forudsætninger!$C$48),Forudsætninger!$G$48)))*(U266-Forudsætninger!$H$48)</f>
        <v>36.375079361647927</v>
      </c>
      <c r="AC266" s="19">
        <f>IF(K266&gt;Forudsætninger!$C$52,IF(K266&gt;Forudsætninger!$C$53,IF(K266&gt;Forudsætninger!$C$54,Forudsætninger!$E$54,Forudsætninger!$E$53+Forudsætninger!$F$54*(K266-Forudsætninger!$C$53)),Forudsætninger!$E$52+Forudsætninger!$F$53*(K266-Forudsætninger!$C$52)),Forudsætninger!$E$52)+IF(K266&gt;Forudsætninger!$C$54,Forudsætninger!$G$54,IF(K266&gt;Forudsætninger!$C$53,Forudsætninger!$G$53+Forudsætninger!$H$54*(K266-Forudsætninger!$C$53),IF(K266&gt;Forudsætninger!$C$52,Forudsætninger!$G$52+Forudsætninger!$H$53*(K266-Forudsætninger!$C$52),Forudsætninger!$G$52)))*(V266-Forudsætninger!$H$52)</f>
        <v>30.599035818779868</v>
      </c>
      <c r="AD266" s="19">
        <f t="shared" si="114"/>
        <v>7608.1759701347937</v>
      </c>
      <c r="AE266" s="19">
        <f t="shared" si="115"/>
        <v>36.259558490790567</v>
      </c>
      <c r="AF266">
        <f>IF(G266&lt;=Forudsætninger!$C$97,Forudsætninger!$C$98,(IF(G266&lt;=Forudsætninger!$D$97,Forudsætninger!$D$98,IF(G266&lt;=Forudsætninger!$E$97,Forudsætninger!$E$98,IF(G266&lt;=Forudsætninger!$F$97,Forudsætninger!$F$98,IF(G266&lt;=Forudsætninger!$G$97,Forudsætninger!$G$98,IF(G266&lt;=Forudsætninger!$H$97,Forudsætninger!$H$98,IF(G266&lt;=Forudsætninger!$I$97,Forudsætninger!$I$98,Forudsætninger!$I$98))))))))</f>
        <v>3.8</v>
      </c>
      <c r="AG266" s="1">
        <f t="shared" si="125"/>
        <v>4.4000000000000004</v>
      </c>
      <c r="AH266" s="1">
        <f t="shared" si="129"/>
        <v>821.19999999999698</v>
      </c>
      <c r="AI266" s="1">
        <f t="shared" si="116"/>
        <v>3.1106060606060493</v>
      </c>
      <c r="AJ266" s="20">
        <f>+(W266*Forudsætninger!$C$12)</f>
        <v>900</v>
      </c>
      <c r="AK266" s="20">
        <f>Forudsætninger!$C$17</f>
        <v>250</v>
      </c>
      <c r="AL266" s="20">
        <f>IF(A266&lt;92,Forudsætninger!$C$20,Forudsætninger!$C$21)</f>
        <v>1.0566762728146013</v>
      </c>
      <c r="AM266" s="20">
        <f t="shared" si="126"/>
        <v>547.46801887634615</v>
      </c>
      <c r="AN266" s="19">
        <f>IFERROR(AD266+AJ266-AA266-Z266-AK266-AM266-Forudsætninger!$E$75,-999999)</f>
        <v>1685.1464294730936</v>
      </c>
      <c r="AO266" s="19">
        <f>IFERROR(AN266/(A266+Forudsætninger!$E$74),-999999)</f>
        <v>6.3831304146708092</v>
      </c>
      <c r="AP266" s="19">
        <f>IFERROR(((365/(A266+Forudsætninger!$E$74))*AN266)/(AI266+Forudsætninger!$E$73),-999999)</f>
        <v>723.41744302512382</v>
      </c>
      <c r="AQ266" s="18">
        <f t="shared" si="117"/>
        <v>264</v>
      </c>
      <c r="AR266" s="18">
        <f t="shared" si="130"/>
        <v>6631.8127793250851</v>
      </c>
      <c r="AS266" s="18">
        <f t="shared" si="109"/>
        <v>9.9</v>
      </c>
      <c r="AT266" s="50">
        <f t="shared" si="131"/>
        <v>5.0594176977540428</v>
      </c>
      <c r="AU266" s="50">
        <f t="shared" si="132"/>
        <v>-5.0331282012043843E-3</v>
      </c>
      <c r="AV266" s="2">
        <f t="shared" si="133"/>
        <v>-1.6742047797325768</v>
      </c>
      <c r="AW266" s="16">
        <f t="shared" si="127"/>
        <v>8.4568729104145461</v>
      </c>
      <c r="AZ266" s="16"/>
      <c r="BA266" s="2"/>
    </row>
    <row r="267" spans="1:58" x14ac:dyDescent="0.25">
      <c r="A267">
        <v>265</v>
      </c>
      <c r="B267" s="1">
        <f>ROUND((A267+Forudsætninger!$E$60)/30.4,1)</f>
        <v>9.9</v>
      </c>
      <c r="C267" s="1">
        <f>VLOOKUP((A267+Forudsætninger!$E$60),'Model tilvækst, slagteform, fe'!A:D,4,FALSE)</f>
        <v>427.34101974425766</v>
      </c>
      <c r="D267" s="3">
        <f t="shared" si="134"/>
        <v>1122.8696602928494</v>
      </c>
      <c r="E267" s="3">
        <f>(1+Forudsætninger!$E$78)*C267</f>
        <v>393.15373816471708</v>
      </c>
      <c r="F267" s="2">
        <f t="shared" si="118"/>
        <v>0</v>
      </c>
      <c r="G267" s="1">
        <f t="shared" si="110"/>
        <v>393.15373816471708</v>
      </c>
      <c r="H267" s="3">
        <f t="shared" si="119"/>
        <v>1033.0400874694305</v>
      </c>
      <c r="I267" s="3">
        <f t="shared" si="111"/>
        <v>1226.995238357423</v>
      </c>
      <c r="J267" s="1">
        <f>VLOOKUP((A267+Forudsætninger!$E$60),'Model tilvækst, slagteform, fe'!G:K,4,FALSE)*(1+Forudsætninger!$E$79)</f>
        <v>53.520322015389318</v>
      </c>
      <c r="K267" s="17">
        <f t="shared" si="112"/>
        <v>210.41714668129717</v>
      </c>
      <c r="L267" s="17">
        <f t="shared" si="120"/>
        <v>591.75754791414192</v>
      </c>
      <c r="M267" s="3">
        <f>((K267-(('Model tilvækst, slagteform, fe'!$J$9/100)*'Model tilvækst, slagteform, fe'!$D$9))*1000/(A267+Forudsætninger!$E$60))</f>
        <v>631.83634068589345</v>
      </c>
      <c r="N267" s="17">
        <f t="shared" si="121"/>
        <v>1446.1571165777827</v>
      </c>
      <c r="O267" s="19">
        <f>IF( A267&lt;Forudsætninger!$C$14,(G267/100)*Forudsætninger!$C$13,(Forudsætninger!$C$15/1000)*Forudsætninger!$C$13)</f>
        <v>2.5554992980706612</v>
      </c>
      <c r="P267" s="17" cm="1">
        <f t="array" ref="P267">INDEX('Model tilvækst, slagteform, fe'!$P$9:$P$375,MATCH(MIN(ABS('Model tilvækst, slagteform, fe'!$M$9:$M$375-G267)),ABS('Model tilvækst, slagteform, fe'!$M$9:$M$375-G267),0))*(1+Forudsætninger!$E$80)</f>
        <v>7.4915021310784233</v>
      </c>
      <c r="Q267" s="17">
        <f t="shared" si="122"/>
        <v>12.659749178502013</v>
      </c>
      <c r="R267" s="17">
        <f t="shared" si="123"/>
        <v>8.1496380171321317</v>
      </c>
      <c r="S267" s="17">
        <f t="shared" si="124"/>
        <v>4.4476103050218825</v>
      </c>
      <c r="T267" s="19">
        <f>(P267)*IF(N267&lt;Forudsætninger!$B$228,IF(N267&lt;Forudsætninger!$B$227,Forudsætninger!$B$225,Forudsætninger!$C$9),Forudsætninger!$C$11)+O267</f>
        <v>20.085614284794172</v>
      </c>
      <c r="U267" s="5">
        <f>Forudsætninger!$E$68+((K267-(Forudsætninger!$E$84)))*0.01</f>
        <v>6.8207351763846411</v>
      </c>
      <c r="V267" s="2">
        <f>U267+Forudsætninger!$E$69</f>
        <v>6.8207351763846411</v>
      </c>
      <c r="W267">
        <f t="shared" si="113"/>
        <v>1</v>
      </c>
      <c r="X267">
        <f>IF(A267+Forudsætninger!$E$60&gt;248,IF(A267+Forudsætninger!$E$60&lt;365,IF(K267&gt;180,IF(K267&lt;260,1,0),0),0),0)</f>
        <v>1</v>
      </c>
      <c r="Y267" s="22">
        <f>IF(X267=0,0,IF('Vækstfunktion, kry kvie'!A267&lt;Forudsætninger!$E$66,Forudsætninger!$E$67+(('Vækstfunktion, kry kvie'!A267-Forudsætninger!$E$66)/7)*Forudsætninger!$E$64,Forudsætninger!$E$67))</f>
        <v>0.98</v>
      </c>
      <c r="Z267" s="19">
        <f t="shared" si="128"/>
        <v>4279.4303747335334</v>
      </c>
      <c r="AA267" s="19">
        <f>Forudsætninger!$E$62+Forudsætninger!$C$16</f>
        <v>1575</v>
      </c>
      <c r="AB267" s="19">
        <f>IF(K267&gt;Forudsætninger!$C$48,IF(K267&gt;Forudsætninger!$C$49,IF(K267&gt;Forudsætninger!$C$50,Forudsætninger!$E$50,Forudsætninger!$E$49+Forudsætninger!$F$50*(K267-Forudsætninger!$C$49)),Forudsætninger!$E$48+Forudsætninger!$F$49*(K267-Forudsætninger!$C$48)),Forudsætninger!$E$48)+IF(K267&gt;Forudsætninger!$C$50,Forudsætninger!$G$50,IF(K267&gt;Forudsætninger!$C$49,Forudsætninger!$G$49+Forudsætninger!$H$50*(K267-Forudsætninger!$C$49),IF(K267&gt;Forudsætninger!$C$48,Forudsætninger!$G$48+Forudsætninger!$H$49*(K267-Forudsætninger!$C$48),Forudsætninger!$G$48)))*(U267-Forudsætninger!$H$48)</f>
        <v>36.389895017912792</v>
      </c>
      <c r="AC267" s="19">
        <f>IF(K267&gt;Forudsætninger!$C$52,IF(K267&gt;Forudsætninger!$C$53,IF(K267&gt;Forudsætninger!$C$54,Forudsætninger!$E$54,Forudsætninger!$E$53+Forudsætninger!$F$54*(K267-Forudsætninger!$C$53)),Forudsætninger!$E$52+Forudsætninger!$F$53*(K267-Forudsætninger!$C$52)),Forudsætninger!$E$52)+IF(K267&gt;Forudsætninger!$C$54,Forudsætninger!$G$54,IF(K267&gt;Forudsætninger!$C$53,Forudsætninger!$G$53+Forudsætninger!$H$54*(K267-Forudsætninger!$C$53),IF(K267&gt;Forudsætninger!$C$52,Forudsætninger!$G$52+Forudsætninger!$H$53*(K267-Forudsætninger!$C$52),Forudsætninger!$G$52)))*(V267-Forudsætninger!$H$52)</f>
        <v>30.615162458266376</v>
      </c>
      <c r="AD267" s="19">
        <f t="shared" si="114"/>
        <v>7632.7558227401942</v>
      </c>
      <c r="AE267" s="19">
        <f t="shared" si="115"/>
        <v>36.274400366719867</v>
      </c>
      <c r="AF267">
        <f>IF(G267&lt;=Forudsætninger!$C$97,Forudsætninger!$C$98,(IF(G267&lt;=Forudsætninger!$D$97,Forudsætninger!$D$98,IF(G267&lt;=Forudsætninger!$E$97,Forudsætninger!$E$98,IF(G267&lt;=Forudsætninger!$F$97,Forudsætninger!$F$98,IF(G267&lt;=Forudsætninger!$G$97,Forudsætninger!$G$98,IF(G267&lt;=Forudsætninger!$H$97,Forudsætninger!$H$98,IF(G267&lt;=Forudsætninger!$I$97,Forudsætninger!$I$98,Forudsætninger!$I$98))))))))</f>
        <v>3.8</v>
      </c>
      <c r="AG267" s="1">
        <f t="shared" si="125"/>
        <v>4.4000000000000004</v>
      </c>
      <c r="AH267" s="1">
        <f t="shared" si="129"/>
        <v>825.59999999999695</v>
      </c>
      <c r="AI267" s="1">
        <f t="shared" si="116"/>
        <v>3.115471698113196</v>
      </c>
      <c r="AJ267" s="20">
        <f>+(W267*Forudsætninger!$C$12)</f>
        <v>900</v>
      </c>
      <c r="AK267" s="20">
        <f>Forudsætninger!$C$17</f>
        <v>250</v>
      </c>
      <c r="AL267" s="20">
        <f>IF(A267&lt;92,Forudsætninger!$C$20,Forudsætninger!$C$21)</f>
        <v>1.0566762728146013</v>
      </c>
      <c r="AM267" s="20">
        <f t="shared" si="126"/>
        <v>548.52469514916072</v>
      </c>
      <c r="AN267" s="19">
        <f>IFERROR(AD267+AJ267-AA267-Z267-AK267-AM267-Forudsætninger!$E$75,-999999)</f>
        <v>1688.5839915208833</v>
      </c>
      <c r="AO267" s="19">
        <f>IFERROR(AN267/(A267+Forudsætninger!$E$74),-999999)</f>
        <v>6.3720150623429559</v>
      </c>
      <c r="AP267" s="19">
        <f>IFERROR(((365/(A267+Forudsætninger!$E$74))*AN267)/(AI267+Forudsætninger!$E$73),-999999)</f>
        <v>721.06833214989717</v>
      </c>
      <c r="AQ267" s="18">
        <f t="shared" si="117"/>
        <v>265</v>
      </c>
      <c r="AR267" s="18">
        <f t="shared" si="130"/>
        <v>6652.9550698826943</v>
      </c>
      <c r="AS267" s="18">
        <f t="shared" si="109"/>
        <v>9.9</v>
      </c>
      <c r="AT267" s="50">
        <f t="shared" si="131"/>
        <v>3.4375620477896973</v>
      </c>
      <c r="AU267" s="50">
        <f t="shared" si="132"/>
        <v>-1.1115352327853323E-2</v>
      </c>
      <c r="AV267" s="2">
        <f t="shared" si="133"/>
        <v>-2.3491108752266427</v>
      </c>
      <c r="AW267" s="16">
        <f t="shared" si="127"/>
        <v>8.4419195723397884</v>
      </c>
      <c r="AZ267" s="16"/>
      <c r="BA267" s="2"/>
    </row>
    <row r="268" spans="1:58" x14ac:dyDescent="0.25">
      <c r="A268">
        <v>266</v>
      </c>
      <c r="B268" s="1">
        <f>ROUND((A268+Forudsætninger!$E$60)/30.4,1)</f>
        <v>9.9</v>
      </c>
      <c r="C268" s="1">
        <f>VLOOKUP((A268+Forudsætninger!$E$60),'Model tilvækst, slagteform, fe'!A:D,4,FALSE)</f>
        <v>428.45906383267493</v>
      </c>
      <c r="D268" s="3">
        <f t="shared" ref="D268:D270" si="135">(C268-C267)*1000</f>
        <v>1118.044088417264</v>
      </c>
      <c r="E268" s="3">
        <f>(1+Forudsætninger!$E$78)*C268</f>
        <v>394.18233872606095</v>
      </c>
      <c r="F268" s="2">
        <f t="shared" si="118"/>
        <v>0</v>
      </c>
      <c r="G268" s="1">
        <f t="shared" si="110"/>
        <v>394.18233872606095</v>
      </c>
      <c r="H268" s="3">
        <f t="shared" ref="H268:H270" si="136">(G268-G267)*1000</f>
        <v>1028.6005613438647</v>
      </c>
      <c r="I268" s="3">
        <f t="shared" si="111"/>
        <v>1226.249393706996</v>
      </c>
      <c r="J268" s="1">
        <f>VLOOKUP((A268+Forudsætninger!$E$60),'Model tilvækst, slagteform, fe'!G:K,4,FALSE)*(1+Forudsætninger!$E$79)</f>
        <v>53.530233725497162</v>
      </c>
      <c r="K268" s="17">
        <f t="shared" ref="K268:K270" si="137">G268*(J268/100)</f>
        <v>211.00672722469136</v>
      </c>
      <c r="L268" s="17">
        <f t="shared" ref="L268:L270" si="138">(K268-K267)*1000</f>
        <v>589.58054339419164</v>
      </c>
      <c r="M268" s="3">
        <f>((K268-(('Model tilvækst, slagteform, fe'!$J$9/100)*'Model tilvækst, slagteform, fe'!$D$9))*1000/(A268+Forudsætninger!$E$60))</f>
        <v>631.69642082731161</v>
      </c>
      <c r="N268" s="17">
        <f t="shared" ref="N268:N270" si="139">N267+P268</f>
        <v>1453.6501377392412</v>
      </c>
      <c r="O268" s="19">
        <f>IF( A268&lt;Forudsætninger!$C$14,(G268/100)*Forudsætninger!$C$13,(Forudsætninger!$C$15/1000)*Forudsætninger!$C$13)</f>
        <v>2.5621852017193962</v>
      </c>
      <c r="P268" s="17" cm="1">
        <f t="array" ref="P268">INDEX('Model tilvækst, slagteform, fe'!$P$9:$P$375,MATCH(MIN(ABS('Model tilvækst, slagteform, fe'!$M$9:$M$375-G268)),ABS('Model tilvækst, slagteform, fe'!$M$9:$M$375-G268),0))*(1+Forudsætninger!$E$80)</f>
        <v>7.4930211614585751</v>
      </c>
      <c r="Q268" s="17">
        <f t="shared" ref="Q268:Q270" si="140">P268/(L268/1000)</f>
        <v>12.709071297233711</v>
      </c>
      <c r="R268" s="17">
        <f t="shared" ref="R268:R270" si="141">N268/(K268-$K$2)</f>
        <v>8.1647366036883255</v>
      </c>
      <c r="S268" s="17">
        <f t="shared" ref="S268:S270" si="142">N268/(G268-$G$2)</f>
        <v>4.4565568553362604</v>
      </c>
      <c r="T268" s="19">
        <f>(P268)*IF(N268&lt;Forudsætninger!$B$228,IF(N268&lt;Forudsætninger!$B$227,Forudsætninger!$B$225,Forudsætninger!$C$9),Forudsætninger!$C$11)+O268</f>
        <v>20.095854719532461</v>
      </c>
      <c r="U268" s="5">
        <f>Forudsætninger!$E$68+((K268-(Forudsætninger!$E$84)))*0.01</f>
        <v>6.8266309818185826</v>
      </c>
      <c r="V268" s="2">
        <f>U268+Forudsætninger!$E$69</f>
        <v>6.8266309818185826</v>
      </c>
      <c r="W268">
        <f t="shared" ref="W268:W270" si="143">IF(K268&gt;130,1,0)</f>
        <v>1</v>
      </c>
      <c r="X268">
        <f>IF(A268+Forudsætninger!$E$60&gt;248,IF(A268+Forudsætninger!$E$60&lt;365,IF(K268&gt;180,IF(K268&lt;260,1,0),0),0),0)</f>
        <v>1</v>
      </c>
      <c r="Y268" s="22">
        <f>IF(X268=0,0,IF('Vækstfunktion, kry kvie'!A268&lt;Forudsætninger!$E$66,Forudsætninger!$E$67+(('Vækstfunktion, kry kvie'!A268-Forudsætninger!$E$66)/7)*Forudsætninger!$E$64,Forudsætninger!$E$67))</f>
        <v>0.98</v>
      </c>
      <c r="Z268" s="19">
        <f t="shared" ref="Z268:Z270" si="144">Z267+T268</f>
        <v>4299.5262294530658</v>
      </c>
      <c r="AA268" s="19">
        <f>Forudsætninger!$E$62+Forudsætninger!$C$16</f>
        <v>1575</v>
      </c>
      <c r="AB268" s="19">
        <f>IF(K268&gt;Forudsætninger!$C$48,IF(K268&gt;Forudsætninger!$C$49,IF(K268&gt;Forudsætninger!$C$50,Forudsætninger!$E$50,Forudsætninger!$E$49+Forudsætninger!$F$50*(K268-Forudsætninger!$C$49)),Forudsætninger!$E$48+Forudsætninger!$F$49*(K268-Forudsætninger!$C$48)),Forudsætninger!$E$48)+IF(K268&gt;Forudsætninger!$C$50,Forudsætninger!$G$50,IF(K268&gt;Forudsætninger!$C$49,Forudsætninger!$G$49+Forudsætninger!$H$50*(K268-Forudsætninger!$C$49),IF(K268&gt;Forudsætninger!$C$48,Forudsætninger!$G$48+Forudsætninger!$H$49*(K268-Forudsætninger!$C$48),Forudsætninger!$G$48)))*(U268-Forudsætninger!$H$48)</f>
        <v>36.401539233644819</v>
      </c>
      <c r="AC268" s="19">
        <f>IF(K268&gt;Forudsætninger!$C$52,IF(K268&gt;Forudsætninger!$C$53,IF(K268&gt;Forudsætninger!$C$54,Forudsætninger!$E$54,Forudsætninger!$E$53+Forudsætninger!$F$54*(K268-Forudsætninger!$C$53)),Forudsætninger!$E$52+Forudsætninger!$F$53*(K268-Forudsætninger!$C$52)),Forudsætninger!$E$52)+IF(K268&gt;Forudsætninger!$C$54,Forudsætninger!$G$54,IF(K268&gt;Forudsætninger!$C$53,Forudsætninger!$G$53+Forudsætninger!$H$54*(K268-Forudsætninger!$C$53),IF(K268&gt;Forudsætninger!$C$52,Forudsætninger!$G$52+Forudsætninger!$H$53*(K268-Forudsætninger!$C$52),Forudsætninger!$G$52)))*(V268-Forudsætninger!$H$52)</f>
        <v>30.631215259504007</v>
      </c>
      <c r="AD268" s="19">
        <f t="shared" ref="AD268:AD270" si="145">(K268*(Y268*AB268+((1-Y268)*AC268)))</f>
        <v>7656.6181160964006</v>
      </c>
      <c r="AE268" s="19">
        <f t="shared" ref="AE268:AE270" si="146">AD268/K268</f>
        <v>36.286132754162004</v>
      </c>
      <c r="AF268">
        <f>IF(G268&lt;=Forudsætninger!$C$97,Forudsætninger!$C$98,(IF(G268&lt;=Forudsætninger!$D$97,Forudsætninger!$D$98,IF(G268&lt;=Forudsætninger!$E$97,Forudsætninger!$E$98,IF(G268&lt;=Forudsætninger!$F$97,Forudsætninger!$F$98,IF(G268&lt;=Forudsætninger!$G$97,Forudsætninger!$G$98,IF(G268&lt;=Forudsætninger!$H$97,Forudsætninger!$H$98,IF(G268&lt;=Forudsætninger!$I$97,Forudsætninger!$I$98,Forudsætninger!$I$98))))))))</f>
        <v>3.8</v>
      </c>
      <c r="AG268" s="1">
        <f t="shared" ref="AG268:AG270" si="147">IF(AF268&lt;=3.2,IF(AF268&lt;=2.2,2.2,3.2),4.4)</f>
        <v>4.4000000000000004</v>
      </c>
      <c r="AH268" s="1">
        <f t="shared" ref="AH268:AH270" si="148">AH267+AG268</f>
        <v>829.99999999999693</v>
      </c>
      <c r="AI268" s="1">
        <f t="shared" si="116"/>
        <v>3.1203007518796877</v>
      </c>
      <c r="AJ268" s="20">
        <f>+(W268*Forudsætninger!$C$12)</f>
        <v>900</v>
      </c>
      <c r="AK268" s="20">
        <f>Forudsætninger!$C$17</f>
        <v>250</v>
      </c>
      <c r="AL268" s="20">
        <f>IF(A268&lt;92,Forudsætninger!$C$20,Forudsætninger!$C$21)</f>
        <v>1.0566762728146013</v>
      </c>
      <c r="AM268" s="20">
        <f t="shared" ref="AM268:AM270" si="149">AL268+AM267</f>
        <v>549.58137142197529</v>
      </c>
      <c r="AN268" s="19">
        <f>IFERROR(AD268+AJ268-AA268-Z268-AK268-AM268-Forudsætninger!$E$75,-999999)</f>
        <v>1691.2937538847439</v>
      </c>
      <c r="AO268" s="19">
        <f>IFERROR(AN268/(A268+Forudsætninger!$E$74),-999999)</f>
        <v>6.3582471950554282</v>
      </c>
      <c r="AP268" s="19">
        <f>IFERROR(((365/(A268+Forudsætninger!$E$74))*AN268)/(AI268+Forudsætninger!$E$73),-999999)</f>
        <v>718.43472309654089</v>
      </c>
      <c r="AQ268" s="18">
        <f t="shared" si="117"/>
        <v>266</v>
      </c>
      <c r="AR268" s="18">
        <f t="shared" ref="AR268:AR270" si="150">AA268+Z268+AK268+AM268</f>
        <v>6674.1076008750406</v>
      </c>
      <c r="AS268" s="18">
        <f t="shared" si="109"/>
        <v>9.9</v>
      </c>
      <c r="AT268" s="50">
        <f t="shared" ref="AT268:AT270" si="151">AN268-AN267</f>
        <v>2.709762363860591</v>
      </c>
      <c r="AU268" s="50">
        <f t="shared" ref="AU268:AU270" si="152">AO268-AO267</f>
        <v>-1.3767867287527658E-2</v>
      </c>
      <c r="AV268" s="2">
        <f t="shared" ref="AV268:AV270" si="153">AP268-AP267</f>
        <v>-2.633609053356281</v>
      </c>
      <c r="AW268" s="16">
        <f t="shared" si="127"/>
        <v>8.4243425763410507</v>
      </c>
      <c r="AZ268" s="16"/>
      <c r="BA268" s="2"/>
    </row>
    <row r="269" spans="1:58" x14ac:dyDescent="0.25">
      <c r="A269">
        <v>267</v>
      </c>
      <c r="B269" s="1">
        <f>ROUND((A269+Forudsætninger!$E$60)/30.4,1)</f>
        <v>10</v>
      </c>
      <c r="C269" s="1">
        <f>VLOOKUP((A269+Forudsætninger!$E$60),'Model tilvækst, slagteform, fe'!A:D,4,FALSE)</f>
        <v>429.57228871043162</v>
      </c>
      <c r="D269" s="3">
        <f t="shared" si="135"/>
        <v>1113.2248777566929</v>
      </c>
      <c r="E269" s="3">
        <f>(1+Forudsætninger!$E$78)*C269</f>
        <v>395.20650561359713</v>
      </c>
      <c r="F269" s="2">
        <f t="shared" si="118"/>
        <v>0</v>
      </c>
      <c r="G269" s="1">
        <f t="shared" si="110"/>
        <v>395.20650561359713</v>
      </c>
      <c r="H269" s="3">
        <f t="shared" si="136"/>
        <v>1024.1668875361825</v>
      </c>
      <c r="I269" s="3">
        <f t="shared" si="111"/>
        <v>1225.4925303880041</v>
      </c>
      <c r="J269" s="1">
        <f>VLOOKUP((A269+Forudsætninger!$E$60),'Model tilvækst, slagteform, fe'!G:K,4,FALSE)*(1+Forudsætninger!$E$79)</f>
        <v>53.540148009405101</v>
      </c>
      <c r="K269" s="17">
        <f t="shared" si="137"/>
        <v>211.59414804831778</v>
      </c>
      <c r="L269" s="17">
        <f t="shared" si="138"/>
        <v>587.42082362641668</v>
      </c>
      <c r="M269" s="3">
        <f>((K269-(('Model tilvækst, slagteform, fe'!$J$9/100)*'Model tilvækst, slagteform, fe'!$D$9))*1000/(A269+Forudsætninger!$E$60))</f>
        <v>631.55029674414038</v>
      </c>
      <c r="N269" s="17">
        <f t="shared" si="139"/>
        <v>1461.1447316211375</v>
      </c>
      <c r="O269" s="19">
        <f>IF( A269&lt;Forudsætninger!$C$14,(G269/100)*Forudsætninger!$C$13,(Forudsætninger!$C$15/1000)*Forudsætninger!$C$13)</f>
        <v>2.5688422864883815</v>
      </c>
      <c r="P269" s="17" cm="1">
        <f t="array" ref="P269">INDEX('Model tilvækst, slagteform, fe'!$P$9:$P$375,MATCH(MIN(ABS('Model tilvækst, slagteform, fe'!$M$9:$M$375-G269)),ABS('Model tilvækst, slagteform, fe'!$M$9:$M$375-G269),0))*(1+Forudsætninger!$E$80)</f>
        <v>7.4945938818962148</v>
      </c>
      <c r="Q269" s="17">
        <f t="shared" si="140"/>
        <v>12.758474981579081</v>
      </c>
      <c r="R269" s="17">
        <f t="shared" si="141"/>
        <v>8.1798432248790132</v>
      </c>
      <c r="S269" s="17">
        <f t="shared" si="142"/>
        <v>4.4655124716457326</v>
      </c>
      <c r="T269" s="19">
        <f>(P269)*IF(N269&lt;Forudsætninger!$B$228,IF(N269&lt;Forudsætninger!$B$227,Forudsætninger!$B$225,Forudsætninger!$C$9),Forudsætninger!$C$11)+O269</f>
        <v>20.106191970125522</v>
      </c>
      <c r="U269" s="5">
        <f>Forudsætninger!$E$68+((K269-(Forudsætninger!$E$84)))*0.01</f>
        <v>6.8325051900548468</v>
      </c>
      <c r="V269" s="2">
        <f>U269+Forudsætninger!$E$69</f>
        <v>6.8325051900548468</v>
      </c>
      <c r="W269">
        <f t="shared" si="143"/>
        <v>1</v>
      </c>
      <c r="X269">
        <f>IF(A269+Forudsætninger!$E$60&gt;248,IF(A269+Forudsætninger!$E$60&lt;365,IF(K269&gt;180,IF(K269&lt;260,1,0),0),0),0)</f>
        <v>1</v>
      </c>
      <c r="Y269" s="22">
        <f>IF(X269=0,0,IF('Vækstfunktion, kry kvie'!A269&lt;Forudsætninger!$E$66,Forudsætninger!$E$67+(('Vækstfunktion, kry kvie'!A269-Forudsætninger!$E$66)/7)*Forudsætninger!$E$64,Forudsætninger!$E$67))</f>
        <v>0.98</v>
      </c>
      <c r="Z269" s="19">
        <f t="shared" si="144"/>
        <v>4319.6324214231909</v>
      </c>
      <c r="AA269" s="19">
        <f>Forudsætninger!$E$62+Forudsætninger!$C$16</f>
        <v>1575</v>
      </c>
      <c r="AB269" s="19">
        <f>IF(K269&gt;Forudsætninger!$C$48,IF(K269&gt;Forudsætninger!$C$49,IF(K269&gt;Forudsætninger!$C$50,Forudsætninger!$E$50,Forudsætninger!$E$49+Forudsætninger!$F$50*(K269-Forudsætninger!$C$49)),Forudsætninger!$E$48+Forudsætninger!$F$49*(K269-Forudsætninger!$C$48)),Forudsætninger!$E$48)+IF(K269&gt;Forudsætninger!$C$50,Forudsætninger!$G$50,IF(K269&gt;Forudsætninger!$C$49,Forudsætninger!$G$49+Forudsætninger!$H$50*(K269-Forudsætninger!$C$49),IF(K269&gt;Forudsætninger!$C$48,Forudsætninger!$G$48+Forudsætninger!$H$49*(K269-Forudsætninger!$C$48),Forudsætninger!$G$48)))*(U269-Forudsætninger!$H$48)</f>
        <v>36.413140794911442</v>
      </c>
      <c r="AC269" s="19">
        <f>IF(K269&gt;Forudsætninger!$C$52,IF(K269&gt;Forudsætninger!$C$53,IF(K269&gt;Forudsætninger!$C$54,Forudsætninger!$E$54,Forudsætninger!$E$53+Forudsætninger!$F$54*(K269-Forudsætninger!$C$53)),Forudsætninger!$E$52+Forudsætninger!$F$53*(K269-Forudsætninger!$C$52)),Forudsætninger!$E$52)+IF(K269&gt;Forudsætninger!$C$54,Forudsætninger!$G$54,IF(K269&gt;Forudsætninger!$C$53,Forudsætninger!$G$53+Forudsætninger!$H$54*(K269-Forudsætninger!$C$53),IF(K269&gt;Forudsætninger!$C$52,Forudsætninger!$G$52+Forudsætninger!$H$53*(K269-Forudsætninger!$C$52),Forudsætninger!$G$52)))*(V269-Forudsætninger!$H$52)</f>
        <v>30.647194852917831</v>
      </c>
      <c r="AD269" s="19">
        <f t="shared" si="145"/>
        <v>7680.4066958769563</v>
      </c>
      <c r="AE269" s="19">
        <f t="shared" si="146"/>
        <v>36.297821876071573</v>
      </c>
      <c r="AF269">
        <f>IF(G269&lt;=Forudsætninger!$C$97,Forudsætninger!$C$98,(IF(G269&lt;=Forudsætninger!$D$97,Forudsætninger!$D$98,IF(G269&lt;=Forudsætninger!$E$97,Forudsætninger!$E$98,IF(G269&lt;=Forudsætninger!$F$97,Forudsætninger!$F$98,IF(G269&lt;=Forudsætninger!$G$97,Forudsætninger!$G$98,IF(G269&lt;=Forudsætninger!$H$97,Forudsætninger!$H$98,IF(G269&lt;=Forudsætninger!$I$97,Forudsætninger!$I$98,Forudsætninger!$I$98))))))))</f>
        <v>3.8</v>
      </c>
      <c r="AG269" s="1">
        <f t="shared" si="147"/>
        <v>4.4000000000000004</v>
      </c>
      <c r="AH269" s="1">
        <f t="shared" si="148"/>
        <v>834.39999999999691</v>
      </c>
      <c r="AI269" s="1">
        <f t="shared" si="116"/>
        <v>3.1250936329587899</v>
      </c>
      <c r="AJ269" s="20">
        <f>+(W269*Forudsætninger!$C$12)</f>
        <v>900</v>
      </c>
      <c r="AK269" s="20">
        <f>Forudsætninger!$C$17</f>
        <v>250</v>
      </c>
      <c r="AL269" s="20">
        <f>IF(A269&lt;92,Forudsætninger!$C$20,Forudsætninger!$C$21)</f>
        <v>1.0566762728146013</v>
      </c>
      <c r="AM269" s="20">
        <f t="shared" si="149"/>
        <v>550.63804769478986</v>
      </c>
      <c r="AN269" s="19">
        <f>IFERROR(AD269+AJ269-AA269-Z269-AK269-AM269-Forudsætninger!$E$75,-999999)</f>
        <v>1693.91946542236</v>
      </c>
      <c r="AO269" s="19">
        <f>IFERROR(AN269/(A269+Forudsætninger!$E$74),-999999)</f>
        <v>6.344267660757902</v>
      </c>
      <c r="AP269" s="19">
        <f>IFERROR(((365/(A269+Forudsætninger!$E$74))*AN269)/(AI269+Forudsætninger!$E$73),-999999)</f>
        <v>715.79309871744056</v>
      </c>
      <c r="AQ269" s="18">
        <f t="shared" si="117"/>
        <v>267</v>
      </c>
      <c r="AR269" s="18">
        <f t="shared" si="150"/>
        <v>6695.2704691179806</v>
      </c>
      <c r="AS269" s="18">
        <f t="shared" si="109"/>
        <v>10</v>
      </c>
      <c r="AT269" s="50">
        <f t="shared" si="151"/>
        <v>2.6257115376160982</v>
      </c>
      <c r="AU269" s="50">
        <f t="shared" si="152"/>
        <v>-1.3979534297526186E-2</v>
      </c>
      <c r="AV269" s="2">
        <f t="shared" si="153"/>
        <v>-2.6416243791003353</v>
      </c>
      <c r="AW269" s="16">
        <f t="shared" si="127"/>
        <v>8.4065824461316474</v>
      </c>
      <c r="AZ269" s="16"/>
      <c r="BA269" s="2"/>
    </row>
    <row r="270" spans="1:58" x14ac:dyDescent="0.25">
      <c r="A270">
        <v>268</v>
      </c>
      <c r="B270" s="1">
        <f>ROUND((A270+Forudsætninger!$E$60)/30.4,1)</f>
        <v>10</v>
      </c>
      <c r="C270" s="1">
        <f>VLOOKUP((A270+Forudsætninger!$E$60),'Model tilvækst, slagteform, fe'!A:D,4,FALSE)</f>
        <v>430.68070132376323</v>
      </c>
      <c r="D270" s="3">
        <f t="shared" si="135"/>
        <v>1108.412613331609</v>
      </c>
      <c r="E270" s="3">
        <f>(1+Forudsætninger!$E$78)*C270</f>
        <v>396.22624521786219</v>
      </c>
      <c r="F270" s="2">
        <f t="shared" si="118"/>
        <v>0</v>
      </c>
      <c r="G270" s="1">
        <f t="shared" si="110"/>
        <v>396.22624521786219</v>
      </c>
      <c r="H270" s="3">
        <f t="shared" si="136"/>
        <v>1019.7396042650553</v>
      </c>
      <c r="I270" s="3">
        <f t="shared" si="111"/>
        <v>1224.724795589038</v>
      </c>
      <c r="J270" s="1">
        <f>VLOOKUP((A270+Forudsætninger!$E$60),'Model tilvækst, slagteform, fe'!G:K,4,FALSE)*(1+Forudsætninger!$E$79)</f>
        <v>53.550068792457807</v>
      </c>
      <c r="K270" s="17">
        <f t="shared" si="137"/>
        <v>212.17942688793775</v>
      </c>
      <c r="L270" s="17">
        <f t="shared" si="138"/>
        <v>585.27883961997418</v>
      </c>
      <c r="M270" s="3">
        <f>((K270-(('Model tilvækst, slagteform, fe'!$J$9/100)*'Model tilvækst, slagteform, fe'!$D$9))*1000/(A270+Forudsætninger!$E$60))</f>
        <v>631.39808800360038</v>
      </c>
      <c r="N270" s="17">
        <f t="shared" si="139"/>
        <v>1468.6409571338536</v>
      </c>
      <c r="O270" s="19">
        <f>IF( A270&lt;Forudsætninger!$C$14,(G270/100)*Forudsætninger!$C$13,(Forudsætninger!$C$15/1000)*Forudsætninger!$C$13)</f>
        <v>2.5754705939161044</v>
      </c>
      <c r="P270" s="17" cm="1">
        <f t="array" ref="P270">INDEX('Model tilvækst, slagteform, fe'!$P$9:$P$375,MATCH(MIN(ABS('Model tilvækst, slagteform, fe'!$M$9:$M$375-G270)),ABS('Model tilvækst, slagteform, fe'!$M$9:$M$375-G270),0))*(1+Forudsætninger!$E$80)</f>
        <v>7.4962255127160358</v>
      </c>
      <c r="Q270" s="17">
        <f t="shared" si="140"/>
        <v>12.807955807155764</v>
      </c>
      <c r="R270" s="17">
        <f t="shared" si="141"/>
        <v>8.1949578655581483</v>
      </c>
      <c r="S270" s="17">
        <f t="shared" si="142"/>
        <v>4.4744775243644339</v>
      </c>
      <c r="T270" s="19">
        <f>(P270)*IF(N270&lt;Forudsætninger!$B$228,IF(N270&lt;Forudsætninger!$B$227,Forudsætninger!$B$225,Forudsætninger!$C$9),Forudsætninger!$C$11)+O270</f>
        <v>20.116638293671627</v>
      </c>
      <c r="U270" s="5">
        <f>Forudsætninger!$E$68+((K270-(Forudsætninger!$E$84)))*0.01</f>
        <v>6.8383579784510466</v>
      </c>
      <c r="V270" s="2">
        <f>U270+Forudsætninger!$E$69</f>
        <v>6.8383579784510466</v>
      </c>
      <c r="W270">
        <f t="shared" si="143"/>
        <v>1</v>
      </c>
      <c r="X270">
        <f>IF(A270+Forudsætninger!$E$60&gt;248,IF(A270+Forudsætninger!$E$60&lt;365,IF(K270&gt;180,IF(K270&lt;260,1,0),0),0),0)</f>
        <v>1</v>
      </c>
      <c r="Y270" s="22">
        <f>IF(X270=0,0,IF('Vækstfunktion, kry kvie'!A270&lt;Forudsætninger!$E$66,Forudsætninger!$E$67+(('Vækstfunktion, kry kvie'!A270-Forudsætninger!$E$66)/7)*Forudsætninger!$E$64,Forudsætninger!$E$67))</f>
        <v>0.98</v>
      </c>
      <c r="Z270" s="19">
        <f t="shared" si="144"/>
        <v>4339.7490597168626</v>
      </c>
      <c r="AA270" s="19">
        <f>Forudsætninger!$E$62+Forudsætninger!$C$16</f>
        <v>1575</v>
      </c>
      <c r="AB270" s="19">
        <f>IF(K270&gt;Forudsætninger!$C$48,IF(K270&gt;Forudsætninger!$C$49,IF(K270&gt;Forudsætninger!$C$50,Forudsætninger!$E$50,Forudsætninger!$E$49+Forudsætninger!$F$50*(K270-Forudsætninger!$C$49)),Forudsætninger!$E$48+Forudsætninger!$F$49*(K270-Forudsætninger!$C$48)),Forudsætninger!$E$48)+IF(K270&gt;Forudsætninger!$C$50,Forudsætninger!$G$50,IF(K270&gt;Forudsætninger!$C$49,Forudsætninger!$G$49+Forudsætninger!$H$50*(K270-Forudsætninger!$C$49),IF(K270&gt;Forudsætninger!$C$48,Forudsætninger!$G$48+Forudsætninger!$H$49*(K270-Forudsætninger!$C$48),Forudsætninger!$G$48)))*(U270-Forudsætninger!$H$48)</f>
        <v>36.424700051993945</v>
      </c>
      <c r="AC270" s="19">
        <f>IF(K270&gt;Forudsætninger!$C$52,IF(K270&gt;Forudsætninger!$C$53,IF(K270&gt;Forudsætninger!$C$54,Forudsætninger!$E$54,Forudsætninger!$E$53+Forudsætninger!$F$54*(K270-Forudsætninger!$C$53)),Forudsætninger!$E$52+Forudsætninger!$F$53*(K270-Forudsætninger!$C$52)),Forudsætninger!$E$52)+IF(K270&gt;Forudsætninger!$C$54,Forudsætninger!$G$54,IF(K270&gt;Forudsætninger!$C$53,Forudsætninger!$G$53+Forudsætninger!$H$54*(K270-Forudsætninger!$C$53),IF(K270&gt;Forudsætninger!$C$52,Forudsætninger!$G$52+Forudsætninger!$H$53*(K270-Forudsætninger!$C$52),Forudsætninger!$G$52)))*(V270-Forudsætninger!$H$52)</f>
        <v>30.663101878906801</v>
      </c>
      <c r="AD270" s="19">
        <f t="shared" si="145"/>
        <v>7704.1221296306285</v>
      </c>
      <c r="AE270" s="19">
        <f t="shared" si="146"/>
        <v>36.309468088532206</v>
      </c>
      <c r="AF270">
        <f>IF(G270&lt;=Forudsætninger!$C$97,Forudsætninger!$C$98,(IF(G270&lt;=Forudsætninger!$D$97,Forudsætninger!$D$98,IF(G270&lt;=Forudsætninger!$E$97,Forudsætninger!$E$98,IF(G270&lt;=Forudsætninger!$F$97,Forudsætninger!$F$98,IF(G270&lt;=Forudsætninger!$G$97,Forudsætninger!$G$98,IF(G270&lt;=Forudsætninger!$H$97,Forudsætninger!$H$98,IF(G270&lt;=Forudsætninger!$I$97,Forudsætninger!$I$98,Forudsætninger!$I$98))))))))</f>
        <v>3.8</v>
      </c>
      <c r="AG270" s="1">
        <f t="shared" si="147"/>
        <v>4.4000000000000004</v>
      </c>
      <c r="AH270" s="1">
        <f t="shared" si="148"/>
        <v>838.79999999999688</v>
      </c>
      <c r="AI270" s="1">
        <f t="shared" si="116"/>
        <v>3.1298507462686449</v>
      </c>
      <c r="AJ270" s="20">
        <f>+(W270*Forudsætninger!$C$12)</f>
        <v>900</v>
      </c>
      <c r="AK270" s="20">
        <f>Forudsætninger!$C$17</f>
        <v>250</v>
      </c>
      <c r="AL270" s="20">
        <f>IF(A270&lt;92,Forudsætninger!$C$20,Forudsætninger!$C$21)</f>
        <v>1.0566762728146013</v>
      </c>
      <c r="AM270" s="20">
        <f t="shared" si="149"/>
        <v>551.69472396760443</v>
      </c>
      <c r="AN270" s="19">
        <f>IFERROR(AD270+AJ270-AA270-Z270-AK270-AM270-Forudsætninger!$E$75,-999999)</f>
        <v>1696.4615846095458</v>
      </c>
      <c r="AO270" s="19">
        <f>IFERROR(AN270/(A270+Forudsætninger!$E$74),-999999)</f>
        <v>6.3300805395878577</v>
      </c>
      <c r="AP270" s="19">
        <f>IFERROR(((365/(A270+Forudsætninger!$E$74))*AN270)/(AI270+Forudsætninger!$E$73),-999999)</f>
        <v>713.14377664173583</v>
      </c>
      <c r="AQ270" s="18">
        <f t="shared" si="117"/>
        <v>268</v>
      </c>
      <c r="AR270" s="18">
        <f t="shared" si="150"/>
        <v>6716.4437836844672</v>
      </c>
      <c r="AS270" s="18">
        <f t="shared" si="109"/>
        <v>10</v>
      </c>
      <c r="AT270" s="50">
        <f t="shared" si="151"/>
        <v>2.54211918718579</v>
      </c>
      <c r="AU270" s="50">
        <f t="shared" si="152"/>
        <v>-1.4187121170044392E-2</v>
      </c>
      <c r="AV270" s="2">
        <f t="shared" si="153"/>
        <v>-2.6493220757047311</v>
      </c>
      <c r="AW270" s="16">
        <f t="shared" si="127"/>
        <v>8.3886429424520532</v>
      </c>
      <c r="AZ270" s="16"/>
      <c r="BA270" s="2"/>
    </row>
    <row r="271" spans="1:58" x14ac:dyDescent="0.25">
      <c r="A271">
        <v>269</v>
      </c>
      <c r="B271" s="1">
        <f>ROUND((A271+Forudsætninger!$E$60)/30.4,1)</f>
        <v>10</v>
      </c>
      <c r="C271" s="1">
        <f>VLOOKUP((A271+Forudsætninger!$E$60),'Model tilvækst, slagteform, fe'!A:D,4,FALSE)</f>
        <v>431.78430920392543</v>
      </c>
      <c r="D271" s="3">
        <f t="shared" si="134"/>
        <v>1103.6078801622011</v>
      </c>
      <c r="E271" s="3">
        <f>(1+Forudsætninger!$E$78)*C271</f>
        <v>397.2415644676114</v>
      </c>
      <c r="F271" s="2">
        <f t="shared" si="118"/>
        <v>0</v>
      </c>
      <c r="G271" s="1">
        <f t="shared" si="110"/>
        <v>397.2415644676114</v>
      </c>
      <c r="H271" s="3">
        <f t="shared" si="119"/>
        <v>1015.3192497492114</v>
      </c>
      <c r="I271" s="3">
        <f t="shared" si="111"/>
        <v>1223.946336310823</v>
      </c>
      <c r="J271" s="1">
        <f>VLOOKUP((A271+Forudsætninger!$E$60),'Model tilvækst, slagteform, fe'!G:K,4,FALSE)*(1+Forudsætninger!$E$79)</f>
        <v>53.559999999999995</v>
      </c>
      <c r="K271" s="17">
        <f t="shared" si="112"/>
        <v>212.76258192885265</v>
      </c>
      <c r="L271" s="17">
        <f t="shared" si="120"/>
        <v>583.15504091490311</v>
      </c>
      <c r="M271" s="3">
        <f>((K271-(('Model tilvækst, slagteform, fe'!$J$9/100)*'Model tilvækst, slagteform, fe'!$D$9))*1000/(A271+Forudsætninger!$E$60))</f>
        <v>631.23991407871938</v>
      </c>
      <c r="N271" s="17">
        <f t="shared" si="121"/>
        <v>1476.1388784080964</v>
      </c>
      <c r="O271" s="19">
        <f>IF( A271&lt;Forudsætninger!$C$14,(G271/100)*Forudsætninger!$C$13,(Forudsætninger!$C$15/1000)*Forudsætninger!$C$13)</f>
        <v>2.5820701690394743</v>
      </c>
      <c r="P271" s="17" cm="1">
        <f t="array" ref="P271">INDEX('Model tilvækst, slagteform, fe'!$P$9:$P$375,MATCH(MIN(ABS('Model tilvækst, slagteform, fe'!$M$9:$M$375-G271)),ABS('Model tilvækst, slagteform, fe'!$M$9:$M$375-G271),0))*(1+Forudsætninger!$E$80)</f>
        <v>7.4979212742427341</v>
      </c>
      <c r="Q271" s="17">
        <f t="shared" si="122"/>
        <v>12.85750914967546</v>
      </c>
      <c r="R271" s="17">
        <f t="shared" si="123"/>
        <v>8.2100805138954449</v>
      </c>
      <c r="S271" s="17">
        <f t="shared" si="124"/>
        <v>4.4834523878995514</v>
      </c>
      <c r="T271" s="19">
        <f>(P271)*IF(N271&lt;Forudsætninger!$B$228,IF(N271&lt;Forudsætninger!$B$227,Forudsætninger!$B$225,Forudsætninger!$C$9),Forudsætninger!$C$11)+O271</f>
        <v>20.127205950767472</v>
      </c>
      <c r="U271" s="5">
        <f>Forudsætninger!$E$68+((K271-(Forudsætninger!$E$84)))*0.01</f>
        <v>6.8441895288601957</v>
      </c>
      <c r="V271" s="2">
        <f>U271+Forudsætninger!$E$69</f>
        <v>6.8441895288601957</v>
      </c>
      <c r="W271">
        <f t="shared" si="113"/>
        <v>1</v>
      </c>
      <c r="X271">
        <f>IF(A271+Forudsætninger!$E$60&gt;248,IF(A271+Forudsætninger!$E$60&lt;365,IF(K271&gt;180,IF(K271&lt;260,1,0),0),0),0)</f>
        <v>1</v>
      </c>
      <c r="Y271" s="22">
        <f>IF(X271=0,0,IF('Vækstfunktion, kry kvie'!A271&lt;Forudsætninger!$E$66,Forudsætninger!$E$67+(('Vækstfunktion, kry kvie'!A271-Forudsætninger!$E$66)/7)*Forudsætninger!$E$64,Forudsætninger!$E$67))</f>
        <v>0.98</v>
      </c>
      <c r="Z271" s="19">
        <f t="shared" si="128"/>
        <v>4359.8762656676299</v>
      </c>
      <c r="AA271" s="19">
        <f>Forudsætninger!$E$62+Forudsætninger!$C$16</f>
        <v>1575</v>
      </c>
      <c r="AB271" s="19">
        <f>IF(K271&gt;Forudsætninger!$C$48,IF(K271&gt;Forudsætninger!$C$49,IF(K271&gt;Forudsætninger!$C$50,Forudsætninger!$E$50,Forudsætninger!$E$49+Forudsætninger!$F$50*(K271-Forudsætninger!$C$49)),Forudsætninger!$E$48+Forudsætninger!$F$49*(K271-Forudsætninger!$C$48)),Forudsætninger!$E$48)+IF(K271&gt;Forudsætninger!$C$50,Forudsætninger!$G$50,IF(K271&gt;Forudsætninger!$C$49,Forudsætninger!$G$49+Forudsætninger!$H$50*(K271-Forudsætninger!$C$49),IF(K271&gt;Forudsætninger!$C$48,Forudsætninger!$G$48+Forudsætninger!$H$49*(K271-Forudsætninger!$C$48),Forudsætninger!$G$48)))*(U271-Forudsætninger!$H$48)</f>
        <v>36.436217364052013</v>
      </c>
      <c r="AC271" s="19">
        <f>IF(K271&gt;Forudsætninger!$C$52,IF(K271&gt;Forudsætninger!$C$53,IF(K271&gt;Forudsætninger!$C$54,Forudsætninger!$E$54,Forudsætninger!$E$53+Forudsætninger!$F$54*(K271-Forudsætninger!$C$53)),Forudsætninger!$E$52+Forudsætninger!$F$53*(K271-Forudsætninger!$C$52)),Forudsætninger!$E$52)+IF(K271&gt;Forudsætninger!$C$54,Forudsætninger!$G$54,IF(K271&gt;Forudsætninger!$C$53,Forudsætninger!$G$53+Forudsætninger!$H$54*(K271-Forudsætninger!$C$53),IF(K271&gt;Forudsætninger!$C$52,Forudsætninger!$G$52+Forudsætninger!$H$53*(K271-Forudsætninger!$C$52),Forudsætninger!$G$52)))*(V271-Forudsætninger!$H$52)</f>
        <v>30.678936987764541</v>
      </c>
      <c r="AD271" s="19">
        <f t="shared" si="114"/>
        <v>7727.7650053416555</v>
      </c>
      <c r="AE271" s="19">
        <f t="shared" si="115"/>
        <v>36.321071756526266</v>
      </c>
      <c r="AF271">
        <f>IF(G271&lt;=Forudsætninger!$C$97,Forudsætninger!$C$98,(IF(G271&lt;=Forudsætninger!$D$97,Forudsætninger!$D$98,IF(G271&lt;=Forudsætninger!$E$97,Forudsætninger!$E$98,IF(G271&lt;=Forudsætninger!$F$97,Forudsætninger!$F$98,IF(G271&lt;=Forudsætninger!$G$97,Forudsætninger!$G$98,IF(G271&lt;=Forudsætninger!$H$97,Forudsætninger!$H$98,IF(G271&lt;=Forudsætninger!$I$97,Forudsætninger!$I$98,Forudsætninger!$I$98))))))))</f>
        <v>3.8</v>
      </c>
      <c r="AG271" s="1">
        <f t="shared" si="125"/>
        <v>4.4000000000000004</v>
      </c>
      <c r="AH271" s="1">
        <f t="shared" si="129"/>
        <v>843.19999999999686</v>
      </c>
      <c r="AI271" s="1">
        <f t="shared" si="116"/>
        <v>3.1345724907063079</v>
      </c>
      <c r="AJ271" s="20">
        <f>+(W271*Forudsætninger!$C$12)</f>
        <v>900</v>
      </c>
      <c r="AK271" s="20">
        <f>Forudsætninger!$C$17</f>
        <v>250</v>
      </c>
      <c r="AL271" s="20">
        <f>IF(A271&lt;92,Forudsætninger!$C$20,Forudsætninger!$C$21)</f>
        <v>1.0566762728146013</v>
      </c>
      <c r="AM271" s="20">
        <f t="shared" si="126"/>
        <v>552.751400240419</v>
      </c>
      <c r="AN271" s="19">
        <f>IFERROR(AD271+AJ271-AA271-Z271-AK271-AM271-Forudsætninger!$E$75,-999999)</f>
        <v>1698.9205780969899</v>
      </c>
      <c r="AO271" s="19">
        <f>IFERROR(AN271/(A271+Forudsætninger!$E$74),-999999)</f>
        <v>6.3156898814014495</v>
      </c>
      <c r="AP271" s="19">
        <f>IFERROR(((365/(A271+Forudsætninger!$E$74))*AN271)/(AI271+Forudsætninger!$E$73),-999999)</f>
        <v>710.48707135210486</v>
      </c>
      <c r="AQ271" s="18">
        <f t="shared" si="117"/>
        <v>269</v>
      </c>
      <c r="AR271" s="18">
        <f t="shared" si="130"/>
        <v>6737.6276659080486</v>
      </c>
      <c r="AS271" s="18">
        <f t="shared" si="109"/>
        <v>10</v>
      </c>
      <c r="AT271" s="50">
        <f t="shared" si="131"/>
        <v>2.4589934874441042</v>
      </c>
      <c r="AU271" s="50">
        <f t="shared" si="132"/>
        <v>-1.4390658186408167E-2</v>
      </c>
      <c r="AV271" s="2">
        <f t="shared" si="133"/>
        <v>-2.6567052896309633</v>
      </c>
      <c r="AW271" s="16">
        <f t="shared" si="127"/>
        <v>8.3705278005108124</v>
      </c>
      <c r="AZ271" s="16"/>
      <c r="BA271" s="2"/>
    </row>
    <row r="272" spans="1:58" s="7" customFormat="1" x14ac:dyDescent="0.25">
      <c r="A272" s="7">
        <v>270</v>
      </c>
      <c r="B272" s="1">
        <f>ROUND((A272+Forudsætninger!$E$60)/30.4,1)</f>
        <v>10.1</v>
      </c>
      <c r="C272" s="1">
        <f>VLOOKUP((A272+Forudsætninger!$E$60),'Model tilvækst, slagteform, fe'!A:D,4,FALSE)</f>
        <v>432.88312046719483</v>
      </c>
      <c r="D272" s="28">
        <f t="shared" si="134"/>
        <v>1098.8112632693969</v>
      </c>
      <c r="E272" s="3">
        <f>(1+Forudsætninger!$E$78)*C272</f>
        <v>398.25247082981929</v>
      </c>
      <c r="F272" s="2">
        <f t="shared" si="118"/>
        <v>0</v>
      </c>
      <c r="G272" s="1">
        <f t="shared" si="110"/>
        <v>398.25247082981929</v>
      </c>
      <c r="H272" s="28">
        <f>(G272-G271)*1000</f>
        <v>1010.9063622078907</v>
      </c>
      <c r="I272" s="3">
        <f t="shared" si="111"/>
        <v>1223.1572993697009</v>
      </c>
      <c r="J272" s="1">
        <f>VLOOKUP((A272+Forudsætninger!$E$60),'Model tilvækst, slagteform, fe'!G:K,4,FALSE)*(1+Forudsætninger!$E$79)</f>
        <v>53.569944863945047</v>
      </c>
      <c r="K272" s="17">
        <f t="shared" si="112"/>
        <v>213.34362904283304</v>
      </c>
      <c r="L272" s="17">
        <f>(K272-K271)*1000</f>
        <v>581.04711398038944</v>
      </c>
      <c r="M272" s="3">
        <f>((K272-(('Model tilvækst, slagteform, fe'!$J$9/100)*'Model tilvækst, slagteform, fe'!$D$9))*1000/(A272+Forudsætninger!$E$60))</f>
        <v>631.07588532022817</v>
      </c>
      <c r="N272" s="17">
        <f t="shared" si="121"/>
        <v>1483.6385647948973</v>
      </c>
      <c r="O272" s="19">
        <f>IF( A272&lt;Forudsætninger!$C$14,(G272/100)*Forudsætninger!$C$13,(Forudsætninger!$C$15/1000)*Forudsætninger!$C$13)</f>
        <v>2.5886410603938255</v>
      </c>
      <c r="P272" s="17" cm="1">
        <f t="array" ref="P272">INDEX('Model tilvækst, slagteform, fe'!$P$9:$P$375,MATCH(MIN(ABS('Model tilvækst, slagteform, fe'!$M$9:$M$375-G272)),ABS('Model tilvækst, slagteform, fe'!$M$9:$M$375-G272),0))*(1+Forudsætninger!$E$80)</f>
        <v>7.4996863868010033</v>
      </c>
      <c r="Q272" s="17">
        <f>P272/(L272/1000)</f>
        <v>12.907191527766749</v>
      </c>
      <c r="R272" s="17">
        <f t="shared" si="123"/>
        <v>8.225211287121132</v>
      </c>
      <c r="S272" s="17">
        <f t="shared" si="124"/>
        <v>4.4924374405647471</v>
      </c>
      <c r="T272" s="30">
        <f>(P272)*IF(N272&lt;Forudsætninger!$B$228,IF(N272&lt;Forudsætninger!$B$227,Forudsætninger!$B$225,Forudsætninger!$C$9),Forudsætninger!$C$11)+O272</f>
        <v>20.137907205508174</v>
      </c>
      <c r="U272" s="5">
        <f>Forudsætninger!$E$68+((K272-(Forudsætninger!$E$84)))*0.01</f>
        <v>6.85</v>
      </c>
      <c r="V272" s="2">
        <f>U272+Forudsætninger!$E$69</f>
        <v>6.85</v>
      </c>
      <c r="W272" s="7">
        <f t="shared" si="113"/>
        <v>1</v>
      </c>
      <c r="X272" s="7">
        <f>IF(A272+Forudsætninger!$E$60&gt;248,IF(A272+Forudsætninger!$E$60&lt;365,IF(K272&gt;180,IF(K272&lt;260,1,0),0),0),0)</f>
        <v>1</v>
      </c>
      <c r="Y272" s="22">
        <f>IF(X272=0,0,IF('Vækstfunktion, kry kvie'!A272&lt;Forudsætninger!$E$66,Forudsætninger!$E$67+(('Vækstfunktion, kry kvie'!A272-Forudsætninger!$E$66)/7)*Forudsætninger!$E$64,Forudsætninger!$E$67))</f>
        <v>0.98</v>
      </c>
      <c r="Z272" s="30">
        <f t="shared" si="128"/>
        <v>4380.0141728731378</v>
      </c>
      <c r="AA272" s="19">
        <f>Forudsætninger!$E$62+Forudsætninger!$C$16</f>
        <v>1575</v>
      </c>
      <c r="AB272" s="19">
        <f>IF(K272&gt;Forudsætninger!$C$48,IF(K272&gt;Forudsætninger!$C$49,IF(K272&gt;Forudsætninger!$C$50,Forudsætninger!$E$50,Forudsætninger!$E$49+Forudsætninger!$F$50*(K272-Forudsætninger!$C$49)),Forudsætninger!$E$48+Forudsætninger!$F$49*(K272-Forudsætninger!$C$48)),Forudsætninger!$E$48)+IF(K272&gt;Forudsætninger!$C$50,Forudsætninger!$G$50,IF(K272&gt;Forudsætninger!$C$49,Forudsætninger!$G$49+Forudsætninger!$H$50*(K272-Forudsætninger!$C$49),IF(K272&gt;Forudsætninger!$C$48,Forudsætninger!$G$48+Forudsætninger!$H$49*(K272-Forudsætninger!$C$48),Forudsætninger!$G$48)))*(U272-Forudsætninger!$H$48)</f>
        <v>36.44769304455312</v>
      </c>
      <c r="AC272" s="19">
        <f>IF(K272&gt;Forudsætninger!$C$52,IF(K272&gt;Forudsætninger!$C$53,IF(K272&gt;Forudsætninger!$C$54,Forudsætninger!$E$54,Forudsætninger!$E$53+Forudsætninger!$F$54*(K272-Forudsætninger!$C$53)),Forudsætninger!$E$52+Forudsætninger!$F$53*(K272-Forudsætninger!$C$52)),Forudsætninger!$E$52)+IF(K272&gt;Forudsætninger!$C$54,Forudsætninger!$G$54,IF(K272&gt;Forudsætninger!$C$53,Forudsætninger!$G$53+Forudsætninger!$H$54*(K272-Forudsætninger!$C$53),IF(K272&gt;Forudsætninger!$C$52,Forudsætninger!$G$52+Forudsætninger!$H$53*(K272-Forudsætninger!$C$52),Forudsætninger!$G$52)))*(V272-Forudsætninger!$H$52)</f>
        <v>30.694700764712195</v>
      </c>
      <c r="AD272" s="30">
        <f t="shared" si="114"/>
        <v>7751.3358193474533</v>
      </c>
      <c r="AE272" s="30">
        <f t="shared" si="115"/>
        <v>36.332633198956302</v>
      </c>
      <c r="AF272" s="7">
        <f>IF(G272&lt;=Forudsætninger!$C$97,Forudsætninger!$C$98,(IF(G272&lt;=Forudsætninger!$D$97,Forudsætninger!$D$98,IF(G272&lt;=Forudsætninger!$E$97,Forudsætninger!$E$98,IF(G272&lt;=Forudsætninger!$F$97,Forudsætninger!$F$98,IF(G272&lt;=Forudsætninger!$G$97,Forudsætninger!$G$98,IF(G272&lt;=Forudsætninger!$H$97,Forudsætninger!$H$98,IF(G272&lt;=Forudsætninger!$I$97,Forudsætninger!$I$98,Forudsætninger!$I$98))))))))</f>
        <v>3.8</v>
      </c>
      <c r="AG272" s="1">
        <f t="shared" si="125"/>
        <v>4.4000000000000004</v>
      </c>
      <c r="AH272" s="21">
        <f t="shared" si="129"/>
        <v>847.59999999999684</v>
      </c>
      <c r="AI272" s="21">
        <f t="shared" si="116"/>
        <v>3.1392592592592474</v>
      </c>
      <c r="AJ272" s="28">
        <f>+(W272*Forudsætninger!$C$12)</f>
        <v>900</v>
      </c>
      <c r="AK272" s="28">
        <f>Forudsætninger!$C$17</f>
        <v>250</v>
      </c>
      <c r="AL272" s="20">
        <f>IF(A272&lt;92,Forudsætninger!$C$20,Forudsætninger!$C$21)</f>
        <v>1.0566762728146013</v>
      </c>
      <c r="AM272" s="28">
        <f t="shared" si="126"/>
        <v>553.80807651323357</v>
      </c>
      <c r="AN272" s="19">
        <f>IFERROR(AD272+AJ272-AA272-Z272-AK272-AM272-Forudsætninger!$E$75,-999999)</f>
        <v>1701.2968086244653</v>
      </c>
      <c r="AO272" s="19">
        <f>IFERROR(AN272/(A272+Forudsætninger!$E$74),-999999)</f>
        <v>6.301099291201723</v>
      </c>
      <c r="AP272" s="19">
        <f>IFERROR(((365/(A272+Forudsætninger!$E$74))*AN272)/(AI272+Forudsætninger!$E$73),-999999)</f>
        <v>707.8232476324315</v>
      </c>
      <c r="AQ272" s="18">
        <f t="shared" si="117"/>
        <v>270</v>
      </c>
      <c r="AR272" s="18">
        <f t="shared" si="130"/>
        <v>6758.8222493863714</v>
      </c>
      <c r="AS272" s="18">
        <f t="shared" si="109"/>
        <v>10.1</v>
      </c>
      <c r="AT272" s="50">
        <f t="shared" si="131"/>
        <v>2.3762305274753999</v>
      </c>
      <c r="AU272" s="50">
        <f t="shared" si="132"/>
        <v>-1.4590590199726527E-2</v>
      </c>
      <c r="AV272" s="2">
        <f t="shared" si="133"/>
        <v>-2.6638237196733598</v>
      </c>
      <c r="AW272" s="16">
        <f t="shared" si="127"/>
        <v>8.3522403153248117</v>
      </c>
      <c r="AX272" s="28"/>
      <c r="AZ272" s="32"/>
      <c r="BA272" s="30"/>
      <c r="BB272" s="28"/>
      <c r="BC272" s="33"/>
      <c r="BD272" s="30"/>
      <c r="BE272" s="30"/>
      <c r="BF272" s="30"/>
    </row>
    <row r="273" spans="1:53" x14ac:dyDescent="0.25">
      <c r="A273">
        <v>271</v>
      </c>
      <c r="B273" s="1">
        <f>ROUND((A273+Forudsætninger!$E$60)/30.4,1)</f>
        <v>10.1</v>
      </c>
      <c r="C273" s="1">
        <f>VLOOKUP((A273+Forudsætninger!$E$60),'Model tilvækst, slagteform, fe'!A:D,4,FALSE)</f>
        <v>433.97714381486878</v>
      </c>
      <c r="D273" s="3">
        <f t="shared" si="134"/>
        <v>1094.0233476739536</v>
      </c>
      <c r="E273" s="3">
        <f>(1+Forudsætninger!$E$78)*C273</f>
        <v>399.25897230967928</v>
      </c>
      <c r="F273" s="2">
        <f t="shared" si="118"/>
        <v>0</v>
      </c>
      <c r="G273" s="1">
        <f t="shared" si="110"/>
        <v>399.25897230967928</v>
      </c>
      <c r="H273" s="3">
        <f t="shared" si="119"/>
        <v>1006.5014798599918</v>
      </c>
      <c r="I273" s="3">
        <f t="shared" si="111"/>
        <v>1222.3578314010306</v>
      </c>
      <c r="J273" s="1">
        <f>VLOOKUP((A273+Forudsætninger!$E$60),'Model tilvækst, slagteform, fe'!G:K,4,FALSE)*(1+Forudsætninger!$E$79)</f>
        <v>53.579903842481087</v>
      </c>
      <c r="K273" s="17">
        <f t="shared" si="112"/>
        <v>213.92257344600438</v>
      </c>
      <c r="L273" s="17">
        <f t="shared" si="120"/>
        <v>578.94440317133444</v>
      </c>
      <c r="M273" s="3">
        <f>((K273-(('Model tilvækst, slagteform, fe'!$J$9/100)*'Model tilvækst, slagteform, fe'!$D$9))*1000/(A273+Forudsætninger!$E$60))</f>
        <v>630.90607593212098</v>
      </c>
      <c r="N273" s="17">
        <f t="shared" si="121"/>
        <v>1491.1400908656128</v>
      </c>
      <c r="O273" s="19">
        <f>IF( A273&lt;Forudsætninger!$C$14,(G273/100)*Forudsætninger!$C$13,(Forudsætninger!$C$15/1000)*Forudsætninger!$C$13)</f>
        <v>2.5951833200129153</v>
      </c>
      <c r="P273" s="17" cm="1">
        <f t="array" ref="P273">INDEX('Model tilvækst, slagteform, fe'!$P$9:$P$375,MATCH(MIN(ABS('Model tilvækst, slagteform, fe'!$M$9:$M$375-G273)),ABS('Model tilvækst, slagteform, fe'!$M$9:$M$375-G273),0))*(1+Forudsætninger!$E$80)</f>
        <v>7.5015260707155402</v>
      </c>
      <c r="Q273" s="17">
        <f t="shared" si="122"/>
        <v>12.957247759238665</v>
      </c>
      <c r="R273" s="17">
        <f t="shared" si="123"/>
        <v>8.2403508103019814</v>
      </c>
      <c r="S273" s="17">
        <f t="shared" si="124"/>
        <v>4.5014330644955702</v>
      </c>
      <c r="T273" s="19">
        <f>(P273)*IF(N273&lt;Forudsætninger!$B$228,IF(N273&lt;Forudsætninger!$B$227,Forudsætninger!$B$225,Forudsætninger!$C$9),Forudsætninger!$C$11)+O273</f>
        <v>20.148754325487278</v>
      </c>
      <c r="U273" s="5">
        <f>Forudsætninger!$E$68+((K273-(Forudsætninger!$E$84)))*0.01</f>
        <v>6.8557894440317133</v>
      </c>
      <c r="V273" s="2">
        <f>U273+Forudsætninger!$E$69</f>
        <v>6.8557894440317133</v>
      </c>
      <c r="W273">
        <f t="shared" si="113"/>
        <v>1</v>
      </c>
      <c r="X273">
        <f>IF(A273+Forudsætninger!$E$60&gt;248,IF(A273+Forudsætninger!$E$60&lt;365,IF(K273&gt;180,IF(K273&lt;260,1,0),0),0),0)</f>
        <v>1</v>
      </c>
      <c r="Y273" s="22">
        <f>IF(X273=0,0,IF('Vækstfunktion, kry kvie'!A273&lt;Forudsætninger!$E$66,Forudsætninger!$E$67+(('Vækstfunktion, kry kvie'!A273-Forudsætninger!$E$66)/7)*Forudsætninger!$E$64,Forudsætninger!$E$67))</f>
        <v>0.98</v>
      </c>
      <c r="Z273" s="19">
        <f t="shared" si="128"/>
        <v>4400.1629271986249</v>
      </c>
      <c r="AA273" s="19">
        <f>Forudsætninger!$E$62+Forudsætninger!$C$16</f>
        <v>1575</v>
      </c>
      <c r="AB273" s="19">
        <f>IF(K273&gt;Forudsætninger!$C$48,IF(K273&gt;Forudsætninger!$C$49,IF(K273&gt;Forudsætninger!$C$50,Forudsætninger!$E$50,Forudsætninger!$E$49+Forudsætninger!$F$50*(K273-Forudsætninger!$C$49)),Forudsætninger!$E$48+Forudsætninger!$F$49*(K273-Forudsætninger!$C$48)),Forudsætninger!$E$48)+IF(K273&gt;Forudsætninger!$C$50,Forudsætninger!$G$50,IF(K273&gt;Forudsætninger!$C$49,Forudsætninger!$G$49+Forudsætninger!$H$50*(K273-Forudsætninger!$C$49),IF(K273&gt;Forudsætninger!$C$48,Forudsætninger!$G$48+Forudsætninger!$H$49*(K273-Forudsætninger!$C$48),Forudsætninger!$G$48)))*(U273-Forudsætninger!$H$48)</f>
        <v>36.459127196515752</v>
      </c>
      <c r="AC273" s="19">
        <f>IF(K273&gt;Forudsætninger!$C$52,IF(K273&gt;Forudsætninger!$C$53,IF(K273&gt;Forudsætninger!$C$54,Forudsætninger!$E$54,Forudsætninger!$E$53+Forudsætninger!$F$54*(K273-Forudsætninger!$C$53)),Forudsætninger!$E$52+Forudsætninger!$F$53*(K273-Forudsætninger!$C$52)),Forudsætninger!$E$52)+IF(K273&gt;Forudsætninger!$C$54,Forudsætninger!$G$54,IF(K273&gt;Forudsætninger!$C$53,Forudsætninger!$G$53+Forudsætninger!$H$54*(K273-Forudsætninger!$C$53),IF(K273&gt;Forudsætninger!$C$52,Forudsætninger!$G$52+Forudsætninger!$H$53*(K273-Forudsætninger!$C$52),Forudsætninger!$G$52)))*(V273-Forudsætninger!$H$52)</f>
        <v>30.710393504174615</v>
      </c>
      <c r="AD273" s="19">
        <f t="shared" si="114"/>
        <v>7774.8346373634295</v>
      </c>
      <c r="AE273" s="19">
        <f t="shared" si="115"/>
        <v>36.344152522668928</v>
      </c>
      <c r="AF273">
        <f>IF(G273&lt;=Forudsætninger!$C$97,Forudsætninger!$C$98,(IF(G273&lt;=Forudsætninger!$D$97,Forudsætninger!$D$98,IF(G273&lt;=Forudsætninger!$E$97,Forudsætninger!$E$98,IF(G273&lt;=Forudsætninger!$F$97,Forudsætninger!$F$98,IF(G273&lt;=Forudsætninger!$G$97,Forudsætninger!$G$98,IF(G273&lt;=Forudsætninger!$H$97,Forudsætninger!$H$98,IF(G273&lt;=Forudsætninger!$I$97,Forudsætninger!$I$98,Forudsætninger!$I$98))))))))</f>
        <v>3.8</v>
      </c>
      <c r="AG273" s="1">
        <f t="shared" si="125"/>
        <v>4.4000000000000004</v>
      </c>
      <c r="AH273" s="1">
        <f t="shared" si="129"/>
        <v>851.99999999999682</v>
      </c>
      <c r="AI273" s="1">
        <f t="shared" si="116"/>
        <v>3.1439114391143792</v>
      </c>
      <c r="AJ273" s="20">
        <f>+(W273*Forudsætninger!$C$12)</f>
        <v>900</v>
      </c>
      <c r="AK273" s="20">
        <f>Forudsætninger!$C$17</f>
        <v>250</v>
      </c>
      <c r="AL273" s="20">
        <f>IF(A273&lt;92,Forudsætninger!$C$20,Forudsætninger!$C$21)</f>
        <v>1.0566762728146013</v>
      </c>
      <c r="AM273" s="20">
        <f t="shared" si="126"/>
        <v>554.86475278604814</v>
      </c>
      <c r="AN273" s="19">
        <f>IFERROR(AD273+AJ273-AA273-Z273-AK273-AM273-Forudsætninger!$E$75,-999999)</f>
        <v>1703.5901960421418</v>
      </c>
      <c r="AO273" s="19">
        <f>IFERROR(AN273/(A273+Forudsætninger!$E$74),-999999)</f>
        <v>6.2863106865023681</v>
      </c>
      <c r="AP273" s="19">
        <f>IFERROR(((365/(A273+Forudsætninger!$E$74))*AN273)/(AI273+Forudsætninger!$E$73),-999999)</f>
        <v>705.15238152820223</v>
      </c>
      <c r="AQ273" s="18">
        <f t="shared" si="117"/>
        <v>271</v>
      </c>
      <c r="AR273" s="18">
        <f t="shared" si="130"/>
        <v>6780.0276799846733</v>
      </c>
      <c r="AS273" s="18">
        <f t="shared" si="109"/>
        <v>10.1</v>
      </c>
      <c r="AT273" s="50">
        <f t="shared" si="131"/>
        <v>2.293387417676513</v>
      </c>
      <c r="AU273" s="50">
        <f t="shared" si="132"/>
        <v>-1.4788604699354835E-2</v>
      </c>
      <c r="AV273" s="2">
        <f t="shared" si="133"/>
        <v>-2.6708661042292761</v>
      </c>
      <c r="AW273" s="16">
        <f t="shared" si="127"/>
        <v>8.3337820989970108</v>
      </c>
      <c r="AZ273" s="16"/>
      <c r="BA273" s="2"/>
    </row>
    <row r="274" spans="1:53" x14ac:dyDescent="0.25">
      <c r="A274">
        <v>272</v>
      </c>
      <c r="B274" s="1">
        <f>ROUND((A274+Forudsætninger!$E$60)/30.4,1)</f>
        <v>10.1</v>
      </c>
      <c r="C274" s="1">
        <f>VLOOKUP((A274+Forudsætninger!$E$60),'Model tilvækst, slagteform, fe'!A:D,4,FALSE)</f>
        <v>435.06638853326479</v>
      </c>
      <c r="D274" s="3">
        <f t="shared" si="134"/>
        <v>1089.244718396003</v>
      </c>
      <c r="E274" s="3">
        <f>(1+Forudsætninger!$E$78)*C274</f>
        <v>400.26107745060364</v>
      </c>
      <c r="F274" s="2">
        <f t="shared" si="118"/>
        <v>0</v>
      </c>
      <c r="G274" s="1">
        <f t="shared" si="110"/>
        <v>400.26107745060364</v>
      </c>
      <c r="H274" s="3">
        <f t="shared" si="119"/>
        <v>1002.1051409243569</v>
      </c>
      <c r="I274" s="3">
        <f t="shared" si="111"/>
        <v>1221.5480788625134</v>
      </c>
      <c r="J274" s="1">
        <f>VLOOKUP((A274+Forudsætninger!$E$60),'Model tilvækst, slagteform, fe'!G:K,4,FALSE)*(1+Forudsætninger!$E$79)</f>
        <v>53.589876700364925</v>
      </c>
      <c r="K274" s="17">
        <f t="shared" si="112"/>
        <v>214.49941788533064</v>
      </c>
      <c r="L274" s="17">
        <f t="shared" si="120"/>
        <v>576.8444393262655</v>
      </c>
      <c r="M274" s="3">
        <f>((K274-(('Model tilvækst, slagteform, fe'!$J$9/100)*'Model tilvækst, slagteform, fe'!$D$9))*1000/(A274+Forudsætninger!$E$60))</f>
        <v>630.73055113794612</v>
      </c>
      <c r="N274" s="17">
        <f t="shared" si="121"/>
        <v>1498.6416169363283</v>
      </c>
      <c r="O274" s="19">
        <f>IF( A274&lt;Forudsætninger!$C$14,(G274/100)*Forudsætninger!$C$13,(Forudsætninger!$C$15/1000)*Forudsætninger!$C$13)</f>
        <v>2.6016970034289235</v>
      </c>
      <c r="P274" s="17" cm="1">
        <f t="array" ref="P274">INDEX('Model tilvækst, slagteform, fe'!$P$9:$P$375,MATCH(MIN(ABS('Model tilvækst, slagteform, fe'!$M$9:$M$375-G274)),ABS('Model tilvækst, slagteform, fe'!$M$9:$M$375-G274),0))*(1+Forudsætninger!$E$80)</f>
        <v>7.5015260707155402</v>
      </c>
      <c r="Q274" s="17">
        <f t="shared" si="122"/>
        <v>13.004417758585079</v>
      </c>
      <c r="R274" s="17">
        <f t="shared" si="123"/>
        <v>8.2554892667155002</v>
      </c>
      <c r="S274" s="17">
        <f t="shared" si="124"/>
        <v>4.5104338685566541</v>
      </c>
      <c r="T274" s="19">
        <f>(P274)*IF(N274&lt;Forudsætninger!$B$228,IF(N274&lt;Forudsætninger!$B$227,Forudsætninger!$B$225,Forudsætninger!$C$9),Forudsætninger!$C$11)+O274</f>
        <v>20.155268008903288</v>
      </c>
      <c r="U274" s="5">
        <f>Forudsætninger!$E$68+((K274-(Forudsætninger!$E$84)))*0.01</f>
        <v>6.8615578884249757</v>
      </c>
      <c r="V274" s="2">
        <f>U274+Forudsætninger!$E$69</f>
        <v>6.8615578884249757</v>
      </c>
      <c r="W274">
        <f t="shared" si="113"/>
        <v>1</v>
      </c>
      <c r="X274">
        <f>IF(A274+Forudsætninger!$E$60&gt;248,IF(A274+Forudsætninger!$E$60&lt;365,IF(K274&gt;180,IF(K274&lt;260,1,0),0),0),0)</f>
        <v>1</v>
      </c>
      <c r="Y274" s="22">
        <f>IF(X274=0,0,IF('Vækstfunktion, kry kvie'!A274&lt;Forudsætninger!$E$66,Forudsætninger!$E$67+(('Vækstfunktion, kry kvie'!A274-Forudsætninger!$E$66)/7)*Forudsætninger!$E$64,Forudsætninger!$E$67))</f>
        <v>0.98</v>
      </c>
      <c r="Z274" s="19">
        <f t="shared" si="128"/>
        <v>4420.3181952075283</v>
      </c>
      <c r="AA274" s="19">
        <f>Forudsætninger!$E$62+Forudsætninger!$C$16</f>
        <v>1575</v>
      </c>
      <c r="AB274" s="19">
        <f>IF(K274&gt;Forudsætninger!$C$48,IF(K274&gt;Forudsætninger!$C$49,IF(K274&gt;Forudsætninger!$C$50,Forudsætninger!$E$50,Forudsætninger!$E$49+Forudsætninger!$F$50*(K274-Forudsætninger!$C$49)),Forudsætninger!$E$48+Forudsætninger!$F$49*(K274-Forudsætninger!$C$48)),Forudsætninger!$E$48)+IF(K274&gt;Forudsætninger!$C$50,Forudsætninger!$G$50,IF(K274&gt;Forudsætninger!$C$49,Forudsætninger!$G$49+Forudsætninger!$H$50*(K274-Forudsætninger!$C$49),IF(K274&gt;Forudsætninger!$C$48,Forudsætninger!$G$48+Forudsætninger!$H$49*(K274-Forudsætninger!$C$48),Forudsætninger!$G$48)))*(U274-Forudsætninger!$H$48)</f>
        <v>36.470519874192448</v>
      </c>
      <c r="AC274" s="19">
        <f>IF(K274&gt;Forudsætninger!$C$52,IF(K274&gt;Forudsætninger!$C$53,IF(K274&gt;Forudsætninger!$C$54,Forudsætninger!$E$54,Forudsætninger!$E$53+Forudsætninger!$F$54*(K274-Forudsætninger!$C$53)),Forudsætninger!$E$52+Forudsætninger!$F$53*(K274-Forudsætninger!$C$52)),Forudsætninger!$E$52)+IF(K274&gt;Forudsætninger!$C$54,Forudsætninger!$G$54,IF(K274&gt;Forudsætninger!$C$53,Forudsætninger!$G$53+Forudsætninger!$H$54*(K274-Forudsætninger!$C$53),IF(K274&gt;Forudsætninger!$C$52,Forudsætninger!$G$52+Forudsætninger!$H$53*(K274-Forudsætninger!$C$52),Forudsætninger!$G$52)))*(V274-Forudsætninger!$H$52)</f>
        <v>30.726015432680317</v>
      </c>
      <c r="AD274" s="19">
        <f t="shared" si="114"/>
        <v>7798.2614258147823</v>
      </c>
      <c r="AE274" s="19">
        <f t="shared" si="115"/>
        <v>36.355629785362211</v>
      </c>
      <c r="AF274">
        <f>IF(G274&lt;=Forudsætninger!$C$97,Forudsætninger!$C$98,(IF(G274&lt;=Forudsætninger!$D$97,Forudsætninger!$D$98,IF(G274&lt;=Forudsætninger!$E$97,Forudsætninger!$E$98,IF(G274&lt;=Forudsætninger!$F$97,Forudsætninger!$F$98,IF(G274&lt;=Forudsætninger!$G$97,Forudsætninger!$G$98,IF(G274&lt;=Forudsætninger!$H$97,Forudsætninger!$H$98,IF(G274&lt;=Forudsætninger!$I$97,Forudsætninger!$I$98,Forudsætninger!$I$98))))))))</f>
        <v>4.4000000000000004</v>
      </c>
      <c r="AG274" s="1">
        <f t="shared" si="125"/>
        <v>4.4000000000000004</v>
      </c>
      <c r="AH274" s="1">
        <f t="shared" si="129"/>
        <v>856.39999999999679</v>
      </c>
      <c r="AI274" s="1">
        <f t="shared" si="116"/>
        <v>3.1485294117646943</v>
      </c>
      <c r="AJ274" s="20">
        <f>+(W274*Forudsætninger!$C$12)</f>
        <v>900</v>
      </c>
      <c r="AK274" s="20">
        <f>Forudsætninger!$C$17</f>
        <v>250</v>
      </c>
      <c r="AL274" s="20">
        <f>IF(A274&lt;92,Forudsætninger!$C$20,Forudsætninger!$C$21)</f>
        <v>1.0566762728146013</v>
      </c>
      <c r="AM274" s="20">
        <f t="shared" si="126"/>
        <v>555.92142905886271</v>
      </c>
      <c r="AN274" s="19">
        <f>IFERROR(AD274+AJ274-AA274-Z274-AK274-AM274-Forudsætninger!$E$75,-999999)</f>
        <v>1705.8050402117756</v>
      </c>
      <c r="AO274" s="19">
        <f>IFERROR(AN274/(A274+Forudsætninger!$E$74),-999999)</f>
        <v>6.2713420596021159</v>
      </c>
      <c r="AP274" s="19">
        <f>IFERROR(((365/(A274+Forudsætninger!$E$74))*AN274)/(AI274+Forudsætninger!$E$73),-999999)</f>
        <v>702.47635129219736</v>
      </c>
      <c r="AQ274" s="18">
        <f t="shared" si="117"/>
        <v>272</v>
      </c>
      <c r="AR274" s="18">
        <f t="shared" si="130"/>
        <v>6801.2396242663908</v>
      </c>
      <c r="AS274" s="18">
        <f t="shared" si="109"/>
        <v>10.1</v>
      </c>
      <c r="AT274" s="50">
        <f t="shared" si="131"/>
        <v>2.2148441696338068</v>
      </c>
      <c r="AU274" s="50">
        <f t="shared" si="132"/>
        <v>-1.4968626900252247E-2</v>
      </c>
      <c r="AV274" s="2">
        <f t="shared" si="133"/>
        <v>-2.6760302360048627</v>
      </c>
      <c r="AW274" s="16">
        <f t="shared" si="127"/>
        <v>8.3151708429067597</v>
      </c>
      <c r="AZ274" s="16"/>
      <c r="BA274" s="2"/>
    </row>
    <row r="275" spans="1:53" x14ac:dyDescent="0.25">
      <c r="A275">
        <v>273</v>
      </c>
      <c r="B275" s="1">
        <f>ROUND((A275+Forudsætninger!$E$60)/30.4,1)</f>
        <v>10.199999999999999</v>
      </c>
      <c r="C275" s="1">
        <f>VLOOKUP((A275+Forudsætninger!$E$60),'Model tilvækst, slagteform, fe'!A:D,4,FALSE)</f>
        <v>436.15086449372149</v>
      </c>
      <c r="D275" s="3">
        <f t="shared" si="134"/>
        <v>1084.4759604567002</v>
      </c>
      <c r="E275" s="3">
        <f>(1+Forudsætninger!$E$78)*C275</f>
        <v>401.25879533422381</v>
      </c>
      <c r="F275" s="2">
        <f t="shared" si="118"/>
        <v>0</v>
      </c>
      <c r="G275" s="1">
        <f t="shared" si="110"/>
        <v>401.25879533422381</v>
      </c>
      <c r="H275" s="3">
        <f t="shared" si="119"/>
        <v>997.71788362016878</v>
      </c>
      <c r="I275" s="3">
        <f t="shared" si="111"/>
        <v>1220.7281880374499</v>
      </c>
      <c r="J275" s="1">
        <f>VLOOKUP((A275+Forudsætninger!$E$60),'Model tilvækst, slagteform, fe'!G:K,4,FALSE)*(1+Forudsætninger!$E$79)</f>
        <v>53.599863202353419</v>
      </c>
      <c r="K275" s="17">
        <f t="shared" si="112"/>
        <v>215.07416538655522</v>
      </c>
      <c r="L275" s="17">
        <f t="shared" si="120"/>
        <v>574.74750122457863</v>
      </c>
      <c r="M275" s="3">
        <f>((K275-(('Model tilvækst, slagteform, fe'!$J$9/100)*'Model tilvækst, slagteform, fe'!$D$9))*1000/(A275+Forudsætninger!$E$60))</f>
        <v>630.54937621913257</v>
      </c>
      <c r="N275" s="17">
        <f t="shared" si="121"/>
        <v>1506.1450624826393</v>
      </c>
      <c r="O275" s="19">
        <f>IF( A275&lt;Forudsætninger!$C$14,(G275/100)*Forudsætninger!$C$13,(Forudsætninger!$C$15/1000)*Forudsætninger!$C$13)</f>
        <v>2.608182169672455</v>
      </c>
      <c r="P275" s="17" cm="1">
        <f t="array" ref="P275">INDEX('Model tilvækst, slagteform, fe'!$P$9:$P$375,MATCH(MIN(ABS('Model tilvækst, slagteform, fe'!$M$9:$M$375-G275)),ABS('Model tilvækst, slagteform, fe'!$M$9:$M$375-G275),0))*(1+Forudsætninger!$E$80)</f>
        <v>7.5034455463110366</v>
      </c>
      <c r="Q275" s="17">
        <f t="shared" si="122"/>
        <v>13.055203424675902</v>
      </c>
      <c r="R275" s="17">
        <f t="shared" si="123"/>
        <v>8.2706375931303953</v>
      </c>
      <c r="S275" s="17">
        <f t="shared" si="124"/>
        <v>4.5194457987886949</v>
      </c>
      <c r="T275" s="19">
        <f>(P275)*IF(N275&lt;Forudsætninger!$B$228,IF(N275&lt;Forudsætninger!$B$227,Forudsætninger!$B$225,Forudsætninger!$C$9),Forudsætninger!$C$11)+O275</f>
        <v>20.166244748040278</v>
      </c>
      <c r="U275" s="5">
        <f>Forudsætninger!$E$68+((K275-(Forudsætninger!$E$84)))*0.01</f>
        <v>6.8673053634372216</v>
      </c>
      <c r="V275" s="2">
        <f>U275+Forudsætninger!$E$69</f>
        <v>6.8673053634372216</v>
      </c>
      <c r="W275">
        <f t="shared" si="113"/>
        <v>1</v>
      </c>
      <c r="X275">
        <f>IF(A275+Forudsætninger!$E$60&gt;248,IF(A275+Forudsætninger!$E$60&lt;365,IF(K275&gt;180,IF(K275&lt;260,1,0),0),0),0)</f>
        <v>1</v>
      </c>
      <c r="Y275" s="22">
        <f>IF(X275=0,0,IF('Vækstfunktion, kry kvie'!A275&lt;Forudsætninger!$E$66,Forudsætninger!$E$67+(('Vækstfunktion, kry kvie'!A275-Forudsætninger!$E$66)/7)*Forudsætninger!$E$64,Forudsætninger!$E$67))</f>
        <v>0.98</v>
      </c>
      <c r="Z275" s="19">
        <f t="shared" si="128"/>
        <v>4440.4844399555686</v>
      </c>
      <c r="AA275" s="19">
        <f>Forudsætninger!$E$62+Forudsætninger!$C$16</f>
        <v>1575</v>
      </c>
      <c r="AB275" s="19">
        <f>IF(K275&gt;Forudsætninger!$C$48,IF(K275&gt;Forudsætninger!$C$49,IF(K275&gt;Forudsætninger!$C$50,Forudsætninger!$E$50,Forudsætninger!$E$49+Forudsætninger!$F$50*(K275-Forudsætninger!$C$49)),Forudsætninger!$E$48+Forudsætninger!$F$49*(K275-Forudsætninger!$C$48)),Forudsætninger!$E$48)+IF(K275&gt;Forudsætninger!$C$50,Forudsætninger!$G$50,IF(K275&gt;Forudsætninger!$C$49,Forudsætninger!$G$49+Forudsætninger!$H$50*(K275-Forudsætninger!$C$49),IF(K275&gt;Forudsætninger!$C$48,Forudsætninger!$G$48+Forudsætninger!$H$49*(K275-Forudsætninger!$C$48),Forudsætninger!$G$48)))*(U275-Forudsætninger!$H$48)</f>
        <v>36.481871137341628</v>
      </c>
      <c r="AC275" s="19">
        <f>IF(K275&gt;Forudsætninger!$C$52,IF(K275&gt;Forudsætninger!$C$53,IF(K275&gt;Forudsætninger!$C$54,Forudsætninger!$E$54,Forudsætninger!$E$53+Forudsætninger!$F$54*(K275-Forudsætninger!$C$53)),Forudsætninger!$E$52+Forudsætninger!$F$53*(K275-Forudsætninger!$C$52)),Forudsætninger!$E$52)+IF(K275&gt;Forudsætninger!$C$54,Forudsætninger!$G$54,IF(K275&gt;Forudsætninger!$C$53,Forudsætninger!$G$53+Forudsætninger!$H$54*(K275-Forudsætninger!$C$53),IF(K275&gt;Forudsætninger!$C$52,Forudsætninger!$G$52+Forudsætninger!$H$53*(K275-Forudsætninger!$C$52),Forudsætninger!$G$52)))*(V275-Forudsætninger!$H$52)</f>
        <v>30.741566783481822</v>
      </c>
      <c r="AD275" s="19">
        <f t="shared" si="114"/>
        <v>7821.6161632441845</v>
      </c>
      <c r="AE275" s="19">
        <f t="shared" si="115"/>
        <v>36.367065050264429</v>
      </c>
      <c r="AF275">
        <f>IF(G275&lt;=Forudsætninger!$C$97,Forudsætninger!$C$98,(IF(G275&lt;=Forudsætninger!$D$97,Forudsætninger!$D$98,IF(G275&lt;=Forudsætninger!$E$97,Forudsætninger!$E$98,IF(G275&lt;=Forudsætninger!$F$97,Forudsætninger!$F$98,IF(G275&lt;=Forudsætninger!$G$97,Forudsætninger!$G$98,IF(G275&lt;=Forudsætninger!$H$97,Forudsætninger!$H$98,IF(G275&lt;=Forudsætninger!$I$97,Forudsætninger!$I$98,Forudsætninger!$I$98))))))))</f>
        <v>4.4000000000000004</v>
      </c>
      <c r="AG275" s="1">
        <f t="shared" si="125"/>
        <v>4.4000000000000004</v>
      </c>
      <c r="AH275" s="1">
        <f t="shared" si="129"/>
        <v>860.79999999999677</v>
      </c>
      <c r="AI275" s="1">
        <f t="shared" si="116"/>
        <v>3.1531135531135415</v>
      </c>
      <c r="AJ275" s="20">
        <f>+(W275*Forudsætninger!$C$12)</f>
        <v>900</v>
      </c>
      <c r="AK275" s="20">
        <f>Forudsætninger!$C$17</f>
        <v>250</v>
      </c>
      <c r="AL275" s="20">
        <f>IF(A275&lt;92,Forudsætninger!$C$20,Forudsætninger!$C$21)</f>
        <v>1.0566762728146013</v>
      </c>
      <c r="AM275" s="20">
        <f t="shared" si="126"/>
        <v>556.97810533167728</v>
      </c>
      <c r="AN275" s="19">
        <f>IFERROR(AD275+AJ275-AA275-Z275-AK275-AM275-Forudsætninger!$E$75,-999999)</f>
        <v>1707.9368566203218</v>
      </c>
      <c r="AO275" s="19">
        <f>IFERROR(AN275/(A275+Forudsætninger!$E$74),-999999)</f>
        <v>6.2561789619792005</v>
      </c>
      <c r="AP275" s="19">
        <f>IFERROR(((365/(A275+Forudsætninger!$E$74))*AN275)/(AI275+Forudsætninger!$E$73),-999999)</f>
        <v>699.7933979170208</v>
      </c>
      <c r="AQ275" s="18">
        <f t="shared" si="117"/>
        <v>273</v>
      </c>
      <c r="AR275" s="18">
        <f t="shared" si="130"/>
        <v>6822.462545287246</v>
      </c>
      <c r="AS275" s="18">
        <f t="shared" si="109"/>
        <v>10.199999999999999</v>
      </c>
      <c r="AT275" s="50">
        <f t="shared" si="131"/>
        <v>2.1318164085462286</v>
      </c>
      <c r="AU275" s="50">
        <f t="shared" si="132"/>
        <v>-1.5163097622915345E-2</v>
      </c>
      <c r="AV275" s="2">
        <f t="shared" si="133"/>
        <v>-2.6829533751765666</v>
      </c>
      <c r="AW275" s="16">
        <f t="shared" si="127"/>
        <v>8.296391802021974</v>
      </c>
      <c r="AZ275" s="16"/>
      <c r="BA275" s="2"/>
    </row>
    <row r="276" spans="1:53" x14ac:dyDescent="0.25">
      <c r="A276">
        <v>274</v>
      </c>
      <c r="B276" s="1">
        <f>ROUND((A276+Forudsætninger!$E$60)/30.4,1)</f>
        <v>10.199999999999999</v>
      </c>
      <c r="C276" s="1">
        <f>VLOOKUP((A276+Forudsætninger!$E$60),'Model tilvækst, slagteform, fe'!A:D,4,FALSE)</f>
        <v>437.23058215259772</v>
      </c>
      <c r="D276" s="3">
        <f t="shared" si="134"/>
        <v>1079.7176588762341</v>
      </c>
      <c r="E276" s="3">
        <f>(1+Forudsætninger!$E$78)*C276</f>
        <v>402.2521355803899</v>
      </c>
      <c r="F276" s="2">
        <f t="shared" si="118"/>
        <v>0</v>
      </c>
      <c r="G276" s="1">
        <f t="shared" si="110"/>
        <v>402.2521355803899</v>
      </c>
      <c r="H276" s="3">
        <f t="shared" si="119"/>
        <v>993.34024616609895</v>
      </c>
      <c r="I276" s="3">
        <f t="shared" si="111"/>
        <v>1219.8983050379193</v>
      </c>
      <c r="J276" s="1">
        <f>VLOOKUP((A276+Forudsætninger!$E$60),'Model tilvækst, slagteform, fe'!G:K,4,FALSE)*(1+Forudsætninger!$E$79)</f>
        <v>53.609863113203325</v>
      </c>
      <c r="K276" s="17">
        <f t="shared" si="112"/>
        <v>215.64681925458407</v>
      </c>
      <c r="L276" s="17">
        <f t="shared" si="120"/>
        <v>572.65386802885132</v>
      </c>
      <c r="M276" s="3">
        <f>((K276-(('Model tilvækst, slagteform, fe'!$J$9/100)*'Model tilvækst, slagteform, fe'!$D$9))*1000/(A276+Forudsætninger!$E$60))</f>
        <v>630.36261651529298</v>
      </c>
      <c r="N276" s="17">
        <f t="shared" si="121"/>
        <v>1513.6505125165515</v>
      </c>
      <c r="O276" s="19">
        <f>IF( A276&lt;Forudsætninger!$C$14,(G276/100)*Forudsætninger!$C$13,(Forudsætninger!$C$15/1000)*Forudsætninger!$C$13)</f>
        <v>2.6146388812725347</v>
      </c>
      <c r="P276" s="17" cm="1">
        <f t="array" ref="P276">INDEX('Model tilvækst, slagteform, fe'!$P$9:$P$375,MATCH(MIN(ABS('Model tilvækst, slagteform, fe'!$M$9:$M$375-G276)),ABS('Model tilvækst, slagteform, fe'!$M$9:$M$375-G276),0))*(1+Forudsætninger!$E$80)</f>
        <v>7.5054500339121901</v>
      </c>
      <c r="Q276" s="17">
        <f t="shared" si="122"/>
        <v>13.10643383890328</v>
      </c>
      <c r="R276" s="17">
        <f t="shared" si="123"/>
        <v>8.2857965334986847</v>
      </c>
      <c r="S276" s="17">
        <f t="shared" si="124"/>
        <v>4.5284692344247066</v>
      </c>
      <c r="T276" s="19">
        <f>(P276)*IF(N276&lt;Forudsætninger!$B$228,IF(N276&lt;Forudsætninger!$B$227,Forudsætninger!$B$225,Forudsætninger!$C$9),Forudsætninger!$C$11)+O276</f>
        <v>20.177391960627059</v>
      </c>
      <c r="U276" s="5">
        <f>Forudsætninger!$E$68+((K276-(Forudsætninger!$E$84)))*0.01</f>
        <v>6.8730319021175097</v>
      </c>
      <c r="V276" s="2">
        <f>U276+Forudsætninger!$E$69</f>
        <v>6.8730319021175097</v>
      </c>
      <c r="W276">
        <f t="shared" si="113"/>
        <v>1</v>
      </c>
      <c r="X276">
        <f>IF(A276+Forudsætninger!$E$60&gt;248,IF(A276+Forudsætninger!$E$60&lt;365,IF(K276&gt;180,IF(K276&lt;260,1,0),0),0),0)</f>
        <v>1</v>
      </c>
      <c r="Y276" s="22">
        <f>IF(X276=0,0,IF('Vækstfunktion, kry kvie'!A276&lt;Forudsætninger!$E$66,Forudsætninger!$E$67+(('Vækstfunktion, kry kvie'!A276-Forudsætninger!$E$66)/7)*Forudsætninger!$E$64,Forudsætninger!$E$67))</f>
        <v>0.98</v>
      </c>
      <c r="Z276" s="19">
        <f t="shared" si="128"/>
        <v>4460.6618319161953</v>
      </c>
      <c r="AA276" s="19">
        <f>Forudsætninger!$E$62+Forudsætninger!$C$16</f>
        <v>1575</v>
      </c>
      <c r="AB276" s="19">
        <f>IF(K276&gt;Forudsætninger!$C$48,IF(K276&gt;Forudsætninger!$C$49,IF(K276&gt;Forudsætninger!$C$50,Forudsætninger!$E$50,Forudsætninger!$E$49+Forudsætninger!$F$50*(K276-Forudsætninger!$C$49)),Forudsætninger!$E$48+Forudsætninger!$F$49*(K276-Forudsætninger!$C$48)),Forudsætninger!$E$48)+IF(K276&gt;Forudsætninger!$C$50,Forudsætninger!$G$50,IF(K276&gt;Forudsætninger!$C$49,Forudsætninger!$G$49+Forudsætninger!$H$50*(K276-Forudsætninger!$C$49),IF(K276&gt;Forudsætninger!$C$48,Forudsætninger!$G$48+Forudsætninger!$H$49*(K276-Forudsætninger!$C$48),Forudsætninger!$G$48)))*(U276-Forudsætninger!$H$48)</f>
        <v>36.493181051235204</v>
      </c>
      <c r="AC276" s="19">
        <f>IF(K276&gt;Forudsætninger!$C$52,IF(K276&gt;Forudsætninger!$C$53,IF(K276&gt;Forudsætninger!$C$54,Forudsætninger!$E$54,Forudsætninger!$E$53+Forudsætninger!$F$54*(K276-Forudsætninger!$C$53)),Forudsætninger!$E$52+Forudsætninger!$F$53*(K276-Forudsætninger!$C$52)),Forudsætninger!$E$52)+IF(K276&gt;Forudsætninger!$C$54,Forudsætninger!$G$54,IF(K276&gt;Forudsætninger!$C$53,Forudsætninger!$G$53+Forudsætninger!$H$54*(K276-Forudsætninger!$C$53),IF(K276&gt;Forudsætninger!$C$52,Forudsætninger!$G$52+Forudsætninger!$H$53*(K276-Forudsætninger!$C$52),Forudsætninger!$G$52)))*(V276-Forudsætninger!$H$52)</f>
        <v>30.757047796535122</v>
      </c>
      <c r="AD276" s="19">
        <f t="shared" si="114"/>
        <v>7844.8988403566009</v>
      </c>
      <c r="AE276" s="19">
        <f t="shared" si="115"/>
        <v>36.378458386141205</v>
      </c>
      <c r="AF276">
        <f>IF(G276&lt;=Forudsætninger!$C$97,Forudsætninger!$C$98,(IF(G276&lt;=Forudsætninger!$D$97,Forudsætninger!$D$98,IF(G276&lt;=Forudsætninger!$E$97,Forudsætninger!$E$98,IF(G276&lt;=Forudsætninger!$F$97,Forudsætninger!$F$98,IF(G276&lt;=Forudsætninger!$G$97,Forudsætninger!$G$98,IF(G276&lt;=Forudsætninger!$H$97,Forudsætninger!$H$98,IF(G276&lt;=Forudsætninger!$I$97,Forudsætninger!$I$98,Forudsætninger!$I$98))))))))</f>
        <v>4.4000000000000004</v>
      </c>
      <c r="AG276" s="1">
        <f t="shared" si="125"/>
        <v>4.4000000000000004</v>
      </c>
      <c r="AH276" s="1">
        <f t="shared" si="129"/>
        <v>865.19999999999675</v>
      </c>
      <c r="AI276" s="1">
        <f t="shared" si="116"/>
        <v>3.1576642335766305</v>
      </c>
      <c r="AJ276" s="20">
        <f>+(W276*Forudsætninger!$C$12)</f>
        <v>900</v>
      </c>
      <c r="AK276" s="20">
        <f>Forudsætninger!$C$17</f>
        <v>250</v>
      </c>
      <c r="AL276" s="20">
        <f>IF(A276&lt;92,Forudsætninger!$C$20,Forudsætninger!$C$21)</f>
        <v>1.0566762728146013</v>
      </c>
      <c r="AM276" s="20">
        <f t="shared" si="126"/>
        <v>558.03478160449185</v>
      </c>
      <c r="AN276" s="19">
        <f>IFERROR(AD276+AJ276-AA276-Z276-AK276-AM276-Forudsætninger!$E$75,-999999)</f>
        <v>1709.9854654992971</v>
      </c>
      <c r="AO276" s="19">
        <f>IFERROR(AN276/(A276+Forudsætninger!$E$74),-999999)</f>
        <v>6.2408228667857557</v>
      </c>
      <c r="AP276" s="19">
        <f>IFERROR(((365/(A276+Forudsætninger!$E$74))*AN276)/(AI276+Forudsætninger!$E$73),-999999)</f>
        <v>697.10355273666505</v>
      </c>
      <c r="AQ276" s="18">
        <f t="shared" si="117"/>
        <v>274</v>
      </c>
      <c r="AR276" s="18">
        <f t="shared" si="130"/>
        <v>6843.6966135206876</v>
      </c>
      <c r="AS276" s="18">
        <f t="shared" si="109"/>
        <v>10.199999999999999</v>
      </c>
      <c r="AT276" s="50">
        <f t="shared" si="131"/>
        <v>2.0486088789753012</v>
      </c>
      <c r="AU276" s="50">
        <f t="shared" si="132"/>
        <v>-1.535609519344483E-2</v>
      </c>
      <c r="AV276" s="2">
        <f t="shared" si="133"/>
        <v>-2.6898451803557464</v>
      </c>
      <c r="AW276" s="16">
        <f t="shared" si="127"/>
        <v>8.2774461573130989</v>
      </c>
      <c r="AZ276" s="16"/>
      <c r="BA276" s="2"/>
    </row>
    <row r="277" spans="1:53" x14ac:dyDescent="0.25">
      <c r="A277">
        <v>275</v>
      </c>
      <c r="B277" s="1">
        <f>ROUND((A277+Forudsætninger!$E$60)/30.4,1)</f>
        <v>10.199999999999999</v>
      </c>
      <c r="C277" s="1">
        <f>VLOOKUP((A277+Forudsætninger!$E$60),'Model tilvækst, slagteform, fe'!A:D,4,FALSE)</f>
        <v>438.30555255127319</v>
      </c>
      <c r="D277" s="3">
        <f t="shared" si="134"/>
        <v>1074.9703986754753</v>
      </c>
      <c r="E277" s="3">
        <f>(1+Forudsætninger!$E$78)*C277</f>
        <v>403.24110834717135</v>
      </c>
      <c r="F277" s="2">
        <f t="shared" si="118"/>
        <v>0</v>
      </c>
      <c r="G277" s="1">
        <f t="shared" si="110"/>
        <v>403.24110834717135</v>
      </c>
      <c r="H277" s="3">
        <f t="shared" si="119"/>
        <v>988.97276678144408</v>
      </c>
      <c r="I277" s="3">
        <f t="shared" si="111"/>
        <v>1219.0585758078957</v>
      </c>
      <c r="J277" s="1">
        <f>VLOOKUP((A277+Forudsætninger!$E$60),'Model tilvækst, slagteform, fe'!G:K,4,FALSE)*(1+Forudsætninger!$E$79)</f>
        <v>53.619876197671509</v>
      </c>
      <c r="K277" s="17">
        <f t="shared" si="112"/>
        <v>216.21738307387173</v>
      </c>
      <c r="L277" s="17">
        <f t="shared" si="120"/>
        <v>570.56381928765632</v>
      </c>
      <c r="M277" s="3">
        <f>((K277-(('Model tilvækst, slagteform, fe'!$J$9/100)*'Model tilvækst, slagteform, fe'!$D$9))*1000/(A277+Forudsætninger!$E$60))</f>
        <v>630.17033742452884</v>
      </c>
      <c r="N277" s="17">
        <f t="shared" si="121"/>
        <v>1521.1580572703951</v>
      </c>
      <c r="O277" s="19">
        <f>IF( A277&lt;Forudsætninger!$C$14,(G277/100)*Forudsætninger!$C$13,(Forudsætninger!$C$15/1000)*Forudsætninger!$C$13)</f>
        <v>2.6210672042566139</v>
      </c>
      <c r="P277" s="17" cm="1">
        <f t="array" ref="P277">INDEX('Model tilvækst, slagteform, fe'!$P$9:$P$375,MATCH(MIN(ABS('Model tilvækst, slagteform, fe'!$M$9:$M$375-G277)),ABS('Model tilvækst, slagteform, fe'!$M$9:$M$375-G277),0))*(1+Forudsætninger!$E$80)</f>
        <v>7.5075447538436926</v>
      </c>
      <c r="Q277" s="17">
        <f t="shared" si="122"/>
        <v>13.158115709504317</v>
      </c>
      <c r="R277" s="17">
        <f t="shared" si="123"/>
        <v>8.3009668379146717</v>
      </c>
      <c r="S277" s="17">
        <f t="shared" si="124"/>
        <v>4.5375045583464173</v>
      </c>
      <c r="T277" s="19">
        <f>(P277)*IF(N277&lt;Forudsætninger!$B$228,IF(N277&lt;Forudsætninger!$B$227,Forudsætninger!$B$225,Forudsætninger!$C$9),Forudsætninger!$C$11)+O277</f>
        <v>20.188721928250853</v>
      </c>
      <c r="U277" s="5">
        <f>Forudsætninger!$E$68+((K277-(Forudsætninger!$E$84)))*0.01</f>
        <v>6.8787375403103868</v>
      </c>
      <c r="V277" s="2">
        <f>U277+Forudsætninger!$E$69</f>
        <v>6.8787375403103868</v>
      </c>
      <c r="W277">
        <f t="shared" si="113"/>
        <v>1</v>
      </c>
      <c r="X277">
        <f>IF(A277+Forudsætninger!$E$60&gt;248,IF(A277+Forudsætninger!$E$60&lt;365,IF(K277&gt;180,IF(K277&lt;260,1,0),0),0),0)</f>
        <v>1</v>
      </c>
      <c r="Y277" s="22">
        <f>IF(X277=0,0,IF('Vækstfunktion, kry kvie'!A277&lt;Forudsætninger!$E$66,Forudsætninger!$E$67+(('Vækstfunktion, kry kvie'!A277-Forudsætninger!$E$66)/7)*Forudsætninger!$E$64,Forudsætninger!$E$67))</f>
        <v>0.98</v>
      </c>
      <c r="Z277" s="19">
        <f t="shared" si="128"/>
        <v>4480.850553844446</v>
      </c>
      <c r="AA277" s="19">
        <f>Forudsætninger!$E$62+Forudsætninger!$C$16</f>
        <v>1575</v>
      </c>
      <c r="AB277" s="19">
        <f>IF(K277&gt;Forudsætninger!$C$48,IF(K277&gt;Forudsætninger!$C$49,IF(K277&gt;Forudsætninger!$C$50,Forudsætninger!$E$50,Forudsætninger!$E$49+Forudsætninger!$F$50*(K277-Forudsætninger!$C$49)),Forudsætninger!$E$48+Forudsætninger!$F$49*(K277-Forudsætninger!$C$48)),Forudsætninger!$E$48)+IF(K277&gt;Forudsætninger!$C$50,Forudsætninger!$G$50,IF(K277&gt;Forudsætninger!$C$49,Forudsætninger!$G$49+Forudsætninger!$H$50*(K277-Forudsætninger!$C$49),IF(K277&gt;Forudsætninger!$C$48,Forudsætninger!$G$48+Forudsætninger!$H$49*(K277-Forudsætninger!$C$48),Forudsætninger!$G$48)))*(U277-Forudsætninger!$H$48)</f>
        <v>36.504449686666135</v>
      </c>
      <c r="AC277" s="19">
        <f>IF(K277&gt;Forudsætninger!$C$52,IF(K277&gt;Forudsætninger!$C$53,IF(K277&gt;Forudsætninger!$C$54,Forudsætninger!$E$54,Forudsætninger!$E$53+Forudsætninger!$F$54*(K277-Forudsætninger!$C$53)),Forudsætninger!$E$52+Forudsætninger!$F$53*(K277-Forudsætninger!$C$52)),Forudsætninger!$E$52)+IF(K277&gt;Forudsætninger!$C$54,Forudsætninger!$G$54,IF(K277&gt;Forudsætninger!$C$53,Forudsætninger!$G$53+Forudsætninger!$H$54*(K277-Forudsætninger!$C$53),IF(K277&gt;Forudsætninger!$C$52,Forudsætninger!$G$52+Forudsætninger!$H$53*(K277-Forudsætninger!$C$52),Forudsætninger!$G$52)))*(V277-Forudsætninger!$H$52)</f>
        <v>30.77245871847958</v>
      </c>
      <c r="AD277" s="19">
        <f t="shared" si="114"/>
        <v>7868.1094600638808</v>
      </c>
      <c r="AE277" s="19">
        <f t="shared" si="115"/>
        <v>36.389809867302404</v>
      </c>
      <c r="AF277">
        <f>IF(G277&lt;=Forudsætninger!$C$97,Forudsætninger!$C$98,(IF(G277&lt;=Forudsætninger!$D$97,Forudsætninger!$D$98,IF(G277&lt;=Forudsætninger!$E$97,Forudsætninger!$E$98,IF(G277&lt;=Forudsætninger!$F$97,Forudsætninger!$F$98,IF(G277&lt;=Forudsætninger!$G$97,Forudsætninger!$G$98,IF(G277&lt;=Forudsætninger!$H$97,Forudsætninger!$H$98,IF(G277&lt;=Forudsætninger!$I$97,Forudsætninger!$I$98,Forudsætninger!$I$98))))))))</f>
        <v>4.4000000000000004</v>
      </c>
      <c r="AG277" s="1">
        <f t="shared" si="125"/>
        <v>4.4000000000000004</v>
      </c>
      <c r="AH277" s="1">
        <f t="shared" si="129"/>
        <v>869.59999999999673</v>
      </c>
      <c r="AI277" s="1">
        <f t="shared" si="116"/>
        <v>3.1621818181818062</v>
      </c>
      <c r="AJ277" s="20">
        <f>+(W277*Forudsætninger!$C$12)</f>
        <v>900</v>
      </c>
      <c r="AK277" s="20">
        <f>Forudsætninger!$C$17</f>
        <v>250</v>
      </c>
      <c r="AL277" s="20">
        <f>IF(A277&lt;92,Forudsætninger!$C$20,Forudsætninger!$C$21)</f>
        <v>1.0566762728146013</v>
      </c>
      <c r="AM277" s="20">
        <f t="shared" si="126"/>
        <v>559.09145787730642</v>
      </c>
      <c r="AN277" s="19">
        <f>IFERROR(AD277+AJ277-AA277-Z277-AK277-AM277-Forudsætninger!$E$75,-999999)</f>
        <v>1711.9506870055127</v>
      </c>
      <c r="AO277" s="19">
        <f>IFERROR(AN277/(A277+Forudsætninger!$E$74),-999999)</f>
        <v>6.2252752254745918</v>
      </c>
      <c r="AP277" s="19">
        <f>IFERROR(((365/(A277+Forudsætninger!$E$74))*AN277)/(AI277+Forudsætninger!$E$73),-999999)</f>
        <v>694.40684642664269</v>
      </c>
      <c r="AQ277" s="18">
        <f t="shared" si="117"/>
        <v>275</v>
      </c>
      <c r="AR277" s="18">
        <f t="shared" si="130"/>
        <v>6864.9420117217524</v>
      </c>
      <c r="AS277" s="18">
        <f t="shared" si="109"/>
        <v>10.199999999999999</v>
      </c>
      <c r="AT277" s="50">
        <f t="shared" si="131"/>
        <v>1.9652215062155847</v>
      </c>
      <c r="AU277" s="50">
        <f t="shared" si="132"/>
        <v>-1.5547641311163929E-2</v>
      </c>
      <c r="AV277" s="2">
        <f t="shared" si="133"/>
        <v>-2.6967063100223641</v>
      </c>
      <c r="AW277" s="16">
        <f t="shared" si="127"/>
        <v>8.2583350723011613</v>
      </c>
      <c r="AZ277" s="16"/>
      <c r="BA277" s="2"/>
    </row>
    <row r="278" spans="1:53" x14ac:dyDescent="0.25">
      <c r="A278">
        <v>276</v>
      </c>
      <c r="B278" s="1">
        <f>ROUND((A278+Forudsætninger!$E$60)/30.4,1)</f>
        <v>10.3</v>
      </c>
      <c r="C278" s="1">
        <f>VLOOKUP((A278+Forudsætninger!$E$60),'Model tilvækst, slagteform, fe'!A:D,4,FALSE)</f>
        <v>439.37578731614758</v>
      </c>
      <c r="D278" s="3">
        <f>(C278-C277)*1000</f>
        <v>1070.2347648743853</v>
      </c>
      <c r="E278" s="3">
        <f>(1+Forudsætninger!$E$78)*C278</f>
        <v>404.22572433085577</v>
      </c>
      <c r="F278" s="2">
        <f t="shared" si="118"/>
        <v>0</v>
      </c>
      <c r="G278" s="1">
        <f t="shared" si="110"/>
        <v>404.22572433085577</v>
      </c>
      <c r="H278" s="3">
        <f t="shared" si="119"/>
        <v>984.61598368442083</v>
      </c>
      <c r="I278" s="3">
        <f t="shared" si="111"/>
        <v>1218.2091461262889</v>
      </c>
      <c r="J278" s="1">
        <f>VLOOKUP((A278+Forudsætninger!$E$60),'Model tilvækst, slagteform, fe'!G:K,4,FALSE)*(1+Forudsætninger!$E$79)</f>
        <v>53.629902220514758</v>
      </c>
      <c r="K278" s="17">
        <f t="shared" si="112"/>
        <v>216.78586070880547</v>
      </c>
      <c r="L278" s="17">
        <f t="shared" si="120"/>
        <v>568.47763493374259</v>
      </c>
      <c r="M278" s="3">
        <f>((K278-(('Model tilvækst, slagteform, fe'!$J$9/100)*'Model tilvækst, slagteform, fe'!$D$9))*1000/(A278+Forudsætninger!$E$60))</f>
        <v>629.97260440372509</v>
      </c>
      <c r="N278" s="17">
        <f t="shared" si="121"/>
        <v>1528.6677921968253</v>
      </c>
      <c r="O278" s="19">
        <f>IF( A278&lt;Forudsætninger!$C$14,(G278/100)*Forudsætninger!$C$13,(Forudsætninger!$C$15/1000)*Forudsætninger!$C$13)</f>
        <v>2.6274672081505623</v>
      </c>
      <c r="P278" s="17" cm="1">
        <f t="array" ref="P278">INDEX('Model tilvækst, slagteform, fe'!$P$9:$P$375,MATCH(MIN(ABS('Model tilvækst, slagteform, fe'!$M$9:$M$375-G278)),ABS('Model tilvækst, slagteform, fe'!$M$9:$M$375-G278),0))*(1+Forudsætninger!$E$80)</f>
        <v>7.5097349264302409</v>
      </c>
      <c r="Q278" s="17">
        <f t="shared" si="122"/>
        <v>13.21025571622623</v>
      </c>
      <c r="R278" s="17">
        <f t="shared" si="123"/>
        <v>8.3161492624698337</v>
      </c>
      <c r="S278" s="17">
        <f t="shared" si="124"/>
        <v>4.5465521570044185</v>
      </c>
      <c r="T278" s="19">
        <f>(P278)*IF(N278&lt;Forudsætninger!$B$228,IF(N278&lt;Forudsætninger!$B$227,Forudsætninger!$B$225,Forudsætninger!$C$9),Forudsætninger!$C$11)+O278</f>
        <v>20.200246935997324</v>
      </c>
      <c r="U278" s="5">
        <f>Forudsætninger!$E$68+((K278-(Forudsætninger!$E$84)))*0.01</f>
        <v>6.884422316659724</v>
      </c>
      <c r="V278" s="2">
        <f>U278+Forudsætninger!$E$69</f>
        <v>6.884422316659724</v>
      </c>
      <c r="W278">
        <f t="shared" si="113"/>
        <v>1</v>
      </c>
      <c r="X278">
        <f>IF(A278+Forudsætninger!$E$60&gt;248,IF(A278+Forudsætninger!$E$60&lt;365,IF(K278&gt;180,IF(K278&lt;260,1,0),0),0),0)</f>
        <v>1</v>
      </c>
      <c r="Y278" s="22">
        <f>IF(X278=0,0,IF('Vækstfunktion, kry kvie'!A278&lt;Forudsætninger!$E$66,Forudsætninger!$E$67+(('Vækstfunktion, kry kvie'!A278-Forudsætninger!$E$66)/7)*Forudsætninger!$E$64,Forudsætninger!$E$67))</f>
        <v>0.98</v>
      </c>
      <c r="Z278" s="19">
        <f t="shared" si="128"/>
        <v>4501.0508007804438</v>
      </c>
      <c r="AA278" s="19">
        <f>Forudsætninger!$E$62+Forudsætninger!$C$16</f>
        <v>1575</v>
      </c>
      <c r="AB278" s="19">
        <f>IF(K278&gt;Forudsætninger!$C$48,IF(K278&gt;Forudsætninger!$C$49,IF(K278&gt;Forudsætninger!$C$50,Forudsætninger!$E$50,Forudsætninger!$E$49+Forudsætninger!$F$50*(K278-Forudsætninger!$C$49)),Forudsætninger!$E$48+Forudsætninger!$F$49*(K278-Forudsætninger!$C$48)),Forudsætninger!$E$48)+IF(K278&gt;Forudsætninger!$C$50,Forudsætninger!$G$50,IF(K278&gt;Forudsætninger!$C$49,Forudsætninger!$G$49+Forudsætninger!$H$50*(K278-Forudsætninger!$C$49),IF(K278&gt;Forudsætninger!$C$48,Forudsætninger!$G$48+Forudsætninger!$H$49*(K278-Forudsætninger!$C$48),Forudsætninger!$G$48)))*(U278-Forudsætninger!$H$48)</f>
        <v>36.515677119956081</v>
      </c>
      <c r="AC278" s="19">
        <f>IF(K278&gt;Forudsætninger!$C$52,IF(K278&gt;Forudsætninger!$C$53,IF(K278&gt;Forudsætninger!$C$54,Forudsætninger!$E$54,Forudsætninger!$E$53+Forudsætninger!$F$54*(K278-Forudsætninger!$C$53)),Forudsætninger!$E$52+Forudsætninger!$F$53*(K278-Forudsætninger!$C$52)),Forudsætninger!$E$52)+IF(K278&gt;Forudsætninger!$C$54,Forudsætninger!$G$54,IF(K278&gt;Forudsætninger!$C$53,Forudsætninger!$G$53+Forudsætninger!$H$54*(K278-Forudsætninger!$C$53),IF(K278&gt;Forudsætninger!$C$52,Forudsætninger!$G$52+Forudsætninger!$H$53*(K278-Forudsætninger!$C$52),Forudsætninger!$G$52)))*(V278-Forudsætninger!$H$52)</f>
        <v>30.787799802618057</v>
      </c>
      <c r="AD278" s="19">
        <f t="shared" si="114"/>
        <v>7891.2480375290424</v>
      </c>
      <c r="AE278" s="19">
        <f t="shared" si="115"/>
        <v>36.401119573609321</v>
      </c>
      <c r="AF278">
        <f>IF(G278&lt;=Forudsætninger!$C$97,Forudsætninger!$C$98,(IF(G278&lt;=Forudsætninger!$D$97,Forudsætninger!$D$98,IF(G278&lt;=Forudsætninger!$E$97,Forudsætninger!$E$98,IF(G278&lt;=Forudsætninger!$F$97,Forudsætninger!$F$98,IF(G278&lt;=Forudsætninger!$G$97,Forudsætninger!$G$98,IF(G278&lt;=Forudsætninger!$H$97,Forudsætninger!$H$98,IF(G278&lt;=Forudsætninger!$I$97,Forudsætninger!$I$98,Forudsætninger!$I$98))))))))</f>
        <v>4.4000000000000004</v>
      </c>
      <c r="AG278" s="1">
        <f t="shared" si="125"/>
        <v>4.4000000000000004</v>
      </c>
      <c r="AH278" s="1">
        <f t="shared" si="129"/>
        <v>873.9999999999967</v>
      </c>
      <c r="AI278" s="1">
        <f t="shared" si="116"/>
        <v>3.1666666666666545</v>
      </c>
      <c r="AJ278" s="20">
        <f>+(W278*Forudsætninger!$C$12)</f>
        <v>900</v>
      </c>
      <c r="AK278" s="20">
        <f>Forudsætninger!$C$17</f>
        <v>250</v>
      </c>
      <c r="AL278" s="20">
        <f>IF(A278&lt;92,Forudsætninger!$C$20,Forudsætninger!$C$21)</f>
        <v>1.0566762728146013</v>
      </c>
      <c r="AM278" s="20">
        <f t="shared" si="126"/>
        <v>560.148134150121</v>
      </c>
      <c r="AN278" s="19">
        <f>IFERROR(AD278+AJ278-AA278-Z278-AK278-AM278-Forudsætninger!$E$75,-999999)</f>
        <v>1713.8323412618629</v>
      </c>
      <c r="AO278" s="19">
        <f>IFERROR(AN278/(A278+Forudsætninger!$E$74),-999999)</f>
        <v>6.2095374683400832</v>
      </c>
      <c r="AP278" s="19">
        <f>IFERROR(((365/(A278+Forudsætninger!$E$74))*AN278)/(AI278+Forudsætninger!$E$73),-999999)</f>
        <v>691.7033090368684</v>
      </c>
      <c r="AQ278" s="18">
        <f t="shared" si="117"/>
        <v>276</v>
      </c>
      <c r="AR278" s="18">
        <f t="shared" si="130"/>
        <v>6886.198934930565</v>
      </c>
      <c r="AS278" s="18">
        <f t="shared" si="109"/>
        <v>10.3</v>
      </c>
      <c r="AT278" s="50">
        <f t="shared" si="131"/>
        <v>1.8816542563502026</v>
      </c>
      <c r="AU278" s="50">
        <f t="shared" si="132"/>
        <v>-1.5737757134508534E-2</v>
      </c>
      <c r="AV278" s="2">
        <f t="shared" si="133"/>
        <v>-2.7035373897742829</v>
      </c>
      <c r="AW278" s="16">
        <f t="shared" si="127"/>
        <v>8.239059693521682</v>
      </c>
      <c r="AZ278" s="16"/>
      <c r="BA278" s="2"/>
    </row>
    <row r="279" spans="1:53" x14ac:dyDescent="0.25">
      <c r="A279">
        <v>277</v>
      </c>
      <c r="B279" s="1">
        <f>ROUND((A279+Forudsætninger!$E$60)/30.4,1)</f>
        <v>10.3</v>
      </c>
      <c r="C279" s="1">
        <f>VLOOKUP((A279+Forudsætninger!$E$60),'Model tilvækst, slagteform, fe'!A:D,4,FALSE)</f>
        <v>440.44129865864221</v>
      </c>
      <c r="D279" s="3">
        <f t="shared" si="134"/>
        <v>1065.5113424946308</v>
      </c>
      <c r="E279" s="3">
        <f>(1+Forudsætninger!$E$78)*C279</f>
        <v>405.20599476595083</v>
      </c>
      <c r="F279" s="2">
        <f t="shared" si="118"/>
        <v>0</v>
      </c>
      <c r="G279" s="1">
        <f t="shared" si="110"/>
        <v>405.20599476595083</v>
      </c>
      <c r="H279" s="3">
        <f t="shared" si="119"/>
        <v>980.27043509506484</v>
      </c>
      <c r="I279" s="3">
        <f t="shared" si="111"/>
        <v>1217.3501616099309</v>
      </c>
      <c r="J279" s="1">
        <f>VLOOKUP((A279+Forudsætninger!$E$60),'Model tilvækst, slagteform, fe'!G:K,4,FALSE)*(1+Forudsætninger!$E$79)</f>
        <v>53.639940946489901</v>
      </c>
      <c r="K279" s="17">
        <f t="shared" si="112"/>
        <v>217.352256304093</v>
      </c>
      <c r="L279" s="17">
        <f t="shared" si="120"/>
        <v>566.39559528753125</v>
      </c>
      <c r="M279" s="3">
        <f>((K279-(('Model tilvækst, slagteform, fe'!$J$9/100)*'Model tilvækst, slagteform, fe'!$D$9))*1000/(A279+Forudsætninger!$E$60))</f>
        <v>629.76948296884905</v>
      </c>
      <c r="N279" s="17">
        <f t="shared" si="121"/>
        <v>1536.1798179688219</v>
      </c>
      <c r="O279" s="19">
        <f>IF( A279&lt;Forudsætninger!$C$14,(G279/100)*Forudsætninger!$C$13,(Forudsætninger!$C$15/1000)*Forudsætninger!$C$13)</f>
        <v>2.6338389659786805</v>
      </c>
      <c r="P279" s="17" cm="1">
        <f t="array" ref="P279">INDEX('Model tilvækst, slagteform, fe'!$P$9:$P$375,MATCH(MIN(ABS('Model tilvækst, slagteform, fe'!$M$9:$M$375-G279)),ABS('Model tilvækst, slagteform, fe'!$M$9:$M$375-G279),0))*(1+Forudsætninger!$E$80)</f>
        <v>7.5120257719965284</v>
      </c>
      <c r="Q279" s="17">
        <f t="shared" si="122"/>
        <v>13.262860506856592</v>
      </c>
      <c r="R279" s="17">
        <f t="shared" si="123"/>
        <v>8.3313445691105148</v>
      </c>
      <c r="S279" s="17">
        <f t="shared" si="124"/>
        <v>4.5556124203398554</v>
      </c>
      <c r="T279" s="19">
        <f>(P279)*IF(N279&lt;Forudsætninger!$B$228,IF(N279&lt;Forudsætninger!$B$227,Forudsætninger!$B$225,Forudsætninger!$C$9),Forudsætninger!$C$11)+O279</f>
        <v>20.211979272450556</v>
      </c>
      <c r="U279" s="5">
        <f>Forudsætninger!$E$68+((K279-(Forudsætninger!$E$84)))*0.01</f>
        <v>6.8900862726125993</v>
      </c>
      <c r="V279" s="2">
        <f>U279+Forudsætninger!$E$69</f>
        <v>6.8900862726125993</v>
      </c>
      <c r="W279">
        <f t="shared" si="113"/>
        <v>1</v>
      </c>
      <c r="X279">
        <f>IF(A279+Forudsætninger!$E$60&gt;248,IF(A279+Forudsætninger!$E$60&lt;365,IF(K279&gt;180,IF(K279&lt;260,1,0),0),0),0)</f>
        <v>1</v>
      </c>
      <c r="Y279" s="22">
        <f>IF(X279=0,0,IF('Vækstfunktion, kry kvie'!A279&lt;Forudsætninger!$E$66,Forudsætninger!$E$67+(('Vækstfunktion, kry kvie'!A279-Forudsætninger!$E$66)/7)*Forudsætninger!$E$64,Forudsætninger!$E$67))</f>
        <v>0.98</v>
      </c>
      <c r="Z279" s="19">
        <f t="shared" si="128"/>
        <v>4521.2627800528944</v>
      </c>
      <c r="AA279" s="19">
        <f>Forudsætninger!$E$62+Forudsætninger!$C$16</f>
        <v>1575</v>
      </c>
      <c r="AB279" s="19">
        <f>IF(K279&gt;Forudsætninger!$C$48,IF(K279&gt;Forudsætninger!$C$49,IF(K279&gt;Forudsætninger!$C$50,Forudsætninger!$E$50,Forudsætninger!$E$49+Forudsætninger!$F$50*(K279-Forudsætninger!$C$49)),Forudsætninger!$E$48+Forudsætninger!$F$49*(K279-Forudsætninger!$C$48)),Forudsætninger!$E$48)+IF(K279&gt;Forudsætninger!$C$50,Forudsætninger!$G$50,IF(K279&gt;Forudsætninger!$C$49,Forudsætninger!$G$49+Forudsætninger!$H$50*(K279-Forudsætninger!$C$49),IF(K279&gt;Forudsætninger!$C$48,Forudsætninger!$G$48+Forudsætninger!$H$49*(K279-Forudsætninger!$C$48),Forudsætninger!$G$48)))*(U279-Forudsætninger!$H$48)</f>
        <v>36.526863432963005</v>
      </c>
      <c r="AC279" s="19">
        <f>IF(K279&gt;Forudsætninger!$C$52,IF(K279&gt;Forudsætninger!$C$53,IF(K279&gt;Forudsætninger!$C$54,Forudsætninger!$E$54,Forudsætninger!$E$53+Forudsætninger!$F$54*(K279-Forudsætninger!$C$53)),Forudsætninger!$E$52+Forudsætninger!$F$53*(K279-Forudsætninger!$C$52)),Forudsætninger!$E$52)+IF(K279&gt;Forudsætninger!$C$54,Forudsætninger!$G$54,IF(K279&gt;Forudsætninger!$C$53,Forudsætninger!$G$53+Forudsætninger!$H$54*(K279-Forudsætninger!$C$53),IF(K279&gt;Forudsætninger!$C$52,Forudsætninger!$G$52+Forudsætninger!$H$53*(K279-Forudsætninger!$C$52),Forudsætninger!$G$52)))*(V279-Forudsætninger!$H$52)</f>
        <v>30.803071308897447</v>
      </c>
      <c r="AD279" s="19">
        <f t="shared" si="114"/>
        <v>7914.3146002103522</v>
      </c>
      <c r="AE279" s="19">
        <f t="shared" si="115"/>
        <v>36.412387590481693</v>
      </c>
      <c r="AF279">
        <f>IF(G279&lt;=Forudsætninger!$C$97,Forudsætninger!$C$98,(IF(G279&lt;=Forudsætninger!$D$97,Forudsætninger!$D$98,IF(G279&lt;=Forudsætninger!$E$97,Forudsætninger!$E$98,IF(G279&lt;=Forudsætninger!$F$97,Forudsætninger!$F$98,IF(G279&lt;=Forudsætninger!$G$97,Forudsætninger!$G$98,IF(G279&lt;=Forudsætninger!$H$97,Forudsætninger!$H$98,IF(G279&lt;=Forudsætninger!$I$97,Forudsætninger!$I$98,Forudsætninger!$I$98))))))))</f>
        <v>4.4000000000000004</v>
      </c>
      <c r="AG279" s="1">
        <f t="shared" si="125"/>
        <v>4.4000000000000004</v>
      </c>
      <c r="AH279" s="1">
        <f t="shared" si="129"/>
        <v>878.39999999999668</v>
      </c>
      <c r="AI279" s="1">
        <f t="shared" si="116"/>
        <v>3.1711191335739954</v>
      </c>
      <c r="AJ279" s="20">
        <f>+(W279*Forudsætninger!$C$12)</f>
        <v>900</v>
      </c>
      <c r="AK279" s="20">
        <f>Forudsætninger!$C$17</f>
        <v>250</v>
      </c>
      <c r="AL279" s="20">
        <f>IF(A279&lt;92,Forudsætninger!$C$20,Forudsætninger!$C$21)</f>
        <v>1.0566762728146013</v>
      </c>
      <c r="AM279" s="20">
        <f t="shared" si="126"/>
        <v>561.20481042293557</v>
      </c>
      <c r="AN279" s="19">
        <f>IFERROR(AD279+AJ279-AA279-Z279-AK279-AM279-Forudsætninger!$E$75,-999999)</f>
        <v>1715.6302483979073</v>
      </c>
      <c r="AO279" s="19">
        <f>IFERROR(AN279/(A279+Forudsætninger!$E$74),-999999)</f>
        <v>6.1936110050465967</v>
      </c>
      <c r="AP279" s="19">
        <f>IFERROR(((365/(A279+Forudsætninger!$E$74))*AN279)/(AI279+Forudsætninger!$E$73),-999999)</f>
        <v>688.99297002347805</v>
      </c>
      <c r="AQ279" s="18">
        <f t="shared" si="117"/>
        <v>277</v>
      </c>
      <c r="AR279" s="18">
        <f t="shared" si="130"/>
        <v>6907.4675904758296</v>
      </c>
      <c r="AS279" s="18">
        <f t="shared" si="109"/>
        <v>10.3</v>
      </c>
      <c r="AT279" s="50">
        <f t="shared" si="131"/>
        <v>1.7979071360443868</v>
      </c>
      <c r="AU279" s="50">
        <f t="shared" si="132"/>
        <v>-1.592646329348657E-2</v>
      </c>
      <c r="AV279" s="2">
        <f t="shared" si="133"/>
        <v>-2.7103390133903531</v>
      </c>
      <c r="AW279" s="16">
        <f t="shared" si="127"/>
        <v>8.2196211509777708</v>
      </c>
      <c r="AZ279" s="16"/>
      <c r="BA279" s="2"/>
    </row>
    <row r="280" spans="1:53" x14ac:dyDescent="0.25">
      <c r="A280">
        <v>278</v>
      </c>
      <c r="B280" s="1">
        <f>ROUND((A280+Forudsætninger!$E$60)/30.4,1)</f>
        <v>10.3</v>
      </c>
      <c r="C280" s="1">
        <f>VLOOKUP((A280+Forudsætninger!$E$60),'Model tilvækst, slagteform, fe'!A:D,4,FALSE)</f>
        <v>441.50209937519855</v>
      </c>
      <c r="D280" s="3">
        <f t="shared" si="134"/>
        <v>1060.8007165563436</v>
      </c>
      <c r="E280" s="3">
        <f>(1+Forudsætninger!$E$78)*C280</f>
        <v>406.18193142518271</v>
      </c>
      <c r="F280" s="2">
        <f t="shared" si="118"/>
        <v>0</v>
      </c>
      <c r="G280" s="1">
        <f t="shared" si="110"/>
        <v>406.18193142518271</v>
      </c>
      <c r="H280" s="3">
        <f t="shared" si="119"/>
        <v>975.936659231877</v>
      </c>
      <c r="I280" s="3">
        <f t="shared" si="111"/>
        <v>1216.4817677164847</v>
      </c>
      <c r="J280" s="1">
        <f>VLOOKUP((A280+Forudsætninger!$E$60),'Model tilvækst, slagteform, fe'!G:K,4,FALSE)*(1+Forudsætninger!$E$79)</f>
        <v>53.649992140353753</v>
      </c>
      <c r="K280" s="17">
        <f t="shared" si="112"/>
        <v>217.91657428514759</v>
      </c>
      <c r="L280" s="17">
        <f t="shared" si="120"/>
        <v>564.31798105458597</v>
      </c>
      <c r="M280" s="3">
        <f>((K280-(('Model tilvækst, slagteform, fe'!$J$9/100)*'Model tilvækst, slagteform, fe'!$D$9))*1000/(A280+Forudsætninger!$E$60))</f>
        <v>629.56103869523679</v>
      </c>
      <c r="N280" s="17">
        <f t="shared" si="121"/>
        <v>1543.6942404796891</v>
      </c>
      <c r="O280" s="19">
        <f>IF( A280&lt;Forudsætninger!$C$14,(G280/100)*Forudsætninger!$C$13,(Forudsætninger!$C$15/1000)*Forudsætninger!$C$13)</f>
        <v>2.6401825542636876</v>
      </c>
      <c r="P280" s="17" cm="1">
        <f t="array" ref="P280">INDEX('Model tilvækst, slagteform, fe'!$P$9:$P$375,MATCH(MIN(ABS('Model tilvækst, slagteform, fe'!$M$9:$M$375-G280)),ABS('Model tilvækst, slagteform, fe'!$M$9:$M$375-G280),0))*(1+Forudsætninger!$E$80)</f>
        <v>7.5144225108672504</v>
      </c>
      <c r="Q280" s="17">
        <f t="shared" si="122"/>
        <v>13.315936693749242</v>
      </c>
      <c r="R280" s="17">
        <f t="shared" si="123"/>
        <v>8.3465535254985657</v>
      </c>
      <c r="S280" s="17">
        <f t="shared" si="124"/>
        <v>4.5646857417076596</v>
      </c>
      <c r="T280" s="19">
        <f>(P280)*IF(N280&lt;Forudsætninger!$B$228,IF(N280&lt;Forudsætninger!$B$227,Forudsætninger!$B$225,Forudsætninger!$C$9),Forudsætninger!$C$11)+O280</f>
        <v>20.223931229693054</v>
      </c>
      <c r="U280" s="5">
        <f>Forudsætninger!$E$68+((K280-(Forudsætninger!$E$84)))*0.01</f>
        <v>6.8957294524231454</v>
      </c>
      <c r="V280" s="2">
        <f>U280+Forudsætninger!$E$69</f>
        <v>6.8957294524231454</v>
      </c>
      <c r="W280">
        <f t="shared" si="113"/>
        <v>1</v>
      </c>
      <c r="X280">
        <f>IF(A280+Forudsætninger!$E$60&gt;248,IF(A280+Forudsætninger!$E$60&lt;365,IF(K280&gt;180,IF(K280&lt;260,1,0),0),0),0)</f>
        <v>1</v>
      </c>
      <c r="Y280" s="22">
        <f>IF(X280=0,0,IF('Vækstfunktion, kry kvie'!A280&lt;Forudsætninger!$E$66,Forudsætninger!$E$67+(('Vækstfunktion, kry kvie'!A280-Forudsætninger!$E$66)/7)*Forudsætninger!$E$64,Forudsætninger!$E$67))</f>
        <v>0.98</v>
      </c>
      <c r="Z280" s="19">
        <f>Z279+T280</f>
        <v>4541.4867112825877</v>
      </c>
      <c r="AA280" s="19">
        <f>Forudsætninger!$E$62+Forudsætninger!$C$16</f>
        <v>1575</v>
      </c>
      <c r="AB280" s="19">
        <f>IF(K280&gt;Forudsætninger!$C$48,IF(K280&gt;Forudsætninger!$C$49,IF(K280&gt;Forudsætninger!$C$50,Forudsætninger!$E$50,Forudsætninger!$E$49+Forudsætninger!$F$50*(K280-Forudsætninger!$C$49)),Forudsætninger!$E$48+Forudsætninger!$F$49*(K280-Forudsætninger!$C$48)),Forudsætninger!$E$48)+IF(K280&gt;Forudsætninger!$C$50,Forudsætninger!$G$50,IF(K280&gt;Forudsætninger!$C$49,Forudsætninger!$G$49+Forudsætninger!$H$50*(K280-Forudsætninger!$C$49),IF(K280&gt;Forudsætninger!$C$48,Forudsætninger!$G$48+Forudsætninger!$H$49*(K280-Forudsætninger!$C$48),Forudsætninger!$G$48)))*(U280-Forudsætninger!$H$48)</f>
        <v>36.538008713088828</v>
      </c>
      <c r="AC280" s="19">
        <f>IF(K280&gt;Forudsætninger!$C$52,IF(K280&gt;Forudsætninger!$C$53,IF(K280&gt;Forudsætninger!$C$54,Forudsætninger!$E$54,Forudsætninger!$E$53+Forudsætninger!$F$54*(K280-Forudsætninger!$C$53)),Forudsætninger!$E$52+Forudsætninger!$F$53*(K280-Forudsætninger!$C$52)),Forudsætninger!$E$52)+IF(K280&gt;Forudsætninger!$C$54,Forudsætninger!$G$54,IF(K280&gt;Forudsætninger!$C$53,Forudsætninger!$G$53+Forudsætninger!$H$54*(K280-Forudsætninger!$C$53),IF(K280&gt;Forudsætninger!$C$52,Forudsætninger!$G$52+Forudsætninger!$H$53*(K280-Forudsætninger!$C$52),Forudsætninger!$G$52)))*(V280-Forudsætninger!$H$52)</f>
        <v>30.818273503889444</v>
      </c>
      <c r="AD280" s="19">
        <f t="shared" si="114"/>
        <v>7937.3091879050544</v>
      </c>
      <c r="AE280" s="19">
        <f t="shared" si="115"/>
        <v>36.423614008904842</v>
      </c>
      <c r="AF280">
        <f>IF(G280&lt;=Forudsætninger!$C$97,Forudsætninger!$C$98,(IF(G280&lt;=Forudsætninger!$D$97,Forudsætninger!$D$98,IF(G280&lt;=Forudsætninger!$E$97,Forudsætninger!$E$98,IF(G280&lt;=Forudsætninger!$F$97,Forudsætninger!$F$98,IF(G280&lt;=Forudsætninger!$G$97,Forudsætninger!$G$98,IF(G280&lt;=Forudsætninger!$H$97,Forudsætninger!$H$98,IF(G280&lt;=Forudsætninger!$I$97,Forudsætninger!$I$98,Forudsætninger!$I$98))))))))</f>
        <v>4.4000000000000004</v>
      </c>
      <c r="AG280" s="1">
        <f t="shared" si="125"/>
        <v>4.4000000000000004</v>
      </c>
      <c r="AH280" s="1">
        <f t="shared" si="129"/>
        <v>882.79999999999666</v>
      </c>
      <c r="AI280" s="1">
        <f t="shared" si="116"/>
        <v>3.1755395683453118</v>
      </c>
      <c r="AJ280" s="20">
        <f>+(W280*Forudsætninger!$C$12)</f>
        <v>900</v>
      </c>
      <c r="AK280" s="20">
        <f>Forudsætninger!$C$17</f>
        <v>250</v>
      </c>
      <c r="AL280" s="20">
        <f>IF(A280&lt;92,Forudsætninger!$C$20,Forudsætninger!$C$21)</f>
        <v>1.0566762728146013</v>
      </c>
      <c r="AM280" s="20">
        <f t="shared" si="126"/>
        <v>562.26148669575014</v>
      </c>
      <c r="AN280" s="19">
        <f>IFERROR(AD280+AJ280-AA280-Z280-AK280-AM280-Forudsætninger!$E$75,-999999)</f>
        <v>1717.3442285901017</v>
      </c>
      <c r="AO280" s="19">
        <f>IFERROR(AN280/(A280+Forudsætninger!$E$74),-999999)</f>
        <v>6.1774972251442506</v>
      </c>
      <c r="AP280" s="19">
        <f>IFERROR(((365/(A280+Forudsætninger!$E$74))*AN280)/(AI280+Forudsætninger!$E$73),-999999)</f>
        <v>686.27585827956534</v>
      </c>
      <c r="AQ280" s="18">
        <f t="shared" si="117"/>
        <v>278</v>
      </c>
      <c r="AR280" s="18">
        <f t="shared" si="130"/>
        <v>6928.7481979783379</v>
      </c>
      <c r="AS280" s="18">
        <f t="shared" si="109"/>
        <v>10.3</v>
      </c>
      <c r="AT280" s="50">
        <f t="shared" si="131"/>
        <v>1.7139801921944127</v>
      </c>
      <c r="AU280" s="50">
        <f t="shared" si="132"/>
        <v>-1.6113779902346081E-2</v>
      </c>
      <c r="AV280" s="2">
        <f t="shared" si="133"/>
        <v>-2.7171117439127102</v>
      </c>
      <c r="AW280" s="16">
        <f t="shared" si="127"/>
        <v>8.2000205585822012</v>
      </c>
      <c r="AZ280" s="16"/>
      <c r="BA280" s="2"/>
    </row>
    <row r="281" spans="1:53" x14ac:dyDescent="0.25">
      <c r="A281">
        <v>279</v>
      </c>
      <c r="B281" s="1">
        <f>ROUND((A281+Forudsætninger!$E$60)/30.4,1)</f>
        <v>10.4</v>
      </c>
      <c r="C281" s="1">
        <f>VLOOKUP((A281+Forudsætninger!$E$60),'Model tilvækst, slagteform, fe'!A:D,4,FALSE)</f>
        <v>442.55820284727804</v>
      </c>
      <c r="D281" s="3">
        <f t="shared" si="134"/>
        <v>1056.1034720794851</v>
      </c>
      <c r="E281" s="3">
        <f>(1+Forudsætninger!$E$78)*C281</f>
        <v>407.15354661949584</v>
      </c>
      <c r="F281" s="2">
        <f t="shared" si="118"/>
        <v>0</v>
      </c>
      <c r="G281" s="1">
        <f t="shared" si="110"/>
        <v>407.15354661949584</v>
      </c>
      <c r="H281" s="3">
        <f t="shared" si="119"/>
        <v>971.61519431313081</v>
      </c>
      <c r="I281" s="3">
        <f t="shared" si="111"/>
        <v>1215.6041097472969</v>
      </c>
      <c r="J281" s="1">
        <f>VLOOKUP((A281+Forudsætninger!$E$60),'Model tilvækst, slagteform, fe'!G:K,4,FALSE)*(1+Forudsætninger!$E$79)</f>
        <v>53.660055566863136</v>
      </c>
      <c r="K281" s="17">
        <f t="shared" si="112"/>
        <v>218.4788193584755</v>
      </c>
      <c r="L281" s="17">
        <f t="shared" si="120"/>
        <v>562.24507332791518</v>
      </c>
      <c r="M281" s="3">
        <f>((K281-(('Model tilvækst, slagteform, fe'!$J$9/100)*'Model tilvækst, slagteform, fe'!$D$9))*1000/(A281+Forudsætninger!$E$60))</f>
        <v>629.34733721788018</v>
      </c>
      <c r="N281" s="17">
        <f t="shared" si="121"/>
        <v>1551.2086629905564</v>
      </c>
      <c r="O281" s="19">
        <f>IF( A281&lt;Forudsætninger!$C$14,(G281/100)*Forudsætninger!$C$13,(Forudsætninger!$C$15/1000)*Forudsætninger!$C$13)</f>
        <v>2.6464980530267228</v>
      </c>
      <c r="P281" s="17" cm="1">
        <f t="array" ref="P281">INDEX('Model tilvækst, slagteform, fe'!$P$9:$P$375,MATCH(MIN(ABS('Model tilvækst, slagteform, fe'!$M$9:$M$375-G281)),ABS('Model tilvækst, slagteform, fe'!$M$9:$M$375-G281),0))*(1+Forudsætninger!$E$80)</f>
        <v>7.5144225108672504</v>
      </c>
      <c r="Q281" s="17">
        <f t="shared" si="122"/>
        <v>13.36503042416995</v>
      </c>
      <c r="R281" s="17">
        <f t="shared" si="123"/>
        <v>8.3617633863391596</v>
      </c>
      <c r="S281" s="17">
        <f t="shared" si="124"/>
        <v>4.5737651233554493</v>
      </c>
      <c r="T281" s="19">
        <f>(P281)*IF(N281&lt;Forudsætninger!$B$228,IF(N281&lt;Forudsætninger!$B$227,Forudsætninger!$B$225,Forudsætninger!$C$9),Forudsætninger!$C$11)+O281</f>
        <v>20.230246728456088</v>
      </c>
      <c r="U281" s="5">
        <f>Forudsætninger!$E$68+((K281-(Forudsætninger!$E$84)))*0.01</f>
        <v>6.9013519031564243</v>
      </c>
      <c r="V281" s="2">
        <f>U281+Forudsætninger!$E$69</f>
        <v>6.9013519031564243</v>
      </c>
      <c r="W281">
        <f t="shared" si="113"/>
        <v>1</v>
      </c>
      <c r="X281">
        <f>IF(A281+Forudsætninger!$E$60&gt;248,IF(A281+Forudsætninger!$E$60&lt;365,IF(K281&gt;180,IF(K281&lt;260,1,0),0),0),0)</f>
        <v>1</v>
      </c>
      <c r="Y281" s="22">
        <f>IF(X281=0,0,IF('Vækstfunktion, kry kvie'!A281&lt;Forudsætninger!$E$66,Forudsætninger!$E$67+(('Vækstfunktion, kry kvie'!A281-Forudsætninger!$E$66)/7)*Forudsætninger!$E$64,Forudsætninger!$E$67))</f>
        <v>0.98</v>
      </c>
      <c r="Z281" s="19">
        <f t="shared" si="128"/>
        <v>4561.716958011044</v>
      </c>
      <c r="AA281" s="19">
        <f>Forudsætninger!$E$62+Forudsætninger!$C$16</f>
        <v>1575</v>
      </c>
      <c r="AB281" s="19">
        <f>IF(K281&gt;Forudsætninger!$C$48,IF(K281&gt;Forudsætninger!$C$49,IF(K281&gt;Forudsætninger!$C$50,Forudsætninger!$E$50,Forudsætninger!$E$49+Forudsætninger!$F$50*(K281-Forudsætninger!$C$49)),Forudsætninger!$E$48+Forudsætninger!$F$49*(K281-Forudsætninger!$C$48)),Forudsætninger!$E$48)+IF(K281&gt;Forudsætninger!$C$50,Forudsætninger!$G$50,IF(K281&gt;Forudsætninger!$C$49,Forudsætninger!$G$49+Forudsætninger!$H$50*(K281-Forudsætninger!$C$49),IF(K281&gt;Forudsætninger!$C$48,Forudsætninger!$G$48+Forudsætninger!$H$49*(K281-Forudsætninger!$C$48),Forudsætninger!$G$48)))*(U281-Forudsætninger!$H$48)</f>
        <v>36.549113053287066</v>
      </c>
      <c r="AC281" s="19">
        <f>IF(K281&gt;Forudsætninger!$C$52,IF(K281&gt;Forudsætninger!$C$53,IF(K281&gt;Forudsætninger!$C$54,Forudsætninger!$E$54,Forudsætninger!$E$53+Forudsætninger!$F$54*(K281-Forudsætninger!$C$53)),Forudsætninger!$E$52+Forudsætninger!$F$53*(K281-Forudsætninger!$C$52)),Forudsætninger!$E$52)+IF(K281&gt;Forudsætninger!$C$54,Forudsætninger!$G$54,IF(K281&gt;Forudsætninger!$C$53,Forudsætninger!$G$53+Forudsætninger!$H$54*(K281-Forudsætninger!$C$53),IF(K281&gt;Forudsætninger!$C$52,Forudsætninger!$G$52+Forudsætninger!$H$53*(K281-Forudsætninger!$C$52),Forudsætninger!$G$52)))*(V281-Forudsætninger!$H$52)</f>
        <v>30.83340666077169</v>
      </c>
      <c r="AD281" s="19">
        <f t="shared" si="114"/>
        <v>7960.2318527928755</v>
      </c>
      <c r="AE281" s="19">
        <f t="shared" si="115"/>
        <v>36.434798925436759</v>
      </c>
      <c r="AF281">
        <f>IF(G281&lt;=Forudsætninger!$C$97,Forudsætninger!$C$98,(IF(G281&lt;=Forudsætninger!$D$97,Forudsætninger!$D$98,IF(G281&lt;=Forudsætninger!$E$97,Forudsætninger!$E$98,IF(G281&lt;=Forudsætninger!$F$97,Forudsætninger!$F$98,IF(G281&lt;=Forudsætninger!$G$97,Forudsætninger!$G$98,IF(G281&lt;=Forudsætninger!$H$97,Forudsætninger!$H$98,IF(G281&lt;=Forudsætninger!$I$97,Forudsætninger!$I$98,Forudsætninger!$I$98))))))))</f>
        <v>4.4000000000000004</v>
      </c>
      <c r="AG281" s="1">
        <f t="shared" si="125"/>
        <v>4.4000000000000004</v>
      </c>
      <c r="AH281" s="1">
        <f t="shared" si="129"/>
        <v>887.19999999999663</v>
      </c>
      <c r="AI281" s="1">
        <f t="shared" si="116"/>
        <v>3.1799283154121745</v>
      </c>
      <c r="AJ281" s="20">
        <f>+(W281*Forudsætninger!$C$12)</f>
        <v>900</v>
      </c>
      <c r="AK281" s="20">
        <f>Forudsætninger!$C$17</f>
        <v>250</v>
      </c>
      <c r="AL281" s="20">
        <f>IF(A281&lt;92,Forudsætninger!$C$20,Forudsætninger!$C$21)</f>
        <v>1.0566762728146013</v>
      </c>
      <c r="AM281" s="20">
        <f t="shared" si="126"/>
        <v>563.31816296856471</v>
      </c>
      <c r="AN281" s="19">
        <f>IFERROR(AD281+AJ281-AA281-Z281-AK281-AM281-Forudsætninger!$E$75,-999999)</f>
        <v>1718.9799704766522</v>
      </c>
      <c r="AO281" s="19">
        <f>IFERROR(AN281/(A281+Forudsætninger!$E$74),-999999)</f>
        <v>6.1612185321743809</v>
      </c>
      <c r="AP281" s="19">
        <f>IFERROR(((365/(A281+Forudsætninger!$E$74))*AN281)/(AI281+Forudsætninger!$E$73),-999999)</f>
        <v>683.55433573083963</v>
      </c>
      <c r="AQ281" s="18">
        <f t="shared" si="117"/>
        <v>279</v>
      </c>
      <c r="AR281" s="18">
        <f t="shared" si="130"/>
        <v>6950.035120979609</v>
      </c>
      <c r="AS281" s="18">
        <f t="shared" si="109"/>
        <v>10.4</v>
      </c>
      <c r="AT281" s="50">
        <f t="shared" si="131"/>
        <v>1.6357418865504769</v>
      </c>
      <c r="AU281" s="50">
        <f t="shared" si="132"/>
        <v>-1.6278692969869724E-2</v>
      </c>
      <c r="AV281" s="2">
        <f t="shared" si="133"/>
        <v>-2.7215225487257158</v>
      </c>
      <c r="AW281" s="16">
        <f t="shared" si="127"/>
        <v>8.1802800481907418</v>
      </c>
      <c r="AZ281" s="16"/>
      <c r="BA281" s="2"/>
    </row>
    <row r="282" spans="1:53" x14ac:dyDescent="0.25">
      <c r="A282">
        <v>280</v>
      </c>
      <c r="B282" s="1">
        <f>ROUND((A282+Forudsætninger!$E$60)/30.4,1)</f>
        <v>10.4</v>
      </c>
      <c r="C282" s="1">
        <f>VLOOKUP((A282+Forudsætninger!$E$60),'Model tilvækst, slagteform, fe'!A:D,4,FALSE)</f>
        <v>443.60962304136382</v>
      </c>
      <c r="D282" s="3">
        <f t="shared" si="134"/>
        <v>1051.4201940857788</v>
      </c>
      <c r="E282" s="3">
        <f>(1+Forudsætninger!$E$78)*C282</f>
        <v>408.1208531980547</v>
      </c>
      <c r="F282" s="2">
        <f t="shared" si="118"/>
        <v>0</v>
      </c>
      <c r="G282" s="1">
        <f t="shared" si="110"/>
        <v>408.1208531980547</v>
      </c>
      <c r="H282" s="3">
        <f t="shared" si="119"/>
        <v>967.30657855886193</v>
      </c>
      <c r="I282" s="3">
        <f t="shared" si="111"/>
        <v>1214.7173328501954</v>
      </c>
      <c r="J282" s="1">
        <f>VLOOKUP((A282+Forudsætninger!$E$60),'Model tilvækst, slagteform, fe'!G:K,4,FALSE)*(1+Forudsætninger!$E$79)</f>
        <v>53.670130990774858</v>
      </c>
      <c r="K282" s="17">
        <f t="shared" si="112"/>
        <v>219.0389965120639</v>
      </c>
      <c r="L282" s="17">
        <f t="shared" si="120"/>
        <v>560.17715358839837</v>
      </c>
      <c r="M282" s="3">
        <f>((K282-(('Model tilvækst, slagteform, fe'!$J$9/100)*'Model tilvækst, slagteform, fe'!$D$9))*1000/(A282+Forudsætninger!$E$60))</f>
        <v>629.12844423171089</v>
      </c>
      <c r="N282" s="17">
        <f t="shared" si="121"/>
        <v>1558.7255933513084</v>
      </c>
      <c r="O282" s="19">
        <f>IF( A282&lt;Forudsætninger!$C$14,(G282/100)*Forudsætninger!$C$13,(Forudsætninger!$C$15/1000)*Forudsætninger!$C$13)</f>
        <v>2.6527855457873555</v>
      </c>
      <c r="P282" s="17" cm="1">
        <f t="array" ref="P282">INDEX('Model tilvækst, slagteform, fe'!$P$9:$P$375,MATCH(MIN(ABS('Model tilvækst, slagteform, fe'!$M$9:$M$375-G282)),ABS('Model tilvækst, slagteform, fe'!$M$9:$M$375-G282),0))*(1+Forudsætninger!$E$80)</f>
        <v>7.5169303607520082</v>
      </c>
      <c r="Q282" s="17">
        <f t="shared" si="122"/>
        <v>13.418844936106099</v>
      </c>
      <c r="R282" s="17">
        <f t="shared" si="123"/>
        <v>8.3769879050264393</v>
      </c>
      <c r="S282" s="17">
        <f t="shared" si="124"/>
        <v>4.5828580597016551</v>
      </c>
      <c r="T282" s="19">
        <f>(P282)*IF(N282&lt;Forudsætninger!$B$228,IF(N282&lt;Forudsætninger!$B$227,Forudsætninger!$B$225,Forudsætninger!$C$9),Forudsætninger!$C$11)+O282</f>
        <v>20.242402589947055</v>
      </c>
      <c r="U282" s="5">
        <f>Forudsætninger!$E$68+((K282-(Forudsætninger!$E$84)))*0.01</f>
        <v>6.9069536746923079</v>
      </c>
      <c r="V282" s="2">
        <f>U282+Forudsætninger!$E$69</f>
        <v>6.9069536746923079</v>
      </c>
      <c r="W282">
        <f t="shared" si="113"/>
        <v>1</v>
      </c>
      <c r="X282">
        <f>IF(A282+Forudsætninger!$E$60&gt;248,IF(A282+Forudsætninger!$E$60&lt;365,IF(K282&gt;180,IF(K282&lt;260,1,0),0),0),0)</f>
        <v>1</v>
      </c>
      <c r="Y282" s="22">
        <f>IF(X282=0,0,IF('Vækstfunktion, kry kvie'!A282&lt;Forudsætninger!$E$66,Forudsætninger!$E$67+(('Vækstfunktion, kry kvie'!A282-Forudsætninger!$E$66)/7)*Forudsætninger!$E$64,Forudsætninger!$E$67))</f>
        <v>0.98</v>
      </c>
      <c r="Z282" s="19">
        <f t="shared" si="128"/>
        <v>4581.9593606009912</v>
      </c>
      <c r="AA282" s="19">
        <f>Forudsætninger!$E$62+Forudsætninger!$C$16</f>
        <v>1575</v>
      </c>
      <c r="AB282" s="19">
        <f>IF(K282&gt;Forudsætninger!$C$48,IF(K282&gt;Forudsætninger!$C$49,IF(K282&gt;Forudsætninger!$C$50,Forudsætninger!$E$50,Forudsætninger!$E$49+Forudsætninger!$F$50*(K282-Forudsætninger!$C$49)),Forudsætninger!$E$48+Forudsætninger!$F$49*(K282-Forudsætninger!$C$48)),Forudsætninger!$E$48)+IF(K282&gt;Forudsætninger!$C$50,Forudsætninger!$G$50,IF(K282&gt;Forudsætninger!$C$49,Forudsætninger!$G$49+Forudsætninger!$H$50*(K282-Forudsætninger!$C$49),IF(K282&gt;Forudsætninger!$C$48,Forudsætninger!$G$48+Forudsætninger!$H$49*(K282-Forudsætninger!$C$48),Forudsætninger!$G$48)))*(U282-Forudsætninger!$H$48)</f>
        <v>36.56017655207043</v>
      </c>
      <c r="AC282" s="19">
        <f>IF(K282&gt;Forudsætninger!$C$52,IF(K282&gt;Forudsætninger!$C$53,IF(K282&gt;Forudsætninger!$C$54,Forudsætninger!$E$54,Forudsætninger!$E$53+Forudsætninger!$F$54*(K282-Forudsætninger!$C$53)),Forudsætninger!$E$52+Forudsætninger!$F$53*(K282-Forudsætninger!$C$52)),Forudsætninger!$E$52)+IF(K282&gt;Forudsætninger!$C$54,Forudsætninger!$G$54,IF(K282&gt;Forudsætninger!$C$53,Forudsætninger!$G$53+Forudsætninger!$H$54*(K282-Forudsætninger!$C$53),IF(K282&gt;Forudsætninger!$C$52,Forudsætninger!$G$52+Forudsætninger!$H$53*(K282-Forudsætninger!$C$52),Forudsætninger!$G$52)))*(V282-Forudsætninger!$H$52)</f>
        <v>30.848471059309215</v>
      </c>
      <c r="AD282" s="19">
        <f t="shared" si="114"/>
        <v>7983.0826594792579</v>
      </c>
      <c r="AE282" s="19">
        <f t="shared" si="115"/>
        <v>36.445942442215205</v>
      </c>
      <c r="AF282">
        <f>IF(G282&lt;=Forudsætninger!$C$97,Forudsætninger!$C$98,(IF(G282&lt;=Forudsætninger!$D$97,Forudsætninger!$D$98,IF(G282&lt;=Forudsætninger!$E$97,Forudsætninger!$E$98,IF(G282&lt;=Forudsætninger!$F$97,Forudsætninger!$F$98,IF(G282&lt;=Forudsætninger!$G$97,Forudsætninger!$G$98,IF(G282&lt;=Forudsætninger!$H$97,Forudsætninger!$H$98,IF(G282&lt;=Forudsætninger!$I$97,Forudsætninger!$I$98,Forudsætninger!$I$98))))))))</f>
        <v>4.4000000000000004</v>
      </c>
      <c r="AG282" s="1">
        <f t="shared" si="125"/>
        <v>4.4000000000000004</v>
      </c>
      <c r="AH282" s="1">
        <f t="shared" si="129"/>
        <v>891.59999999999661</v>
      </c>
      <c r="AI282" s="1">
        <f t="shared" si="116"/>
        <v>3.1842857142857022</v>
      </c>
      <c r="AJ282" s="20">
        <f>+(W282*Forudsætninger!$C$12)</f>
        <v>900</v>
      </c>
      <c r="AK282" s="20">
        <f>Forudsætninger!$C$17</f>
        <v>250</v>
      </c>
      <c r="AL282" s="20">
        <f>IF(A282&lt;92,Forudsætninger!$C$20,Forudsætninger!$C$21)</f>
        <v>1.0566762728146013</v>
      </c>
      <c r="AM282" s="20">
        <f t="shared" si="126"/>
        <v>564.37483924137928</v>
      </c>
      <c r="AN282" s="19">
        <f>IFERROR(AD282+AJ282-AA282-Z282-AK282-AM282-Forudsætninger!$E$75,-999999)</f>
        <v>1720.5316983002717</v>
      </c>
      <c r="AO282" s="19">
        <f>IFERROR(AN282/(A282+Forudsætninger!$E$74),-999999)</f>
        <v>6.1447560653581137</v>
      </c>
      <c r="AP282" s="19">
        <f>IFERROR(((365/(A282+Forudsætninger!$E$74))*AN282)/(AI282+Forudsætninger!$E$73),-999999)</f>
        <v>680.82618156938588</v>
      </c>
      <c r="AQ282" s="18">
        <f t="shared" si="117"/>
        <v>280</v>
      </c>
      <c r="AR282" s="18">
        <f t="shared" si="130"/>
        <v>6971.3341998423703</v>
      </c>
      <c r="AS282" s="18">
        <f t="shared" si="109"/>
        <v>10.4</v>
      </c>
      <c r="AT282" s="50">
        <f t="shared" si="131"/>
        <v>1.551727823619558</v>
      </c>
      <c r="AU282" s="50">
        <f t="shared" si="132"/>
        <v>-1.6462466816267174E-2</v>
      </c>
      <c r="AV282" s="2">
        <f t="shared" si="133"/>
        <v>-2.7281541614537446</v>
      </c>
      <c r="AW282" s="16">
        <f t="shared" si="127"/>
        <v>8.1603804912201827</v>
      </c>
      <c r="AZ282" s="16"/>
      <c r="BA282" s="2"/>
    </row>
    <row r="283" spans="1:53" x14ac:dyDescent="0.25">
      <c r="A283">
        <v>281</v>
      </c>
      <c r="B283" s="1">
        <f>ROUND((A283+Forudsætninger!$E$60)/30.4,1)</f>
        <v>10.4</v>
      </c>
      <c r="C283" s="1">
        <f>VLOOKUP((A283+Forudsætninger!$E$60),'Model tilvækst, slagteform, fe'!A:D,4,FALSE)</f>
        <v>444.65637450895883</v>
      </c>
      <c r="D283" s="3">
        <f t="shared" si="134"/>
        <v>1046.7514675950156</v>
      </c>
      <c r="E283" s="3">
        <f>(1+Forudsætninger!$E$78)*C283</f>
        <v>409.08386454824216</v>
      </c>
      <c r="F283" s="2">
        <f t="shared" si="118"/>
        <v>0</v>
      </c>
      <c r="G283" s="1">
        <f t="shared" si="110"/>
        <v>409.08386454824216</v>
      </c>
      <c r="H283" s="3">
        <f t="shared" si="119"/>
        <v>963.01135018745754</v>
      </c>
      <c r="I283" s="3">
        <f t="shared" si="111"/>
        <v>1213.8215820222142</v>
      </c>
      <c r="J283" s="1">
        <f>VLOOKUP((A283+Forudsætninger!$E$60),'Model tilvækst, slagteform, fe'!G:K,4,FALSE)*(1+Forudsætninger!$E$79)</f>
        <v>53.680218176845756</v>
      </c>
      <c r="K283" s="17">
        <f t="shared" si="112"/>
        <v>219.59711101576855</v>
      </c>
      <c r="L283" s="17">
        <f t="shared" si="120"/>
        <v>558.11450370464399</v>
      </c>
      <c r="M283" s="3">
        <f>((K283-(('Model tilvækst, slagteform, fe'!$J$9/100)*'Model tilvækst, slagteform, fe'!$D$9))*1000/(A283+Forudsætninger!$E$60))</f>
        <v>628.90442549187787</v>
      </c>
      <c r="N283" s="17">
        <f t="shared" si="121"/>
        <v>1566.2451461540627</v>
      </c>
      <c r="O283" s="19">
        <f>IF( A283&lt;Forudsætninger!$C$14,(G283/100)*Forudsætninger!$C$13,(Forudsætninger!$C$15/1000)*Forudsætninger!$C$13)</f>
        <v>2.6590451195635745</v>
      </c>
      <c r="P283" s="17" cm="1">
        <f t="array" ref="P283">INDEX('Model tilvækst, slagteform, fe'!$P$9:$P$375,MATCH(MIN(ABS('Model tilvækst, slagteform, fe'!$M$9:$M$375-G283)),ABS('Model tilvækst, slagteform, fe'!$M$9:$M$375-G283),0))*(1+Forudsætninger!$E$80)</f>
        <v>7.5195528027544256</v>
      </c>
      <c r="Q283" s="17">
        <f t="shared" si="122"/>
        <v>13.473136341810241</v>
      </c>
      <c r="R283" s="17">
        <f t="shared" si="123"/>
        <v>8.3922278326842257</v>
      </c>
      <c r="S283" s="17">
        <f t="shared" si="124"/>
        <v>4.5919649357454038</v>
      </c>
      <c r="T283" s="19">
        <f>(P283)*IF(N283&lt;Forudsætninger!$B$228,IF(N283&lt;Forudsætninger!$B$227,Forudsætninger!$B$225,Forudsætninger!$C$9),Forudsætninger!$C$11)+O283</f>
        <v>20.254798678008932</v>
      </c>
      <c r="U283" s="5">
        <f>Forudsætninger!$E$68+((K283-(Forudsætninger!$E$84)))*0.01</f>
        <v>6.9125348197293546</v>
      </c>
      <c r="V283" s="2">
        <f>U283+Forudsætninger!$E$69</f>
        <v>6.9125348197293546</v>
      </c>
      <c r="W283">
        <f t="shared" si="113"/>
        <v>1</v>
      </c>
      <c r="X283">
        <f>IF(A283+Forudsætninger!$E$60&gt;248,IF(A283+Forudsætninger!$E$60&lt;365,IF(K283&gt;180,IF(K283&lt;260,1,0),0),0),0)</f>
        <v>1</v>
      </c>
      <c r="Y283" s="22">
        <f>IF(X283=0,0,IF('Vækstfunktion, kry kvie'!A283&lt;Forudsætninger!$E$66,Forudsætninger!$E$67+(('Vækstfunktion, kry kvie'!A283-Forudsætninger!$E$66)/7)*Forudsætninger!$E$64,Forudsætninger!$E$67))</f>
        <v>0.98</v>
      </c>
      <c r="Z283" s="19">
        <f t="shared" si="128"/>
        <v>4602.2141592790003</v>
      </c>
      <c r="AA283" s="19">
        <f>Forudsætninger!$E$62+Forudsætninger!$C$16</f>
        <v>1575</v>
      </c>
      <c r="AB283" s="19">
        <f>IF(K283&gt;Forudsætninger!$C$48,IF(K283&gt;Forudsætninger!$C$49,IF(K283&gt;Forudsætninger!$C$50,Forudsætninger!$E$50,Forudsætninger!$E$49+Forudsætninger!$F$50*(K283-Forudsætninger!$C$49)),Forudsætninger!$E$48+Forudsætninger!$F$49*(K283-Forudsætninger!$C$48)),Forudsætninger!$E$48)+IF(K283&gt;Forudsætninger!$C$50,Forudsætninger!$G$50,IF(K283&gt;Forudsætninger!$C$49,Forudsætninger!$G$49+Forudsætninger!$H$50*(K283-Forudsætninger!$C$49),IF(K283&gt;Forudsætninger!$C$48,Forudsætninger!$G$48+Forudsætninger!$H$49*(K283-Forudsætninger!$C$48),Forudsætninger!$G$48)))*(U283-Forudsætninger!$H$48)</f>
        <v>36.571199313518598</v>
      </c>
      <c r="AC283" s="19">
        <f>IF(K283&gt;Forudsætninger!$C$52,IF(K283&gt;Forudsætninger!$C$53,IF(K283&gt;Forudsætninger!$C$54,Forudsætninger!$E$54,Forudsætninger!$E$53+Forudsætninger!$F$54*(K283-Forudsætninger!$C$53)),Forudsætninger!$E$52+Forudsætninger!$F$53*(K283-Forudsætninger!$C$52)),Forudsætninger!$E$52)+IF(K283&gt;Forudsætninger!$C$54,Forudsætninger!$G$54,IF(K283&gt;Forudsætninger!$C$53,Forudsætninger!$G$53+Forudsætninger!$H$54*(K283-Forudsætninger!$C$53),IF(K283&gt;Forudsætninger!$C$52,Forudsætninger!$G$52+Forudsætninger!$H$53*(K283-Forudsætninger!$C$52),Forudsætninger!$G$52)))*(V283-Forudsætninger!$H$52)</f>
        <v>30.863466985836187</v>
      </c>
      <c r="AD283" s="19">
        <f t="shared" si="114"/>
        <v>8005.8616850383341</v>
      </c>
      <c r="AE283" s="19">
        <f t="shared" si="115"/>
        <v>36.457044666964947</v>
      </c>
      <c r="AF283">
        <f>IF(G283&lt;=Forudsætninger!$C$97,Forudsætninger!$C$98,(IF(G283&lt;=Forudsætninger!$D$97,Forudsætninger!$D$98,IF(G283&lt;=Forudsætninger!$E$97,Forudsætninger!$E$98,IF(G283&lt;=Forudsætninger!$F$97,Forudsætninger!$F$98,IF(G283&lt;=Forudsætninger!$G$97,Forudsætninger!$G$98,IF(G283&lt;=Forudsætninger!$H$97,Forudsætninger!$H$98,IF(G283&lt;=Forudsætninger!$I$97,Forudsætninger!$I$98,Forudsætninger!$I$98))))))))</f>
        <v>4.4000000000000004</v>
      </c>
      <c r="AG283" s="1">
        <f t="shared" si="125"/>
        <v>4.4000000000000004</v>
      </c>
      <c r="AH283" s="1">
        <f t="shared" si="129"/>
        <v>895.99999999999659</v>
      </c>
      <c r="AI283" s="1">
        <f t="shared" si="116"/>
        <v>3.1886120996441161</v>
      </c>
      <c r="AJ283" s="20">
        <f>+(W283*Forudsætninger!$C$12)</f>
        <v>900</v>
      </c>
      <c r="AK283" s="20">
        <f>Forudsætninger!$C$17</f>
        <v>250</v>
      </c>
      <c r="AL283" s="20">
        <f>IF(A283&lt;92,Forudsætninger!$C$20,Forudsætninger!$C$21)</f>
        <v>1.0566762728146013</v>
      </c>
      <c r="AM283" s="20">
        <f t="shared" si="126"/>
        <v>565.43151551419385</v>
      </c>
      <c r="AN283" s="19">
        <f>IFERROR(AD283+AJ283-AA283-Z283-AK283-AM283-Forudsætninger!$E$75,-999999)</f>
        <v>1721.9992489085232</v>
      </c>
      <c r="AO283" s="19">
        <f>IFERROR(AN283/(A283+Forudsætninger!$E$74),-999999)</f>
        <v>6.1281112060801535</v>
      </c>
      <c r="AP283" s="19">
        <f>IFERROR(((365/(A283+Forudsætninger!$E$74))*AN283)/(AI283+Forudsætninger!$E$73),-999999)</f>
        <v>678.09142834969225</v>
      </c>
      <c r="AQ283" s="18">
        <f t="shared" si="117"/>
        <v>281</v>
      </c>
      <c r="AR283" s="18">
        <f t="shared" si="130"/>
        <v>6992.6456747931943</v>
      </c>
      <c r="AS283" s="18">
        <f t="shared" si="109"/>
        <v>10.4</v>
      </c>
      <c r="AT283" s="50">
        <f t="shared" si="131"/>
        <v>1.4675506082514858</v>
      </c>
      <c r="AU283" s="50">
        <f t="shared" si="132"/>
        <v>-1.6644859277960222E-2</v>
      </c>
      <c r="AV283" s="2">
        <f t="shared" si="133"/>
        <v>-2.7347532196936299</v>
      </c>
      <c r="AW283" s="16">
        <f t="shared" si="127"/>
        <v>8.1403230050630491</v>
      </c>
      <c r="AZ283" s="16"/>
      <c r="BA283" s="2"/>
    </row>
    <row r="284" spans="1:53" x14ac:dyDescent="0.25">
      <c r="A284">
        <v>282</v>
      </c>
      <c r="B284" s="1">
        <f>ROUND((A284+Forudsætninger!$E$60)/30.4,1)</f>
        <v>10.5</v>
      </c>
      <c r="C284" s="1">
        <f>VLOOKUP((A284+Forudsætninger!$E$60),'Model tilvækst, slagteform, fe'!A:D,4,FALSE)</f>
        <v>445.6984723865869</v>
      </c>
      <c r="D284" s="3">
        <f t="shared" si="134"/>
        <v>1042.0978776280663</v>
      </c>
      <c r="E284" s="3">
        <f>(1+Forudsætninger!$E$78)*C284</f>
        <v>410.04259459565998</v>
      </c>
      <c r="F284" s="2">
        <f t="shared" si="118"/>
        <v>0</v>
      </c>
      <c r="G284" s="1">
        <f t="shared" si="110"/>
        <v>410.04259459565998</v>
      </c>
      <c r="H284" s="3">
        <f t="shared" si="119"/>
        <v>958.73004741781642</v>
      </c>
      <c r="I284" s="3">
        <f t="shared" si="111"/>
        <v>1212.9170021122695</v>
      </c>
      <c r="J284" s="1">
        <f>VLOOKUP((A284+Forudsætninger!$E$60),'Model tilvækst, slagteform, fe'!G:K,4,FALSE)*(1+Forudsætninger!$E$79)</f>
        <v>53.690316889832602</v>
      </c>
      <c r="K284" s="17">
        <f t="shared" si="112"/>
        <v>220.15316842170145</v>
      </c>
      <c r="L284" s="17">
        <f t="shared" si="120"/>
        <v>556.0574059329042</v>
      </c>
      <c r="M284" s="3">
        <f>((K284-(('Model tilvækst, slagteform, fe'!$J$9/100)*'Model tilvækst, slagteform, fe'!$D$9))*1000/(A284+Forudsætninger!$E$60))</f>
        <v>628.67534681401946</v>
      </c>
      <c r="N284" s="17">
        <f t="shared" si="121"/>
        <v>1573.7674347317222</v>
      </c>
      <c r="O284" s="19">
        <f>IF( A284&lt;Forudsætninger!$C$14,(G284/100)*Forudsætninger!$C$13,(Forudsætninger!$C$15/1000)*Forudsætninger!$C$13)</f>
        <v>2.6652768648717897</v>
      </c>
      <c r="P284" s="17" cm="1">
        <f t="array" ref="P284">INDEX('Model tilvækst, slagteform, fe'!$P$9:$P$375,MATCH(MIN(ABS('Model tilvækst, slagteform, fe'!$M$9:$M$375-G284)),ABS('Model tilvækst, slagteform, fe'!$M$9:$M$375-G284),0))*(1+Forudsætninger!$E$80)</f>
        <v>7.5222885776594612</v>
      </c>
      <c r="Q284" s="17">
        <f t="shared" si="122"/>
        <v>13.527899273347915</v>
      </c>
      <c r="R284" s="17">
        <f t="shared" si="123"/>
        <v>8.4074838913603944</v>
      </c>
      <c r="S284" s="17">
        <f t="shared" si="124"/>
        <v>4.6010861208444682</v>
      </c>
      <c r="T284" s="19">
        <f>(P284)*IF(N284&lt;Forudsætninger!$B$228,IF(N284&lt;Forudsætninger!$B$227,Forudsætninger!$B$225,Forudsætninger!$C$9),Forudsætninger!$C$11)+O284</f>
        <v>20.267432136594927</v>
      </c>
      <c r="U284" s="5">
        <f>Forudsætninger!$E$68+((K284-(Forudsætninger!$E$84)))*0.01</f>
        <v>6.9180953937886835</v>
      </c>
      <c r="V284" s="2">
        <f>U284+Forudsætninger!$E$69</f>
        <v>6.9180953937886835</v>
      </c>
      <c r="W284">
        <f t="shared" si="113"/>
        <v>1</v>
      </c>
      <c r="X284">
        <f>IF(A284+Forudsætninger!$E$60&gt;248,IF(A284+Forudsætninger!$E$60&lt;365,IF(K284&gt;180,IF(K284&lt;260,1,0),0),0),0)</f>
        <v>1</v>
      </c>
      <c r="Y284" s="22">
        <f>IF(X284=0,0,IF('Vækstfunktion, kry kvie'!A284&lt;Forudsætninger!$E$66,Forudsætninger!$E$67+(('Vækstfunktion, kry kvie'!A284-Forudsætninger!$E$66)/7)*Forudsætninger!$E$64,Forudsætninger!$E$67))</f>
        <v>0.98</v>
      </c>
      <c r="Z284" s="19">
        <f t="shared" si="128"/>
        <v>4622.4815914155952</v>
      </c>
      <c r="AA284" s="19">
        <f>Forudsætninger!$E$62+Forudsætninger!$C$16</f>
        <v>1575</v>
      </c>
      <c r="AB284" s="19">
        <f>IF(K284&gt;Forudsætninger!$C$48,IF(K284&gt;Forudsætninger!$C$49,IF(K284&gt;Forudsætninger!$C$50,Forudsætninger!$E$50,Forudsætninger!$E$49+Forudsætninger!$F$50*(K284-Forudsætninger!$C$49)),Forudsætninger!$E$48+Forudsætninger!$F$49*(K284-Forudsætninger!$C$48)),Forudsætninger!$E$48)+IF(K284&gt;Forudsætninger!$C$50,Forudsætninger!$G$50,IF(K284&gt;Forudsætninger!$C$49,Forudsætninger!$G$49+Forudsætninger!$H$50*(K284-Forudsætninger!$C$49),IF(K284&gt;Forudsætninger!$C$48,Forudsætninger!$G$48+Forudsætninger!$H$49*(K284-Forudsætninger!$C$48),Forudsætninger!$G$48)))*(U284-Forudsætninger!$H$48)</f>
        <v>36.58218144728577</v>
      </c>
      <c r="AC284" s="19">
        <f>IF(K284&gt;Forudsætninger!$C$52,IF(K284&gt;Forudsætninger!$C$53,IF(K284&gt;Forudsætninger!$C$54,Forudsætninger!$E$54,Forudsætninger!$E$53+Forudsætninger!$F$54*(K284-Forudsætninger!$C$53)),Forudsætninger!$E$52+Forudsætninger!$F$53*(K284-Forudsætninger!$C$52)),Forudsætninger!$E$52)+IF(K284&gt;Forudsætninger!$C$54,Forudsætninger!$G$54,IF(K284&gt;Forudsætninger!$C$53,Forudsætninger!$G$53+Forudsætninger!$H$54*(K284-Forudsætninger!$C$53),IF(K284&gt;Forudsætninger!$C$52,Forudsætninger!$G$52+Forudsætninger!$H$53*(K284-Forudsætninger!$C$52),Forudsætninger!$G$52)))*(V284-Forudsætninger!$H$52)</f>
        <v>30.878394733237933</v>
      </c>
      <c r="AD284" s="19">
        <f t="shared" si="114"/>
        <v>8028.5690190555606</v>
      </c>
      <c r="AE284" s="19">
        <f t="shared" si="115"/>
        <v>36.46810571300481</v>
      </c>
      <c r="AF284">
        <f>IF(G284&lt;=Forudsætninger!$C$97,Forudsætninger!$C$98,(IF(G284&lt;=Forudsætninger!$D$97,Forudsætninger!$D$98,IF(G284&lt;=Forudsætninger!$E$97,Forudsætninger!$E$98,IF(G284&lt;=Forudsætninger!$F$97,Forudsætninger!$F$98,IF(G284&lt;=Forudsætninger!$G$97,Forudsætninger!$G$98,IF(G284&lt;=Forudsætninger!$H$97,Forudsætninger!$H$98,IF(G284&lt;=Forudsætninger!$I$97,Forudsætninger!$I$98,Forudsætninger!$I$98))))))))</f>
        <v>4.4000000000000004</v>
      </c>
      <c r="AG284" s="1">
        <f t="shared" si="125"/>
        <v>4.4000000000000004</v>
      </c>
      <c r="AH284" s="1">
        <f t="shared" si="129"/>
        <v>900.39999999999657</v>
      </c>
      <c r="AI284" s="1">
        <f t="shared" si="116"/>
        <v>3.1929078014184276</v>
      </c>
      <c r="AJ284" s="20">
        <f>+(W284*Forudsætninger!$C$12)</f>
        <v>900</v>
      </c>
      <c r="AK284" s="20">
        <f>Forudsætninger!$C$17</f>
        <v>250</v>
      </c>
      <c r="AL284" s="20">
        <f>IF(A284&lt;92,Forudsætninger!$C$20,Forudsætninger!$C$21)</f>
        <v>1.0566762728146013</v>
      </c>
      <c r="AM284" s="20">
        <f t="shared" si="126"/>
        <v>566.48819178700842</v>
      </c>
      <c r="AN284" s="19">
        <f>IFERROR(AD284+AJ284-AA284-Z284-AK284-AM284-Forudsætninger!$E$75,-999999)</f>
        <v>1723.3824745163422</v>
      </c>
      <c r="AO284" s="19">
        <f>IFERROR(AN284/(A284+Forudsætninger!$E$74),-999999)</f>
        <v>6.1112853706253265</v>
      </c>
      <c r="AP284" s="19">
        <f>IFERROR(((365/(A284+Forudsætninger!$E$74))*AN284)/(AI284+Forudsætninger!$E$73),-999999)</f>
        <v>675.35011401780855</v>
      </c>
      <c r="AQ284" s="18">
        <f t="shared" si="117"/>
        <v>282</v>
      </c>
      <c r="AR284" s="18">
        <f t="shared" si="130"/>
        <v>7013.9697832026031</v>
      </c>
      <c r="AS284" s="18">
        <f t="shared" si="109"/>
        <v>10.5</v>
      </c>
      <c r="AT284" s="50">
        <f t="shared" si="131"/>
        <v>1.3832256078189857</v>
      </c>
      <c r="AU284" s="50">
        <f t="shared" si="132"/>
        <v>-1.6825835454826965E-2</v>
      </c>
      <c r="AV284" s="2">
        <f t="shared" si="133"/>
        <v>-2.7413143318837001</v>
      </c>
      <c r="AW284" s="16">
        <f t="shared" si="127"/>
        <v>8.1201087457565642</v>
      </c>
      <c r="AZ284" s="16"/>
      <c r="BA284" s="2"/>
    </row>
    <row r="285" spans="1:53" x14ac:dyDescent="0.25">
      <c r="A285">
        <v>283</v>
      </c>
      <c r="B285" s="1">
        <f>ROUND((A285+Forudsætninger!$E$60)/30.4,1)</f>
        <v>10.5</v>
      </c>
      <c r="C285" s="1">
        <f>VLOOKUP((A285+Forudsætninger!$E$60),'Model tilvækst, slagteform, fe'!A:D,4,FALSE)</f>
        <v>446.73593239579236</v>
      </c>
      <c r="D285" s="3">
        <f t="shared" si="134"/>
        <v>1037.4600092054607</v>
      </c>
      <c r="E285" s="3">
        <f>(1+Forudsætninger!$E$78)*C285</f>
        <v>410.99705780412899</v>
      </c>
      <c r="F285" s="2">
        <f t="shared" si="118"/>
        <v>0</v>
      </c>
      <c r="G285" s="1">
        <f t="shared" si="110"/>
        <v>410.99705780412899</v>
      </c>
      <c r="H285" s="3">
        <f t="shared" si="119"/>
        <v>954.4632084690079</v>
      </c>
      <c r="I285" s="3">
        <f t="shared" si="111"/>
        <v>1212.0037378237773</v>
      </c>
      <c r="J285" s="1">
        <f>VLOOKUP((A285+Forudsætninger!$E$60),'Model tilvækst, slagteform, fe'!G:K,4,FALSE)*(1+Forudsætninger!$E$79)</f>
        <v>53.70042689449226</v>
      </c>
      <c r="K285" s="17">
        <f t="shared" si="112"/>
        <v>220.70717456462037</v>
      </c>
      <c r="L285" s="17">
        <f t="shared" si="120"/>
        <v>554.00614291892225</v>
      </c>
      <c r="M285" s="3">
        <f>((K285-(('Model tilvækst, slagteform, fe'!$J$9/100)*'Model tilvækst, slagteform, fe'!$D$9))*1000/(A285+Forudsætninger!$E$60))</f>
        <v>628.44127407453641</v>
      </c>
      <c r="N285" s="17">
        <f t="shared" si="121"/>
        <v>1581.2925703565911</v>
      </c>
      <c r="O285" s="19">
        <f>IF( A285&lt;Forudsætninger!$C$14,(G285/100)*Forudsætninger!$C$13,(Forudsætninger!$C$15/1000)*Forudsætninger!$C$13)</f>
        <v>2.6714808757268385</v>
      </c>
      <c r="P285" s="17" cm="1">
        <f t="array" ref="P285">INDEX('Model tilvækst, slagteform, fe'!$P$9:$P$375,MATCH(MIN(ABS('Model tilvækst, slagteform, fe'!$M$9:$M$375-G285)),ABS('Model tilvækst, slagteform, fe'!$M$9:$M$375-G285),0))*(1+Forudsætninger!$E$80)</f>
        <v>7.5251356248688852</v>
      </c>
      <c r="Q285" s="17">
        <f t="shared" si="122"/>
        <v>13.583126687406018</v>
      </c>
      <c r="R285" s="17">
        <f t="shared" si="123"/>
        <v>8.4227567701329971</v>
      </c>
      <c r="S285" s="17">
        <f t="shared" si="124"/>
        <v>4.6102219665674218</v>
      </c>
      <c r="T285" s="19">
        <f>(P285)*IF(N285&lt;Forudsætninger!$B$228,IF(N285&lt;Forudsætninger!$B$227,Forudsætninger!$B$225,Forudsætninger!$C$9),Forudsætninger!$C$11)+O285</f>
        <v>20.280298237920029</v>
      </c>
      <c r="U285" s="5">
        <f>Forudsætninger!$E$68+((K285-(Forudsætninger!$E$84)))*0.01</f>
        <v>6.9236354552178732</v>
      </c>
      <c r="V285" s="2">
        <f>U285+Forudsætninger!$E$69</f>
        <v>6.9236354552178732</v>
      </c>
      <c r="W285">
        <f t="shared" si="113"/>
        <v>1</v>
      </c>
      <c r="X285">
        <f>IF(A285+Forudsætninger!$E$60&gt;248,IF(A285+Forudsætninger!$E$60&lt;365,IF(K285&gt;180,IF(K285&lt;260,1,0),0),0),0)</f>
        <v>1</v>
      </c>
      <c r="Y285" s="22">
        <f>IF(X285=0,0,IF('Vækstfunktion, kry kvie'!A285&lt;Forudsætninger!$E$66,Forudsætninger!$E$67+(('Vækstfunktion, kry kvie'!A285-Forudsætninger!$E$66)/7)*Forudsætninger!$E$64,Forudsætninger!$E$67))</f>
        <v>0.98</v>
      </c>
      <c r="Z285" s="19">
        <f t="shared" si="128"/>
        <v>4642.761889653515</v>
      </c>
      <c r="AA285" s="19">
        <f>Forudsætninger!$E$62+Forudsætninger!$C$16</f>
        <v>1575</v>
      </c>
      <c r="AB285" s="19">
        <f>IF(K285&gt;Forudsætninger!$C$48,IF(K285&gt;Forudsætninger!$C$49,IF(K285&gt;Forudsætninger!$C$50,Forudsætninger!$E$50,Forudsætninger!$E$49+Forudsætninger!$F$50*(K285-Forudsætninger!$C$49)),Forudsætninger!$E$48+Forudsætninger!$F$49*(K285-Forudsætninger!$C$48)),Forudsætninger!$E$48)+IF(K285&gt;Forudsætninger!$C$50,Forudsætninger!$G$50,IF(K285&gt;Forudsætninger!$C$49,Forudsætninger!$G$49+Forudsætninger!$H$50*(K285-Forudsætninger!$C$49),IF(K285&gt;Forudsætninger!$C$48,Forudsætninger!$G$48+Forudsætninger!$H$49*(K285-Forudsætninger!$C$48),Forudsætninger!$G$48)))*(U285-Forudsætninger!$H$48)</f>
        <v>36.593123068608421</v>
      </c>
      <c r="AC285" s="19">
        <f>IF(K285&gt;Forudsætninger!$C$52,IF(K285&gt;Forudsætninger!$C$53,IF(K285&gt;Forudsætninger!$C$54,Forudsætninger!$E$54,Forudsætninger!$E$53+Forudsætninger!$F$54*(K285-Forudsætninger!$C$53)),Forudsætninger!$E$52+Forudsætninger!$F$53*(K285-Forudsætninger!$C$52)),Forudsætninger!$E$52)+IF(K285&gt;Forudsætninger!$C$54,Forudsætninger!$G$54,IF(K285&gt;Forudsætninger!$C$53,Forudsætninger!$G$53+Forudsætninger!$H$54*(K285-Forudsætninger!$C$53),IF(K285&gt;Forudsætninger!$C$52,Forudsætninger!$G$52+Forudsætninger!$H$53*(K285-Forudsætninger!$C$52),Forudsætninger!$G$52)))*(V285-Forudsætninger!$H$52)</f>
        <v>30.893254600933368</v>
      </c>
      <c r="AD285" s="19">
        <f t="shared" si="114"/>
        <v>8051.2047636701855</v>
      </c>
      <c r="AE285" s="19">
        <f t="shared" si="115"/>
        <v>36.479125699254922</v>
      </c>
      <c r="AF285">
        <f>IF(G285&lt;=Forudsætninger!$C$97,Forudsætninger!$C$98,(IF(G285&lt;=Forudsætninger!$D$97,Forudsætninger!$D$98,IF(G285&lt;=Forudsætninger!$E$97,Forudsætninger!$E$98,IF(G285&lt;=Forudsætninger!$F$97,Forudsætninger!$F$98,IF(G285&lt;=Forudsætninger!$G$97,Forudsætninger!$G$98,IF(G285&lt;=Forudsætninger!$H$97,Forudsætninger!$H$98,IF(G285&lt;=Forudsætninger!$I$97,Forudsætninger!$I$98,Forudsætninger!$I$98))))))))</f>
        <v>4.4000000000000004</v>
      </c>
      <c r="AG285" s="1">
        <f t="shared" si="125"/>
        <v>4.4000000000000004</v>
      </c>
      <c r="AH285" s="1">
        <f t="shared" si="129"/>
        <v>904.79999999999654</v>
      </c>
      <c r="AI285" s="1">
        <f t="shared" si="116"/>
        <v>3.197173144876313</v>
      </c>
      <c r="AJ285" s="20">
        <f>+(W285*Forudsætninger!$C$12)</f>
        <v>900</v>
      </c>
      <c r="AK285" s="20">
        <f>Forudsætninger!$C$17</f>
        <v>250</v>
      </c>
      <c r="AL285" s="20">
        <f>IF(A285&lt;92,Forudsætninger!$C$20,Forudsætninger!$C$21)</f>
        <v>1.0566762728146013</v>
      </c>
      <c r="AM285" s="20">
        <f t="shared" si="126"/>
        <v>567.54486805982299</v>
      </c>
      <c r="AN285" s="19">
        <f>IFERROR(AD285+AJ285-AA285-Z285-AK285-AM285-Forudsætninger!$E$75,-999999)</f>
        <v>1724.6812446202327</v>
      </c>
      <c r="AO285" s="19">
        <f>IFERROR(AN285/(A285+Forudsætninger!$E$74),-999999)</f>
        <v>6.0942800163259108</v>
      </c>
      <c r="AP285" s="19">
        <f>IFERROR(((365/(A285+Forudsætninger!$E$74))*AN285)/(AI285+Forudsætninger!$E$73),-999999)</f>
        <v>672.60228252795332</v>
      </c>
      <c r="AQ285" s="18">
        <f t="shared" si="117"/>
        <v>283</v>
      </c>
      <c r="AR285" s="18">
        <f t="shared" si="130"/>
        <v>7035.3067577133379</v>
      </c>
      <c r="AS285" s="18">
        <f t="shared" si="109"/>
        <v>10.5</v>
      </c>
      <c r="AT285" s="50">
        <f t="shared" si="131"/>
        <v>1.298770103890547</v>
      </c>
      <c r="AU285" s="50">
        <f t="shared" si="132"/>
        <v>-1.7005354299415743E-2</v>
      </c>
      <c r="AV285" s="2">
        <f t="shared" si="133"/>
        <v>-2.7478314898552298</v>
      </c>
      <c r="AW285" s="16">
        <f t="shared" si="127"/>
        <v>8.099738914063801</v>
      </c>
      <c r="AZ285" s="16"/>
      <c r="BA285" s="2"/>
    </row>
    <row r="286" spans="1:53" x14ac:dyDescent="0.25">
      <c r="A286">
        <v>284</v>
      </c>
      <c r="B286" s="1">
        <f>ROUND((A286+Forudsætninger!$E$60)/30.4,1)</f>
        <v>10.5</v>
      </c>
      <c r="C286" s="1">
        <f>VLOOKUP((A286+Forudsætninger!$E$60),'Model tilvækst, slagteform, fe'!A:D,4,FALSE)</f>
        <v>447.76877084314026</v>
      </c>
      <c r="D286" s="3">
        <f t="shared" si="134"/>
        <v>1032.8384473478991</v>
      </c>
      <c r="E286" s="3">
        <f>(1+Forudsætninger!$E$78)*C286</f>
        <v>411.94726917568903</v>
      </c>
      <c r="F286" s="2">
        <f t="shared" si="118"/>
        <v>0</v>
      </c>
      <c r="G286" s="1">
        <f t="shared" si="110"/>
        <v>411.94726917568903</v>
      </c>
      <c r="H286" s="3">
        <f t="shared" si="119"/>
        <v>950.21137156004443</v>
      </c>
      <c r="I286" s="3">
        <f t="shared" si="111"/>
        <v>1211.081933717215</v>
      </c>
      <c r="J286" s="1">
        <f>VLOOKUP((A286+Forudsætninger!$E$60),'Model tilvækst, slagteform, fe'!G:K,4,FALSE)*(1+Forudsætninger!$E$79)</f>
        <v>53.710547955581532</v>
      </c>
      <c r="K286" s="17">
        <f t="shared" si="112"/>
        <v>221.259135562317</v>
      </c>
      <c r="L286" s="17">
        <f t="shared" si="120"/>
        <v>551.9609976966251</v>
      </c>
      <c r="M286" s="3">
        <f>((K286-(('Model tilvækst, slagteform, fe'!$J$9/100)*'Model tilvækst, slagteform, fe'!$D$9))*1000/(A286+Forudsætninger!$E$60))</f>
        <v>628.20227321085554</v>
      </c>
      <c r="N286" s="17">
        <f t="shared" si="121"/>
        <v>1588.8206622403757</v>
      </c>
      <c r="O286" s="19">
        <f>IF( A286&lt;Forudsætninger!$C$14,(G286/100)*Forudsætninger!$C$13,(Forudsætninger!$C$15/1000)*Forudsætninger!$C$13)</f>
        <v>2.6776572496419786</v>
      </c>
      <c r="P286" s="17" cm="1">
        <f t="array" ref="P286">INDEX('Model tilvækst, slagteform, fe'!$P$9:$P$375,MATCH(MIN(ABS('Model tilvækst, slagteform, fe'!$M$9:$M$375-G286)),ABS('Model tilvækst, slagteform, fe'!$M$9:$M$375-G286),0))*(1+Forudsætninger!$E$80)</f>
        <v>7.5280918837844686</v>
      </c>
      <c r="Q286" s="17">
        <f t="shared" si="122"/>
        <v>13.638811284130155</v>
      </c>
      <c r="R286" s="17">
        <f t="shared" si="123"/>
        <v>8.4380471255352756</v>
      </c>
      <c r="S286" s="17">
        <f t="shared" si="124"/>
        <v>4.6193728069078013</v>
      </c>
      <c r="T286" s="19">
        <f>(P286)*IF(N286&lt;Forudsætninger!$B$228,IF(N286&lt;Forudsætninger!$B$227,Forudsætninger!$B$225,Forudsætninger!$C$9),Forudsætninger!$C$11)+O286</f>
        <v>20.293392257697633</v>
      </c>
      <c r="U286" s="5">
        <f>Forudsætninger!$E$68+((K286-(Forudsætninger!$E$84)))*0.01</f>
        <v>6.9291550651948395</v>
      </c>
      <c r="V286" s="2">
        <f>U286+Forudsætninger!$E$69</f>
        <v>6.9291550651948395</v>
      </c>
      <c r="W286">
        <f t="shared" si="113"/>
        <v>1</v>
      </c>
      <c r="X286">
        <f>IF(A286+Forudsætninger!$E$60&gt;248,IF(A286+Forudsætninger!$E$60&lt;365,IF(K286&gt;180,IF(K286&lt;260,1,0),0),0),0)</f>
        <v>1</v>
      </c>
      <c r="Y286" s="22">
        <f>IF(X286=0,0,IF('Vækstfunktion, kry kvie'!A286&lt;Forudsætninger!$E$66,Forudsætninger!$E$67+(('Vækstfunktion, kry kvie'!A286-Forudsætninger!$E$66)/7)*Forudsætninger!$E$64,Forudsætninger!$E$67))</f>
        <v>0.98</v>
      </c>
      <c r="Z286" s="19">
        <f t="shared" si="128"/>
        <v>4663.0552819112127</v>
      </c>
      <c r="AA286" s="19">
        <f>Forudsætninger!$E$62+Forudsætninger!$C$16</f>
        <v>1575</v>
      </c>
      <c r="AB286" s="19">
        <f>IF(K286&gt;Forudsætninger!$C$48,IF(K286&gt;Forudsætninger!$C$49,IF(K286&gt;Forudsætninger!$C$50,Forudsætninger!$E$50,Forudsætninger!$E$49+Forudsætninger!$F$50*(K286-Forudsætninger!$C$49)),Forudsætninger!$E$48+Forudsætninger!$F$49*(K286-Forudsætninger!$C$48)),Forudsætninger!$E$48)+IF(K286&gt;Forudsætninger!$C$50,Forudsætninger!$G$50,IF(K286&gt;Forudsætninger!$C$49,Forudsætninger!$G$49+Forudsætninger!$H$50*(K286-Forudsætninger!$C$49),IF(K286&gt;Forudsætninger!$C$48,Forudsætninger!$G$48+Forudsætninger!$H$49*(K286-Forudsætninger!$C$48),Forudsætninger!$G$48)))*(U286-Forudsætninger!$H$48)</f>
        <v>36.604024298312929</v>
      </c>
      <c r="AC286" s="19">
        <f>IF(K286&gt;Forudsætninger!$C$52,IF(K286&gt;Forudsætninger!$C$53,IF(K286&gt;Forudsætninger!$C$54,Forudsætninger!$E$54,Forudsætninger!$E$53+Forudsætninger!$F$54*(K286-Forudsætninger!$C$53)),Forudsætninger!$E$52+Forudsætninger!$F$53*(K286-Forudsætninger!$C$52)),Forudsætninger!$E$52)+IF(K286&gt;Forudsætninger!$C$54,Forudsætninger!$G$54,IF(K286&gt;Forudsætninger!$C$53,Forudsætninger!$G$53+Forudsætninger!$H$54*(K286-Forudsætninger!$C$53),IF(K286&gt;Forudsætninger!$C$52,Forudsætninger!$G$52+Forudsætninger!$H$53*(K286-Forudsætninger!$C$52),Forudsætninger!$G$52)))*(V286-Forudsætninger!$H$52)</f>
        <v>30.908046894857598</v>
      </c>
      <c r="AD286" s="19">
        <f t="shared" si="114"/>
        <v>8073.7690336173455</v>
      </c>
      <c r="AE286" s="19">
        <f t="shared" si="115"/>
        <v>36.490104750243823</v>
      </c>
      <c r="AF286">
        <f>IF(G286&lt;=Forudsætninger!$C$97,Forudsætninger!$C$98,(IF(G286&lt;=Forudsætninger!$D$97,Forudsætninger!$D$98,IF(G286&lt;=Forudsætninger!$E$97,Forudsætninger!$E$98,IF(G286&lt;=Forudsætninger!$F$97,Forudsætninger!$F$98,IF(G286&lt;=Forudsætninger!$G$97,Forudsætninger!$G$98,IF(G286&lt;=Forudsætninger!$H$97,Forudsætninger!$H$98,IF(G286&lt;=Forudsætninger!$I$97,Forudsætninger!$I$98,Forudsætninger!$I$98))))))))</f>
        <v>4.4000000000000004</v>
      </c>
      <c r="AG286" s="1">
        <f t="shared" si="125"/>
        <v>4.4000000000000004</v>
      </c>
      <c r="AH286" s="1">
        <f t="shared" si="129"/>
        <v>909.19999999999652</v>
      </c>
      <c r="AI286" s="1">
        <f t="shared" si="116"/>
        <v>3.2014084507042133</v>
      </c>
      <c r="AJ286" s="20">
        <f>+(W286*Forudsætninger!$C$12)</f>
        <v>900</v>
      </c>
      <c r="AK286" s="20">
        <f>Forudsætninger!$C$17</f>
        <v>250</v>
      </c>
      <c r="AL286" s="20">
        <f>IF(A286&lt;92,Forudsætninger!$C$20,Forudsætninger!$C$21)</f>
        <v>1.0566762728146013</v>
      </c>
      <c r="AM286" s="20">
        <f t="shared" si="126"/>
        <v>568.60154433263756</v>
      </c>
      <c r="AN286" s="19">
        <f>IFERROR(AD286+AJ286-AA286-Z286-AK286-AM286-Forudsætninger!$E$75,-999999)</f>
        <v>1725.8954460368795</v>
      </c>
      <c r="AO286" s="19">
        <f>IFERROR(AN286/(A286+Forudsætninger!$E$74),-999999)</f>
        <v>6.0770966409749283</v>
      </c>
      <c r="AP286" s="19">
        <f>IFERROR(((365/(A286+Forudsætninger!$E$74))*AN286)/(AI286+Forudsætninger!$E$73),-999999)</f>
        <v>669.8479837134355</v>
      </c>
      <c r="AQ286" s="18">
        <f t="shared" si="117"/>
        <v>284</v>
      </c>
      <c r="AR286" s="18">
        <f t="shared" si="130"/>
        <v>7056.6568262438504</v>
      </c>
      <c r="AS286" s="18">
        <f t="shared" si="109"/>
        <v>10.5</v>
      </c>
      <c r="AT286" s="50">
        <f t="shared" si="131"/>
        <v>1.2142014166468016</v>
      </c>
      <c r="AU286" s="50">
        <f t="shared" si="132"/>
        <v>-1.7183375350982466E-2</v>
      </c>
      <c r="AV286" s="2">
        <f t="shared" si="133"/>
        <v>-2.7542988145178242</v>
      </c>
      <c r="AW286" s="16">
        <f t="shared" si="127"/>
        <v>8.0792147548222442</v>
      </c>
      <c r="AZ286" s="16"/>
      <c r="BA286" s="2"/>
    </row>
    <row r="287" spans="1:53" x14ac:dyDescent="0.25">
      <c r="A287">
        <v>285</v>
      </c>
      <c r="B287" s="1">
        <f>ROUND((A287+Forudsætninger!$E$60)/30.4,1)</f>
        <v>10.6</v>
      </c>
      <c r="C287" s="1">
        <f>VLOOKUP((A287+Forudsætninger!$E$60),'Model tilvækst, slagteform, fe'!A:D,4,FALSE)</f>
        <v>448.79700462021651</v>
      </c>
      <c r="D287" s="3">
        <f t="shared" si="134"/>
        <v>1028.2337770762524</v>
      </c>
      <c r="E287" s="3">
        <f>(1+Forudsætninger!$E$78)*C287</f>
        <v>412.8932442505992</v>
      </c>
      <c r="F287" s="2">
        <f t="shared" si="118"/>
        <v>0</v>
      </c>
      <c r="G287" s="1">
        <f t="shared" si="110"/>
        <v>412.8932442505992</v>
      </c>
      <c r="H287" s="3">
        <f t="shared" si="119"/>
        <v>945.97507491016586</v>
      </c>
      <c r="I287" s="3">
        <f t="shared" si="111"/>
        <v>1210.1517342126288</v>
      </c>
      <c r="J287" s="1">
        <f>VLOOKUP((A287+Forudsætninger!$E$60),'Model tilvækst, slagteform, fe'!G:K,4,FALSE)*(1+Forudsætninger!$E$79)</f>
        <v>53.720679837857219</v>
      </c>
      <c r="K287" s="17">
        <f t="shared" si="112"/>
        <v>221.8090578160062</v>
      </c>
      <c r="L287" s="17">
        <f t="shared" si="120"/>
        <v>549.92225368920344</v>
      </c>
      <c r="M287" s="3">
        <f>((K287-(('Model tilvækst, slagteform, fe'!$J$9/100)*'Model tilvækst, slagteform, fe'!$D$9))*1000/(A287+Forudsætninger!$E$60))</f>
        <v>627.95841022169145</v>
      </c>
      <c r="N287" s="17">
        <f t="shared" si="121"/>
        <v>1596.3487541241602</v>
      </c>
      <c r="O287" s="19">
        <f>IF( A287&lt;Forudsætninger!$C$14,(G287/100)*Forudsætninger!$C$13,(Forudsætninger!$C$15/1000)*Forudsætninger!$C$13)</f>
        <v>2.6838060876288945</v>
      </c>
      <c r="P287" s="17" cm="1">
        <f t="array" ref="P287">INDEX('Model tilvækst, slagteform, fe'!$P$9:$P$375,MATCH(MIN(ABS('Model tilvækst, slagteform, fe'!$M$9:$M$375-G287)),ABS('Model tilvækst, slagteform, fe'!$M$9:$M$375-G287),0))*(1+Forudsætninger!$E$80)</f>
        <v>7.5280918837844686</v>
      </c>
      <c r="Q287" s="17">
        <f t="shared" si="122"/>
        <v>13.689374876687713</v>
      </c>
      <c r="R287" s="17">
        <f t="shared" si="123"/>
        <v>8.4533393599197986</v>
      </c>
      <c r="S287" s="17">
        <f t="shared" si="124"/>
        <v>4.6285300762929831</v>
      </c>
      <c r="T287" s="19">
        <f>(P287)*IF(N287&lt;Forudsætninger!$B$228,IF(N287&lt;Forudsætninger!$B$227,Forudsætninger!$B$225,Forudsætninger!$C$9),Forudsætninger!$C$11)+O287</f>
        <v>20.29954109568455</v>
      </c>
      <c r="U287" s="5">
        <f>Forudsætninger!$E$68+((K287-(Forudsætninger!$E$84)))*0.01</f>
        <v>6.934654287731731</v>
      </c>
      <c r="V287" s="2">
        <f>U287+Forudsætninger!$E$69</f>
        <v>6.934654287731731</v>
      </c>
      <c r="W287">
        <f t="shared" si="113"/>
        <v>1</v>
      </c>
      <c r="X287">
        <f>IF(A287+Forudsætninger!$E$60&gt;248,IF(A287+Forudsætninger!$E$60&lt;365,IF(K287&gt;180,IF(K287&lt;260,1,0),0),0),0)</f>
        <v>1</v>
      </c>
      <c r="Y287" s="22">
        <f>IF(X287=0,0,IF('Vækstfunktion, kry kvie'!A287&lt;Forudsætninger!$E$66,Forudsætninger!$E$67+(('Vækstfunktion, kry kvie'!A287-Forudsætninger!$E$66)/7)*Forudsætninger!$E$64,Forudsætninger!$E$67))</f>
        <v>0.98</v>
      </c>
      <c r="Z287" s="19">
        <f t="shared" si="128"/>
        <v>4683.3548230068973</v>
      </c>
      <c r="AA287" s="19">
        <f>Forudsætninger!$E$62+Forudsætninger!$C$16</f>
        <v>1575</v>
      </c>
      <c r="AB287" s="19">
        <f>IF(K287&gt;Forudsætninger!$C$48,IF(K287&gt;Forudsætninger!$C$49,IF(K287&gt;Forudsætninger!$C$50,Forudsætninger!$E$50,Forudsætninger!$E$49+Forudsætninger!$F$50*(K287-Forudsætninger!$C$49)),Forudsætninger!$E$48+Forudsætninger!$F$49*(K287-Forudsætninger!$C$48)),Forudsætninger!$E$48)+IF(K287&gt;Forudsætninger!$C$50,Forudsætninger!$G$50,IF(K287&gt;Forudsætninger!$C$49,Forudsætninger!$G$49+Forudsætninger!$H$50*(K287-Forudsætninger!$C$49),IF(K287&gt;Forudsætninger!$C$48,Forudsætninger!$G$48+Forudsætninger!$H$49*(K287-Forudsætninger!$C$48),Forudsætninger!$G$48)))*(U287-Forudsætninger!$H$48)</f>
        <v>36.614885262823293</v>
      </c>
      <c r="AC287" s="19">
        <f>IF(K287&gt;Forudsætninger!$C$52,IF(K287&gt;Forudsætninger!$C$53,IF(K287&gt;Forudsætninger!$C$54,Forudsætninger!$E$54,Forudsætninger!$E$53+Forudsætninger!$F$54*(K287-Forudsætninger!$C$53)),Forudsætninger!$E$52+Forudsætninger!$F$53*(K287-Forudsætninger!$C$52)),Forudsætninger!$E$52)+IF(K287&gt;Forudsætninger!$C$54,Forudsætninger!$G$54,IF(K287&gt;Forudsætninger!$C$53,Forudsætninger!$G$53+Forudsætninger!$H$54*(K287-Forudsætninger!$C$53),IF(K287&gt;Forudsætninger!$C$52,Forudsætninger!$G$52+Forudsætninger!$H$53*(K287-Forudsætninger!$C$52),Forudsætninger!$G$52)))*(V287-Forudsætninger!$H$52)</f>
        <v>30.922771927444931</v>
      </c>
      <c r="AD287" s="19">
        <f t="shared" si="114"/>
        <v>8096.261956269962</v>
      </c>
      <c r="AE287" s="19">
        <f t="shared" si="115"/>
        <v>36.501042996115729</v>
      </c>
      <c r="AF287">
        <f>IF(G287&lt;=Forudsætninger!$C$97,Forudsætninger!$C$98,(IF(G287&lt;=Forudsætninger!$D$97,Forudsætninger!$D$98,IF(G287&lt;=Forudsætninger!$E$97,Forudsætninger!$E$98,IF(G287&lt;=Forudsætninger!$F$97,Forudsætninger!$F$98,IF(G287&lt;=Forudsætninger!$G$97,Forudsætninger!$G$98,IF(G287&lt;=Forudsætninger!$H$97,Forudsætninger!$H$98,IF(G287&lt;=Forudsætninger!$I$97,Forudsætninger!$I$98,Forudsætninger!$I$98))))))))</f>
        <v>4.4000000000000004</v>
      </c>
      <c r="AG287" s="1">
        <f t="shared" si="125"/>
        <v>4.4000000000000004</v>
      </c>
      <c r="AH287" s="1">
        <f t="shared" si="129"/>
        <v>913.5999999999965</v>
      </c>
      <c r="AI287" s="1">
        <f t="shared" si="116"/>
        <v>3.2056140350877071</v>
      </c>
      <c r="AJ287" s="20">
        <f>+(W287*Forudsætninger!$C$12)</f>
        <v>900</v>
      </c>
      <c r="AK287" s="20">
        <f>Forudsætninger!$C$17</f>
        <v>250</v>
      </c>
      <c r="AL287" s="20">
        <f>IF(A287&lt;92,Forudsætninger!$C$20,Forudsætninger!$C$21)</f>
        <v>1.0566762728146013</v>
      </c>
      <c r="AM287" s="20">
        <f t="shared" si="126"/>
        <v>569.65822060545213</v>
      </c>
      <c r="AN287" s="19">
        <f>IFERROR(AD287+AJ287-AA287-Z287-AK287-AM287-Forudsætninger!$E$75,-999999)</f>
        <v>1727.0321513209967</v>
      </c>
      <c r="AO287" s="19">
        <f>IFERROR(AN287/(A287+Forudsætninger!$E$74),-999999)</f>
        <v>6.0597619344596376</v>
      </c>
      <c r="AP287" s="19">
        <f>IFERROR(((365/(A287+Forudsætninger!$E$74))*AN287)/(AI287+Forudsætninger!$E$73),-999999)</f>
        <v>667.09004204684493</v>
      </c>
      <c r="AQ287" s="18">
        <f t="shared" si="117"/>
        <v>285</v>
      </c>
      <c r="AR287" s="18">
        <f t="shared" si="130"/>
        <v>7078.0130436123491</v>
      </c>
      <c r="AS287" s="18">
        <f t="shared" si="109"/>
        <v>10.6</v>
      </c>
      <c r="AT287" s="50">
        <f t="shared" si="131"/>
        <v>1.1367052841171699</v>
      </c>
      <c r="AU287" s="50">
        <f t="shared" si="132"/>
        <v>-1.7334706515290677E-2</v>
      </c>
      <c r="AV287" s="2">
        <f t="shared" si="133"/>
        <v>-2.7579416665905683</v>
      </c>
      <c r="AW287" s="16">
        <f t="shared" si="127"/>
        <v>8.0585627085138558</v>
      </c>
      <c r="AZ287" s="16"/>
      <c r="BA287" s="2"/>
    </row>
    <row r="288" spans="1:53" x14ac:dyDescent="0.25">
      <c r="A288">
        <v>286</v>
      </c>
      <c r="B288" s="1">
        <f>ROUND((A288+Forudsætninger!$E$60)/30.4,1)</f>
        <v>10.6</v>
      </c>
      <c r="C288" s="1">
        <f>VLOOKUP((A288+Forudsætninger!$E$60),'Model tilvækst, slagteform, fe'!A:D,4,FALSE)</f>
        <v>449.82065120362694</v>
      </c>
      <c r="D288" s="3">
        <f t="shared" si="134"/>
        <v>1023.6465834104251</v>
      </c>
      <c r="E288" s="3">
        <f>(1+Forudsætninger!$E$78)*C288</f>
        <v>413.83499910733678</v>
      </c>
      <c r="F288" s="2">
        <f t="shared" si="118"/>
        <v>0</v>
      </c>
      <c r="G288" s="1">
        <f t="shared" si="110"/>
        <v>413.83499910733678</v>
      </c>
      <c r="H288" s="3">
        <f t="shared" si="119"/>
        <v>941.75485673758885</v>
      </c>
      <c r="I288" s="3">
        <f t="shared" si="111"/>
        <v>1209.2132835920868</v>
      </c>
      <c r="J288" s="1">
        <f>VLOOKUP((A288+Forudsætninger!$E$60),'Model tilvækst, slagteform, fe'!G:K,4,FALSE)*(1+Forudsætninger!$E$79)</f>
        <v>53.730822306076156</v>
      </c>
      <c r="K288" s="17">
        <f t="shared" si="112"/>
        <v>222.35694801071497</v>
      </c>
      <c r="L288" s="17">
        <f t="shared" si="120"/>
        <v>547.89019470877065</v>
      </c>
      <c r="M288" s="3">
        <f>((K288-(('Model tilvækst, slagteform, fe'!$J$9/100)*'Model tilvækst, slagteform, fe'!$D$9))*1000/(A288+Forudsætninger!$E$60))</f>
        <v>627.70975116730358</v>
      </c>
      <c r="N288" s="17">
        <f t="shared" si="121"/>
        <v>1603.8799094179683</v>
      </c>
      <c r="O288" s="19">
        <f>IF( A288&lt;Forudsætninger!$C$14,(G288/100)*Forudsætninger!$C$13,(Forudsætninger!$C$15/1000)*Forudsætninger!$C$13)</f>
        <v>2.6899274941976894</v>
      </c>
      <c r="P288" s="17" cm="1">
        <f t="array" ref="P288">INDEX('Model tilvækst, slagteform, fe'!$P$9:$P$375,MATCH(MIN(ABS('Model tilvækst, slagteform, fe'!$M$9:$M$375-G288)),ABS('Model tilvækst, slagteform, fe'!$M$9:$M$375-G288),0))*(1+Forudsætninger!$E$80)</f>
        <v>7.5311552938079824</v>
      </c>
      <c r="Q288" s="17">
        <f t="shared" si="122"/>
        <v>13.74573840988548</v>
      </c>
      <c r="R288" s="17">
        <f t="shared" si="123"/>
        <v>8.4686498269666668</v>
      </c>
      <c r="S288" s="17">
        <f t="shared" si="124"/>
        <v>4.6377027008772247</v>
      </c>
      <c r="T288" s="19">
        <f>(P288)*IF(N288&lt;Forudsætninger!$B$228,IF(N288&lt;Forudsætninger!$B$227,Forudsætninger!$B$225,Forudsætninger!$C$9),Forudsætninger!$C$11)+O288</f>
        <v>20.312830881708368</v>
      </c>
      <c r="U288" s="5">
        <f>Forudsætninger!$E$68+((K288-(Forudsætninger!$E$84)))*0.01</f>
        <v>6.9401331896788188</v>
      </c>
      <c r="V288" s="2">
        <f>U288+Forudsætninger!$E$69</f>
        <v>6.9401331896788188</v>
      </c>
      <c r="W288">
        <f t="shared" si="113"/>
        <v>1</v>
      </c>
      <c r="X288">
        <f>IF(A288+Forudsætninger!$E$60&gt;248,IF(A288+Forudsætninger!$E$60&lt;365,IF(K288&gt;180,IF(K288&lt;260,1,0),0),0),0)</f>
        <v>1</v>
      </c>
      <c r="Y288" s="22">
        <f>IF(X288=0,0,IF('Vækstfunktion, kry kvie'!A288&lt;Forudsætninger!$E$66,Forudsætninger!$E$67+(('Vækstfunktion, kry kvie'!A288-Forudsætninger!$E$66)/7)*Forudsætninger!$E$64,Forudsætninger!$E$67))</f>
        <v>0.98</v>
      </c>
      <c r="Z288" s="19">
        <f t="shared" si="128"/>
        <v>4703.6676538886059</v>
      </c>
      <c r="AA288" s="19">
        <f>Forudsætninger!$E$62+Forudsætninger!$C$16</f>
        <v>1575</v>
      </c>
      <c r="AB288" s="19">
        <f>IF(K288&gt;Forudsætninger!$C$48,IF(K288&gt;Forudsætninger!$C$49,IF(K288&gt;Forudsætninger!$C$50,Forudsætninger!$E$50,Forudsætninger!$E$49+Forudsætninger!$F$50*(K288-Forudsætninger!$C$49)),Forudsætninger!$E$48+Forudsætninger!$F$49*(K288-Forudsætninger!$C$48)),Forudsætninger!$E$48)+IF(K288&gt;Forudsætninger!$C$50,Forudsætninger!$G$50,IF(K288&gt;Forudsætninger!$C$49,Forudsætninger!$G$49+Forudsætninger!$H$50*(K288-Forudsætninger!$C$49),IF(K288&gt;Forudsætninger!$C$48,Forudsætninger!$G$48+Forudsætninger!$H$49*(K288-Forudsætninger!$C$48),Forudsætninger!$G$48)))*(U288-Forudsætninger!$H$48)</f>
        <v>36.625706094168791</v>
      </c>
      <c r="AC288" s="19">
        <f>IF(K288&gt;Forudsætninger!$C$52,IF(K288&gt;Forudsætninger!$C$53,IF(K288&gt;Forudsætninger!$C$54,Forudsætninger!$E$54,Forudsætninger!$E$53+Forudsætninger!$F$54*(K288-Forudsætninger!$C$53)),Forudsætninger!$E$52+Forudsætninger!$F$53*(K288-Forudsætninger!$C$52)),Forudsætninger!$E$52)+IF(K288&gt;Forudsætninger!$C$54,Forudsætninger!$G$54,IF(K288&gt;Forudsætninger!$C$53,Forudsætninger!$G$53+Forudsætninger!$H$54*(K288-Forudsætninger!$C$53),IF(K288&gt;Forudsætninger!$C$52,Forudsætninger!$G$52+Forudsætninger!$H$53*(K288-Forudsætninger!$C$52),Forudsætninger!$G$52)))*(V288-Forudsætninger!$H$52)</f>
        <v>30.937430017612112</v>
      </c>
      <c r="AD288" s="19">
        <f t="shared" si="114"/>
        <v>8118.6836716803055</v>
      </c>
      <c r="AE288" s="19">
        <f t="shared" si="115"/>
        <v>36.511940572637656</v>
      </c>
      <c r="AF288">
        <f>IF(G288&lt;=Forudsætninger!$C$97,Forudsætninger!$C$98,(IF(G288&lt;=Forudsætninger!$D$97,Forudsætninger!$D$98,IF(G288&lt;=Forudsætninger!$E$97,Forudsætninger!$E$98,IF(G288&lt;=Forudsætninger!$F$97,Forudsætninger!$F$98,IF(G288&lt;=Forudsætninger!$G$97,Forudsætninger!$G$98,IF(G288&lt;=Forudsætninger!$H$97,Forudsætninger!$H$98,IF(G288&lt;=Forudsætninger!$I$97,Forudsætninger!$I$98,Forudsætninger!$I$98))))))))</f>
        <v>4.4000000000000004</v>
      </c>
      <c r="AG288" s="1">
        <f t="shared" si="125"/>
        <v>4.4000000000000004</v>
      </c>
      <c r="AH288" s="1">
        <f t="shared" si="129"/>
        <v>917.99999999999648</v>
      </c>
      <c r="AI288" s="1">
        <f t="shared" si="116"/>
        <v>3.2097902097901976</v>
      </c>
      <c r="AJ288" s="20">
        <f>+(W288*Forudsætninger!$C$12)</f>
        <v>900</v>
      </c>
      <c r="AK288" s="20">
        <f>Forudsætninger!$C$17</f>
        <v>250</v>
      </c>
      <c r="AL288" s="20">
        <f>IF(A288&lt;92,Forudsætninger!$C$20,Forudsætninger!$C$21)</f>
        <v>1.0566762728146013</v>
      </c>
      <c r="AM288" s="20">
        <f t="shared" si="126"/>
        <v>570.7148968782667</v>
      </c>
      <c r="AN288" s="19">
        <f>IFERROR(AD288+AJ288-AA288-Z288-AK288-AM288-Forudsætninger!$E$75,-999999)</f>
        <v>1728.0843595768163</v>
      </c>
      <c r="AO288" s="19">
        <f>IFERROR(AN288/(A288+Forudsætninger!$E$74),-999999)</f>
        <v>6.0422530055133432</v>
      </c>
      <c r="AP288" s="19">
        <f>IFERROR(((365/(A288+Forudsætninger!$E$74))*AN288)/(AI288+Forudsætninger!$E$73),-999999)</f>
        <v>664.32581809190526</v>
      </c>
      <c r="AQ288" s="18">
        <f t="shared" si="117"/>
        <v>286</v>
      </c>
      <c r="AR288" s="18">
        <f t="shared" si="130"/>
        <v>7099.3825507668726</v>
      </c>
      <c r="AS288" s="18">
        <f t="shared" si="109"/>
        <v>10.6</v>
      </c>
      <c r="AT288" s="50">
        <f t="shared" si="131"/>
        <v>1.0522082558195507</v>
      </c>
      <c r="AU288" s="50">
        <f t="shared" si="132"/>
        <v>-1.7508928946294411E-2</v>
      </c>
      <c r="AV288" s="2">
        <f t="shared" si="133"/>
        <v>-2.7642239549396663</v>
      </c>
      <c r="AW288" s="16">
        <f t="shared" si="127"/>
        <v>8.0377596379548368</v>
      </c>
      <c r="AZ288" s="16"/>
      <c r="BA288" s="2"/>
    </row>
    <row r="289" spans="1:53" x14ac:dyDescent="0.25">
      <c r="A289">
        <v>287</v>
      </c>
      <c r="B289" s="1">
        <f>ROUND((A289+Forudsætninger!$E$60)/30.4,1)</f>
        <v>10.6</v>
      </c>
      <c r="C289" s="1">
        <f>VLOOKUP((A289+Forudsætninger!$E$60),'Model tilvækst, slagteform, fe'!A:D,4,FALSE)</f>
        <v>450.83972865499879</v>
      </c>
      <c r="D289" s="3">
        <f t="shared" si="134"/>
        <v>1019.0774513718566</v>
      </c>
      <c r="E289" s="3">
        <f>(1+Forudsætninger!$E$78)*C289</f>
        <v>414.77255036259891</v>
      </c>
      <c r="F289" s="2">
        <f t="shared" si="118"/>
        <v>0</v>
      </c>
      <c r="G289" s="1">
        <f t="shared" si="110"/>
        <v>414.77255036259891</v>
      </c>
      <c r="H289" s="3">
        <f t="shared" si="119"/>
        <v>937.55125526212169</v>
      </c>
      <c r="I289" s="3">
        <f t="shared" si="111"/>
        <v>1208.2667260020869</v>
      </c>
      <c r="J289" s="1">
        <f>VLOOKUP((A289+Forudsætninger!$E$60),'Model tilvækst, slagteform, fe'!G:K,4,FALSE)*(1+Forudsætninger!$E$79)</f>
        <v>53.740975124995153</v>
      </c>
      <c r="K289" s="17">
        <f t="shared" si="112"/>
        <v>222.90281311567225</v>
      </c>
      <c r="L289" s="17">
        <f t="shared" si="120"/>
        <v>545.86510495727225</v>
      </c>
      <c r="M289" s="3">
        <f>((K289-(('Model tilvækst, slagteform, fe'!$J$9/100)*'Model tilvækst, slagteform, fe'!$D$9))*1000/(A289+Forudsætninger!$E$60))</f>
        <v>627.45636216974913</v>
      </c>
      <c r="N289" s="17">
        <f t="shared" si="121"/>
        <v>1611.4142332123095</v>
      </c>
      <c r="O289" s="19">
        <f>IF( A289&lt;Forudsætninger!$C$14,(G289/100)*Forudsætninger!$C$13,(Forudsætninger!$C$15/1000)*Forudsætninger!$C$13)</f>
        <v>2.696021577356893</v>
      </c>
      <c r="P289" s="17" cm="1">
        <f t="array" ref="P289">INDEX('Model tilvækst, slagteform, fe'!$P$9:$P$375,MATCH(MIN(ABS('Model tilvækst, slagteform, fe'!$M$9:$M$375-G289)),ABS('Model tilvækst, slagteform, fe'!$M$9:$M$375-G289),0))*(1+Forudsætninger!$E$80)</f>
        <v>7.5343237943411969</v>
      </c>
      <c r="Q289" s="17">
        <f t="shared" si="122"/>
        <v>13.802537890622169</v>
      </c>
      <c r="R289" s="17">
        <f t="shared" si="123"/>
        <v>8.4839791022932776</v>
      </c>
      <c r="S289" s="17">
        <f t="shared" si="124"/>
        <v>4.6468909708318948</v>
      </c>
      <c r="T289" s="19">
        <f>(P289)*IF(N289&lt;Forudsætninger!$B$228,IF(N289&lt;Forudsætninger!$B$227,Forudsætninger!$B$225,Forudsætninger!$C$9),Forudsætninger!$C$11)+O289</f>
        <v>20.32633925611529</v>
      </c>
      <c r="U289" s="5">
        <f>Forudsætninger!$E$68+((K289-(Forudsætninger!$E$84)))*0.01</f>
        <v>6.9455918407283921</v>
      </c>
      <c r="V289" s="2">
        <f>U289+Forudsætninger!$E$69</f>
        <v>6.9455918407283921</v>
      </c>
      <c r="W289">
        <f t="shared" si="113"/>
        <v>1</v>
      </c>
      <c r="X289">
        <f>IF(A289+Forudsætninger!$E$60&gt;248,IF(A289+Forudsætninger!$E$60&lt;365,IF(K289&gt;180,IF(K289&lt;260,1,0),0),0),0)</f>
        <v>1</v>
      </c>
      <c r="Y289" s="22">
        <f>IF(X289=0,0,IF('Vækstfunktion, kry kvie'!A289&lt;Forudsætninger!$E$66,Forudsætninger!$E$67+(('Vækstfunktion, kry kvie'!A289-Forudsætninger!$E$66)/7)*Forudsætninger!$E$64,Forudsætninger!$E$67))</f>
        <v>0.98</v>
      </c>
      <c r="Z289" s="19">
        <f t="shared" si="128"/>
        <v>4723.9939931447216</v>
      </c>
      <c r="AA289" s="19">
        <f>Forudsætninger!$E$62+Forudsætninger!$C$16</f>
        <v>1575</v>
      </c>
      <c r="AB289" s="19">
        <f>IF(K289&gt;Forudsætninger!$C$48,IF(K289&gt;Forudsætninger!$C$49,IF(K289&gt;Forudsætninger!$C$50,Forudsætninger!$E$50,Forudsætninger!$E$49+Forudsætninger!$F$50*(K289-Forudsætninger!$C$49)),Forudsætninger!$E$48+Forudsætninger!$F$49*(K289-Forudsætninger!$C$48)),Forudsætninger!$E$48)+IF(K289&gt;Forudsætninger!$C$50,Forudsætninger!$G$50,IF(K289&gt;Forudsætninger!$C$49,Forudsætninger!$G$49+Forudsætninger!$H$50*(K289-Forudsætninger!$C$49),IF(K289&gt;Forudsætninger!$C$48,Forudsætninger!$G$48+Forudsætninger!$H$49*(K289-Forudsætninger!$C$48),Forudsætninger!$G$48)))*(U289-Forudsætninger!$H$48)</f>
        <v>36.636486929991698</v>
      </c>
      <c r="AC289" s="19">
        <f>IF(K289&gt;Forudsætninger!$C$52,IF(K289&gt;Forudsætninger!$C$53,IF(K289&gt;Forudsætninger!$C$54,Forudsætninger!$E$54,Forudsætninger!$E$53+Forudsætninger!$F$54*(K289-Forudsætninger!$C$53)),Forudsætninger!$E$52+Forudsætninger!$F$53*(K289-Forudsætninger!$C$52)),Forudsætninger!$E$52)+IF(K289&gt;Forudsætninger!$C$54,Forudsætninger!$G$54,IF(K289&gt;Forudsætninger!$C$53,Forudsætninger!$G$53+Forudsætninger!$H$54*(K289-Forudsætninger!$C$53),IF(K289&gt;Forudsætninger!$C$52,Forudsætninger!$G$52+Forudsætninger!$H$53*(K289-Forudsætninger!$C$52),Forudsætninger!$G$52)))*(V289-Forudsætninger!$H$52)</f>
        <v>30.952021490741885</v>
      </c>
      <c r="AD289" s="19">
        <f t="shared" si="114"/>
        <v>8141.034332621356</v>
      </c>
      <c r="AE289" s="19">
        <f t="shared" si="115"/>
        <v>36.522797621206699</v>
      </c>
      <c r="AF289">
        <f>IF(G289&lt;=Forudsætninger!$C$97,Forudsætninger!$C$98,(IF(G289&lt;=Forudsætninger!$D$97,Forudsætninger!$D$98,IF(G289&lt;=Forudsætninger!$E$97,Forudsætninger!$E$98,IF(G289&lt;=Forudsætninger!$F$97,Forudsætninger!$F$98,IF(G289&lt;=Forudsætninger!$G$97,Forudsætninger!$G$98,IF(G289&lt;=Forudsætninger!$H$97,Forudsætninger!$H$98,IF(G289&lt;=Forudsætninger!$I$97,Forudsætninger!$I$98,Forudsætninger!$I$98))))))))</f>
        <v>4.4000000000000004</v>
      </c>
      <c r="AG289" s="1">
        <f t="shared" si="125"/>
        <v>4.4000000000000004</v>
      </c>
      <c r="AH289" s="1">
        <f t="shared" si="129"/>
        <v>922.39999999999645</v>
      </c>
      <c r="AI289" s="1">
        <f t="shared" si="116"/>
        <v>3.2139372822299528</v>
      </c>
      <c r="AJ289" s="20">
        <f>+(W289*Forudsætninger!$C$12)</f>
        <v>900</v>
      </c>
      <c r="AK289" s="20">
        <f>Forudsætninger!$C$17</f>
        <v>250</v>
      </c>
      <c r="AL289" s="20">
        <f>IF(A289&lt;92,Forudsætninger!$C$20,Forudsætninger!$C$21)</f>
        <v>1.0566762728146013</v>
      </c>
      <c r="AM289" s="20">
        <f t="shared" si="126"/>
        <v>571.77157315108127</v>
      </c>
      <c r="AN289" s="19">
        <f>IFERROR(AD289+AJ289-AA289-Z289-AK289-AM289-Forudsætninger!$E$75,-999999)</f>
        <v>1729.0520049889367</v>
      </c>
      <c r="AO289" s="19">
        <f>IFERROR(AN289/(A289+Forudsætninger!$E$74),-999999)</f>
        <v>6.024571445954483</v>
      </c>
      <c r="AP289" s="19">
        <f>IFERROR(((365/(A289+Forudsætninger!$E$74))*AN289)/(AI289+Forudsætninger!$E$73),-999999)</f>
        <v>661.55537576754432</v>
      </c>
      <c r="AQ289" s="18">
        <f t="shared" si="117"/>
        <v>287</v>
      </c>
      <c r="AR289" s="18">
        <f t="shared" si="130"/>
        <v>7120.7655662958032</v>
      </c>
      <c r="AS289" s="18">
        <f t="shared" si="109"/>
        <v>10.6</v>
      </c>
      <c r="AT289" s="50">
        <f t="shared" si="131"/>
        <v>0.96764541212041877</v>
      </c>
      <c r="AU289" s="50">
        <f t="shared" si="132"/>
        <v>-1.7681559558860194E-2</v>
      </c>
      <c r="AV289" s="2">
        <f t="shared" si="133"/>
        <v>-2.7704423243609426</v>
      </c>
      <c r="AW289" s="16">
        <f t="shared" si="127"/>
        <v>8.0168068924739302</v>
      </c>
      <c r="AZ289" s="16"/>
      <c r="BA289" s="2"/>
    </row>
    <row r="290" spans="1:53" x14ac:dyDescent="0.25">
      <c r="A290">
        <v>288</v>
      </c>
      <c r="B290" s="1">
        <f>ROUND((A290+Forudsætninger!$E$60)/30.4,1)</f>
        <v>10.7</v>
      </c>
      <c r="C290" s="1">
        <f>VLOOKUP((A290+Forudsætninger!$E$60),'Model tilvækst, slagteform, fe'!A:D,4,FALSE)</f>
        <v>451.85425562097879</v>
      </c>
      <c r="D290" s="3">
        <f t="shared" si="134"/>
        <v>1014.5269659799965</v>
      </c>
      <c r="E290" s="3">
        <f>(1+Forudsætninger!$E$78)*C290</f>
        <v>415.70591517130049</v>
      </c>
      <c r="F290" s="2">
        <f t="shared" si="118"/>
        <v>0</v>
      </c>
      <c r="G290" s="1">
        <f t="shared" si="110"/>
        <v>415.70591517130049</v>
      </c>
      <c r="H290" s="3">
        <f t="shared" si="119"/>
        <v>933.36480870158312</v>
      </c>
      <c r="I290" s="3">
        <f t="shared" si="111"/>
        <v>1207.3122054559044</v>
      </c>
      <c r="J290" s="1">
        <f>VLOOKUP((A290+Forudsætninger!$E$60),'Model tilvækst, slagteform, fe'!G:K,4,FALSE)*(1+Forudsætninger!$E$79)</f>
        <v>53.751138059371037</v>
      </c>
      <c r="K290" s="17">
        <f t="shared" si="112"/>
        <v>223.44666038469759</v>
      </c>
      <c r="L290" s="17">
        <f t="shared" si="120"/>
        <v>543.84726902534908</v>
      </c>
      <c r="M290" s="3">
        <f>((K290-(('Model tilvækst, slagteform, fe'!$J$9/100)*'Model tilvækst, slagteform, fe'!$D$9))*1000/(A290+Forudsætninger!$E$60))</f>
        <v>627.19830941313069</v>
      </c>
      <c r="N290" s="17">
        <f t="shared" si="121"/>
        <v>1618.9518285370953</v>
      </c>
      <c r="O290" s="19">
        <f>IF( A290&lt;Forudsætninger!$C$14,(G290/100)*Forudsætninger!$C$13,(Forudsætninger!$C$15/1000)*Forudsætninger!$C$13)</f>
        <v>2.7020884486134533</v>
      </c>
      <c r="P290" s="17" cm="1">
        <f t="array" ref="P290">INDEX('Model tilvækst, slagteform, fe'!$P$9:$P$375,MATCH(MIN(ABS('Model tilvækst, slagteform, fe'!$M$9:$M$375-G290)),ABS('Model tilvækst, slagteform, fe'!$M$9:$M$375-G290),0))*(1+Forudsætninger!$E$80)</f>
        <v>7.5375953247858831</v>
      </c>
      <c r="Q290" s="17">
        <f t="shared" si="122"/>
        <v>13.859764963597806</v>
      </c>
      <c r="R290" s="17">
        <f t="shared" si="123"/>
        <v>8.4993277303476447</v>
      </c>
      <c r="S290" s="17">
        <f t="shared" si="124"/>
        <v>4.6560951594381246</v>
      </c>
      <c r="T290" s="19">
        <f>(P290)*IF(N290&lt;Forudsætninger!$B$228,IF(N290&lt;Forudsætninger!$B$227,Forudsætninger!$B$225,Forudsætninger!$C$9),Forudsætninger!$C$11)+O290</f>
        <v>20.340061508612418</v>
      </c>
      <c r="U290" s="5">
        <f>Forudsætninger!$E$68+((K290-(Forudsætninger!$E$84)))*0.01</f>
        <v>6.9510303134186451</v>
      </c>
      <c r="V290" s="2">
        <f>U290+Forudsætninger!$E$69</f>
        <v>6.9510303134186451</v>
      </c>
      <c r="W290">
        <f t="shared" si="113"/>
        <v>1</v>
      </c>
      <c r="X290">
        <f>IF(A290+Forudsætninger!$E$60&gt;248,IF(A290+Forudsætninger!$E$60&lt;365,IF(K290&gt;180,IF(K290&lt;260,1,0),0),0),0)</f>
        <v>1</v>
      </c>
      <c r="Y290" s="22">
        <f>IF(X290=0,0,IF('Vækstfunktion, kry kvie'!A290&lt;Forudsætninger!$E$66,Forudsætninger!$E$67+(('Vækstfunktion, kry kvie'!A290-Forudsætninger!$E$66)/7)*Forudsætninger!$E$64,Forudsætninger!$E$67))</f>
        <v>0.98</v>
      </c>
      <c r="Z290" s="19">
        <f t="shared" si="128"/>
        <v>4744.3340546533336</v>
      </c>
      <c r="AA290" s="19">
        <f>Forudsætninger!$E$62+Forudsætninger!$C$16</f>
        <v>1575</v>
      </c>
      <c r="AB290" s="19">
        <f>IF(K290&gt;Forudsætninger!$C$48,IF(K290&gt;Forudsætninger!$C$49,IF(K290&gt;Forudsætninger!$C$50,Forudsætninger!$E$50,Forudsætninger!$E$49+Forudsætninger!$F$50*(K290-Forudsætninger!$C$49)),Forudsætninger!$E$48+Forudsætninger!$F$49*(K290-Forudsætninger!$C$48)),Forudsætninger!$E$48)+IF(K290&gt;Forudsætninger!$C$50,Forudsætninger!$G$50,IF(K290&gt;Forudsætninger!$C$49,Forudsætninger!$G$49+Forudsætninger!$H$50*(K290-Forudsætninger!$C$49),IF(K290&gt;Forudsætninger!$C$48,Forudsætninger!$G$48+Forudsætninger!$H$49*(K290-Forudsætninger!$C$48),Forudsætninger!$G$48)))*(U290-Forudsætninger!$H$48)</f>
        <v>36.64722791355495</v>
      </c>
      <c r="AC290" s="19">
        <f>IF(K290&gt;Forudsætninger!$C$52,IF(K290&gt;Forudsætninger!$C$53,IF(K290&gt;Forudsætninger!$C$54,Forudsætninger!$E$54,Forudsætninger!$E$53+Forudsætninger!$F$54*(K290-Forudsætninger!$C$53)),Forudsætninger!$E$52+Forudsætninger!$F$53*(K290-Forudsætninger!$C$52)),Forudsætninger!$E$52)+IF(K290&gt;Forudsætninger!$C$54,Forudsætninger!$G$54,IF(K290&gt;Forudsætninger!$C$53,Forudsætninger!$G$53+Forudsætninger!$H$54*(K290-Forudsætninger!$C$53),IF(K290&gt;Forudsætninger!$C$52,Forudsætninger!$G$52+Forudsætninger!$H$53*(K290-Forudsætninger!$C$52),Forudsætninger!$G$52)))*(V290-Forudsætninger!$H$52)</f>
        <v>30.966546678666848</v>
      </c>
      <c r="AD290" s="19">
        <f t="shared" si="114"/>
        <v>8163.314104627807</v>
      </c>
      <c r="AE290" s="19">
        <f t="shared" si="115"/>
        <v>36.533614288857187</v>
      </c>
      <c r="AF290">
        <f>IF(G290&lt;=Forudsætninger!$C$97,Forudsætninger!$C$98,(IF(G290&lt;=Forudsætninger!$D$97,Forudsætninger!$D$98,IF(G290&lt;=Forudsætninger!$E$97,Forudsætninger!$E$98,IF(G290&lt;=Forudsætninger!$F$97,Forudsætninger!$F$98,IF(G290&lt;=Forudsætninger!$G$97,Forudsætninger!$G$98,IF(G290&lt;=Forudsætninger!$H$97,Forudsætninger!$H$98,IF(G290&lt;=Forudsætninger!$I$97,Forudsætninger!$I$98,Forudsætninger!$I$98))))))))</f>
        <v>4.4000000000000004</v>
      </c>
      <c r="AG290" s="1">
        <f t="shared" si="125"/>
        <v>4.4000000000000004</v>
      </c>
      <c r="AH290" s="1">
        <f t="shared" si="129"/>
        <v>926.79999999999643</v>
      </c>
      <c r="AI290" s="1">
        <f t="shared" si="116"/>
        <v>3.218055555555543</v>
      </c>
      <c r="AJ290" s="20">
        <f>+(W290*Forudsætninger!$C$12)</f>
        <v>900</v>
      </c>
      <c r="AK290" s="20">
        <f>Forudsætninger!$C$17</f>
        <v>250</v>
      </c>
      <c r="AL290" s="20">
        <f>IF(A290&lt;92,Forudsætninger!$C$20,Forudsætninger!$C$21)</f>
        <v>1.0566762728146013</v>
      </c>
      <c r="AM290" s="20">
        <f t="shared" si="126"/>
        <v>572.82824942389584</v>
      </c>
      <c r="AN290" s="19">
        <f>IFERROR(AD290+AJ290-AA290-Z290-AK290-AM290-Forudsætninger!$E$75,-999999)</f>
        <v>1729.9350392139618</v>
      </c>
      <c r="AO290" s="19">
        <f>IFERROR(AN290/(A290+Forudsætninger!$E$74),-999999)</f>
        <v>6.0067188861595895</v>
      </c>
      <c r="AP290" s="19">
        <f>IFERROR(((365/(A290+Forudsætninger!$E$74))*AN290)/(AI290+Forudsætninger!$E$73),-999999)</f>
        <v>658.77878444317935</v>
      </c>
      <c r="AQ290" s="18">
        <f t="shared" si="117"/>
        <v>288</v>
      </c>
      <c r="AR290" s="18">
        <f t="shared" si="130"/>
        <v>7142.1623040772292</v>
      </c>
      <c r="AS290" s="18">
        <f t="shared" si="109"/>
        <v>10.7</v>
      </c>
      <c r="AT290" s="50">
        <f t="shared" si="131"/>
        <v>0.88303422502508511</v>
      </c>
      <c r="AU290" s="50">
        <f t="shared" si="132"/>
        <v>-1.785255979489353E-2</v>
      </c>
      <c r="AV290" s="2">
        <f t="shared" si="133"/>
        <v>-2.776591324364972</v>
      </c>
      <c r="AW290" s="16">
        <f t="shared" si="127"/>
        <v>7.9957058633258953</v>
      </c>
      <c r="AZ290" s="16"/>
      <c r="BA290" s="2"/>
    </row>
    <row r="291" spans="1:53" x14ac:dyDescent="0.25">
      <c r="A291">
        <v>289</v>
      </c>
      <c r="B291" s="1">
        <f>ROUND((A291+Forudsætninger!$E$60)/30.4,1)</f>
        <v>10.7</v>
      </c>
      <c r="C291" s="1">
        <f>VLOOKUP((A291+Forudsætninger!$E$60),'Model tilvækst, slagteform, fe'!A:D,4,FALSE)</f>
        <v>452.86425133323598</v>
      </c>
      <c r="D291" s="3">
        <f t="shared" si="134"/>
        <v>1009.9957122571936</v>
      </c>
      <c r="E291" s="3">
        <f>(1+Forudsætninger!$E$78)*C291</f>
        <v>416.63511122657712</v>
      </c>
      <c r="F291" s="2">
        <f t="shared" si="118"/>
        <v>0</v>
      </c>
      <c r="G291" s="1">
        <f t="shared" si="110"/>
        <v>416.63511122657712</v>
      </c>
      <c r="H291" s="3">
        <f t="shared" si="119"/>
        <v>929.19605527663407</v>
      </c>
      <c r="I291" s="3">
        <f t="shared" si="111"/>
        <v>1206.3498658359069</v>
      </c>
      <c r="J291" s="1">
        <f>VLOOKUP((A291+Forudsætninger!$E$60),'Model tilvækst, slagteform, fe'!G:K,4,FALSE)*(1+Forudsætninger!$E$79)</f>
        <v>53.761310873960589</v>
      </c>
      <c r="K291" s="17">
        <f t="shared" si="112"/>
        <v>223.98849735659161</v>
      </c>
      <c r="L291" s="17">
        <f t="shared" si="120"/>
        <v>541.83697189401414</v>
      </c>
      <c r="M291" s="3">
        <f>((K291-(('Model tilvækst, slagteform, fe'!$J$9/100)*'Model tilvækst, slagteform, fe'!$D$9))*1000/(A291+Forudsætninger!$E$60))</f>
        <v>626.93565914384112</v>
      </c>
      <c r="N291" s="17">
        <f t="shared" si="121"/>
        <v>1626.492796361639</v>
      </c>
      <c r="O291" s="19">
        <f>IF( A291&lt;Forudsætninger!$C$14,(G291/100)*Forudsætninger!$C$13,(Forudsætninger!$C$15/1000)*Forudsætninger!$C$13)</f>
        <v>2.7081282229727517</v>
      </c>
      <c r="P291" s="17" cm="1">
        <f t="array" ref="P291">INDEX('Model tilvækst, slagteform, fe'!$P$9:$P$375,MATCH(MIN(ABS('Model tilvækst, slagteform, fe'!$M$9:$M$375-G291)),ABS('Model tilvækst, slagteform, fe'!$M$9:$M$375-G291),0))*(1+Forudsætninger!$E$80)</f>
        <v>7.5409678245438112</v>
      </c>
      <c r="Q291" s="17">
        <f t="shared" si="122"/>
        <v>13.917410984680572</v>
      </c>
      <c r="R291" s="17">
        <f t="shared" si="123"/>
        <v>8.5146962247725213</v>
      </c>
      <c r="S291" s="17">
        <f t="shared" si="124"/>
        <v>4.6653155232680659</v>
      </c>
      <c r="T291" s="19">
        <f>(P291)*IF(N291&lt;Forudsætninger!$B$228,IF(N291&lt;Forudsætninger!$B$227,Forudsætninger!$B$225,Forudsætninger!$C$9),Forudsætninger!$C$11)+O291</f>
        <v>20.353992932405269</v>
      </c>
      <c r="U291" s="5">
        <f>Forudsætninger!$E$68+((K291-(Forudsætninger!$E$84)))*0.01</f>
        <v>6.9564486831375856</v>
      </c>
      <c r="V291" s="2">
        <f>U291+Forudsætninger!$E$69</f>
        <v>6.9564486831375856</v>
      </c>
      <c r="W291">
        <f t="shared" si="113"/>
        <v>1</v>
      </c>
      <c r="X291">
        <f>IF(A291+Forudsætninger!$E$60&gt;248,IF(A291+Forudsætninger!$E$60&lt;365,IF(K291&gt;180,IF(K291&lt;260,1,0),0),0),0)</f>
        <v>1</v>
      </c>
      <c r="Y291" s="22">
        <f>IF(X291=0,0,IF('Vækstfunktion, kry kvie'!A291&lt;Forudsætninger!$E$66,Forudsætninger!$E$67+(('Vækstfunktion, kry kvie'!A291-Forudsætninger!$E$66)/7)*Forudsætninger!$E$64,Forudsætninger!$E$67))</f>
        <v>0.98</v>
      </c>
      <c r="Z291" s="19">
        <f t="shared" si="128"/>
        <v>4764.6880475857388</v>
      </c>
      <c r="AA291" s="19">
        <f>Forudsætninger!$E$62+Forudsætninger!$C$16</f>
        <v>1575</v>
      </c>
      <c r="AB291" s="19">
        <f>IF(K291&gt;Forudsætninger!$C$48,IF(K291&gt;Forudsætninger!$C$49,IF(K291&gt;Forudsætninger!$C$50,Forudsætninger!$E$50,Forudsætninger!$E$49+Forudsætninger!$F$50*(K291-Forudsætninger!$C$49)),Forudsætninger!$E$48+Forudsætninger!$F$49*(K291-Forudsætninger!$C$48)),Forudsætninger!$E$48)+IF(K291&gt;Forudsætninger!$C$50,Forudsætninger!$G$50,IF(K291&gt;Forudsætninger!$C$49,Forudsætninger!$G$49+Forudsætninger!$H$50*(K291-Forudsætninger!$C$49),IF(K291&gt;Forudsætninger!$C$48,Forudsætninger!$G$48+Forudsætninger!$H$49*(K291-Forudsætninger!$C$48),Forudsætninger!$G$48)))*(U291-Forudsætninger!$H$48)</f>
        <v>36.657929193749851</v>
      </c>
      <c r="AC291" s="19">
        <f>IF(K291&gt;Forudsætninger!$C$52,IF(K291&gt;Forudsætninger!$C$53,IF(K291&gt;Forudsætninger!$C$54,Forudsætninger!$E$54,Forudsætninger!$E$53+Forudsætninger!$F$54*(K291-Forudsætninger!$C$53)),Forudsætninger!$E$52+Forudsætninger!$F$53*(K291-Forudsætninger!$C$52)),Forudsætninger!$E$52)+IF(K291&gt;Forudsætninger!$C$54,Forudsætninger!$G$54,IF(K291&gt;Forudsætninger!$C$53,Forudsætninger!$G$53+Forudsætninger!$H$54*(K291-Forudsætninger!$C$53),IF(K291&gt;Forudsætninger!$C$52,Forudsætninger!$G$52+Forudsætninger!$H$53*(K291-Forudsætninger!$C$52),Forudsætninger!$G$52)))*(V291-Forudsætninger!$H$52)</f>
        <v>30.981005919653587</v>
      </c>
      <c r="AD291" s="19">
        <f t="shared" si="114"/>
        <v>8185.5231660368918</v>
      </c>
      <c r="AE291" s="19">
        <f t="shared" si="115"/>
        <v>36.544390728267928</v>
      </c>
      <c r="AF291">
        <f>IF(G291&lt;=Forudsætninger!$C$97,Forudsætninger!$C$98,(IF(G291&lt;=Forudsætninger!$D$97,Forudsætninger!$D$98,IF(G291&lt;=Forudsætninger!$E$97,Forudsætninger!$E$98,IF(G291&lt;=Forudsætninger!$F$97,Forudsætninger!$F$98,IF(G291&lt;=Forudsætninger!$G$97,Forudsætninger!$G$98,IF(G291&lt;=Forudsætninger!$H$97,Forudsætninger!$H$98,IF(G291&lt;=Forudsætninger!$I$97,Forudsætninger!$I$98,Forudsætninger!$I$98))))))))</f>
        <v>4.4000000000000004</v>
      </c>
      <c r="AG291" s="1">
        <f t="shared" si="125"/>
        <v>4.4000000000000004</v>
      </c>
      <c r="AH291" s="1">
        <f t="shared" si="129"/>
        <v>931.19999999999641</v>
      </c>
      <c r="AI291" s="1">
        <f t="shared" si="116"/>
        <v>3.2221453287197108</v>
      </c>
      <c r="AJ291" s="20">
        <f>+(W291*Forudsætninger!$C$12)</f>
        <v>900</v>
      </c>
      <c r="AK291" s="20">
        <f>Forudsætninger!$C$17</f>
        <v>250</v>
      </c>
      <c r="AL291" s="20">
        <f>IF(A291&lt;92,Forudsætninger!$C$20,Forudsætninger!$C$21)</f>
        <v>1.0566762728146013</v>
      </c>
      <c r="AM291" s="20">
        <f t="shared" si="126"/>
        <v>573.88492569671041</v>
      </c>
      <c r="AN291" s="19">
        <f>IFERROR(AD291+AJ291-AA291-Z291-AK291-AM291-Forudsætninger!$E$75,-999999)</f>
        <v>1730.7334314178268</v>
      </c>
      <c r="AO291" s="19">
        <f>IFERROR(AN291/(A291+Forudsætninger!$E$74),-999999)</f>
        <v>5.9886969945253519</v>
      </c>
      <c r="AP291" s="19">
        <f>IFERROR(((365/(A291+Forudsætninger!$E$74))*AN291)/(AI291+Forudsætninger!$E$73),-999999)</f>
        <v>655.99611882523095</v>
      </c>
      <c r="AQ291" s="18">
        <f t="shared" si="117"/>
        <v>289</v>
      </c>
      <c r="AR291" s="18">
        <f t="shared" si="130"/>
        <v>7163.5729732824493</v>
      </c>
      <c r="AS291" s="18">
        <f t="shared" si="109"/>
        <v>10.7</v>
      </c>
      <c r="AT291" s="50">
        <f t="shared" si="131"/>
        <v>0.798392203864978</v>
      </c>
      <c r="AU291" s="50">
        <f t="shared" si="132"/>
        <v>-1.8021891634237619E-2</v>
      </c>
      <c r="AV291" s="2">
        <f t="shared" si="133"/>
        <v>-2.7826656179483962</v>
      </c>
      <c r="AW291" s="16">
        <f t="shared" si="127"/>
        <v>7.9744579830952835</v>
      </c>
      <c r="AZ291" s="16"/>
      <c r="BA291" s="2"/>
    </row>
    <row r="292" spans="1:53" x14ac:dyDescent="0.25">
      <c r="A292">
        <v>290</v>
      </c>
      <c r="B292" s="1">
        <f>ROUND((A292+Forudsætninger!$E$60)/30.4,1)</f>
        <v>10.7</v>
      </c>
      <c r="C292" s="1">
        <f>VLOOKUP((A292+Forudsætninger!$E$60),'Model tilvækst, slagteform, fe'!A:D,4,FALSE)</f>
        <v>453.86973560845814</v>
      </c>
      <c r="D292" s="3">
        <f t="shared" si="134"/>
        <v>1005.4842752221589</v>
      </c>
      <c r="E292" s="3">
        <f>(1+Forudsætninger!$E$78)*C292</f>
        <v>417.56015675978153</v>
      </c>
      <c r="F292" s="2">
        <f t="shared" si="118"/>
        <v>0</v>
      </c>
      <c r="G292" s="1">
        <f t="shared" si="110"/>
        <v>417.56015675978153</v>
      </c>
      <c r="H292" s="3">
        <f t="shared" si="119"/>
        <v>925.04553320441119</v>
      </c>
      <c r="I292" s="3">
        <f t="shared" si="111"/>
        <v>1205.3798508957984</v>
      </c>
      <c r="J292" s="1">
        <f>VLOOKUP((A292+Forudsætninger!$E$60),'Model tilvækst, slagteform, fe'!G:K,4,FALSE)*(1+Forudsætninger!$E$79)</f>
        <v>53.771493333520674</v>
      </c>
      <c r="K292" s="17">
        <f t="shared" si="112"/>
        <v>224.52833185552439</v>
      </c>
      <c r="L292" s="17">
        <f t="shared" si="120"/>
        <v>539.8344989327768</v>
      </c>
      <c r="M292" s="3">
        <f>((K292-(('Model tilvækst, slagteform, fe'!$J$9/100)*'Model tilvækst, slagteform, fe'!$D$9))*1000/(A292+Forudsætninger!$E$60))</f>
        <v>626.66847767080105</v>
      </c>
      <c r="N292" s="17">
        <f t="shared" si="121"/>
        <v>1634.0337641861827</v>
      </c>
      <c r="O292" s="19">
        <f>IF( A292&lt;Forudsætninger!$C$14,(G292/100)*Forudsætninger!$C$13,(Forudsætninger!$C$15/1000)*Forudsætninger!$C$13)</f>
        <v>2.7141410189385802</v>
      </c>
      <c r="P292" s="17" cm="1">
        <f t="array" ref="P292">INDEX('Model tilvækst, slagteform, fe'!$P$9:$P$375,MATCH(MIN(ABS('Model tilvækst, slagteform, fe'!$M$9:$M$375-G292)),ABS('Model tilvækst, slagteform, fe'!$M$9:$M$375-G292),0))*(1+Forudsætninger!$E$80)</f>
        <v>7.5409678245438112</v>
      </c>
      <c r="Q292" s="17">
        <f t="shared" si="122"/>
        <v>13.969036509248467</v>
      </c>
      <c r="R292" s="17">
        <f t="shared" si="123"/>
        <v>8.530066947132779</v>
      </c>
      <c r="S292" s="17">
        <f t="shared" si="124"/>
        <v>4.6745423715698067</v>
      </c>
      <c r="T292" s="19">
        <f>(P292)*IF(N292&lt;Forudsætninger!$B$228,IF(N292&lt;Forudsætninger!$B$227,Forudsætninger!$B$225,Forudsætninger!$C$9),Forudsætninger!$C$11)+O292</f>
        <v>20.360005728371096</v>
      </c>
      <c r="U292" s="5">
        <f>Forudsætninger!$E$68+((K292-(Forudsætninger!$E$84)))*0.01</f>
        <v>6.9618470281269129</v>
      </c>
      <c r="V292" s="2">
        <f>U292+Forudsætninger!$E$69</f>
        <v>6.9618470281269129</v>
      </c>
      <c r="W292">
        <f t="shared" si="113"/>
        <v>1</v>
      </c>
      <c r="X292">
        <f>IF(A292+Forudsætninger!$E$60&gt;248,IF(A292+Forudsætninger!$E$60&lt;365,IF(K292&gt;180,IF(K292&lt;260,1,0),0),0),0)</f>
        <v>1</v>
      </c>
      <c r="Y292" s="22">
        <f>IF(X292=0,0,IF('Vækstfunktion, kry kvie'!A292&lt;Forudsætninger!$E$66,Forudsætninger!$E$67+(('Vækstfunktion, kry kvie'!A292-Forudsætninger!$E$66)/7)*Forudsætninger!$E$64,Forudsætninger!$E$67))</f>
        <v>0.98</v>
      </c>
      <c r="Z292" s="19">
        <f t="shared" si="128"/>
        <v>4785.0480533141099</v>
      </c>
      <c r="AA292" s="19">
        <f>Forudsætninger!$E$62+Forudsætninger!$C$16</f>
        <v>1575</v>
      </c>
      <c r="AB292" s="19">
        <f>IF(K292&gt;Forudsætninger!$C$48,IF(K292&gt;Forudsætninger!$C$49,IF(K292&gt;Forudsætninger!$C$50,Forudsætninger!$E$50,Forudsætninger!$E$49+Forudsætninger!$F$50*(K292-Forudsætninger!$C$49)),Forudsætninger!$E$48+Forudsætninger!$F$49*(K292-Forudsætninger!$C$48)),Forudsætninger!$E$48)+IF(K292&gt;Forudsætninger!$C$50,Forudsætninger!$G$50,IF(K292&gt;Forudsætninger!$C$49,Forudsætninger!$G$49+Forudsætninger!$H$50*(K292-Forudsætninger!$C$49),IF(K292&gt;Forudsætninger!$C$48,Forudsætninger!$G$48+Forudsætninger!$H$49*(K292-Forudsætninger!$C$48),Forudsætninger!$G$48)))*(U292-Forudsætninger!$H$48)</f>
        <v>36.668590925103771</v>
      </c>
      <c r="AC292" s="19">
        <f>IF(K292&gt;Forudsætninger!$C$52,IF(K292&gt;Forudsætninger!$C$53,IF(K292&gt;Forudsætninger!$C$54,Forudsætninger!$E$54,Forudsætninger!$E$53+Forudsætninger!$F$54*(K292-Forudsætninger!$C$53)),Forudsætninger!$E$52+Forudsætninger!$F$53*(K292-Forudsætninger!$C$52)),Forudsætninger!$E$52)+IF(K292&gt;Forudsætninger!$C$54,Forudsætninger!$G$54,IF(K292&gt;Forudsætninger!$C$53,Forudsætninger!$G$53+Forudsætninger!$H$54*(K292-Forudsætninger!$C$53),IF(K292&gt;Forudsætninger!$C$52,Forudsætninger!$G$52+Forudsætninger!$H$53*(K292-Forudsætninger!$C$52),Forudsætninger!$G$52)))*(V292-Forudsætninger!$H$52)</f>
        <v>30.995399558387071</v>
      </c>
      <c r="AD292" s="19">
        <f t="shared" si="114"/>
        <v>8207.661708028847</v>
      </c>
      <c r="AE292" s="19">
        <f t="shared" si="115"/>
        <v>36.555127097769429</v>
      </c>
      <c r="AF292">
        <f>IF(G292&lt;=Forudsætninger!$C$97,Forudsætninger!$C$98,(IF(G292&lt;=Forudsætninger!$D$97,Forudsætninger!$D$98,IF(G292&lt;=Forudsætninger!$E$97,Forudsætninger!$E$98,IF(G292&lt;=Forudsætninger!$F$97,Forudsætninger!$F$98,IF(G292&lt;=Forudsætninger!$G$97,Forudsætninger!$G$98,IF(G292&lt;=Forudsætninger!$H$97,Forudsætninger!$H$98,IF(G292&lt;=Forudsætninger!$I$97,Forudsætninger!$I$98,Forudsætninger!$I$98))))))))</f>
        <v>4.4000000000000004</v>
      </c>
      <c r="AG292" s="1">
        <f t="shared" si="125"/>
        <v>4.4000000000000004</v>
      </c>
      <c r="AH292" s="1">
        <f t="shared" si="129"/>
        <v>935.59999999999638</v>
      </c>
      <c r="AI292" s="1">
        <f t="shared" si="116"/>
        <v>3.2262068965517119</v>
      </c>
      <c r="AJ292" s="20">
        <f>+(W292*Forudsætninger!$C$12)</f>
        <v>900</v>
      </c>
      <c r="AK292" s="20">
        <f>Forudsætninger!$C$17</f>
        <v>250</v>
      </c>
      <c r="AL292" s="20">
        <f>IF(A292&lt;92,Forudsætninger!$C$20,Forudsætninger!$C$21)</f>
        <v>1.0566762728146013</v>
      </c>
      <c r="AM292" s="20">
        <f t="shared" si="126"/>
        <v>574.94160196952498</v>
      </c>
      <c r="AN292" s="19">
        <f>IFERROR(AD292+AJ292-AA292-Z292-AK292-AM292-Forudsætninger!$E$75,-999999)</f>
        <v>1731.4552914085964</v>
      </c>
      <c r="AO292" s="19">
        <f>IFERROR(AN292/(A292+Forudsætninger!$E$74),-999999)</f>
        <v>5.9705354876158498</v>
      </c>
      <c r="AP292" s="19">
        <f>IFERROR(((365/(A292+Forudsætninger!$E$74))*AN292)/(AI292+Forudsætninger!$E$73),-999999)</f>
        <v>653.21052337378819</v>
      </c>
      <c r="AQ292" s="18">
        <f t="shared" si="117"/>
        <v>290</v>
      </c>
      <c r="AR292" s="18">
        <f t="shared" si="130"/>
        <v>7184.9896552836344</v>
      </c>
      <c r="AS292" s="18">
        <f t="shared" si="109"/>
        <v>10.7</v>
      </c>
      <c r="AT292" s="50">
        <f t="shared" si="131"/>
        <v>0.72185999076964436</v>
      </c>
      <c r="AU292" s="50">
        <f t="shared" si="132"/>
        <v>-1.8161506909502023E-2</v>
      </c>
      <c r="AV292" s="2">
        <f t="shared" si="133"/>
        <v>-2.7855954514427594</v>
      </c>
      <c r="AW292" s="16">
        <f t="shared" si="127"/>
        <v>7.9530927357866261</v>
      </c>
      <c r="AZ292" s="16"/>
      <c r="BA292" s="2"/>
    </row>
    <row r="293" spans="1:53" x14ac:dyDescent="0.25">
      <c r="A293">
        <v>291</v>
      </c>
      <c r="B293" s="1">
        <f>ROUND((A293+Forudsætninger!$E$60)/30.4,1)</f>
        <v>10.8</v>
      </c>
      <c r="C293" s="1">
        <f>VLOOKUP((A293+Forudsætninger!$E$60),'Model tilvækst, slagteform, fe'!A:D,4,FALSE)</f>
        <v>454.87072884835504</v>
      </c>
      <c r="D293" s="3">
        <f t="shared" si="134"/>
        <v>1000.9932398968999</v>
      </c>
      <c r="E293" s="3">
        <f>(1+Forudsætninger!$E$78)*C293</f>
        <v>418.48107054048666</v>
      </c>
      <c r="F293" s="2">
        <f t="shared" si="118"/>
        <v>0</v>
      </c>
      <c r="G293" s="1">
        <f t="shared" si="110"/>
        <v>418.48107054048666</v>
      </c>
      <c r="H293" s="3">
        <f t="shared" si="119"/>
        <v>920.91378070512064</v>
      </c>
      <c r="I293" s="3">
        <f t="shared" si="111"/>
        <v>1204.4023042628407</v>
      </c>
      <c r="J293" s="1">
        <f>VLOOKUP((A293+Forudsætninger!$E$60),'Model tilvækst, slagteform, fe'!G:K,4,FALSE)*(1+Forudsætninger!$E$79)</f>
        <v>53.781685202808092</v>
      </c>
      <c r="K293" s="17">
        <f t="shared" si="112"/>
        <v>225.06617199142582</v>
      </c>
      <c r="L293" s="17">
        <f t="shared" si="120"/>
        <v>537.84013590143331</v>
      </c>
      <c r="M293" s="3">
        <f>((K293-(('Model tilvækst, slagteform, fe'!$J$9/100)*'Model tilvækst, slagteform, fe'!$D$9))*1000/(A293+Forudsætninger!$E$60))</f>
        <v>626.3968313656959</v>
      </c>
      <c r="N293" s="17">
        <f t="shared" si="121"/>
        <v>1641.5782034191993</v>
      </c>
      <c r="O293" s="19">
        <f>IF( A293&lt;Forudsætninger!$C$14,(G293/100)*Forudsætninger!$C$13,(Forudsætninger!$C$15/1000)*Forudsætninger!$C$13)</f>
        <v>2.7201269585131636</v>
      </c>
      <c r="P293" s="17" cm="1">
        <f t="array" ref="P293">INDEX('Model tilvækst, slagteform, fe'!$P$9:$P$375,MATCH(MIN(ABS('Model tilvækst, slagteform, fe'!$M$9:$M$375-G293)),ABS('Model tilvækst, slagteform, fe'!$M$9:$M$375-G293),0))*(1+Forudsætninger!$E$80)</f>
        <v>7.5444392330167505</v>
      </c>
      <c r="Q293" s="17">
        <f t="shared" si="122"/>
        <v>14.027289392176142</v>
      </c>
      <c r="R293" s="17">
        <f t="shared" si="123"/>
        <v>8.5454580694476725</v>
      </c>
      <c r="S293" s="17">
        <f t="shared" si="124"/>
        <v>4.6837856346640221</v>
      </c>
      <c r="T293" s="19">
        <f>(P293)*IF(N293&lt;Forudsætninger!$B$228,IF(N293&lt;Forudsætninger!$B$227,Forudsætninger!$B$225,Forudsætninger!$C$9),Forudsætninger!$C$11)+O293</f>
        <v>20.374114763772358</v>
      </c>
      <c r="U293" s="5">
        <f>Forudsætninger!$E$68+((K293-(Forudsætninger!$E$84)))*0.01</f>
        <v>6.9672254294859277</v>
      </c>
      <c r="V293" s="2">
        <f>U293+Forudsætninger!$E$69</f>
        <v>6.9672254294859277</v>
      </c>
      <c r="W293">
        <f t="shared" si="113"/>
        <v>1</v>
      </c>
      <c r="X293">
        <f>IF(A293+Forudsætninger!$E$60&gt;248,IF(A293+Forudsætninger!$E$60&lt;365,IF(K293&gt;180,IF(K293&lt;260,1,0),0),0),0)</f>
        <v>1</v>
      </c>
      <c r="Y293" s="22">
        <f>IF(X293=0,0,IF('Vækstfunktion, kry kvie'!A293&lt;Forudsætninger!$E$66,Forudsætninger!$E$67+(('Vækstfunktion, kry kvie'!A293-Forudsætninger!$E$66)/7)*Forudsætninger!$E$64,Forudsætninger!$E$67))</f>
        <v>0.98</v>
      </c>
      <c r="Z293" s="19">
        <f t="shared" si="128"/>
        <v>4805.4221680778819</v>
      </c>
      <c r="AA293" s="19">
        <f>Forudsætninger!$E$62+Forudsætninger!$C$16</f>
        <v>1575</v>
      </c>
      <c r="AB293" s="19">
        <f>IF(K293&gt;Forudsætninger!$C$48,IF(K293&gt;Forudsætninger!$C$49,IF(K293&gt;Forudsætninger!$C$50,Forudsætninger!$E$50,Forudsætninger!$E$49+Forudsætninger!$F$50*(K293-Forudsætninger!$C$49)),Forudsætninger!$E$48+Forudsætninger!$F$49*(K293-Forudsætninger!$C$48)),Forudsætninger!$E$48)+IF(K293&gt;Forudsætninger!$C$50,Forudsætninger!$G$50,IF(K293&gt;Forudsætninger!$C$49,Forudsætninger!$G$49+Forudsætninger!$H$50*(K293-Forudsætninger!$C$49),IF(K293&gt;Forudsætninger!$C$48,Forudsætninger!$G$48+Forudsætninger!$H$49*(K293-Forudsætninger!$C$48),Forudsætninger!$G$48)))*(U293-Forudsætninger!$H$48)</f>
        <v>36.67921326778783</v>
      </c>
      <c r="AC293" s="19">
        <f>IF(K293&gt;Forudsætninger!$C$52,IF(K293&gt;Forudsætninger!$C$53,IF(K293&gt;Forudsætninger!$C$54,Forudsætninger!$E$54,Forudsætninger!$E$53+Forudsætninger!$F$54*(K293-Forudsætninger!$C$53)),Forudsætninger!$E$52+Forudsætninger!$F$53*(K293-Forudsætninger!$C$52)),Forudsætninger!$E$52)+IF(K293&gt;Forudsætninger!$C$54,Forudsætninger!$G$54,IF(K293&gt;Forudsætninger!$C$53,Forudsætninger!$G$53+Forudsætninger!$H$54*(K293-Forudsætninger!$C$53),IF(K293&gt;Forudsætninger!$C$52,Forudsætninger!$G$52+Forudsætninger!$H$53*(K293-Forudsætninger!$C$52),Forudsætninger!$G$52)))*(V293-Forudsætninger!$H$52)</f>
        <v>31.00972794595539</v>
      </c>
      <c r="AD293" s="19">
        <f t="shared" si="114"/>
        <v>8229.7299346671953</v>
      </c>
      <c r="AE293" s="19">
        <f t="shared" si="115"/>
        <v>36.565823561351181</v>
      </c>
      <c r="AF293">
        <f>IF(G293&lt;=Forudsætninger!$C$97,Forudsætninger!$C$98,(IF(G293&lt;=Forudsætninger!$D$97,Forudsætninger!$D$98,IF(G293&lt;=Forudsætninger!$E$97,Forudsætninger!$E$98,IF(G293&lt;=Forudsætninger!$F$97,Forudsætninger!$F$98,IF(G293&lt;=Forudsætninger!$G$97,Forudsætninger!$G$98,IF(G293&lt;=Forudsætninger!$H$97,Forudsætninger!$H$98,IF(G293&lt;=Forudsætninger!$I$97,Forudsætninger!$I$98,Forudsætninger!$I$98))))))))</f>
        <v>4.4000000000000004</v>
      </c>
      <c r="AG293" s="1">
        <f t="shared" si="125"/>
        <v>4.4000000000000004</v>
      </c>
      <c r="AH293" s="1">
        <f t="shared" si="129"/>
        <v>939.99999999999636</v>
      </c>
      <c r="AI293" s="1">
        <f t="shared" si="116"/>
        <v>3.2302405498281663</v>
      </c>
      <c r="AJ293" s="20">
        <f>+(W293*Forudsætninger!$C$12)</f>
        <v>900</v>
      </c>
      <c r="AK293" s="20">
        <f>Forudsætninger!$C$17</f>
        <v>250</v>
      </c>
      <c r="AL293" s="20">
        <f>IF(A293&lt;92,Forudsætninger!$C$20,Forudsætninger!$C$21)</f>
        <v>1.0566762728146013</v>
      </c>
      <c r="AM293" s="20">
        <f t="shared" si="126"/>
        <v>575.99827824233955</v>
      </c>
      <c r="AN293" s="19">
        <f>IFERROR(AD293+AJ293-AA293-Z293-AK293-AM293-Forudsætninger!$E$75,-999999)</f>
        <v>1732.0927270103582</v>
      </c>
      <c r="AO293" s="19">
        <f>IFERROR(AN293/(A293+Forudsætninger!$E$74),-999999)</f>
        <v>5.9522086838843924</v>
      </c>
      <c r="AP293" s="19">
        <f>IFERROR(((365/(A293+Forudsætninger!$E$74))*AN293)/(AI293+Forudsætninger!$E$73),-999999)</f>
        <v>650.41907527575142</v>
      </c>
      <c r="AQ293" s="18">
        <f t="shared" si="117"/>
        <v>291</v>
      </c>
      <c r="AR293" s="18">
        <f t="shared" si="130"/>
        <v>7206.4204463202213</v>
      </c>
      <c r="AS293" s="18">
        <f t="shared" si="109"/>
        <v>10.8</v>
      </c>
      <c r="AT293" s="50">
        <f t="shared" si="131"/>
        <v>0.63743560176180836</v>
      </c>
      <c r="AU293" s="50">
        <f t="shared" si="132"/>
        <v>-1.8326803731457453E-2</v>
      </c>
      <c r="AV293" s="2">
        <f t="shared" si="133"/>
        <v>-2.7914480980367671</v>
      </c>
      <c r="AW293" s="16">
        <f t="shared" si="127"/>
        <v>7.9315842104903709</v>
      </c>
      <c r="AZ293" s="16"/>
      <c r="BA293" s="2"/>
    </row>
    <row r="294" spans="1:53" x14ac:dyDescent="0.25">
      <c r="A294">
        <v>292</v>
      </c>
      <c r="B294" s="1">
        <f>ROUND((A294+Forudsætninger!$E$60)/30.4,1)</f>
        <v>10.8</v>
      </c>
      <c r="C294" s="1">
        <f>VLOOKUP((A294+Forudsætninger!$E$60),'Model tilvækst, slagteform, fe'!A:D,4,FALSE)</f>
        <v>455.86725203965625</v>
      </c>
      <c r="D294" s="3">
        <f t="shared" si="134"/>
        <v>996.52319130120759</v>
      </c>
      <c r="E294" s="3">
        <f>(1+Forudsætninger!$E$78)*C294</f>
        <v>419.39787187648375</v>
      </c>
      <c r="F294" s="2">
        <f t="shared" si="118"/>
        <v>0</v>
      </c>
      <c r="G294" s="1">
        <f t="shared" si="110"/>
        <v>419.39787187648375</v>
      </c>
      <c r="H294" s="3">
        <f t="shared" si="119"/>
        <v>916.80133599709279</v>
      </c>
      <c r="I294" s="3">
        <f t="shared" si="111"/>
        <v>1203.4173694400129</v>
      </c>
      <c r="J294" s="1">
        <f>VLOOKUP((A294+Forudsætninger!$E$60),'Model tilvækst, slagteform, fe'!G:K,4,FALSE)*(1+Forudsætninger!$E$79)</f>
        <v>53.791886246579644</v>
      </c>
      <c r="K294" s="17">
        <f t="shared" si="112"/>
        <v>225.60202616037398</v>
      </c>
      <c r="L294" s="17">
        <f t="shared" si="120"/>
        <v>535.85416894816262</v>
      </c>
      <c r="M294" s="3">
        <f>((K294-(('Model tilvækst, slagteform, fe'!$J$9/100)*'Model tilvækst, slagteform, fe'!$D$9))*1000/(A294+Forudsætninger!$E$60))</f>
        <v>626.12078666320349</v>
      </c>
      <c r="N294" s="17">
        <f t="shared" si="121"/>
        <v>1649.1262109088059</v>
      </c>
      <c r="O294" s="19">
        <f>IF( A294&lt;Forudsætninger!$C$14,(G294/100)*Forudsætninger!$C$13,(Forudsætninger!$C$15/1000)*Forudsætninger!$C$13)</f>
        <v>2.7260861671971446</v>
      </c>
      <c r="P294" s="17" cm="1">
        <f t="array" ref="P294">INDEX('Model tilvækst, slagteform, fe'!$P$9:$P$375,MATCH(MIN(ABS('Model tilvækst, slagteform, fe'!$M$9:$M$375-G294)),ABS('Model tilvækst, slagteform, fe'!$M$9:$M$375-G294),0))*(1+Forudsætninger!$E$80)</f>
        <v>7.5480074896064746</v>
      </c>
      <c r="Q294" s="17">
        <f t="shared" si="122"/>
        <v>14.085935926228938</v>
      </c>
      <c r="R294" s="17">
        <f t="shared" si="123"/>
        <v>8.5608700285067094</v>
      </c>
      <c r="S294" s="17">
        <f t="shared" si="124"/>
        <v>4.6930455272890024</v>
      </c>
      <c r="T294" s="19">
        <f>(P294)*IF(N294&lt;Forudsætninger!$B$228,IF(N294&lt;Forudsætninger!$B$227,Forudsætninger!$B$225,Forudsætninger!$C$9),Forudsætninger!$C$11)+O294</f>
        <v>20.388423692876295</v>
      </c>
      <c r="U294" s="5">
        <f>Forudsætninger!$E$68+((K294-(Forudsætninger!$E$84)))*0.01</f>
        <v>6.9725839711754087</v>
      </c>
      <c r="V294" s="2">
        <f>U294+Forudsætninger!$E$69</f>
        <v>6.9725839711754087</v>
      </c>
      <c r="W294">
        <f t="shared" si="113"/>
        <v>1</v>
      </c>
      <c r="X294">
        <f>IF(A294+Forudsætninger!$E$60&gt;248,IF(A294+Forudsætninger!$E$60&lt;365,IF(K294&gt;180,IF(K294&lt;260,1,0),0),0),0)</f>
        <v>1</v>
      </c>
      <c r="Y294" s="22">
        <f>IF(X294=0,0,IF('Vækstfunktion, kry kvie'!A294&lt;Forudsætninger!$E$66,Forudsætninger!$E$67+(('Vækstfunktion, kry kvie'!A294-Forudsætninger!$E$66)/7)*Forudsætninger!$E$64,Forudsætninger!$E$67))</f>
        <v>0.98</v>
      </c>
      <c r="Z294" s="19">
        <f t="shared" si="128"/>
        <v>4825.810591770758</v>
      </c>
      <c r="AA294" s="19">
        <f>Forudsætninger!$E$62+Forudsætninger!$C$16</f>
        <v>1575</v>
      </c>
      <c r="AB294" s="19">
        <f>IF(K294&gt;Forudsætninger!$C$48,IF(K294&gt;Forudsætninger!$C$49,IF(K294&gt;Forudsætninger!$C$50,Forudsætninger!$E$50,Forudsætninger!$E$49+Forudsætninger!$F$50*(K294-Forudsætninger!$C$49)),Forudsætninger!$E$48+Forudsætninger!$F$49*(K294-Forudsætninger!$C$48)),Forudsætninger!$E$48)+IF(K294&gt;Forudsætninger!$C$50,Forudsætninger!$G$50,IF(K294&gt;Forudsætninger!$C$49,Forudsætninger!$G$49+Forudsætninger!$H$50*(K294-Forudsætninger!$C$49),IF(K294&gt;Forudsætninger!$C$48,Forudsætninger!$G$48+Forudsætninger!$H$49*(K294-Forudsætninger!$C$48),Forudsætninger!$G$48)))*(U294-Forudsætninger!$H$48)</f>
        <v>36.689796387624554</v>
      </c>
      <c r="AC294" s="19">
        <f>IF(K294&gt;Forudsætninger!$C$52,IF(K294&gt;Forudsætninger!$C$53,IF(K294&gt;Forudsætninger!$C$54,Forudsætninger!$E$54,Forudsætninger!$E$53+Forudsætninger!$F$54*(K294-Forudsætninger!$C$53)),Forudsætninger!$E$52+Forudsætninger!$F$53*(K294-Forudsætninger!$C$52)),Forudsætninger!$E$52)+IF(K294&gt;Forudsætninger!$C$54,Forudsætninger!$G$54,IF(K294&gt;Forudsætninger!$C$53,Forudsætninger!$G$53+Forudsætninger!$H$54*(K294-Forudsætninger!$C$53),IF(K294&gt;Forudsætninger!$C$52,Forudsætninger!$G$52+Forudsætninger!$H$53*(K294-Forudsætninger!$C$52),Forudsætninger!$G$52)))*(V294-Forudsætninger!$H$52)</f>
        <v>31.023991439834671</v>
      </c>
      <c r="AD294" s="19">
        <f t="shared" si="114"/>
        <v>8251.7280629386532</v>
      </c>
      <c r="AE294" s="19">
        <f t="shared" si="115"/>
        <v>36.576480288668762</v>
      </c>
      <c r="AF294">
        <f>IF(G294&lt;=Forudsætninger!$C$97,Forudsætninger!$C$98,(IF(G294&lt;=Forudsætninger!$D$97,Forudsætninger!$D$98,IF(G294&lt;=Forudsætninger!$E$97,Forudsætninger!$E$98,IF(G294&lt;=Forudsætninger!$F$97,Forudsætninger!$F$98,IF(G294&lt;=Forudsætninger!$G$97,Forudsætninger!$G$98,IF(G294&lt;=Forudsætninger!$H$97,Forudsætninger!$H$98,IF(G294&lt;=Forudsætninger!$I$97,Forudsætninger!$I$98,Forudsætninger!$I$98))))))))</f>
        <v>4.4000000000000004</v>
      </c>
      <c r="AG294" s="1">
        <f t="shared" si="125"/>
        <v>4.4000000000000004</v>
      </c>
      <c r="AH294" s="1">
        <f t="shared" si="129"/>
        <v>944.39999999999634</v>
      </c>
      <c r="AI294" s="1">
        <f t="shared" si="116"/>
        <v>3.2342465753424534</v>
      </c>
      <c r="AJ294" s="20">
        <f>+(W294*Forudsætninger!$C$12)</f>
        <v>900</v>
      </c>
      <c r="AK294" s="20">
        <f>Forudsætninger!$C$17</f>
        <v>250</v>
      </c>
      <c r="AL294" s="20">
        <f>IF(A294&lt;92,Forudsætninger!$C$20,Forudsætninger!$C$21)</f>
        <v>1.0566762728146013</v>
      </c>
      <c r="AM294" s="20">
        <f t="shared" si="126"/>
        <v>577.05495451515412</v>
      </c>
      <c r="AN294" s="19">
        <f>IFERROR(AD294+AJ294-AA294-Z294-AK294-AM294-Forudsætninger!$E$75,-999999)</f>
        <v>1732.6457553161254</v>
      </c>
      <c r="AO294" s="19">
        <f>IFERROR(AN294/(A294+Forudsætninger!$E$74),-999999)</f>
        <v>5.9337183401237166</v>
      </c>
      <c r="AP294" s="19">
        <f>IFERROR(((365/(A294+Forudsætninger!$E$74))*AN294)/(AI294+Forudsætninger!$E$73),-999999)</f>
        <v>647.62186201039208</v>
      </c>
      <c r="AQ294" s="18">
        <f t="shared" si="117"/>
        <v>292</v>
      </c>
      <c r="AR294" s="18">
        <f t="shared" si="130"/>
        <v>7227.8655462859124</v>
      </c>
      <c r="AS294" s="18">
        <f t="shared" si="109"/>
        <v>10.8</v>
      </c>
      <c r="AT294" s="50">
        <f t="shared" si="131"/>
        <v>0.55302830576715678</v>
      </c>
      <c r="AU294" s="50">
        <f t="shared" si="132"/>
        <v>-1.849034376067582E-2</v>
      </c>
      <c r="AV294" s="2">
        <f t="shared" si="133"/>
        <v>-2.7972132653593462</v>
      </c>
      <c r="AW294" s="16">
        <f t="shared" si="127"/>
        <v>7.9099339377783551</v>
      </c>
      <c r="AZ294" s="16"/>
      <c r="BA294" s="2"/>
    </row>
    <row r="295" spans="1:53" x14ac:dyDescent="0.25">
      <c r="A295">
        <v>293</v>
      </c>
      <c r="B295" s="1">
        <f>ROUND((A295+Forudsætninger!$E$60)/30.4,1)</f>
        <v>10.8</v>
      </c>
      <c r="C295" s="1">
        <f>VLOOKUP((A295+Forudsætninger!$E$60),'Model tilvækst, slagteform, fe'!A:D,4,FALSE)</f>
        <v>456.85932675411232</v>
      </c>
      <c r="D295" s="3">
        <f t="shared" si="134"/>
        <v>992.07471445606643</v>
      </c>
      <c r="E295" s="3">
        <f>(1+Forudsætninger!$E$78)*C295</f>
        <v>420.31058061378337</v>
      </c>
      <c r="F295" s="2">
        <f t="shared" si="118"/>
        <v>0</v>
      </c>
      <c r="G295" s="1">
        <f t="shared" si="110"/>
        <v>420.31058061378337</v>
      </c>
      <c r="H295" s="3">
        <f t="shared" si="119"/>
        <v>912.70873729962432</v>
      </c>
      <c r="I295" s="3">
        <f t="shared" si="111"/>
        <v>1202.4251898081345</v>
      </c>
      <c r="J295" s="1">
        <f>VLOOKUP((A295+Forudsætninger!$E$60),'Model tilvækst, slagteform, fe'!G:K,4,FALSE)*(1+Forudsætninger!$E$79)</f>
        <v>53.802096229592159</v>
      </c>
      <c r="K295" s="17">
        <f t="shared" si="112"/>
        <v>226.13590304498524</v>
      </c>
      <c r="L295" s="17">
        <f t="shared" si="120"/>
        <v>533.87688461126004</v>
      </c>
      <c r="M295" s="3">
        <f>((K295-(('Model tilvækst, slagteform, fe'!$J$9/100)*'Model tilvækst, slagteform, fe'!$D$9))*1000/(A295+Forudsætninger!$E$60))</f>
        <v>625.84041006122186</v>
      </c>
      <c r="N295" s="17">
        <f t="shared" si="121"/>
        <v>1656.6778814425206</v>
      </c>
      <c r="O295" s="19">
        <f>IF( A295&lt;Forudsætninger!$C$14,(G295/100)*Forudsætninger!$C$13,(Forudsætninger!$C$15/1000)*Forudsætninger!$C$13)</f>
        <v>2.732018773989592</v>
      </c>
      <c r="P295" s="17" cm="1">
        <f t="array" ref="P295">INDEX('Model tilvækst, slagteform, fe'!$P$9:$P$375,MATCH(MIN(ABS('Model tilvækst, slagteform, fe'!$M$9:$M$375-G295)),ABS('Model tilvækst, slagteform, fe'!$M$9:$M$375-G295),0))*(1+Forudsætninger!$E$80)</f>
        <v>7.5516705337147512</v>
      </c>
      <c r="Q295" s="17">
        <f t="shared" si="122"/>
        <v>14.144966286025785</v>
      </c>
      <c r="R295" s="17">
        <f t="shared" si="123"/>
        <v>8.5763032314623509</v>
      </c>
      <c r="S295" s="17">
        <f t="shared" si="124"/>
        <v>4.7023222480469178</v>
      </c>
      <c r="T295" s="19">
        <f>(P295)*IF(N295&lt;Forudsætninger!$B$228,IF(N295&lt;Forudsætninger!$B$227,Forudsætninger!$B$225,Forudsætninger!$C$9),Forudsætninger!$C$11)+O295</f>
        <v>20.402927822882106</v>
      </c>
      <c r="U295" s="5">
        <f>Forudsætninger!$E$68+((K295-(Forudsætninger!$E$84)))*0.01</f>
        <v>6.9779227400215218</v>
      </c>
      <c r="V295" s="2">
        <f>U295+Forudsætninger!$E$69</f>
        <v>6.9779227400215218</v>
      </c>
      <c r="W295">
        <f t="shared" si="113"/>
        <v>1</v>
      </c>
      <c r="X295">
        <f>IF(A295+Forudsætninger!$E$60&gt;248,IF(A295+Forudsætninger!$E$60&lt;365,IF(K295&gt;180,IF(K295&lt;260,1,0),0),0),0)</f>
        <v>1</v>
      </c>
      <c r="Y295" s="22">
        <f>IF(X295=0,0,IF('Vækstfunktion, kry kvie'!A295&lt;Forudsætninger!$E$66,Forudsætninger!$E$67+(('Vækstfunktion, kry kvie'!A295-Forudsætninger!$E$66)/7)*Forudsætninger!$E$64,Forudsætninger!$E$67))</f>
        <v>0.98</v>
      </c>
      <c r="Z295" s="19">
        <f t="shared" si="128"/>
        <v>4846.2135195936398</v>
      </c>
      <c r="AA295" s="19">
        <f>Forudsætninger!$E$62+Forudsætninger!$C$16</f>
        <v>1575</v>
      </c>
      <c r="AB295" s="19">
        <f>IF(K295&gt;Forudsætninger!$C$48,IF(K295&gt;Forudsætninger!$C$49,IF(K295&gt;Forudsætninger!$C$50,Forudsætninger!$E$50,Forudsætninger!$E$49+Forudsætninger!$F$50*(K295-Forudsætninger!$C$49)),Forudsætninger!$E$48+Forudsætninger!$F$49*(K295-Forudsætninger!$C$48)),Forudsætninger!$E$48)+IF(K295&gt;Forudsætninger!$C$50,Forudsætninger!$G$50,IF(K295&gt;Forudsætninger!$C$49,Forudsætninger!$G$49+Forudsætninger!$H$50*(K295-Forudsætninger!$C$49),IF(K295&gt;Forudsætninger!$C$48,Forudsætninger!$G$48+Forudsætninger!$H$49*(K295-Forudsætninger!$C$48),Forudsætninger!$G$48)))*(U295-Forudsætninger!$H$48)</f>
        <v>36.700340456095624</v>
      </c>
      <c r="AC295" s="19">
        <f>IF(K295&gt;Forudsætninger!$C$52,IF(K295&gt;Forudsætninger!$C$53,IF(K295&gt;Forudsætninger!$C$54,Forudsætninger!$E$54,Forudsætninger!$E$53+Forudsætninger!$F$54*(K295-Forudsætninger!$C$53)),Forudsætninger!$E$52+Forudsætninger!$F$53*(K295-Forudsætninger!$C$52)),Forudsætninger!$E$52)+IF(K295&gt;Forudsætninger!$C$54,Forudsætninger!$G$54,IF(K295&gt;Forudsætninger!$C$53,Forudsætninger!$G$53+Forudsætninger!$H$54*(K295-Forudsætninger!$C$53),IF(K295&gt;Forudsætninger!$C$52,Forudsætninger!$G$52+Forudsætninger!$H$53*(K295-Forudsætninger!$C$52),Forudsætninger!$G$52)))*(V295-Forudsætninger!$H$52)</f>
        <v>31.038190403874385</v>
      </c>
      <c r="AD295" s="19">
        <f t="shared" si="114"/>
        <v>8273.6563227928837</v>
      </c>
      <c r="AE295" s="19">
        <f t="shared" si="115"/>
        <v>36.587097455051193</v>
      </c>
      <c r="AF295">
        <f>IF(G295&lt;=Forudsætninger!$C$97,Forudsætninger!$C$98,(IF(G295&lt;=Forudsætninger!$D$97,Forudsætninger!$D$98,IF(G295&lt;=Forudsætninger!$E$97,Forudsætninger!$E$98,IF(G295&lt;=Forudsætninger!$F$97,Forudsætninger!$F$98,IF(G295&lt;=Forudsætninger!$G$97,Forudsætninger!$G$98,IF(G295&lt;=Forudsætninger!$H$97,Forudsætninger!$H$98,IF(G295&lt;=Forudsætninger!$I$97,Forudsætninger!$I$98,Forudsætninger!$I$98))))))))</f>
        <v>4.4000000000000004</v>
      </c>
      <c r="AG295" s="1">
        <f t="shared" si="125"/>
        <v>4.4000000000000004</v>
      </c>
      <c r="AH295" s="1">
        <f t="shared" si="129"/>
        <v>948.79999999999632</v>
      </c>
      <c r="AI295" s="1">
        <f t="shared" si="116"/>
        <v>3.2382252559726838</v>
      </c>
      <c r="AJ295" s="20">
        <f>+(W295*Forudsætninger!$C$12)</f>
        <v>900</v>
      </c>
      <c r="AK295" s="20">
        <f>Forudsætninger!$C$17</f>
        <v>250</v>
      </c>
      <c r="AL295" s="20">
        <f>IF(A295&lt;92,Forudsætninger!$C$20,Forudsætninger!$C$21)</f>
        <v>1.0566762728146013</v>
      </c>
      <c r="AM295" s="20">
        <f t="shared" si="126"/>
        <v>578.11163078796869</v>
      </c>
      <c r="AN295" s="19">
        <f>IFERROR(AD295+AJ295-AA295-Z295-AK295-AM295-Forudsætninger!$E$75,-999999)</f>
        <v>1733.1144110746593</v>
      </c>
      <c r="AO295" s="19">
        <f>IFERROR(AN295/(A295+Forudsætninger!$E$74),-999999)</f>
        <v>5.9150662494015673</v>
      </c>
      <c r="AP295" s="19">
        <f>IFERROR(((365/(A295+Forudsætninger!$E$74))*AN295)/(AI295+Forudsætninger!$E$73),-999999)</f>
        <v>644.81897601730122</v>
      </c>
      <c r="AQ295" s="18">
        <f t="shared" si="117"/>
        <v>293</v>
      </c>
      <c r="AR295" s="18">
        <f t="shared" si="130"/>
        <v>7249.3251503816082</v>
      </c>
      <c r="AS295" s="18">
        <f t="shared" si="109"/>
        <v>10.8</v>
      </c>
      <c r="AT295" s="50">
        <f t="shared" si="131"/>
        <v>0.46865575853394148</v>
      </c>
      <c r="AU295" s="50">
        <f t="shared" si="132"/>
        <v>-1.8652090722149239E-2</v>
      </c>
      <c r="AV295" s="2">
        <f t="shared" si="133"/>
        <v>-2.8028859930908538</v>
      </c>
      <c r="AW295" s="16">
        <f t="shared" si="127"/>
        <v>7.8881434875857606</v>
      </c>
      <c r="AZ295" s="16"/>
      <c r="BA295" s="2"/>
    </row>
    <row r="296" spans="1:53" x14ac:dyDescent="0.25">
      <c r="A296">
        <v>294</v>
      </c>
      <c r="B296" s="1">
        <f>ROUND((A296+Forudsætninger!$E$60)/30.4,1)</f>
        <v>10.9</v>
      </c>
      <c r="C296" s="1">
        <f>VLOOKUP((A296+Forudsætninger!$E$60),'Model tilvækst, slagteform, fe'!A:D,4,FALSE)</f>
        <v>457.84697514849444</v>
      </c>
      <c r="D296" s="3">
        <f t="shared" si="134"/>
        <v>987.64839438211993</v>
      </c>
      <c r="E296" s="3">
        <f>(1+Forudsætninger!$E$78)*C296</f>
        <v>421.21921713661487</v>
      </c>
      <c r="F296" s="2">
        <f t="shared" si="118"/>
        <v>0</v>
      </c>
      <c r="G296" s="1">
        <f t="shared" si="110"/>
        <v>421.21921713661487</v>
      </c>
      <c r="H296" s="3">
        <f t="shared" si="119"/>
        <v>908.63652283150032</v>
      </c>
      <c r="I296" s="3">
        <f t="shared" si="111"/>
        <v>1201.4259086279419</v>
      </c>
      <c r="J296" s="1">
        <f>VLOOKUP((A296+Forudsætninger!$E$60),'Model tilvækst, slagteform, fe'!G:K,4,FALSE)*(1+Forudsætninger!$E$79)</f>
        <v>53.812314916602453</v>
      </c>
      <c r="K296" s="17">
        <f t="shared" si="112"/>
        <v>226.6678116148027</v>
      </c>
      <c r="L296" s="17">
        <f t="shared" si="120"/>
        <v>531.90856981746037</v>
      </c>
      <c r="M296" s="3">
        <f>((K296-(('Model tilvækst, slagteform, fe'!$J$9/100)*'Model tilvækst, slagteform, fe'!$D$9))*1000/(A296+Forudsætninger!$E$60))</f>
        <v>625.55576812108927</v>
      </c>
      <c r="N296" s="17">
        <f t="shared" si="121"/>
        <v>1664.233307747264</v>
      </c>
      <c r="O296" s="19">
        <f>IF( A296&lt;Forudsætninger!$C$14,(G296/100)*Forudsætninger!$C$13,(Forudsætninger!$C$15/1000)*Forudsætninger!$C$13)</f>
        <v>2.7379249113879967</v>
      </c>
      <c r="P296" s="17" cm="1">
        <f t="array" ref="P296">INDEX('Model tilvækst, slagteform, fe'!$P$9:$P$375,MATCH(MIN(ABS('Model tilvækst, slagteform, fe'!$M$9:$M$375-G296)),ABS('Model tilvækst, slagteform, fe'!$M$9:$M$375-G296),0))*(1+Forudsætninger!$E$80)</f>
        <v>7.5554263047433512</v>
      </c>
      <c r="Q296" s="17">
        <f t="shared" si="122"/>
        <v>14.20437032502825</v>
      </c>
      <c r="R296" s="17">
        <f t="shared" si="123"/>
        <v>8.5917580561409519</v>
      </c>
      <c r="S296" s="17">
        <f t="shared" si="124"/>
        <v>4.711615979556365</v>
      </c>
      <c r="T296" s="19">
        <f>(P296)*IF(N296&lt;Forudsætninger!$B$228,IF(N296&lt;Forudsætninger!$B$227,Forudsætninger!$B$225,Forudsætninger!$C$9),Forudsætninger!$C$11)+O296</f>
        <v>20.417622464487437</v>
      </c>
      <c r="U296" s="5">
        <f>Forudsætninger!$E$68+((K296-(Forudsætninger!$E$84)))*0.01</f>
        <v>6.9832418257196966</v>
      </c>
      <c r="V296" s="2">
        <f>U296+Forudsætninger!$E$69</f>
        <v>6.9832418257196966</v>
      </c>
      <c r="W296">
        <f t="shared" si="113"/>
        <v>1</v>
      </c>
      <c r="X296">
        <f>IF(A296+Forudsætninger!$E$60&gt;248,IF(A296+Forudsætninger!$E$60&lt;365,IF(K296&gt;180,IF(K296&lt;260,1,0),0),0),0)</f>
        <v>1</v>
      </c>
      <c r="Y296" s="22">
        <f>IF(X296=0,0,IF('Vækstfunktion, kry kvie'!A296&lt;Forudsætninger!$E$66,Forudsætninger!$E$67+(('Vækstfunktion, kry kvie'!A296-Forudsætninger!$E$66)/7)*Forudsætninger!$E$64,Forudsætninger!$E$67))</f>
        <v>0.98</v>
      </c>
      <c r="Z296" s="19">
        <f t="shared" si="128"/>
        <v>4866.6311420581269</v>
      </c>
      <c r="AA296" s="19">
        <f>Forudsætninger!$E$62+Forudsætninger!$C$16</f>
        <v>1575</v>
      </c>
      <c r="AB296" s="19">
        <f>IF(K296&gt;Forudsætninger!$C$48,IF(K296&gt;Forudsætninger!$C$49,IF(K296&gt;Forudsætninger!$C$50,Forudsætninger!$E$50,Forudsætninger!$E$49+Forudsætninger!$F$50*(K296-Forudsætninger!$C$49)),Forudsætninger!$E$48+Forudsætninger!$F$49*(K296-Forudsætninger!$C$48)),Forudsætninger!$E$48)+IF(K296&gt;Forudsætninger!$C$50,Forudsætninger!$G$50,IF(K296&gt;Forudsætninger!$C$49,Forudsætninger!$G$49+Forudsætninger!$H$50*(K296-Forudsætninger!$C$49),IF(K296&gt;Forudsætninger!$C$48,Forudsætninger!$G$48+Forudsætninger!$H$49*(K296-Forudsætninger!$C$48),Forudsætninger!$G$48)))*(U296-Forudsætninger!$H$48)</f>
        <v>36.710845650349519</v>
      </c>
      <c r="AC296" s="19">
        <f>IF(K296&gt;Forudsætninger!$C$52,IF(K296&gt;Forudsætninger!$C$53,IF(K296&gt;Forudsætninger!$C$54,Forudsætninger!$E$54,Forudsætninger!$E$53+Forudsætninger!$F$54*(K296-Forudsætninger!$C$53)),Forudsætninger!$E$52+Forudsætninger!$F$53*(K296-Forudsætninger!$C$52)),Forudsætninger!$E$52)+IF(K296&gt;Forudsætninger!$C$54,Forudsætninger!$G$54,IF(K296&gt;Forudsætninger!$C$53,Forudsætninger!$G$53+Forudsætninger!$H$54*(K296-Forudsætninger!$C$53),IF(K296&gt;Forudsætninger!$C$52,Forudsætninger!$G$52+Forudsætninger!$H$53*(K296-Forudsætninger!$C$52),Forudsætninger!$G$52)))*(V296-Forudsætninger!$H$52)</f>
        <v>31.052325208282813</v>
      </c>
      <c r="AD296" s="19">
        <f t="shared" si="114"/>
        <v>8295.5149571819056</v>
      </c>
      <c r="AE296" s="19">
        <f t="shared" si="115"/>
        <v>36.597675241508185</v>
      </c>
      <c r="AF296">
        <f>IF(G296&lt;=Forudsætninger!$C$97,Forudsætninger!$C$98,(IF(G296&lt;=Forudsætninger!$D$97,Forudsætninger!$D$98,IF(G296&lt;=Forudsætninger!$E$97,Forudsætninger!$E$98,IF(G296&lt;=Forudsætninger!$F$97,Forudsætninger!$F$98,IF(G296&lt;=Forudsætninger!$G$97,Forudsætninger!$G$98,IF(G296&lt;=Forudsætninger!$H$97,Forudsætninger!$H$98,IF(G296&lt;=Forudsætninger!$I$97,Forudsætninger!$I$98,Forudsætninger!$I$98))))))))</f>
        <v>4.4000000000000004</v>
      </c>
      <c r="AG296" s="1">
        <f t="shared" si="125"/>
        <v>4.4000000000000004</v>
      </c>
      <c r="AH296" s="1">
        <f t="shared" si="129"/>
        <v>953.19999999999629</v>
      </c>
      <c r="AI296" s="1">
        <f t="shared" si="116"/>
        <v>3.2421768707482865</v>
      </c>
      <c r="AJ296" s="20">
        <f>+(W296*Forudsætninger!$C$12)</f>
        <v>900</v>
      </c>
      <c r="AK296" s="20">
        <f>Forudsætninger!$C$17</f>
        <v>250</v>
      </c>
      <c r="AL296" s="20">
        <f>IF(A296&lt;92,Forudsætninger!$C$20,Forudsætninger!$C$21)</f>
        <v>1.0566762728146013</v>
      </c>
      <c r="AM296" s="20">
        <f t="shared" si="126"/>
        <v>579.16830706078326</v>
      </c>
      <c r="AN296" s="19">
        <f>IFERROR(AD296+AJ296-AA296-Z296-AK296-AM296-Forudsætninger!$E$75,-999999)</f>
        <v>1733.4987467263797</v>
      </c>
      <c r="AO296" s="19">
        <f>IFERROR(AN296/(A296+Forudsætninger!$E$74),-999999)</f>
        <v>5.8962542405659173</v>
      </c>
      <c r="AP296" s="19">
        <f>IFERROR(((365/(A296+Forudsætninger!$E$74))*AN296)/(AI296+Forudsætninger!$E$73),-999999)</f>
        <v>642.01051459619191</v>
      </c>
      <c r="AQ296" s="18">
        <f t="shared" si="117"/>
        <v>294</v>
      </c>
      <c r="AR296" s="18">
        <f t="shared" si="130"/>
        <v>7270.7994491189102</v>
      </c>
      <c r="AS296" s="18">
        <f t="shared" si="109"/>
        <v>10.9</v>
      </c>
      <c r="AT296" s="50">
        <f t="shared" si="131"/>
        <v>0.38433565172044837</v>
      </c>
      <c r="AU296" s="50">
        <f t="shared" si="132"/>
        <v>-1.881200883565004E-2</v>
      </c>
      <c r="AV296" s="2">
        <f t="shared" si="133"/>
        <v>-2.808461421109314</v>
      </c>
      <c r="AW296" s="16">
        <f t="shared" si="127"/>
        <v>7.8662144686638209</v>
      </c>
      <c r="AZ296" s="16"/>
      <c r="BA296" s="2"/>
    </row>
    <row r="297" spans="1:53" x14ac:dyDescent="0.25">
      <c r="A297">
        <v>295</v>
      </c>
      <c r="B297" s="1">
        <f>ROUND((A297+Forudsætninger!$E$60)/30.4,1)</f>
        <v>10.9</v>
      </c>
      <c r="C297" s="1">
        <f>VLOOKUP((A297+Forudsætninger!$E$60),'Model tilvækst, slagteform, fe'!A:D,4,FALSE)</f>
        <v>458.83021996459399</v>
      </c>
      <c r="D297" s="3">
        <f t="shared" si="134"/>
        <v>983.24481609955683</v>
      </c>
      <c r="E297" s="3">
        <f>(1+Forudsætninger!$E$78)*C297</f>
        <v>422.12380236742649</v>
      </c>
      <c r="F297" s="2">
        <f t="shared" si="118"/>
        <v>0</v>
      </c>
      <c r="G297" s="1">
        <f t="shared" si="110"/>
        <v>422.12380236742649</v>
      </c>
      <c r="H297" s="3">
        <f t="shared" si="119"/>
        <v>904.58523081161957</v>
      </c>
      <c r="I297" s="3">
        <f t="shared" si="111"/>
        <v>1200.4196690421238</v>
      </c>
      <c r="J297" s="1">
        <f>VLOOKUP((A297+Forudsætninger!$E$60),'Model tilvækst, slagteform, fe'!G:K,4,FALSE)*(1+Forudsætninger!$E$79)</f>
        <v>53.822542072367341</v>
      </c>
      <c r="K297" s="17">
        <f t="shared" si="112"/>
        <v>227.1977611266849</v>
      </c>
      <c r="L297" s="17">
        <f t="shared" si="120"/>
        <v>529.94951188219375</v>
      </c>
      <c r="M297" s="3">
        <f>((K297-(('Model tilvækst, slagteform, fe'!$J$9/100)*'Model tilvækst, slagteform, fe'!$D$9))*1000/(A297+Forudsætninger!$E$60))</f>
        <v>625.26692746779952</v>
      </c>
      <c r="N297" s="17">
        <f t="shared" si="121"/>
        <v>1671.7887340520074</v>
      </c>
      <c r="O297" s="19">
        <f>IF( A297&lt;Forudsætninger!$C$14,(G297/100)*Forudsætninger!$C$13,(Forudsætninger!$C$15/1000)*Forudsætninger!$C$13)</f>
        <v>2.7438047153882721</v>
      </c>
      <c r="P297" s="17" cm="1">
        <f t="array" ref="P297">INDEX('Model tilvækst, slagteform, fe'!$P$9:$P$375,MATCH(MIN(ABS('Model tilvækst, slagteform, fe'!$M$9:$M$375-G297)),ABS('Model tilvækst, slagteform, fe'!$M$9:$M$375-G297),0))*(1+Forudsætninger!$E$80)</f>
        <v>7.5554263047433512</v>
      </c>
      <c r="Q297" s="17">
        <f t="shared" si="122"/>
        <v>14.256879448589626</v>
      </c>
      <c r="R297" s="17">
        <f t="shared" si="123"/>
        <v>8.6072150479356306</v>
      </c>
      <c r="S297" s="17">
        <f t="shared" si="124"/>
        <v>4.7209160267555745</v>
      </c>
      <c r="T297" s="19">
        <f>(P297)*IF(N297&lt;Forudsætninger!$B$228,IF(N297&lt;Forudsætninger!$B$227,Forudsætninger!$B$225,Forudsætninger!$C$9),Forudsætninger!$C$11)+O297</f>
        <v>20.423502268487713</v>
      </c>
      <c r="U297" s="5">
        <f>Forudsætninger!$E$68+((K297-(Forudsætninger!$E$84)))*0.01</f>
        <v>6.9885413208385181</v>
      </c>
      <c r="V297" s="2">
        <f>U297+Forudsætninger!$E$69</f>
        <v>6.9885413208385181</v>
      </c>
      <c r="W297">
        <f t="shared" si="113"/>
        <v>1</v>
      </c>
      <c r="X297">
        <f>IF(A297+Forudsætninger!$E$60&gt;248,IF(A297+Forudsætninger!$E$60&lt;365,IF(K297&gt;180,IF(K297&lt;260,1,0),0),0),0)</f>
        <v>1</v>
      </c>
      <c r="Y297" s="22">
        <f>IF(X297=0,0,IF('Vækstfunktion, kry kvie'!A297&lt;Forudsætninger!$E$66,Forudsætninger!$E$67+(('Vækstfunktion, kry kvie'!A297-Forudsætninger!$E$66)/7)*Forudsætninger!$E$64,Forudsætninger!$E$67))</f>
        <v>0.98</v>
      </c>
      <c r="Z297" s="19">
        <f t="shared" si="128"/>
        <v>4887.0546443266148</v>
      </c>
      <c r="AA297" s="19">
        <f>Forudsætninger!$E$62+Forudsætninger!$C$16</f>
        <v>1575</v>
      </c>
      <c r="AB297" s="19">
        <f>IF(K297&gt;Forudsætninger!$C$48,IF(K297&gt;Forudsætninger!$C$49,IF(K297&gt;Forudsætninger!$C$50,Forudsætninger!$E$50,Forudsætninger!$E$49+Forudsætninger!$F$50*(K297-Forudsætninger!$C$49)),Forudsætninger!$E$48+Forudsætninger!$F$49*(K297-Forudsætninger!$C$48)),Forudsætninger!$E$48)+IF(K297&gt;Forudsætninger!$C$50,Forudsætninger!$G$50,IF(K297&gt;Forudsætninger!$C$49,Forudsætninger!$G$49+Forudsætninger!$H$50*(K297-Forudsætninger!$C$49),IF(K297&gt;Forudsætninger!$C$48,Forudsætninger!$G$48+Forudsætninger!$H$49*(K297-Forudsætninger!$C$48),Forudsætninger!$G$48)))*(U297-Forudsætninger!$H$48)</f>
        <v>36.721312153209198</v>
      </c>
      <c r="AC297" s="19">
        <f>IF(K297&gt;Forudsætninger!$C$52,IF(K297&gt;Forudsætninger!$C$53,IF(K297&gt;Forudsætninger!$C$54,Forudsætninger!$E$54,Forudsætninger!$E$53+Forudsætninger!$F$54*(K297-Forudsætninger!$C$53)),Forudsætninger!$E$52+Forudsætninger!$F$53*(K297-Forudsætninger!$C$52)),Forudsætninger!$E$52)+IF(K297&gt;Forudsætninger!$C$54,Forudsætninger!$G$54,IF(K297&gt;Forudsætninger!$C$53,Forudsætninger!$G$53+Forudsætninger!$H$54*(K297-Forudsætninger!$C$53),IF(K297&gt;Forudsætninger!$C$52,Forudsætninger!$G$52+Forudsætninger!$H$53*(K297-Forudsætninger!$C$52),Forudsætninger!$G$52)))*(V297-Forudsætninger!$H$52)</f>
        <v>31.066396229612842</v>
      </c>
      <c r="AD297" s="19">
        <f t="shared" si="114"/>
        <v>8317.3042220992393</v>
      </c>
      <c r="AE297" s="19">
        <f t="shared" si="115"/>
        <v>36.608213834737271</v>
      </c>
      <c r="AF297">
        <f>IF(G297&lt;=Forudsætninger!$C$97,Forudsætninger!$C$98,(IF(G297&lt;=Forudsætninger!$D$97,Forudsætninger!$D$98,IF(G297&lt;=Forudsætninger!$E$97,Forudsætninger!$E$98,IF(G297&lt;=Forudsætninger!$F$97,Forudsætninger!$F$98,IF(G297&lt;=Forudsætninger!$G$97,Forudsætninger!$G$98,IF(G297&lt;=Forudsætninger!$H$97,Forudsætninger!$H$98,IF(G297&lt;=Forudsætninger!$I$97,Forudsætninger!$I$98,Forudsætninger!$I$98))))))))</f>
        <v>4.4000000000000004</v>
      </c>
      <c r="AG297" s="1">
        <f t="shared" si="125"/>
        <v>4.4000000000000004</v>
      </c>
      <c r="AH297" s="1">
        <f t="shared" si="129"/>
        <v>957.59999999999627</v>
      </c>
      <c r="AI297" s="1">
        <f t="shared" si="116"/>
        <v>3.2461016949152417</v>
      </c>
      <c r="AJ297" s="20">
        <f>+(W297*Forudsætninger!$C$12)</f>
        <v>900</v>
      </c>
      <c r="AK297" s="20">
        <f>Forudsætninger!$C$17</f>
        <v>250</v>
      </c>
      <c r="AL297" s="20">
        <f>IF(A297&lt;92,Forudsætninger!$C$20,Forudsætninger!$C$21)</f>
        <v>1.0566762728146013</v>
      </c>
      <c r="AM297" s="20">
        <f t="shared" si="126"/>
        <v>580.22498333359783</v>
      </c>
      <c r="AN297" s="19">
        <f>IFERROR(AD297+AJ297-AA297-Z297-AK297-AM297-Forudsætninger!$E$75,-999999)</f>
        <v>1733.807833102411</v>
      </c>
      <c r="AO297" s="19">
        <f>IFERROR(AN297/(A297+Forudsætninger!$E$74),-999999)</f>
        <v>5.8773146884827492</v>
      </c>
      <c r="AP297" s="19">
        <f>IFERROR(((365/(A297+Forudsætninger!$E$74))*AN297)/(AI297+Forudsætninger!$E$73),-999999)</f>
        <v>639.19989806816056</v>
      </c>
      <c r="AQ297" s="18">
        <f t="shared" si="117"/>
        <v>295</v>
      </c>
      <c r="AR297" s="18">
        <f t="shared" si="130"/>
        <v>7292.279627660213</v>
      </c>
      <c r="AS297" s="18">
        <f t="shared" si="109"/>
        <v>10.9</v>
      </c>
      <c r="AT297" s="50">
        <f t="shared" si="131"/>
        <v>0.30908637603124589</v>
      </c>
      <c r="AU297" s="50">
        <f t="shared" si="132"/>
        <v>-1.893955208316811E-2</v>
      </c>
      <c r="AV297" s="2">
        <f t="shared" si="133"/>
        <v>-2.8106165280313462</v>
      </c>
      <c r="AW297" s="16">
        <f t="shared" si="127"/>
        <v>7.8441790387661321</v>
      </c>
      <c r="AZ297" s="16"/>
      <c r="BA297" s="2"/>
    </row>
    <row r="298" spans="1:53" x14ac:dyDescent="0.25">
      <c r="A298">
        <v>296</v>
      </c>
      <c r="B298" s="1">
        <f>ROUND((A298+Forudsætninger!$E$60)/30.4,1)</f>
        <v>10.9</v>
      </c>
      <c r="C298" s="1">
        <f>VLOOKUP((A298+Forudsætninger!$E$60),'Model tilvækst, slagteform, fe'!A:D,4,FALSE)</f>
        <v>459.80908452922358</v>
      </c>
      <c r="D298" s="3">
        <f t="shared" si="134"/>
        <v>978.86456462958904</v>
      </c>
      <c r="E298" s="3">
        <f>(1+Forudsætninger!$E$78)*C298</f>
        <v>423.02435776688571</v>
      </c>
      <c r="F298" s="2">
        <f t="shared" si="118"/>
        <v>0</v>
      </c>
      <c r="G298" s="1">
        <f t="shared" si="110"/>
        <v>423.02435776688571</v>
      </c>
      <c r="H298" s="3">
        <f t="shared" si="119"/>
        <v>900.55539945922192</v>
      </c>
      <c r="I298" s="3">
        <f t="shared" si="111"/>
        <v>1199.4066140773166</v>
      </c>
      <c r="J298" s="1">
        <f>VLOOKUP((A298+Forudsætninger!$E$60),'Model tilvækst, slagteform, fe'!G:K,4,FALSE)*(1+Forudsætninger!$E$79)</f>
        <v>53.832777461643651</v>
      </c>
      <c r="K298" s="17">
        <f t="shared" si="112"/>
        <v>227.72576112519488</v>
      </c>
      <c r="L298" s="17">
        <f t="shared" si="120"/>
        <v>527.99999850998347</v>
      </c>
      <c r="M298" s="3">
        <f>((K298-(('Model tilvækst, slagteform, fe'!$J$9/100)*'Model tilvækst, slagteform, fe'!$D$9))*1000/(A298+Forudsætninger!$E$60))</f>
        <v>624.97395479021577</v>
      </c>
      <c r="N298" s="17">
        <f t="shared" si="121"/>
        <v>1679.3480067941014</v>
      </c>
      <c r="O298" s="19">
        <f>IF( A298&lt;Forudsætninger!$C$14,(G298/100)*Forudsætninger!$C$13,(Forudsætninger!$C$15/1000)*Forudsætninger!$C$13)</f>
        <v>2.7496583254847575</v>
      </c>
      <c r="P298" s="17" cm="1">
        <f t="array" ref="P298">INDEX('Model tilvækst, slagteform, fe'!$P$9:$P$375,MATCH(MIN(ABS('Model tilvækst, slagteform, fe'!$M$9:$M$375-G298)),ABS('Model tilvækst, slagteform, fe'!$M$9:$M$375-G298),0))*(1+Forudsætninger!$E$80)</f>
        <v>7.5592727420940466</v>
      </c>
      <c r="Q298" s="17">
        <f t="shared" si="122"/>
        <v>14.316804476186215</v>
      </c>
      <c r="R298" s="17">
        <f t="shared" si="123"/>
        <v>8.6226939827438596</v>
      </c>
      <c r="S298" s="17">
        <f t="shared" si="124"/>
        <v>4.7302332081022627</v>
      </c>
      <c r="T298" s="19">
        <f>(P298)*IF(N298&lt;Forudsætninger!$B$228,IF(N298&lt;Forudsætninger!$B$227,Forudsætninger!$B$225,Forudsætninger!$C$9),Forudsætninger!$C$11)+O298</f>
        <v>20.438356541984824</v>
      </c>
      <c r="U298" s="5">
        <f>Forudsætninger!$E$68+((K298-(Forudsætninger!$E$84)))*0.01</f>
        <v>6.993821320823618</v>
      </c>
      <c r="V298" s="2">
        <f>U298+Forudsætninger!$E$69</f>
        <v>6.993821320823618</v>
      </c>
      <c r="W298">
        <f t="shared" si="113"/>
        <v>1</v>
      </c>
      <c r="X298">
        <f>IF(A298+Forudsætninger!$E$60&gt;248,IF(A298+Forudsætninger!$E$60&lt;365,IF(K298&gt;180,IF(K298&lt;260,1,0),0),0),0)</f>
        <v>1</v>
      </c>
      <c r="Y298" s="22">
        <f>IF(X298=0,0,IF('Vækstfunktion, kry kvie'!A298&lt;Forudsætninger!$E$66,Forudsætninger!$E$67+(('Vækstfunktion, kry kvie'!A298-Forudsætninger!$E$66)/7)*Forudsætninger!$E$64,Forudsætninger!$E$67))</f>
        <v>0.98</v>
      </c>
      <c r="Z298" s="19">
        <f t="shared" si="128"/>
        <v>4907.4930008685997</v>
      </c>
      <c r="AA298" s="19">
        <f>Forudsætninger!$E$62+Forudsætninger!$C$16</f>
        <v>1575</v>
      </c>
      <c r="AB298" s="19">
        <f>IF(K298&gt;Forudsætninger!$C$48,IF(K298&gt;Forudsætninger!$C$49,IF(K298&gt;Forudsætninger!$C$50,Forudsætninger!$E$50,Forudsætninger!$E$49+Forudsætninger!$F$50*(K298-Forudsætninger!$C$49)),Forudsætninger!$E$48+Forudsætninger!$F$49*(K298-Forudsætninger!$C$48)),Forudsætninger!$E$48)+IF(K298&gt;Forudsætninger!$C$50,Forudsætninger!$G$50,IF(K298&gt;Forudsætninger!$C$49,Forudsætninger!$G$49+Forudsætninger!$H$50*(K298-Forudsætninger!$C$49),IF(K298&gt;Forudsætninger!$C$48,Forudsætninger!$G$48+Forudsætninger!$H$49*(K298-Forudsætninger!$C$48),Forudsætninger!$G$48)))*(U298-Forudsætninger!$H$48)</f>
        <v>36.731740153179771</v>
      </c>
      <c r="AC298" s="19">
        <f>IF(K298&gt;Forudsætninger!$C$52,IF(K298&gt;Forudsætninger!$C$53,IF(K298&gt;Forudsætninger!$C$54,Forudsætninger!$E$54,Forudsætninger!$E$53+Forudsætninger!$F$54*(K298-Forudsætninger!$C$53)),Forudsætninger!$E$52+Forudsætninger!$F$53*(K298-Forudsætninger!$C$52)),Forudsætninger!$E$52)+IF(K298&gt;Forudsætninger!$C$54,Forudsætninger!$G$54,IF(K298&gt;Forudsætninger!$C$53,Forudsætninger!$G$53+Forudsætninger!$H$54*(K298-Forudsætninger!$C$53),IF(K298&gt;Forudsætninger!$C$52,Forudsætninger!$G$52+Forudsætninger!$H$53*(K298-Forudsætninger!$C$52),Forudsætninger!$G$52)))*(V298-Forudsætninger!$H$52)</f>
        <v>31.080403850748013</v>
      </c>
      <c r="AD298" s="19">
        <f t="shared" si="114"/>
        <v>8339.0243866188302</v>
      </c>
      <c r="AE298" s="19">
        <f t="shared" si="115"/>
        <v>36.618713427131134</v>
      </c>
      <c r="AF298">
        <f>IF(G298&lt;=Forudsætninger!$C$97,Forudsætninger!$C$98,(IF(G298&lt;=Forudsætninger!$D$97,Forudsætninger!$D$98,IF(G298&lt;=Forudsætninger!$E$97,Forudsætninger!$E$98,IF(G298&lt;=Forudsætninger!$F$97,Forudsætninger!$F$98,IF(G298&lt;=Forudsætninger!$G$97,Forudsætninger!$G$98,IF(G298&lt;=Forudsætninger!$H$97,Forudsætninger!$H$98,IF(G298&lt;=Forudsætninger!$I$97,Forudsætninger!$I$98,Forudsætninger!$I$98))))))))</f>
        <v>4.4000000000000004</v>
      </c>
      <c r="AG298" s="1">
        <f t="shared" si="125"/>
        <v>4.4000000000000004</v>
      </c>
      <c r="AH298" s="1">
        <f t="shared" si="129"/>
        <v>961.99999999999625</v>
      </c>
      <c r="AI298" s="1">
        <f t="shared" si="116"/>
        <v>3.2499999999999871</v>
      </c>
      <c r="AJ298" s="20">
        <f>+(W298*Forudsætninger!$C$12)</f>
        <v>900</v>
      </c>
      <c r="AK298" s="20">
        <f>Forudsætninger!$C$17</f>
        <v>250</v>
      </c>
      <c r="AL298" s="20">
        <f>IF(A298&lt;92,Forudsætninger!$C$20,Forudsætninger!$C$21)</f>
        <v>1.0566762728146013</v>
      </c>
      <c r="AM298" s="20">
        <f t="shared" si="126"/>
        <v>581.2816596064124</v>
      </c>
      <c r="AN298" s="19">
        <f>IFERROR(AD298+AJ298-AA298-Z298-AK298-AM298-Forudsætninger!$E$75,-999999)</f>
        <v>1734.0329648072025</v>
      </c>
      <c r="AO298" s="19">
        <f>IFERROR(AN298/(A298+Forudsætninger!$E$74),-999999)</f>
        <v>5.8582194757000083</v>
      </c>
      <c r="AP298" s="19">
        <f>IFERROR(((365/(A298+Forudsætninger!$E$74))*AN298)/(AI298+Forudsætninger!$E$73),-999999)</f>
        <v>636.38396090193783</v>
      </c>
      <c r="AQ298" s="18">
        <f t="shared" si="117"/>
        <v>296</v>
      </c>
      <c r="AR298" s="18">
        <f t="shared" si="130"/>
        <v>7313.7746604750118</v>
      </c>
      <c r="AS298" s="18">
        <f t="shared" si="109"/>
        <v>10.9</v>
      </c>
      <c r="AT298" s="50">
        <f t="shared" si="131"/>
        <v>0.22513170479146538</v>
      </c>
      <c r="AU298" s="50">
        <f t="shared" si="132"/>
        <v>-1.9095212782740845E-2</v>
      </c>
      <c r="AV298" s="2">
        <f t="shared" si="133"/>
        <v>-2.8159371662227386</v>
      </c>
      <c r="AW298" s="16">
        <f t="shared" si="127"/>
        <v>7.8220088662622134</v>
      </c>
      <c r="AZ298" s="16"/>
      <c r="BA298" s="2"/>
    </row>
    <row r="299" spans="1:53" x14ac:dyDescent="0.25">
      <c r="A299">
        <v>297</v>
      </c>
      <c r="B299" s="1">
        <f>ROUND((A299+Forudsætninger!$E$60)/30.4,1)</f>
        <v>11</v>
      </c>
      <c r="C299" s="1">
        <f>VLOOKUP((A299+Forudsætninger!$E$60),'Model tilvækst, slagteform, fe'!A:D,4,FALSE)</f>
        <v>460.78359275421559</v>
      </c>
      <c r="D299" s="3">
        <f t="shared" si="134"/>
        <v>974.5082249920074</v>
      </c>
      <c r="E299" s="3">
        <f>(1+Forudsætninger!$E$78)*C299</f>
        <v>423.92090533387835</v>
      </c>
      <c r="F299" s="2">
        <f t="shared" si="118"/>
        <v>0</v>
      </c>
      <c r="G299" s="1">
        <f t="shared" si="110"/>
        <v>423.92090533387835</v>
      </c>
      <c r="H299" s="3">
        <f t="shared" si="119"/>
        <v>896.54756699263771</v>
      </c>
      <c r="I299" s="3">
        <f t="shared" si="111"/>
        <v>1198.386886646055</v>
      </c>
      <c r="J299" s="1">
        <f>VLOOKUP((A299+Forudsætninger!$E$60),'Model tilvækst, slagteform, fe'!G:K,4,FALSE)*(1+Forudsætninger!$E$79)</f>
        <v>53.843020849188179</v>
      </c>
      <c r="K299" s="17">
        <f t="shared" si="112"/>
        <v>228.25182144298742</v>
      </c>
      <c r="L299" s="17">
        <f t="shared" si="120"/>
        <v>526.06031779254181</v>
      </c>
      <c r="M299" s="3">
        <f>((K299-(('Model tilvækst, slagteform, fe'!$J$9/100)*'Model tilvækst, slagteform, fe'!$D$9))*1000/(A299+Forudsætninger!$E$60))</f>
        <v>624.67691684127374</v>
      </c>
      <c r="N299" s="17">
        <f t="shared" si="121"/>
        <v>1686.9112145792699</v>
      </c>
      <c r="O299" s="19">
        <f>IF( A299&lt;Forudsætninger!$C$14,(G299/100)*Forudsætninger!$C$13,(Forudsætninger!$C$15/1000)*Forudsætninger!$C$13)</f>
        <v>2.7554858846702097</v>
      </c>
      <c r="P299" s="17" cm="1">
        <f t="array" ref="P299">INDEX('Model tilvækst, slagteform, fe'!$P$9:$P$375,MATCH(MIN(ABS('Model tilvækst, slagteform, fe'!$M$9:$M$375-G299)),ABS('Model tilvækst, slagteform, fe'!$M$9:$M$375-G299),0))*(1+Forudsætninger!$E$80)</f>
        <v>7.5632077851686077</v>
      </c>
      <c r="Q299" s="17">
        <f t="shared" si="122"/>
        <v>14.377073368516744</v>
      </c>
      <c r="R299" s="17">
        <f t="shared" si="123"/>
        <v>8.6381951649450244</v>
      </c>
      <c r="S299" s="17">
        <f t="shared" si="124"/>
        <v>4.7395676660150965</v>
      </c>
      <c r="T299" s="19">
        <f>(P299)*IF(N299&lt;Forudsætninger!$B$228,IF(N299&lt;Forudsætninger!$B$227,Forudsætninger!$B$225,Forudsætninger!$C$9),Forudsætninger!$C$11)+O299</f>
        <v>20.453392101964752</v>
      </c>
      <c r="U299" s="5">
        <f>Forudsætninger!$E$68+((K299-(Forudsætninger!$E$84)))*0.01</f>
        <v>6.9990819240015432</v>
      </c>
      <c r="V299" s="2">
        <f>U299+Forudsætninger!$E$69</f>
        <v>6.9990819240015432</v>
      </c>
      <c r="W299">
        <f t="shared" si="113"/>
        <v>1</v>
      </c>
      <c r="X299">
        <f>IF(A299+Forudsætninger!$E$60&gt;248,IF(A299+Forudsætninger!$E$60&lt;365,IF(K299&gt;180,IF(K299&lt;260,1,0),0),0),0)</f>
        <v>1</v>
      </c>
      <c r="Y299" s="22">
        <f>IF(X299=0,0,IF('Vækstfunktion, kry kvie'!A299&lt;Forudsætninger!$E$66,Forudsætninger!$E$67+(('Vækstfunktion, kry kvie'!A299-Forudsætninger!$E$66)/7)*Forudsætninger!$E$64,Forudsætninger!$E$67))</f>
        <v>0.98</v>
      </c>
      <c r="Z299" s="19">
        <f t="shared" si="128"/>
        <v>4927.9463929705644</v>
      </c>
      <c r="AA299" s="19">
        <f>Forudsætninger!$E$62+Forudsætninger!$C$16</f>
        <v>1575</v>
      </c>
      <c r="AB299" s="19">
        <f>IF(K299&gt;Forudsætninger!$C$48,IF(K299&gt;Forudsætninger!$C$49,IF(K299&gt;Forudsætninger!$C$50,Forudsætninger!$E$50,Forudsætninger!$E$49+Forudsætninger!$F$50*(K299-Forudsætninger!$C$49)),Forudsætninger!$E$48+Forudsætninger!$F$49*(K299-Forudsætninger!$C$48)),Forudsætninger!$E$48)+IF(K299&gt;Forudsætninger!$C$50,Forudsætninger!$G$50,IF(K299&gt;Forudsætninger!$C$49,Forudsætninger!$G$49+Forudsætninger!$H$50*(K299-Forudsætninger!$C$49),IF(K299&gt;Forudsætninger!$C$48,Forudsætninger!$G$48+Forudsætninger!$H$49*(K299-Forudsætninger!$C$48),Forudsætninger!$G$48)))*(U299-Forudsætninger!$H$48)</f>
        <v>36.742129844456166</v>
      </c>
      <c r="AC299" s="19">
        <f>IF(K299&gt;Forudsætninger!$C$52,IF(K299&gt;Forudsætninger!$C$53,IF(K299&gt;Forudsætninger!$C$54,Forudsætninger!$E$54,Forudsætninger!$E$53+Forudsætninger!$F$54*(K299-Forudsætninger!$C$53)),Forudsætninger!$E$52+Forudsætninger!$F$53*(K299-Forudsætninger!$C$52)),Forudsætninger!$E$52)+IF(K299&gt;Forudsætninger!$C$54,Forudsætninger!$G$54,IF(K299&gt;Forudsætninger!$C$53,Forudsætninger!$G$53+Forudsætninger!$H$54*(K299-Forudsætninger!$C$53),IF(K299&gt;Forudsætninger!$C$52,Forudsætninger!$G$52+Forudsætninger!$H$53*(K299-Forudsætninger!$C$52),Forudsætninger!$G$52)))*(V299-Forudsætninger!$H$52)</f>
        <v>31.094348460888781</v>
      </c>
      <c r="AD299" s="19">
        <f t="shared" si="114"/>
        <v>8360.6757329336469</v>
      </c>
      <c r="AE299" s="19">
        <f t="shared" si="115"/>
        <v>36.629174216784818</v>
      </c>
      <c r="AF299">
        <f>IF(G299&lt;=Forudsætninger!$C$97,Forudsætninger!$C$98,(IF(G299&lt;=Forudsætninger!$D$97,Forudsætninger!$D$98,IF(G299&lt;=Forudsætninger!$E$97,Forudsætninger!$E$98,IF(G299&lt;=Forudsætninger!$F$97,Forudsætninger!$F$98,IF(G299&lt;=Forudsætninger!$G$97,Forudsætninger!$G$98,IF(G299&lt;=Forudsætninger!$H$97,Forudsætninger!$H$98,IF(G299&lt;=Forudsætninger!$I$97,Forudsætninger!$I$98,Forudsætninger!$I$98))))))))</f>
        <v>4.4000000000000004</v>
      </c>
      <c r="AG299" s="1">
        <f t="shared" si="125"/>
        <v>4.4000000000000004</v>
      </c>
      <c r="AH299" s="1">
        <f t="shared" si="129"/>
        <v>966.39999999999623</v>
      </c>
      <c r="AI299" s="1">
        <f t="shared" si="116"/>
        <v>3.2538720538720414</v>
      </c>
      <c r="AJ299" s="20">
        <f>+(W299*Forudsætninger!$C$12)</f>
        <v>900</v>
      </c>
      <c r="AK299" s="20">
        <f>Forudsætninger!$C$17</f>
        <v>250</v>
      </c>
      <c r="AL299" s="20">
        <f>IF(A299&lt;92,Forudsætninger!$C$20,Forudsætninger!$C$21)</f>
        <v>1.0566762728146013</v>
      </c>
      <c r="AM299" s="20">
        <f t="shared" si="126"/>
        <v>582.33833587922697</v>
      </c>
      <c r="AN299" s="19">
        <f>IFERROR(AD299+AJ299-AA299-Z299-AK299-AM299-Forudsætninger!$E$75,-999999)</f>
        <v>1734.1742427472398</v>
      </c>
      <c r="AO299" s="19">
        <f>IFERROR(AN299/(A299+Forudsætninger!$E$74),-999999)</f>
        <v>5.8389705143004704</v>
      </c>
      <c r="AP299" s="19">
        <f>IFERROR(((365/(A299+Forudsætninger!$E$74))*AN299)/(AI299+Forudsætninger!$E$73),-999999)</f>
        <v>633.56281201792149</v>
      </c>
      <c r="AQ299" s="18">
        <f t="shared" si="117"/>
        <v>297</v>
      </c>
      <c r="AR299" s="18">
        <f t="shared" si="130"/>
        <v>7335.2847288497915</v>
      </c>
      <c r="AS299" s="18">
        <f t="shared" si="109"/>
        <v>11</v>
      </c>
      <c r="AT299" s="50">
        <f t="shared" si="131"/>
        <v>0.14127794003729832</v>
      </c>
      <c r="AU299" s="50">
        <f t="shared" si="132"/>
        <v>-1.9248961399537912E-2</v>
      </c>
      <c r="AV299" s="2">
        <f t="shared" si="133"/>
        <v>-2.8211488840163383</v>
      </c>
      <c r="AW299" s="16">
        <f t="shared" si="127"/>
        <v>7.7997056519409647</v>
      </c>
      <c r="AZ299" s="16"/>
      <c r="BA299" s="2"/>
    </row>
    <row r="300" spans="1:53" x14ac:dyDescent="0.25">
      <c r="A300">
        <v>298</v>
      </c>
      <c r="B300" s="1">
        <f>ROUND((A300+Forudsætninger!$E$60)/30.4,1)</f>
        <v>11</v>
      </c>
      <c r="C300" s="1">
        <f>VLOOKUP((A300+Forudsætninger!$E$60),'Model tilvækst, slagteform, fe'!A:D,4,FALSE)</f>
        <v>461.75376913642395</v>
      </c>
      <c r="D300" s="3">
        <f t="shared" si="134"/>
        <v>970.17638220836488</v>
      </c>
      <c r="E300" s="3">
        <f>(1+Forudsætninger!$E$78)*C300</f>
        <v>424.81346760551008</v>
      </c>
      <c r="F300" s="2">
        <f t="shared" si="118"/>
        <v>0</v>
      </c>
      <c r="G300" s="1">
        <f t="shared" si="110"/>
        <v>424.81346760551008</v>
      </c>
      <c r="H300" s="3">
        <f t="shared" si="119"/>
        <v>892.56227163173207</v>
      </c>
      <c r="I300" s="3">
        <f t="shared" si="111"/>
        <v>1197.3606295486916</v>
      </c>
      <c r="J300" s="1">
        <f>VLOOKUP((A300+Forudsætninger!$E$60),'Model tilvækst, slagteform, fe'!G:K,4,FALSE)*(1+Forudsætninger!$E$79)</f>
        <v>53.853271999757759</v>
      </c>
      <c r="K300" s="17">
        <f t="shared" si="112"/>
        <v>228.77595220119815</v>
      </c>
      <c r="L300" s="17">
        <f t="shared" si="120"/>
        <v>524.13075821073107</v>
      </c>
      <c r="M300" s="3">
        <f>((K300-(('Model tilvækst, slagteform, fe'!$J$9/100)*'Model tilvækst, slagteform, fe'!$D$9))*1000/(A300+Forudsætninger!$E$60))</f>
        <v>624.37588043818835</v>
      </c>
      <c r="N300" s="17">
        <f t="shared" si="121"/>
        <v>1694.4784439526386</v>
      </c>
      <c r="O300" s="19">
        <f>IF( A300&lt;Forudsætninger!$C$14,(G300/100)*Forudsætninger!$C$13,(Forudsætninger!$C$15/1000)*Forudsætninger!$C$13)</f>
        <v>2.7612875394358158</v>
      </c>
      <c r="P300" s="17" cm="1">
        <f t="array" ref="P300">INDEX('Model tilvækst, slagteform, fe'!$P$9:$P$375,MATCH(MIN(ABS('Model tilvækst, slagteform, fe'!$M$9:$M$375-G300)),ABS('Model tilvækst, slagteform, fe'!$M$9:$M$375-G300),0))*(1+Forudsætninger!$E$80)</f>
        <v>7.5672293733688036</v>
      </c>
      <c r="Q300" s="17">
        <f t="shared" si="122"/>
        <v>14.437674673399604</v>
      </c>
      <c r="R300" s="17">
        <f t="shared" si="123"/>
        <v>8.653718870579608</v>
      </c>
      <c r="S300" s="17">
        <f t="shared" si="124"/>
        <v>4.7489195274042721</v>
      </c>
      <c r="T300" s="19">
        <f>(P300)*IF(N300&lt;Forudsætninger!$B$228,IF(N300&lt;Forudsætninger!$B$227,Forudsætninger!$B$225,Forudsætninger!$C$9),Forudsætninger!$C$11)+O300</f>
        <v>20.468604273118817</v>
      </c>
      <c r="U300" s="5">
        <f>Forudsætninger!$E$68+((K300-(Forudsætninger!$E$84)))*0.01</f>
        <v>7.0043232315836503</v>
      </c>
      <c r="V300" s="2">
        <f>U300+Forudsætninger!$E$69</f>
        <v>7.0043232315836503</v>
      </c>
      <c r="W300">
        <f t="shared" si="113"/>
        <v>1</v>
      </c>
      <c r="X300">
        <f>IF(A300+Forudsætninger!$E$60&gt;248,IF(A300+Forudsætninger!$E$60&lt;365,IF(K300&gt;180,IF(K300&lt;260,1,0),0),0),0)</f>
        <v>1</v>
      </c>
      <c r="Y300" s="22">
        <f>IF(X300=0,0,IF('Vækstfunktion, kry kvie'!A300&lt;Forudsætninger!$E$66,Forudsætninger!$E$67+(('Vækstfunktion, kry kvie'!A300-Forudsætninger!$E$66)/7)*Forudsætninger!$E$64,Forudsætninger!$E$67))</f>
        <v>0.98</v>
      </c>
      <c r="Z300" s="19">
        <f t="shared" si="128"/>
        <v>4948.4149972436835</v>
      </c>
      <c r="AA300" s="19">
        <f>Forudsætninger!$E$62+Forudsætninger!$C$16</f>
        <v>1575</v>
      </c>
      <c r="AB300" s="19">
        <f>IF(K300&gt;Forudsætninger!$C$48,IF(K300&gt;Forudsætninger!$C$49,IF(K300&gt;Forudsætninger!$C$50,Forudsætninger!$E$50,Forudsætninger!$E$49+Forudsætninger!$F$50*(K300-Forudsætninger!$C$49)),Forudsætninger!$E$48+Forudsætninger!$F$49*(K300-Forudsætninger!$C$48)),Forudsætninger!$E$48)+IF(K300&gt;Forudsætninger!$C$50,Forudsætninger!$G$50,IF(K300&gt;Forudsætninger!$C$49,Forudsætninger!$G$49+Forudsætninger!$H$50*(K300-Forudsætninger!$C$49),IF(K300&gt;Forudsætninger!$C$48,Forudsætninger!$G$48+Forudsætninger!$H$49*(K300-Forudsætninger!$C$48),Forudsætninger!$G$48)))*(U300-Forudsætninger!$H$48)</f>
        <v>36.752481426930828</v>
      </c>
      <c r="AC300" s="19">
        <f>IF(K300&gt;Forudsætninger!$C$52,IF(K300&gt;Forudsætninger!$C$53,IF(K300&gt;Forudsætninger!$C$54,Forudsætninger!$E$54,Forudsætninger!$E$53+Forudsætninger!$F$54*(K300-Forudsætninger!$C$53)),Forudsætninger!$E$52+Forudsætninger!$F$53*(K300-Forudsætninger!$C$52)),Forudsætninger!$E$52)+IF(K300&gt;Forudsætninger!$C$54,Forudsætninger!$G$54,IF(K300&gt;Forudsætninger!$C$53,Forudsætninger!$G$53+Forudsætninger!$H$54*(K300-Forudsætninger!$C$53),IF(K300&gt;Forudsætninger!$C$52,Forudsætninger!$G$52+Forudsætninger!$H$53*(K300-Forudsætninger!$C$52),Forudsætninger!$G$52)))*(V300-Forudsætninger!$H$52)</f>
        <v>31.108230455539104</v>
      </c>
      <c r="AD300" s="19">
        <f t="shared" si="114"/>
        <v>8382.2585563940956</v>
      </c>
      <c r="AE300" s="19">
        <f t="shared" si="115"/>
        <v>36.639596407502992</v>
      </c>
      <c r="AF300">
        <f>IF(G300&lt;=Forudsætninger!$C$97,Forudsætninger!$C$98,(IF(G300&lt;=Forudsætninger!$D$97,Forudsætninger!$D$98,IF(G300&lt;=Forudsætninger!$E$97,Forudsætninger!$E$98,IF(G300&lt;=Forudsætninger!$F$97,Forudsætninger!$F$98,IF(G300&lt;=Forudsætninger!$G$97,Forudsætninger!$G$98,IF(G300&lt;=Forudsætninger!$H$97,Forudsætninger!$H$98,IF(G300&lt;=Forudsætninger!$I$97,Forudsætninger!$I$98,Forudsætninger!$I$98))))))))</f>
        <v>4.4000000000000004</v>
      </c>
      <c r="AG300" s="1">
        <f t="shared" si="125"/>
        <v>4.4000000000000004</v>
      </c>
      <c r="AH300" s="1">
        <f t="shared" si="129"/>
        <v>970.7999999999962</v>
      </c>
      <c r="AI300" s="1">
        <f t="shared" si="116"/>
        <v>3.2577181208053565</v>
      </c>
      <c r="AJ300" s="20">
        <f>+(W300*Forudsætninger!$C$12)</f>
        <v>900</v>
      </c>
      <c r="AK300" s="20">
        <f>Forudsætninger!$C$17</f>
        <v>250</v>
      </c>
      <c r="AL300" s="20">
        <f>IF(A300&lt;92,Forudsætninger!$C$20,Forudsætninger!$C$21)</f>
        <v>1.0566762728146013</v>
      </c>
      <c r="AM300" s="20">
        <f t="shared" si="126"/>
        <v>583.39501215204155</v>
      </c>
      <c r="AN300" s="19">
        <f>IFERROR(AD300+AJ300-AA300-Z300-AK300-AM300-Forudsætninger!$E$75,-999999)</f>
        <v>1734.2317856617549</v>
      </c>
      <c r="AO300" s="19">
        <f>IFERROR(AN300/(A300+Forudsætninger!$E$74),-999999)</f>
        <v>5.8195697505428017</v>
      </c>
      <c r="AP300" s="19">
        <f>IFERROR(((365/(A300+Forudsætninger!$E$74))*AN300)/(AI300+Forudsætninger!$E$73),-999999)</f>
        <v>630.73656486432867</v>
      </c>
      <c r="AQ300" s="18">
        <f t="shared" si="117"/>
        <v>298</v>
      </c>
      <c r="AR300" s="18">
        <f t="shared" si="130"/>
        <v>7356.8100093957255</v>
      </c>
      <c r="AS300" s="18">
        <f t="shared" si="109"/>
        <v>11</v>
      </c>
      <c r="AT300" s="50">
        <f t="shared" si="131"/>
        <v>5.7542914515124721E-2</v>
      </c>
      <c r="AU300" s="50">
        <f t="shared" si="132"/>
        <v>-1.9400763757668749E-2</v>
      </c>
      <c r="AV300" s="2">
        <f t="shared" si="133"/>
        <v>-2.8262471535928171</v>
      </c>
      <c r="AW300" s="16">
        <f t="shared" si="127"/>
        <v>7.7772711336033442</v>
      </c>
      <c r="AZ300" s="16"/>
      <c r="BA300" s="2"/>
    </row>
    <row r="301" spans="1:53" x14ac:dyDescent="0.25">
      <c r="A301">
        <v>299</v>
      </c>
      <c r="B301" s="1">
        <f>ROUND((A301+Forudsætninger!$E$60)/30.4,1)</f>
        <v>11</v>
      </c>
      <c r="C301" s="1">
        <f>VLOOKUP((A301+Forudsætninger!$E$60),'Model tilvækst, slagteform, fe'!A:D,4,FALSE)</f>
        <v>462.71963875772269</v>
      </c>
      <c r="D301" s="3">
        <f t="shared" si="134"/>
        <v>965.86962129873655</v>
      </c>
      <c r="E301" s="3">
        <f>(1+Forudsætninger!$E$78)*C301</f>
        <v>425.70206765710492</v>
      </c>
      <c r="F301" s="2">
        <f t="shared" si="118"/>
        <v>0</v>
      </c>
      <c r="G301" s="1">
        <f t="shared" si="110"/>
        <v>425.70206765710492</v>
      </c>
      <c r="H301" s="3">
        <f t="shared" si="119"/>
        <v>888.60005159483535</v>
      </c>
      <c r="I301" s="3">
        <f t="shared" si="111"/>
        <v>1196.3279854752673</v>
      </c>
      <c r="J301" s="1">
        <f>VLOOKUP((A301+Forudsætninger!$E$60),'Model tilvækst, slagteform, fe'!G:K,4,FALSE)*(1+Forudsætninger!$E$79)</f>
        <v>53.8635306781092</v>
      </c>
      <c r="K301" s="17">
        <f t="shared" si="112"/>
        <v>229.29816380982987</v>
      </c>
      <c r="L301" s="17">
        <f t="shared" si="120"/>
        <v>522.21160863172145</v>
      </c>
      <c r="M301" s="3">
        <f>((K301-(('Model tilvækst, slagteform, fe'!$J$9/100)*'Model tilvækst, slagteform, fe'!$D$9))*1000/(A301+Forudsætninger!$E$60))</f>
        <v>624.07091246264667</v>
      </c>
      <c r="N301" s="17">
        <f t="shared" si="121"/>
        <v>1702.0497793987349</v>
      </c>
      <c r="O301" s="19">
        <f>IF( A301&lt;Forudsætninger!$C$14,(G301/100)*Forudsætninger!$C$13,(Forudsætninger!$C$15/1000)*Forudsætninger!$C$13)</f>
        <v>2.767063439771182</v>
      </c>
      <c r="P301" s="17" cm="1">
        <f t="array" ref="P301">INDEX('Model tilvækst, slagteform, fe'!$P$9:$P$375,MATCH(MIN(ABS('Model tilvækst, slagteform, fe'!$M$9:$M$375-G301)),ABS('Model tilvækst, slagteform, fe'!$M$9:$M$375-G301),0))*(1+Forudsætninger!$E$80)</f>
        <v>7.5713354460964073</v>
      </c>
      <c r="Q301" s="17">
        <f t="shared" si="122"/>
        <v>14.498596586036312</v>
      </c>
      <c r="R301" s="17">
        <f t="shared" si="123"/>
        <v>8.6692653476135622</v>
      </c>
      <c r="S301" s="17">
        <f t="shared" si="124"/>
        <v>4.7582889037989258</v>
      </c>
      <c r="T301" s="19">
        <f>(P301)*IF(N301&lt;Forudsætninger!$B$228,IF(N301&lt;Forudsætninger!$B$227,Forudsætninger!$B$225,Forudsætninger!$C$9),Forudsætninger!$C$11)+O301</f>
        <v>20.483988383636774</v>
      </c>
      <c r="U301" s="5">
        <f>Forudsætninger!$E$68+((K301-(Forudsætninger!$E$84)))*0.01</f>
        <v>7.0095453476699676</v>
      </c>
      <c r="V301" s="2">
        <f>U301+Forudsætninger!$E$69</f>
        <v>7.0095453476699676</v>
      </c>
      <c r="W301">
        <f t="shared" si="113"/>
        <v>1</v>
      </c>
      <c r="X301">
        <f>IF(A301+Forudsætninger!$E$60&gt;248,IF(A301+Forudsætninger!$E$60&lt;365,IF(K301&gt;180,IF(K301&lt;260,1,0),0),0),0)</f>
        <v>1</v>
      </c>
      <c r="Y301" s="22">
        <f>IF(X301=0,0,IF('Vækstfunktion, kry kvie'!A301&lt;Forudsætninger!$E$66,Forudsætninger!$E$67+(('Vækstfunktion, kry kvie'!A301-Forudsætninger!$E$66)/7)*Forudsætninger!$E$64,Forudsætninger!$E$67))</f>
        <v>0.98</v>
      </c>
      <c r="Z301" s="19">
        <f t="shared" si="128"/>
        <v>4968.8989856273201</v>
      </c>
      <c r="AA301" s="19">
        <f>Forudsætninger!$E$62+Forudsætninger!$C$16</f>
        <v>1575</v>
      </c>
      <c r="AB301" s="19">
        <f>IF(K301&gt;Forudsætninger!$C$48,IF(K301&gt;Forudsætninger!$C$49,IF(K301&gt;Forudsætninger!$C$50,Forudsætninger!$E$50,Forudsætninger!$E$49+Forudsætninger!$F$50*(K301-Forudsætninger!$C$49)),Forudsætninger!$E$48+Forudsætninger!$F$49*(K301-Forudsætninger!$C$48)),Forudsætninger!$E$48)+IF(K301&gt;Forudsætninger!$C$50,Forudsætninger!$G$50,IF(K301&gt;Forudsætninger!$C$49,Forudsætninger!$G$49+Forudsætninger!$H$50*(K301-Forudsætninger!$C$49),IF(K301&gt;Forudsætninger!$C$48,Forudsætninger!$G$48+Forudsætninger!$H$49*(K301-Forudsætninger!$C$48),Forudsætninger!$G$48)))*(U301-Forudsætninger!$H$48)</f>
        <v>36.762795106201303</v>
      </c>
      <c r="AC301" s="19">
        <f>IF(K301&gt;Forudsætninger!$C$52,IF(K301&gt;Forudsætninger!$C$53,IF(K301&gt;Forudsætninger!$C$54,Forudsætninger!$E$54,Forudsætninger!$E$53+Forudsætninger!$F$54*(K301-Forudsætninger!$C$53)),Forudsætninger!$E$52+Forudsætninger!$F$53*(K301-Forudsætninger!$C$52)),Forudsætninger!$E$52)+IF(K301&gt;Forudsætninger!$C$54,Forudsætninger!$G$54,IF(K301&gt;Forudsætninger!$C$53,Forudsætninger!$G$53+Forudsætninger!$H$54*(K301-Forudsætninger!$C$53),IF(K301&gt;Forudsætninger!$C$52,Forudsætninger!$G$52+Forudsætninger!$H$53*(K301-Forudsætninger!$C$52),Forudsætninger!$G$52)))*(V301-Forudsætninger!$H$52)</f>
        <v>31.122050236493191</v>
      </c>
      <c r="AD301" s="19">
        <f t="shared" si="114"/>
        <v>8403.773165546083</v>
      </c>
      <c r="AE301" s="19">
        <f t="shared" si="115"/>
        <v>36.649980208807143</v>
      </c>
      <c r="AF301">
        <f>IF(G301&lt;=Forudsætninger!$C$97,Forudsætninger!$C$98,(IF(G301&lt;=Forudsætninger!$D$97,Forudsætninger!$D$98,IF(G301&lt;=Forudsætninger!$E$97,Forudsætninger!$E$98,IF(G301&lt;=Forudsætninger!$F$97,Forudsætninger!$F$98,IF(G301&lt;=Forudsætninger!$G$97,Forudsætninger!$G$98,IF(G301&lt;=Forudsætninger!$H$97,Forudsætninger!$H$98,IF(G301&lt;=Forudsætninger!$I$97,Forudsætninger!$I$98,Forudsætninger!$I$98))))))))</f>
        <v>4.4000000000000004</v>
      </c>
      <c r="AG301" s="1">
        <f t="shared" si="125"/>
        <v>4.4000000000000004</v>
      </c>
      <c r="AH301" s="1">
        <f t="shared" si="129"/>
        <v>975.19999999999618</v>
      </c>
      <c r="AI301" s="1">
        <f t="shared" si="116"/>
        <v>3.2615384615384486</v>
      </c>
      <c r="AJ301" s="20">
        <f>+(W301*Forudsætninger!$C$12)</f>
        <v>900</v>
      </c>
      <c r="AK301" s="20">
        <f>Forudsætninger!$C$17</f>
        <v>250</v>
      </c>
      <c r="AL301" s="20">
        <f>IF(A301&lt;92,Forudsætninger!$C$20,Forudsætninger!$C$21)</f>
        <v>1.0566762728146013</v>
      </c>
      <c r="AM301" s="20">
        <f t="shared" si="126"/>
        <v>584.45168842485612</v>
      </c>
      <c r="AN301" s="19">
        <f>IFERROR(AD301+AJ301-AA301-Z301-AK301-AM301-Forudsætninger!$E$75,-999999)</f>
        <v>1734.2057301572911</v>
      </c>
      <c r="AO301" s="19">
        <f>IFERROR(AN301/(A301+Forudsætninger!$E$74),-999999)</f>
        <v>5.800019164405656</v>
      </c>
      <c r="AP301" s="19">
        <f>IFERROR(((365/(A301+Forudsætninger!$E$74))*AN301)/(AI301+Forudsætninger!$E$73),-999999)</f>
        <v>627.90533732842687</v>
      </c>
      <c r="AQ301" s="18">
        <f t="shared" si="117"/>
        <v>299</v>
      </c>
      <c r="AR301" s="18">
        <f t="shared" si="130"/>
        <v>7378.3506740521761</v>
      </c>
      <c r="AS301" s="18">
        <f t="shared" si="109"/>
        <v>11</v>
      </c>
      <c r="AT301" s="50">
        <f t="shared" si="131"/>
        <v>-2.6055504463784018E-2</v>
      </c>
      <c r="AU301" s="50">
        <f t="shared" si="132"/>
        <v>-1.9550586137145665E-2</v>
      </c>
      <c r="AV301" s="2">
        <f t="shared" si="133"/>
        <v>-2.8312275359018031</v>
      </c>
      <c r="AW301" s="16">
        <f t="shared" si="127"/>
        <v>7.754707085559021</v>
      </c>
      <c r="AZ301" s="16"/>
      <c r="BA301" s="2"/>
    </row>
    <row r="302" spans="1:53" x14ac:dyDescent="0.25">
      <c r="A302">
        <v>300</v>
      </c>
      <c r="B302" s="1">
        <f>ROUND((A302+Forudsætninger!$E$60)/30.4,1)</f>
        <v>11.1</v>
      </c>
      <c r="C302" s="1">
        <f>VLOOKUP((A302+Forudsætninger!$E$60),'Model tilvækst, slagteform, fe'!A:D,4,FALSE)</f>
        <v>463.68122728500651</v>
      </c>
      <c r="D302" s="3">
        <f t="shared" si="134"/>
        <v>961.58852728382271</v>
      </c>
      <c r="E302" s="3">
        <f>(1+Forudsætninger!$E$78)*C302</f>
        <v>426.58672910220599</v>
      </c>
      <c r="F302" s="2">
        <f t="shared" si="118"/>
        <v>0</v>
      </c>
      <c r="G302" s="1">
        <f t="shared" si="110"/>
        <v>426.58672910220599</v>
      </c>
      <c r="H302" s="3">
        <f t="shared" si="119"/>
        <v>884.6614451010737</v>
      </c>
      <c r="I302" s="3">
        <f t="shared" si="111"/>
        <v>1195.2890970073533</v>
      </c>
      <c r="J302" s="1">
        <f>VLOOKUP((A302+Forudsætninger!$E$60),'Model tilvækst, slagteform, fe'!G:K,4,FALSE)*(1+Forudsætninger!$E$79)</f>
        <v>53.873796648999317</v>
      </c>
      <c r="K302" s="17">
        <f t="shared" si="112"/>
        <v>229.81846696814006</v>
      </c>
      <c r="L302" s="17">
        <f t="shared" si="120"/>
        <v>520.3031583101847</v>
      </c>
      <c r="M302" s="3">
        <f>((K302-(('Model tilvækst, slagteform, fe'!$J$9/100)*'Model tilvækst, slagteform, fe'!$D$9))*1000/(A302+Forudsætninger!$E$60))</f>
        <v>623.76207986100246</v>
      </c>
      <c r="N302" s="17">
        <f t="shared" si="121"/>
        <v>1709.6211148448313</v>
      </c>
      <c r="O302" s="19">
        <f>IF( A302&lt;Forudsætninger!$C$14,(G302/100)*Forudsætninger!$C$13,(Forudsætninger!$C$15/1000)*Forudsætninger!$C$13)</f>
        <v>2.7728137391643388</v>
      </c>
      <c r="P302" s="17" cm="1">
        <f t="array" ref="P302">INDEX('Model tilvækst, slagteform, fe'!$P$9:$P$375,MATCH(MIN(ABS('Model tilvækst, slagteform, fe'!$M$9:$M$375-G302)),ABS('Model tilvækst, slagteform, fe'!$M$9:$M$375-G302),0))*(1+Forudsætninger!$E$80)</f>
        <v>7.5713354460964073</v>
      </c>
      <c r="Q302" s="17">
        <f t="shared" si="122"/>
        <v>14.551776834655824</v>
      </c>
      <c r="R302" s="17">
        <f t="shared" si="123"/>
        <v>8.6848135387815546</v>
      </c>
      <c r="S302" s="17">
        <f t="shared" si="124"/>
        <v>4.7676642109015344</v>
      </c>
      <c r="T302" s="19">
        <f>(P302)*IF(N302&lt;Forudsætninger!$B$228,IF(N302&lt;Forudsætninger!$B$227,Forudsætninger!$B$225,Forudsætninger!$C$9),Forudsætninger!$C$11)+O302</f>
        <v>20.48973868302993</v>
      </c>
      <c r="U302" s="5">
        <f>Forudsætninger!$E$68+((K302-(Forudsætninger!$E$84)))*0.01</f>
        <v>7.0147483792530698</v>
      </c>
      <c r="V302" s="2">
        <f>U302+Forudsætninger!$E$69</f>
        <v>7.0147483792530698</v>
      </c>
      <c r="W302">
        <f t="shared" si="113"/>
        <v>1</v>
      </c>
      <c r="X302">
        <f>IF(A302+Forudsætninger!$E$60&gt;248,IF(A302+Forudsætninger!$E$60&lt;365,IF(K302&gt;180,IF(K302&lt;260,1,0),0),0),0)</f>
        <v>1</v>
      </c>
      <c r="Y302" s="22">
        <f>IF(X302=0,0,IF('Vækstfunktion, kry kvie'!A302&lt;Forudsætninger!$E$66,Forudsætninger!$E$67+(('Vækstfunktion, kry kvie'!A302-Forudsætninger!$E$66)/7)*Forudsætninger!$E$64,Forudsætninger!$E$67))</f>
        <v>0.98</v>
      </c>
      <c r="Z302" s="19">
        <f t="shared" si="128"/>
        <v>4989.38872431035</v>
      </c>
      <c r="AA302" s="19">
        <f>Forudsætninger!$E$62+Forudsætninger!$C$16</f>
        <v>1575</v>
      </c>
      <c r="AB302" s="19">
        <f>IF(K302&gt;Forudsætninger!$C$48,IF(K302&gt;Forudsætninger!$C$49,IF(K302&gt;Forudsætninger!$C$50,Forudsætninger!$E$50,Forudsætninger!$E$49+Forudsætninger!$F$50*(K302-Forudsætninger!$C$49)),Forudsætninger!$E$48+Forudsætninger!$F$49*(K302-Forudsætninger!$C$48)),Forudsætninger!$E$48)+IF(K302&gt;Forudsætninger!$C$50,Forudsætninger!$G$50,IF(K302&gt;Forudsætninger!$C$49,Forudsætninger!$G$49+Forudsætninger!$H$50*(K302-Forudsætninger!$C$49),IF(K302&gt;Forudsætninger!$C$48,Forudsætninger!$G$48+Forudsætninger!$H$49*(K302-Forudsætninger!$C$48),Forudsætninger!$G$48)))*(U302-Forudsætninger!$H$48)</f>
        <v>36.773071093577933</v>
      </c>
      <c r="AC302" s="19">
        <f>IF(K302&gt;Forudsætninger!$C$52,IF(K302&gt;Forudsætninger!$C$53,IF(K302&gt;Forudsætninger!$C$54,Forudsætninger!$E$54,Forudsætninger!$E$53+Forudsætninger!$F$54*(K302-Forudsætninger!$C$53)),Forudsætninger!$E$52+Forudsætninger!$F$53*(K302-Forudsætninger!$C$52)),Forudsætninger!$E$52)+IF(K302&gt;Forudsætninger!$C$54,Forudsætninger!$G$54,IF(K302&gt;Forudsætninger!$C$53,Forudsætninger!$G$53+Forudsætninger!$H$54*(K302-Forudsætninger!$C$53),IF(K302&gt;Forudsætninger!$C$52,Forudsætninger!$G$52+Forudsætninger!$H$53*(K302-Forudsætninger!$C$52),Forudsætninger!$G$52)))*(V302-Forudsætninger!$H$52)</f>
        <v>31.13580821182256</v>
      </c>
      <c r="AD302" s="19">
        <f t="shared" si="114"/>
        <v>8425.2198821688762</v>
      </c>
      <c r="AE302" s="19">
        <f t="shared" si="115"/>
        <v>36.660325835942821</v>
      </c>
      <c r="AF302">
        <f>IF(G302&lt;=Forudsætninger!$C$97,Forudsætninger!$C$98,(IF(G302&lt;=Forudsætninger!$D$97,Forudsætninger!$D$98,IF(G302&lt;=Forudsætninger!$E$97,Forudsætninger!$E$98,IF(G302&lt;=Forudsætninger!$F$97,Forudsætninger!$F$98,IF(G302&lt;=Forudsætninger!$G$97,Forudsætninger!$G$98,IF(G302&lt;=Forudsætninger!$H$97,Forudsætninger!$H$98,IF(G302&lt;=Forudsætninger!$I$97,Forudsætninger!$I$98,Forudsætninger!$I$98))))))))</f>
        <v>4.4000000000000004</v>
      </c>
      <c r="AG302" s="1">
        <f t="shared" si="125"/>
        <v>4.4000000000000004</v>
      </c>
      <c r="AH302" s="1">
        <f t="shared" si="129"/>
        <v>979.59999999999616</v>
      </c>
      <c r="AI302" s="1">
        <f t="shared" si="116"/>
        <v>3.2653333333333205</v>
      </c>
      <c r="AJ302" s="20">
        <f>+(W302*Forudsætninger!$C$12)</f>
        <v>900</v>
      </c>
      <c r="AK302" s="20">
        <f>Forudsætninger!$C$17</f>
        <v>250</v>
      </c>
      <c r="AL302" s="20">
        <f>IF(A302&lt;92,Forudsætninger!$C$20,Forudsætninger!$C$21)</f>
        <v>1.0566762728146013</v>
      </c>
      <c r="AM302" s="20">
        <f t="shared" si="126"/>
        <v>585.50836469767069</v>
      </c>
      <c r="AN302" s="19">
        <f>IFERROR(AD302+AJ302-AA302-Z302-AK302-AM302-Forudsætninger!$E$75,-999999)</f>
        <v>1734.1060318242398</v>
      </c>
      <c r="AO302" s="19">
        <f>IFERROR(AN302/(A302+Forudsætninger!$E$74),-999999)</f>
        <v>5.7803534394141325</v>
      </c>
      <c r="AP302" s="19">
        <f>IFERROR(((365/(A302+Forudsætninger!$E$74))*AN302)/(AI302+Forudsætninger!$E$73),-999999)</f>
        <v>625.07278453076231</v>
      </c>
      <c r="AQ302" s="18">
        <f t="shared" si="117"/>
        <v>300</v>
      </c>
      <c r="AR302" s="18">
        <f t="shared" si="130"/>
        <v>7399.8970890080209</v>
      </c>
      <c r="AS302" s="18">
        <f t="shared" si="109"/>
        <v>11.1</v>
      </c>
      <c r="AT302" s="50">
        <f t="shared" si="131"/>
        <v>-9.9698333051264854E-2</v>
      </c>
      <c r="AU302" s="50">
        <f t="shared" si="132"/>
        <v>-1.9665724991523525E-2</v>
      </c>
      <c r="AV302" s="2">
        <f t="shared" si="133"/>
        <v>-2.8325527976645617</v>
      </c>
      <c r="AW302" s="16">
        <f t="shared" si="127"/>
        <v>7.7320479884063689</v>
      </c>
      <c r="AZ302" s="16"/>
      <c r="BA302" s="2"/>
    </row>
    <row r="303" spans="1:53" x14ac:dyDescent="0.25">
      <c r="A303">
        <v>301</v>
      </c>
      <c r="B303" s="1">
        <f>ROUND((A303+Forudsætninger!$E$60)/30.4,1)</f>
        <v>11.1</v>
      </c>
      <c r="C303" s="1">
        <f>VLOOKUP((A303+Forudsætninger!$E$60),'Model tilvækst, slagteform, fe'!A:D,4,FALSE)</f>
        <v>464.63856097019044</v>
      </c>
      <c r="D303" s="3">
        <f t="shared" si="134"/>
        <v>957.33368518392581</v>
      </c>
      <c r="E303" s="3">
        <f>(1+Forudsætninger!$E$78)*C303</f>
        <v>427.46747609257523</v>
      </c>
      <c r="F303" s="2">
        <f t="shared" si="118"/>
        <v>0</v>
      </c>
      <c r="G303" s="1">
        <f t="shared" si="110"/>
        <v>427.46747609257523</v>
      </c>
      <c r="H303" s="3">
        <f t="shared" si="119"/>
        <v>880.74699036923221</v>
      </c>
      <c r="I303" s="3">
        <f t="shared" si="111"/>
        <v>1194.2441066198512</v>
      </c>
      <c r="J303" s="1">
        <f>VLOOKUP((A303+Forudsætninger!$E$60),'Model tilvækst, slagteform, fe'!G:K,4,FALSE)*(1+Forudsætninger!$E$79)</f>
        <v>53.884069677184925</v>
      </c>
      <c r="K303" s="17">
        <f t="shared" si="112"/>
        <v>230.33687266502702</v>
      </c>
      <c r="L303" s="17">
        <f t="shared" si="120"/>
        <v>518.40569688695837</v>
      </c>
      <c r="M303" s="3">
        <f>((K303-(('Model tilvækst, slagteform, fe'!$J$9/100)*'Model tilvækst, slagteform, fe'!$D$9))*1000/(A303+Forudsætninger!$E$60))</f>
        <v>623.44944964446222</v>
      </c>
      <c r="N303" s="17">
        <f t="shared" si="121"/>
        <v>1717.1966387875843</v>
      </c>
      <c r="O303" s="19">
        <f>IF( A303&lt;Forudsætninger!$C$14,(G303/100)*Forudsætninger!$C$13,(Forudsætninger!$C$15/1000)*Forudsætninger!$C$13)</f>
        <v>2.7785385946017387</v>
      </c>
      <c r="P303" s="17" cm="1">
        <f t="array" ref="P303">INDEX('Model tilvækst, slagteform, fe'!$P$9:$P$375,MATCH(MIN(ABS('Model tilvækst, slagteform, fe'!$M$9:$M$375-G303)),ABS('Model tilvækst, slagteform, fe'!$M$9:$M$375-G303),0))*(1+Forudsætninger!$E$80)</f>
        <v>7.5755239427531871</v>
      </c>
      <c r="Q303" s="17">
        <f t="shared" si="122"/>
        <v>14.61311862165951</v>
      </c>
      <c r="R303" s="17">
        <f t="shared" si="123"/>
        <v>8.7003846186708529</v>
      </c>
      <c r="S303" s="17">
        <f t="shared" si="124"/>
        <v>4.7770570440852547</v>
      </c>
      <c r="T303" s="19">
        <f>(P303)*IF(N303&lt;Forudsætninger!$B$228,IF(N303&lt;Forudsætninger!$B$227,Forudsætninger!$B$225,Forudsætninger!$C$9),Forudsætninger!$C$11)+O303</f>
        <v>20.505264620644194</v>
      </c>
      <c r="U303" s="5">
        <f>Forudsætninger!$E$68+((K303-(Forudsætninger!$E$84)))*0.01</f>
        <v>7.0199324362219393</v>
      </c>
      <c r="V303" s="2">
        <f>U303+Forudsætninger!$E$69</f>
        <v>7.0199324362219393</v>
      </c>
      <c r="W303">
        <f t="shared" si="113"/>
        <v>1</v>
      </c>
      <c r="X303">
        <f>IF(A303+Forudsætninger!$E$60&gt;248,IF(A303+Forudsætninger!$E$60&lt;365,IF(K303&gt;180,IF(K303&lt;260,1,0),0),0),0)</f>
        <v>1</v>
      </c>
      <c r="Y303" s="22">
        <f>IF(X303=0,0,IF('Vækstfunktion, kry kvie'!A303&lt;Forudsætninger!$E$66,Forudsætninger!$E$67+(('Vækstfunktion, kry kvie'!A303-Forudsætninger!$E$66)/7)*Forudsætninger!$E$64,Forudsætninger!$E$67))</f>
        <v>0.98</v>
      </c>
      <c r="Z303" s="19">
        <f t="shared" si="128"/>
        <v>5009.8939889309941</v>
      </c>
      <c r="AA303" s="19">
        <f>Forudsætninger!$E$62+Forudsætninger!$C$16</f>
        <v>1575</v>
      </c>
      <c r="AB303" s="19">
        <f>IF(K303&gt;Forudsætninger!$C$48,IF(K303&gt;Forudsætninger!$C$49,IF(K303&gt;Forudsætninger!$C$50,Forudsætninger!$E$50,Forudsætninger!$E$49+Forudsætninger!$F$50*(K303-Forudsætninger!$C$49)),Forudsætninger!$E$48+Forudsætninger!$F$49*(K303-Forudsætninger!$C$48)),Forudsætninger!$E$48)+IF(K303&gt;Forudsætninger!$C$50,Forudsætninger!$G$50,IF(K303&gt;Forudsætninger!$C$49,Forudsætninger!$G$49+Forudsætninger!$H$50*(K303-Forudsætninger!$C$49),IF(K303&gt;Forudsætninger!$C$48,Forudsætninger!$G$48+Forudsætninger!$H$49*(K303-Forudsætninger!$C$48),Forudsætninger!$G$48)))*(U303-Forudsætninger!$H$48)</f>
        <v>36.78330960609145</v>
      </c>
      <c r="AC303" s="19">
        <f>IF(K303&gt;Forudsætninger!$C$52,IF(K303&gt;Forudsætninger!$C$53,IF(K303&gt;Forudsætninger!$C$54,Forudsætninger!$E$54,Forudsætninger!$E$53+Forudsætninger!$F$54*(K303-Forudsætninger!$C$53)),Forudsætninger!$E$52+Forudsætninger!$F$53*(K303-Forudsætninger!$C$52)),Forudsætninger!$E$52)+IF(K303&gt;Forudsætninger!$C$54,Forudsætninger!$G$54,IF(K303&gt;Forudsætninger!$C$53,Forudsætninger!$G$53+Forudsætninger!$H$54*(K303-Forudsætninger!$C$53),IF(K303&gt;Forudsætninger!$C$52,Forudsætninger!$G$52+Forudsætninger!$H$53*(K303-Forudsætninger!$C$52),Forudsætninger!$G$52)))*(V303-Forudsætninger!$H$52)</f>
        <v>31.149504795863297</v>
      </c>
      <c r="AD303" s="19">
        <f t="shared" si="114"/>
        <v>8446.5990413126892</v>
      </c>
      <c r="AE303" s="19">
        <f t="shared" si="115"/>
        <v>36.670633509886891</v>
      </c>
      <c r="AF303">
        <f>IF(G303&lt;=Forudsætninger!$C$97,Forudsætninger!$C$98,(IF(G303&lt;=Forudsætninger!$D$97,Forudsætninger!$D$98,IF(G303&lt;=Forudsætninger!$E$97,Forudsætninger!$E$98,IF(G303&lt;=Forudsætninger!$F$97,Forudsætninger!$F$98,IF(G303&lt;=Forudsætninger!$G$97,Forudsætninger!$G$98,IF(G303&lt;=Forudsætninger!$H$97,Forudsætninger!$H$98,IF(G303&lt;=Forudsætninger!$I$97,Forudsætninger!$I$98,Forudsætninger!$I$98))))))))</f>
        <v>4.4000000000000004</v>
      </c>
      <c r="AG303" s="1">
        <f t="shared" si="125"/>
        <v>4.4000000000000004</v>
      </c>
      <c r="AH303" s="1">
        <f t="shared" si="129"/>
        <v>983.99999999999613</v>
      </c>
      <c r="AI303" s="1">
        <f t="shared" si="116"/>
        <v>3.2691029900332098</v>
      </c>
      <c r="AJ303" s="20">
        <f>+(W303*Forudsætninger!$C$12)</f>
        <v>900</v>
      </c>
      <c r="AK303" s="20">
        <f>Forudsætninger!$C$17</f>
        <v>250</v>
      </c>
      <c r="AL303" s="20">
        <f>IF(A303&lt;92,Forudsætninger!$C$20,Forudsætninger!$C$21)</f>
        <v>1.0566762728146013</v>
      </c>
      <c r="AM303" s="20">
        <f t="shared" si="126"/>
        <v>586.56504097048526</v>
      </c>
      <c r="AN303" s="19">
        <f>IFERROR(AD303+AJ303-AA303-Z303-AK303-AM303-Forudsætninger!$E$75,-999999)</f>
        <v>1733.9232500745941</v>
      </c>
      <c r="AO303" s="19">
        <f>IFERROR(AN303/(A303+Forudsætninger!$E$74),-999999)</f>
        <v>5.7605423590518079</v>
      </c>
      <c r="AP303" s="19">
        <f>IFERROR(((365/(A303+Forudsætninger!$E$74))*AN303)/(AI303+Forudsætninger!$E$73),-999999)</f>
        <v>622.23553625195825</v>
      </c>
      <c r="AQ303" s="18">
        <f t="shared" si="117"/>
        <v>301</v>
      </c>
      <c r="AR303" s="18">
        <f t="shared" si="130"/>
        <v>7421.459029901479</v>
      </c>
      <c r="AS303" s="18">
        <f t="shared" si="109"/>
        <v>11.1</v>
      </c>
      <c r="AT303" s="50">
        <f t="shared" si="131"/>
        <v>-0.18278174964575555</v>
      </c>
      <c r="AU303" s="50">
        <f t="shared" si="132"/>
        <v>-1.9811080362324596E-2</v>
      </c>
      <c r="AV303" s="2">
        <f t="shared" si="133"/>
        <v>-2.8372482788040543</v>
      </c>
      <c r="AW303" s="16">
        <f t="shared" si="127"/>
        <v>7.7092634253989347</v>
      </c>
      <c r="AZ303" s="16"/>
      <c r="BA303" s="2"/>
    </row>
    <row r="304" spans="1:53" x14ac:dyDescent="0.25">
      <c r="A304">
        <v>302</v>
      </c>
      <c r="B304" s="1">
        <f>ROUND((A304+Forudsætninger!$E$60)/30.4,1)</f>
        <v>11.1</v>
      </c>
      <c r="C304" s="1">
        <f>VLOOKUP((A304+Forudsætninger!$E$60),'Model tilvækst, slagteform, fe'!A:D,4,FALSE)</f>
        <v>465.5916666502107</v>
      </c>
      <c r="D304" s="3">
        <f t="shared" si="134"/>
        <v>953.10568002025775</v>
      </c>
      <c r="E304" s="3">
        <f>(1+Forudsætninger!$E$78)*C304</f>
        <v>428.34433331819383</v>
      </c>
      <c r="F304" s="2">
        <f t="shared" si="118"/>
        <v>0</v>
      </c>
      <c r="G304" s="1">
        <f t="shared" si="110"/>
        <v>428.34433331819383</v>
      </c>
      <c r="H304" s="3">
        <f t="shared" si="119"/>
        <v>876.85722561860757</v>
      </c>
      <c r="I304" s="3">
        <f t="shared" si="111"/>
        <v>1193.1931566827611</v>
      </c>
      <c r="J304" s="1">
        <f>VLOOKUP((A304+Forudsætninger!$E$60),'Model tilvækst, slagteform, fe'!G:K,4,FALSE)*(1+Forudsætninger!$E$79)</f>
        <v>53.894349527422847</v>
      </c>
      <c r="K304" s="17">
        <f t="shared" si="112"/>
        <v>230.85339217941655</v>
      </c>
      <c r="L304" s="17">
        <f t="shared" si="120"/>
        <v>516.51951438952892</v>
      </c>
      <c r="M304" s="3">
        <f>((K304-(('Model tilvækst, slagteform, fe'!$J$9/100)*'Model tilvækst, slagteform, fe'!$D$9))*1000/(A304+Forudsætninger!$E$60))</f>
        <v>623.13308888927008</v>
      </c>
      <c r="N304" s="17">
        <f t="shared" si="121"/>
        <v>1724.7764315903253</v>
      </c>
      <c r="O304" s="19">
        <f>IF( A304&lt;Forudsætninger!$C$14,(G304/100)*Forudsætninger!$C$13,(Forudsætninger!$C$15/1000)*Forudsætninger!$C$13)</f>
        <v>2.7842381665682598</v>
      </c>
      <c r="P304" s="17" cm="1">
        <f t="array" ref="P304">INDEX('Model tilvækst, slagteform, fe'!$P$9:$P$375,MATCH(MIN(ABS('Model tilvækst, slagteform, fe'!$M$9:$M$375-G304)),ABS('Model tilvækst, slagteform, fe'!$M$9:$M$375-G304),0))*(1+Forudsætninger!$E$80)</f>
        <v>7.5797928027409149</v>
      </c>
      <c r="Q304" s="17">
        <f t="shared" si="122"/>
        <v>14.674746242064877</v>
      </c>
      <c r="R304" s="17">
        <f t="shared" si="123"/>
        <v>8.7159787646359277</v>
      </c>
      <c r="S304" s="17">
        <f t="shared" si="124"/>
        <v>4.7864674760052379</v>
      </c>
      <c r="T304" s="19">
        <f>(P304)*IF(N304&lt;Forudsætninger!$B$228,IF(N304&lt;Forudsætninger!$B$227,Forudsætninger!$B$225,Forudsætninger!$C$9),Forudsætninger!$C$11)+O304</f>
        <v>20.520953324982003</v>
      </c>
      <c r="U304" s="5">
        <f>Forudsætninger!$E$68+((K304-(Forudsætninger!$E$84)))*0.01</f>
        <v>7.0250976313658349</v>
      </c>
      <c r="V304" s="2">
        <f>U304+Forudsætninger!$E$69</f>
        <v>7.0250976313658349</v>
      </c>
      <c r="W304">
        <f t="shared" si="113"/>
        <v>1</v>
      </c>
      <c r="X304">
        <f>IF(A304+Forudsætninger!$E$60&gt;248,IF(A304+Forudsætninger!$E$60&lt;365,IF(K304&gt;180,IF(K304&lt;260,1,0),0),0),0)</f>
        <v>1</v>
      </c>
      <c r="Y304" s="22">
        <f>IF(X304=0,0,IF('Vækstfunktion, kry kvie'!A304&lt;Forudsætninger!$E$66,Forudsætninger!$E$67+(('Vækstfunktion, kry kvie'!A304-Forudsætninger!$E$66)/7)*Forudsætninger!$E$64,Forudsætninger!$E$67))</f>
        <v>0.98</v>
      </c>
      <c r="Z304" s="19">
        <f t="shared" si="128"/>
        <v>5030.4149422559758</v>
      </c>
      <c r="AA304" s="19">
        <f>Forudsætninger!$E$62+Forudsætninger!$C$16</f>
        <v>1575</v>
      </c>
      <c r="AB304" s="19">
        <f>IF(K304&gt;Forudsætninger!$C$48,IF(K304&gt;Forudsætninger!$C$49,IF(K304&gt;Forudsætninger!$C$50,Forudsætninger!$E$50,Forudsætninger!$E$49+Forudsætninger!$F$50*(K304-Forudsætninger!$C$49)),Forudsætninger!$E$48+Forudsætninger!$F$49*(K304-Forudsætninger!$C$48)),Forudsætninger!$E$48)+IF(K304&gt;Forudsætninger!$C$50,Forudsætninger!$G$50,IF(K304&gt;Forudsætninger!$C$49,Forudsætninger!$G$49+Forudsætninger!$H$50*(K304-Forudsætninger!$C$49),IF(K304&gt;Forudsætninger!$C$48,Forudsætninger!$G$48+Forudsætninger!$H$49*(K304-Forudsætninger!$C$48),Forudsætninger!$G$48)))*(U304-Forudsætninger!$H$48)</f>
        <v>36.793510866500647</v>
      </c>
      <c r="AC304" s="19">
        <f>IF(K304&gt;Forudsætninger!$C$52,IF(K304&gt;Forudsætninger!$C$53,IF(K304&gt;Forudsætninger!$C$54,Forudsætninger!$E$54,Forudsætninger!$E$53+Forudsætninger!$F$54*(K304-Forudsætninger!$C$53)),Forudsætninger!$E$52+Forudsætninger!$F$53*(K304-Forudsætninger!$C$52)),Forudsætninger!$E$52)+IF(K304&gt;Forudsætninger!$C$54,Forudsætninger!$G$54,IF(K304&gt;Forudsætninger!$C$53,Forudsætninger!$G$53+Forudsætninger!$H$54*(K304-Forudsætninger!$C$53),IF(K304&gt;Forudsætninger!$C$52,Forudsætninger!$G$52+Forudsætninger!$H$53*(K304-Forudsætninger!$C$52),Forudsætninger!$G$52)))*(V304-Forudsætninger!$H$52)</f>
        <v>31.163140409203564</v>
      </c>
      <c r="AD304" s="19">
        <f t="shared" si="114"/>
        <v>8467.9109913360226</v>
      </c>
      <c r="AE304" s="19">
        <f t="shared" si="115"/>
        <v>36.680903457354709</v>
      </c>
      <c r="AF304">
        <f>IF(G304&lt;=Forudsætninger!$C$97,Forudsætninger!$C$98,(IF(G304&lt;=Forudsætninger!$D$97,Forudsætninger!$D$98,IF(G304&lt;=Forudsætninger!$E$97,Forudsætninger!$E$98,IF(G304&lt;=Forudsætninger!$F$97,Forudsætninger!$F$98,IF(G304&lt;=Forudsætninger!$G$97,Forudsætninger!$G$98,IF(G304&lt;=Forudsætninger!$H$97,Forudsætninger!$H$98,IF(G304&lt;=Forudsætninger!$I$97,Forudsætninger!$I$98,Forudsætninger!$I$98))))))))</f>
        <v>4.4000000000000004</v>
      </c>
      <c r="AG304" s="1">
        <f t="shared" si="125"/>
        <v>4.4000000000000004</v>
      </c>
      <c r="AH304" s="1">
        <f t="shared" si="129"/>
        <v>988.39999999999611</v>
      </c>
      <c r="AI304" s="1">
        <f t="shared" si="116"/>
        <v>3.2728476821191923</v>
      </c>
      <c r="AJ304" s="20">
        <f>+(W304*Forudsætninger!$C$12)</f>
        <v>900</v>
      </c>
      <c r="AK304" s="20">
        <f>Forudsætninger!$C$17</f>
        <v>250</v>
      </c>
      <c r="AL304" s="20">
        <f>IF(A304&lt;92,Forudsætninger!$C$20,Forudsætninger!$C$21)</f>
        <v>1.0566762728146013</v>
      </c>
      <c r="AM304" s="20">
        <f t="shared" si="126"/>
        <v>587.62171724329983</v>
      </c>
      <c r="AN304" s="19">
        <f>IFERROR(AD304+AJ304-AA304-Z304-AK304-AM304-Forudsætninger!$E$75,-999999)</f>
        <v>1733.6575705001312</v>
      </c>
      <c r="AO304" s="19">
        <f>IFERROR(AN304/(A304+Forudsætninger!$E$74),-999999)</f>
        <v>5.7405879817885141</v>
      </c>
      <c r="AP304" s="19">
        <f>IFERROR(((365/(A304+Forudsætninger!$E$74))*AN304)/(AI304+Forudsætninger!$E$73),-999999)</f>
        <v>619.39372098485774</v>
      </c>
      <c r="AQ304" s="18">
        <f t="shared" si="117"/>
        <v>302</v>
      </c>
      <c r="AR304" s="18">
        <f t="shared" si="130"/>
        <v>7443.0366594992756</v>
      </c>
      <c r="AS304" s="18">
        <f t="shared" si="109"/>
        <v>11.1</v>
      </c>
      <c r="AT304" s="50">
        <f t="shared" si="131"/>
        <v>-0.26567957446286528</v>
      </c>
      <c r="AU304" s="50">
        <f t="shared" si="132"/>
        <v>-1.9954377263293743E-2</v>
      </c>
      <c r="AV304" s="2">
        <f t="shared" si="133"/>
        <v>-2.8418152671005146</v>
      </c>
      <c r="AW304" s="16">
        <f t="shared" si="127"/>
        <v>7.6863552574285805</v>
      </c>
      <c r="AZ304" s="16"/>
      <c r="BA304" s="2"/>
    </row>
    <row r="305" spans="1:53" x14ac:dyDescent="0.25">
      <c r="A305">
        <v>303</v>
      </c>
      <c r="B305" s="1">
        <f>ROUND((A305+Forudsætninger!$E$60)/30.4,1)</f>
        <v>11.2</v>
      </c>
      <c r="C305" s="1">
        <f>VLOOKUP((A305+Forudsætninger!$E$60),'Model tilvækst, slagteform, fe'!A:D,4,FALSE)</f>
        <v>466.54057174702365</v>
      </c>
      <c r="D305" s="3">
        <f t="shared" si="134"/>
        <v>948.90509681295043</v>
      </c>
      <c r="E305" s="3">
        <f>(1+Forudsætninger!$E$78)*C305</f>
        <v>429.21732600726176</v>
      </c>
      <c r="F305" s="2">
        <f t="shared" si="118"/>
        <v>0</v>
      </c>
      <c r="G305" s="1">
        <f t="shared" si="110"/>
        <v>429.21732600726176</v>
      </c>
      <c r="H305" s="3">
        <f t="shared" si="119"/>
        <v>872.99268906792804</v>
      </c>
      <c r="I305" s="3">
        <f t="shared" si="111"/>
        <v>1192.1363894629101</v>
      </c>
      <c r="J305" s="1">
        <f>VLOOKUP((A305+Forudsætninger!$E$60),'Model tilvækst, slagteform, fe'!G:K,4,FALSE)*(1+Forudsætninger!$E$79)</f>
        <v>53.904635964469904</v>
      </c>
      <c r="K305" s="17">
        <f t="shared" si="112"/>
        <v>231.36803708064647</v>
      </c>
      <c r="L305" s="17">
        <f t="shared" si="120"/>
        <v>514.64490122992856</v>
      </c>
      <c r="M305" s="3">
        <f>((K305-(('Model tilvækst, slagteform, fe'!$J$9/100)*'Model tilvækst, slagteform, fe'!$D$9))*1000/(A305+Forudsætninger!$E$60))</f>
        <v>622.81306473688267</v>
      </c>
      <c r="N305" s="17">
        <f t="shared" si="121"/>
        <v>1732.3605715557867</v>
      </c>
      <c r="O305" s="19">
        <f>IF( A305&lt;Forudsætninger!$C$14,(G305/100)*Forudsætninger!$C$13,(Forudsætninger!$C$15/1000)*Forudsætninger!$C$13)</f>
        <v>2.7899126190472017</v>
      </c>
      <c r="P305" s="17" cm="1">
        <f t="array" ref="P305">INDEX('Model tilvækst, slagteform, fe'!$P$9:$P$375,MATCH(MIN(ABS('Model tilvækst, slagteform, fe'!$M$9:$M$375-G305)),ABS('Model tilvækst, slagteform, fe'!$M$9:$M$375-G305),0))*(1+Forudsætninger!$E$80)</f>
        <v>7.5841399654613602</v>
      </c>
      <c r="Q305" s="17">
        <f t="shared" si="122"/>
        <v>14.736646466984007</v>
      </c>
      <c r="R305" s="17">
        <f t="shared" si="123"/>
        <v>8.7315961267862843</v>
      </c>
      <c r="S305" s="17">
        <f t="shared" si="124"/>
        <v>4.7958955643256163</v>
      </c>
      <c r="T305" s="19">
        <f>(P305)*IF(N305&lt;Forudsætninger!$B$228,IF(N305&lt;Forudsætninger!$B$227,Forudsætninger!$B$225,Forudsætninger!$C$9),Forudsætninger!$C$11)+O305</f>
        <v>20.536800138226781</v>
      </c>
      <c r="U305" s="5">
        <f>Forudsætninger!$E$68+((K305-(Forudsætninger!$E$84)))*0.01</f>
        <v>7.0302440803781341</v>
      </c>
      <c r="V305" s="2">
        <f>U305+Forudsætninger!$E$69</f>
        <v>7.0302440803781341</v>
      </c>
      <c r="W305">
        <f t="shared" si="113"/>
        <v>1</v>
      </c>
      <c r="X305">
        <f>IF(A305+Forudsætninger!$E$60&gt;248,IF(A305+Forudsætninger!$E$60&lt;365,IF(K305&gt;180,IF(K305&lt;260,1,0),0),0),0)</f>
        <v>1</v>
      </c>
      <c r="Y305" s="22">
        <f>IF(X305=0,0,IF('Vækstfunktion, kry kvie'!A305&lt;Forudsætninger!$E$66,Forudsætninger!$E$67+(('Vækstfunktion, kry kvie'!A305-Forudsætninger!$E$66)/7)*Forudsætninger!$E$64,Forudsætninger!$E$67))</f>
        <v>0.98</v>
      </c>
      <c r="Z305" s="19">
        <f t="shared" si="128"/>
        <v>5050.9517423942025</v>
      </c>
      <c r="AA305" s="19">
        <f>Forudsætninger!$E$62+Forudsætninger!$C$16</f>
        <v>1575</v>
      </c>
      <c r="AB305" s="19">
        <f>IF(K305&gt;Forudsætninger!$C$48,IF(K305&gt;Forudsætninger!$C$49,IF(K305&gt;Forudsætninger!$C$50,Forudsætninger!$E$50,Forudsætninger!$E$49+Forudsætninger!$F$50*(K305-Forudsætninger!$C$49)),Forudsætninger!$E$48+Forudsætninger!$F$49*(K305-Forudsætninger!$C$48)),Forudsætninger!$E$48)+IF(K305&gt;Forudsætninger!$C$50,Forudsætninger!$G$50,IF(K305&gt;Forudsætninger!$C$49,Forudsætninger!$G$49+Forudsætninger!$H$50*(K305-Forudsætninger!$C$49),IF(K305&gt;Forudsætninger!$C$48,Forudsætninger!$G$48+Forudsætninger!$H$49*(K305-Forudsætninger!$C$48),Forudsætninger!$G$48)))*(U305-Forudsætninger!$H$48)</f>
        <v>36.803675103299938</v>
      </c>
      <c r="AC305" s="19">
        <f>IF(K305&gt;Forudsætninger!$C$52,IF(K305&gt;Forudsætninger!$C$53,IF(K305&gt;Forudsætninger!$C$54,Forudsætninger!$E$54,Forudsætninger!$E$53+Forudsætninger!$F$54*(K305-Forudsætninger!$C$53)),Forudsætninger!$E$52+Forudsætninger!$F$53*(K305-Forudsætninger!$C$52)),Forudsætninger!$E$52)+IF(K305&gt;Forudsætninger!$C$54,Forudsætninger!$G$54,IF(K305&gt;Forudsætninger!$C$53,Forudsætninger!$G$53+Forudsætninger!$H$54*(K305-Forudsætninger!$C$53),IF(K305&gt;Forudsætninger!$C$52,Forudsætninger!$G$52+Forudsætninger!$H$53*(K305-Forudsætninger!$C$52),Forudsætninger!$G$52)))*(V305-Forudsætninger!$H$52)</f>
        <v>31.176715478671319</v>
      </c>
      <c r="AD305" s="19">
        <f t="shared" si="114"/>
        <v>8489.1560939427181</v>
      </c>
      <c r="AE305" s="19">
        <f t="shared" si="115"/>
        <v>36.691135910807368</v>
      </c>
      <c r="AF305">
        <f>IF(G305&lt;=Forudsætninger!$C$97,Forudsætninger!$C$98,(IF(G305&lt;=Forudsætninger!$D$97,Forudsætninger!$D$98,IF(G305&lt;=Forudsætninger!$E$97,Forudsætninger!$E$98,IF(G305&lt;=Forudsætninger!$F$97,Forudsætninger!$F$98,IF(G305&lt;=Forudsætninger!$G$97,Forudsætninger!$G$98,IF(G305&lt;=Forudsætninger!$H$97,Forudsætninger!$H$98,IF(G305&lt;=Forudsætninger!$I$97,Forudsætninger!$I$98,Forudsætninger!$I$98))))))))</f>
        <v>4.4000000000000004</v>
      </c>
      <c r="AG305" s="1">
        <f t="shared" si="125"/>
        <v>4.4000000000000004</v>
      </c>
      <c r="AH305" s="1">
        <f t="shared" si="129"/>
        <v>992.79999999999609</v>
      </c>
      <c r="AI305" s="1">
        <f t="shared" si="116"/>
        <v>3.2765676567656636</v>
      </c>
      <c r="AJ305" s="20">
        <f>+(W305*Forudsætninger!$C$12)</f>
        <v>900</v>
      </c>
      <c r="AK305" s="20">
        <f>Forudsætninger!$C$17</f>
        <v>250</v>
      </c>
      <c r="AL305" s="20">
        <f>IF(A305&lt;92,Forudsætninger!$C$20,Forudsætninger!$C$21)</f>
        <v>1.0566762728146013</v>
      </c>
      <c r="AM305" s="20">
        <f t="shared" si="126"/>
        <v>588.6783935161144</v>
      </c>
      <c r="AN305" s="19">
        <f>IFERROR(AD305+AJ305-AA305-Z305-AK305-AM305-Forudsætninger!$E$75,-999999)</f>
        <v>1733.3091966957857</v>
      </c>
      <c r="AO305" s="19">
        <f>IFERROR(AN305/(A305+Forudsætninger!$E$74),-999999)</f>
        <v>5.7204923983359262</v>
      </c>
      <c r="AP305" s="19">
        <f>IFERROR(((365/(A305+Forudsætninger!$E$74))*AN305)/(AI305+Forudsætninger!$E$73),-999999)</f>
        <v>616.54747136714082</v>
      </c>
      <c r="AQ305" s="18">
        <f t="shared" si="117"/>
        <v>303</v>
      </c>
      <c r="AR305" s="18">
        <f t="shared" si="130"/>
        <v>7464.6301359103172</v>
      </c>
      <c r="AS305" s="18">
        <f t="shared" si="109"/>
        <v>11.2</v>
      </c>
      <c r="AT305" s="50">
        <f t="shared" si="131"/>
        <v>-0.34837380434555598</v>
      </c>
      <c r="AU305" s="50">
        <f t="shared" si="132"/>
        <v>-2.0095583452587995E-2</v>
      </c>
      <c r="AV305" s="2">
        <f t="shared" si="133"/>
        <v>-2.8462496177169214</v>
      </c>
      <c r="AW305" s="16">
        <f t="shared" si="127"/>
        <v>7.6633253802372945</v>
      </c>
      <c r="AZ305" s="16"/>
      <c r="BA305" s="2"/>
    </row>
    <row r="306" spans="1:53" x14ac:dyDescent="0.25">
      <c r="A306">
        <v>304</v>
      </c>
      <c r="B306" s="1">
        <f>ROUND((A306+Forudsætninger!$E$60)/30.4,1)</f>
        <v>11.2</v>
      </c>
      <c r="C306" s="1">
        <f>VLOOKUP((A306+Forudsætninger!$E$60),'Model tilvækst, slagteform, fe'!A:D,4,FALSE)</f>
        <v>467.48530426760607</v>
      </c>
      <c r="D306" s="3">
        <f t="shared" si="134"/>
        <v>944.73252058241997</v>
      </c>
      <c r="E306" s="3">
        <f>(1+Forudsætninger!$E$78)*C306</f>
        <v>430.08647992619763</v>
      </c>
      <c r="F306" s="2">
        <f t="shared" si="118"/>
        <v>0</v>
      </c>
      <c r="G306" s="1">
        <f t="shared" si="110"/>
        <v>430.08647992619763</v>
      </c>
      <c r="H306" s="3">
        <f t="shared" si="119"/>
        <v>869.15391893586502</v>
      </c>
      <c r="I306" s="3">
        <f t="shared" si="111"/>
        <v>1191.07394712565</v>
      </c>
      <c r="J306" s="1">
        <f>VLOOKUP((A306+Forudsætninger!$E$60),'Model tilvækst, slagteform, fe'!G:K,4,FALSE)*(1+Forudsætninger!$E$79)</f>
        <v>53.914928753082904</v>
      </c>
      <c r="K306" s="17">
        <f t="shared" si="112"/>
        <v>231.88081922885164</v>
      </c>
      <c r="L306" s="17">
        <f t="shared" si="120"/>
        <v>512.78214820516155</v>
      </c>
      <c r="M306" s="3">
        <f>((K306-(('Model tilvækst, slagteform, fe'!$J$9/100)*'Model tilvækst, slagteform, fe'!$D$9))*1000/(A306+Forudsætninger!$E$60))</f>
        <v>622.48944439414231</v>
      </c>
      <c r="N306" s="17">
        <f t="shared" si="121"/>
        <v>1739.9447115212481</v>
      </c>
      <c r="O306" s="19">
        <f>IF( A306&lt;Forudsætninger!$C$14,(G306/100)*Forudsætninger!$C$13,(Forudsætninger!$C$15/1000)*Forudsætninger!$C$13)</f>
        <v>2.7955621195202847</v>
      </c>
      <c r="P306" s="17" cm="1">
        <f t="array" ref="P306">INDEX('Model tilvækst, slagteform, fe'!$P$9:$P$375,MATCH(MIN(ABS('Model tilvækst, slagteform, fe'!$M$9:$M$375-G306)),ABS('Model tilvækst, slagteform, fe'!$M$9:$M$375-G306),0))*(1+Forudsætninger!$E$80)</f>
        <v>7.5841399654613602</v>
      </c>
      <c r="Q306" s="17">
        <f t="shared" si="122"/>
        <v>14.790179400759841</v>
      </c>
      <c r="R306" s="17">
        <f t="shared" si="123"/>
        <v>8.7472145904509766</v>
      </c>
      <c r="S306" s="17">
        <f t="shared" si="124"/>
        <v>4.8053291353929941</v>
      </c>
      <c r="T306" s="19">
        <f>(P306)*IF(N306&lt;Forudsætninger!$B$228,IF(N306&lt;Forudsætninger!$B$227,Forudsætninger!$B$225,Forudsætninger!$C$9),Forudsætninger!$C$11)+O306</f>
        <v>20.542449638699864</v>
      </c>
      <c r="U306" s="5">
        <f>Forudsætninger!$E$68+((K306-(Forudsætninger!$E$84)))*0.01</f>
        <v>7.0353719018601852</v>
      </c>
      <c r="V306" s="2">
        <f>U306+Forudsætninger!$E$69</f>
        <v>7.0353719018601852</v>
      </c>
      <c r="W306">
        <f t="shared" si="113"/>
        <v>1</v>
      </c>
      <c r="X306">
        <f>IF(A306+Forudsætninger!$E$60&gt;248,IF(A306+Forudsætninger!$E$60&lt;365,IF(K306&gt;180,IF(K306&lt;260,1,0),0),0),0)</f>
        <v>1</v>
      </c>
      <c r="Y306" s="22">
        <f>IF(X306=0,0,IF('Vækstfunktion, kry kvie'!A306&lt;Forudsætninger!$E$66,Forudsætninger!$E$67+(('Vækstfunktion, kry kvie'!A306-Forudsætninger!$E$66)/7)*Forudsætninger!$E$64,Forudsætninger!$E$67))</f>
        <v>0.98</v>
      </c>
      <c r="Z306" s="19">
        <f t="shared" si="128"/>
        <v>5071.494192032902</v>
      </c>
      <c r="AA306" s="19">
        <f>Forudsætninger!$E$62+Forudsætninger!$C$16</f>
        <v>1575</v>
      </c>
      <c r="AB306" s="19">
        <f>IF(K306&gt;Forudsætninger!$C$48,IF(K306&gt;Forudsætninger!$C$49,IF(K306&gt;Forudsætninger!$C$50,Forudsætninger!$E$50,Forudsætninger!$E$49+Forudsætninger!$F$50*(K306-Forudsætninger!$C$49)),Forudsætninger!$E$48+Forudsætninger!$F$49*(K306-Forudsætninger!$C$48)),Forudsætninger!$E$48)+IF(K306&gt;Forudsætninger!$C$50,Forudsætninger!$G$50,IF(K306&gt;Forudsætninger!$C$49,Forudsætninger!$G$49+Forudsætninger!$H$50*(K306-Forudsætninger!$C$49),IF(K306&gt;Forudsætninger!$C$48,Forudsætninger!$G$48+Forudsætninger!$H$49*(K306-Forudsætninger!$C$48),Forudsætninger!$G$48)))*(U306-Forudsætninger!$H$48)</f>
        <v>36.81380255072699</v>
      </c>
      <c r="AC306" s="19">
        <f>IF(K306&gt;Forudsætninger!$C$52,IF(K306&gt;Forudsætninger!$C$53,IF(K306&gt;Forudsætninger!$C$54,Forudsætninger!$E$54,Forudsætninger!$E$53+Forudsætninger!$F$54*(K306-Forudsætninger!$C$53)),Forudsætninger!$E$52+Forudsætninger!$F$53*(K306-Forudsætninger!$C$52)),Forudsætninger!$E$52)+IF(K306&gt;Forudsætninger!$C$54,Forudsætninger!$G$54,IF(K306&gt;Forudsætninger!$C$53,Forudsætninger!$G$53+Forudsætninger!$H$54*(K306-Forudsætninger!$C$53),IF(K306&gt;Forudsætninger!$C$52,Forudsætninger!$G$52+Forudsætninger!$H$53*(K306-Forudsætninger!$C$52),Forudsætninger!$G$52)))*(V306-Forudsætninger!$H$52)</f>
        <v>31.190230437322263</v>
      </c>
      <c r="AD306" s="19">
        <f t="shared" si="114"/>
        <v>8510.3347242187865</v>
      </c>
      <c r="AE306" s="19">
        <f t="shared" si="115"/>
        <v>36.701331108458895</v>
      </c>
      <c r="AF306">
        <f>IF(G306&lt;=Forudsætninger!$C$97,Forudsætninger!$C$98,(IF(G306&lt;=Forudsætninger!$D$97,Forudsætninger!$D$98,IF(G306&lt;=Forudsætninger!$E$97,Forudsætninger!$E$98,IF(G306&lt;=Forudsætninger!$F$97,Forudsætninger!$F$98,IF(G306&lt;=Forudsætninger!$G$97,Forudsætninger!$G$98,IF(G306&lt;=Forudsætninger!$H$97,Forudsætninger!$H$98,IF(G306&lt;=Forudsætninger!$I$97,Forudsætninger!$I$98,Forudsætninger!$I$98))))))))</f>
        <v>4.4000000000000004</v>
      </c>
      <c r="AG306" s="1">
        <f t="shared" si="125"/>
        <v>4.4000000000000004</v>
      </c>
      <c r="AH306" s="1">
        <f t="shared" si="129"/>
        <v>997.19999999999607</v>
      </c>
      <c r="AI306" s="1">
        <f t="shared" si="116"/>
        <v>3.2802631578947241</v>
      </c>
      <c r="AJ306" s="20">
        <f>+(W306*Forudsætninger!$C$12)</f>
        <v>900</v>
      </c>
      <c r="AK306" s="20">
        <f>Forudsætninger!$C$17</f>
        <v>250</v>
      </c>
      <c r="AL306" s="20">
        <f>IF(A306&lt;92,Forudsætninger!$C$20,Forudsætninger!$C$21)</f>
        <v>1.0566762728146013</v>
      </c>
      <c r="AM306" s="20">
        <f t="shared" si="126"/>
        <v>589.73506978892897</v>
      </c>
      <c r="AN306" s="19">
        <f>IFERROR(AD306+AJ306-AA306-Z306-AK306-AM306-Forudsætninger!$E$75,-999999)</f>
        <v>1732.8887010603398</v>
      </c>
      <c r="AO306" s="19">
        <f>IFERROR(AN306/(A306+Forudsætninger!$E$74),-999999)</f>
        <v>5.7002917798037496</v>
      </c>
      <c r="AP306" s="19">
        <f>IFERROR(((365/(A306+Forudsætninger!$E$74))*AN306)/(AI306+Forudsætninger!$E$73),-999999)</f>
        <v>613.70058981509203</v>
      </c>
      <c r="AQ306" s="18">
        <f t="shared" si="117"/>
        <v>304</v>
      </c>
      <c r="AR306" s="18">
        <f t="shared" si="130"/>
        <v>7486.2292618218307</v>
      </c>
      <c r="AS306" s="18">
        <f t="shared" si="109"/>
        <v>11.2</v>
      </c>
      <c r="AT306" s="50">
        <f t="shared" si="131"/>
        <v>-0.42049563544583179</v>
      </c>
      <c r="AU306" s="50">
        <f t="shared" si="132"/>
        <v>-2.0200618532176584E-2</v>
      </c>
      <c r="AV306" s="2">
        <f t="shared" si="133"/>
        <v>-2.8468815520487851</v>
      </c>
      <c r="AW306" s="16">
        <f t="shared" si="127"/>
        <v>7.6402097725304898</v>
      </c>
      <c r="AZ306" s="16"/>
      <c r="BA306" s="2"/>
    </row>
    <row r="307" spans="1:53" x14ac:dyDescent="0.25">
      <c r="A307">
        <v>305</v>
      </c>
      <c r="B307" s="1">
        <f>ROUND((A307+Forudsætninger!$E$60)/30.4,1)</f>
        <v>11.2</v>
      </c>
      <c r="C307" s="1">
        <f>VLOOKUP((A307+Forudsætninger!$E$60),'Model tilvækst, slagteform, fe'!A:D,4,FALSE)</f>
        <v>468.42589280395646</v>
      </c>
      <c r="D307" s="3">
        <f t="shared" si="134"/>
        <v>940.58853635038986</v>
      </c>
      <c r="E307" s="3">
        <f>(1+Forudsætninger!$E$78)*C307</f>
        <v>430.95182137963997</v>
      </c>
      <c r="F307" s="2">
        <f t="shared" si="118"/>
        <v>0</v>
      </c>
      <c r="G307" s="1">
        <f t="shared" si="110"/>
        <v>430.95182137963997</v>
      </c>
      <c r="H307" s="3">
        <f t="shared" si="119"/>
        <v>865.34145344234048</v>
      </c>
      <c r="I307" s="3">
        <f t="shared" si="111"/>
        <v>1190.0059717365245</v>
      </c>
      <c r="J307" s="1">
        <f>VLOOKUP((A307+Forudsætninger!$E$60),'Model tilvækst, slagteform, fe'!G:K,4,FALSE)*(1+Forudsætninger!$E$79)</f>
        <v>53.925227658018677</v>
      </c>
      <c r="K307" s="17">
        <f t="shared" si="112"/>
        <v>232.39175077534887</v>
      </c>
      <c r="L307" s="17">
        <f t="shared" si="120"/>
        <v>510.9315464972326</v>
      </c>
      <c r="M307" s="3">
        <f>((K307-(('Model tilvækst, slagteform, fe'!$J$9/100)*'Model tilvækst, slagteform, fe'!$D$9))*1000/(A307+Forudsætninger!$E$60))</f>
        <v>622.16229513344751</v>
      </c>
      <c r="N307" s="17">
        <f t="shared" si="121"/>
        <v>1747.5332748915644</v>
      </c>
      <c r="O307" s="19">
        <f>IF( A307&lt;Forudsætninger!$C$14,(G307/100)*Forudsætninger!$C$13,(Forudsætninger!$C$15/1000)*Forudsætninger!$C$13)</f>
        <v>2.8011868389676602</v>
      </c>
      <c r="P307" s="17" cm="1">
        <f t="array" ref="P307">INDEX('Model tilvækst, slagteform, fe'!$P$9:$P$375,MATCH(MIN(ABS('Model tilvækst, slagteform, fe'!$M$9:$M$375-G307)),ABS('Model tilvækst, slagteform, fe'!$M$9:$M$375-G307),0))*(1+Forudsætninger!$E$80)</f>
        <v>7.5885633703162956</v>
      </c>
      <c r="Q307" s="17">
        <f t="shared" si="122"/>
        <v>14.852407181237533</v>
      </c>
      <c r="R307" s="17">
        <f t="shared" si="123"/>
        <v>8.7628562316420417</v>
      </c>
      <c r="S307" s="17">
        <f t="shared" si="124"/>
        <v>4.8147802875017982</v>
      </c>
      <c r="T307" s="19">
        <f>(P307)*IF(N307&lt;Forudsætninger!$B$228,IF(N307&lt;Forudsætninger!$B$227,Forudsætninger!$B$225,Forudsætninger!$C$9),Forudsætninger!$C$11)+O307</f>
        <v>20.558425125507789</v>
      </c>
      <c r="U307" s="5">
        <f>Forudsætninger!$E$68+((K307-(Forudsætninger!$E$84)))*0.01</f>
        <v>7.0404812173251576</v>
      </c>
      <c r="V307" s="2">
        <f>U307+Forudsætninger!$E$69</f>
        <v>7.0404812173251576</v>
      </c>
      <c r="W307">
        <f t="shared" si="113"/>
        <v>1</v>
      </c>
      <c r="X307">
        <f>IF(A307+Forudsætninger!$E$60&gt;248,IF(A307+Forudsætninger!$E$60&lt;365,IF(K307&gt;180,IF(K307&lt;260,1,0),0),0),0)</f>
        <v>1</v>
      </c>
      <c r="Y307" s="22">
        <f>IF(X307=0,0,IF('Vækstfunktion, kry kvie'!A307&lt;Forudsætninger!$E$66,Forudsætninger!$E$67+(('Vækstfunktion, kry kvie'!A307-Forudsætninger!$E$66)/7)*Forudsætninger!$E$64,Forudsætninger!$E$67))</f>
        <v>0.98</v>
      </c>
      <c r="Z307" s="19">
        <f t="shared" si="128"/>
        <v>5092.0526171584097</v>
      </c>
      <c r="AA307" s="19">
        <f>Forudsætninger!$E$62+Forudsætninger!$C$16</f>
        <v>1575</v>
      </c>
      <c r="AB307" s="19">
        <f>IF(K307&gt;Forudsætninger!$C$48,IF(K307&gt;Forudsætninger!$C$49,IF(K307&gt;Forudsætninger!$C$50,Forudsætninger!$E$50,Forudsætninger!$E$49+Forudsætninger!$F$50*(K307-Forudsætninger!$C$49)),Forudsætninger!$E$48+Forudsætninger!$F$49*(K307-Forudsætninger!$C$48)),Forudsætninger!$E$48)+IF(K307&gt;Forudsætninger!$C$50,Forudsætninger!$G$50,IF(K307&gt;Forudsætninger!$C$49,Forudsætninger!$G$49+Forudsætninger!$H$50*(K307-Forudsætninger!$C$49),IF(K307&gt;Forudsætninger!$C$48,Forudsætninger!$G$48+Forudsætninger!$H$49*(K307-Forudsætninger!$C$48),Forudsætninger!$G$48)))*(U307-Forudsætninger!$H$48)</f>
        <v>36.823893448770306</v>
      </c>
      <c r="AC307" s="19">
        <f>IF(K307&gt;Forudsætninger!$C$52,IF(K307&gt;Forudsætninger!$C$53,IF(K307&gt;Forudsætninger!$C$54,Forudsætninger!$E$54,Forudsætninger!$E$53+Forudsætninger!$F$54*(K307-Forudsætninger!$C$53)),Forudsætninger!$E$52+Forudsætninger!$F$53*(K307-Forudsætninger!$C$52)),Forudsætninger!$E$52)+IF(K307&gt;Forudsætninger!$C$54,Forudsætninger!$G$54,IF(K307&gt;Forudsætninger!$C$53,Forudsætninger!$G$53+Forudsætninger!$H$54*(K307-Forudsætninger!$C$53),IF(K307&gt;Forudsætninger!$C$52,Forudsætninger!$G$52+Forudsætninger!$H$53*(K307-Forudsætninger!$C$52),Forudsætninger!$G$52)))*(V307-Forudsætninger!$H$52)</f>
        <v>31.203685724428038</v>
      </c>
      <c r="AD307" s="19">
        <f t="shared" si="114"/>
        <v>8531.4472706690103</v>
      </c>
      <c r="AE307" s="19">
        <f t="shared" si="115"/>
        <v>36.71148929428346</v>
      </c>
      <c r="AF307">
        <f>IF(G307&lt;=Forudsætninger!$C$97,Forudsætninger!$C$98,(IF(G307&lt;=Forudsætninger!$D$97,Forudsætninger!$D$98,IF(G307&lt;=Forudsætninger!$E$97,Forudsætninger!$E$98,IF(G307&lt;=Forudsætninger!$F$97,Forudsætninger!$F$98,IF(G307&lt;=Forudsætninger!$G$97,Forudsætninger!$G$98,IF(G307&lt;=Forudsætninger!$H$97,Forudsætninger!$H$98,IF(G307&lt;=Forudsætninger!$I$97,Forudsætninger!$I$98,Forudsætninger!$I$98))))))))</f>
        <v>4.4000000000000004</v>
      </c>
      <c r="AG307" s="1">
        <f t="shared" si="125"/>
        <v>4.4000000000000004</v>
      </c>
      <c r="AH307" s="1">
        <f t="shared" si="129"/>
        <v>1001.599999999996</v>
      </c>
      <c r="AI307" s="1">
        <f t="shared" si="116"/>
        <v>3.2839344262294952</v>
      </c>
      <c r="AJ307" s="20">
        <f>+(W307*Forudsætninger!$C$12)</f>
        <v>900</v>
      </c>
      <c r="AK307" s="20">
        <f>Forudsætninger!$C$17</f>
        <v>250</v>
      </c>
      <c r="AL307" s="20">
        <f>IF(A307&lt;92,Forudsætninger!$C$20,Forudsætninger!$C$21)</f>
        <v>1.0566762728146013</v>
      </c>
      <c r="AM307" s="20">
        <f t="shared" si="126"/>
        <v>590.79174606174354</v>
      </c>
      <c r="AN307" s="19">
        <f>IFERROR(AD307+AJ307-AA307-Z307-AK307-AM307-Forudsætninger!$E$75,-999999)</f>
        <v>1732.3861461122412</v>
      </c>
      <c r="AO307" s="19">
        <f>IFERROR(AN307/(A307+Forudsætninger!$E$74),-999999)</f>
        <v>5.6799545774171847</v>
      </c>
      <c r="AP307" s="19">
        <f>IFERROR(((365/(A307+Forudsætninger!$E$74))*AN307)/(AI307+Forudsætninger!$E$73),-999999)</f>
        <v>610.8495805738014</v>
      </c>
      <c r="AQ307" s="18">
        <f t="shared" si="117"/>
        <v>305</v>
      </c>
      <c r="AR307" s="18">
        <f t="shared" si="130"/>
        <v>7507.8443632201534</v>
      </c>
      <c r="AS307" s="18">
        <f t="shared" si="109"/>
        <v>11.2</v>
      </c>
      <c r="AT307" s="50">
        <f t="shared" si="131"/>
        <v>-0.50255494809857737</v>
      </c>
      <c r="AU307" s="50">
        <f t="shared" si="132"/>
        <v>-2.033720238656489E-2</v>
      </c>
      <c r="AV307" s="2">
        <f t="shared" si="133"/>
        <v>-2.8510092412906261</v>
      </c>
      <c r="AW307" s="16">
        <f t="shared" si="127"/>
        <v>7.6169766956524088</v>
      </c>
      <c r="AZ307" s="16"/>
      <c r="BA307" s="2"/>
    </row>
    <row r="308" spans="1:53" x14ac:dyDescent="0.25">
      <c r="A308">
        <v>306</v>
      </c>
      <c r="B308" s="1">
        <f>ROUND((A308+Forudsætninger!$E$60)/30.4,1)</f>
        <v>11.3</v>
      </c>
      <c r="C308" s="1">
        <f>VLOOKUP((A308+Forudsætninger!$E$60),'Model tilvækst, slagteform, fe'!A:D,4,FALSE)</f>
        <v>469.36236653309231</v>
      </c>
      <c r="D308" s="3">
        <f t="shared" si="134"/>
        <v>936.47372913585514</v>
      </c>
      <c r="E308" s="3">
        <f>(1+Forudsætninger!$E$78)*C308</f>
        <v>431.81337721044497</v>
      </c>
      <c r="F308" s="2">
        <f t="shared" si="118"/>
        <v>0</v>
      </c>
      <c r="G308" s="1">
        <f t="shared" si="110"/>
        <v>431.81337721044497</v>
      </c>
      <c r="H308" s="3">
        <f t="shared" si="119"/>
        <v>861.55583080500264</v>
      </c>
      <c r="I308" s="3">
        <f t="shared" si="111"/>
        <v>1188.9326052628919</v>
      </c>
      <c r="J308" s="1">
        <f>VLOOKUP((A308+Forudsætninger!$E$60),'Model tilvækst, slagteform, fe'!G:K,4,FALSE)*(1+Forudsætninger!$E$79)</f>
        <v>53.935532444034024</v>
      </c>
      <c r="K308" s="17">
        <f t="shared" si="112"/>
        <v>232.90084416301858</v>
      </c>
      <c r="L308" s="17">
        <f t="shared" si="120"/>
        <v>509.09338766970791</v>
      </c>
      <c r="M308" s="3">
        <f>((K308-(('Model tilvækst, slagteform, fe'!$J$9/100)*'Model tilvækst, slagteform, fe'!$D$9))*1000/(A308+Forudsætninger!$E$60))</f>
        <v>621.83168429291027</v>
      </c>
      <c r="N308" s="17">
        <f t="shared" si="121"/>
        <v>1755.1263358482718</v>
      </c>
      <c r="O308" s="19">
        <f>IF( A308&lt;Forudsætninger!$C$14,(G308/100)*Forudsætninger!$C$13,(Forudsætninger!$C$15/1000)*Forudsætninger!$C$13)</f>
        <v>2.8067869518678923</v>
      </c>
      <c r="P308" s="17" cm="1">
        <f t="array" ref="P308">INDEX('Model tilvækst, slagteform, fe'!$P$9:$P$375,MATCH(MIN(ABS('Model tilvækst, slagteform, fe'!$M$9:$M$375-G308)),ABS('Model tilvækst, slagteform, fe'!$M$9:$M$375-G308),0))*(1+Forudsætninger!$E$80)</f>
        <v>7.5930609567074887</v>
      </c>
      <c r="Q308" s="17">
        <f t="shared" si="122"/>
        <v>14.914868549881366</v>
      </c>
      <c r="R308" s="17">
        <f t="shared" si="123"/>
        <v>8.7785211317082812</v>
      </c>
      <c r="S308" s="17">
        <f t="shared" si="124"/>
        <v>4.8242490402793319</v>
      </c>
      <c r="T308" s="19">
        <f>(P308)*IF(N308&lt;Forudsætninger!$B$228,IF(N308&lt;Forudsætninger!$B$227,Forudsætninger!$B$225,Forudsætninger!$C$9),Forudsætninger!$C$11)+O308</f>
        <v>20.574549590563414</v>
      </c>
      <c r="U308" s="5">
        <f>Forudsætninger!$E$68+((K308-(Forudsætninger!$E$84)))*0.01</f>
        <v>7.0455721512018545</v>
      </c>
      <c r="V308" s="2">
        <f>U308+Forudsætninger!$E$69</f>
        <v>7.0455721512018545</v>
      </c>
      <c r="W308">
        <f t="shared" si="113"/>
        <v>1</v>
      </c>
      <c r="X308">
        <f>IF(A308+Forudsætninger!$E$60&gt;248,IF(A308+Forudsætninger!$E$60&lt;365,IF(K308&gt;180,IF(K308&lt;260,1,0),0),0),0)</f>
        <v>1</v>
      </c>
      <c r="Y308" s="22">
        <f>IF(X308=0,0,IF('Vækstfunktion, kry kvie'!A308&lt;Forudsætninger!$E$66,Forudsætninger!$E$67+(('Vækstfunktion, kry kvie'!A308-Forudsætninger!$E$66)/7)*Forudsætninger!$E$64,Forudsætninger!$E$67))</f>
        <v>0.98</v>
      </c>
      <c r="Z308" s="19">
        <f>Z307+T308</f>
        <v>5112.6271667489727</v>
      </c>
      <c r="AA308" s="19">
        <f>Forudsætninger!$E$62+Forudsætninger!$C$16</f>
        <v>1575</v>
      </c>
      <c r="AB308" s="19">
        <f>IF(K308&gt;Forudsætninger!$C$48,IF(K308&gt;Forudsætninger!$C$49,IF(K308&gt;Forudsætninger!$C$50,Forudsætninger!$E$50,Forudsætninger!$E$49+Forudsætninger!$F$50*(K308-Forudsætninger!$C$49)),Forudsætninger!$E$48+Forudsætninger!$F$49*(K308-Forudsætninger!$C$48)),Forudsætninger!$E$48)+IF(K308&gt;Forudsætninger!$C$50,Forudsætninger!$G$50,IF(K308&gt;Forudsætninger!$C$49,Forudsætninger!$G$49+Forudsætninger!$H$50*(K308-Forudsætninger!$C$49),IF(K308&gt;Forudsætninger!$C$48,Forudsætninger!$G$48+Forudsætninger!$H$49*(K308-Forudsætninger!$C$48),Forudsætninger!$G$48)))*(U308-Forudsætninger!$H$48)</f>
        <v>36.833948043176783</v>
      </c>
      <c r="AC308" s="19">
        <f>IF(K308&gt;Forudsætninger!$C$52,IF(K308&gt;Forudsætninger!$C$53,IF(K308&gt;Forudsætninger!$C$54,Forudsætninger!$E$54,Forudsætninger!$E$53+Forudsætninger!$F$54*(K308-Forudsætninger!$C$53)),Forudsætninger!$E$52+Forudsætninger!$F$53*(K308-Forudsætninger!$C$52)),Forudsætninger!$E$52)+IF(K308&gt;Forudsætninger!$C$54,Forudsætninger!$G$54,IF(K308&gt;Forudsætninger!$C$53,Forudsætninger!$G$53+Forudsætninger!$H$54*(K308-Forudsætninger!$C$53),IF(K308&gt;Forudsætninger!$C$52,Forudsætninger!$G$52+Forudsætninger!$H$53*(K308-Forudsætninger!$C$52),Forudsætninger!$G$52)))*(V308-Forudsætninger!$H$52)</f>
        <v>31.217081785464536</v>
      </c>
      <c r="AD308" s="19">
        <f t="shared" si="114"/>
        <v>8552.4941352532005</v>
      </c>
      <c r="AE308" s="19">
        <f t="shared" si="115"/>
        <v>36.721610718022539</v>
      </c>
      <c r="AF308">
        <f>IF(G308&lt;=Forudsætninger!$C$97,Forudsætninger!$C$98,(IF(G308&lt;=Forudsætninger!$D$97,Forudsætninger!$D$98,IF(G308&lt;=Forudsætninger!$E$97,Forudsætninger!$E$98,IF(G308&lt;=Forudsætninger!$F$97,Forudsætninger!$F$98,IF(G308&lt;=Forudsætninger!$G$97,Forudsætninger!$G$98,IF(G308&lt;=Forudsætninger!$H$97,Forudsætninger!$H$98,IF(G308&lt;=Forudsætninger!$I$97,Forudsætninger!$I$98,Forudsætninger!$I$98))))))))</f>
        <v>4.4000000000000004</v>
      </c>
      <c r="AG308" s="1">
        <f t="shared" si="125"/>
        <v>4.4000000000000004</v>
      </c>
      <c r="AH308" s="1">
        <f t="shared" si="129"/>
        <v>1005.999999999996</v>
      </c>
      <c r="AI308" s="1">
        <f t="shared" si="116"/>
        <v>3.2875816993463922</v>
      </c>
      <c r="AJ308" s="20">
        <f>+(W308*Forudsætninger!$C$12)</f>
        <v>900</v>
      </c>
      <c r="AK308" s="20">
        <f>Forudsætninger!$C$17</f>
        <v>250</v>
      </c>
      <c r="AL308" s="20">
        <f>IF(A308&lt;92,Forudsætninger!$C$20,Forudsætninger!$C$21)</f>
        <v>1.0566762728146013</v>
      </c>
      <c r="AM308" s="20">
        <f t="shared" si="126"/>
        <v>591.84842233455811</v>
      </c>
      <c r="AN308" s="19">
        <f>IFERROR(AD308+AJ308-AA308-Z308-AK308-AM308-Forudsætninger!$E$75,-999999)</f>
        <v>1731.8017848330539</v>
      </c>
      <c r="AO308" s="19">
        <f>IFERROR(AN308/(A308+Forudsætninger!$E$74),-999999)</f>
        <v>5.6594829569707645</v>
      </c>
      <c r="AP308" s="19">
        <f>IFERROR(((365/(A308+Forudsætninger!$E$74))*AN308)/(AI308+Forudsætninger!$E$73),-999999)</f>
        <v>607.99458617631444</v>
      </c>
      <c r="AQ308" s="18">
        <f t="shared" si="117"/>
        <v>306</v>
      </c>
      <c r="AR308" s="18">
        <f t="shared" si="130"/>
        <v>7529.4755890835313</v>
      </c>
      <c r="AS308" s="18">
        <f t="shared" si="109"/>
        <v>11.3</v>
      </c>
      <c r="AT308" s="50">
        <f t="shared" si="131"/>
        <v>-0.58436127918730563</v>
      </c>
      <c r="AU308" s="50">
        <f t="shared" si="132"/>
        <v>-2.0471620446420147E-2</v>
      </c>
      <c r="AV308" s="2">
        <f t="shared" si="133"/>
        <v>-2.854994397486962</v>
      </c>
      <c r="AW308" s="16">
        <f t="shared" si="127"/>
        <v>7.5936281279987332</v>
      </c>
      <c r="AZ308" s="16"/>
      <c r="BA308" s="2"/>
    </row>
    <row r="309" spans="1:53" x14ac:dyDescent="0.25">
      <c r="A309">
        <v>307</v>
      </c>
      <c r="B309" s="1">
        <f>ROUND((A309+Forudsætninger!$E$60)/30.4,1)</f>
        <v>11.3</v>
      </c>
      <c r="C309" s="1">
        <f>VLOOKUP((A309+Forudsætninger!$E$60),'Model tilvækst, slagteform, fe'!A:D,4,FALSE)</f>
        <v>470.29475521705291</v>
      </c>
      <c r="D309" s="3">
        <f t="shared" si="134"/>
        <v>932.38868396059615</v>
      </c>
      <c r="E309" s="3">
        <f>(1+Forudsætninger!$E$78)*C309</f>
        <v>432.67117479968869</v>
      </c>
      <c r="F309" s="2">
        <f t="shared" si="118"/>
        <v>0</v>
      </c>
      <c r="G309" s="1">
        <f t="shared" si="110"/>
        <v>432.67117479968869</v>
      </c>
      <c r="H309" s="3">
        <f t="shared" si="119"/>
        <v>857.79758924371663</v>
      </c>
      <c r="I309" s="3">
        <f t="shared" si="111"/>
        <v>1187.8539895755332</v>
      </c>
      <c r="J309" s="1">
        <f>VLOOKUP((A309+Forudsætninger!$E$60),'Model tilvækst, slagteform, fe'!G:K,4,FALSE)*(1+Forudsætninger!$E$79)</f>
        <v>53.945842875885759</v>
      </c>
      <c r="K309" s="17">
        <f t="shared" si="112"/>
        <v>233.4081121266891</v>
      </c>
      <c r="L309" s="17">
        <f t="shared" si="120"/>
        <v>507.26796367052884</v>
      </c>
      <c r="M309" s="3">
        <f>((K309-(('Model tilvækst, slagteform, fe'!$J$9/100)*'Model tilvækst, slagteform, fe'!$D$9))*1000/(A309+Forudsætninger!$E$60))</f>
        <v>621.49767927651851</v>
      </c>
      <c r="N309" s="17">
        <f t="shared" si="121"/>
        <v>1762.7239665123084</v>
      </c>
      <c r="O309" s="19">
        <f>IF( A309&lt;Forudsætninger!$C$14,(G309/100)*Forudsætninger!$C$13,(Forudsætninger!$C$15/1000)*Forudsætninger!$C$13)</f>
        <v>2.8123626361979768</v>
      </c>
      <c r="P309" s="17" cm="1">
        <f t="array" ref="P309">INDEX('Model tilvækst, slagteform, fe'!$P$9:$P$375,MATCH(MIN(ABS('Model tilvækst, slagteform, fe'!$M$9:$M$375-G309)),ABS('Model tilvækst, slagteform, fe'!$M$9:$M$375-G309),0))*(1+Forudsætninger!$E$80)</f>
        <v>7.5976306640367124</v>
      </c>
      <c r="Q309" s="17">
        <f t="shared" si="122"/>
        <v>14.977548767442729</v>
      </c>
      <c r="R309" s="17">
        <f t="shared" si="123"/>
        <v>8.794209345474167</v>
      </c>
      <c r="S309" s="17">
        <f t="shared" si="124"/>
        <v>4.8337353986932481</v>
      </c>
      <c r="T309" s="19">
        <f>(P309)*IF(N309&lt;Forudsætninger!$B$228,IF(N309&lt;Forudsætninger!$B$227,Forudsætninger!$B$225,Forudsætninger!$C$9),Forudsætninger!$C$11)+O309</f>
        <v>20.590818390043886</v>
      </c>
      <c r="U309" s="5">
        <f>Forudsætninger!$E$68+((K309-(Forudsætninger!$E$84)))*0.01</f>
        <v>7.0506448308385599</v>
      </c>
      <c r="V309" s="2">
        <f>U309+Forudsætninger!$E$69</f>
        <v>7.0506448308385599</v>
      </c>
      <c r="W309">
        <f t="shared" si="113"/>
        <v>1</v>
      </c>
      <c r="X309">
        <f>IF(A309+Forudsætninger!$E$60&gt;248,IF(A309+Forudsætninger!$E$60&lt;365,IF(K309&gt;180,IF(K309&lt;260,1,0),0),0),0)</f>
        <v>1</v>
      </c>
      <c r="Y309" s="22">
        <f>IF(X309=0,0,IF('Vækstfunktion, kry kvie'!A309&lt;Forudsætninger!$E$66,Forudsætninger!$E$67+(('Vækstfunktion, kry kvie'!A309-Forudsætninger!$E$66)/7)*Forudsætninger!$E$64,Forudsætninger!$E$67))</f>
        <v>0.98</v>
      </c>
      <c r="Z309" s="19">
        <f t="shared" si="128"/>
        <v>5133.2179851390165</v>
      </c>
      <c r="AA309" s="19">
        <f>Forudsætninger!$E$62+Forudsætninger!$C$16</f>
        <v>1575</v>
      </c>
      <c r="AB309" s="19">
        <f>IF(K309&gt;Forudsætninger!$C$48,IF(K309&gt;Forudsætninger!$C$49,IF(K309&gt;Forudsætninger!$C$50,Forudsætninger!$E$50,Forudsætninger!$E$49+Forudsætninger!$F$50*(K309-Forudsætninger!$C$49)),Forudsætninger!$E$48+Forudsætninger!$F$49*(K309-Forudsætninger!$C$48)),Forudsætninger!$E$48)+IF(K309&gt;Forudsætninger!$C$50,Forudsætninger!$G$50,IF(K309&gt;Forudsætninger!$C$49,Forudsætninger!$G$49+Forudsætninger!$H$50*(K309-Forudsætninger!$C$49),IF(K309&gt;Forudsætninger!$C$48,Forudsætninger!$G$48+Forudsætninger!$H$49*(K309-Forudsætninger!$C$48),Forudsætninger!$G$48)))*(U309-Forudsætninger!$H$48)</f>
        <v>36.843966585459277</v>
      </c>
      <c r="AC309" s="19">
        <f>IF(K309&gt;Forudsætninger!$C$52,IF(K309&gt;Forudsætninger!$C$53,IF(K309&gt;Forudsætninger!$C$54,Forudsætninger!$E$54,Forudsætninger!$E$53+Forudsætninger!$F$54*(K309-Forudsætninger!$C$53)),Forudsætninger!$E$52+Forudsætninger!$F$53*(K309-Forudsætninger!$C$52)),Forudsætninger!$E$52)+IF(K309&gt;Forudsætninger!$C$54,Forudsætninger!$G$54,IF(K309&gt;Forudsætninger!$C$53,Forudsætninger!$G$53+Forudsætninger!$H$54*(K309-Forudsætninger!$C$53),IF(K309&gt;Forudsætninger!$C$52,Forudsætninger!$G$52+Forudsætninger!$H$53*(K309-Forudsætninger!$C$52),Forudsætninger!$G$52)))*(V309-Forudsætninger!$H$52)</f>
        <v>31.230419072100556</v>
      </c>
      <c r="AD309" s="19">
        <f t="shared" si="114"/>
        <v>8573.4757334223359</v>
      </c>
      <c r="AE309" s="19">
        <f t="shared" si="115"/>
        <v>36.731695635192104</v>
      </c>
      <c r="AF309">
        <f>IF(G309&lt;=Forudsætninger!$C$97,Forudsætninger!$C$98,(IF(G309&lt;=Forudsætninger!$D$97,Forudsætninger!$D$98,IF(G309&lt;=Forudsætninger!$E$97,Forudsætninger!$E$98,IF(G309&lt;=Forudsætninger!$F$97,Forudsætninger!$F$98,IF(G309&lt;=Forudsætninger!$G$97,Forudsætninger!$G$98,IF(G309&lt;=Forudsætninger!$H$97,Forudsætninger!$H$98,IF(G309&lt;=Forudsætninger!$I$97,Forudsætninger!$I$98,Forudsætninger!$I$98))))))))</f>
        <v>4.4000000000000004</v>
      </c>
      <c r="AG309" s="1">
        <f t="shared" si="125"/>
        <v>4.4000000000000004</v>
      </c>
      <c r="AH309" s="1">
        <f t="shared" si="129"/>
        <v>1010.399999999996</v>
      </c>
      <c r="AI309" s="1">
        <f t="shared" si="116"/>
        <v>3.2912052117263713</v>
      </c>
      <c r="AJ309" s="20">
        <f>+(W309*Forudsætninger!$C$12)</f>
        <v>900</v>
      </c>
      <c r="AK309" s="20">
        <f>Forudsætninger!$C$17</f>
        <v>250</v>
      </c>
      <c r="AL309" s="20">
        <f>IF(A309&lt;92,Forudsætninger!$C$20,Forudsætninger!$C$21)</f>
        <v>1.0566762728146013</v>
      </c>
      <c r="AM309" s="20">
        <f t="shared" si="126"/>
        <v>592.90509860737268</v>
      </c>
      <c r="AN309" s="19">
        <f>IFERROR(AD309+AJ309-AA309-Z309-AK309-AM309-Forudsætninger!$E$75,-999999)</f>
        <v>1731.1358883393311</v>
      </c>
      <c r="AO309" s="19">
        <f>IFERROR(AN309/(A309+Forudsætninger!$E$74),-999999)</f>
        <v>5.6388791151118278</v>
      </c>
      <c r="AP309" s="19">
        <f>IFERROR(((365/(A309+Forudsætninger!$E$74))*AN309)/(AI309+Forudsætninger!$E$73),-999999)</f>
        <v>605.13575303241657</v>
      </c>
      <c r="AQ309" s="18">
        <f t="shared" si="117"/>
        <v>307</v>
      </c>
      <c r="AR309" s="18">
        <f t="shared" si="130"/>
        <v>7551.1230837463891</v>
      </c>
      <c r="AS309" s="18">
        <f t="shared" si="109"/>
        <v>11.3</v>
      </c>
      <c r="AT309" s="50">
        <f t="shared" si="131"/>
        <v>-0.66589649372281201</v>
      </c>
      <c r="AU309" s="50">
        <f t="shared" si="132"/>
        <v>-2.0603841858936711E-2</v>
      </c>
      <c r="AV309" s="2">
        <f t="shared" si="133"/>
        <v>-2.8588331438978685</v>
      </c>
      <c r="AW309" s="16">
        <f t="shared" si="127"/>
        <v>7.5701660812596216</v>
      </c>
      <c r="AZ309" s="16"/>
      <c r="BA309" s="2"/>
    </row>
    <row r="310" spans="1:53" x14ac:dyDescent="0.25">
      <c r="A310">
        <v>308</v>
      </c>
      <c r="B310" s="1">
        <f>ROUND((A310+Forudsætninger!$E$60)/30.4,1)</f>
        <v>11.3</v>
      </c>
      <c r="C310" s="1">
        <f>VLOOKUP((A310+Forudsætninger!$E$60),'Model tilvækst, slagteform, fe'!A:D,4,FALSE)</f>
        <v>471.22308920289805</v>
      </c>
      <c r="D310" s="3">
        <f t="shared" si="134"/>
        <v>928.33398584514271</v>
      </c>
      <c r="E310" s="3">
        <f>(1+Forudsætninger!$E$78)*C310</f>
        <v>433.52524206666624</v>
      </c>
      <c r="F310" s="2">
        <f t="shared" si="118"/>
        <v>0</v>
      </c>
      <c r="G310" s="1">
        <f t="shared" si="110"/>
        <v>433.52524206666624</v>
      </c>
      <c r="H310" s="3">
        <f t="shared" si="119"/>
        <v>854.06726697755175</v>
      </c>
      <c r="I310" s="3">
        <f t="shared" si="111"/>
        <v>1186.7702664502151</v>
      </c>
      <c r="J310" s="1">
        <f>VLOOKUP((A310+Forudsætninger!$E$60),'Model tilvækst, slagteform, fe'!G:K,4,FALSE)*(1+Forudsætninger!$E$79)</f>
        <v>53.956158718330727</v>
      </c>
      <c r="K310" s="17">
        <f t="shared" si="112"/>
        <v>233.91356769351793</v>
      </c>
      <c r="L310" s="17">
        <f t="shared" si="120"/>
        <v>505.45556682882875</v>
      </c>
      <c r="M310" s="3">
        <f>((K310-(('Model tilvækst, slagteform, fe'!$J$9/100)*'Model tilvækst, slagteform, fe'!$D$9))*1000/(A310+Forudsætninger!$E$60))</f>
        <v>621.16034755428689</v>
      </c>
      <c r="N310" s="17">
        <f t="shared" si="121"/>
        <v>1770.321597176345</v>
      </c>
      <c r="O310" s="19">
        <f>IF( A310&lt;Forudsætninger!$C$14,(G310/100)*Forudsætninger!$C$13,(Forudsætninger!$C$15/1000)*Forudsætninger!$C$13)</f>
        <v>2.8179140734333306</v>
      </c>
      <c r="P310" s="17" cm="1">
        <f t="array" ref="P310">INDEX('Model tilvækst, slagteform, fe'!$P$9:$P$375,MATCH(MIN(ABS('Model tilvækst, slagteform, fe'!$M$9:$M$375-G310)),ABS('Model tilvækst, slagteform, fe'!$M$9:$M$375-G310),0))*(1+Forudsætninger!$E$80)</f>
        <v>7.5976306640367124</v>
      </c>
      <c r="Q310" s="17">
        <f t="shared" si="122"/>
        <v>15.031253314120944</v>
      </c>
      <c r="R310" s="17">
        <f t="shared" si="123"/>
        <v>8.8098978119138298</v>
      </c>
      <c r="S310" s="17">
        <f t="shared" si="124"/>
        <v>4.8432266597157883</v>
      </c>
      <c r="T310" s="19">
        <f>(P310)*IF(N310&lt;Forudsætninger!$B$228,IF(N310&lt;Forudsætninger!$B$227,Forudsætninger!$B$225,Forudsætninger!$C$9),Forudsætninger!$C$11)+O310</f>
        <v>20.59636982727924</v>
      </c>
      <c r="U310" s="5">
        <f>Forudsætninger!$E$68+((K310-(Forudsætninger!$E$84)))*0.01</f>
        <v>7.0556993865068485</v>
      </c>
      <c r="V310" s="2">
        <f>U310+Forudsætninger!$E$69</f>
        <v>7.0556993865068485</v>
      </c>
      <c r="W310">
        <f t="shared" si="113"/>
        <v>1</v>
      </c>
      <c r="X310">
        <f>IF(A310+Forudsætninger!$E$60&gt;248,IF(A310+Forudsætninger!$E$60&lt;365,IF(K310&gt;180,IF(K310&lt;260,1,0),0),0),0)</f>
        <v>1</v>
      </c>
      <c r="Y310" s="22">
        <f>IF(X310=0,0,IF('Vækstfunktion, kry kvie'!A310&lt;Forudsætninger!$E$66,Forudsætninger!$E$67+(('Vækstfunktion, kry kvie'!A310-Forudsætninger!$E$66)/7)*Forudsætninger!$E$64,Forudsætninger!$E$67))</f>
        <v>0.98</v>
      </c>
      <c r="Z310" s="19">
        <f t="shared" si="128"/>
        <v>5153.8143549662955</v>
      </c>
      <c r="AA310" s="19">
        <f>Forudsætninger!$E$62+Forudsætninger!$C$16</f>
        <v>1575</v>
      </c>
      <c r="AB310" s="19">
        <f>IF(K310&gt;Forudsætninger!$C$48,IF(K310&gt;Forudsætninger!$C$49,IF(K310&gt;Forudsætninger!$C$50,Forudsætninger!$E$50,Forudsætninger!$E$49+Forudsætninger!$F$50*(K310-Forudsætninger!$C$49)),Forudsætninger!$E$48+Forudsætninger!$F$49*(K310-Forudsætninger!$C$48)),Forudsætninger!$E$48)+IF(K310&gt;Forudsætninger!$C$50,Forudsætninger!$G$50,IF(K310&gt;Forudsætninger!$C$49,Forudsætninger!$G$49+Forudsætninger!$H$50*(K310-Forudsætninger!$C$49),IF(K310&gt;Forudsætninger!$C$48,Forudsætninger!$G$48+Forudsætninger!$H$49*(K310-Forudsætninger!$C$48),Forudsætninger!$G$48)))*(U310-Forudsætninger!$H$48)</f>
        <v>36.853949332904151</v>
      </c>
      <c r="AC310" s="19">
        <f>IF(K310&gt;Forudsætninger!$C$52,IF(K310&gt;Forudsætninger!$C$53,IF(K310&gt;Forudsætninger!$C$54,Forudsætninger!$E$54,Forudsætninger!$E$53+Forudsætninger!$F$54*(K310-Forudsætninger!$C$53)),Forudsætninger!$E$52+Forudsætninger!$F$53*(K310-Forudsætninger!$C$52)),Forudsætninger!$E$52)+IF(K310&gt;Forudsætninger!$C$54,Forudsætninger!$G$54,IF(K310&gt;Forudsætninger!$C$53,Forudsætninger!$G$53+Forudsætninger!$H$54*(K310-Forudsætninger!$C$53),IF(K310&gt;Forudsætninger!$C$52,Forudsætninger!$G$52+Forudsætninger!$H$53*(K310-Forudsætninger!$C$52),Forudsætninger!$G$52)))*(V310-Forudsætninger!$H$52)</f>
        <v>31.243698042186555</v>
      </c>
      <c r="AD310" s="19">
        <f t="shared" si="114"/>
        <v>8594.3924941543755</v>
      </c>
      <c r="AE310" s="19">
        <f t="shared" si="115"/>
        <v>36.741744307089796</v>
      </c>
      <c r="AF310">
        <f>IF(G310&lt;=Forudsætninger!$C$97,Forudsætninger!$C$98,(IF(G310&lt;=Forudsætninger!$D$97,Forudsætninger!$D$98,IF(G310&lt;=Forudsætninger!$E$97,Forudsætninger!$E$98,IF(G310&lt;=Forudsætninger!$F$97,Forudsætninger!$F$98,IF(G310&lt;=Forudsætninger!$G$97,Forudsætninger!$G$98,IF(G310&lt;=Forudsætninger!$H$97,Forudsætninger!$H$98,IF(G310&lt;=Forudsætninger!$I$97,Forudsætninger!$I$98,Forudsætninger!$I$98))))))))</f>
        <v>4.4000000000000004</v>
      </c>
      <c r="AG310" s="1">
        <f t="shared" si="125"/>
        <v>4.4000000000000004</v>
      </c>
      <c r="AH310" s="1">
        <f t="shared" si="129"/>
        <v>1014.799999999996</v>
      </c>
      <c r="AI310" s="1">
        <f t="shared" si="116"/>
        <v>3.2948051948051815</v>
      </c>
      <c r="AJ310" s="20">
        <f>+(W310*Forudsætninger!$C$12)</f>
        <v>900</v>
      </c>
      <c r="AK310" s="20">
        <f>Forudsætninger!$C$17</f>
        <v>250</v>
      </c>
      <c r="AL310" s="20">
        <f>IF(A310&lt;92,Forudsætninger!$C$20,Forudsætninger!$C$21)</f>
        <v>1.0566762728146013</v>
      </c>
      <c r="AM310" s="20">
        <f t="shared" si="126"/>
        <v>593.96177488018725</v>
      </c>
      <c r="AN310" s="19">
        <f>IFERROR(AD310+AJ310-AA310-Z310-AK310-AM310-Forudsætninger!$E$75,-999999)</f>
        <v>1730.3996029712771</v>
      </c>
      <c r="AO310" s="19">
        <f>IFERROR(AN310/(A310+Forudsætninger!$E$74),-999999)</f>
        <v>5.6181805291275229</v>
      </c>
      <c r="AP310" s="19">
        <f>IFERROR(((365/(A310+Forudsætninger!$E$74))*AN310)/(AI310+Forudsætninger!$E$73),-999999)</f>
        <v>602.27701022668373</v>
      </c>
      <c r="AQ310" s="18">
        <f t="shared" si="117"/>
        <v>308</v>
      </c>
      <c r="AR310" s="18">
        <f t="shared" si="130"/>
        <v>7572.7761298464829</v>
      </c>
      <c r="AS310" s="18">
        <f t="shared" si="109"/>
        <v>11.3</v>
      </c>
      <c r="AT310" s="50">
        <f t="shared" si="131"/>
        <v>-0.7362853680540411</v>
      </c>
      <c r="AU310" s="50">
        <f t="shared" si="132"/>
        <v>-2.0698585984304962E-2</v>
      </c>
      <c r="AV310" s="2">
        <f t="shared" si="133"/>
        <v>-2.8587428057328452</v>
      </c>
      <c r="AW310" s="16">
        <f t="shared" si="127"/>
        <v>7.5466278501670931</v>
      </c>
      <c r="AZ310" s="16"/>
      <c r="BA310" s="2"/>
    </row>
    <row r="311" spans="1:53" x14ac:dyDescent="0.25">
      <c r="A311">
        <v>309</v>
      </c>
      <c r="B311" s="1">
        <f>ROUND((A311+Forudsætninger!$E$60)/30.4,1)</f>
        <v>11.3</v>
      </c>
      <c r="C311" s="1">
        <f>VLOOKUP((A311+Forudsætninger!$E$60),'Model tilvækst, slagteform, fe'!A:D,4,FALSE)</f>
        <v>472.14739942270745</v>
      </c>
      <c r="D311" s="3">
        <f t="shared" si="134"/>
        <v>924.31021980939931</v>
      </c>
      <c r="E311" s="3">
        <f>(1+Forudsætninger!$E$78)*C311</f>
        <v>434.37560746889085</v>
      </c>
      <c r="F311" s="2">
        <f t="shared" si="118"/>
        <v>0</v>
      </c>
      <c r="G311" s="1">
        <f t="shared" si="110"/>
        <v>434.37560746889085</v>
      </c>
      <c r="H311" s="3">
        <f t="shared" si="119"/>
        <v>850.36540222461099</v>
      </c>
      <c r="I311" s="3">
        <f t="shared" si="111"/>
        <v>1185.681577569226</v>
      </c>
      <c r="J311" s="1">
        <f>VLOOKUP((A311+Forudsætninger!$E$60),'Model tilvækst, slagteform, fe'!G:K,4,FALSE)*(1+Forudsætninger!$E$79)</f>
        <v>53.966479736125706</v>
      </c>
      <c r="K311" s="17">
        <f t="shared" si="112"/>
        <v>234.41722418337193</v>
      </c>
      <c r="L311" s="17">
        <f t="shared" si="120"/>
        <v>503.65648985399503</v>
      </c>
      <c r="M311" s="3">
        <f>((K311-(('Model tilvækst, slagteform, fe'!$J$9/100)*'Model tilvækst, slagteform, fe'!$D$9))*1000/(A311+Forudsætninger!$E$60))</f>
        <v>620.81975666240191</v>
      </c>
      <c r="N311" s="17">
        <f t="shared" si="121"/>
        <v>1777.9238676080508</v>
      </c>
      <c r="O311" s="19">
        <f>IF( A311&lt;Forudsætninger!$C$14,(G311/100)*Forudsætninger!$C$13,(Forudsætninger!$C$15/1000)*Forudsætninger!$C$13)</f>
        <v>2.8234414485477903</v>
      </c>
      <c r="P311" s="17" cm="1">
        <f t="array" ref="P311">INDEX('Model tilvækst, slagteform, fe'!$P$9:$P$375,MATCH(MIN(ABS('Model tilvækst, slagteform, fe'!$M$9:$M$375-G311)),ABS('Model tilvækst, slagteform, fe'!$M$9:$M$375-G311),0))*(1+Forudsætninger!$E$80)</f>
        <v>7.6022704317057368</v>
      </c>
      <c r="Q311" s="17">
        <f t="shared" si="122"/>
        <v>15.094157595208509</v>
      </c>
      <c r="R311" s="17">
        <f t="shared" si="123"/>
        <v>8.8256094008088013</v>
      </c>
      <c r="S311" s="17">
        <f t="shared" si="124"/>
        <v>4.8527353660110011</v>
      </c>
      <c r="T311" s="19">
        <f>(P311)*IF(N311&lt;Forudsætninger!$B$228,IF(N311&lt;Forudsætninger!$B$227,Forudsætninger!$B$225,Forudsætninger!$C$9),Forudsætninger!$C$11)+O311</f>
        <v>20.612754258739212</v>
      </c>
      <c r="U311" s="5">
        <f>Forudsætninger!$E$68+((K311-(Forudsætninger!$E$84)))*0.01</f>
        <v>7.0607359514053885</v>
      </c>
      <c r="V311" s="2">
        <f>U311+Forudsætninger!$E$69</f>
        <v>7.0607359514053885</v>
      </c>
      <c r="W311">
        <f t="shared" si="113"/>
        <v>1</v>
      </c>
      <c r="X311">
        <f>IF(A311+Forudsætninger!$E$60&gt;248,IF(A311+Forudsætninger!$E$60&lt;365,IF(K311&gt;180,IF(K311&lt;260,1,0),0),0),0)</f>
        <v>1</v>
      </c>
      <c r="Y311" s="22">
        <f>IF(X311=0,0,IF('Vækstfunktion, kry kvie'!A311&lt;Forudsætninger!$E$66,Forudsætninger!$E$67+(('Vækstfunktion, kry kvie'!A311-Forudsætninger!$E$66)/7)*Forudsætninger!$E$64,Forudsætninger!$E$67))</f>
        <v>0.98</v>
      </c>
      <c r="Z311" s="19">
        <f t="shared" si="128"/>
        <v>5174.4271092250347</v>
      </c>
      <c r="AA311" s="19">
        <f>Forudsætninger!$E$62+Forudsætninger!$C$16</f>
        <v>1575</v>
      </c>
      <c r="AB311" s="19">
        <f>IF(K311&gt;Forudsætninger!$C$48,IF(K311&gt;Forudsætninger!$C$49,IF(K311&gt;Forudsætninger!$C$50,Forudsætninger!$E$50,Forudsætninger!$E$49+Forudsætninger!$F$50*(K311-Forudsætninger!$C$49)),Forudsætninger!$E$48+Forudsætninger!$F$49*(K311-Forudsætninger!$C$48)),Forudsætninger!$E$48)+IF(K311&gt;Forudsætninger!$C$50,Forudsætninger!$G$50,IF(K311&gt;Forudsætninger!$C$49,Forudsætninger!$G$49+Forudsætninger!$H$50*(K311-Forudsætninger!$C$49),IF(K311&gt;Forudsætninger!$C$48,Forudsætninger!$G$48+Forudsætninger!$H$49*(K311-Forudsætninger!$C$48),Forudsætninger!$G$48)))*(U311-Forudsætninger!$H$48)</f>
        <v>36.863896548578765</v>
      </c>
      <c r="AC311" s="19">
        <f>IF(K311&gt;Forudsætninger!$C$52,IF(K311&gt;Forudsætninger!$C$53,IF(K311&gt;Forudsætninger!$C$54,Forudsætninger!$E$54,Forudsætninger!$E$53+Forudsætninger!$F$54*(K311-Forudsætninger!$C$53)),Forudsætninger!$E$52+Forudsætninger!$F$53*(K311-Forudsætninger!$C$52)),Forudsætninger!$E$52)+IF(K311&gt;Forudsætninger!$C$54,Forudsætninger!$G$54,IF(K311&gt;Forudsætninger!$C$53,Forudsætninger!$G$53+Forudsætninger!$H$54*(K311-Forudsætninger!$C$53),IF(K311&gt;Forudsætninger!$C$52,Forudsætninger!$G$52+Forudsætninger!$H$53*(K311-Forudsætninger!$C$52),Forudsætninger!$G$52)))*(V311-Forudsætninger!$H$52)</f>
        <v>31.256919159743596</v>
      </c>
      <c r="AD311" s="19">
        <f t="shared" si="114"/>
        <v>8615.2448599898271</v>
      </c>
      <c r="AE311" s="19">
        <f t="shared" si="115"/>
        <v>36.751757000802066</v>
      </c>
      <c r="AF311">
        <f>IF(G311&lt;=Forudsætninger!$C$97,Forudsætninger!$C$98,(IF(G311&lt;=Forudsætninger!$D$97,Forudsætninger!$D$98,IF(G311&lt;=Forudsætninger!$E$97,Forudsætninger!$E$98,IF(G311&lt;=Forudsætninger!$F$97,Forudsætninger!$F$98,IF(G311&lt;=Forudsætninger!$G$97,Forudsætninger!$G$98,IF(G311&lt;=Forudsætninger!$H$97,Forudsætninger!$H$98,IF(G311&lt;=Forudsætninger!$I$97,Forudsætninger!$I$98,Forudsætninger!$I$98))))))))</f>
        <v>4.4000000000000004</v>
      </c>
      <c r="AG311" s="1">
        <f t="shared" si="125"/>
        <v>4.4000000000000004</v>
      </c>
      <c r="AH311" s="1">
        <f t="shared" si="129"/>
        <v>1019.199999999996</v>
      </c>
      <c r="AI311" s="1">
        <f t="shared" si="116"/>
        <v>3.2983818770226407</v>
      </c>
      <c r="AJ311" s="20">
        <f>+(W311*Forudsætninger!$C$12)</f>
        <v>900</v>
      </c>
      <c r="AK311" s="20">
        <f>Forudsætninger!$C$17</f>
        <v>250</v>
      </c>
      <c r="AL311" s="20">
        <f>IF(A311&lt;92,Forudsætninger!$C$20,Forudsætninger!$C$21)</f>
        <v>1.0566762728146013</v>
      </c>
      <c r="AM311" s="20">
        <f t="shared" si="126"/>
        <v>595.01845115300182</v>
      </c>
      <c r="AN311" s="19">
        <f>IFERROR(AD311+AJ311-AA311-Z311-AK311-AM311-Forudsætninger!$E$75,-999999)</f>
        <v>1729.5825382751748</v>
      </c>
      <c r="AO311" s="19">
        <f>IFERROR(AN311/(A311+Forudsætninger!$E$74),-999999)</f>
        <v>5.5973544927999184</v>
      </c>
      <c r="AP311" s="19">
        <f>IFERROR(((365/(A311+Forudsætninger!$E$74))*AN311)/(AI311+Forudsætninger!$E$73),-999999)</f>
        <v>599.41475561906327</v>
      </c>
      <c r="AQ311" s="18">
        <f t="shared" si="117"/>
        <v>309</v>
      </c>
      <c r="AR311" s="18">
        <f t="shared" si="130"/>
        <v>7594.4455603780361</v>
      </c>
      <c r="AS311" s="18">
        <f t="shared" si="109"/>
        <v>11.3</v>
      </c>
      <c r="AT311" s="50">
        <f t="shared" si="131"/>
        <v>-0.8170646961023067</v>
      </c>
      <c r="AU311" s="50">
        <f t="shared" si="132"/>
        <v>-2.0826036327604491E-2</v>
      </c>
      <c r="AV311" s="2">
        <f t="shared" si="133"/>
        <v>-2.8622546076204571</v>
      </c>
      <c r="AW311" s="16">
        <f t="shared" si="127"/>
        <v>7.5229805483112511</v>
      </c>
      <c r="AZ311" s="16"/>
      <c r="BA311" s="2"/>
    </row>
    <row r="312" spans="1:53" x14ac:dyDescent="0.25">
      <c r="A312">
        <v>310</v>
      </c>
      <c r="B312" s="1">
        <f>ROUND((A312+Forudsætninger!$E$60)/30.4,1)</f>
        <v>11.4</v>
      </c>
      <c r="C312" s="1">
        <f>VLOOKUP((A312+Forudsætninger!$E$60),'Model tilvækst, slagteform, fe'!A:D,4,FALSE)</f>
        <v>473.06771739358169</v>
      </c>
      <c r="D312" s="3">
        <f t="shared" si="134"/>
        <v>920.31797087423683</v>
      </c>
      <c r="E312" s="3">
        <f>(1+Forudsætninger!$E$78)*C312</f>
        <v>435.22230000209515</v>
      </c>
      <c r="F312" s="2">
        <f t="shared" si="118"/>
        <v>0</v>
      </c>
      <c r="G312" s="1">
        <f t="shared" si="110"/>
        <v>435.22230000209515</v>
      </c>
      <c r="H312" s="3">
        <f t="shared" si="119"/>
        <v>846.69253320430471</v>
      </c>
      <c r="I312" s="3">
        <f t="shared" si="111"/>
        <v>1184.5880645228876</v>
      </c>
      <c r="J312" s="1">
        <f>VLOOKUP((A312+Forudsætninger!$E$60),'Model tilvækst, slagteform, fe'!G:K,4,FALSE)*(1+Forudsætninger!$E$79)</f>
        <v>53.97680569402754</v>
      </c>
      <c r="K312" s="17">
        <f t="shared" si="112"/>
        <v>234.91909520920854</v>
      </c>
      <c r="L312" s="17">
        <f t="shared" si="120"/>
        <v>501.87102583660703</v>
      </c>
      <c r="M312" s="3">
        <f>((K312-(('Model tilvækst, slagteform, fe'!$J$9/100)*'Model tilvækst, slagteform, fe'!$D$9))*1000/(A312+Forudsætninger!$E$60))</f>
        <v>620.47597420336797</v>
      </c>
      <c r="N312" s="17">
        <f t="shared" si="121"/>
        <v>1785.5308458071672</v>
      </c>
      <c r="O312" s="19">
        <f>IF( A312&lt;Forudsætninger!$C$14,(G312/100)*Forudsætninger!$C$13,(Forudsætninger!$C$15/1000)*Forudsætninger!$C$13)</f>
        <v>2.8289449500136188</v>
      </c>
      <c r="P312" s="17" cm="1">
        <f t="array" ref="P312">INDEX('Model tilvækst, slagteform, fe'!$P$9:$P$375,MATCH(MIN(ABS('Model tilvækst, slagteform, fe'!$M$9:$M$375-G312)),ABS('Model tilvækst, slagteform, fe'!$M$9:$M$375-G312),0))*(1+Forudsætninger!$E$80)</f>
        <v>7.6069781991163321</v>
      </c>
      <c r="Q312" s="17">
        <f t="shared" si="122"/>
        <v>15.157237233282556</v>
      </c>
      <c r="R312" s="17">
        <f t="shared" si="123"/>
        <v>8.8413440998029476</v>
      </c>
      <c r="S312" s="17">
        <f t="shared" si="124"/>
        <v>4.8622614852011443</v>
      </c>
      <c r="T312" s="19">
        <f>(P312)*IF(N312&lt;Forudsætninger!$B$228,IF(N312&lt;Forudsætninger!$B$227,Forudsætninger!$B$225,Forudsætninger!$C$9),Forudsætninger!$C$11)+O312</f>
        <v>20.629273935945832</v>
      </c>
      <c r="U312" s="5">
        <f>Forudsætninger!$E$68+((K312-(Forudsætninger!$E$84)))*0.01</f>
        <v>7.065754661663755</v>
      </c>
      <c r="V312" s="2">
        <f>U312+Forudsætninger!$E$69</f>
        <v>7.065754661663755</v>
      </c>
      <c r="W312">
        <f t="shared" si="113"/>
        <v>1</v>
      </c>
      <c r="X312">
        <f>IF(A312+Forudsætninger!$E$60&gt;248,IF(A312+Forudsætninger!$E$60&lt;365,IF(K312&gt;180,IF(K312&lt;260,1,0),0),0),0)</f>
        <v>1</v>
      </c>
      <c r="Y312" s="22">
        <f>IF(X312=0,0,IF('Vækstfunktion, kry kvie'!A312&lt;Forudsætninger!$E$66,Forudsætninger!$E$67+(('Vækstfunktion, kry kvie'!A312-Forudsætninger!$E$66)/7)*Forudsætninger!$E$64,Forudsætninger!$E$67))</f>
        <v>0.98</v>
      </c>
      <c r="Z312" s="19">
        <f t="shared" si="128"/>
        <v>5195.0563831609807</v>
      </c>
      <c r="AA312" s="19">
        <f>Forudsætninger!$E$62+Forudsætninger!$C$16</f>
        <v>1575</v>
      </c>
      <c r="AB312" s="19">
        <f>IF(K312&gt;Forudsætninger!$C$48,IF(K312&gt;Forudsætninger!$C$49,IF(K312&gt;Forudsætninger!$C$50,Forudsætninger!$E$50,Forudsætninger!$E$49+Forudsætninger!$F$50*(K312-Forudsætninger!$C$49)),Forudsætninger!$E$48+Forudsætninger!$F$49*(K312-Forudsætninger!$C$48)),Forudsætninger!$E$48)+IF(K312&gt;Forudsætninger!$C$50,Forudsætninger!$G$50,IF(K312&gt;Forudsætninger!$C$49,Forudsætninger!$G$49+Forudsætninger!$H$50*(K312-Forudsætninger!$C$49),IF(K312&gt;Forudsætninger!$C$48,Forudsætninger!$G$48+Forudsætninger!$H$49*(K312-Forudsætninger!$C$48),Forudsætninger!$G$48)))*(U312-Forudsætninger!$H$48)</f>
        <v>36.873808501339035</v>
      </c>
      <c r="AC312" s="19">
        <f>IF(K312&gt;Forudsætninger!$C$52,IF(K312&gt;Forudsætninger!$C$53,IF(K312&gt;Forudsætninger!$C$54,Forudsætninger!$E$54,Forudsætninger!$E$53+Forudsætninger!$F$54*(K312-Forudsætninger!$C$53)),Forudsætninger!$E$52+Forudsætninger!$F$53*(K312-Forudsætninger!$C$52)),Forudsætninger!$E$52)+IF(K312&gt;Forudsætninger!$C$54,Forudsætninger!$G$54,IF(K312&gt;Forudsætninger!$C$53,Forudsætninger!$G$53+Forudsætninger!$H$54*(K312-Forudsætninger!$C$53),IF(K312&gt;Forudsætninger!$C$52,Forudsætninger!$G$52+Forudsætninger!$H$53*(K312-Forudsætninger!$C$52),Forudsætninger!$G$52)))*(V312-Forudsætninger!$H$52)</f>
        <v>31.270082894952555</v>
      </c>
      <c r="AD312" s="19">
        <f t="shared" si="114"/>
        <v>8636.0332870671282</v>
      </c>
      <c r="AE312" s="19">
        <f t="shared" si="115"/>
        <v>36.761733989211308</v>
      </c>
      <c r="AF312">
        <f>IF(G312&lt;=Forudsætninger!$C$97,Forudsætninger!$C$98,(IF(G312&lt;=Forudsætninger!$D$97,Forudsætninger!$D$98,IF(G312&lt;=Forudsætninger!$E$97,Forudsætninger!$E$98,IF(G312&lt;=Forudsætninger!$F$97,Forudsætninger!$F$98,IF(G312&lt;=Forudsætninger!$G$97,Forudsætninger!$G$98,IF(G312&lt;=Forudsætninger!$H$97,Forudsætninger!$H$98,IF(G312&lt;=Forudsætninger!$I$97,Forudsætninger!$I$98,Forudsætninger!$I$98))))))))</f>
        <v>4.4000000000000004</v>
      </c>
      <c r="AG312" s="1">
        <f t="shared" si="125"/>
        <v>4.4000000000000004</v>
      </c>
      <c r="AH312" s="1">
        <f t="shared" si="129"/>
        <v>1023.5999999999959</v>
      </c>
      <c r="AI312" s="1">
        <f t="shared" si="116"/>
        <v>3.3019354838709547</v>
      </c>
      <c r="AJ312" s="20">
        <f>+(W312*Forudsætninger!$C$12)</f>
        <v>900</v>
      </c>
      <c r="AK312" s="20">
        <f>Forudsætninger!$C$17</f>
        <v>250</v>
      </c>
      <c r="AL312" s="20">
        <f>IF(A312&lt;92,Forudsætninger!$C$20,Forudsætninger!$C$21)</f>
        <v>1.0566762728146013</v>
      </c>
      <c r="AM312" s="20">
        <f t="shared" si="126"/>
        <v>596.07512742581639</v>
      </c>
      <c r="AN312" s="19">
        <f>IFERROR(AD312+AJ312-AA312-Z312-AK312-AM312-Forudsætninger!$E$75,-999999)</f>
        <v>1728.6850151437154</v>
      </c>
      <c r="AO312" s="19">
        <f>IFERROR(AN312/(A312+Forudsætninger!$E$74),-999999)</f>
        <v>5.5764032746571468</v>
      </c>
      <c r="AP312" s="19">
        <f>IFERROR(((365/(A312+Forudsætninger!$E$74))*AN312)/(AI312+Forudsætninger!$E$73),-999999)</f>
        <v>596.54914486854364</v>
      </c>
      <c r="AQ312" s="18">
        <f t="shared" si="117"/>
        <v>310</v>
      </c>
      <c r="AR312" s="18">
        <f t="shared" si="130"/>
        <v>7616.131510586797</v>
      </c>
      <c r="AS312" s="18">
        <f t="shared" si="109"/>
        <v>11.4</v>
      </c>
      <c r="AT312" s="50">
        <f t="shared" si="131"/>
        <v>-0.89752313145936569</v>
      </c>
      <c r="AU312" s="50">
        <f t="shared" si="132"/>
        <v>-2.0951218142771566E-2</v>
      </c>
      <c r="AV312" s="2">
        <f t="shared" si="133"/>
        <v>-2.865610750519636</v>
      </c>
      <c r="AW312" s="16">
        <f t="shared" si="127"/>
        <v>7.4992262663533289</v>
      </c>
      <c r="AZ312" s="16"/>
      <c r="BA312" s="2"/>
    </row>
    <row r="313" spans="1:53" x14ac:dyDescent="0.25">
      <c r="A313">
        <v>311</v>
      </c>
      <c r="B313" s="1">
        <f>ROUND((A313+Forudsætninger!$E$60)/30.4,1)</f>
        <v>11.4</v>
      </c>
      <c r="C313" s="1">
        <f>VLOOKUP((A313+Forudsætninger!$E$60),'Model tilvækst, slagteform, fe'!A:D,4,FALSE)</f>
        <v>473.98407521764295</v>
      </c>
      <c r="D313" s="3">
        <f t="shared" si="134"/>
        <v>916.35782406126509</v>
      </c>
      <c r="E313" s="3">
        <f>(1+Forudsætninger!$E$78)*C313</f>
        <v>436.06534920023154</v>
      </c>
      <c r="F313" s="2">
        <f t="shared" si="118"/>
        <v>0</v>
      </c>
      <c r="G313" s="1">
        <f t="shared" si="110"/>
        <v>436.06534920023154</v>
      </c>
      <c r="H313" s="3">
        <f t="shared" si="119"/>
        <v>843.04919813638435</v>
      </c>
      <c r="I313" s="3">
        <f t="shared" si="111"/>
        <v>1183.4898688110338</v>
      </c>
      <c r="J313" s="1">
        <f>VLOOKUP((A313+Forudsætninger!$E$60),'Model tilvækst, slagteform, fe'!G:K,4,FALSE)*(1+Forudsætninger!$E$79)</f>
        <v>53.987136356793044</v>
      </c>
      <c r="K313" s="17">
        <f t="shared" si="112"/>
        <v>235.41919467745473</v>
      </c>
      <c r="L313" s="17">
        <f t="shared" si="120"/>
        <v>500.09946824619078</v>
      </c>
      <c r="M313" s="3">
        <f>((K313-(('Model tilvækst, slagteform, fe'!$J$9/100)*'Model tilvækst, slagteform, fe'!$D$9))*1000/(A313+Forudsætninger!$E$60))</f>
        <v>620.12906784614256</v>
      </c>
      <c r="N313" s="17">
        <f t="shared" si="121"/>
        <v>1793.1378240062836</v>
      </c>
      <c r="O313" s="19">
        <f>IF( A313&lt;Forudsætninger!$C$14,(G313/100)*Forudsætninger!$C$13,(Forudsætninger!$C$15/1000)*Forudsætninger!$C$13)</f>
        <v>2.834424769801505</v>
      </c>
      <c r="P313" s="17" cm="1">
        <f t="array" ref="P313">INDEX('Model tilvækst, slagteform, fe'!$P$9:$P$375,MATCH(MIN(ABS('Model tilvækst, slagteform, fe'!$M$9:$M$375-G313)),ABS('Model tilvækst, slagteform, fe'!$M$9:$M$375-G313),0))*(1+Forudsætninger!$E$80)</f>
        <v>7.6069781991163321</v>
      </c>
      <c r="Q313" s="17">
        <f t="shared" si="122"/>
        <v>15.210930389095198</v>
      </c>
      <c r="R313" s="17">
        <f t="shared" si="123"/>
        <v>8.8570782912515433</v>
      </c>
      <c r="S313" s="17">
        <f t="shared" si="124"/>
        <v>4.8717920008025457</v>
      </c>
      <c r="T313" s="19">
        <f>(P313)*IF(N313&lt;Forudsætninger!$B$228,IF(N313&lt;Forudsætninger!$B$227,Forudsætninger!$B$225,Forudsætninger!$C$9),Forudsætninger!$C$11)+O313</f>
        <v>20.634753755733719</v>
      </c>
      <c r="U313" s="5">
        <f>Forudsætninger!$E$68+((K313-(Forudsætninger!$E$84)))*0.01</f>
        <v>7.0707556563462166</v>
      </c>
      <c r="V313" s="2">
        <f>U313+Forudsætninger!$E$69</f>
        <v>7.0707556563462166</v>
      </c>
      <c r="W313">
        <f t="shared" si="113"/>
        <v>1</v>
      </c>
      <c r="X313">
        <f>IF(A313+Forudsætninger!$E$60&gt;248,IF(A313+Forudsætninger!$E$60&lt;365,IF(K313&gt;180,IF(K313&lt;260,1,0),0),0),0)</f>
        <v>1</v>
      </c>
      <c r="Y313" s="22">
        <f>IF(X313=0,0,IF('Vækstfunktion, kry kvie'!A313&lt;Forudsætninger!$E$66,Forudsætninger!$E$67+(('Vækstfunktion, kry kvie'!A313-Forudsætninger!$E$66)/7)*Forudsætninger!$E$64,Forudsætninger!$E$67))</f>
        <v>0.98</v>
      </c>
      <c r="Z313" s="19">
        <f t="shared" si="128"/>
        <v>5215.6911369167146</v>
      </c>
      <c r="AA313" s="19">
        <f>Forudsætninger!$E$62+Forudsætninger!$C$16</f>
        <v>1575</v>
      </c>
      <c r="AB313" s="19">
        <f>IF(K313&gt;Forudsætninger!$C$48,IF(K313&gt;Forudsætninger!$C$49,IF(K313&gt;Forudsætninger!$C$50,Forudsætninger!$E$50,Forudsætninger!$E$49+Forudsætninger!$F$50*(K313-Forudsætninger!$C$49)),Forudsætninger!$E$48+Forudsætninger!$F$49*(K313-Forudsætninger!$C$48)),Forudsætninger!$E$48)+IF(K313&gt;Forudsætninger!$C$50,Forudsætninger!$G$50,IF(K313&gt;Forudsætninger!$C$49,Forudsætninger!$G$49+Forudsætninger!$H$50*(K313-Forudsætninger!$C$49),IF(K313&gt;Forudsætninger!$C$48,Forudsætninger!$G$48+Forudsætninger!$H$49*(K313-Forudsætninger!$C$48),Forudsætninger!$G$48)))*(U313-Forudsætninger!$H$48)</f>
        <v>36.883685465836898</v>
      </c>
      <c r="AC313" s="19">
        <f>IF(K313&gt;Forudsætninger!$C$52,IF(K313&gt;Forudsætninger!$C$53,IF(K313&gt;Forudsætninger!$C$54,Forudsætninger!$E$54,Forudsætninger!$E$53+Forudsætninger!$F$54*(K313-Forudsætninger!$C$53)),Forudsætninger!$E$52+Forudsætninger!$F$53*(K313-Forudsætninger!$C$52)),Forudsætninger!$E$52)+IF(K313&gt;Forudsætninger!$C$54,Forudsætninger!$G$54,IF(K313&gt;Forudsætninger!$C$53,Forudsætninger!$G$53+Forudsætninger!$H$54*(K313-Forudsætninger!$C$53),IF(K313&gt;Forudsætninger!$C$52,Forudsætninger!$G$52+Forudsætninger!$H$53*(K313-Forudsætninger!$C$52),Forudsætninger!$G$52)))*(V313-Forudsætninger!$H$52)</f>
        <v>31.283189724143448</v>
      </c>
      <c r="AD313" s="19">
        <f t="shared" si="114"/>
        <v>8656.7582451577837</v>
      </c>
      <c r="AE313" s="19">
        <f t="shared" si="115"/>
        <v>36.771675551003028</v>
      </c>
      <c r="AF313">
        <f>IF(G313&lt;=Forudsætninger!$C$97,Forudsætninger!$C$98,(IF(G313&lt;=Forudsætninger!$D$97,Forudsætninger!$D$98,IF(G313&lt;=Forudsætninger!$E$97,Forudsætninger!$E$98,IF(G313&lt;=Forudsætninger!$F$97,Forudsætninger!$F$98,IF(G313&lt;=Forudsætninger!$G$97,Forudsætninger!$G$98,IF(G313&lt;=Forudsætninger!$H$97,Forudsætninger!$H$98,IF(G313&lt;=Forudsætninger!$I$97,Forudsætninger!$I$98,Forudsætninger!$I$98))))))))</f>
        <v>4.4000000000000004</v>
      </c>
      <c r="AG313" s="1">
        <f t="shared" si="125"/>
        <v>4.4000000000000004</v>
      </c>
      <c r="AH313" s="1">
        <f t="shared" si="129"/>
        <v>1027.9999999999959</v>
      </c>
      <c r="AI313" s="1">
        <f t="shared" si="116"/>
        <v>3.3054662379421091</v>
      </c>
      <c r="AJ313" s="20">
        <f>+(W313*Forudsætninger!$C$12)</f>
        <v>900</v>
      </c>
      <c r="AK313" s="20">
        <f>Forudsætninger!$C$17</f>
        <v>250</v>
      </c>
      <c r="AL313" s="20">
        <f>IF(A313&lt;92,Forudsætninger!$C$20,Forudsætninger!$C$21)</f>
        <v>1.0566762728146013</v>
      </c>
      <c r="AM313" s="20">
        <f t="shared" si="126"/>
        <v>597.13180369863096</v>
      </c>
      <c r="AN313" s="19">
        <f>IFERROR(AD313+AJ313-AA313-Z313-AK313-AM313-Forudsætninger!$E$75,-999999)</f>
        <v>1727.7185432058225</v>
      </c>
      <c r="AO313" s="19">
        <f>IFERROR(AN313/(A313+Forudsætninger!$E$74),-999999)</f>
        <v>5.5553650906939627</v>
      </c>
      <c r="AP313" s="19">
        <f>IFERROR(((365/(A313+Forudsætninger!$E$74))*AN313)/(AI313+Forudsætninger!$E$73),-999999)</f>
        <v>593.68417569984058</v>
      </c>
      <c r="AQ313" s="18">
        <f t="shared" si="117"/>
        <v>311</v>
      </c>
      <c r="AR313" s="18">
        <f t="shared" si="130"/>
        <v>7637.8229406153459</v>
      </c>
      <c r="AS313" s="18">
        <f t="shared" si="109"/>
        <v>11.4</v>
      </c>
      <c r="AT313" s="50">
        <f t="shared" si="131"/>
        <v>-0.96647193789294761</v>
      </c>
      <c r="AU313" s="50">
        <f t="shared" si="132"/>
        <v>-2.1038183963184132E-2</v>
      </c>
      <c r="AV313" s="2">
        <f t="shared" si="133"/>
        <v>-2.8649691687030554</v>
      </c>
      <c r="AW313" s="16">
        <f t="shared" si="127"/>
        <v>7.4754030447088535</v>
      </c>
      <c r="AZ313" s="16"/>
      <c r="BA313" s="2"/>
    </row>
    <row r="314" spans="1:53" x14ac:dyDescent="0.25">
      <c r="A314">
        <v>312</v>
      </c>
      <c r="B314" s="1">
        <f>ROUND((A314+Forudsætninger!$E$60)/30.4,1)</f>
        <v>11.4</v>
      </c>
      <c r="C314" s="1">
        <f>VLOOKUP((A314+Forudsætninger!$E$60),'Model tilvækst, slagteform, fe'!A:D,4,FALSE)</f>
        <v>474.89650558203209</v>
      </c>
      <c r="D314" s="3">
        <f t="shared" si="134"/>
        <v>912.43036438913805</v>
      </c>
      <c r="E314" s="3">
        <f>(1+Forudsætninger!$E$78)*C314</f>
        <v>436.90478513546952</v>
      </c>
      <c r="F314" s="2">
        <f t="shared" si="118"/>
        <v>0</v>
      </c>
      <c r="G314" s="1">
        <f t="shared" si="110"/>
        <v>436.90478513546952</v>
      </c>
      <c r="H314" s="3">
        <f t="shared" si="119"/>
        <v>839.43593523798654</v>
      </c>
      <c r="I314" s="3">
        <f t="shared" si="111"/>
        <v>1182.3871318444535</v>
      </c>
      <c r="J314" s="1">
        <f>VLOOKUP((A314+Forudsætninger!$E$60),'Model tilvækst, slagteform, fe'!G:K,4,FALSE)*(1+Forudsætninger!$E$79)</f>
        <v>53.997471489179013</v>
      </c>
      <c r="K314" s="17">
        <f t="shared" si="112"/>
        <v>235.91753678838398</v>
      </c>
      <c r="L314" s="17">
        <f t="shared" si="120"/>
        <v>498.34211092925784</v>
      </c>
      <c r="M314" s="3">
        <f>((K314-(('Model tilvækst, slagteform, fe'!$J$9/100)*'Model tilvækst, slagteform, fe'!$D$9))*1000/(A314+Forudsætninger!$E$60))</f>
        <v>619.77910532626652</v>
      </c>
      <c r="N314" s="17">
        <f t="shared" si="121"/>
        <v>1800.7495759119538</v>
      </c>
      <c r="O314" s="19">
        <f>IF( A314&lt;Forudsætninger!$C$14,(G314/100)*Forudsætninger!$C$13,(Forudsætninger!$C$15/1000)*Forudsætninger!$C$13)</f>
        <v>2.8398811033805522</v>
      </c>
      <c r="P314" s="17" cm="1">
        <f t="array" ref="P314">INDEX('Model tilvækst, slagteform, fe'!$P$9:$P$375,MATCH(MIN(ABS('Model tilvækst, slagteform, fe'!$M$9:$M$375-G314)),ABS('Model tilvækst, slagteform, fe'!$M$9:$M$375-G314),0))*(1+Forudsætninger!$E$80)</f>
        <v>7.6117519056702685</v>
      </c>
      <c r="Q314" s="17">
        <f t="shared" si="122"/>
        <v>15.274149502390326</v>
      </c>
      <c r="R314" s="17">
        <f t="shared" si="123"/>
        <v>8.8728352916051136</v>
      </c>
      <c r="S314" s="17">
        <f t="shared" si="124"/>
        <v>4.8813397073466556</v>
      </c>
      <c r="T314" s="19">
        <f>(P314)*IF(N314&lt;Forudsætninger!$B$228,IF(N314&lt;Forudsætninger!$B$227,Forudsætninger!$B$225,Forudsætninger!$C$9),Forudsætninger!$C$11)+O314</f>
        <v>20.651380562648978</v>
      </c>
      <c r="U314" s="5">
        <f>Forudsætninger!$E$68+((K314-(Forudsætninger!$E$84)))*0.01</f>
        <v>7.0757390774555091</v>
      </c>
      <c r="V314" s="2">
        <f>U314+Forudsætninger!$E$69</f>
        <v>7.0757390774555091</v>
      </c>
      <c r="W314">
        <f t="shared" si="113"/>
        <v>1</v>
      </c>
      <c r="X314">
        <f>IF(A314+Forudsætninger!$E$60&gt;248,IF(A314+Forudsætninger!$E$60&lt;365,IF(K314&gt;180,IF(K314&lt;260,1,0),0),0),0)</f>
        <v>1</v>
      </c>
      <c r="Y314" s="22">
        <f>IF(X314=0,0,IF('Vækstfunktion, kry kvie'!A314&lt;Forudsætninger!$E$66,Forudsætninger!$E$67+(('Vækstfunktion, kry kvie'!A314-Forudsætninger!$E$66)/7)*Forudsætninger!$E$64,Forudsætninger!$E$67))</f>
        <v>0.98</v>
      </c>
      <c r="Z314" s="19">
        <f t="shared" si="128"/>
        <v>5236.3425174793638</v>
      </c>
      <c r="AA314" s="19">
        <f>Forudsætninger!$E$62+Forudsætninger!$C$16</f>
        <v>1575</v>
      </c>
      <c r="AB314" s="19">
        <f>IF(K314&gt;Forudsætninger!$C$48,IF(K314&gt;Forudsætninger!$C$49,IF(K314&gt;Forudsætninger!$C$50,Forudsætninger!$E$50,Forudsætninger!$E$49+Forudsætninger!$F$50*(K314-Forudsætninger!$C$49)),Forudsætninger!$E$48+Forudsætninger!$F$49*(K314-Forudsætninger!$C$48)),Forudsætninger!$E$48)+IF(K314&gt;Forudsætninger!$C$50,Forudsætninger!$G$50,IF(K314&gt;Forudsætninger!$C$49,Forudsætninger!$G$49+Forudsætninger!$H$50*(K314-Forudsætninger!$C$49),IF(K314&gt;Forudsætninger!$C$48,Forudsætninger!$G$48+Forudsætninger!$H$49*(K314-Forudsætninger!$C$48),Forudsætninger!$G$48)))*(U314-Forudsætninger!$H$48)</f>
        <v>36.89352772252775</v>
      </c>
      <c r="AC314" s="19">
        <f>IF(K314&gt;Forudsætninger!$C$52,IF(K314&gt;Forudsætninger!$C$53,IF(K314&gt;Forudsætninger!$C$54,Forudsætninger!$E$54,Forudsætninger!$E$53+Forudsætninger!$F$54*(K314-Forudsætninger!$C$53)),Forudsætninger!$E$52+Forudsætninger!$F$53*(K314-Forudsætninger!$C$52)),Forudsætninger!$E$52)+IF(K314&gt;Forudsætninger!$C$54,Forudsætninger!$G$54,IF(K314&gt;Forudsætninger!$C$53,Forudsætninger!$G$53+Forudsætninger!$H$54*(K314-Forudsætninger!$C$53),IF(K314&gt;Forudsætninger!$C$52,Forudsætninger!$G$52+Forudsætninger!$H$53*(K314-Forudsætninger!$C$52),Forudsætninger!$G$52)))*(V314-Forudsætninger!$H$52)</f>
        <v>31.29624012978493</v>
      </c>
      <c r="AD314" s="19">
        <f t="shared" si="114"/>
        <v>8677.4202177011848</v>
      </c>
      <c r="AE314" s="19">
        <f t="shared" si="115"/>
        <v>36.781581970672896</v>
      </c>
      <c r="AF314">
        <f>IF(G314&lt;=Forudsætninger!$C$97,Forudsætninger!$C$98,(IF(G314&lt;=Forudsætninger!$D$97,Forudsætninger!$D$98,IF(G314&lt;=Forudsætninger!$E$97,Forudsætninger!$E$98,IF(G314&lt;=Forudsætninger!$F$97,Forudsætninger!$F$98,IF(G314&lt;=Forudsætninger!$G$97,Forudsætninger!$G$98,IF(G314&lt;=Forudsætninger!$H$97,Forudsætninger!$H$98,IF(G314&lt;=Forudsætninger!$I$97,Forudsætninger!$I$98,Forudsætninger!$I$98))))))))</f>
        <v>4.4000000000000004</v>
      </c>
      <c r="AG314" s="1">
        <f t="shared" si="125"/>
        <v>4.4000000000000004</v>
      </c>
      <c r="AH314" s="1">
        <f t="shared" si="129"/>
        <v>1032.399999999996</v>
      </c>
      <c r="AI314" s="1">
        <f t="shared" si="116"/>
        <v>3.3089743589743463</v>
      </c>
      <c r="AJ314" s="20">
        <f>+(W314*Forudsætninger!$C$12)</f>
        <v>900</v>
      </c>
      <c r="AK314" s="20">
        <f>Forudsætninger!$C$17</f>
        <v>250</v>
      </c>
      <c r="AL314" s="20">
        <f>IF(A314&lt;92,Forudsætninger!$C$20,Forudsætninger!$C$21)</f>
        <v>1.0566762728146013</v>
      </c>
      <c r="AM314" s="20">
        <f t="shared" si="126"/>
        <v>598.18847997144553</v>
      </c>
      <c r="AN314" s="19">
        <f>IFERROR(AD314+AJ314-AA314-Z314-AK314-AM314-Forudsætninger!$E$75,-999999)</f>
        <v>1726.6724589137598</v>
      </c>
      <c r="AO314" s="19">
        <f>IFERROR(AN314/(A314+Forudsætninger!$E$74),-999999)</f>
        <v>5.5342065990825633</v>
      </c>
      <c r="AP314" s="19">
        <f>IFERROR(((365/(A314+Forudsætninger!$E$74))*AN314)/(AI314+Forudsætninger!$E$73),-999999)</f>
        <v>590.81619122499319</v>
      </c>
      <c r="AQ314" s="18">
        <f t="shared" si="117"/>
        <v>312</v>
      </c>
      <c r="AR314" s="18">
        <f t="shared" si="130"/>
        <v>7659.5309974508091</v>
      </c>
      <c r="AS314" s="18">
        <f t="shared" si="109"/>
        <v>11.4</v>
      </c>
      <c r="AT314" s="50">
        <f t="shared" si="131"/>
        <v>-1.0460842920626874</v>
      </c>
      <c r="AU314" s="50">
        <f t="shared" si="132"/>
        <v>-2.1158491611399377E-2</v>
      </c>
      <c r="AV314" s="2">
        <f t="shared" si="133"/>
        <v>-2.8679844748473897</v>
      </c>
      <c r="AW314" s="16">
        <f t="shared" si="127"/>
        <v>7.4514773682218127</v>
      </c>
      <c r="AZ314" s="16"/>
      <c r="BA314" s="2"/>
    </row>
    <row r="315" spans="1:53" x14ac:dyDescent="0.25">
      <c r="A315">
        <v>313</v>
      </c>
      <c r="B315" s="1">
        <f>ROUND((A315+Forudsætninger!$E$60)/30.4,1)</f>
        <v>11.5</v>
      </c>
      <c r="C315" s="1">
        <f>VLOOKUP((A315+Forudsætninger!$E$60),'Model tilvækst, slagteform, fe'!A:D,4,FALSE)</f>
        <v>475.8050417589123</v>
      </c>
      <c r="D315" s="3">
        <f t="shared" si="134"/>
        <v>908.53617688020449</v>
      </c>
      <c r="E315" s="3">
        <f>(1+Forudsætninger!$E$78)*C315</f>
        <v>437.74063841819935</v>
      </c>
      <c r="F315" s="2">
        <f t="shared" si="118"/>
        <v>0</v>
      </c>
      <c r="G315" s="1">
        <f t="shared" si="110"/>
        <v>437.74063841819935</v>
      </c>
      <c r="H315" s="3">
        <f t="shared" si="119"/>
        <v>835.85328272982906</v>
      </c>
      <c r="I315" s="3">
        <f t="shared" si="111"/>
        <v>1181.279994946324</v>
      </c>
      <c r="J315" s="1">
        <f>VLOOKUP((A315+Forudsætninger!$E$60),'Model tilvækst, slagteform, fe'!G:K,4,FALSE)*(1+Forudsætninger!$E$79)</f>
        <v>54.007810855942289</v>
      </c>
      <c r="K315" s="17">
        <f t="shared" si="112"/>
        <v>236.41413603649534</v>
      </c>
      <c r="L315" s="17">
        <f t="shared" si="120"/>
        <v>496.5992481113517</v>
      </c>
      <c r="M315" s="3">
        <f>((K315-(('Model tilvækst, slagteform, fe'!$J$9/100)*'Model tilvækst, slagteform, fe'!$D$9))*1000/(A315+Forudsætninger!$E$60))</f>
        <v>619.42615444599448</v>
      </c>
      <c r="N315" s="17">
        <f t="shared" si="121"/>
        <v>1808.366165402723</v>
      </c>
      <c r="O315" s="19">
        <f>IF( A315&lt;Forudsætninger!$C$14,(G315/100)*Forudsætninger!$C$13,(Forudsætninger!$C$15/1000)*Forudsætninger!$C$13)</f>
        <v>2.8453141497182957</v>
      </c>
      <c r="P315" s="17" cm="1">
        <f t="array" ref="P315">INDEX('Model tilvækst, slagteform, fe'!$P$9:$P$375,MATCH(MIN(ABS('Model tilvækst, slagteform, fe'!$M$9:$M$375-G315)),ABS('Model tilvækst, slagteform, fe'!$M$9:$M$375-G315),0))*(1+Forudsætninger!$E$80)</f>
        <v>7.6165894907693179</v>
      </c>
      <c r="Q315" s="17">
        <f t="shared" si="122"/>
        <v>15.337497025491794</v>
      </c>
      <c r="R315" s="17">
        <f t="shared" si="123"/>
        <v>8.8886150222912725</v>
      </c>
      <c r="S315" s="17">
        <f t="shared" si="124"/>
        <v>4.8909045355121332</v>
      </c>
      <c r="T315" s="19">
        <f>(P315)*IF(N315&lt;Forudsætninger!$B$228,IF(N315&lt;Forudsætninger!$B$227,Forudsætninger!$B$225,Forudsætninger!$C$9),Forudsætninger!$C$11)+O315</f>
        <v>20.668133558118498</v>
      </c>
      <c r="U315" s="5">
        <f>Forudsætninger!$E$68+((K315-(Forudsætninger!$E$84)))*0.01</f>
        <v>7.0807050699366227</v>
      </c>
      <c r="V315" s="2">
        <f>U315+Forudsætninger!$E$69</f>
        <v>7.0807050699366227</v>
      </c>
      <c r="W315">
        <f t="shared" si="113"/>
        <v>1</v>
      </c>
      <c r="X315">
        <f>IF(A315+Forudsætninger!$E$60&gt;248,IF(A315+Forudsætninger!$E$60&lt;365,IF(K315&gt;180,IF(K315&lt;260,1,0),0),0),0)</f>
        <v>1</v>
      </c>
      <c r="Y315" s="22">
        <f>IF(X315=0,0,IF('Vækstfunktion, kry kvie'!A315&lt;Forudsætninger!$E$66,Forudsætninger!$E$67+(('Vækstfunktion, kry kvie'!A315-Forudsætninger!$E$66)/7)*Forudsætninger!$E$64,Forudsætninger!$E$67))</f>
        <v>0.98</v>
      </c>
      <c r="Z315" s="19">
        <f t="shared" si="128"/>
        <v>5257.0106510374826</v>
      </c>
      <c r="AA315" s="19">
        <f>Forudsætninger!$E$62+Forudsætninger!$C$16</f>
        <v>1575</v>
      </c>
      <c r="AB315" s="19">
        <f>IF(K315&gt;Forudsætninger!$C$48,IF(K315&gt;Forudsætninger!$C$49,IF(K315&gt;Forudsætninger!$C$50,Forudsætninger!$E$50,Forudsætninger!$E$49+Forudsætninger!$F$50*(K315-Forudsætninger!$C$49)),Forudsætninger!$E$48+Forudsætninger!$F$49*(K315-Forudsætninger!$C$48)),Forudsætninger!$E$48)+IF(K315&gt;Forudsætninger!$C$50,Forudsætninger!$G$50,IF(K315&gt;Forudsætninger!$C$49,Forudsætninger!$G$49+Forudsætninger!$H$50*(K315-Forudsætninger!$C$49),IF(K315&gt;Forudsætninger!$C$48,Forudsætninger!$G$48+Forudsætninger!$H$49*(K315-Forudsætninger!$C$48),Forudsætninger!$G$48)))*(U315-Forudsætninger!$H$48)</f>
        <v>36.903335557677948</v>
      </c>
      <c r="AC315" s="19">
        <f>IF(K315&gt;Forudsætninger!$C$52,IF(K315&gt;Forudsætninger!$C$53,IF(K315&gt;Forudsætninger!$C$54,Forudsætninger!$E$54,Forudsætninger!$E$53+Forudsætninger!$F$54*(K315-Forudsætninger!$C$53)),Forudsætninger!$E$52+Forudsætninger!$F$53*(K315-Forudsætninger!$C$52)),Forudsætninger!$E$52)+IF(K315&gt;Forudsætninger!$C$54,Forudsætninger!$G$54,IF(K315&gt;Forudsætninger!$C$53,Forudsætninger!$G$53+Forudsætninger!$H$54*(K315-Forudsætninger!$C$53),IF(K315&gt;Forudsætninger!$C$52,Forudsætninger!$G$52+Forudsætninger!$H$53*(K315-Forudsætninger!$C$52),Forudsætninger!$G$52)))*(V315-Forudsætninger!$H$52)</f>
        <v>31.309234600474028</v>
      </c>
      <c r="AD315" s="19">
        <f t="shared" si="114"/>
        <v>8698.0197018393446</v>
      </c>
      <c r="AE315" s="19">
        <f t="shared" si="115"/>
        <v>36.791453538533872</v>
      </c>
      <c r="AF315">
        <f>IF(G315&lt;=Forudsætninger!$C$97,Forudsætninger!$C$98,(IF(G315&lt;=Forudsætninger!$D$97,Forudsætninger!$D$98,IF(G315&lt;=Forudsætninger!$E$97,Forudsætninger!$E$98,IF(G315&lt;=Forudsætninger!$F$97,Forudsætninger!$F$98,IF(G315&lt;=Forudsætninger!$G$97,Forudsætninger!$G$98,IF(G315&lt;=Forudsætninger!$H$97,Forudsætninger!$H$98,IF(G315&lt;=Forudsætninger!$I$97,Forudsætninger!$I$98,Forudsætninger!$I$98))))))))</f>
        <v>4.4000000000000004</v>
      </c>
      <c r="AG315" s="1">
        <f t="shared" si="125"/>
        <v>4.4000000000000004</v>
      </c>
      <c r="AH315" s="1">
        <f t="shared" si="129"/>
        <v>1036.7999999999961</v>
      </c>
      <c r="AI315" s="1">
        <f t="shared" si="116"/>
        <v>3.3124600638977513</v>
      </c>
      <c r="AJ315" s="20">
        <f>+(W315*Forudsætninger!$C$12)</f>
        <v>900</v>
      </c>
      <c r="AK315" s="20">
        <f>Forudsætninger!$C$17</f>
        <v>250</v>
      </c>
      <c r="AL315" s="20">
        <f>IF(A315&lt;92,Forudsætninger!$C$20,Forudsætninger!$C$21)</f>
        <v>1.0566762728146013</v>
      </c>
      <c r="AM315" s="20">
        <f t="shared" si="126"/>
        <v>599.2451562442601</v>
      </c>
      <c r="AN315" s="19">
        <f>IFERROR(AD315+AJ315-AA315-Z315-AK315-AM315-Forudsætninger!$E$75,-999999)</f>
        <v>1725.5471332209861</v>
      </c>
      <c r="AO315" s="19">
        <f>IFERROR(AN315/(A315+Forudsætninger!$E$74),-999999)</f>
        <v>5.5129301380862179</v>
      </c>
      <c r="AP315" s="19">
        <f>IFERROR(((365/(A315+Forudsætninger!$E$74))*AN315)/(AI315+Forudsætninger!$E$73),-999999)</f>
        <v>587.94535592324917</v>
      </c>
      <c r="AQ315" s="18">
        <f t="shared" si="117"/>
        <v>313</v>
      </c>
      <c r="AR315" s="18">
        <f t="shared" si="130"/>
        <v>7681.2558072817428</v>
      </c>
      <c r="AS315" s="18">
        <f t="shared" si="109"/>
        <v>11.5</v>
      </c>
      <c r="AT315" s="50">
        <f t="shared" si="131"/>
        <v>-1.1253256927736857</v>
      </c>
      <c r="AU315" s="50">
        <f t="shared" si="132"/>
        <v>-2.1276460996345392E-2</v>
      </c>
      <c r="AV315" s="2">
        <f t="shared" si="133"/>
        <v>-2.8708353017440231</v>
      </c>
      <c r="AW315" s="16">
        <f t="shared" si="127"/>
        <v>7.4274514040423201</v>
      </c>
      <c r="AZ315" s="16"/>
      <c r="BA315" s="2"/>
    </row>
    <row r="316" spans="1:53" x14ac:dyDescent="0.25">
      <c r="A316">
        <v>314</v>
      </c>
      <c r="B316" s="1">
        <f>ROUND((A316+Forudsætninger!$E$60)/30.4,1)</f>
        <v>11.5</v>
      </c>
      <c r="C316" s="1">
        <f>VLOOKUP((A316+Forudsætninger!$E$60),'Model tilvækst, slagteform, fe'!A:D,4,FALSE)</f>
        <v>476.70971760546701</v>
      </c>
      <c r="D316" s="3">
        <f t="shared" si="134"/>
        <v>904.67584655471001</v>
      </c>
      <c r="E316" s="3">
        <f>(1+Forudsætninger!$E$78)*C316</f>
        <v>438.57294019702965</v>
      </c>
      <c r="F316" s="2">
        <f t="shared" si="118"/>
        <v>0</v>
      </c>
      <c r="G316" s="1">
        <f t="shared" si="110"/>
        <v>438.57294019702965</v>
      </c>
      <c r="H316" s="3">
        <f t="shared" si="119"/>
        <v>832.3017788302991</v>
      </c>
      <c r="I316" s="3">
        <f t="shared" si="111"/>
        <v>1180.1685993535978</v>
      </c>
      <c r="J316" s="1">
        <f>VLOOKUP((A316+Forudsætninger!$E$60),'Model tilvækst, slagteform, fe'!G:K,4,FALSE)*(1+Forudsætninger!$E$79)</f>
        <v>54.018154221839687</v>
      </c>
      <c r="K316" s="17">
        <f t="shared" si="112"/>
        <v>236.90900721088821</v>
      </c>
      <c r="L316" s="17">
        <f t="shared" si="120"/>
        <v>494.87117439286976</v>
      </c>
      <c r="M316" s="3">
        <f>((K316-(('Model tilvækst, slagteform, fe'!$J$9/100)*'Model tilvækst, slagteform, fe'!$D$9))*1000/(A316+Forudsætninger!$E$60))</f>
        <v>619.07028307441419</v>
      </c>
      <c r="N316" s="17">
        <f t="shared" si="121"/>
        <v>1815.9876542965383</v>
      </c>
      <c r="O316" s="19">
        <f>IF( A316&lt;Forudsætninger!$C$14,(G316/100)*Forudsætninger!$C$13,(Forudsætninger!$C$15/1000)*Forudsætninger!$C$13)</f>
        <v>2.8507241112806927</v>
      </c>
      <c r="P316" s="17" cm="1">
        <f t="array" ref="P316">INDEX('Model tilvækst, slagteform, fe'!$P$9:$P$375,MATCH(MIN(ABS('Model tilvækst, slagteform, fe'!$M$9:$M$375-G316)),ABS('Model tilvækst, slagteform, fe'!$M$9:$M$375-G316),0))*(1+Forudsætninger!$E$80)</f>
        <v>7.6214888938152496</v>
      </c>
      <c r="Q316" s="17">
        <f t="shared" si="122"/>
        <v>15.400955416660983</v>
      </c>
      <c r="R316" s="17">
        <f t="shared" si="123"/>
        <v>8.9044173792205559</v>
      </c>
      <c r="S316" s="17">
        <f t="shared" si="124"/>
        <v>4.9004864017620857</v>
      </c>
      <c r="T316" s="19">
        <f>(P316)*IF(N316&lt;Forudsætninger!$B$228,IF(N316&lt;Forudsætninger!$B$227,Forudsætninger!$B$225,Forudsætninger!$C$9),Forudsætninger!$C$11)+O316</f>
        <v>20.685008122808377</v>
      </c>
      <c r="U316" s="5">
        <f>Forudsætninger!$E$68+((K316-(Forudsætninger!$E$84)))*0.01</f>
        <v>7.0856537816805512</v>
      </c>
      <c r="V316" s="2">
        <f>U316+Forudsætninger!$E$69</f>
        <v>7.0856537816805512</v>
      </c>
      <c r="W316">
        <f t="shared" si="113"/>
        <v>1</v>
      </c>
      <c r="X316">
        <f>IF(A316+Forudsætninger!$E$60&gt;248,IF(A316+Forudsætninger!$E$60&lt;365,IF(K316&gt;180,IF(K316&lt;260,1,0),0),0),0)</f>
        <v>1</v>
      </c>
      <c r="Y316" s="22">
        <f>IF(X316=0,0,IF('Vækstfunktion, kry kvie'!A316&lt;Forudsætninger!$E$66,Forudsætninger!$E$67+(('Vækstfunktion, kry kvie'!A316-Forudsætninger!$E$66)/7)*Forudsætninger!$E$64,Forudsætninger!$E$67))</f>
        <v>0.98</v>
      </c>
      <c r="Z316" s="19">
        <f t="shared" si="128"/>
        <v>5277.6956591602911</v>
      </c>
      <c r="AA316" s="19">
        <f>Forudsætninger!$E$62+Forudsætninger!$C$16</f>
        <v>1575</v>
      </c>
      <c r="AB316" s="19">
        <f>IF(K316&gt;Forudsætninger!$C$48,IF(K316&gt;Forudsætninger!$C$49,IF(K316&gt;Forudsætninger!$C$50,Forudsætninger!$E$50,Forudsætninger!$E$49+Forudsætninger!$F$50*(K316-Forudsætninger!$C$49)),Forudsætninger!$E$48+Forudsætninger!$F$49*(K316-Forudsætninger!$C$48)),Forudsætninger!$E$48)+IF(K316&gt;Forudsætninger!$C$50,Forudsætninger!$G$50,IF(K316&gt;Forudsætninger!$C$49,Forudsætninger!$G$49+Forudsætninger!$H$50*(K316-Forudsætninger!$C$49),IF(K316&gt;Forudsætninger!$C$48,Forudsætninger!$G$48+Forudsætninger!$H$49*(K316-Forudsætninger!$C$48),Forudsætninger!$G$48)))*(U316-Forudsætninger!$H$48)</f>
        <v>36.913109263372213</v>
      </c>
      <c r="AC316" s="19">
        <f>IF(K316&gt;Forudsætninger!$C$52,IF(K316&gt;Forudsætninger!$C$53,IF(K316&gt;Forudsætninger!$C$54,Forudsætninger!$E$54,Forudsætninger!$E$53+Forudsætninger!$F$54*(K316-Forudsætninger!$C$53)),Forudsætninger!$E$52+Forudsætninger!$F$53*(K316-Forudsætninger!$C$52)),Forudsætninger!$E$52)+IF(K316&gt;Forudsætninger!$C$54,Forudsætninger!$G$54,IF(K316&gt;Forudsætninger!$C$53,Forudsætninger!$G$53+Forudsætninger!$H$54*(K316-Forudsætninger!$C$53),IF(K316&gt;Forudsætninger!$C$52,Forudsætninger!$G$52+Forudsætninger!$H$53*(K316-Forudsætninger!$C$52),Forudsætninger!$G$52)))*(V316-Forudsætninger!$H$52)</f>
        <v>31.32217363092596</v>
      </c>
      <c r="AD316" s="19">
        <f t="shared" si="114"/>
        <v>8718.5572084512951</v>
      </c>
      <c r="AE316" s="19">
        <f t="shared" si="115"/>
        <v>36.801290550723287</v>
      </c>
      <c r="AF316">
        <f>IF(G316&lt;=Forudsætninger!$C$97,Forudsætninger!$C$98,(IF(G316&lt;=Forudsætninger!$D$97,Forudsætninger!$D$98,IF(G316&lt;=Forudsætninger!$E$97,Forudsætninger!$E$98,IF(G316&lt;=Forudsætninger!$F$97,Forudsætninger!$F$98,IF(G316&lt;=Forudsætninger!$G$97,Forudsætninger!$G$98,IF(G316&lt;=Forudsætninger!$H$97,Forudsætninger!$H$98,IF(G316&lt;=Forudsætninger!$I$97,Forudsætninger!$I$98,Forudsætninger!$I$98))))))))</f>
        <v>4.4000000000000004</v>
      </c>
      <c r="AG316" s="1">
        <f t="shared" si="125"/>
        <v>4.4000000000000004</v>
      </c>
      <c r="AH316" s="1">
        <f t="shared" si="129"/>
        <v>1041.1999999999962</v>
      </c>
      <c r="AI316" s="1">
        <f t="shared" si="116"/>
        <v>3.3159235668789688</v>
      </c>
      <c r="AJ316" s="20">
        <f>+(W316*Forudsætninger!$C$12)</f>
        <v>900</v>
      </c>
      <c r="AK316" s="20">
        <f>Forudsætninger!$C$17</f>
        <v>250</v>
      </c>
      <c r="AL316" s="20">
        <f>IF(A316&lt;92,Forudsætninger!$C$20,Forudsætninger!$C$21)</f>
        <v>1.0566762728146013</v>
      </c>
      <c r="AM316" s="20">
        <f t="shared" si="126"/>
        <v>600.30183251707467</v>
      </c>
      <c r="AN316" s="19">
        <f>IFERROR(AD316+AJ316-AA316-Z316-AK316-AM316-Forudsætninger!$E$75,-999999)</f>
        <v>1724.3429554373135</v>
      </c>
      <c r="AO316" s="19">
        <f>IFERROR(AN316/(A316+Forudsætninger!$E$74),-999999)</f>
        <v>5.4915380746411255</v>
      </c>
      <c r="AP316" s="19">
        <f>IFERROR(((365/(A316+Forudsætninger!$E$74))*AN316)/(AI316+Forudsætninger!$E$73),-999999)</f>
        <v>585.07183774389887</v>
      </c>
      <c r="AQ316" s="18">
        <f t="shared" si="117"/>
        <v>314</v>
      </c>
      <c r="AR316" s="18">
        <f t="shared" si="130"/>
        <v>7702.9974916773663</v>
      </c>
      <c r="AS316" s="18">
        <f t="shared" si="109"/>
        <v>11.5</v>
      </c>
      <c r="AT316" s="50">
        <f t="shared" si="131"/>
        <v>-1.2041777836725487</v>
      </c>
      <c r="AU316" s="50">
        <f t="shared" si="132"/>
        <v>-2.1392063445092369E-2</v>
      </c>
      <c r="AV316" s="2">
        <f t="shared" si="133"/>
        <v>-2.8735181793502989</v>
      </c>
      <c r="AW316" s="16">
        <f t="shared" si="127"/>
        <v>7.4033273501732113</v>
      </c>
      <c r="AZ316" s="16"/>
      <c r="BA316" s="2"/>
    </row>
    <row r="317" spans="1:53" x14ac:dyDescent="0.25">
      <c r="A317">
        <v>315</v>
      </c>
      <c r="B317" s="1">
        <f>ROUND((A317+Forudsætninger!$E$60)/30.4,1)</f>
        <v>11.5</v>
      </c>
      <c r="C317" s="1">
        <f>VLOOKUP((A317+Forudsætninger!$E$60),'Model tilvækst, slagteform, fe'!A:D,4,FALSE)</f>
        <v>477.61056756389911</v>
      </c>
      <c r="D317" s="3">
        <f t="shared" si="134"/>
        <v>900.84995843210436</v>
      </c>
      <c r="E317" s="3">
        <f>(1+Forudsætninger!$E$78)*C317</f>
        <v>439.40172215878721</v>
      </c>
      <c r="F317" s="2">
        <f t="shared" si="118"/>
        <v>0</v>
      </c>
      <c r="G317" s="1">
        <f t="shared" si="110"/>
        <v>439.40172215878721</v>
      </c>
      <c r="H317" s="3">
        <f t="shared" si="119"/>
        <v>828.78196175755647</v>
      </c>
      <c r="I317" s="3">
        <f t="shared" si="111"/>
        <v>1179.0530862183721</v>
      </c>
      <c r="J317" s="1">
        <f>VLOOKUP((A317+Forudsætninger!$E$60),'Model tilvækst, slagteform, fe'!G:K,4,FALSE)*(1+Forudsætninger!$E$79)</f>
        <v>54.028501351628016</v>
      </c>
      <c r="K317" s="17">
        <f t="shared" si="112"/>
        <v>237.4021653956371</v>
      </c>
      <c r="L317" s="17">
        <f t="shared" si="120"/>
        <v>493.15818474889284</v>
      </c>
      <c r="M317" s="3">
        <f>((K317-(('Model tilvækst, slagteform, fe'!$J$9/100)*'Model tilvækst, slagteform, fe'!$D$9))*1000/(A317+Forudsætninger!$E$60))</f>
        <v>618.71155914756082</v>
      </c>
      <c r="N317" s="17">
        <f t="shared" si="121"/>
        <v>1823.6091431903535</v>
      </c>
      <c r="O317" s="19">
        <f>IF( A317&lt;Forudsætninger!$C$14,(G317/100)*Forudsætninger!$C$13,(Forudsætninger!$C$15/1000)*Forudsætninger!$C$13)</f>
        <v>2.8561111940321173</v>
      </c>
      <c r="P317" s="17" cm="1">
        <f t="array" ref="P317">INDEX('Model tilvækst, slagteform, fe'!$P$9:$P$375,MATCH(MIN(ABS('Model tilvækst, slagteform, fe'!$M$9:$M$375-G317)),ABS('Model tilvækst, slagteform, fe'!$M$9:$M$375-G317),0))*(1+Forudsætninger!$E$80)</f>
        <v>7.6214888938152496</v>
      </c>
      <c r="Q317" s="17">
        <f t="shared" si="122"/>
        <v>15.454450781742521</v>
      </c>
      <c r="R317" s="17">
        <f t="shared" si="123"/>
        <v>8.9202179751159214</v>
      </c>
      <c r="S317" s="17">
        <f t="shared" si="124"/>
        <v>4.9100718558615002</v>
      </c>
      <c r="T317" s="19">
        <f>(P317)*IF(N317&lt;Forudsætninger!$B$228,IF(N317&lt;Forudsætninger!$B$227,Forudsætninger!$B$225,Forudsætninger!$C$9),Forudsætninger!$C$11)+O317</f>
        <v>20.690395205559799</v>
      </c>
      <c r="U317" s="5">
        <f>Forudsætninger!$E$68+((K317-(Forudsætninger!$E$84)))*0.01</f>
        <v>7.0905853635280405</v>
      </c>
      <c r="V317" s="2">
        <f>U317+Forudsætninger!$E$69</f>
        <v>7.0905853635280405</v>
      </c>
      <c r="W317">
        <f t="shared" si="113"/>
        <v>1</v>
      </c>
      <c r="X317">
        <f>IF(A317+Forudsætninger!$E$60&gt;248,IF(A317+Forudsætninger!$E$60&lt;365,IF(K317&gt;180,IF(K317&lt;260,1,0),0),0),0)</f>
        <v>1</v>
      </c>
      <c r="Y317" s="22">
        <f>IF(X317=0,0,IF('Vækstfunktion, kry kvie'!A317&lt;Forudsætninger!$E$66,Forudsætninger!$E$67+(('Vækstfunktion, kry kvie'!A317-Forudsætninger!$E$66)/7)*Forudsætninger!$E$64,Forudsætninger!$E$67))</f>
        <v>0.98</v>
      </c>
      <c r="Z317" s="19">
        <f t="shared" si="128"/>
        <v>5298.3860543658511</v>
      </c>
      <c r="AA317" s="19">
        <f>Forudsætninger!$E$62+Forudsætninger!$C$16</f>
        <v>1575</v>
      </c>
      <c r="AB317" s="19">
        <f>IF(K317&gt;Forudsætninger!$C$48,IF(K317&gt;Forudsætninger!$C$49,IF(K317&gt;Forudsætninger!$C$50,Forudsætninger!$E$50,Forudsætninger!$E$49+Forudsætninger!$F$50*(K317-Forudsætninger!$C$49)),Forudsætninger!$E$48+Forudsætninger!$F$49*(K317-Forudsætninger!$C$48)),Forudsætninger!$E$48)+IF(K317&gt;Forudsætninger!$C$50,Forudsætninger!$G$50,IF(K317&gt;Forudsætninger!$C$49,Forudsætninger!$G$49+Forudsætninger!$H$50*(K317-Forudsætninger!$C$49),IF(K317&gt;Forudsætninger!$C$48,Forudsætninger!$G$48+Forudsætninger!$H$49*(K317-Forudsætninger!$C$48),Forudsætninger!$G$48)))*(U317-Forudsætninger!$H$48)</f>
        <v>36.922849137520998</v>
      </c>
      <c r="AC317" s="19">
        <f>IF(K317&gt;Forudsætninger!$C$52,IF(K317&gt;Forudsætninger!$C$53,IF(K317&gt;Forudsætninger!$C$54,Forudsætninger!$E$54,Forudsætninger!$E$53+Forudsætninger!$F$54*(K317-Forudsætninger!$C$53)),Forudsætninger!$E$52+Forudsætninger!$F$53*(K317-Forudsætninger!$C$52)),Forudsætninger!$E$52)+IF(K317&gt;Forudsætninger!$C$54,Forudsætninger!$G$54,IF(K317&gt;Forudsætninger!$C$53,Forudsætninger!$G$53+Forudsætninger!$H$54*(K317-Forudsætninger!$C$53),IF(K317&gt;Forudsætninger!$C$52,Forudsætninger!$G$52+Forudsætninger!$H$53*(K317-Forudsætninger!$C$52),Forudsætninger!$G$52)))*(V317-Forudsætninger!$H$52)</f>
        <v>31.33505772196413</v>
      </c>
      <c r="AD317" s="19">
        <f t="shared" si="114"/>
        <v>8739.0332621872694</v>
      </c>
      <c r="AE317" s="19">
        <f t="shared" si="115"/>
        <v>36.811093309209859</v>
      </c>
      <c r="AF317">
        <f>IF(G317&lt;=Forudsætninger!$C$97,Forudsætninger!$C$98,(IF(G317&lt;=Forudsætninger!$D$97,Forudsætninger!$D$98,IF(G317&lt;=Forudsætninger!$E$97,Forudsætninger!$E$98,IF(G317&lt;=Forudsætninger!$F$97,Forudsætninger!$F$98,IF(G317&lt;=Forudsætninger!$G$97,Forudsætninger!$G$98,IF(G317&lt;=Forudsætninger!$H$97,Forudsætninger!$H$98,IF(G317&lt;=Forudsætninger!$I$97,Forudsætninger!$I$98,Forudsætninger!$I$98))))))))</f>
        <v>4.4000000000000004</v>
      </c>
      <c r="AG317" s="1">
        <f t="shared" si="125"/>
        <v>4.4000000000000004</v>
      </c>
      <c r="AH317" s="1">
        <f t="shared" si="129"/>
        <v>1045.5999999999963</v>
      </c>
      <c r="AI317" s="1">
        <f t="shared" si="116"/>
        <v>3.3193650793650673</v>
      </c>
      <c r="AJ317" s="20">
        <f>+(W317*Forudsætninger!$C$12)</f>
        <v>900</v>
      </c>
      <c r="AK317" s="20">
        <f>Forudsætninger!$C$17</f>
        <v>250</v>
      </c>
      <c r="AL317" s="20">
        <f>IF(A317&lt;92,Forudsætninger!$C$20,Forudsætninger!$C$21)</f>
        <v>1.0566762728146013</v>
      </c>
      <c r="AM317" s="20">
        <f t="shared" si="126"/>
        <v>601.35850878988924</v>
      </c>
      <c r="AN317" s="19">
        <f>IFERROR(AD317+AJ317-AA317-Z317-AK317-AM317-Forudsætninger!$E$75,-999999)</f>
        <v>1723.0719376949135</v>
      </c>
      <c r="AO317" s="19">
        <f>IFERROR(AN317/(A317+Forudsætninger!$E$74),-999999)</f>
        <v>5.4700696434759157</v>
      </c>
      <c r="AP317" s="19">
        <f>IFERROR(((365/(A317+Forudsætninger!$E$74))*AN317)/(AI317+Forudsætninger!$E$73),-999999)</f>
        <v>582.19972900592052</v>
      </c>
      <c r="AQ317" s="18">
        <f t="shared" si="117"/>
        <v>315</v>
      </c>
      <c r="AR317" s="18">
        <f t="shared" si="130"/>
        <v>7724.7445631557403</v>
      </c>
      <c r="AS317" s="18">
        <f t="shared" si="109"/>
        <v>11.5</v>
      </c>
      <c r="AT317" s="50">
        <f t="shared" si="131"/>
        <v>-1.2710177424000904</v>
      </c>
      <c r="AU317" s="50">
        <f t="shared" si="132"/>
        <v>-2.14684311652098E-2</v>
      </c>
      <c r="AV317" s="2">
        <f t="shared" si="133"/>
        <v>-2.8721087379783512</v>
      </c>
      <c r="AW317" s="16">
        <f t="shared" si="127"/>
        <v>7.3791442745549292</v>
      </c>
      <c r="AZ317" s="16"/>
      <c r="BA317" s="2"/>
    </row>
    <row r="318" spans="1:53" x14ac:dyDescent="0.25">
      <c r="A318">
        <v>316</v>
      </c>
      <c r="B318" s="1">
        <f>ROUND((A318+Forudsætninger!$E$60)/30.4,1)</f>
        <v>11.6</v>
      </c>
      <c r="C318" s="1">
        <f>VLOOKUP((A318+Forudsætninger!$E$60),'Model tilvækst, slagteform, fe'!A:D,4,FALSE)</f>
        <v>478.50762666143368</v>
      </c>
      <c r="D318" s="3">
        <f t="shared" si="134"/>
        <v>897.05909753456581</v>
      </c>
      <c r="E318" s="3">
        <f>(1+Forudsætninger!$E$78)*C318</f>
        <v>440.22701652851902</v>
      </c>
      <c r="F318" s="2">
        <f t="shared" si="118"/>
        <v>0</v>
      </c>
      <c r="G318" s="1">
        <f t="shared" si="110"/>
        <v>440.22701652851902</v>
      </c>
      <c r="H318" s="3">
        <f t="shared" si="119"/>
        <v>825.29436973180736</v>
      </c>
      <c r="I318" s="3">
        <f t="shared" si="111"/>
        <v>1177.9335966092374</v>
      </c>
      <c r="J318" s="1">
        <f>VLOOKUP((A318+Forudsætninger!$E$60),'Model tilvækst, slagteform, fe'!G:K,4,FALSE)*(1+Forudsætninger!$E$79)</f>
        <v>54.038852010064076</v>
      </c>
      <c r="K318" s="17">
        <f t="shared" si="112"/>
        <v>237.89362597016671</v>
      </c>
      <c r="L318" s="17">
        <f t="shared" si="120"/>
        <v>491.46057452961145</v>
      </c>
      <c r="M318" s="3">
        <f>((K318-(('Model tilvækst, slagteform, fe'!$J$9/100)*'Model tilvækst, slagteform, fe'!$D$9))*1000/(A318+Forudsætninger!$E$60))</f>
        <v>618.3500506685325</v>
      </c>
      <c r="N318" s="17">
        <f t="shared" si="121"/>
        <v>1831.2355912445632</v>
      </c>
      <c r="O318" s="19">
        <f>IF( A318&lt;Forudsætninger!$C$14,(G318/100)*Forudsætninger!$C$13,(Forudsætninger!$C$15/1000)*Forudsætninger!$C$13)</f>
        <v>2.861475607435374</v>
      </c>
      <c r="P318" s="17" cm="1">
        <f t="array" ref="P318">INDEX('Model tilvækst, slagteform, fe'!$P$9:$P$375,MATCH(MIN(ABS('Model tilvækst, slagteform, fe'!$M$9:$M$375-G318)),ABS('Model tilvækst, slagteform, fe'!$M$9:$M$375-G318),0))*(1+Forudsætninger!$E$80)</f>
        <v>7.6264480542098338</v>
      </c>
      <c r="Q318" s="17">
        <f t="shared" si="122"/>
        <v>15.517924426612018</v>
      </c>
      <c r="R318" s="17">
        <f t="shared" si="123"/>
        <v>8.9360407479402966</v>
      </c>
      <c r="S318" s="17">
        <f t="shared" si="124"/>
        <v>4.9196740428008638</v>
      </c>
      <c r="T318" s="19">
        <f>(P318)*IF(N318&lt;Forudsætninger!$B$228,IF(N318&lt;Forudsætninger!$B$227,Forudsætninger!$B$225,Forudsætninger!$C$9),Forudsætninger!$C$11)+O318</f>
        <v>20.707364054286383</v>
      </c>
      <c r="U318" s="5">
        <f>Forudsætninger!$E$68+((K318-(Forudsætninger!$E$84)))*0.01</f>
        <v>7.0954999692733365</v>
      </c>
      <c r="V318" s="2">
        <f>U318+Forudsætninger!$E$69</f>
        <v>7.0954999692733365</v>
      </c>
      <c r="W318">
        <f t="shared" si="113"/>
        <v>1</v>
      </c>
      <c r="X318">
        <f>IF(A318+Forudsætninger!$E$60&gt;248,IF(A318+Forudsætninger!$E$60&lt;365,IF(K318&gt;180,IF(K318&lt;260,1,0),0),0),0)</f>
        <v>1</v>
      </c>
      <c r="Y318" s="22">
        <f>IF(X318=0,0,IF('Vækstfunktion, kry kvie'!A318&lt;Forudsætninger!$E$66,Forudsætninger!$E$67+(('Vækstfunktion, kry kvie'!A318-Forudsætninger!$E$66)/7)*Forudsætninger!$E$64,Forudsætninger!$E$67))</f>
        <v>0.98</v>
      </c>
      <c r="Z318" s="19">
        <f t="shared" si="128"/>
        <v>5319.0934184201378</v>
      </c>
      <c r="AA318" s="19">
        <f>Forudsætninger!$E$62+Forudsætninger!$C$16</f>
        <v>1575</v>
      </c>
      <c r="AB318" s="19">
        <f>IF(K318&gt;Forudsætninger!$C$48,IF(K318&gt;Forudsætninger!$C$49,IF(K318&gt;Forudsætninger!$C$50,Forudsætninger!$E$50,Forudsætninger!$E$49+Forudsætninger!$F$50*(K318-Forudsætninger!$C$49)),Forudsætninger!$E$48+Forudsætninger!$F$49*(K318-Forudsætninger!$C$48)),Forudsætninger!$E$48)+IF(K318&gt;Forudsætninger!$C$50,Forudsætninger!$G$50,IF(K318&gt;Forudsætninger!$C$49,Forudsætninger!$G$49+Forudsætninger!$H$50*(K318-Forudsætninger!$C$49),IF(K318&gt;Forudsætninger!$C$48,Forudsætninger!$G$48+Forudsætninger!$H$49*(K318-Forudsætninger!$C$48),Forudsætninger!$G$48)))*(U318-Forudsætninger!$H$48)</f>
        <v>36.932555483867958</v>
      </c>
      <c r="AC318" s="19">
        <f>IF(K318&gt;Forudsætninger!$C$52,IF(K318&gt;Forudsætninger!$C$53,IF(K318&gt;Forudsætninger!$C$54,Forudsætninger!$E$54,Forudsætninger!$E$53+Forudsætninger!$F$54*(K318-Forudsætninger!$C$53)),Forudsætninger!$E$52+Forudsætninger!$F$53*(K318-Forudsætninger!$C$52)),Forudsætninger!$E$52)+IF(K318&gt;Forudsætninger!$C$54,Forudsætninger!$G$54,IF(K318&gt;Forudsætninger!$C$53,Forudsætninger!$G$53+Forudsætninger!$H$54*(K318-Forudsætninger!$C$53),IF(K318&gt;Forudsætninger!$C$52,Forudsætninger!$G$52+Forudsætninger!$H$53*(K318-Forudsætninger!$C$52),Forudsætninger!$G$52)))*(V318-Forudsætninger!$H$52)</f>
        <v>31.347887380510336</v>
      </c>
      <c r="AD318" s="19">
        <f t="shared" si="114"/>
        <v>8759.4484015027592</v>
      </c>
      <c r="AE318" s="19">
        <f t="shared" si="115"/>
        <v>36.820862121800801</v>
      </c>
      <c r="AF318">
        <f>IF(G318&lt;=Forudsætninger!$C$97,Forudsætninger!$C$98,(IF(G318&lt;=Forudsætninger!$D$97,Forudsætninger!$D$98,IF(G318&lt;=Forudsætninger!$E$97,Forudsætninger!$E$98,IF(G318&lt;=Forudsætninger!$F$97,Forudsætninger!$F$98,IF(G318&lt;=Forudsætninger!$G$97,Forudsætninger!$G$98,IF(G318&lt;=Forudsætninger!$H$97,Forudsætninger!$H$98,IF(G318&lt;=Forudsætninger!$I$97,Forudsætninger!$I$98,Forudsætninger!$I$98))))))))</f>
        <v>4.4000000000000004</v>
      </c>
      <c r="AG318" s="1">
        <f t="shared" si="125"/>
        <v>4.4000000000000004</v>
      </c>
      <c r="AH318" s="1">
        <f t="shared" si="129"/>
        <v>1049.9999999999964</v>
      </c>
      <c r="AI318" s="1">
        <f t="shared" si="116"/>
        <v>3.3227848101265707</v>
      </c>
      <c r="AJ318" s="20">
        <f>+(W318*Forudsætninger!$C$12)</f>
        <v>900</v>
      </c>
      <c r="AK318" s="20">
        <f>Forudsætninger!$C$17</f>
        <v>250</v>
      </c>
      <c r="AL318" s="20">
        <f>IF(A318&lt;92,Forudsætninger!$C$20,Forudsætninger!$C$21)</f>
        <v>1.0566762728146013</v>
      </c>
      <c r="AM318" s="20">
        <f t="shared" si="126"/>
        <v>602.41518506270381</v>
      </c>
      <c r="AN318" s="19">
        <f>IFERROR(AD318+AJ318-AA318-Z318-AK318-AM318-Forudsætninger!$E$75,-999999)</f>
        <v>1721.7230366833019</v>
      </c>
      <c r="AO318" s="19">
        <f>IFERROR(AN318/(A318+Forudsætninger!$E$74),-999999)</f>
        <v>5.4484906224155125</v>
      </c>
      <c r="AP318" s="19">
        <f>IFERROR(((365/(A318+Forudsætninger!$E$74))*AN318)/(AI318+Forudsætninger!$E$73),-999999)</f>
        <v>579.32529627697124</v>
      </c>
      <c r="AQ318" s="18">
        <f t="shared" si="117"/>
        <v>316</v>
      </c>
      <c r="AR318" s="18">
        <f t="shared" si="130"/>
        <v>7746.5086034828419</v>
      </c>
      <c r="AS318" s="18">
        <f t="shared" si="109"/>
        <v>11.6</v>
      </c>
      <c r="AT318" s="50">
        <f t="shared" si="131"/>
        <v>-1.3489010116115878</v>
      </c>
      <c r="AU318" s="50">
        <f t="shared" si="132"/>
        <v>-2.1579021060403214E-2</v>
      </c>
      <c r="AV318" s="2">
        <f t="shared" si="133"/>
        <v>-2.874432728949273</v>
      </c>
      <c r="AW318" s="16">
        <f t="shared" si="127"/>
        <v>7.3548677903354616</v>
      </c>
      <c r="AZ318" s="16"/>
      <c r="BA318" s="2"/>
    </row>
    <row r="319" spans="1:53" x14ac:dyDescent="0.25">
      <c r="A319">
        <v>317</v>
      </c>
      <c r="B319" s="1">
        <f>ROUND((A319+Forudsætninger!$E$60)/30.4,1)</f>
        <v>11.6</v>
      </c>
      <c r="C319" s="1">
        <f>VLOOKUP((A319+Forudsætninger!$E$60),'Model tilvækst, slagteform, fe'!A:D,4,FALSE)</f>
        <v>479.40093051031516</v>
      </c>
      <c r="D319" s="3">
        <f t="shared" si="134"/>
        <v>893.30384888148728</v>
      </c>
      <c r="E319" s="3">
        <f>(1+Forudsætninger!$E$78)*C319</f>
        <v>441.04885606948994</v>
      </c>
      <c r="F319" s="2">
        <f t="shared" si="118"/>
        <v>0</v>
      </c>
      <c r="G319" s="1">
        <f t="shared" si="110"/>
        <v>441.04885606948994</v>
      </c>
      <c r="H319" s="3">
        <f t="shared" si="119"/>
        <v>821.83954097092737</v>
      </c>
      <c r="I319" s="3">
        <f t="shared" si="111"/>
        <v>1176.8102715125867</v>
      </c>
      <c r="J319" s="1">
        <f>VLOOKUP((A319+Forudsætninger!$E$60),'Model tilvækst, slagteform, fe'!G:K,4,FALSE)*(1+Forudsætninger!$E$79)</f>
        <v>54.049205961904718</v>
      </c>
      <c r="K319" s="17">
        <f t="shared" si="112"/>
        <v>238.38340460962334</v>
      </c>
      <c r="L319" s="17">
        <f t="shared" si="120"/>
        <v>489.77863945663103</v>
      </c>
      <c r="M319" s="3">
        <f>((K319-(('Model tilvækst, slagteform, fe'!$J$9/100)*'Model tilvækst, slagteform, fe'!$D$9))*1000/(A319+Forudsætninger!$E$60))</f>
        <v>617.98582570759231</v>
      </c>
      <c r="N319" s="17">
        <f t="shared" si="121"/>
        <v>1838.8670561559181</v>
      </c>
      <c r="O319" s="19">
        <f>IF( A319&lt;Forudsætninger!$C$14,(G319/100)*Forudsætninger!$C$13,(Forudsætninger!$C$15/1000)*Forudsætninger!$C$13)</f>
        <v>2.8668175644516847</v>
      </c>
      <c r="P319" s="17" cm="1">
        <f t="array" ref="P319">INDEX('Model tilvækst, slagteform, fe'!$P$9:$P$375,MATCH(MIN(ABS('Model tilvækst, slagteform, fe'!$M$9:$M$375-G319)),ABS('Model tilvækst, slagteform, fe'!$M$9:$M$375-G319),0))*(1+Forudsætninger!$E$80)</f>
        <v>7.6314649113548434</v>
      </c>
      <c r="Q319" s="17">
        <f t="shared" si="122"/>
        <v>15.581457206507258</v>
      </c>
      <c r="R319" s="17">
        <f t="shared" si="123"/>
        <v>8.9518855285744277</v>
      </c>
      <c r="S319" s="17">
        <f t="shared" si="124"/>
        <v>4.9292928425797982</v>
      </c>
      <c r="T319" s="19">
        <f>(P319)*IF(N319&lt;Forudsætninger!$B$228,IF(N319&lt;Forudsætninger!$B$227,Forudsætninger!$B$225,Forudsætninger!$C$9),Forudsætninger!$C$11)+O319</f>
        <v>20.724445457022014</v>
      </c>
      <c r="U319" s="5">
        <f>Forudsætninger!$E$68+((K319-(Forudsætninger!$E$84)))*0.01</f>
        <v>7.1003977556679025</v>
      </c>
      <c r="V319" s="2">
        <f>U319+Forudsætninger!$E$69</f>
        <v>7.1003977556679025</v>
      </c>
      <c r="W319">
        <f t="shared" si="113"/>
        <v>1</v>
      </c>
      <c r="X319">
        <f>IF(A319+Forudsætninger!$E$60&gt;248,IF(A319+Forudsætninger!$E$60&lt;365,IF(K319&gt;180,IF(K319&lt;260,1,0),0),0),0)</f>
        <v>1</v>
      </c>
      <c r="Y319" s="22">
        <f>IF(X319=0,0,IF('Vækstfunktion, kry kvie'!A319&lt;Forudsætninger!$E$66,Forudsætninger!$E$67+(('Vækstfunktion, kry kvie'!A319-Forudsætninger!$E$66)/7)*Forudsætninger!$E$64,Forudsætninger!$E$67))</f>
        <v>0.98</v>
      </c>
      <c r="Z319" s="19">
        <f t="shared" si="128"/>
        <v>5339.8178638771597</v>
      </c>
      <c r="AA319" s="19">
        <f>Forudsætninger!$E$62+Forudsætninger!$C$16</f>
        <v>1575</v>
      </c>
      <c r="AB319" s="19">
        <f>IF(K319&gt;Forudsætninger!$C$48,IF(K319&gt;Forudsætninger!$C$49,IF(K319&gt;Forudsætninger!$C$50,Forudsætninger!$E$50,Forudsætninger!$E$49+Forudsætninger!$F$50*(K319-Forudsætninger!$C$49)),Forudsætninger!$E$48+Forudsætninger!$F$49*(K319-Forudsætninger!$C$48)),Forudsætninger!$E$48)+IF(K319&gt;Forudsætninger!$C$50,Forudsætninger!$G$50,IF(K319&gt;Forudsætninger!$C$49,Forudsætninger!$G$49+Forudsætninger!$H$50*(K319-Forudsætninger!$C$49),IF(K319&gt;Forudsætninger!$C$48,Forudsætninger!$G$48+Forudsætninger!$H$49*(K319-Forudsætninger!$C$48),Forudsætninger!$G$48)))*(U319-Forudsætninger!$H$48)</f>
        <v>36.94222861199723</v>
      </c>
      <c r="AC319" s="19">
        <f>IF(K319&gt;Forudsætninger!$C$52,IF(K319&gt;Forudsætninger!$C$53,IF(K319&gt;Forudsætninger!$C$54,Forudsætninger!$E$54,Forudsætninger!$E$53+Forudsætninger!$F$54*(K319-Forudsætninger!$C$53)),Forudsætninger!$E$52+Forudsætninger!$F$53*(K319-Forudsætninger!$C$52)),Forudsætninger!$E$52)+IF(K319&gt;Forudsætninger!$C$54,Forudsætninger!$G$54,IF(K319&gt;Forudsætninger!$C$53,Forudsætninger!$G$53+Forudsætninger!$H$54*(K319-Forudsætninger!$C$53),IF(K319&gt;Forudsætninger!$C$52,Forudsætninger!$G$52+Forudsætninger!$H$53*(K319-Forudsætninger!$C$52),Forudsætninger!$G$52)))*(V319-Forudsætninger!$H$52)</f>
        <v>31.360663119575008</v>
      </c>
      <c r="AD319" s="19">
        <f t="shared" si="114"/>
        <v>8779.8031786922347</v>
      </c>
      <c r="AE319" s="19">
        <f t="shared" si="115"/>
        <v>36.830597302148782</v>
      </c>
      <c r="AF319">
        <f>IF(G319&lt;=Forudsætninger!$C$97,Forudsætninger!$C$98,(IF(G319&lt;=Forudsætninger!$D$97,Forudsætninger!$D$98,IF(G319&lt;=Forudsætninger!$E$97,Forudsætninger!$E$98,IF(G319&lt;=Forudsætninger!$F$97,Forudsætninger!$F$98,IF(G319&lt;=Forudsætninger!$G$97,Forudsætninger!$G$98,IF(G319&lt;=Forudsætninger!$H$97,Forudsætninger!$H$98,IF(G319&lt;=Forudsætninger!$I$97,Forudsætninger!$I$98,Forudsætninger!$I$98))))))))</f>
        <v>4.4000000000000004</v>
      </c>
      <c r="AG319" s="1">
        <f t="shared" si="125"/>
        <v>4.4000000000000004</v>
      </c>
      <c r="AH319" s="1">
        <f t="shared" si="129"/>
        <v>1054.3999999999965</v>
      </c>
      <c r="AI319" s="1">
        <f t="shared" si="116"/>
        <v>3.3261829652996733</v>
      </c>
      <c r="AJ319" s="20">
        <f>+(W319*Forudsætninger!$C$12)</f>
        <v>900</v>
      </c>
      <c r="AK319" s="20">
        <f>Forudsætninger!$C$17</f>
        <v>250</v>
      </c>
      <c r="AL319" s="20">
        <f>IF(A319&lt;92,Forudsætninger!$C$20,Forudsætninger!$C$21)</f>
        <v>1.0566762728146013</v>
      </c>
      <c r="AM319" s="20">
        <f t="shared" si="126"/>
        <v>603.47186133551838</v>
      </c>
      <c r="AN319" s="19">
        <f>IFERROR(AD319+AJ319-AA319-Z319-AK319-AM319-Forudsætninger!$E$75,-999999)</f>
        <v>1720.2966921429409</v>
      </c>
      <c r="AO319" s="19">
        <f>IFERROR(AN319/(A319+Forudsætninger!$E$74),-999999)</f>
        <v>5.42680344524587</v>
      </c>
      <c r="AP319" s="19">
        <f>IFERROR(((365/(A319+Forudsætninger!$E$74))*AN319)/(AI319+Forudsætninger!$E$73),-999999)</f>
        <v>576.44871577494598</v>
      </c>
      <c r="AQ319" s="18">
        <f t="shared" si="117"/>
        <v>317</v>
      </c>
      <c r="AR319" s="18">
        <f t="shared" si="130"/>
        <v>7768.2897252126777</v>
      </c>
      <c r="AS319" s="18">
        <f t="shared" si="109"/>
        <v>11.6</v>
      </c>
      <c r="AT319" s="50">
        <f t="shared" si="131"/>
        <v>-1.4263445403610149</v>
      </c>
      <c r="AU319" s="50">
        <f t="shared" si="132"/>
        <v>-2.1687177169642524E-2</v>
      </c>
      <c r="AV319" s="2">
        <f t="shared" si="133"/>
        <v>-2.8765805020252628</v>
      </c>
      <c r="AW319" s="16">
        <f t="shared" si="127"/>
        <v>7.3305001687017635</v>
      </c>
      <c r="AZ319" s="16"/>
      <c r="BA319" s="2"/>
    </row>
    <row r="320" spans="1:53" x14ac:dyDescent="0.25">
      <c r="A320">
        <v>318</v>
      </c>
      <c r="B320" s="1">
        <f>ROUND((A320+Forudsætninger!$E$60)/30.4,1)</f>
        <v>11.6</v>
      </c>
      <c r="C320" s="1">
        <f>VLOOKUP((A320+Forudsætninger!$E$60),'Model tilvækst, slagteform, fe'!A:D,4,FALSE)</f>
        <v>480.29051530780987</v>
      </c>
      <c r="D320" s="3">
        <f t="shared" si="134"/>
        <v>889.58479749470598</v>
      </c>
      <c r="E320" s="3">
        <f>(1+Forudsætninger!$E$78)*C320</f>
        <v>441.86727408318512</v>
      </c>
      <c r="F320" s="2">
        <f t="shared" si="118"/>
        <v>0</v>
      </c>
      <c r="G320" s="1">
        <f t="shared" si="110"/>
        <v>441.86727408318512</v>
      </c>
      <c r="H320" s="3">
        <f t="shared" si="119"/>
        <v>818.41801369517952</v>
      </c>
      <c r="I320" s="3">
        <f t="shared" si="111"/>
        <v>1175.6832518339154</v>
      </c>
      <c r="J320" s="1">
        <f>VLOOKUP((A320+Forudsætninger!$E$60),'Model tilvækst, slagteform, fe'!G:K,4,FALSE)*(1+Forudsætninger!$E$79)</f>
        <v>54.059562971906736</v>
      </c>
      <c r="K320" s="17">
        <f t="shared" si="112"/>
        <v>238.87151728524719</v>
      </c>
      <c r="L320" s="17">
        <f t="shared" si="120"/>
        <v>488.11267562385297</v>
      </c>
      <c r="M320" s="3">
        <f>((K320-(('Model tilvækst, slagteform, fe'!$J$9/100)*'Model tilvækst, slagteform, fe'!$D$9))*1000/(A320+Forudsætninger!$E$60))</f>
        <v>617.61895240227102</v>
      </c>
      <c r="N320" s="17">
        <f t="shared" si="121"/>
        <v>1846.5035935605702</v>
      </c>
      <c r="O320" s="19">
        <f>IF( A320&lt;Forudsætninger!$C$14,(G320/100)*Forudsætninger!$C$13,(Forudsætninger!$C$15/1000)*Forudsætninger!$C$13)</f>
        <v>2.8721372815407031</v>
      </c>
      <c r="P320" s="17" cm="1">
        <f t="array" ref="P320">INDEX('Model tilvækst, slagteform, fe'!$P$9:$P$375,MATCH(MIN(ABS('Model tilvækst, slagteform, fe'!$M$9:$M$375-G320)),ABS('Model tilvækst, slagteform, fe'!$M$9:$M$375-G320),0))*(1+Forudsætninger!$E$80)</f>
        <v>7.6365374046520467</v>
      </c>
      <c r="Q320" s="17">
        <f t="shared" si="122"/>
        <v>15.645029899893192</v>
      </c>
      <c r="R320" s="17">
        <f t="shared" si="123"/>
        <v>8.9677521228647343</v>
      </c>
      <c r="S320" s="17">
        <f t="shared" si="124"/>
        <v>4.9389281211859286</v>
      </c>
      <c r="T320" s="19">
        <f>(P320)*IF(N320&lt;Forudsætninger!$B$228,IF(N320&lt;Forudsætninger!$B$227,Forudsætninger!$B$225,Forudsætninger!$C$9),Forudsætninger!$C$11)+O320</f>
        <v>20.74163480842649</v>
      </c>
      <c r="U320" s="5">
        <f>Forudsætninger!$E$68+((K320-(Forudsætninger!$E$84)))*0.01</f>
        <v>7.1052788824241411</v>
      </c>
      <c r="V320" s="2">
        <f>U320+Forudsætninger!$E$69</f>
        <v>7.1052788824241411</v>
      </c>
      <c r="W320">
        <f t="shared" si="113"/>
        <v>1</v>
      </c>
      <c r="X320">
        <f>IF(A320+Forudsætninger!$E$60&gt;248,IF(A320+Forudsætninger!$E$60&lt;365,IF(K320&gt;180,IF(K320&lt;260,1,0),0),0),0)</f>
        <v>1</v>
      </c>
      <c r="Y320" s="22">
        <f>IF(X320=0,0,IF('Vækstfunktion, kry kvie'!A320&lt;Forudsætninger!$E$66,Forudsætninger!$E$67+(('Vækstfunktion, kry kvie'!A320-Forudsætninger!$E$66)/7)*Forudsætninger!$E$64,Forudsætninger!$E$67))</f>
        <v>0.98</v>
      </c>
      <c r="Z320" s="19">
        <f t="shared" si="128"/>
        <v>5360.5594986855858</v>
      </c>
      <c r="AA320" s="19">
        <f>Forudsætninger!$E$62+Forudsætninger!$C$16</f>
        <v>1575</v>
      </c>
      <c r="AB320" s="19">
        <f>IF(K320&gt;Forudsætninger!$C$48,IF(K320&gt;Forudsætninger!$C$49,IF(K320&gt;Forudsætninger!$C$50,Forudsætninger!$E$50,Forudsætninger!$E$49+Forudsætninger!$F$50*(K320-Forudsætninger!$C$49)),Forudsætninger!$E$48+Forudsætninger!$F$49*(K320-Forudsætninger!$C$48)),Forudsætninger!$E$48)+IF(K320&gt;Forudsætninger!$C$50,Forudsætninger!$G$50,IF(K320&gt;Forudsætninger!$C$49,Forudsætninger!$G$49+Forudsætninger!$H$50*(K320-Forudsætninger!$C$49),IF(K320&gt;Forudsætninger!$C$48,Forudsætninger!$G$48+Forudsætninger!$H$49*(K320-Forudsætninger!$C$48),Forudsætninger!$G$48)))*(U320-Forudsætninger!$H$48)</f>
        <v>36.951868837340797</v>
      </c>
      <c r="AC320" s="19">
        <f>IF(K320&gt;Forudsætninger!$C$52,IF(K320&gt;Forudsætninger!$C$53,IF(K320&gt;Forudsætninger!$C$54,Forudsætninger!$E$54,Forudsætninger!$E$53+Forudsætninger!$F$54*(K320-Forudsætninger!$C$53)),Forudsætninger!$E$52+Forudsætninger!$F$53*(K320-Forudsætninger!$C$52)),Forudsætninger!$E$52)+IF(K320&gt;Forudsætninger!$C$54,Forudsætninger!$G$54,IF(K320&gt;Forudsætninger!$C$53,Forudsætninger!$G$53+Forudsætninger!$H$54*(K320-Forudsætninger!$C$53),IF(K320&gt;Forudsætninger!$C$52,Forudsætninger!$G$52+Forudsætninger!$H$53*(K320-Forudsætninger!$C$52),Forudsætninger!$G$52)))*(V320-Forudsætninger!$H$52)</f>
        <v>31.373385458247693</v>
      </c>
      <c r="AD320" s="19">
        <f t="shared" si="114"/>
        <v>8800.0981599227489</v>
      </c>
      <c r="AE320" s="19">
        <f t="shared" si="115"/>
        <v>36.840299169758936</v>
      </c>
      <c r="AF320">
        <f>IF(G320&lt;=Forudsætninger!$C$97,Forudsætninger!$C$98,(IF(G320&lt;=Forudsætninger!$D$97,Forudsætninger!$D$98,IF(G320&lt;=Forudsætninger!$E$97,Forudsætninger!$E$98,IF(G320&lt;=Forudsætninger!$F$97,Forudsætninger!$F$98,IF(G320&lt;=Forudsætninger!$G$97,Forudsætninger!$G$98,IF(G320&lt;=Forudsætninger!$H$97,Forudsætninger!$H$98,IF(G320&lt;=Forudsætninger!$I$97,Forudsætninger!$I$98,Forudsætninger!$I$98))))))))</f>
        <v>4.4000000000000004</v>
      </c>
      <c r="AG320" s="1">
        <f t="shared" si="125"/>
        <v>4.4000000000000004</v>
      </c>
      <c r="AH320" s="1">
        <f t="shared" si="129"/>
        <v>1058.7999999999965</v>
      </c>
      <c r="AI320" s="1">
        <f t="shared" si="116"/>
        <v>3.3295597484276622</v>
      </c>
      <c r="AJ320" s="20">
        <f>+(W320*Forudsætninger!$C$12)</f>
        <v>900</v>
      </c>
      <c r="AK320" s="20">
        <f>Forudsætninger!$C$17</f>
        <v>250</v>
      </c>
      <c r="AL320" s="20">
        <f>IF(A320&lt;92,Forudsætninger!$C$20,Forudsætninger!$C$21)</f>
        <v>1.0566762728146013</v>
      </c>
      <c r="AM320" s="20">
        <f t="shared" si="126"/>
        <v>604.52853760833295</v>
      </c>
      <c r="AN320" s="19">
        <f>IFERROR(AD320+AJ320-AA320-Z320-AK320-AM320-Forudsætninger!$E$75,-999999)</f>
        <v>1718.7933622922144</v>
      </c>
      <c r="AO320" s="19">
        <f>IFERROR(AN320/(A320+Forudsætninger!$E$74),-999999)</f>
        <v>5.4050105732459572</v>
      </c>
      <c r="AP320" s="19">
        <f>IFERROR(((365/(A320+Forudsætninger!$E$74))*AN320)/(AI320+Forudsætninger!$E$73),-999999)</f>
        <v>573.57016697750942</v>
      </c>
      <c r="AQ320" s="18">
        <f t="shared" si="117"/>
        <v>318</v>
      </c>
      <c r="AR320" s="18">
        <f t="shared" si="130"/>
        <v>7790.0880362939188</v>
      </c>
      <c r="AS320" s="18">
        <f t="shared" si="109"/>
        <v>11.6</v>
      </c>
      <c r="AT320" s="50">
        <f t="shared" si="131"/>
        <v>-1.503329850726459</v>
      </c>
      <c r="AU320" s="50">
        <f t="shared" si="132"/>
        <v>-2.1792871999912755E-2</v>
      </c>
      <c r="AV320" s="2">
        <f t="shared" si="133"/>
        <v>-2.8785487974365651</v>
      </c>
      <c r="AW320" s="16">
        <f t="shared" si="127"/>
        <v>7.3060437103790807</v>
      </c>
      <c r="AZ320" s="16"/>
      <c r="BA320" s="2"/>
    </row>
    <row r="321" spans="1:53" x14ac:dyDescent="0.25">
      <c r="A321">
        <v>319</v>
      </c>
      <c r="B321" s="1">
        <f>ROUND((A321+Forudsætninger!$E$60)/30.4,1)</f>
        <v>11.7</v>
      </c>
      <c r="C321" s="1">
        <f>VLOOKUP((A321+Forudsætninger!$E$60),'Model tilvækst, slagteform, fe'!A:D,4,FALSE)</f>
        <v>481.17641783620303</v>
      </c>
      <c r="D321" s="3">
        <f t="shared" si="134"/>
        <v>885.90252839316008</v>
      </c>
      <c r="E321" s="3">
        <f>(1+Forudsætninger!$E$78)*C321</f>
        <v>442.68230440930682</v>
      </c>
      <c r="F321" s="2">
        <f t="shared" si="118"/>
        <v>0</v>
      </c>
      <c r="G321" s="1">
        <f t="shared" si="110"/>
        <v>442.68230440930682</v>
      </c>
      <c r="H321" s="3">
        <f t="shared" si="119"/>
        <v>815.03032612170045</v>
      </c>
      <c r="I321" s="3">
        <f t="shared" si="111"/>
        <v>1174.5526783990811</v>
      </c>
      <c r="J321" s="1">
        <f>VLOOKUP((A321+Forudsætninger!$E$60),'Model tilvækst, slagteform, fe'!G:K,4,FALSE)*(1+Forudsætninger!$E$79)</f>
        <v>54.069922804826945</v>
      </c>
      <c r="K321" s="17">
        <f t="shared" si="112"/>
        <v>239.3579802647412</v>
      </c>
      <c r="L321" s="17">
        <f t="shared" si="120"/>
        <v>486.46297949400719</v>
      </c>
      <c r="M321" s="3">
        <f>((K321-(('Model tilvækst, slagteform, fe'!$J$9/100)*'Model tilvækst, slagteform, fe'!$D$9))*1000/(A321+Forudsætninger!$E$60))</f>
        <v>617.24949895745897</v>
      </c>
      <c r="N321" s="17">
        <f t="shared" si="121"/>
        <v>1854.1401309652222</v>
      </c>
      <c r="O321" s="19">
        <f>IF( A321&lt;Forudsætninger!$C$14,(G321/100)*Forudsætninger!$C$13,(Forudsætninger!$C$15/1000)*Forudsætninger!$C$13)</f>
        <v>2.8774349786604945</v>
      </c>
      <c r="P321" s="17" cm="1">
        <f t="array" ref="P321">INDEX('Model tilvækst, slagteform, fe'!$P$9:$P$375,MATCH(MIN(ABS('Model tilvækst, slagteform, fe'!$M$9:$M$375-G321)),ABS('Model tilvækst, slagteform, fe'!$M$9:$M$375-G321),0))*(1+Forudsætninger!$E$80)</f>
        <v>7.6365374046520467</v>
      </c>
      <c r="Q321" s="17">
        <f t="shared" si="122"/>
        <v>15.698085417712907</v>
      </c>
      <c r="R321" s="17">
        <f t="shared" si="123"/>
        <v>8.9836154751068786</v>
      </c>
      <c r="S321" s="17">
        <f t="shared" si="124"/>
        <v>4.9485660495451107</v>
      </c>
      <c r="T321" s="19">
        <f>(P321)*IF(N321&lt;Forudsætninger!$B$228,IF(N321&lt;Forudsætninger!$B$227,Forudsætninger!$B$225,Forudsætninger!$C$9),Forudsætninger!$C$11)+O321</f>
        <v>20.746932505546283</v>
      </c>
      <c r="U321" s="5">
        <f>Forudsætninger!$E$68+((K321-(Forudsætninger!$E$84)))*0.01</f>
        <v>7.1101435122190813</v>
      </c>
      <c r="V321" s="2">
        <f>U321+Forudsætninger!$E$69</f>
        <v>7.1101435122190813</v>
      </c>
      <c r="W321">
        <f t="shared" si="113"/>
        <v>1</v>
      </c>
      <c r="X321">
        <f>IF(A321+Forudsætninger!$E$60&gt;248,IF(A321+Forudsætninger!$E$60&lt;365,IF(K321&gt;180,IF(K321&lt;260,1,0),0),0),0)</f>
        <v>1</v>
      </c>
      <c r="Y321" s="22">
        <f>IF(X321=0,0,IF('Vækstfunktion, kry kvie'!A321&lt;Forudsætninger!$E$66,Forudsætninger!$E$67+(('Vækstfunktion, kry kvie'!A321-Forudsætninger!$E$66)/7)*Forudsætninger!$E$64,Forudsætninger!$E$67))</f>
        <v>0.98</v>
      </c>
      <c r="Z321" s="19">
        <f t="shared" si="128"/>
        <v>5381.3064311911321</v>
      </c>
      <c r="AA321" s="19">
        <f>Forudsætninger!$E$62+Forudsætninger!$C$16</f>
        <v>1575</v>
      </c>
      <c r="AB321" s="19">
        <f>IF(K321&gt;Forudsætninger!$C$48,IF(K321&gt;Forudsætninger!$C$49,IF(K321&gt;Forudsætninger!$C$50,Forudsætninger!$E$50,Forudsætninger!$E$49+Forudsætninger!$F$50*(K321-Forudsætninger!$C$49)),Forudsætninger!$E$48+Forudsætninger!$F$49*(K321-Forudsætninger!$C$48)),Forudsætninger!$E$48)+IF(K321&gt;Forudsætninger!$C$50,Forudsætninger!$G$50,IF(K321&gt;Forudsætninger!$C$49,Forudsætninger!$G$49+Forudsætninger!$H$50*(K321-Forudsætninger!$C$49),IF(K321&gt;Forudsætninger!$C$48,Forudsætninger!$G$48+Forudsætninger!$H$49*(K321-Forudsætninger!$C$48),Forudsætninger!$G$48)))*(U321-Forudsætninger!$H$48)</f>
        <v>36.961476481185805</v>
      </c>
      <c r="AC321" s="19">
        <f>IF(K321&gt;Forudsætninger!$C$52,IF(K321&gt;Forudsætninger!$C$53,IF(K321&gt;Forudsætninger!$C$54,Forudsætninger!$E$54,Forudsætninger!$E$53+Forudsætninger!$F$54*(K321-Forudsætninger!$C$53)),Forudsætninger!$E$52+Forudsætninger!$F$53*(K321-Forudsætninger!$C$52)),Forudsætninger!$E$52)+IF(K321&gt;Forudsætninger!$C$54,Forudsætninger!$G$54,IF(K321&gt;Forudsætninger!$C$53,Forudsætninger!$G$53+Forudsætninger!$H$54*(K321-Forudsætninger!$C$53),IF(K321&gt;Forudsætninger!$C$52,Forudsætninger!$G$52+Forudsætninger!$H$53*(K321-Forudsætninger!$C$52),Forudsætninger!$G$52)))*(V321-Forudsætninger!$H$52)</f>
        <v>31.38605492168756</v>
      </c>
      <c r="AD321" s="19">
        <f t="shared" si="114"/>
        <v>8820.3339252672486</v>
      </c>
      <c r="AE321" s="19">
        <f t="shared" si="115"/>
        <v>36.849968049995844</v>
      </c>
      <c r="AF321">
        <f>IF(G321&lt;=Forudsætninger!$C$97,Forudsætninger!$C$98,(IF(G321&lt;=Forudsætninger!$D$97,Forudsætninger!$D$98,IF(G321&lt;=Forudsætninger!$E$97,Forudsætninger!$E$98,IF(G321&lt;=Forudsætninger!$F$97,Forudsætninger!$F$98,IF(G321&lt;=Forudsætninger!$G$97,Forudsætninger!$G$98,IF(G321&lt;=Forudsætninger!$H$97,Forudsætninger!$H$98,IF(G321&lt;=Forudsætninger!$I$97,Forudsætninger!$I$98,Forudsætninger!$I$98))))))))</f>
        <v>4.4000000000000004</v>
      </c>
      <c r="AG321" s="1">
        <f t="shared" si="125"/>
        <v>4.4000000000000004</v>
      </c>
      <c r="AH321" s="1">
        <f t="shared" si="129"/>
        <v>1063.1999999999966</v>
      </c>
      <c r="AI321" s="1">
        <f t="shared" si="116"/>
        <v>3.3329153605015569</v>
      </c>
      <c r="AJ321" s="20">
        <f>+(W321*Forudsætninger!$C$12)</f>
        <v>900</v>
      </c>
      <c r="AK321" s="20">
        <f>Forudsætninger!$C$17</f>
        <v>250</v>
      </c>
      <c r="AL321" s="20">
        <f>IF(A321&lt;92,Forudsætninger!$C$20,Forudsætninger!$C$21)</f>
        <v>1.0566762728146013</v>
      </c>
      <c r="AM321" s="20">
        <f t="shared" si="126"/>
        <v>605.58521388114752</v>
      </c>
      <c r="AN321" s="19">
        <f>IFERROR(AD321+AJ321-AA321-Z321-AK321-AM321-Forudsætninger!$E$75,-999999)</f>
        <v>1717.2255188583533</v>
      </c>
      <c r="AO321" s="19">
        <f>IFERROR(AN321/(A321+Forudsætninger!$E$74),-999999)</f>
        <v>5.3831520967346496</v>
      </c>
      <c r="AP321" s="19">
        <f>IFERROR(((365/(A321+Forudsætninger!$E$74))*AN321)/(AI321+Forudsætninger!$E$73),-999999)</f>
        <v>570.69381892150614</v>
      </c>
      <c r="AQ321" s="18">
        <f t="shared" si="117"/>
        <v>319</v>
      </c>
      <c r="AR321" s="18">
        <f t="shared" si="130"/>
        <v>7811.89164507228</v>
      </c>
      <c r="AS321" s="18">
        <f t="shared" si="109"/>
        <v>11.7</v>
      </c>
      <c r="AT321" s="50">
        <f t="shared" si="131"/>
        <v>-1.5678434338610714</v>
      </c>
      <c r="AU321" s="50">
        <f t="shared" si="132"/>
        <v>-2.1858476511307678E-2</v>
      </c>
      <c r="AV321" s="2">
        <f t="shared" si="133"/>
        <v>-2.8763480560032804</v>
      </c>
      <c r="AW321" s="16">
        <f t="shared" si="127"/>
        <v>7.2815383471457711</v>
      </c>
      <c r="AZ321" s="16"/>
      <c r="BA321" s="2"/>
    </row>
    <row r="322" spans="1:53" x14ac:dyDescent="0.25">
      <c r="A322">
        <v>320</v>
      </c>
      <c r="B322" s="1">
        <f>ROUND((A322+Forudsætninger!$E$60)/30.4,1)</f>
        <v>11.7</v>
      </c>
      <c r="C322" s="1">
        <f>VLOOKUP((A322+Forudsætninger!$E$60),'Model tilvækst, slagteform, fe'!A:D,4,FALSE)</f>
        <v>482.05867546280228</v>
      </c>
      <c r="D322" s="3">
        <f t="shared" si="134"/>
        <v>882.25762659925522</v>
      </c>
      <c r="E322" s="3">
        <f>(1+Forudsætninger!$E$78)*C322</f>
        <v>443.49398142577814</v>
      </c>
      <c r="F322" s="2">
        <f t="shared" si="118"/>
        <v>0</v>
      </c>
      <c r="G322" s="1">
        <f t="shared" si="110"/>
        <v>443.49398142577814</v>
      </c>
      <c r="H322" s="3">
        <f t="shared" si="119"/>
        <v>811.67701647132162</v>
      </c>
      <c r="I322" s="3">
        <f t="shared" si="111"/>
        <v>1173.4186919555566</v>
      </c>
      <c r="J322" s="1">
        <f>VLOOKUP((A322+Forudsætninger!$E$60),'Model tilvækst, slagteform, fe'!G:K,4,FALSE)*(1+Forudsætninger!$E$79)</f>
        <v>54.08028522542218</v>
      </c>
      <c r="K322" s="17">
        <f t="shared" si="112"/>
        <v>239.84281011264167</v>
      </c>
      <c r="L322" s="17">
        <f t="shared" si="120"/>
        <v>484.82984790047112</v>
      </c>
      <c r="M322" s="3">
        <f>((K322-(('Model tilvækst, slagteform, fe'!$J$9/100)*'Model tilvækst, slagteform, fe'!$D$9))*1000/(A322+Forudsætninger!$E$60))</f>
        <v>616.87753364550122</v>
      </c>
      <c r="N322" s="17">
        <f t="shared" si="121"/>
        <v>1861.7817944387255</v>
      </c>
      <c r="O322" s="19">
        <f>IF( A322&lt;Forudsætninger!$C$14,(G322/100)*Forudsætninger!$C$13,(Forudsætninger!$C$15/1000)*Forudsætninger!$C$13)</f>
        <v>2.8827108792675578</v>
      </c>
      <c r="P322" s="17" cm="1">
        <f t="array" ref="P322">INDEX('Model tilvækst, slagteform, fe'!$P$9:$P$375,MATCH(MIN(ABS('Model tilvækst, slagteform, fe'!$M$9:$M$375-G322)),ABS('Model tilvækst, slagteform, fe'!$M$9:$M$375-G322),0))*(1+Forudsætninger!$E$80)</f>
        <v>7.6416634735032165</v>
      </c>
      <c r="Q322" s="17">
        <f t="shared" si="122"/>
        <v>15.761536767166911</v>
      </c>
      <c r="R322" s="17">
        <f t="shared" si="123"/>
        <v>8.9995000455278991</v>
      </c>
      <c r="S322" s="17">
        <f t="shared" si="124"/>
        <v>4.9582200688527784</v>
      </c>
      <c r="T322" s="19">
        <f>(P322)*IF(N322&lt;Forudsætninger!$B$228,IF(N322&lt;Forudsætninger!$B$227,Forudsætninger!$B$225,Forudsætninger!$C$9),Forudsætninger!$C$11)+O322</f>
        <v>20.764203407265086</v>
      </c>
      <c r="U322" s="5">
        <f>Forudsætninger!$E$68+((K322-(Forudsætninger!$E$84)))*0.01</f>
        <v>7.1149918106980863</v>
      </c>
      <c r="V322" s="2">
        <f>U322+Forudsætninger!$E$69</f>
        <v>7.1149918106980863</v>
      </c>
      <c r="W322">
        <f t="shared" si="113"/>
        <v>1</v>
      </c>
      <c r="X322">
        <f>IF(A322+Forudsætninger!$E$60&gt;248,IF(A322+Forudsætninger!$E$60&lt;365,IF(K322&gt;180,IF(K322&lt;260,1,0),0),0),0)</f>
        <v>1</v>
      </c>
      <c r="Y322" s="22">
        <f>IF(X322=0,0,IF('Vækstfunktion, kry kvie'!A322&lt;Forudsætninger!$E$66,Forudsætninger!$E$67+(('Vækstfunktion, kry kvie'!A322-Forudsætninger!$E$66)/7)*Forudsætninger!$E$64,Forudsætninger!$E$67))</f>
        <v>0.98</v>
      </c>
      <c r="Z322" s="19">
        <f t="shared" si="128"/>
        <v>5402.0706345983972</v>
      </c>
      <c r="AA322" s="19">
        <f>Forudsætninger!$E$62+Forudsætninger!$C$16</f>
        <v>1575</v>
      </c>
      <c r="AB322" s="19">
        <f>IF(K322&gt;Forudsætninger!$C$48,IF(K322&gt;Forudsætninger!$C$49,IF(K322&gt;Forudsætninger!$C$50,Forudsætninger!$E$50,Forudsætninger!$E$49+Forudsætninger!$F$50*(K322-Forudsætninger!$C$49)),Forudsætninger!$E$48+Forudsætninger!$F$49*(K322-Forudsætninger!$C$48)),Forudsætninger!$E$48)+IF(K322&gt;Forudsætninger!$C$50,Forudsætninger!$G$50,IF(K322&gt;Forudsætninger!$C$49,Forudsætninger!$G$49+Forudsætninger!$H$50*(K322-Forudsætninger!$C$49),IF(K322&gt;Forudsætninger!$C$48,Forudsætninger!$G$48+Forudsætninger!$H$49*(K322-Forudsætninger!$C$48),Forudsætninger!$G$48)))*(U322-Forudsætninger!$H$48)</f>
        <v>36.971051870681841</v>
      </c>
      <c r="AC322" s="19">
        <f>IF(K322&gt;Forudsætninger!$C$52,IF(K322&gt;Forudsætninger!$C$53,IF(K322&gt;Forudsætninger!$C$54,Forudsætninger!$E$54,Forudsætninger!$E$53+Forudsætninger!$F$54*(K322-Forudsætninger!$C$53)),Forudsætninger!$E$52+Forudsætninger!$F$53*(K322-Forudsætninger!$C$52)),Forudsætninger!$E$52)+IF(K322&gt;Forudsætninger!$C$54,Forudsætninger!$G$54,IF(K322&gt;Forudsætninger!$C$53,Forudsætninger!$G$53+Forudsætninger!$H$54*(K322-Forudsætninger!$C$53),IF(K322&gt;Forudsætninger!$C$52,Forudsætninger!$G$52+Forudsætninger!$H$53*(K322-Forudsætninger!$C$52),Forudsætninger!$G$52)))*(V322-Forudsætninger!$H$52)</f>
        <v>31.398672041114146</v>
      </c>
      <c r="AD322" s="19">
        <f t="shared" si="114"/>
        <v>8840.5110687378001</v>
      </c>
      <c r="AE322" s="19">
        <f t="shared" si="115"/>
        <v>36.859604274090486</v>
      </c>
      <c r="AF322">
        <f>IF(G322&lt;=Forudsætninger!$C$97,Forudsætninger!$C$98,(IF(G322&lt;=Forudsætninger!$D$97,Forudsætninger!$D$98,IF(G322&lt;=Forudsætninger!$E$97,Forudsætninger!$E$98,IF(G322&lt;=Forudsætninger!$F$97,Forudsætninger!$F$98,IF(G322&lt;=Forudsætninger!$G$97,Forudsætninger!$G$98,IF(G322&lt;=Forudsætninger!$H$97,Forudsætninger!$H$98,IF(G322&lt;=Forudsætninger!$I$97,Forudsætninger!$I$98,Forudsætninger!$I$98))))))))</f>
        <v>4.4000000000000004</v>
      </c>
      <c r="AG322" s="1">
        <f t="shared" si="125"/>
        <v>4.4000000000000004</v>
      </c>
      <c r="AH322" s="1">
        <f t="shared" si="129"/>
        <v>1067.5999999999967</v>
      </c>
      <c r="AI322" s="1">
        <f t="shared" si="116"/>
        <v>3.3362499999999899</v>
      </c>
      <c r="AJ322" s="20">
        <f>+(W322*Forudsætninger!$C$12)</f>
        <v>900</v>
      </c>
      <c r="AK322" s="20">
        <f>Forudsætninger!$C$17</f>
        <v>250</v>
      </c>
      <c r="AL322" s="20">
        <f>IF(A322&lt;92,Forudsætninger!$C$20,Forudsætninger!$C$21)</f>
        <v>1.0566762728146013</v>
      </c>
      <c r="AM322" s="20">
        <f t="shared" si="126"/>
        <v>606.64189015396209</v>
      </c>
      <c r="AN322" s="19">
        <f>IFERROR(AD322+AJ322-AA322-Z322-AK322-AM322-Forudsætninger!$E$75,-999999)</f>
        <v>1715.5817826488251</v>
      </c>
      <c r="AO322" s="19">
        <f>IFERROR(AN322/(A322+Forudsætninger!$E$74),-999999)</f>
        <v>5.3611930707775786</v>
      </c>
      <c r="AP322" s="19">
        <f>IFERROR(((365/(A322+Forudsætninger!$E$74))*AN322)/(AI322+Forudsætninger!$E$73),-999999)</f>
        <v>567.8158783703509</v>
      </c>
      <c r="AQ322" s="18">
        <f t="shared" si="117"/>
        <v>320</v>
      </c>
      <c r="AR322" s="18">
        <f t="shared" si="130"/>
        <v>7833.7125247523591</v>
      </c>
      <c r="AS322" s="18">
        <f t="shared" ref="AS322:AS368" si="154">B322</f>
        <v>11.7</v>
      </c>
      <c r="AT322" s="50">
        <f t="shared" si="131"/>
        <v>-1.6437362095282424</v>
      </c>
      <c r="AU322" s="50">
        <f t="shared" si="132"/>
        <v>-2.1959025957070999E-2</v>
      </c>
      <c r="AV322" s="2">
        <f t="shared" si="133"/>
        <v>-2.8779405511552341</v>
      </c>
      <c r="AW322" s="16">
        <f t="shared" si="127"/>
        <v>7.2569489775087108</v>
      </c>
      <c r="AZ322" s="16"/>
      <c r="BA322" s="2"/>
    </row>
    <row r="323" spans="1:53" x14ac:dyDescent="0.25">
      <c r="A323">
        <v>321</v>
      </c>
      <c r="B323" s="1">
        <f>ROUND((A323+Forudsætninger!$E$60)/30.4,1)</f>
        <v>11.7</v>
      </c>
      <c r="C323" s="1">
        <f>VLOOKUP((A323+Forudsætninger!$E$60),'Model tilvækst, slagteform, fe'!A:D,4,FALSE)</f>
        <v>482.93732613993416</v>
      </c>
      <c r="D323" s="3">
        <f t="shared" si="134"/>
        <v>878.65067713187273</v>
      </c>
      <c r="E323" s="3">
        <f>(1+Forudsætninger!$E$78)*C323</f>
        <v>444.30234004873944</v>
      </c>
      <c r="F323" s="2">
        <f t="shared" si="118"/>
        <v>0</v>
      </c>
      <c r="G323" s="1">
        <f t="shared" ref="G323:G368" si="155">E323+F323</f>
        <v>444.30234004873944</v>
      </c>
      <c r="H323" s="3">
        <f t="shared" si="119"/>
        <v>808.35862296129335</v>
      </c>
      <c r="I323" s="3">
        <f t="shared" ref="I323:I368" si="156">(G323-$G$2)*1000/A323</f>
        <v>1172.2814331736431</v>
      </c>
      <c r="J323" s="1">
        <f>VLOOKUP((A323+Forudsætninger!$E$60),'Model tilvækst, slagteform, fe'!G:K,4,FALSE)*(1+Forudsætninger!$E$79)</f>
        <v>54.090649998449244</v>
      </c>
      <c r="K323" s="17">
        <f t="shared" ref="K323:K368" si="157">G323*(J323/100)</f>
        <v>240.32602369068346</v>
      </c>
      <c r="L323" s="17">
        <f t="shared" si="120"/>
        <v>483.21357804178433</v>
      </c>
      <c r="M323" s="3">
        <f>((K323-(('Model tilvækst, slagteform, fe'!$J$9/100)*'Model tilvækst, slagteform, fe'!$D$9))*1000/(A323+Forudsætninger!$E$60))</f>
        <v>616.50312480627508</v>
      </c>
      <c r="N323" s="17">
        <f t="shared" si="121"/>
        <v>1869.4286354960357</v>
      </c>
      <c r="O323" s="19">
        <f>IF( A323&lt;Forudsætninger!$C$14,(G323/100)*Forudsætninger!$C$13,(Forudsætninger!$C$15/1000)*Forudsætninger!$C$13)</f>
        <v>2.8879652103168065</v>
      </c>
      <c r="P323" s="17" cm="1">
        <f t="array" ref="P323">INDEX('Model tilvækst, slagteform, fe'!$P$9:$P$375,MATCH(MIN(ABS('Model tilvækst, slagteform, fe'!$M$9:$M$375-G323)),ABS('Model tilvækst, slagteform, fe'!$M$9:$M$375-G323),0))*(1+Forudsætninger!$E$80)</f>
        <v>7.6468410573101195</v>
      </c>
      <c r="Q323" s="17">
        <f t="shared" si="122"/>
        <v>15.824971409741478</v>
      </c>
      <c r="R323" s="17">
        <f t="shared" si="123"/>
        <v>9.0154055759418714</v>
      </c>
      <c r="S323" s="17">
        <f t="shared" si="124"/>
        <v>4.9678900090121774</v>
      </c>
      <c r="T323" s="19">
        <f>(P323)*IF(N323&lt;Forudsætninger!$B$228,IF(N323&lt;Forudsætninger!$B$227,Forudsætninger!$B$225,Forudsætninger!$C$9),Forudsætninger!$C$11)+O323</f>
        <v>20.781573284422485</v>
      </c>
      <c r="U323" s="5">
        <f>Forudsætninger!$E$68+((K323-(Forudsætninger!$E$84)))*0.01</f>
        <v>7.1198239464785038</v>
      </c>
      <c r="V323" s="2">
        <f>U323+Forudsætninger!$E$69</f>
        <v>7.1198239464785038</v>
      </c>
      <c r="W323">
        <f t="shared" ref="W323:W367" si="158">IF(K323&gt;130,1,0)</f>
        <v>1</v>
      </c>
      <c r="X323">
        <f>IF(A323+Forudsætninger!$E$60&gt;248,IF(A323+Forudsætninger!$E$60&lt;365,IF(K323&gt;180,IF(K323&lt;260,1,0),0),0),0)</f>
        <v>1</v>
      </c>
      <c r="Y323" s="22">
        <f>IF(X323=0,0,IF('Vækstfunktion, kry kvie'!A323&lt;Forudsætninger!$E$66,Forudsætninger!$E$67+(('Vækstfunktion, kry kvie'!A323-Forudsætninger!$E$66)/7)*Forudsætninger!$E$64,Forudsætninger!$E$67))</f>
        <v>0.98</v>
      </c>
      <c r="Z323" s="19">
        <f t="shared" si="128"/>
        <v>5422.85220788282</v>
      </c>
      <c r="AA323" s="19">
        <f>Forudsætninger!$E$62+Forudsætninger!$C$16</f>
        <v>1575</v>
      </c>
      <c r="AB323" s="19">
        <f>IF(K323&gt;Forudsætninger!$C$48,IF(K323&gt;Forudsætninger!$C$49,IF(K323&gt;Forudsætninger!$C$50,Forudsætninger!$E$50,Forudsætninger!$E$49+Forudsætninger!$F$50*(K323-Forudsætninger!$C$49)),Forudsætninger!$E$48+Forudsætninger!$F$49*(K323-Forudsætninger!$C$48)),Forudsætninger!$E$48)+IF(K323&gt;Forudsætninger!$C$50,Forudsætninger!$G$50,IF(K323&gt;Forudsætninger!$C$49,Forudsætninger!$G$49+Forudsætninger!$H$50*(K323-Forudsætninger!$C$49),IF(K323&gt;Forudsætninger!$C$48,Forudsætninger!$G$48+Forudsætninger!$H$49*(K323-Forudsætninger!$C$48),Forudsætninger!$G$48)))*(U323-Forudsætninger!$H$48)</f>
        <v>36.980595338848168</v>
      </c>
      <c r="AC323" s="19">
        <f>IF(K323&gt;Forudsætninger!$C$52,IF(K323&gt;Forudsætninger!$C$53,IF(K323&gt;Forudsætninger!$C$54,Forudsætninger!$E$54,Forudsætninger!$E$53+Forudsætninger!$F$54*(K323-Forudsætninger!$C$53)),Forudsætninger!$E$52+Forudsætninger!$F$53*(K323-Forudsætninger!$C$52)),Forudsætninger!$E$52)+IF(K323&gt;Forudsætninger!$C$54,Forudsætninger!$G$54,IF(K323&gt;Forudsætninger!$C$53,Forudsætninger!$G$53+Forudsætninger!$H$54*(K323-Forudsætninger!$C$53),IF(K323&gt;Forudsætninger!$C$52,Forudsætninger!$G$52+Forudsætninger!$H$53*(K323-Forudsætninger!$C$52),Forudsætninger!$G$52)))*(V323-Forudsætninger!$H$52)</f>
        <v>31.411237353798089</v>
      </c>
      <c r="AD323" s="19">
        <f t="shared" ref="AD323:AD368" si="159">(K323*(Y323*AB323+((1-Y323)*AC323)))</f>
        <v>8860.6301983184621</v>
      </c>
      <c r="AE323" s="19">
        <f t="shared" ref="AE323:AE368" si="160">AD323/K323</f>
        <v>36.869208179147165</v>
      </c>
      <c r="AF323">
        <f>IF(G323&lt;=Forudsætninger!$C$97,Forudsætninger!$C$98,(IF(G323&lt;=Forudsætninger!$D$97,Forudsætninger!$D$98,IF(G323&lt;=Forudsætninger!$E$97,Forudsætninger!$E$98,IF(G323&lt;=Forudsætninger!$F$97,Forudsætninger!$F$98,IF(G323&lt;=Forudsætninger!$G$97,Forudsætninger!$G$98,IF(G323&lt;=Forudsætninger!$H$97,Forudsætninger!$H$98,IF(G323&lt;=Forudsætninger!$I$97,Forudsætninger!$I$98,Forudsætninger!$I$98))))))))</f>
        <v>4.4000000000000004</v>
      </c>
      <c r="AG323" s="1">
        <f t="shared" si="125"/>
        <v>4.4000000000000004</v>
      </c>
      <c r="AH323" s="1">
        <f t="shared" si="129"/>
        <v>1071.9999999999968</v>
      </c>
      <c r="AI323" s="1">
        <f t="shared" ref="AI323:AI368" si="161">AH323/A323</f>
        <v>3.3395638629283391</v>
      </c>
      <c r="AJ323" s="20">
        <f>+(W323*Forudsætninger!$C$12)</f>
        <v>900</v>
      </c>
      <c r="AK323" s="20">
        <f>Forudsætninger!$C$17</f>
        <v>250</v>
      </c>
      <c r="AL323" s="20">
        <f>IF(A323&lt;92,Forudsætninger!$C$20,Forudsætninger!$C$21)</f>
        <v>1.0566762728146013</v>
      </c>
      <c r="AM323" s="20">
        <f t="shared" si="126"/>
        <v>607.69856642677667</v>
      </c>
      <c r="AN323" s="19">
        <f>IFERROR(AD323+AJ323-AA323-Z323-AK323-AM323-Forudsætninger!$E$75,-999999)</f>
        <v>1713.8626626722496</v>
      </c>
      <c r="AO323" s="19">
        <f>IFERROR(AN323/(A323+Forudsætninger!$E$74),-999999)</f>
        <v>5.3391360207858245</v>
      </c>
      <c r="AP323" s="19">
        <f>IFERROR(((365/(A323+Forudsætninger!$E$74))*AN323)/(AI323+Forudsætninger!$E$73),-999999)</f>
        <v>564.93653256574305</v>
      </c>
      <c r="AQ323" s="18">
        <f t="shared" ref="AQ323:AQ368" si="162">A323</f>
        <v>321</v>
      </c>
      <c r="AR323" s="18">
        <f t="shared" si="130"/>
        <v>7855.5507743095968</v>
      </c>
      <c r="AS323" s="18">
        <f t="shared" si="154"/>
        <v>11.7</v>
      </c>
      <c r="AT323" s="50">
        <f t="shared" si="131"/>
        <v>-1.7191199765754845</v>
      </c>
      <c r="AU323" s="50">
        <f t="shared" si="132"/>
        <v>-2.2057049991754063E-2</v>
      </c>
      <c r="AV323" s="2">
        <f t="shared" si="133"/>
        <v>-2.8793458046078513</v>
      </c>
      <c r="AW323" s="16">
        <f t="shared" si="127"/>
        <v>7.2322779722711097</v>
      </c>
      <c r="AZ323" s="16"/>
      <c r="BA323" s="2"/>
    </row>
    <row r="324" spans="1:53" x14ac:dyDescent="0.25">
      <c r="A324">
        <v>322</v>
      </c>
      <c r="B324" s="1">
        <f>ROUND((A324+Forudsætninger!$E$60)/30.4,1)</f>
        <v>11.8</v>
      </c>
      <c r="C324" s="1">
        <f>VLOOKUP((A324+Forudsætninger!$E$60),'Model tilvækst, slagteform, fe'!A:D,4,FALSE)</f>
        <v>483.81240840494752</v>
      </c>
      <c r="D324" s="3">
        <f t="shared" si="134"/>
        <v>875.08226501336139</v>
      </c>
      <c r="E324" s="3">
        <f>(1+Forudsætninger!$E$78)*C324</f>
        <v>445.10741573255171</v>
      </c>
      <c r="F324" s="2">
        <f t="shared" ref="F324:F368" si="163">MAX(F323-((D324/1000)/15),0)</f>
        <v>0</v>
      </c>
      <c r="G324" s="1">
        <f t="shared" si="155"/>
        <v>445.10741573255171</v>
      </c>
      <c r="H324" s="3">
        <f t="shared" ref="H324:H367" si="164">(G324-G323)*1000</f>
        <v>805.07568381227657</v>
      </c>
      <c r="I324" s="3">
        <f t="shared" si="156"/>
        <v>1171.1410426476762</v>
      </c>
      <c r="J324" s="1">
        <f>VLOOKUP((A324+Forudsætninger!$E$60),'Model tilvækst, slagteform, fe'!G:K,4,FALSE)*(1+Forudsætninger!$E$79)</f>
        <v>54.101016888664951</v>
      </c>
      <c r="K324" s="17">
        <f t="shared" si="157"/>
        <v>240.80763815816795</v>
      </c>
      <c r="L324" s="17">
        <f t="shared" ref="L324:L367" si="165">(K324-K323)*1000</f>
        <v>481.61446748449066</v>
      </c>
      <c r="M324" s="3">
        <f>((K324-(('Model tilvækst, slagteform, fe'!$J$9/100)*'Model tilvækst, slagteform, fe'!$D$9))*1000/(A324+Forudsætninger!$E$60))</f>
        <v>616.12634084727563</v>
      </c>
      <c r="N324" s="17">
        <f t="shared" ref="N324:N367" si="166">N323+P324</f>
        <v>1877.0754765533459</v>
      </c>
      <c r="O324" s="19">
        <f>IF( A324&lt;Forudsætninger!$C$14,(G324/100)*Forudsætninger!$C$13,(Forudsætninger!$C$15/1000)*Forudsætninger!$C$13)</f>
        <v>2.8931982022615865</v>
      </c>
      <c r="P324" s="17" cm="1">
        <f t="array" ref="P324">INDEX('Model tilvækst, slagteform, fe'!$P$9:$P$375,MATCH(MIN(ABS('Model tilvækst, slagteform, fe'!$M$9:$M$375-G324)),ABS('Model tilvækst, slagteform, fe'!$M$9:$M$375-G324),0))*(1+Forudsætninger!$E$80)</f>
        <v>7.6468410573101195</v>
      </c>
      <c r="Q324" s="17">
        <f t="shared" ref="Q324:Q367" si="167">P324/(L324/1000)</f>
        <v>15.877515260806341</v>
      </c>
      <c r="R324" s="17">
        <f t="shared" ref="R324:R367" si="168">N324/(K324-$K$2)</f>
        <v>9.0313066343231423</v>
      </c>
      <c r="S324" s="17">
        <f t="shared" ref="S324:S367" si="169">N324/(G324-$G$2)</f>
        <v>4.977561825208408</v>
      </c>
      <c r="T324" s="19">
        <f>(P324)*IF(N324&lt;Forudsætninger!$B$228,IF(N324&lt;Forudsætninger!$B$227,Forudsætninger!$B$225,Forudsætninger!$C$9),Forudsætninger!$C$11)+O324</f>
        <v>20.786806276367265</v>
      </c>
      <c r="U324" s="5">
        <f>Forudsætninger!$E$68+((K324-(Forudsætninger!$E$84)))*0.01</f>
        <v>7.1246400911533483</v>
      </c>
      <c r="V324" s="2">
        <f>U324+Forudsætninger!$E$69</f>
        <v>7.1246400911533483</v>
      </c>
      <c r="W324">
        <f t="shared" si="158"/>
        <v>1</v>
      </c>
      <c r="X324">
        <f>IF(A324+Forudsætninger!$E$60&gt;248,IF(A324+Forudsætninger!$E$60&lt;365,IF(K324&gt;180,IF(K324&lt;260,1,0),0),0),0)</f>
        <v>1</v>
      </c>
      <c r="Y324" s="22">
        <f>IF(X324=0,0,IF('Vækstfunktion, kry kvie'!A324&lt;Forudsætninger!$E$66,Forudsætninger!$E$67+(('Vækstfunktion, kry kvie'!A324-Forudsætninger!$E$66)/7)*Forudsætninger!$E$64,Forudsætninger!$E$67))</f>
        <v>0.98</v>
      </c>
      <c r="Z324" s="19">
        <f t="shared" si="128"/>
        <v>5443.6390141591874</v>
      </c>
      <c r="AA324" s="19">
        <f>Forudsætninger!$E$62+Forudsætninger!$C$16</f>
        <v>1575</v>
      </c>
      <c r="AB324" s="19">
        <f>IF(K324&gt;Forudsætninger!$C$48,IF(K324&gt;Forudsætninger!$C$49,IF(K324&gt;Forudsætninger!$C$50,Forudsætninger!$E$50,Forudsætninger!$E$49+Forudsætninger!$F$50*(K324-Forudsætninger!$C$49)),Forudsætninger!$E$48+Forudsætninger!$F$49*(K324-Forudsætninger!$C$48)),Forudsætninger!$E$48)+IF(K324&gt;Forudsætninger!$C$50,Forudsætninger!$G$50,IF(K324&gt;Forudsætninger!$C$49,Forudsætninger!$G$49+Forudsætninger!$H$50*(K324-Forudsætninger!$C$49),IF(K324&gt;Forudsætninger!$C$48,Forudsætninger!$G$48+Forudsætninger!$H$49*(K324-Forudsætninger!$C$48),Forudsætninger!$G$48)))*(U324-Forudsætninger!$H$48)</f>
        <v>36.990107224580981</v>
      </c>
      <c r="AC324" s="19">
        <f>IF(K324&gt;Forudsætninger!$C$52,IF(K324&gt;Forudsætninger!$C$53,IF(K324&gt;Forudsætninger!$C$54,Forudsætninger!$E$54,Forudsætninger!$E$53+Forudsætninger!$F$54*(K324-Forudsætninger!$C$53)),Forudsætninger!$E$52+Forudsætninger!$F$53*(K324-Forudsætninger!$C$52)),Forudsætninger!$E$52)+IF(K324&gt;Forudsætninger!$C$54,Forudsætninger!$G$54,IF(K324&gt;Forudsætninger!$C$53,Forudsætninger!$G$53+Forudsætninger!$H$54*(K324-Forudsætninger!$C$53),IF(K324&gt;Forudsætninger!$C$52,Forudsætninger!$G$52+Forudsætninger!$H$53*(K324-Forudsætninger!$C$52),Forudsætninger!$G$52)))*(V324-Forudsætninger!$H$52)</f>
        <v>31.42375140305208</v>
      </c>
      <c r="AD324" s="19">
        <f t="shared" si="159"/>
        <v>8880.6919359981239</v>
      </c>
      <c r="AE324" s="19">
        <f t="shared" si="160"/>
        <v>36.878780108150401</v>
      </c>
      <c r="AF324">
        <f>IF(G324&lt;=Forudsætninger!$C$97,Forudsætninger!$C$98,(IF(G324&lt;=Forudsætninger!$D$97,Forudsætninger!$D$98,IF(G324&lt;=Forudsætninger!$E$97,Forudsætninger!$E$98,IF(G324&lt;=Forudsætninger!$F$97,Forudsætninger!$F$98,IF(G324&lt;=Forudsætninger!$G$97,Forudsætninger!$G$98,IF(G324&lt;=Forudsætninger!$H$97,Forudsætninger!$H$98,IF(G324&lt;=Forudsætninger!$I$97,Forudsætninger!$I$98,Forudsætninger!$I$98))))))))</f>
        <v>4.4000000000000004</v>
      </c>
      <c r="AG324" s="1">
        <f t="shared" ref="AG324:AG367" si="170">IF(AF324&lt;=3.2,IF(AF324&lt;=2.2,2.2,3.2),4.4)</f>
        <v>4.4000000000000004</v>
      </c>
      <c r="AH324" s="1">
        <f t="shared" si="129"/>
        <v>1076.3999999999969</v>
      </c>
      <c r="AI324" s="1">
        <f t="shared" si="161"/>
        <v>3.3428571428571332</v>
      </c>
      <c r="AJ324" s="20">
        <f>+(W324*Forudsætninger!$C$12)</f>
        <v>900</v>
      </c>
      <c r="AK324" s="20">
        <f>Forudsætninger!$C$17</f>
        <v>250</v>
      </c>
      <c r="AL324" s="20">
        <f>IF(A324&lt;92,Forudsætninger!$C$20,Forudsætninger!$C$21)</f>
        <v>1.0566762728146013</v>
      </c>
      <c r="AM324" s="20">
        <f t="shared" ref="AM324:AM367" si="171">AL324+AM323</f>
        <v>608.75524269959124</v>
      </c>
      <c r="AN324" s="19">
        <f>IFERROR(AD324+AJ324-AA324-Z324-AK324-AM324-Forudsætninger!$E$75,-999999)</f>
        <v>1712.0809178027296</v>
      </c>
      <c r="AO324" s="19">
        <f>IFERROR(AN324/(A324+Forudsætninger!$E$74),-999999)</f>
        <v>5.317021483859409</v>
      </c>
      <c r="AP324" s="19">
        <f>IFERROR(((365/(A324+Forudsætninger!$E$74))*AN324)/(AI324+Forudsætninger!$E$73),-999999)</f>
        <v>562.05998722634786</v>
      </c>
      <c r="AQ324" s="18">
        <f t="shared" si="162"/>
        <v>322</v>
      </c>
      <c r="AR324" s="18">
        <f t="shared" si="130"/>
        <v>7877.394256858779</v>
      </c>
      <c r="AS324" s="18">
        <f t="shared" si="154"/>
        <v>11.8</v>
      </c>
      <c r="AT324" s="50">
        <f t="shared" si="131"/>
        <v>-1.7817448695200255</v>
      </c>
      <c r="AU324" s="50">
        <f t="shared" si="132"/>
        <v>-2.2114536926415518E-2</v>
      </c>
      <c r="AV324" s="2">
        <f t="shared" si="133"/>
        <v>-2.876545339395193</v>
      </c>
      <c r="AW324" s="16">
        <f t="shared" ref="AW324:AW368" si="172">((AN324+AM324)/A324)</f>
        <v>7.2075657158457176</v>
      </c>
      <c r="AZ324" s="16"/>
      <c r="BA324" s="2"/>
    </row>
    <row r="325" spans="1:53" x14ac:dyDescent="0.25">
      <c r="A325">
        <v>323</v>
      </c>
      <c r="B325" s="1">
        <f>ROUND((A325+Forudsætninger!$E$60)/30.4,1)</f>
        <v>11.8</v>
      </c>
      <c r="C325" s="1">
        <f>VLOOKUP((A325+Forudsætninger!$E$60),'Model tilvækst, slagteform, fe'!A:D,4,FALSE)</f>
        <v>484.68396138021052</v>
      </c>
      <c r="D325" s="3">
        <f t="shared" si="134"/>
        <v>871.55297526300046</v>
      </c>
      <c r="E325" s="3">
        <f>(1+Forudsætninger!$E$78)*C325</f>
        <v>445.90924446979369</v>
      </c>
      <c r="F325" s="2">
        <f t="shared" si="163"/>
        <v>0</v>
      </c>
      <c r="G325" s="1">
        <f t="shared" si="155"/>
        <v>445.90924446979369</v>
      </c>
      <c r="H325" s="3">
        <f t="shared" si="164"/>
        <v>801.82873724197634</v>
      </c>
      <c r="I325" s="3">
        <f t="shared" si="156"/>
        <v>1169.997660897194</v>
      </c>
      <c r="J325" s="1">
        <f>VLOOKUP((A325+Forudsætninger!$E$60),'Model tilvækst, slagteform, fe'!G:K,4,FALSE)*(1+Forudsætninger!$E$79)</f>
        <v>54.111385660826123</v>
      </c>
      <c r="K325" s="17">
        <f t="shared" si="157"/>
        <v>241.28767097232605</v>
      </c>
      <c r="L325" s="17">
        <f t="shared" si="165"/>
        <v>480.03281415810761</v>
      </c>
      <c r="M325" s="3">
        <f>((K325-(('Model tilvækst, slagteform, fe'!$J$9/100)*'Model tilvækst, slagteform, fe'!$D$9))*1000/(A325+Forudsætninger!$E$60))</f>
        <v>615.74725024368468</v>
      </c>
      <c r="N325" s="17">
        <f t="shared" si="166"/>
        <v>1884.7275446488204</v>
      </c>
      <c r="O325" s="19">
        <f>IF( A325&lt;Forudsætninger!$C$14,(G325/100)*Forudsætninger!$C$13,(Forudsætninger!$C$15/1000)*Forudsætninger!$C$13)</f>
        <v>2.8984100890536593</v>
      </c>
      <c r="P325" s="17" cm="1">
        <f t="array" ref="P325">INDEX('Model tilvækst, slagteform, fe'!$P$9:$P$375,MATCH(MIN(ABS('Model tilvækst, slagteform, fe'!$M$9:$M$375-G325)),ABS('Model tilvækst, slagteform, fe'!$M$9:$M$375-G325),0))*(1+Forudsætninger!$E$80)</f>
        <v>7.6520680954745295</v>
      </c>
      <c r="Q325" s="17">
        <f t="shared" si="167"/>
        <v>15.940718779600306</v>
      </c>
      <c r="R325" s="17">
        <f t="shared" si="168"/>
        <v>9.0472279509829452</v>
      </c>
      <c r="S325" s="17">
        <f t="shared" si="169"/>
        <v>4.9872491139852677</v>
      </c>
      <c r="T325" s="19">
        <f>(P325)*IF(N325&lt;Forudsætninger!$B$228,IF(N325&lt;Forudsætninger!$B$227,Forudsætninger!$B$225,Forudsætninger!$C$9),Forudsætninger!$C$11)+O325</f>
        <v>20.804249432464058</v>
      </c>
      <c r="U325" s="5">
        <f>Forudsætninger!$E$68+((K325-(Forudsætninger!$E$84)))*0.01</f>
        <v>7.1294404192949301</v>
      </c>
      <c r="V325" s="2">
        <f>U325+Forudsætninger!$E$69</f>
        <v>7.1294404192949301</v>
      </c>
      <c r="W325">
        <f t="shared" si="158"/>
        <v>1</v>
      </c>
      <c r="X325">
        <f>IF(A325+Forudsætninger!$E$60&gt;248,IF(A325+Forudsætninger!$E$60&lt;365,IF(K325&gt;180,IF(K325&lt;260,1,0),0),0),0)</f>
        <v>1</v>
      </c>
      <c r="Y325" s="22">
        <f>IF(X325=0,0,IF('Vækstfunktion, kry kvie'!A325&lt;Forudsætninger!$E$66,Forudsætninger!$E$67+(('Vækstfunktion, kry kvie'!A325-Forudsætninger!$E$66)/7)*Forudsætninger!$E$64,Forudsætninger!$E$67))</f>
        <v>0.98</v>
      </c>
      <c r="Z325" s="19">
        <f t="shared" ref="Z325:Z367" si="173">Z324+T325</f>
        <v>5464.443263591651</v>
      </c>
      <c r="AA325" s="19">
        <f>Forudsætninger!$E$62+Forudsætninger!$C$16</f>
        <v>1575</v>
      </c>
      <c r="AB325" s="19">
        <f>IF(K325&gt;Forudsætninger!$C$48,IF(K325&gt;Forudsætninger!$C$49,IF(K325&gt;Forudsætninger!$C$50,Forudsætninger!$E$50,Forudsætninger!$E$49+Forudsætninger!$F$50*(K325-Forudsætninger!$C$49)),Forudsætninger!$E$48+Forudsætninger!$F$49*(K325-Forudsætninger!$C$48)),Forudsætninger!$E$48)+IF(K325&gt;Forudsætninger!$C$50,Forudsætninger!$G$50,IF(K325&gt;Forudsætninger!$C$49,Forudsætninger!$G$49+Forudsætninger!$H$50*(K325-Forudsætninger!$C$49),IF(K325&gt;Forudsætninger!$C$48,Forudsætninger!$G$48+Forudsætninger!$H$49*(K325-Forudsætninger!$C$48),Forudsætninger!$G$48)))*(U325-Forudsætninger!$H$48)</f>
        <v>36.999587872660605</v>
      </c>
      <c r="AC325" s="19">
        <f>IF(K325&gt;Forudsætninger!$C$52,IF(K325&gt;Forudsætninger!$C$53,IF(K325&gt;Forudsætninger!$C$54,Forudsætninger!$E$54,Forudsætninger!$E$53+Forudsætninger!$F$54*(K325-Forudsætninger!$C$53)),Forudsætninger!$E$52+Forudsætninger!$F$53*(K325-Forudsætninger!$C$52)),Forudsætninger!$E$52)+IF(K325&gt;Forudsætninger!$C$54,Forudsætninger!$G$54,IF(K325&gt;Forudsætninger!$C$53,Forudsætninger!$G$53+Forudsætninger!$H$54*(K325-Forudsætninger!$C$53),IF(K325&gt;Forudsætninger!$C$52,Forudsætninger!$G$52+Forudsætninger!$H$53*(K325-Forudsætninger!$C$52),Forudsætninger!$G$52)))*(V325-Forudsætninger!$H$52)</f>
        <v>31.436214738221814</v>
      </c>
      <c r="AD325" s="19">
        <f t="shared" si="159"/>
        <v>8900.6969178030231</v>
      </c>
      <c r="AE325" s="19">
        <f t="shared" si="160"/>
        <v>36.888320409971833</v>
      </c>
      <c r="AF325">
        <f>IF(G325&lt;=Forudsætninger!$C$97,Forudsætninger!$C$98,(IF(G325&lt;=Forudsætninger!$D$97,Forudsætninger!$D$98,IF(G325&lt;=Forudsætninger!$E$97,Forudsætninger!$E$98,IF(G325&lt;=Forudsætninger!$F$97,Forudsætninger!$F$98,IF(G325&lt;=Forudsætninger!$G$97,Forudsætninger!$G$98,IF(G325&lt;=Forudsætninger!$H$97,Forudsætninger!$H$98,IF(G325&lt;=Forudsætninger!$I$97,Forudsætninger!$I$98,Forudsætninger!$I$98))))))))</f>
        <v>4.4000000000000004</v>
      </c>
      <c r="AG325" s="1">
        <f t="shared" si="170"/>
        <v>4.4000000000000004</v>
      </c>
      <c r="AH325" s="1">
        <f t="shared" ref="AH325:AH367" si="174">AH324+AG325</f>
        <v>1080.799999999997</v>
      </c>
      <c r="AI325" s="1">
        <f t="shared" si="161"/>
        <v>3.3461300309597428</v>
      </c>
      <c r="AJ325" s="20">
        <f>+(W325*Forudsætninger!$C$12)</f>
        <v>900</v>
      </c>
      <c r="AK325" s="20">
        <f>Forudsætninger!$C$17</f>
        <v>250</v>
      </c>
      <c r="AL325" s="20">
        <f>IF(A325&lt;92,Forudsætninger!$C$20,Forudsætninger!$C$21)</f>
        <v>1.0566762728146013</v>
      </c>
      <c r="AM325" s="20">
        <f t="shared" si="171"/>
        <v>609.81191897240581</v>
      </c>
      <c r="AN325" s="19">
        <f>IFERROR(AD325+AJ325-AA325-Z325-AK325-AM325-Forudsætninger!$E$75,-999999)</f>
        <v>1710.2249739023507</v>
      </c>
      <c r="AO325" s="19">
        <f>IFERROR(AN325/(A325+Forudsætninger!$E$74),-999999)</f>
        <v>5.2948141606883921</v>
      </c>
      <c r="AP325" s="19">
        <f>IFERROR(((365/(A325+Forudsætninger!$E$74))*AN325)/(AI325+Forudsætninger!$E$73),-999999)</f>
        <v>559.18242408101514</v>
      </c>
      <c r="AQ325" s="18">
        <f t="shared" si="162"/>
        <v>323</v>
      </c>
      <c r="AR325" s="18">
        <f t="shared" ref="AR325:AR368" si="175">AA325+Z325+AK325+AM325</f>
        <v>7899.2551825640567</v>
      </c>
      <c r="AS325" s="18">
        <f t="shared" si="154"/>
        <v>11.8</v>
      </c>
      <c r="AT325" s="50">
        <f t="shared" ref="AT325:AT368" si="176">AN325-AN324</f>
        <v>-1.8559439003788611</v>
      </c>
      <c r="AU325" s="50">
        <f t="shared" ref="AU325:AU368" si="177">AO325-AO324</f>
        <v>-2.2207323171016924E-2</v>
      </c>
      <c r="AV325" s="2">
        <f t="shared" ref="AV325:AV368" si="178">AP325-AP324</f>
        <v>-2.8775631453327151</v>
      </c>
      <c r="AW325" s="16">
        <f t="shared" si="172"/>
        <v>7.1827767581261819</v>
      </c>
      <c r="AZ325" s="16"/>
      <c r="BA325" s="2"/>
    </row>
    <row r="326" spans="1:53" x14ac:dyDescent="0.25">
      <c r="A326">
        <v>324</v>
      </c>
      <c r="B326" s="1">
        <f>ROUND((A326+Forudsætninger!$E$60)/30.4,1)</f>
        <v>11.8</v>
      </c>
      <c r="C326" s="1">
        <f>VLOOKUP((A326+Forudsætninger!$E$60),'Model tilvækst, slagteform, fe'!A:D,4,FALSE)</f>
        <v>485.55202477311229</v>
      </c>
      <c r="D326" s="3">
        <f t="shared" ref="D326:D367" si="179">(C326-C325)*1000</f>
        <v>868.06339290177448</v>
      </c>
      <c r="E326" s="3">
        <f>(1+Forudsætninger!$E$78)*C326</f>
        <v>446.70786279126332</v>
      </c>
      <c r="F326" s="2">
        <f t="shared" si="163"/>
        <v>0</v>
      </c>
      <c r="G326" s="1">
        <f t="shared" si="155"/>
        <v>446.70786279126332</v>
      </c>
      <c r="H326" s="3">
        <f t="shared" si="164"/>
        <v>798.61832146963252</v>
      </c>
      <c r="I326" s="3">
        <f t="shared" si="156"/>
        <v>1168.8514283680968</v>
      </c>
      <c r="J326" s="1">
        <f>VLOOKUP((A326+Forudsætninger!$E$60),'Model tilvækst, slagteform, fe'!G:K,4,FALSE)*(1+Forudsætninger!$E$79)</f>
        <v>54.121756079689582</v>
      </c>
      <c r="K326" s="17">
        <f t="shared" si="157"/>
        <v>241.76613988868198</v>
      </c>
      <c r="L326" s="17">
        <f t="shared" si="165"/>
        <v>478.46891635592215</v>
      </c>
      <c r="M326" s="3">
        <f>((K326-(('Model tilvækst, slagteform, fe'!$J$9/100)*'Model tilvækst, slagteform, fe'!$D$9))*1000/(A326+Forudsætninger!$E$60))</f>
        <v>615.36592153844083</v>
      </c>
      <c r="N326" s="17">
        <f t="shared" si="166"/>
        <v>1892.3848871762186</v>
      </c>
      <c r="O326" s="19">
        <f>IF( A326&lt;Forudsætninger!$C$14,(G326/100)*Forudsætninger!$C$13,(Forudsætninger!$C$15/1000)*Forudsætninger!$C$13)</f>
        <v>2.9036011081432114</v>
      </c>
      <c r="P326" s="17" cm="1">
        <f t="array" ref="P326">INDEX('Model tilvækst, slagteform, fe'!$P$9:$P$375,MATCH(MIN(ABS('Model tilvækst, slagteform, fe'!$M$9:$M$375-G326)),ABS('Model tilvækst, slagteform, fe'!$M$9:$M$375-G326),0))*(1+Forudsætninger!$E$80)</f>
        <v>7.6573425273982174</v>
      </c>
      <c r="Q326" s="17">
        <f t="shared" si="167"/>
        <v>16.003845319184943</v>
      </c>
      <c r="R326" s="17">
        <f t="shared" si="168"/>
        <v>9.0631692042946366</v>
      </c>
      <c r="S326" s="17">
        <f t="shared" si="169"/>
        <v>4.9969516693643765</v>
      </c>
      <c r="T326" s="19">
        <f>(P326)*IF(N326&lt;Forudsætninger!$B$228,IF(N326&lt;Forudsætninger!$B$227,Forudsætninger!$B$225,Forudsætninger!$C$9),Forudsætninger!$C$11)+O326</f>
        <v>20.821782622255039</v>
      </c>
      <c r="U326" s="5">
        <f>Forudsætninger!$E$68+((K326-(Forudsætninger!$E$84)))*0.01</f>
        <v>7.1342251084584891</v>
      </c>
      <c r="V326" s="2">
        <f>U326+Forudsætninger!$E$69</f>
        <v>7.1342251084584891</v>
      </c>
      <c r="W326">
        <f t="shared" si="158"/>
        <v>1</v>
      </c>
      <c r="X326">
        <f>IF(A326+Forudsætninger!$E$60&gt;248,IF(A326+Forudsætninger!$E$60&lt;365,IF(K326&gt;180,IF(K326&lt;260,1,0),0),0),0)</f>
        <v>1</v>
      </c>
      <c r="Y326" s="22">
        <f>IF(X326=0,0,IF('Vækstfunktion, kry kvie'!A326&lt;Forudsætninger!$E$66,Forudsætninger!$E$67+(('Vækstfunktion, kry kvie'!A326-Forudsætninger!$E$66)/7)*Forudsætninger!$E$64,Forudsætninger!$E$67))</f>
        <v>0.98</v>
      </c>
      <c r="Z326" s="19">
        <f t="shared" si="173"/>
        <v>5485.2650462139063</v>
      </c>
      <c r="AA326" s="19">
        <f>Forudsætninger!$E$62+Forudsætninger!$C$16</f>
        <v>1575</v>
      </c>
      <c r="AB326" s="19">
        <f>IF(K326&gt;Forudsætninger!$C$48,IF(K326&gt;Forudsætninger!$C$49,IF(K326&gt;Forudsætninger!$C$50,Forudsætninger!$E$50,Forudsætninger!$E$49+Forudsætninger!$F$50*(K326-Forudsætninger!$C$49)),Forudsætninger!$E$48+Forudsætninger!$F$49*(K326-Forudsætninger!$C$48)),Forudsætninger!$E$48)+IF(K326&gt;Forudsætninger!$C$50,Forudsætninger!$G$50,IF(K326&gt;Forudsætninger!$C$49,Forudsætninger!$G$49+Forudsætninger!$H$50*(K326-Forudsætninger!$C$49),IF(K326&gt;Forudsætninger!$C$48,Forudsætninger!$G$48+Forudsætninger!$H$49*(K326-Forudsætninger!$C$48),Forudsætninger!$G$48)))*(U326-Forudsætninger!$H$48)</f>
        <v>37.009037633758638</v>
      </c>
      <c r="AC326" s="19">
        <f>IF(K326&gt;Forudsætninger!$C$52,IF(K326&gt;Forudsætninger!$C$53,IF(K326&gt;Forudsætninger!$C$54,Forudsætninger!$E$54,Forudsætninger!$E$53+Forudsætninger!$F$54*(K326-Forudsætninger!$C$53)),Forudsætninger!$E$52+Forudsætninger!$F$53*(K326-Forudsætninger!$C$52)),Forudsætninger!$E$52)+IF(K326&gt;Forudsætninger!$C$54,Forudsætninger!$G$54,IF(K326&gt;Forudsætninger!$C$53,Forudsætninger!$G$53+Forudsætninger!$H$54*(K326-Forudsætninger!$C$53),IF(K326&gt;Forudsætninger!$C$52,Forudsætninger!$G$52+Forudsætninger!$H$53*(K326-Forudsætninger!$C$52),Forudsætninger!$G$52)))*(V326-Forudsætninger!$H$52)</f>
        <v>31.448627914677118</v>
      </c>
      <c r="AD326" s="19">
        <f t="shared" si="159"/>
        <v>8920.6457938291496</v>
      </c>
      <c r="AE326" s="19">
        <f t="shared" si="160"/>
        <v>36.897829439377006</v>
      </c>
      <c r="AF326">
        <f>IF(G326&lt;=Forudsætninger!$C$97,Forudsætninger!$C$98,(IF(G326&lt;=Forudsætninger!$D$97,Forudsætninger!$D$98,IF(G326&lt;=Forudsætninger!$E$97,Forudsætninger!$E$98,IF(G326&lt;=Forudsætninger!$F$97,Forudsætninger!$F$98,IF(G326&lt;=Forudsætninger!$G$97,Forudsætninger!$G$98,IF(G326&lt;=Forudsætninger!$H$97,Forudsætninger!$H$98,IF(G326&lt;=Forudsætninger!$I$97,Forudsætninger!$I$98,Forudsætninger!$I$98))))))))</f>
        <v>4.4000000000000004</v>
      </c>
      <c r="AG326" s="1">
        <f t="shared" si="170"/>
        <v>4.4000000000000004</v>
      </c>
      <c r="AH326" s="1">
        <f t="shared" si="174"/>
        <v>1085.1999999999971</v>
      </c>
      <c r="AI326" s="1">
        <f t="shared" si="161"/>
        <v>3.3493827160493739</v>
      </c>
      <c r="AJ326" s="20">
        <f>+(W326*Forudsætninger!$C$12)</f>
        <v>900</v>
      </c>
      <c r="AK326" s="20">
        <f>Forudsætninger!$C$17</f>
        <v>250</v>
      </c>
      <c r="AL326" s="20">
        <f>IF(A326&lt;92,Forudsætninger!$C$20,Forudsætninger!$C$21)</f>
        <v>1.0566762728146013</v>
      </c>
      <c r="AM326" s="20">
        <f t="shared" si="171"/>
        <v>610.86859524522038</v>
      </c>
      <c r="AN326" s="19">
        <f>IFERROR(AD326+AJ326-AA326-Z326-AK326-AM326-Forudsætninger!$E$75,-999999)</f>
        <v>1708.2953910334072</v>
      </c>
      <c r="AO326" s="19">
        <f>IFERROR(AN326/(A326+Forudsætninger!$E$74),-999999)</f>
        <v>5.2725166389919975</v>
      </c>
      <c r="AP326" s="19">
        <f>IFERROR(((365/(A326+Forudsætninger!$E$74))*AN326)/(AI326+Forudsætninger!$E$73),-999999)</f>
        <v>556.30403779950313</v>
      </c>
      <c r="AQ326" s="18">
        <f t="shared" si="162"/>
        <v>324</v>
      </c>
      <c r="AR326" s="18">
        <f t="shared" si="175"/>
        <v>7921.1336414591269</v>
      </c>
      <c r="AS326" s="18">
        <f t="shared" si="154"/>
        <v>11.8</v>
      </c>
      <c r="AT326" s="50">
        <f t="shared" si="176"/>
        <v>-1.9295828689434984</v>
      </c>
      <c r="AU326" s="50">
        <f t="shared" si="177"/>
        <v>-2.229752169639454E-2</v>
      </c>
      <c r="AV326" s="2">
        <f t="shared" si="178"/>
        <v>-2.8783862815120074</v>
      </c>
      <c r="AW326" s="16">
        <f t="shared" si="172"/>
        <v>7.1579135378969996</v>
      </c>
      <c r="AZ326" s="16"/>
      <c r="BA326" s="2"/>
    </row>
    <row r="327" spans="1:53" x14ac:dyDescent="0.25">
      <c r="A327">
        <v>325</v>
      </c>
      <c r="B327" s="1">
        <f>ROUND((A327+Forudsætninger!$E$60)/30.4,1)</f>
        <v>11.9</v>
      </c>
      <c r="C327" s="1">
        <f>VLOOKUP((A327+Forudsætninger!$E$60),'Model tilvækst, slagteform, fe'!A:D,4,FALSE)</f>
        <v>486.4166388760629</v>
      </c>
      <c r="D327" s="3">
        <f t="shared" si="179"/>
        <v>864.61410295061114</v>
      </c>
      <c r="E327" s="3">
        <f>(1+Forudsætninger!$E$78)*C327</f>
        <v>447.50330776597787</v>
      </c>
      <c r="F327" s="2">
        <f t="shared" si="163"/>
        <v>0</v>
      </c>
      <c r="G327" s="1">
        <f t="shared" si="155"/>
        <v>447.50330776597787</v>
      </c>
      <c r="H327" s="3">
        <f t="shared" si="164"/>
        <v>795.44497471454179</v>
      </c>
      <c r="I327" s="3">
        <f t="shared" si="156"/>
        <v>1167.7024854337781</v>
      </c>
      <c r="J327" s="1">
        <f>VLOOKUP((A327+Forudsætninger!$E$60),'Model tilvækst, slagteform, fe'!G:K,4,FALSE)*(1+Forudsætninger!$E$79)</f>
        <v>54.132127910012144</v>
      </c>
      <c r="K327" s="17">
        <f t="shared" si="157"/>
        <v>242.24306296141444</v>
      </c>
      <c r="L327" s="17">
        <f t="shared" si="165"/>
        <v>476.92307273246115</v>
      </c>
      <c r="M327" s="3">
        <f>((K327-(('Model tilvækst, slagteform, fe'!$J$9/100)*'Model tilvækst, slagteform, fe'!$D$9))*1000/(A327+Forudsætninger!$E$60))</f>
        <v>614.98242334230247</v>
      </c>
      <c r="N327" s="17">
        <f t="shared" si="166"/>
        <v>1900.0422297036168</v>
      </c>
      <c r="O327" s="19">
        <f>IF( A327&lt;Forudsætninger!$C$14,(G327/100)*Forudsætninger!$C$13,(Forudsætninger!$C$15/1000)*Forudsætninger!$C$13)</f>
        <v>2.9087715004788564</v>
      </c>
      <c r="P327" s="17" cm="1">
        <f t="array" ref="P327">INDEX('Model tilvækst, slagteform, fe'!$P$9:$P$375,MATCH(MIN(ABS('Model tilvækst, slagteform, fe'!$M$9:$M$375-G327)),ABS('Model tilvækst, slagteform, fe'!$M$9:$M$375-G327),0))*(1+Forudsætninger!$E$80)</f>
        <v>7.6573425273982174</v>
      </c>
      <c r="Q327" s="17">
        <f t="shared" si="167"/>
        <v>16.05571834368715</v>
      </c>
      <c r="R327" s="17">
        <f t="shared" si="168"/>
        <v>9.0791046284566832</v>
      </c>
      <c r="S327" s="17">
        <f t="shared" si="169"/>
        <v>5.0066552539122666</v>
      </c>
      <c r="T327" s="19">
        <f>(P327)*IF(N327&lt;Forudsætninger!$B$228,IF(N327&lt;Forudsætninger!$B$227,Forudsætninger!$B$225,Forudsætninger!$C$9),Forudsætninger!$C$11)+O327</f>
        <v>20.826953014590686</v>
      </c>
      <c r="U327" s="5">
        <f>Forudsætninger!$E$68+((K327-(Forudsætninger!$E$84)))*0.01</f>
        <v>7.1389943391858139</v>
      </c>
      <c r="V327" s="2">
        <f>U327+Forudsætninger!$E$69</f>
        <v>7.1389943391858139</v>
      </c>
      <c r="W327">
        <f t="shared" si="158"/>
        <v>1</v>
      </c>
      <c r="X327">
        <f>IF(A327+Forudsætninger!$E$60&gt;248,IF(A327+Forudsætninger!$E$60&lt;365,IF(K327&gt;180,IF(K327&lt;260,1,0),0),0),0)</f>
        <v>1</v>
      </c>
      <c r="Y327" s="22">
        <f>IF(X327=0,0,IF('Vækstfunktion, kry kvie'!A327&lt;Forudsætninger!$E$66,Forudsætninger!$E$67+(('Vækstfunktion, kry kvie'!A327-Forudsætninger!$E$66)/7)*Forudsætninger!$E$64,Forudsætninger!$E$67))</f>
        <v>0.98</v>
      </c>
      <c r="Z327" s="19">
        <f t="shared" si="173"/>
        <v>5506.0919992284971</v>
      </c>
      <c r="AA327" s="19">
        <f>Forudsætninger!$E$62+Forudsætninger!$C$16</f>
        <v>1575</v>
      </c>
      <c r="AB327" s="19">
        <f>IF(K327&gt;Forudsætninger!$C$48,IF(K327&gt;Forudsætninger!$C$49,IF(K327&gt;Forudsætninger!$C$50,Forudsætninger!$E$50,Forudsætninger!$E$49+Forudsætninger!$F$50*(K327-Forudsætninger!$C$49)),Forudsætninger!$E$48+Forudsætninger!$F$49*(K327-Forudsætninger!$C$48)),Forudsætninger!$E$48)+IF(K327&gt;Forudsætninger!$C$50,Forudsætninger!$G$50,IF(K327&gt;Forudsætninger!$C$49,Forudsætninger!$G$49+Forudsætninger!$H$50*(K327-Forudsætninger!$C$49),IF(K327&gt;Forudsætninger!$C$48,Forudsætninger!$G$48+Forudsætninger!$H$49*(K327-Forudsætninger!$C$48),Forudsætninger!$G$48)))*(U327-Forudsætninger!$H$48)</f>
        <v>37.018456864445099</v>
      </c>
      <c r="AC327" s="19">
        <f>IF(K327&gt;Forudsætninger!$C$52,IF(K327&gt;Forudsætninger!$C$53,IF(K327&gt;Forudsætninger!$C$54,Forudsætninger!$E$54,Forudsætninger!$E$53+Forudsætninger!$F$54*(K327-Forudsætninger!$C$53)),Forudsætninger!$E$52+Forudsætninger!$F$53*(K327-Forudsætninger!$C$52)),Forudsætninger!$E$52)+IF(K327&gt;Forudsætninger!$C$54,Forudsætninger!$G$54,IF(K327&gt;Forudsætninger!$C$53,Forudsætninger!$G$53+Forudsætninger!$H$54*(K327-Forudsætninger!$C$53),IF(K327&gt;Forudsætninger!$C$52,Forudsætninger!$G$52+Forudsætninger!$H$53*(K327-Forudsætninger!$C$52),Forudsætninger!$G$52)))*(V327-Forudsætninger!$H$52)</f>
        <v>31.460991493803085</v>
      </c>
      <c r="AD327" s="19">
        <f t="shared" si="159"/>
        <v>8940.5392282744524</v>
      </c>
      <c r="AE327" s="19">
        <f t="shared" si="160"/>
        <v>36.907307557032262</v>
      </c>
      <c r="AF327">
        <f>IF(G327&lt;=Forudsætninger!$C$97,Forudsætninger!$C$98,(IF(G327&lt;=Forudsætninger!$D$97,Forudsætninger!$D$98,IF(G327&lt;=Forudsætninger!$E$97,Forudsætninger!$E$98,IF(G327&lt;=Forudsætninger!$F$97,Forudsætninger!$F$98,IF(G327&lt;=Forudsætninger!$G$97,Forudsætninger!$G$98,IF(G327&lt;=Forudsætninger!$H$97,Forudsætninger!$H$98,IF(G327&lt;=Forudsætninger!$I$97,Forudsætninger!$I$98,Forudsætninger!$I$98))))))))</f>
        <v>4.4000000000000004</v>
      </c>
      <c r="AG327" s="1">
        <f t="shared" si="170"/>
        <v>4.4000000000000004</v>
      </c>
      <c r="AH327" s="1">
        <f t="shared" si="174"/>
        <v>1089.5999999999972</v>
      </c>
      <c r="AI327" s="1">
        <f t="shared" si="161"/>
        <v>3.3526153846153761</v>
      </c>
      <c r="AJ327" s="20">
        <f>+(W327*Forudsætninger!$C$12)</f>
        <v>900</v>
      </c>
      <c r="AK327" s="20">
        <f>Forudsætninger!$C$17</f>
        <v>250</v>
      </c>
      <c r="AL327" s="20">
        <f>IF(A327&lt;92,Forudsætninger!$C$20,Forudsætninger!$C$21)</f>
        <v>1.0566762728146013</v>
      </c>
      <c r="AM327" s="20">
        <f t="shared" si="171"/>
        <v>611.92527151803495</v>
      </c>
      <c r="AN327" s="19">
        <f>IFERROR(AD327+AJ327-AA327-Z327-AK327-AM327-Forudsætninger!$E$75,-999999)</f>
        <v>1706.3051961913045</v>
      </c>
      <c r="AO327" s="19">
        <f>IFERROR(AN327/(A327+Forudsætninger!$E$74),-999999)</f>
        <v>5.2501698344347831</v>
      </c>
      <c r="AP327" s="19">
        <f>IFERROR(((365/(A327+Forudsætninger!$E$74))*AN327)/(AI327+Forudsætninger!$E$73),-999999)</f>
        <v>553.42906350009127</v>
      </c>
      <c r="AQ327" s="18">
        <f t="shared" si="162"/>
        <v>325</v>
      </c>
      <c r="AR327" s="18">
        <f t="shared" si="175"/>
        <v>7943.0172707465317</v>
      </c>
      <c r="AS327" s="18">
        <f t="shared" si="154"/>
        <v>11.9</v>
      </c>
      <c r="AT327" s="50">
        <f t="shared" si="176"/>
        <v>-1.99019484210271</v>
      </c>
      <c r="AU327" s="50">
        <f t="shared" si="177"/>
        <v>-2.2346804557214384E-2</v>
      </c>
      <c r="AV327" s="2">
        <f t="shared" si="178"/>
        <v>-2.8749742994118606</v>
      </c>
      <c r="AW327" s="16">
        <f t="shared" si="172"/>
        <v>7.1330168237210438</v>
      </c>
      <c r="AZ327" s="16"/>
      <c r="BA327" s="2"/>
    </row>
    <row r="328" spans="1:53" x14ac:dyDescent="0.25">
      <c r="A328">
        <v>326</v>
      </c>
      <c r="B328" s="1">
        <f>ROUND((A328+Forudsætninger!$E$60)/30.4,1)</f>
        <v>11.9</v>
      </c>
      <c r="C328" s="1">
        <f>VLOOKUP((A328+Forudsætninger!$E$60),'Model tilvækst, slagteform, fe'!A:D,4,FALSE)</f>
        <v>487.27784456649204</v>
      </c>
      <c r="D328" s="3">
        <f t="shared" si="179"/>
        <v>861.20569042913075</v>
      </c>
      <c r="E328" s="3">
        <f>(1+Forudsætninger!$E$78)*C328</f>
        <v>448.29561700117267</v>
      </c>
      <c r="F328" s="2">
        <f t="shared" si="163"/>
        <v>0</v>
      </c>
      <c r="G328" s="1">
        <f t="shared" si="155"/>
        <v>448.29561700117267</v>
      </c>
      <c r="H328" s="3">
        <f t="shared" si="164"/>
        <v>792.30923519480712</v>
      </c>
      <c r="I328" s="3">
        <f t="shared" si="156"/>
        <v>1166.5509723962352</v>
      </c>
      <c r="J328" s="1">
        <f>VLOOKUP((A328+Forudsætninger!$E$60),'Model tilvækst, slagteform, fe'!G:K,4,FALSE)*(1+Forudsætninger!$E$79)</f>
        <v>54.142500916550617</v>
      </c>
      <c r="K328" s="17">
        <f t="shared" si="157"/>
        <v>242.71845854371617</v>
      </c>
      <c r="L328" s="17">
        <f t="shared" si="165"/>
        <v>475.39558230172929</v>
      </c>
      <c r="M328" s="3">
        <f>((K328-(('Model tilvækst, slagteform, fe'!$J$9/100)*'Model tilvækst, slagteform, fe'!$D$9))*1000/(A328+Forudsætninger!$E$60))</f>
        <v>614.5968243339031</v>
      </c>
      <c r="N328" s="17">
        <f t="shared" si="166"/>
        <v>1907.7048919960998</v>
      </c>
      <c r="O328" s="19">
        <f>IF( A328&lt;Forudsætninger!$C$14,(G328/100)*Forudsætninger!$C$13,(Forudsætninger!$C$15/1000)*Forudsætninger!$C$13)</f>
        <v>2.9139215105076226</v>
      </c>
      <c r="P328" s="17" cm="1">
        <f t="array" ref="P328">INDEX('Model tilvækst, slagteform, fe'!$P$9:$P$375,MATCH(MIN(ABS('Model tilvækst, slagteform, fe'!$M$9:$M$375-G328)),ABS('Model tilvækst, slagteform, fe'!$M$9:$M$375-G328),0))*(1+Forudsætninger!$E$80)</f>
        <v>7.6626622924829508</v>
      </c>
      <c r="Q328" s="17">
        <f t="shared" si="167"/>
        <v>16.11849705330145</v>
      </c>
      <c r="R328" s="17">
        <f t="shared" si="168"/>
        <v>9.0950591819378523</v>
      </c>
      <c r="S328" s="17">
        <f t="shared" si="169"/>
        <v>5.0163735965177247</v>
      </c>
      <c r="T328" s="19">
        <f>(P328)*IF(N328&lt;Forudsætninger!$B$228,IF(N328&lt;Forudsætninger!$B$227,Forudsætninger!$B$225,Forudsætninger!$C$9),Forudsætninger!$C$11)+O328</f>
        <v>20.844551274917727</v>
      </c>
      <c r="U328" s="5">
        <f>Forudsætninger!$E$68+((K328-(Forudsætninger!$E$84)))*0.01</f>
        <v>7.1437482950088311</v>
      </c>
      <c r="V328" s="2">
        <f>U328+Forudsætninger!$E$69</f>
        <v>7.1437482950088311</v>
      </c>
      <c r="W328">
        <f t="shared" si="158"/>
        <v>1</v>
      </c>
      <c r="X328">
        <f>IF(A328+Forudsætninger!$E$60&gt;248,IF(A328+Forudsætninger!$E$60&lt;365,IF(K328&gt;180,IF(K328&lt;260,1,0),0),0),0)</f>
        <v>1</v>
      </c>
      <c r="Y328" s="22">
        <f>IF(X328=0,0,IF('Vækstfunktion, kry kvie'!A328&lt;Forudsætninger!$E$66,Forudsætninger!$E$67+(('Vækstfunktion, kry kvie'!A328-Forudsætninger!$E$66)/7)*Forudsætninger!$E$64,Forudsætninger!$E$67))</f>
        <v>0.98</v>
      </c>
      <c r="Z328" s="19">
        <f t="shared" si="173"/>
        <v>5526.9365505034148</v>
      </c>
      <c r="AA328" s="19">
        <f>Forudsætninger!$E$62+Forudsætninger!$C$16</f>
        <v>1575</v>
      </c>
      <c r="AB328" s="19">
        <f>IF(K328&gt;Forudsætninger!$C$48,IF(K328&gt;Forudsætninger!$C$49,IF(K328&gt;Forudsætninger!$C$50,Forudsætninger!$E$50,Forudsætninger!$E$49+Forudsætninger!$F$50*(K328-Forudsætninger!$C$49)),Forudsætninger!$E$48+Forudsætninger!$F$49*(K328-Forudsætninger!$C$48)),Forudsætninger!$E$48)+IF(K328&gt;Forudsætninger!$C$50,Forudsætninger!$G$50,IF(K328&gt;Forudsætninger!$C$49,Forudsætninger!$G$49+Forudsætninger!$H$50*(K328-Forudsætninger!$C$49),IF(K328&gt;Forudsætninger!$C$48,Forudsætninger!$G$48+Forudsætninger!$H$49*(K328-Forudsætninger!$C$48),Forudsætninger!$G$48)))*(U328-Forudsætninger!$H$48)</f>
        <v>37.027845927195564</v>
      </c>
      <c r="AC328" s="19">
        <f>IF(K328&gt;Forudsætninger!$C$52,IF(K328&gt;Forudsætninger!$C$53,IF(K328&gt;Forudsætninger!$C$54,Forudsætninger!$E$54,Forudsætninger!$E$53+Forudsætninger!$F$54*(K328-Forudsætninger!$C$53)),Forudsætninger!$E$52+Forudsætninger!$F$53*(K328-Forudsætninger!$C$52)),Forudsætninger!$E$52)+IF(K328&gt;Forudsætninger!$C$54,Forudsætninger!$G$54,IF(K328&gt;Forudsætninger!$C$53,Forudsætninger!$G$53+Forudsætninger!$H$54*(K328-Forudsætninger!$C$53),IF(K328&gt;Forudsætninger!$C$52,Forudsætninger!$G$52+Forudsætninger!$H$53*(K328-Forudsætninger!$C$52),Forudsætninger!$G$52)))*(V328-Forudsætninger!$H$52)</f>
        <v>31.473306042991346</v>
      </c>
      <c r="AD328" s="19">
        <f t="shared" si="159"/>
        <v>8960.3778994708537</v>
      </c>
      <c r="AE328" s="19">
        <f t="shared" si="160"/>
        <v>36.916755129511479</v>
      </c>
      <c r="AF328">
        <f>IF(G328&lt;=Forudsætninger!$C$97,Forudsætninger!$C$98,(IF(G328&lt;=Forudsætninger!$D$97,Forudsætninger!$D$98,IF(G328&lt;=Forudsætninger!$E$97,Forudsætninger!$E$98,IF(G328&lt;=Forudsætninger!$F$97,Forudsætninger!$F$98,IF(G328&lt;=Forudsætninger!$G$97,Forudsætninger!$G$98,IF(G328&lt;=Forudsætninger!$H$97,Forudsætninger!$H$98,IF(G328&lt;=Forudsætninger!$I$97,Forudsætninger!$I$98,Forudsætninger!$I$98))))))))</f>
        <v>4.4000000000000004</v>
      </c>
      <c r="AG328" s="1">
        <f t="shared" si="170"/>
        <v>4.4000000000000004</v>
      </c>
      <c r="AH328" s="1">
        <f t="shared" si="174"/>
        <v>1093.9999999999973</v>
      </c>
      <c r="AI328" s="1">
        <f t="shared" si="161"/>
        <v>3.3558282208588874</v>
      </c>
      <c r="AJ328" s="20">
        <f>+(W328*Forudsætninger!$C$12)</f>
        <v>900</v>
      </c>
      <c r="AK328" s="20">
        <f>Forudsætninger!$C$17</f>
        <v>250</v>
      </c>
      <c r="AL328" s="20">
        <f>IF(A328&lt;92,Forudsætninger!$C$20,Forudsætninger!$C$21)</f>
        <v>1.0566762728146013</v>
      </c>
      <c r="AM328" s="20">
        <f t="shared" si="171"/>
        <v>612.98194779084952</v>
      </c>
      <c r="AN328" s="19">
        <f>IFERROR(AD328+AJ328-AA328-Z328-AK328-AM328-Forudsætninger!$E$75,-999999)</f>
        <v>1704.2426398399737</v>
      </c>
      <c r="AO328" s="19">
        <f>IFERROR(AN328/(A328+Forudsætninger!$E$74),-999999)</f>
        <v>5.2277381590183243</v>
      </c>
      <c r="AP328" s="19">
        <f>IFERROR(((365/(A328+Forudsætninger!$E$74))*AN328)/(AI328+Forudsætninger!$E$73),-999999)</f>
        <v>550.55366465012651</v>
      </c>
      <c r="AQ328" s="18">
        <f t="shared" si="162"/>
        <v>326</v>
      </c>
      <c r="AR328" s="18">
        <f t="shared" si="175"/>
        <v>7964.9184982942643</v>
      </c>
      <c r="AS328" s="18">
        <f t="shared" si="154"/>
        <v>11.9</v>
      </c>
      <c r="AT328" s="50">
        <f t="shared" si="176"/>
        <v>-2.0625563513308407</v>
      </c>
      <c r="AU328" s="50">
        <f t="shared" si="177"/>
        <v>-2.2431675416458852E-2</v>
      </c>
      <c r="AV328" s="2">
        <f t="shared" si="178"/>
        <v>-2.8753988499647676</v>
      </c>
      <c r="AW328" s="16">
        <f t="shared" si="172"/>
        <v>7.1080508823031394</v>
      </c>
      <c r="AZ328" s="16"/>
      <c r="BA328" s="2"/>
    </row>
    <row r="329" spans="1:53" x14ac:dyDescent="0.25">
      <c r="A329">
        <v>327</v>
      </c>
      <c r="B329" s="1">
        <f>ROUND((A329+Forudsætninger!$E$60)/30.4,1)</f>
        <v>11.9</v>
      </c>
      <c r="C329" s="1">
        <f>VLOOKUP((A329+Forudsætninger!$E$60),'Model tilvækst, slagteform, fe'!A:D,4,FALSE)</f>
        <v>488.13568330685189</v>
      </c>
      <c r="D329" s="3">
        <f t="shared" si="179"/>
        <v>857.83874035985264</v>
      </c>
      <c r="E329" s="3">
        <f>(1+Forudsætninger!$E$78)*C329</f>
        <v>449.08482864230376</v>
      </c>
      <c r="F329" s="2">
        <f t="shared" si="163"/>
        <v>0</v>
      </c>
      <c r="G329" s="1">
        <f t="shared" si="155"/>
        <v>449.08482864230376</v>
      </c>
      <c r="H329" s="3">
        <f t="shared" si="164"/>
        <v>789.21164113108944</v>
      </c>
      <c r="I329" s="3">
        <f t="shared" si="156"/>
        <v>1165.3970294871674</v>
      </c>
      <c r="J329" s="1">
        <f>VLOOKUP((A329+Forudsætninger!$E$60),'Model tilvækst, slagteform, fe'!G:K,4,FALSE)*(1+Forudsætninger!$E$79)</f>
        <v>54.152874864061829</v>
      </c>
      <c r="K329" s="17">
        <f t="shared" si="157"/>
        <v>243.19234528815326</v>
      </c>
      <c r="L329" s="17">
        <f t="shared" si="165"/>
        <v>473.88674443709533</v>
      </c>
      <c r="M329" s="3">
        <f>((K329-(('Model tilvækst, slagteform, fe'!$J$9/100)*'Model tilvækst, slagteform, fe'!$D$9))*1000/(A329+Forudsætninger!$E$60))</f>
        <v>614.20919325980719</v>
      </c>
      <c r="N329" s="17">
        <f t="shared" si="166"/>
        <v>1915.3729173262304</v>
      </c>
      <c r="O329" s="19">
        <f>IF( A329&lt;Forudsætninger!$C$14,(G329/100)*Forudsætninger!$C$13,(Forudsætninger!$C$15/1000)*Forudsætninger!$C$13)</f>
        <v>2.9190513861749747</v>
      </c>
      <c r="P329" s="17" cm="1">
        <f t="array" ref="P329">INDEX('Model tilvækst, slagteform, fe'!$P$9:$P$375,MATCH(MIN(ABS('Model tilvækst, slagteform, fe'!$M$9:$M$375-G329)),ABS('Model tilvækst, slagteform, fe'!$M$9:$M$375-G329),0))*(1+Forudsætninger!$E$80)</f>
        <v>7.6680253301305035</v>
      </c>
      <c r="Q329" s="17">
        <f t="shared" si="167"/>
        <v>16.181134881160137</v>
      </c>
      <c r="R329" s="17">
        <f t="shared" si="168"/>
        <v>9.111032480188161</v>
      </c>
      <c r="S329" s="17">
        <f t="shared" si="169"/>
        <v>5.0261064554843502</v>
      </c>
      <c r="T329" s="19">
        <f>(P329)*IF(N329&lt;Forudsætninger!$B$228,IF(N329&lt;Forudsætninger!$B$227,Forudsætninger!$B$225,Forudsætninger!$C$9),Forudsætninger!$C$11)+O329</f>
        <v>20.86223065868035</v>
      </c>
      <c r="U329" s="5">
        <f>Forudsætninger!$E$68+((K329-(Forudsætninger!$E$84)))*0.01</f>
        <v>7.1484871624532023</v>
      </c>
      <c r="V329" s="2">
        <f>U329+Forudsætninger!$E$69</f>
        <v>7.1484871624532023</v>
      </c>
      <c r="W329">
        <f t="shared" si="158"/>
        <v>1</v>
      </c>
      <c r="X329">
        <f>IF(A329+Forudsætninger!$E$60&gt;248,IF(A329+Forudsætninger!$E$60&lt;365,IF(K329&gt;180,IF(K329&lt;260,1,0),0),0),0)</f>
        <v>1</v>
      </c>
      <c r="Y329" s="22">
        <f>IF(X329=0,0,IF('Vækstfunktion, kry kvie'!A329&lt;Forudsætninger!$E$66,Forudsætninger!$E$67+(('Vækstfunktion, kry kvie'!A329-Forudsætninger!$E$66)/7)*Forudsætninger!$E$64,Forudsætninger!$E$67))</f>
        <v>0.98</v>
      </c>
      <c r="Z329" s="19">
        <f t="shared" si="173"/>
        <v>5547.7987811620951</v>
      </c>
      <c r="AA329" s="19">
        <f>Forudsætninger!$E$62+Forudsætninger!$C$16</f>
        <v>1575</v>
      </c>
      <c r="AB329" s="19">
        <f>IF(K329&gt;Forudsætninger!$C$48,IF(K329&gt;Forudsætninger!$C$49,IF(K329&gt;Forudsætninger!$C$50,Forudsætninger!$E$50,Forudsætninger!$E$49+Forudsætninger!$F$50*(K329-Forudsætninger!$C$49)),Forudsætninger!$E$48+Forudsætninger!$F$49*(K329-Forudsætninger!$C$48)),Forudsætninger!$E$48)+IF(K329&gt;Forudsætninger!$C$50,Forudsætninger!$G$50,IF(K329&gt;Forudsætninger!$C$49,Forudsætninger!$G$49+Forudsætninger!$H$50*(K329-Forudsætninger!$C$49),IF(K329&gt;Forudsætninger!$C$48,Forudsætninger!$G$48+Forudsætninger!$H$49*(K329-Forudsætninger!$C$48),Forudsætninger!$G$48)))*(U329-Forudsætninger!$H$48)</f>
        <v>37.037205190398197</v>
      </c>
      <c r="AC329" s="19">
        <f>IF(K329&gt;Forudsætninger!$C$52,IF(K329&gt;Forudsætninger!$C$53,IF(K329&gt;Forudsætninger!$C$54,Forudsætninger!$E$54,Forudsætninger!$E$53+Forudsætninger!$F$54*(K329-Forudsætninger!$C$53)),Forudsætninger!$E$52+Forudsætninger!$F$53*(K329-Forudsætninger!$C$52)),Forudsætninger!$E$52)+IF(K329&gt;Forudsætninger!$C$54,Forudsætninger!$G$54,IF(K329&gt;Forudsætninger!$C$53,Forudsætninger!$G$53+Forudsætninger!$H$54*(K329-Forudsætninger!$C$53),IF(K329&gt;Forudsætninger!$C$52,Forudsætninger!$G$52+Forudsætninger!$H$53*(K329-Forudsætninger!$C$52),Forudsætninger!$G$52)))*(V329-Forudsætninger!$H$52)</f>
        <v>31.485572135631365</v>
      </c>
      <c r="AD329" s="19">
        <f t="shared" si="159"/>
        <v>8980.1624999161413</v>
      </c>
      <c r="AE329" s="19">
        <f t="shared" si="160"/>
        <v>36.92617252930286</v>
      </c>
      <c r="AF329">
        <f>IF(G329&lt;=Forudsætninger!$C$97,Forudsætninger!$C$98,(IF(G329&lt;=Forudsætninger!$D$97,Forudsætninger!$D$98,IF(G329&lt;=Forudsætninger!$E$97,Forudsætninger!$E$98,IF(G329&lt;=Forudsætninger!$F$97,Forudsætninger!$F$98,IF(G329&lt;=Forudsætninger!$G$97,Forudsætninger!$G$98,IF(G329&lt;=Forudsætninger!$H$97,Forudsætninger!$H$98,IF(G329&lt;=Forudsætninger!$I$97,Forudsætninger!$I$98,Forudsætninger!$I$98))))))))</f>
        <v>4.4000000000000004</v>
      </c>
      <c r="AG329" s="1">
        <f t="shared" si="170"/>
        <v>4.4000000000000004</v>
      </c>
      <c r="AH329" s="1">
        <f t="shared" si="174"/>
        <v>1098.3999999999974</v>
      </c>
      <c r="AI329" s="1">
        <f t="shared" si="161"/>
        <v>3.3590214067278206</v>
      </c>
      <c r="AJ329" s="20">
        <f>+(W329*Forudsætninger!$C$12)</f>
        <v>900</v>
      </c>
      <c r="AK329" s="20">
        <f>Forudsætninger!$C$17</f>
        <v>250</v>
      </c>
      <c r="AL329" s="20">
        <f>IF(A329&lt;92,Forudsætninger!$C$20,Forudsætninger!$C$21)</f>
        <v>1.0566762728146013</v>
      </c>
      <c r="AM329" s="20">
        <f t="shared" si="171"/>
        <v>614.03862406366409</v>
      </c>
      <c r="AN329" s="19">
        <f>IFERROR(AD329+AJ329-AA329-Z329-AK329-AM329-Forudsætninger!$E$75,-999999)</f>
        <v>1702.1083333537665</v>
      </c>
      <c r="AO329" s="19">
        <f>IFERROR(AN329/(A329+Forudsætninger!$E$74),-999999)</f>
        <v>5.2052242610206925</v>
      </c>
      <c r="AP329" s="19">
        <f>IFERROR(((365/(A329+Forudsætninger!$E$74))*AN329)/(AI329+Forudsætninger!$E$73),-999999)</f>
        <v>547.67804303192634</v>
      </c>
      <c r="AQ329" s="18">
        <f t="shared" si="162"/>
        <v>327</v>
      </c>
      <c r="AR329" s="18">
        <f t="shared" si="175"/>
        <v>7986.8374052257595</v>
      </c>
      <c r="AS329" s="18">
        <f t="shared" si="154"/>
        <v>11.9</v>
      </c>
      <c r="AT329" s="50">
        <f t="shared" si="176"/>
        <v>-2.1343064862071515</v>
      </c>
      <c r="AU329" s="50">
        <f t="shared" si="177"/>
        <v>-2.2513897997631815E-2</v>
      </c>
      <c r="AV329" s="2">
        <f t="shared" si="178"/>
        <v>-2.8756216182001708</v>
      </c>
      <c r="AW329" s="16">
        <f t="shared" si="172"/>
        <v>7.0830182184019286</v>
      </c>
      <c r="AZ329" s="16"/>
      <c r="BA329" s="2"/>
    </row>
    <row r="330" spans="1:53" x14ac:dyDescent="0.25">
      <c r="A330">
        <v>328</v>
      </c>
      <c r="B330" s="1">
        <f>ROUND((A330+Forudsætninger!$E$60)/30.4,1)</f>
        <v>12</v>
      </c>
      <c r="C330" s="1">
        <f>VLOOKUP((A330+Forudsætninger!$E$60),'Model tilvækst, slagteform, fe'!A:D,4,FALSE)</f>
        <v>488.99019714461309</v>
      </c>
      <c r="D330" s="3">
        <f t="shared" si="179"/>
        <v>854.51383776120338</v>
      </c>
      <c r="E330" s="3">
        <f>(1+Forudsætninger!$E$78)*C330</f>
        <v>449.87098137304406</v>
      </c>
      <c r="F330" s="2">
        <f t="shared" si="163"/>
        <v>0</v>
      </c>
      <c r="G330" s="1">
        <f t="shared" si="155"/>
        <v>449.87098137304406</v>
      </c>
      <c r="H330" s="3">
        <f t="shared" si="164"/>
        <v>786.15273074029801</v>
      </c>
      <c r="I330" s="3">
        <f t="shared" si="156"/>
        <v>1164.2407968690368</v>
      </c>
      <c r="J330" s="1">
        <f>VLOOKUP((A330+Forudsætninger!$E$60),'Model tilvækst, slagteform, fe'!G:K,4,FALSE)*(1+Forudsætninger!$E$79)</f>
        <v>54.163249517302582</v>
      </c>
      <c r="K330" s="17">
        <f t="shared" si="157"/>
        <v>243.66474214701967</v>
      </c>
      <c r="L330" s="17">
        <f t="shared" si="165"/>
        <v>472.39685886640359</v>
      </c>
      <c r="M330" s="3">
        <f>((K330-(('Model tilvækst, slagteform, fe'!$J$9/100)*'Model tilvækst, slagteform, fe'!$D$9))*1000/(A330+Forudsætninger!$E$60))</f>
        <v>613.81959893455053</v>
      </c>
      <c r="N330" s="17">
        <f t="shared" si="166"/>
        <v>1923.040942656361</v>
      </c>
      <c r="O330" s="19">
        <f>IF( A330&lt;Forudsætninger!$C$14,(G330/100)*Forudsætninger!$C$13,(Forudsætninger!$C$15/1000)*Forudsætninger!$C$13)</f>
        <v>2.9241613789247864</v>
      </c>
      <c r="P330" s="17" cm="1">
        <f t="array" ref="P330">INDEX('Model tilvækst, slagteform, fe'!$P$9:$P$375,MATCH(MIN(ABS('Model tilvækst, slagteform, fe'!$M$9:$M$375-G330)),ABS('Model tilvækst, slagteform, fe'!$M$9:$M$375-G330),0))*(1+Forudsætninger!$E$80)</f>
        <v>7.6680253301305035</v>
      </c>
      <c r="Q330" s="17">
        <f t="shared" si="167"/>
        <v>16.232168326714177</v>
      </c>
      <c r="R330" s="17">
        <f t="shared" si="168"/>
        <v>9.1269984652513418</v>
      </c>
      <c r="S330" s="17">
        <f t="shared" si="169"/>
        <v>5.0358394234145045</v>
      </c>
      <c r="T330" s="19">
        <f>(P330)*IF(N330&lt;Forudsætninger!$B$228,IF(N330&lt;Forudsætninger!$B$227,Forudsætninger!$B$225,Forudsætninger!$C$9),Forudsætninger!$C$11)+O330</f>
        <v>20.867340651430162</v>
      </c>
      <c r="U330" s="5">
        <f>Forudsætninger!$E$68+((K330-(Forudsætninger!$E$84)))*0.01</f>
        <v>7.153211131041866</v>
      </c>
      <c r="V330" s="2">
        <f>U330+Forudsætninger!$E$69</f>
        <v>7.153211131041866</v>
      </c>
      <c r="W330">
        <f t="shared" si="158"/>
        <v>1</v>
      </c>
      <c r="X330">
        <f>IF(A330+Forudsætninger!$E$60&gt;248,IF(A330+Forudsætninger!$E$60&lt;365,IF(K330&gt;180,IF(K330&lt;260,1,0),0),0),0)</f>
        <v>1</v>
      </c>
      <c r="Y330" s="22">
        <f>IF(X330=0,0,IF('Vækstfunktion, kry kvie'!A330&lt;Forudsætninger!$E$66,Forudsætninger!$E$67+(('Vækstfunktion, kry kvie'!A330-Forudsætninger!$E$66)/7)*Forudsætninger!$E$64,Forudsætninger!$E$67))</f>
        <v>0.98</v>
      </c>
      <c r="Z330" s="19">
        <f t="shared" si="173"/>
        <v>5568.666121813525</v>
      </c>
      <c r="AA330" s="19">
        <f>Forudsætninger!$E$62+Forudsætninger!$C$16</f>
        <v>1575</v>
      </c>
      <c r="AB330" s="19">
        <f>IF(K330&gt;Forudsætninger!$C$48,IF(K330&gt;Forudsætninger!$C$49,IF(K330&gt;Forudsætninger!$C$50,Forudsætninger!$E$50,Forudsætninger!$E$49+Forudsætninger!$F$50*(K330-Forudsætninger!$C$49)),Forudsætninger!$E$48+Forudsætninger!$F$49*(K330-Forudsætninger!$C$48)),Forudsætninger!$E$48)+IF(K330&gt;Forudsætninger!$C$50,Forudsætninger!$G$50,IF(K330&gt;Forudsætninger!$C$49,Forudsætninger!$G$49+Forudsætninger!$H$50*(K330-Forudsætninger!$C$49),IF(K330&gt;Forudsætninger!$C$48,Forudsætninger!$G$48+Forudsætninger!$H$49*(K330-Forudsætninger!$C$48),Forudsætninger!$G$48)))*(U330-Forudsætninger!$H$48)</f>
        <v>37.0465350283608</v>
      </c>
      <c r="AC330" s="19">
        <f>IF(K330&gt;Forudsætninger!$C$52,IF(K330&gt;Forudsætninger!$C$53,IF(K330&gt;Forudsætninger!$C$54,Forudsætninger!$E$54,Forudsætninger!$E$53+Forudsætninger!$F$54*(K330-Forudsætninger!$C$53)),Forudsætninger!$E$52+Forudsætninger!$F$53*(K330-Forudsætninger!$C$52)),Forudsætninger!$E$52)+IF(K330&gt;Forudsætninger!$C$54,Forudsætninger!$G$54,IF(K330&gt;Forudsætninger!$C$53,Forudsætninger!$G$53+Forudsætninger!$H$54*(K330-Forudsætninger!$C$53),IF(K330&gt;Forudsætninger!$C$52,Forudsætninger!$G$52+Forudsætninger!$H$53*(K330-Forudsætninger!$C$52),Forudsætninger!$G$52)))*(V330-Forudsætninger!$H$52)</f>
        <v>31.497790351101791</v>
      </c>
      <c r="AD330" s="19">
        <f t="shared" si="159"/>
        <v>8999.8937363055866</v>
      </c>
      <c r="AE330" s="19">
        <f t="shared" si="160"/>
        <v>36.935560134815617</v>
      </c>
      <c r="AF330">
        <f>IF(G330&lt;=Forudsætninger!$C$97,Forudsætninger!$C$98,(IF(G330&lt;=Forudsætninger!$D$97,Forudsætninger!$D$98,IF(G330&lt;=Forudsætninger!$E$97,Forudsætninger!$E$98,IF(G330&lt;=Forudsætninger!$F$97,Forudsætninger!$F$98,IF(G330&lt;=Forudsætninger!$G$97,Forudsætninger!$G$98,IF(G330&lt;=Forudsætninger!$H$97,Forudsætninger!$H$98,IF(G330&lt;=Forudsætninger!$I$97,Forudsætninger!$I$98,Forudsætninger!$I$98))))))))</f>
        <v>4.4000000000000004</v>
      </c>
      <c r="AG330" s="1">
        <f t="shared" si="170"/>
        <v>4.4000000000000004</v>
      </c>
      <c r="AH330" s="1">
        <f t="shared" si="174"/>
        <v>1102.7999999999975</v>
      </c>
      <c r="AI330" s="1">
        <f t="shared" si="161"/>
        <v>3.3621951219512116</v>
      </c>
      <c r="AJ330" s="20">
        <f>+(W330*Forudsætninger!$C$12)</f>
        <v>900</v>
      </c>
      <c r="AK330" s="20">
        <f>Forudsætninger!$C$17</f>
        <v>250</v>
      </c>
      <c r="AL330" s="20">
        <f>IF(A330&lt;92,Forudsætninger!$C$20,Forudsætninger!$C$21)</f>
        <v>1.0566762728146013</v>
      </c>
      <c r="AM330" s="20">
        <f t="shared" si="171"/>
        <v>615.09530033647866</v>
      </c>
      <c r="AN330" s="19">
        <f>IFERROR(AD330+AJ330-AA330-Z330-AK330-AM330-Forudsætninger!$E$75,-999999)</f>
        <v>1699.9155528189672</v>
      </c>
      <c r="AO330" s="19">
        <f>IFERROR(AN330/(A330+Forudsætninger!$E$74),-999999)</f>
        <v>5.1826693683505098</v>
      </c>
      <c r="AP330" s="19">
        <f>IFERROR(((365/(A330+Forudsætninger!$E$74))*AN330)/(AI330+Forudsætninger!$E$73),-999999)</f>
        <v>544.8064561489573</v>
      </c>
      <c r="AQ330" s="18">
        <f t="shared" si="162"/>
        <v>328</v>
      </c>
      <c r="AR330" s="18">
        <f t="shared" si="175"/>
        <v>8008.7614221500035</v>
      </c>
      <c r="AS330" s="18">
        <f t="shared" si="154"/>
        <v>12</v>
      </c>
      <c r="AT330" s="50">
        <f t="shared" si="176"/>
        <v>-2.1927805347993399</v>
      </c>
      <c r="AU330" s="50">
        <f t="shared" si="177"/>
        <v>-2.2554892670182625E-2</v>
      </c>
      <c r="AV330" s="2">
        <f t="shared" si="178"/>
        <v>-2.8715868829690407</v>
      </c>
      <c r="AW330" s="16">
        <f t="shared" si="172"/>
        <v>7.0579599181568478</v>
      </c>
      <c r="AZ330" s="16"/>
      <c r="BA330" s="2"/>
    </row>
    <row r="331" spans="1:53" x14ac:dyDescent="0.25">
      <c r="A331">
        <v>329</v>
      </c>
      <c r="B331" s="1">
        <f>ROUND((A331+Forudsætninger!$E$60)/30.4,1)</f>
        <v>12</v>
      </c>
      <c r="C331" s="1">
        <f>VLOOKUP((A331+Forudsætninger!$E$60),'Model tilvækst, slagteform, fe'!A:D,4,FALSE)</f>
        <v>489.84142871226834</v>
      </c>
      <c r="D331" s="3">
        <f t="shared" si="179"/>
        <v>851.23156765524755</v>
      </c>
      <c r="E331" s="3">
        <f>(1+Forudsætninger!$E$78)*C331</f>
        <v>450.65411441528687</v>
      </c>
      <c r="F331" s="2">
        <f t="shared" si="163"/>
        <v>0</v>
      </c>
      <c r="G331" s="1">
        <f t="shared" si="155"/>
        <v>450.65411441528687</v>
      </c>
      <c r="H331" s="3">
        <f t="shared" si="164"/>
        <v>783.13304224280955</v>
      </c>
      <c r="I331" s="3">
        <f t="shared" si="156"/>
        <v>1163.0824146361304</v>
      </c>
      <c r="J331" s="1">
        <f>VLOOKUP((A331+Forudsætninger!$E$60),'Model tilvækst, slagteform, fe'!G:K,4,FALSE)*(1+Forudsætninger!$E$79)</f>
        <v>54.173624641029718</v>
      </c>
      <c r="K331" s="17">
        <f t="shared" si="157"/>
        <v>244.13566837269408</v>
      </c>
      <c r="L331" s="17">
        <f t="shared" si="165"/>
        <v>470.92622567441822</v>
      </c>
      <c r="M331" s="3">
        <f>((K331-(('Model tilvækst, slagteform, fe'!$J$9/100)*'Model tilvækst, slagteform, fe'!$D$9))*1000/(A331+Forudsætninger!$E$60))</f>
        <v>613.42811024068726</v>
      </c>
      <c r="N331" s="17">
        <f t="shared" si="166"/>
        <v>1930.7143722361036</v>
      </c>
      <c r="O331" s="19">
        <f>IF( A331&lt;Forudsætninger!$C$14,(G331/100)*Forudsætninger!$C$13,(Forudsætninger!$C$15/1000)*Forudsætninger!$C$13)</f>
        <v>2.9292517436993646</v>
      </c>
      <c r="P331" s="17" cm="1">
        <f t="array" ref="P331">INDEX('Model tilvækst, slagteform, fe'!$P$9:$P$375,MATCH(MIN(ABS('Model tilvækst, slagteform, fe'!$M$9:$M$375-G331)),ABS('Model tilvækst, slagteform, fe'!$M$9:$M$375-G331),0))*(1+Forudsætninger!$E$80)</f>
        <v>7.6734295797426437</v>
      </c>
      <c r="Q331" s="17">
        <f t="shared" si="167"/>
        <v>16.294334784080984</v>
      </c>
      <c r="R331" s="17">
        <f t="shared" si="168"/>
        <v>9.1429822826399327</v>
      </c>
      <c r="S331" s="17">
        <f t="shared" si="169"/>
        <v>5.0455863389482278</v>
      </c>
      <c r="T331" s="19">
        <f>(P331)*IF(N331&lt;Forudsætninger!$B$228,IF(N331&lt;Forudsætninger!$B$227,Forudsætninger!$B$225,Forudsætninger!$C$9),Forudsætninger!$C$11)+O331</f>
        <v>20.885076960297148</v>
      </c>
      <c r="U331" s="5">
        <f>Forudsætninger!$E$68+((K331-(Forudsætninger!$E$84)))*0.01</f>
        <v>7.1579203932986104</v>
      </c>
      <c r="V331" s="2">
        <f>U331+Forudsætninger!$E$69</f>
        <v>7.1579203932986104</v>
      </c>
      <c r="W331">
        <f t="shared" si="158"/>
        <v>1</v>
      </c>
      <c r="X331">
        <f>IF(A331+Forudsætninger!$E$60&gt;248,IF(A331+Forudsætninger!$E$60&lt;365,IF(K331&gt;180,IF(K331&lt;260,1,0),0),0),0)</f>
        <v>0</v>
      </c>
      <c r="Y331" s="22">
        <f>IF(X331=0,0,IF('Vækstfunktion, kry kvie'!A331&lt;Forudsætninger!$E$66,Forudsætninger!$E$67+(('Vækstfunktion, kry kvie'!A331-Forudsætninger!$E$66)/7)*Forudsætninger!$E$64,Forudsætninger!$E$67))</f>
        <v>0</v>
      </c>
      <c r="Z331" s="19">
        <f t="shared" si="173"/>
        <v>5589.5511987738219</v>
      </c>
      <c r="AA331" s="19">
        <f>Forudsætninger!$E$62+Forudsætninger!$C$16</f>
        <v>1575</v>
      </c>
      <c r="AB331" s="19">
        <f>IF(K331&gt;Forudsætninger!$C$48,IF(K331&gt;Forudsætninger!$C$49,IF(K331&gt;Forudsætninger!$C$50,Forudsætninger!$E$50,Forudsætninger!$E$49+Forudsætninger!$F$50*(K331-Forudsætninger!$C$49)),Forudsætninger!$E$48+Forudsætninger!$F$49*(K331-Forudsætninger!$C$48)),Forudsætninger!$E$48)+IF(K331&gt;Forudsætninger!$C$50,Forudsætninger!$G$50,IF(K331&gt;Forudsætninger!$C$49,Forudsætninger!$G$49+Forudsætninger!$H$50*(K331-Forudsætninger!$C$49),IF(K331&gt;Forudsætninger!$C$48,Forudsætninger!$G$48+Forudsætninger!$H$49*(K331-Forudsætninger!$C$48),Forudsætninger!$G$48)))*(U331-Forudsætninger!$H$48)</f>
        <v>37.055835821317878</v>
      </c>
      <c r="AC331" s="19">
        <f>IF(K331&gt;Forudsætninger!$C$52,IF(K331&gt;Forudsætninger!$C$53,IF(K331&gt;Forudsætninger!$C$54,Forudsætninger!$E$54,Forudsætninger!$E$53+Forudsætninger!$F$54*(K331-Forudsætninger!$C$53)),Forudsætninger!$E$52+Forudsætninger!$F$53*(K331-Forudsætninger!$C$52)),Forudsætninger!$E$52)+IF(K331&gt;Forudsætninger!$C$54,Forudsætninger!$G$54,IF(K331&gt;Forudsætninger!$C$53,Forudsætninger!$G$53+Forudsætninger!$H$54*(K331-Forudsætninger!$C$53),IF(K331&gt;Forudsætninger!$C$52,Forudsætninger!$G$52+Forudsætninger!$H$53*(K331-Forudsætninger!$C$52),Forudsætninger!$G$52)))*(V331-Forudsætninger!$H$52)</f>
        <v>31.509961274761899</v>
      </c>
      <c r="AD331" s="19">
        <f t="shared" si="159"/>
        <v>7692.7054562117037</v>
      </c>
      <c r="AE331" s="19">
        <f t="shared" si="160"/>
        <v>31.509961274761899</v>
      </c>
      <c r="AF331">
        <f>IF(G331&lt;=Forudsætninger!$C$97,Forudsætninger!$C$98,(IF(G331&lt;=Forudsætninger!$D$97,Forudsætninger!$D$98,IF(G331&lt;=Forudsætninger!$E$97,Forudsætninger!$E$98,IF(G331&lt;=Forudsætninger!$F$97,Forudsætninger!$F$98,IF(G331&lt;=Forudsætninger!$G$97,Forudsætninger!$G$98,IF(G331&lt;=Forudsætninger!$H$97,Forudsætninger!$H$98,IF(G331&lt;=Forudsætninger!$I$97,Forudsætninger!$I$98,Forudsætninger!$I$98))))))))</f>
        <v>4.4000000000000004</v>
      </c>
      <c r="AG331" s="1">
        <f t="shared" si="170"/>
        <v>4.4000000000000004</v>
      </c>
      <c r="AH331" s="1">
        <f t="shared" si="174"/>
        <v>1107.1999999999975</v>
      </c>
      <c r="AI331" s="1">
        <f t="shared" si="161"/>
        <v>3.3653495440729411</v>
      </c>
      <c r="AJ331" s="20">
        <f>+(W331*Forudsætninger!$C$12)</f>
        <v>900</v>
      </c>
      <c r="AK331" s="20">
        <f>Forudsætninger!$C$17</f>
        <v>250</v>
      </c>
      <c r="AL331" s="20">
        <f>IF(A331&lt;92,Forudsætninger!$C$20,Forudsætninger!$C$21)</f>
        <v>1.0566762728146013</v>
      </c>
      <c r="AM331" s="20">
        <f t="shared" si="171"/>
        <v>616.15197660929323</v>
      </c>
      <c r="AN331" s="19">
        <f>IFERROR(AD331+AJ331-AA331-Z331-AK331-AM331-Forudsætninger!$E$75,-999999)</f>
        <v>370.78551949197367</v>
      </c>
      <c r="AO331" s="19">
        <f>IFERROR(AN331/(A331+Forudsætninger!$E$74),-999999)</f>
        <v>1.1270076580303152</v>
      </c>
      <c r="AP331" s="19">
        <f>IFERROR(((365/(A331+Forudsætninger!$E$74))*AN331)/(AI331+Forudsætninger!$E$73),-999999)</f>
        <v>118.3644378685931</v>
      </c>
      <c r="AQ331" s="18">
        <f t="shared" si="162"/>
        <v>329</v>
      </c>
      <c r="AR331" s="18">
        <f t="shared" si="175"/>
        <v>8030.7031753831152</v>
      </c>
      <c r="AS331" s="18">
        <f t="shared" si="154"/>
        <v>12</v>
      </c>
      <c r="AT331" s="50">
        <f t="shared" si="176"/>
        <v>-1329.1300333269935</v>
      </c>
      <c r="AU331" s="50">
        <f t="shared" si="177"/>
        <v>-4.0556617103201944</v>
      </c>
      <c r="AV331" s="2">
        <f t="shared" si="178"/>
        <v>-426.44201828036421</v>
      </c>
      <c r="AW331" s="16">
        <f t="shared" si="172"/>
        <v>2.9998100185448844</v>
      </c>
      <c r="AZ331" s="16"/>
      <c r="BA331" s="2"/>
    </row>
    <row r="332" spans="1:53" x14ac:dyDescent="0.25">
      <c r="A332">
        <v>330</v>
      </c>
      <c r="B332" s="1">
        <f>ROUND((A332+Forudsætninger!$E$60)/30.4,1)</f>
        <v>12</v>
      </c>
      <c r="C332" s="1">
        <f>VLOOKUP((A332+Forudsætninger!$E$60),'Model tilvækst, slagteform, fe'!A:D,4,FALSE)</f>
        <v>490.68942122733006</v>
      </c>
      <c r="D332" s="3">
        <f t="shared" si="179"/>
        <v>847.99251506171913</v>
      </c>
      <c r="E332" s="3">
        <f>(1+Forudsætninger!$E$78)*C332</f>
        <v>451.43426752914365</v>
      </c>
      <c r="F332" s="2">
        <f t="shared" si="163"/>
        <v>0</v>
      </c>
      <c r="G332" s="1">
        <f t="shared" si="155"/>
        <v>451.43426752914365</v>
      </c>
      <c r="H332" s="3">
        <f t="shared" si="164"/>
        <v>780.15311385678388</v>
      </c>
      <c r="I332" s="3">
        <f t="shared" si="156"/>
        <v>1161.9220228155868</v>
      </c>
      <c r="J332" s="1">
        <f>VLOOKUP((A332+Forudsætninger!$E$60),'Model tilvækst, slagteform, fe'!G:K,4,FALSE)*(1+Forudsætninger!$E$79)</f>
        <v>54.184000000000012</v>
      </c>
      <c r="K332" s="17">
        <f t="shared" si="157"/>
        <v>244.60514351799125</v>
      </c>
      <c r="L332" s="17">
        <f t="shared" si="165"/>
        <v>469.47514529716727</v>
      </c>
      <c r="M332" s="3">
        <f>((K332-(('Model tilvækst, slagteform, fe'!$J$9/100)*'Model tilvækst, slagteform, fe'!$D$9))*1000/(A332+Forudsætninger!$E$60))</f>
        <v>613.03479612881972</v>
      </c>
      <c r="N332" s="17">
        <f t="shared" si="166"/>
        <v>1938.3932452168247</v>
      </c>
      <c r="O332" s="19">
        <f>IF( A332&lt;Forudsætninger!$C$14,(G332/100)*Forudsætninger!$C$13,(Forudsætninger!$C$15/1000)*Forudsætninger!$C$13)</f>
        <v>2.9343227389394335</v>
      </c>
      <c r="P332" s="17" cm="1">
        <f t="array" ref="P332">INDEX('Model tilvækst, slagteform, fe'!$P$9:$P$375,MATCH(MIN(ABS('Model tilvækst, slagteform, fe'!$M$9:$M$375-G332)),ABS('Model tilvækst, slagteform, fe'!$M$9:$M$375-G332),0))*(1+Forudsætninger!$E$80)</f>
        <v>7.6788729807211444</v>
      </c>
      <c r="Q332" s="17">
        <f t="shared" si="167"/>
        <v>16.356292889287225</v>
      </c>
      <c r="R332" s="17">
        <f t="shared" si="168"/>
        <v>9.1589834853336853</v>
      </c>
      <c r="S332" s="17">
        <f t="shared" si="169"/>
        <v>5.0553469248011158</v>
      </c>
      <c r="T332" s="19">
        <f>(P332)*IF(N332&lt;Forudsætninger!$B$228,IF(N332&lt;Forudsætninger!$B$227,Forudsætninger!$B$225,Forudsætninger!$C$9),Forudsætninger!$C$11)+O332</f>
        <v>20.902885513826909</v>
      </c>
      <c r="U332" s="5">
        <f>Forudsætninger!$E$68+((K332-(Forudsætninger!$E$84)))*0.01</f>
        <v>7.162615144751582</v>
      </c>
      <c r="V332" s="2">
        <f>U332+Forudsætninger!$E$69</f>
        <v>7.162615144751582</v>
      </c>
      <c r="W332">
        <f t="shared" si="158"/>
        <v>1</v>
      </c>
      <c r="X332">
        <f>IF(A332+Forudsætninger!$E$60&gt;248,IF(A332+Forudsætninger!$E$60&lt;365,IF(K332&gt;180,IF(K332&lt;260,1,0),0),0),0)</f>
        <v>0</v>
      </c>
      <c r="Y332" s="22">
        <f>IF(X332=0,0,IF('Vækstfunktion, kry kvie'!A332&lt;Forudsætninger!$E$66,Forudsætninger!$E$67+(('Vækstfunktion, kry kvie'!A332-Forudsætninger!$E$66)/7)*Forudsætninger!$E$64,Forudsætninger!$E$67))</f>
        <v>0</v>
      </c>
      <c r="Z332" s="19">
        <f t="shared" si="173"/>
        <v>5610.4540842876486</v>
      </c>
      <c r="AA332" s="19">
        <f>Forudsætninger!$E$62+Forudsætninger!$C$16</f>
        <v>1575</v>
      </c>
      <c r="AB332" s="19">
        <f>IF(K332&gt;Forudsætninger!$C$48,IF(K332&gt;Forudsætninger!$C$49,IF(K332&gt;Forudsætninger!$C$50,Forudsætninger!$E$50,Forudsætninger!$E$49+Forudsætninger!$F$50*(K332-Forudsætninger!$C$49)),Forudsætninger!$E$48+Forudsætninger!$F$49*(K332-Forudsætninger!$C$48)),Forudsætninger!$E$48)+IF(K332&gt;Forudsætninger!$C$50,Forudsætninger!$G$50,IF(K332&gt;Forudsætninger!$C$49,Forudsætninger!$G$49+Forudsætninger!$H$50*(K332-Forudsætninger!$C$49),IF(K332&gt;Forudsætninger!$C$48,Forudsætninger!$G$48+Forudsætninger!$H$49*(K332-Forudsætninger!$C$48),Forudsætninger!$G$48)))*(U332-Forudsætninger!$H$48)</f>
        <v>37.065107955437497</v>
      </c>
      <c r="AC332" s="19">
        <f>IF(K332&gt;Forudsætninger!$C$52,IF(K332&gt;Forudsætninger!$C$53,IF(K332&gt;Forudsætninger!$C$54,Forudsætninger!$E$54,Forudsætninger!$E$53+Forudsætninger!$F$54*(K332-Forudsætninger!$C$53)),Forudsætninger!$E$52+Forudsætninger!$F$53*(K332-Forudsætninger!$C$52)),Forudsætninger!$E$52)+IF(K332&gt;Forudsætninger!$C$54,Forudsætninger!$G$54,IF(K332&gt;Forudsætninger!$C$53,Forudsætninger!$G$53+Forudsætninger!$H$54*(K332-Forudsætninger!$C$53),IF(K332&gt;Forudsætninger!$C$52,Forudsætninger!$G$52+Forudsætninger!$H$53*(K332-Forudsætninger!$C$52),Forudsætninger!$G$52)))*(V332-Forudsætninger!$H$52)</f>
        <v>31.52208549794301</v>
      </c>
      <c r="AD332" s="19">
        <f t="shared" si="159"/>
        <v>7710.4642472107407</v>
      </c>
      <c r="AE332" s="19">
        <f t="shared" si="160"/>
        <v>31.52208549794301</v>
      </c>
      <c r="AF332">
        <f>IF(G332&lt;=Forudsætninger!$C$97,Forudsætninger!$C$98,(IF(G332&lt;=Forudsætninger!$D$97,Forudsætninger!$D$98,IF(G332&lt;=Forudsætninger!$E$97,Forudsætninger!$E$98,IF(G332&lt;=Forudsætninger!$F$97,Forudsætninger!$F$98,IF(G332&lt;=Forudsætninger!$G$97,Forudsætninger!$G$98,IF(G332&lt;=Forudsætninger!$H$97,Forudsætninger!$H$98,IF(G332&lt;=Forudsætninger!$I$97,Forudsætninger!$I$98,Forudsætninger!$I$98))))))))</f>
        <v>4.4000000000000004</v>
      </c>
      <c r="AG332" s="1">
        <f t="shared" si="170"/>
        <v>4.4000000000000004</v>
      </c>
      <c r="AH332" s="1">
        <f t="shared" si="174"/>
        <v>1111.5999999999976</v>
      </c>
      <c r="AI332" s="1">
        <f t="shared" si="161"/>
        <v>3.3684848484848415</v>
      </c>
      <c r="AJ332" s="20">
        <f>+(W332*Forudsætninger!$C$12)</f>
        <v>900</v>
      </c>
      <c r="AK332" s="20">
        <f>Forudsætninger!$C$17</f>
        <v>250</v>
      </c>
      <c r="AL332" s="20">
        <f>IF(A332&lt;92,Forudsætninger!$C$20,Forudsætninger!$C$21)</f>
        <v>1.0566762728146013</v>
      </c>
      <c r="AM332" s="20">
        <f t="shared" si="171"/>
        <v>617.2086528821078</v>
      </c>
      <c r="AN332" s="19">
        <f>IFERROR(AD332+AJ332-AA332-Z332-AK332-AM332-Forudsætninger!$E$75,-999999)</f>
        <v>366.58474870436851</v>
      </c>
      <c r="AO332" s="19">
        <f>IFERROR(AN332/(A332+Forudsætninger!$E$74),-999999)</f>
        <v>1.1108628748617229</v>
      </c>
      <c r="AP332" s="19">
        <f>IFERROR(((365/(A332+Forudsætninger!$E$74))*AN332)/(AI332+Forudsætninger!$E$73),-999999)</f>
        <v>116.56366693709798</v>
      </c>
      <c r="AQ332" s="18">
        <f t="shared" si="162"/>
        <v>330</v>
      </c>
      <c r="AR332" s="18">
        <f t="shared" si="175"/>
        <v>8052.6627371697559</v>
      </c>
      <c r="AS332" s="18">
        <f t="shared" si="154"/>
        <v>12</v>
      </c>
      <c r="AT332" s="50">
        <f t="shared" si="176"/>
        <v>-4.2007707876051654</v>
      </c>
      <c r="AU332" s="50">
        <f t="shared" si="177"/>
        <v>-1.6144783168592358E-2</v>
      </c>
      <c r="AV332" s="2">
        <f t="shared" si="178"/>
        <v>-1.8007709314951228</v>
      </c>
      <c r="AW332" s="16">
        <f t="shared" si="172"/>
        <v>2.981192126019625</v>
      </c>
      <c r="AZ332" s="16"/>
      <c r="BA332" s="2"/>
    </row>
    <row r="333" spans="1:53" x14ac:dyDescent="0.25">
      <c r="A333">
        <v>331</v>
      </c>
      <c r="B333" s="1">
        <f>ROUND((A333+Forudsætninger!$E$60)/30.4,1)</f>
        <v>12.1</v>
      </c>
      <c r="C333" s="1" t="e">
        <f>VLOOKUP((A333+Forudsætninger!$E$60),'Model tilvækst, slagteform, fe'!A:D,4,FALSE)</f>
        <v>#N/A</v>
      </c>
      <c r="D333" s="3" t="e">
        <f t="shared" si="179"/>
        <v>#N/A</v>
      </c>
      <c r="E333" s="3" t="e">
        <f>(1+Forudsætninger!$E$78)*C333</f>
        <v>#N/A</v>
      </c>
      <c r="F333" s="2" t="e">
        <f t="shared" si="163"/>
        <v>#N/A</v>
      </c>
      <c r="G333" s="1" t="e">
        <f t="shared" si="155"/>
        <v>#N/A</v>
      </c>
      <c r="H333" s="3" t="e">
        <f t="shared" si="164"/>
        <v>#N/A</v>
      </c>
      <c r="I333" s="3" t="e">
        <f t="shared" si="156"/>
        <v>#N/A</v>
      </c>
      <c r="J333" s="1" t="e">
        <f>VLOOKUP((A333+Forudsætninger!$E$60),'Model tilvækst, slagteform, fe'!G:K,4,FALSE)*(1+Forudsætninger!$E$79)</f>
        <v>#N/A</v>
      </c>
      <c r="K333" s="17" t="e">
        <f t="shared" si="157"/>
        <v>#N/A</v>
      </c>
      <c r="L333" s="17" t="e">
        <f t="shared" si="165"/>
        <v>#N/A</v>
      </c>
      <c r="M333" s="3" t="e">
        <f>((K333-(('Model tilvækst, slagteform, fe'!$J$9/100)*'Model tilvækst, slagteform, fe'!$D$9))*1000/(A333+Forudsætninger!$E$60))</f>
        <v>#N/A</v>
      </c>
      <c r="N333" s="17" t="e">
        <f t="shared" si="166"/>
        <v>#N/A</v>
      </c>
      <c r="O333" s="19" t="e">
        <f>IF( A333&lt;Forudsætninger!$C$14,(G333/100)*Forudsætninger!$C$13,(Forudsætninger!$C$15/1000)*Forudsætninger!$C$13)</f>
        <v>#N/A</v>
      </c>
      <c r="P333" s="17" t="e" cm="1">
        <f t="array" ref="P333">INDEX('Model tilvækst, slagteform, fe'!$P$9:$P$375,MATCH(MIN(ABS('Model tilvækst, slagteform, fe'!$M$9:$M$375-G333)),ABS('Model tilvækst, slagteform, fe'!$M$9:$M$375-G333),0))*(1+Forudsætninger!$E$80)</f>
        <v>#N/A</v>
      </c>
      <c r="Q333" s="17" t="e">
        <f t="shared" si="167"/>
        <v>#N/A</v>
      </c>
      <c r="R333" s="17" t="e">
        <f t="shared" si="168"/>
        <v>#N/A</v>
      </c>
      <c r="S333" s="17" t="e">
        <f t="shared" si="169"/>
        <v>#N/A</v>
      </c>
      <c r="T333" s="19" t="e">
        <f>(P333)*IF(N333&lt;Forudsætninger!$B$228,IF(N333&lt;Forudsætninger!$B$227,Forudsætninger!$B$225,Forudsætninger!$C$9),Forudsætninger!$C$11)+O333</f>
        <v>#N/A</v>
      </c>
      <c r="U333" s="5" t="e">
        <f>Forudsætninger!$E$68+((K333-(Forudsætninger!$E$84)))*0.01</f>
        <v>#N/A</v>
      </c>
      <c r="V333" s="2" t="e">
        <f>U333+Forudsætninger!$E$69</f>
        <v>#N/A</v>
      </c>
      <c r="W333" t="e">
        <f t="shared" si="158"/>
        <v>#N/A</v>
      </c>
      <c r="X333">
        <f>IF(A333+Forudsætninger!$E$60&gt;248,IF(A333+Forudsætninger!$E$60&lt;365,IF(K333&gt;180,IF(K333&lt;260,1,0),0),0),0)</f>
        <v>0</v>
      </c>
      <c r="Y333" s="22">
        <f>IF(X333=0,0,IF('Vækstfunktion, kry kvie'!A333&lt;Forudsætninger!$E$66,Forudsætninger!$E$67+(('Vækstfunktion, kry kvie'!A333-Forudsætninger!$E$66)/7)*Forudsætninger!$E$64,Forudsætninger!$E$67))</f>
        <v>0</v>
      </c>
      <c r="Z333" s="19" t="e">
        <f t="shared" si="173"/>
        <v>#N/A</v>
      </c>
      <c r="AA333" s="19">
        <f>Forudsætninger!$E$62+Forudsætninger!$C$16</f>
        <v>1575</v>
      </c>
      <c r="AB333" s="19" t="e">
        <f>IF(K333&gt;Forudsætninger!$C$48,IF(K333&gt;Forudsætninger!$C$49,IF(K333&gt;Forudsætninger!$C$50,Forudsætninger!$E$50,Forudsætninger!$E$49+Forudsætninger!$F$50*(K333-Forudsætninger!$C$49)),Forudsætninger!$E$48+Forudsætninger!$F$49*(K333-Forudsætninger!$C$48)),Forudsætninger!$E$48)+IF(K333&gt;Forudsætninger!$C$50,Forudsætninger!$G$50,IF(K333&gt;Forudsætninger!$C$49,Forudsætninger!$G$49+Forudsætninger!$H$50*(K333-Forudsætninger!$C$49),IF(K333&gt;Forudsætninger!$C$48,Forudsætninger!$G$48+Forudsætninger!$H$49*(K333-Forudsætninger!$C$48),Forudsætninger!$G$48)))*(U333-Forudsætninger!$H$48)</f>
        <v>#N/A</v>
      </c>
      <c r="AC333" s="19" t="e">
        <f>IF(K333&gt;Forudsætninger!$C$52,IF(K333&gt;Forudsætninger!$C$53,IF(K333&gt;Forudsætninger!$C$54,Forudsætninger!$E$54,Forudsætninger!$E$53+Forudsætninger!$F$54*(K333-Forudsætninger!$C$53)),Forudsætninger!$E$52+Forudsætninger!$F$53*(K333-Forudsætninger!$C$52)),Forudsætninger!$E$52)+IF(K333&gt;Forudsætninger!$C$54,Forudsætninger!$G$54,IF(K333&gt;Forudsætninger!$C$53,Forudsætninger!$G$53+Forudsætninger!$H$54*(K333-Forudsætninger!$C$53),IF(K333&gt;Forudsætninger!$C$52,Forudsætninger!$G$52+Forudsætninger!$H$53*(K333-Forudsætninger!$C$52),Forudsætninger!$G$52)))*(V333-Forudsætninger!$H$52)</f>
        <v>#N/A</v>
      </c>
      <c r="AD333" s="19" t="e">
        <f t="shared" si="159"/>
        <v>#N/A</v>
      </c>
      <c r="AE333" s="19" t="e">
        <f t="shared" si="160"/>
        <v>#N/A</v>
      </c>
      <c r="AF333" t="e">
        <f>IF(G333&lt;=Forudsætninger!$C$97,Forudsætninger!$C$98,(IF(G333&lt;=Forudsætninger!$D$97,Forudsætninger!$D$98,IF(G333&lt;=Forudsætninger!$E$97,Forudsætninger!$E$98,IF(G333&lt;=Forudsætninger!$F$97,Forudsætninger!$F$98,IF(G333&lt;=Forudsætninger!$G$97,Forudsætninger!$G$98,IF(G333&lt;=Forudsætninger!$H$97,Forudsætninger!$H$98,IF(G333&lt;=Forudsætninger!$I$97,Forudsætninger!$I$98,Forudsætninger!$I$98))))))))</f>
        <v>#N/A</v>
      </c>
      <c r="AG333" s="1" t="e">
        <f t="shared" si="170"/>
        <v>#N/A</v>
      </c>
      <c r="AH333" s="1" t="e">
        <f t="shared" si="174"/>
        <v>#N/A</v>
      </c>
      <c r="AI333" s="1" t="e">
        <f t="shared" si="161"/>
        <v>#N/A</v>
      </c>
      <c r="AJ333" s="20" t="e">
        <f>+(W333*Forudsætninger!$C$12)</f>
        <v>#N/A</v>
      </c>
      <c r="AK333" s="20">
        <f>Forudsætninger!$C$17</f>
        <v>250</v>
      </c>
      <c r="AL333" s="20">
        <f>IF(A333&lt;92,Forudsætninger!$C$20,Forudsætninger!$C$21)</f>
        <v>1.0566762728146013</v>
      </c>
      <c r="AM333" s="20">
        <f t="shared" si="171"/>
        <v>618.26532915492237</v>
      </c>
      <c r="AN333" s="19">
        <f>IFERROR(AD333+AJ333-AA333-Z333-AK333-AM333-Forudsætninger!$E$75,-999999)</f>
        <v>-999999</v>
      </c>
      <c r="AO333" s="19">
        <f>IFERROR(AN333/(A333+Forudsætninger!$E$74),-999999)</f>
        <v>-3021.1450151057402</v>
      </c>
      <c r="AP333" s="19">
        <f>IFERROR(((365/(A333+Forudsætninger!$E$74))*AN333)/(AI333+Forudsætninger!$E$73),-999999)</f>
        <v>-999999</v>
      </c>
      <c r="AQ333" s="18">
        <f t="shared" si="162"/>
        <v>331</v>
      </c>
      <c r="AR333" s="18" t="e">
        <f t="shared" si="175"/>
        <v>#N/A</v>
      </c>
      <c r="AS333" s="18">
        <f t="shared" si="154"/>
        <v>12.1</v>
      </c>
      <c r="AT333" s="50">
        <f t="shared" si="176"/>
        <v>-1000365.5847487043</v>
      </c>
      <c r="AU333" s="50">
        <f t="shared" si="177"/>
        <v>-3022.2558779806018</v>
      </c>
      <c r="AV333" s="2">
        <f t="shared" si="178"/>
        <v>-1000115.5636669371</v>
      </c>
      <c r="AW333" s="16">
        <f t="shared" si="172"/>
        <v>-3019.2771440206802</v>
      </c>
      <c r="AZ333" s="16"/>
      <c r="BA333" s="2"/>
    </row>
    <row r="334" spans="1:53" x14ac:dyDescent="0.25">
      <c r="A334">
        <v>332</v>
      </c>
      <c r="B334" s="1">
        <f>ROUND((A334+Forudsætninger!$E$60)/30.4,1)</f>
        <v>12.1</v>
      </c>
      <c r="C334" s="1" t="e">
        <f>VLOOKUP((A334+Forudsætninger!$E$60),'Model tilvækst, slagteform, fe'!A:D,4,FALSE)</f>
        <v>#N/A</v>
      </c>
      <c r="D334" s="3" t="e">
        <f t="shared" si="179"/>
        <v>#N/A</v>
      </c>
      <c r="E334" s="3" t="e">
        <f>(1+Forudsætninger!$E$78)*C334</f>
        <v>#N/A</v>
      </c>
      <c r="F334" s="2" t="e">
        <f t="shared" si="163"/>
        <v>#N/A</v>
      </c>
      <c r="G334" s="1" t="e">
        <f t="shared" si="155"/>
        <v>#N/A</v>
      </c>
      <c r="H334" s="3" t="e">
        <f t="shared" si="164"/>
        <v>#N/A</v>
      </c>
      <c r="I334" s="3" t="e">
        <f t="shared" si="156"/>
        <v>#N/A</v>
      </c>
      <c r="J334" s="1" t="e">
        <f>VLOOKUP((A334+Forudsætninger!$E$60),'Model tilvækst, slagteform, fe'!G:K,4,FALSE)*(1+Forudsætninger!$E$79)</f>
        <v>#N/A</v>
      </c>
      <c r="K334" s="17" t="e">
        <f t="shared" si="157"/>
        <v>#N/A</v>
      </c>
      <c r="L334" s="17" t="e">
        <f t="shared" si="165"/>
        <v>#N/A</v>
      </c>
      <c r="M334" s="3" t="e">
        <f>((K334-(('Model tilvækst, slagteform, fe'!$J$9/100)*'Model tilvækst, slagteform, fe'!$D$9))*1000/(A334+Forudsætninger!$E$60))</f>
        <v>#N/A</v>
      </c>
      <c r="N334" s="17" t="e">
        <f t="shared" si="166"/>
        <v>#N/A</v>
      </c>
      <c r="O334" s="19" t="e">
        <f>IF( A334&lt;Forudsætninger!$C$14,(G334/100)*Forudsætninger!$C$13,(Forudsætninger!$C$15/1000)*Forudsætninger!$C$13)</f>
        <v>#N/A</v>
      </c>
      <c r="P334" s="17" t="e" cm="1">
        <f t="array" ref="P334">INDEX('Model tilvækst, slagteform, fe'!$P$9:$P$375,MATCH(MIN(ABS('Model tilvækst, slagteform, fe'!$M$9:$M$375-G334)),ABS('Model tilvækst, slagteform, fe'!$M$9:$M$375-G334),0))*(1+Forudsætninger!$E$80)</f>
        <v>#N/A</v>
      </c>
      <c r="Q334" s="17" t="e">
        <f t="shared" si="167"/>
        <v>#N/A</v>
      </c>
      <c r="R334" s="17" t="e">
        <f t="shared" si="168"/>
        <v>#N/A</v>
      </c>
      <c r="S334" s="17" t="e">
        <f t="shared" si="169"/>
        <v>#N/A</v>
      </c>
      <c r="T334" s="19" t="e">
        <f>(P334)*IF(N334&lt;Forudsætninger!$B$228,IF(N334&lt;Forudsætninger!$B$227,Forudsætninger!$B$225,Forudsætninger!$C$9),Forudsætninger!$C$11)+O334</f>
        <v>#N/A</v>
      </c>
      <c r="U334" s="5" t="e">
        <f>Forudsætninger!$E$68+((K334-(Forudsætninger!$E$84)))*0.01</f>
        <v>#N/A</v>
      </c>
      <c r="V334" s="2" t="e">
        <f>U334+Forudsætninger!$E$69</f>
        <v>#N/A</v>
      </c>
      <c r="W334" t="e">
        <f t="shared" si="158"/>
        <v>#N/A</v>
      </c>
      <c r="X334">
        <f>IF(A334+Forudsætninger!$E$60&gt;248,IF(A334+Forudsætninger!$E$60&lt;365,IF(K334&gt;180,IF(K334&lt;260,1,0),0),0),0)</f>
        <v>0</v>
      </c>
      <c r="Y334" s="22">
        <f>IF(X334=0,0,IF('Vækstfunktion, kry kvie'!A334&lt;Forudsætninger!$E$66,Forudsætninger!$E$67+(('Vækstfunktion, kry kvie'!A334-Forudsætninger!$E$66)/7)*Forudsætninger!$E$64,Forudsætninger!$E$67))</f>
        <v>0</v>
      </c>
      <c r="Z334" s="19" t="e">
        <f t="shared" si="173"/>
        <v>#N/A</v>
      </c>
      <c r="AA334" s="19">
        <f>Forudsætninger!$E$62+Forudsætninger!$C$16</f>
        <v>1575</v>
      </c>
      <c r="AB334" s="19" t="e">
        <f>IF(K334&gt;Forudsætninger!$C$48,IF(K334&gt;Forudsætninger!$C$49,IF(K334&gt;Forudsætninger!$C$50,Forudsætninger!$E$50,Forudsætninger!$E$49+Forudsætninger!$F$50*(K334-Forudsætninger!$C$49)),Forudsætninger!$E$48+Forudsætninger!$F$49*(K334-Forudsætninger!$C$48)),Forudsætninger!$E$48)+IF(K334&gt;Forudsætninger!$C$50,Forudsætninger!$G$50,IF(K334&gt;Forudsætninger!$C$49,Forudsætninger!$G$49+Forudsætninger!$H$50*(K334-Forudsætninger!$C$49),IF(K334&gt;Forudsætninger!$C$48,Forudsætninger!$G$48+Forudsætninger!$H$49*(K334-Forudsætninger!$C$48),Forudsætninger!$G$48)))*(U334-Forudsætninger!$H$48)</f>
        <v>#N/A</v>
      </c>
      <c r="AC334" s="19" t="e">
        <f>IF(K334&gt;Forudsætninger!$C$52,IF(K334&gt;Forudsætninger!$C$53,IF(K334&gt;Forudsætninger!$C$54,Forudsætninger!$E$54,Forudsætninger!$E$53+Forudsætninger!$F$54*(K334-Forudsætninger!$C$53)),Forudsætninger!$E$52+Forudsætninger!$F$53*(K334-Forudsætninger!$C$52)),Forudsætninger!$E$52)+IF(K334&gt;Forudsætninger!$C$54,Forudsætninger!$G$54,IF(K334&gt;Forudsætninger!$C$53,Forudsætninger!$G$53+Forudsætninger!$H$54*(K334-Forudsætninger!$C$53),IF(K334&gt;Forudsætninger!$C$52,Forudsætninger!$G$52+Forudsætninger!$H$53*(K334-Forudsætninger!$C$52),Forudsætninger!$G$52)))*(V334-Forudsætninger!$H$52)</f>
        <v>#N/A</v>
      </c>
      <c r="AD334" s="19" t="e">
        <f t="shared" si="159"/>
        <v>#N/A</v>
      </c>
      <c r="AE334" s="19" t="e">
        <f t="shared" si="160"/>
        <v>#N/A</v>
      </c>
      <c r="AF334" t="e">
        <f>IF(G334&lt;=Forudsætninger!$C$97,Forudsætninger!$C$98,(IF(G334&lt;=Forudsætninger!$D$97,Forudsætninger!$D$98,IF(G334&lt;=Forudsætninger!$E$97,Forudsætninger!$E$98,IF(G334&lt;=Forudsætninger!$F$97,Forudsætninger!$F$98,IF(G334&lt;=Forudsætninger!$G$97,Forudsætninger!$G$98,IF(G334&lt;=Forudsætninger!$H$97,Forudsætninger!$H$98,IF(G334&lt;=Forudsætninger!$I$97,Forudsætninger!$I$98,Forudsætninger!$I$98))))))))</f>
        <v>#N/A</v>
      </c>
      <c r="AG334" s="1" t="e">
        <f t="shared" si="170"/>
        <v>#N/A</v>
      </c>
      <c r="AH334" s="1" t="e">
        <f t="shared" si="174"/>
        <v>#N/A</v>
      </c>
      <c r="AI334" s="1" t="e">
        <f t="shared" si="161"/>
        <v>#N/A</v>
      </c>
      <c r="AJ334" s="20" t="e">
        <f>+(W334*Forudsætninger!$C$12)</f>
        <v>#N/A</v>
      </c>
      <c r="AK334" s="20">
        <f>Forudsætninger!$C$17</f>
        <v>250</v>
      </c>
      <c r="AL334" s="20">
        <f>IF(A334&lt;92,Forudsætninger!$C$20,Forudsætninger!$C$21)</f>
        <v>1.0566762728146013</v>
      </c>
      <c r="AM334" s="20">
        <f t="shared" si="171"/>
        <v>619.32200542773694</v>
      </c>
      <c r="AN334" s="19">
        <f>IFERROR(AD334+AJ334-AA334-Z334-AK334-AM334-Forudsætninger!$E$75,-999999)</f>
        <v>-999999</v>
      </c>
      <c r="AO334" s="19">
        <f>IFERROR(AN334/(A334+Forudsætninger!$E$74),-999999)</f>
        <v>-3012.0451807228915</v>
      </c>
      <c r="AP334" s="19">
        <f>IFERROR(((365/(A334+Forudsætninger!$E$74))*AN334)/(AI334+Forudsætninger!$E$73),-999999)</f>
        <v>-999999</v>
      </c>
      <c r="AQ334" s="18">
        <f t="shared" si="162"/>
        <v>332</v>
      </c>
      <c r="AR334" s="18" t="e">
        <f t="shared" si="175"/>
        <v>#N/A</v>
      </c>
      <c r="AS334" s="18">
        <f t="shared" si="154"/>
        <v>12.1</v>
      </c>
      <c r="AT334" s="50">
        <f t="shared" si="176"/>
        <v>0</v>
      </c>
      <c r="AU334" s="50">
        <f t="shared" si="177"/>
        <v>9.0998343828487123</v>
      </c>
      <c r="AV334" s="2">
        <f t="shared" si="178"/>
        <v>0</v>
      </c>
      <c r="AW334" s="16">
        <f t="shared" si="172"/>
        <v>-3010.1797529956993</v>
      </c>
      <c r="AZ334" s="16"/>
      <c r="BA334" s="2"/>
    </row>
    <row r="335" spans="1:53" x14ac:dyDescent="0.25">
      <c r="A335">
        <v>333</v>
      </c>
      <c r="B335" s="1">
        <f>ROUND((A335+Forudsætninger!$E$60)/30.4,1)</f>
        <v>12.1</v>
      </c>
      <c r="C335" s="1" t="e">
        <f>VLOOKUP((A335+Forudsætninger!$E$60),'Model tilvækst, slagteform, fe'!A:D,4,FALSE)</f>
        <v>#N/A</v>
      </c>
      <c r="D335" s="3" t="e">
        <f t="shared" si="179"/>
        <v>#N/A</v>
      </c>
      <c r="E335" s="3" t="e">
        <f>(1+Forudsætninger!$E$78)*C335</f>
        <v>#N/A</v>
      </c>
      <c r="F335" s="2" t="e">
        <f t="shared" si="163"/>
        <v>#N/A</v>
      </c>
      <c r="G335" s="1" t="e">
        <f t="shared" si="155"/>
        <v>#N/A</v>
      </c>
      <c r="H335" s="3" t="e">
        <f t="shared" si="164"/>
        <v>#N/A</v>
      </c>
      <c r="I335" s="3" t="e">
        <f t="shared" si="156"/>
        <v>#N/A</v>
      </c>
      <c r="J335" s="1" t="e">
        <f>VLOOKUP((A335+Forudsætninger!$E$60),'Model tilvækst, slagteform, fe'!G:K,4,FALSE)*(1+Forudsætninger!$E$79)</f>
        <v>#N/A</v>
      </c>
      <c r="K335" s="17" t="e">
        <f t="shared" si="157"/>
        <v>#N/A</v>
      </c>
      <c r="L335" s="17" t="e">
        <f t="shared" si="165"/>
        <v>#N/A</v>
      </c>
      <c r="M335" s="3" t="e">
        <f>((K335-(('Model tilvækst, slagteform, fe'!$J$9/100)*'Model tilvækst, slagteform, fe'!$D$9))*1000/(A335+Forudsætninger!$E$60))</f>
        <v>#N/A</v>
      </c>
      <c r="N335" s="17" t="e">
        <f t="shared" si="166"/>
        <v>#N/A</v>
      </c>
      <c r="O335" s="19" t="e">
        <f>IF( A335&lt;Forudsætninger!$C$14,(G335/100)*Forudsætninger!$C$13,(Forudsætninger!$C$15/1000)*Forudsætninger!$C$13)</f>
        <v>#N/A</v>
      </c>
      <c r="P335" s="17" t="e" cm="1">
        <f t="array" ref="P335">INDEX('Model tilvækst, slagteform, fe'!$P$9:$P$375,MATCH(MIN(ABS('Model tilvækst, slagteform, fe'!$M$9:$M$375-G335)),ABS('Model tilvækst, slagteform, fe'!$M$9:$M$375-G335),0))*(1+Forudsætninger!$E$80)</f>
        <v>#N/A</v>
      </c>
      <c r="Q335" s="17" t="e">
        <f t="shared" si="167"/>
        <v>#N/A</v>
      </c>
      <c r="R335" s="17" t="e">
        <f t="shared" si="168"/>
        <v>#N/A</v>
      </c>
      <c r="S335" s="17" t="e">
        <f t="shared" si="169"/>
        <v>#N/A</v>
      </c>
      <c r="T335" s="19" t="e">
        <f>(P335)*IF(N335&lt;Forudsætninger!$B$228,IF(N335&lt;Forudsætninger!$B$227,Forudsætninger!$B$225,Forudsætninger!$C$9),Forudsætninger!$C$11)+O335</f>
        <v>#N/A</v>
      </c>
      <c r="U335" s="5" t="e">
        <f>Forudsætninger!$E$68+((K335-(Forudsætninger!$E$84)))*0.01</f>
        <v>#N/A</v>
      </c>
      <c r="V335" s="2" t="e">
        <f>U335+Forudsætninger!$E$69</f>
        <v>#N/A</v>
      </c>
      <c r="W335" t="e">
        <f t="shared" si="158"/>
        <v>#N/A</v>
      </c>
      <c r="X335">
        <f>IF(A335+Forudsætninger!$E$60&gt;248,IF(A335+Forudsætninger!$E$60&lt;365,IF(K335&gt;180,IF(K335&lt;260,1,0),0),0),0)</f>
        <v>0</v>
      </c>
      <c r="Y335" s="22">
        <f>IF(X335=0,0,IF('Vækstfunktion, kry kvie'!A335&lt;Forudsætninger!$E$66,Forudsætninger!$E$67+(('Vækstfunktion, kry kvie'!A335-Forudsætninger!$E$66)/7)*Forudsætninger!$E$64,Forudsætninger!$E$67))</f>
        <v>0</v>
      </c>
      <c r="Z335" s="19" t="e">
        <f t="shared" si="173"/>
        <v>#N/A</v>
      </c>
      <c r="AA335" s="19">
        <f>Forudsætninger!$E$62+Forudsætninger!$C$16</f>
        <v>1575</v>
      </c>
      <c r="AB335" s="19" t="e">
        <f>IF(K335&gt;Forudsætninger!$C$48,IF(K335&gt;Forudsætninger!$C$49,IF(K335&gt;Forudsætninger!$C$50,Forudsætninger!$E$50,Forudsætninger!$E$49+Forudsætninger!$F$50*(K335-Forudsætninger!$C$49)),Forudsætninger!$E$48+Forudsætninger!$F$49*(K335-Forudsætninger!$C$48)),Forudsætninger!$E$48)+IF(K335&gt;Forudsætninger!$C$50,Forudsætninger!$G$50,IF(K335&gt;Forudsætninger!$C$49,Forudsætninger!$G$49+Forudsætninger!$H$50*(K335-Forudsætninger!$C$49),IF(K335&gt;Forudsætninger!$C$48,Forudsætninger!$G$48+Forudsætninger!$H$49*(K335-Forudsætninger!$C$48),Forudsætninger!$G$48)))*(U335-Forudsætninger!$H$48)</f>
        <v>#N/A</v>
      </c>
      <c r="AC335" s="19" t="e">
        <f>IF(K335&gt;Forudsætninger!$C$52,IF(K335&gt;Forudsætninger!$C$53,IF(K335&gt;Forudsætninger!$C$54,Forudsætninger!$E$54,Forudsætninger!$E$53+Forudsætninger!$F$54*(K335-Forudsætninger!$C$53)),Forudsætninger!$E$52+Forudsætninger!$F$53*(K335-Forudsætninger!$C$52)),Forudsætninger!$E$52)+IF(K335&gt;Forudsætninger!$C$54,Forudsætninger!$G$54,IF(K335&gt;Forudsætninger!$C$53,Forudsætninger!$G$53+Forudsætninger!$H$54*(K335-Forudsætninger!$C$53),IF(K335&gt;Forudsætninger!$C$52,Forudsætninger!$G$52+Forudsætninger!$H$53*(K335-Forudsætninger!$C$52),Forudsætninger!$G$52)))*(V335-Forudsætninger!$H$52)</f>
        <v>#N/A</v>
      </c>
      <c r="AD335" s="19" t="e">
        <f t="shared" si="159"/>
        <v>#N/A</v>
      </c>
      <c r="AE335" s="19" t="e">
        <f t="shared" si="160"/>
        <v>#N/A</v>
      </c>
      <c r="AF335" t="e">
        <f>IF(G335&lt;=Forudsætninger!$C$97,Forudsætninger!$C$98,(IF(G335&lt;=Forudsætninger!$D$97,Forudsætninger!$D$98,IF(G335&lt;=Forudsætninger!$E$97,Forudsætninger!$E$98,IF(G335&lt;=Forudsætninger!$F$97,Forudsætninger!$F$98,IF(G335&lt;=Forudsætninger!$G$97,Forudsætninger!$G$98,IF(G335&lt;=Forudsætninger!$H$97,Forudsætninger!$H$98,IF(G335&lt;=Forudsætninger!$I$97,Forudsætninger!$I$98,Forudsætninger!$I$98))))))))</f>
        <v>#N/A</v>
      </c>
      <c r="AG335" s="1" t="e">
        <f t="shared" si="170"/>
        <v>#N/A</v>
      </c>
      <c r="AH335" s="1" t="e">
        <f t="shared" si="174"/>
        <v>#N/A</v>
      </c>
      <c r="AI335" s="1" t="e">
        <f t="shared" si="161"/>
        <v>#N/A</v>
      </c>
      <c r="AJ335" s="20" t="e">
        <f>+(W335*Forudsætninger!$C$12)</f>
        <v>#N/A</v>
      </c>
      <c r="AK335" s="20">
        <f>Forudsætninger!$C$17</f>
        <v>250</v>
      </c>
      <c r="AL335" s="20">
        <f>IF(A335&lt;92,Forudsætninger!$C$20,Forudsætninger!$C$21)</f>
        <v>1.0566762728146013</v>
      </c>
      <c r="AM335" s="20">
        <f t="shared" si="171"/>
        <v>620.37868170055151</v>
      </c>
      <c r="AN335" s="19">
        <f>IFERROR(AD335+AJ335-AA335-Z335-AK335-AM335-Forudsætninger!$E$75,-999999)</f>
        <v>-999999</v>
      </c>
      <c r="AO335" s="19">
        <f>IFERROR(AN335/(A335+Forudsætninger!$E$74),-999999)</f>
        <v>-3003</v>
      </c>
      <c r="AP335" s="19">
        <f>IFERROR(((365/(A335+Forudsætninger!$E$74))*AN335)/(AI335+Forudsætninger!$E$73),-999999)</f>
        <v>-999999</v>
      </c>
      <c r="AQ335" s="18">
        <f t="shared" si="162"/>
        <v>333</v>
      </c>
      <c r="AR335" s="18" t="e">
        <f t="shared" si="175"/>
        <v>#N/A</v>
      </c>
      <c r="AS335" s="18">
        <f t="shared" si="154"/>
        <v>12.1</v>
      </c>
      <c r="AT335" s="50">
        <f t="shared" si="176"/>
        <v>0</v>
      </c>
      <c r="AU335" s="50">
        <f t="shared" si="177"/>
        <v>9.0451807228914731</v>
      </c>
      <c r="AV335" s="2">
        <f t="shared" si="178"/>
        <v>0</v>
      </c>
      <c r="AW335" s="16">
        <f t="shared" si="172"/>
        <v>-3001.1370009558541</v>
      </c>
      <c r="AZ335" s="16"/>
      <c r="BA335" s="2"/>
    </row>
    <row r="336" spans="1:53" x14ac:dyDescent="0.25">
      <c r="A336">
        <v>334</v>
      </c>
      <c r="B336" s="1">
        <f>ROUND((A336+Forudsætninger!$E$60)/30.4,1)</f>
        <v>12.2</v>
      </c>
      <c r="C336" s="1" t="e">
        <f>VLOOKUP((A336+Forudsætninger!$E$60),'Model tilvækst, slagteform, fe'!A:D,4,FALSE)</f>
        <v>#N/A</v>
      </c>
      <c r="D336" s="3" t="e">
        <f t="shared" si="179"/>
        <v>#N/A</v>
      </c>
      <c r="E336" s="3" t="e">
        <f>(1+Forudsætninger!$E$78)*C336</f>
        <v>#N/A</v>
      </c>
      <c r="F336" s="2" t="e">
        <f t="shared" si="163"/>
        <v>#N/A</v>
      </c>
      <c r="G336" s="1" t="e">
        <f t="shared" si="155"/>
        <v>#N/A</v>
      </c>
      <c r="H336" s="3" t="e">
        <f t="shared" si="164"/>
        <v>#N/A</v>
      </c>
      <c r="I336" s="3" t="e">
        <f t="shared" si="156"/>
        <v>#N/A</v>
      </c>
      <c r="J336" s="1" t="e">
        <f>VLOOKUP((A336+Forudsætninger!$E$60),'Model tilvækst, slagteform, fe'!G:K,4,FALSE)*(1+Forudsætninger!$E$79)</f>
        <v>#N/A</v>
      </c>
      <c r="K336" s="17" t="e">
        <f t="shared" si="157"/>
        <v>#N/A</v>
      </c>
      <c r="L336" s="17" t="e">
        <f t="shared" si="165"/>
        <v>#N/A</v>
      </c>
      <c r="M336" s="3" t="e">
        <f>((K336-(('Model tilvækst, slagteform, fe'!$J$9/100)*'Model tilvækst, slagteform, fe'!$D$9))*1000/(A336+Forudsætninger!$E$60))</f>
        <v>#N/A</v>
      </c>
      <c r="N336" s="17" t="e">
        <f t="shared" si="166"/>
        <v>#N/A</v>
      </c>
      <c r="O336" s="19" t="e">
        <f>IF( A336&lt;Forudsætninger!$C$14,(G336/100)*Forudsætninger!$C$13,(Forudsætninger!$C$15/1000)*Forudsætninger!$C$13)</f>
        <v>#N/A</v>
      </c>
      <c r="P336" s="17" t="e" cm="1">
        <f t="array" ref="P336">INDEX('Model tilvækst, slagteform, fe'!$P$9:$P$375,MATCH(MIN(ABS('Model tilvækst, slagteform, fe'!$M$9:$M$375-G336)),ABS('Model tilvækst, slagteform, fe'!$M$9:$M$375-G336),0))*(1+Forudsætninger!$E$80)</f>
        <v>#N/A</v>
      </c>
      <c r="Q336" s="17" t="e">
        <f t="shared" si="167"/>
        <v>#N/A</v>
      </c>
      <c r="R336" s="17" t="e">
        <f t="shared" si="168"/>
        <v>#N/A</v>
      </c>
      <c r="S336" s="17" t="e">
        <f t="shared" si="169"/>
        <v>#N/A</v>
      </c>
      <c r="T336" s="19" t="e">
        <f>(P336)*IF(N336&lt;Forudsætninger!$B$228,IF(N336&lt;Forudsætninger!$B$227,Forudsætninger!$B$225,Forudsætninger!$C$9),Forudsætninger!$C$11)+O336</f>
        <v>#N/A</v>
      </c>
      <c r="U336" s="5" t="e">
        <f>Forudsætninger!$E$68+((K336-(Forudsætninger!$E$84)))*0.01</f>
        <v>#N/A</v>
      </c>
      <c r="V336" s="2" t="e">
        <f>U336+Forudsætninger!$E$69</f>
        <v>#N/A</v>
      </c>
      <c r="W336" t="e">
        <f t="shared" si="158"/>
        <v>#N/A</v>
      </c>
      <c r="X336">
        <f>IF(A336+Forudsætninger!$E$60&gt;248,IF(A336+Forudsætninger!$E$60&lt;365,IF(K336&gt;180,IF(K336&lt;260,1,0),0),0),0)</f>
        <v>0</v>
      </c>
      <c r="Y336" s="22">
        <f>IF(X336=0,0,IF('Vækstfunktion, kry kvie'!A336&lt;Forudsætninger!$E$66,Forudsætninger!$E$67+(('Vækstfunktion, kry kvie'!A336-Forudsætninger!$E$66)/7)*Forudsætninger!$E$64,Forudsætninger!$E$67))</f>
        <v>0</v>
      </c>
      <c r="Z336" s="19" t="e">
        <f t="shared" si="173"/>
        <v>#N/A</v>
      </c>
      <c r="AA336" s="19">
        <f>Forudsætninger!$E$62+Forudsætninger!$C$16</f>
        <v>1575</v>
      </c>
      <c r="AB336" s="19" t="e">
        <f>IF(K336&gt;Forudsætninger!$C$48,IF(K336&gt;Forudsætninger!$C$49,IF(K336&gt;Forudsætninger!$C$50,Forudsætninger!$E$50,Forudsætninger!$E$49+Forudsætninger!$F$50*(K336-Forudsætninger!$C$49)),Forudsætninger!$E$48+Forudsætninger!$F$49*(K336-Forudsætninger!$C$48)),Forudsætninger!$E$48)+IF(K336&gt;Forudsætninger!$C$50,Forudsætninger!$G$50,IF(K336&gt;Forudsætninger!$C$49,Forudsætninger!$G$49+Forudsætninger!$H$50*(K336-Forudsætninger!$C$49),IF(K336&gt;Forudsætninger!$C$48,Forudsætninger!$G$48+Forudsætninger!$H$49*(K336-Forudsætninger!$C$48),Forudsætninger!$G$48)))*(U336-Forudsætninger!$H$48)</f>
        <v>#N/A</v>
      </c>
      <c r="AC336" s="19" t="e">
        <f>IF(K336&gt;Forudsætninger!$C$52,IF(K336&gt;Forudsætninger!$C$53,IF(K336&gt;Forudsætninger!$C$54,Forudsætninger!$E$54,Forudsætninger!$E$53+Forudsætninger!$F$54*(K336-Forudsætninger!$C$53)),Forudsætninger!$E$52+Forudsætninger!$F$53*(K336-Forudsætninger!$C$52)),Forudsætninger!$E$52)+IF(K336&gt;Forudsætninger!$C$54,Forudsætninger!$G$54,IF(K336&gt;Forudsætninger!$C$53,Forudsætninger!$G$53+Forudsætninger!$H$54*(K336-Forudsætninger!$C$53),IF(K336&gt;Forudsætninger!$C$52,Forudsætninger!$G$52+Forudsætninger!$H$53*(K336-Forudsætninger!$C$52),Forudsætninger!$G$52)))*(V336-Forudsætninger!$H$52)</f>
        <v>#N/A</v>
      </c>
      <c r="AD336" s="19" t="e">
        <f t="shared" si="159"/>
        <v>#N/A</v>
      </c>
      <c r="AE336" s="19" t="e">
        <f t="shared" si="160"/>
        <v>#N/A</v>
      </c>
      <c r="AF336" t="e">
        <f>IF(G336&lt;=Forudsætninger!$C$97,Forudsætninger!$C$98,(IF(G336&lt;=Forudsætninger!$D$97,Forudsætninger!$D$98,IF(G336&lt;=Forudsætninger!$E$97,Forudsætninger!$E$98,IF(G336&lt;=Forudsætninger!$F$97,Forudsætninger!$F$98,IF(G336&lt;=Forudsætninger!$G$97,Forudsætninger!$G$98,IF(G336&lt;=Forudsætninger!$H$97,Forudsætninger!$H$98,IF(G336&lt;=Forudsætninger!$I$97,Forudsætninger!$I$98,Forudsætninger!$I$98))))))))</f>
        <v>#N/A</v>
      </c>
      <c r="AG336" s="1" t="e">
        <f t="shared" si="170"/>
        <v>#N/A</v>
      </c>
      <c r="AH336" s="1" t="e">
        <f t="shared" si="174"/>
        <v>#N/A</v>
      </c>
      <c r="AI336" s="1" t="e">
        <f t="shared" si="161"/>
        <v>#N/A</v>
      </c>
      <c r="AJ336" s="20" t="e">
        <f>+(W336*Forudsætninger!$C$12)</f>
        <v>#N/A</v>
      </c>
      <c r="AK336" s="20">
        <f>Forudsætninger!$C$17</f>
        <v>250</v>
      </c>
      <c r="AL336" s="20">
        <f>IF(A336&lt;92,Forudsætninger!$C$20,Forudsætninger!$C$21)</f>
        <v>1.0566762728146013</v>
      </c>
      <c r="AM336" s="20">
        <f t="shared" si="171"/>
        <v>621.43535797336608</v>
      </c>
      <c r="AN336" s="19">
        <f>IFERROR(AD336+AJ336-AA336-Z336-AK336-AM336-Forudsætninger!$E$75,-999999)</f>
        <v>-999999</v>
      </c>
      <c r="AO336" s="19">
        <f>IFERROR(AN336/(A336+Forudsætninger!$E$74),-999999)</f>
        <v>-2994.0089820359281</v>
      </c>
      <c r="AP336" s="19">
        <f>IFERROR(((365/(A336+Forudsætninger!$E$74))*AN336)/(AI336+Forudsætninger!$E$73),-999999)</f>
        <v>-999999</v>
      </c>
      <c r="AQ336" s="18">
        <f t="shared" si="162"/>
        <v>334</v>
      </c>
      <c r="AR336" s="18" t="e">
        <f t="shared" si="175"/>
        <v>#N/A</v>
      </c>
      <c r="AS336" s="18">
        <f t="shared" si="154"/>
        <v>12.2</v>
      </c>
      <c r="AT336" s="50">
        <f t="shared" si="176"/>
        <v>0</v>
      </c>
      <c r="AU336" s="50">
        <f t="shared" si="177"/>
        <v>8.9910179640719434</v>
      </c>
      <c r="AV336" s="2">
        <f t="shared" si="178"/>
        <v>0</v>
      </c>
      <c r="AW336" s="16">
        <f t="shared" si="172"/>
        <v>-2992.1483971318162</v>
      </c>
      <c r="AZ336" s="16"/>
      <c r="BA336" s="2"/>
    </row>
    <row r="337" spans="1:53" x14ac:dyDescent="0.25">
      <c r="A337">
        <v>335</v>
      </c>
      <c r="B337" s="1">
        <f>ROUND((A337+Forudsætninger!$E$60)/30.4,1)</f>
        <v>12.2</v>
      </c>
      <c r="C337" s="1" t="e">
        <f>VLOOKUP((A337+Forudsætninger!$E$60),'Model tilvækst, slagteform, fe'!A:D,4,FALSE)</f>
        <v>#N/A</v>
      </c>
      <c r="D337" s="3" t="e">
        <f t="shared" si="179"/>
        <v>#N/A</v>
      </c>
      <c r="E337" s="3" t="e">
        <f>(1+Forudsætninger!$E$78)*C337</f>
        <v>#N/A</v>
      </c>
      <c r="F337" s="2" t="e">
        <f t="shared" si="163"/>
        <v>#N/A</v>
      </c>
      <c r="G337" s="1" t="e">
        <f t="shared" si="155"/>
        <v>#N/A</v>
      </c>
      <c r="H337" s="3" t="e">
        <f t="shared" si="164"/>
        <v>#N/A</v>
      </c>
      <c r="I337" s="3" t="e">
        <f t="shared" si="156"/>
        <v>#N/A</v>
      </c>
      <c r="J337" s="1" t="e">
        <f>VLOOKUP((A337+Forudsætninger!$E$60),'Model tilvækst, slagteform, fe'!G:K,4,FALSE)*(1+Forudsætninger!$E$79)</f>
        <v>#N/A</v>
      </c>
      <c r="K337" s="17" t="e">
        <f t="shared" si="157"/>
        <v>#N/A</v>
      </c>
      <c r="L337" s="17" t="e">
        <f t="shared" si="165"/>
        <v>#N/A</v>
      </c>
      <c r="M337" s="3" t="e">
        <f>((K337-(('Model tilvækst, slagteform, fe'!$J$9/100)*'Model tilvækst, slagteform, fe'!$D$9))*1000/(A337+Forudsætninger!$E$60))</f>
        <v>#N/A</v>
      </c>
      <c r="N337" s="17" t="e">
        <f t="shared" si="166"/>
        <v>#N/A</v>
      </c>
      <c r="O337" s="19" t="e">
        <f>IF( A337&lt;Forudsætninger!$C$14,(G337/100)*Forudsætninger!$C$13,(Forudsætninger!$C$15/1000)*Forudsætninger!$C$13)</f>
        <v>#N/A</v>
      </c>
      <c r="P337" s="17" t="e" cm="1">
        <f t="array" ref="P337">INDEX('Model tilvækst, slagteform, fe'!$P$9:$P$375,MATCH(MIN(ABS('Model tilvækst, slagteform, fe'!$M$9:$M$375-G337)),ABS('Model tilvækst, slagteform, fe'!$M$9:$M$375-G337),0))*(1+Forudsætninger!$E$80)</f>
        <v>#N/A</v>
      </c>
      <c r="Q337" s="17" t="e">
        <f t="shared" si="167"/>
        <v>#N/A</v>
      </c>
      <c r="R337" s="17" t="e">
        <f t="shared" si="168"/>
        <v>#N/A</v>
      </c>
      <c r="S337" s="17" t="e">
        <f t="shared" si="169"/>
        <v>#N/A</v>
      </c>
      <c r="T337" s="19" t="e">
        <f>(P337)*IF(N337&lt;Forudsætninger!$B$228,IF(N337&lt;Forudsætninger!$B$227,Forudsætninger!$B$225,Forudsætninger!$C$9),Forudsætninger!$C$11)+O337</f>
        <v>#N/A</v>
      </c>
      <c r="U337" s="5" t="e">
        <f>Forudsætninger!$E$68+((K337-(Forudsætninger!$E$84)))*0.01</f>
        <v>#N/A</v>
      </c>
      <c r="V337" s="2" t="e">
        <f>U337+Forudsætninger!$E$69</f>
        <v>#N/A</v>
      </c>
      <c r="W337" t="e">
        <f t="shared" si="158"/>
        <v>#N/A</v>
      </c>
      <c r="X337">
        <f>IF(A337+Forudsætninger!$E$60&gt;248,IF(A337+Forudsætninger!$E$60&lt;365,IF(K337&gt;180,IF(K337&lt;260,1,0),0),0),0)</f>
        <v>0</v>
      </c>
      <c r="Y337" s="22">
        <f>IF(X337=0,0,IF('Vækstfunktion, kry kvie'!A337&lt;Forudsætninger!$E$66,Forudsætninger!$E$67+(('Vækstfunktion, kry kvie'!A337-Forudsætninger!$E$66)/7)*Forudsætninger!$E$64,Forudsætninger!$E$67))</f>
        <v>0</v>
      </c>
      <c r="Z337" s="19" t="e">
        <f t="shared" si="173"/>
        <v>#N/A</v>
      </c>
      <c r="AA337" s="19">
        <f>Forudsætninger!$E$62+Forudsætninger!$C$16</f>
        <v>1575</v>
      </c>
      <c r="AB337" s="19" t="e">
        <f>IF(K337&gt;Forudsætninger!$C$48,IF(K337&gt;Forudsætninger!$C$49,IF(K337&gt;Forudsætninger!$C$50,Forudsætninger!$E$50,Forudsætninger!$E$49+Forudsætninger!$F$50*(K337-Forudsætninger!$C$49)),Forudsætninger!$E$48+Forudsætninger!$F$49*(K337-Forudsætninger!$C$48)),Forudsætninger!$E$48)+IF(K337&gt;Forudsætninger!$C$50,Forudsætninger!$G$50,IF(K337&gt;Forudsætninger!$C$49,Forudsætninger!$G$49+Forudsætninger!$H$50*(K337-Forudsætninger!$C$49),IF(K337&gt;Forudsætninger!$C$48,Forudsætninger!$G$48+Forudsætninger!$H$49*(K337-Forudsætninger!$C$48),Forudsætninger!$G$48)))*(U337-Forudsætninger!$H$48)</f>
        <v>#N/A</v>
      </c>
      <c r="AC337" s="19" t="e">
        <f>IF(K337&gt;Forudsætninger!$C$52,IF(K337&gt;Forudsætninger!$C$53,IF(K337&gt;Forudsætninger!$C$54,Forudsætninger!$E$54,Forudsætninger!$E$53+Forudsætninger!$F$54*(K337-Forudsætninger!$C$53)),Forudsætninger!$E$52+Forudsætninger!$F$53*(K337-Forudsætninger!$C$52)),Forudsætninger!$E$52)+IF(K337&gt;Forudsætninger!$C$54,Forudsætninger!$G$54,IF(K337&gt;Forudsætninger!$C$53,Forudsætninger!$G$53+Forudsætninger!$H$54*(K337-Forudsætninger!$C$53),IF(K337&gt;Forudsætninger!$C$52,Forudsætninger!$G$52+Forudsætninger!$H$53*(K337-Forudsætninger!$C$52),Forudsætninger!$G$52)))*(V337-Forudsætninger!$H$52)</f>
        <v>#N/A</v>
      </c>
      <c r="AD337" s="19" t="e">
        <f t="shared" si="159"/>
        <v>#N/A</v>
      </c>
      <c r="AE337" s="19" t="e">
        <f t="shared" si="160"/>
        <v>#N/A</v>
      </c>
      <c r="AF337" t="e">
        <f>IF(G337&lt;=Forudsætninger!$C$97,Forudsætninger!$C$98,(IF(G337&lt;=Forudsætninger!$D$97,Forudsætninger!$D$98,IF(G337&lt;=Forudsætninger!$E$97,Forudsætninger!$E$98,IF(G337&lt;=Forudsætninger!$F$97,Forudsætninger!$F$98,IF(G337&lt;=Forudsætninger!$G$97,Forudsætninger!$G$98,IF(G337&lt;=Forudsætninger!$H$97,Forudsætninger!$H$98,IF(G337&lt;=Forudsætninger!$I$97,Forudsætninger!$I$98,Forudsætninger!$I$98))))))))</f>
        <v>#N/A</v>
      </c>
      <c r="AG337" s="1" t="e">
        <f t="shared" si="170"/>
        <v>#N/A</v>
      </c>
      <c r="AH337" s="1" t="e">
        <f t="shared" si="174"/>
        <v>#N/A</v>
      </c>
      <c r="AI337" s="1" t="e">
        <f t="shared" si="161"/>
        <v>#N/A</v>
      </c>
      <c r="AJ337" s="20" t="e">
        <f>+(W337*Forudsætninger!$C$12)</f>
        <v>#N/A</v>
      </c>
      <c r="AK337" s="20">
        <f>Forudsætninger!$C$17</f>
        <v>250</v>
      </c>
      <c r="AL337" s="20">
        <f>IF(A337&lt;92,Forudsætninger!$C$20,Forudsætninger!$C$21)</f>
        <v>1.0566762728146013</v>
      </c>
      <c r="AM337" s="20">
        <f t="shared" si="171"/>
        <v>622.49203424618065</v>
      </c>
      <c r="AN337" s="19">
        <f>IFERROR(AD337+AJ337-AA337-Z337-AK337-AM337-Forudsætninger!$E$75,-999999)</f>
        <v>-999999</v>
      </c>
      <c r="AO337" s="19">
        <f>IFERROR(AN337/(A337+Forudsætninger!$E$74),-999999)</f>
        <v>-2985.0716417910448</v>
      </c>
      <c r="AP337" s="19">
        <f>IFERROR(((365/(A337+Forudsætninger!$E$74))*AN337)/(AI337+Forudsætninger!$E$73),-999999)</f>
        <v>-999999</v>
      </c>
      <c r="AQ337" s="18">
        <f t="shared" si="162"/>
        <v>335</v>
      </c>
      <c r="AR337" s="18" t="e">
        <f t="shared" si="175"/>
        <v>#N/A</v>
      </c>
      <c r="AS337" s="18">
        <f t="shared" si="154"/>
        <v>12.2</v>
      </c>
      <c r="AT337" s="50">
        <f t="shared" si="176"/>
        <v>0</v>
      </c>
      <c r="AU337" s="50">
        <f t="shared" si="177"/>
        <v>8.9373402448832167</v>
      </c>
      <c r="AV337" s="2">
        <f t="shared" si="178"/>
        <v>0</v>
      </c>
      <c r="AW337" s="16">
        <f t="shared" si="172"/>
        <v>-2983.2134566141904</v>
      </c>
      <c r="AZ337" s="16"/>
      <c r="BA337" s="2"/>
    </row>
    <row r="338" spans="1:53" x14ac:dyDescent="0.25">
      <c r="A338">
        <v>336</v>
      </c>
      <c r="B338" s="1">
        <f>ROUND((A338+Forudsætninger!$E$60)/30.4,1)</f>
        <v>12.2</v>
      </c>
      <c r="C338" s="1" t="e">
        <f>VLOOKUP((A338+Forudsætninger!$E$60),'Model tilvækst, slagteform, fe'!A:D,4,FALSE)</f>
        <v>#N/A</v>
      </c>
      <c r="D338" s="3" t="e">
        <f t="shared" si="179"/>
        <v>#N/A</v>
      </c>
      <c r="E338" s="3" t="e">
        <f>(1+Forudsætninger!$E$78)*C338</f>
        <v>#N/A</v>
      </c>
      <c r="F338" s="2" t="e">
        <f t="shared" si="163"/>
        <v>#N/A</v>
      </c>
      <c r="G338" s="1" t="e">
        <f t="shared" si="155"/>
        <v>#N/A</v>
      </c>
      <c r="H338" s="3" t="e">
        <f t="shared" si="164"/>
        <v>#N/A</v>
      </c>
      <c r="I338" s="3" t="e">
        <f t="shared" si="156"/>
        <v>#N/A</v>
      </c>
      <c r="J338" s="1" t="e">
        <f>VLOOKUP((A338+Forudsætninger!$E$60),'Model tilvækst, slagteform, fe'!G:K,4,FALSE)*(1+Forudsætninger!$E$79)</f>
        <v>#N/A</v>
      </c>
      <c r="K338" s="17" t="e">
        <f t="shared" si="157"/>
        <v>#N/A</v>
      </c>
      <c r="L338" s="17" t="e">
        <f t="shared" si="165"/>
        <v>#N/A</v>
      </c>
      <c r="M338" s="3" t="e">
        <f>((K338-(('Model tilvækst, slagteform, fe'!$J$9/100)*'Model tilvækst, slagteform, fe'!$D$9))*1000/(A338+Forudsætninger!$E$60))</f>
        <v>#N/A</v>
      </c>
      <c r="N338" s="17" t="e">
        <f t="shared" si="166"/>
        <v>#N/A</v>
      </c>
      <c r="O338" s="19" t="e">
        <f>IF( A338&lt;Forudsætninger!$C$14,(G338/100)*Forudsætninger!$C$13,(Forudsætninger!$C$15/1000)*Forudsætninger!$C$13)</f>
        <v>#N/A</v>
      </c>
      <c r="P338" s="17" t="e" cm="1">
        <f t="array" ref="P338">INDEX('Model tilvækst, slagteform, fe'!$P$9:$P$375,MATCH(MIN(ABS('Model tilvækst, slagteform, fe'!$M$9:$M$375-G338)),ABS('Model tilvækst, slagteform, fe'!$M$9:$M$375-G338),0))*(1+Forudsætninger!$E$80)</f>
        <v>#N/A</v>
      </c>
      <c r="Q338" s="17" t="e">
        <f t="shared" si="167"/>
        <v>#N/A</v>
      </c>
      <c r="R338" s="17" t="e">
        <f t="shared" si="168"/>
        <v>#N/A</v>
      </c>
      <c r="S338" s="17" t="e">
        <f t="shared" si="169"/>
        <v>#N/A</v>
      </c>
      <c r="T338" s="19" t="e">
        <f>(P338)*IF(N338&lt;Forudsætninger!$B$228,IF(N338&lt;Forudsætninger!$B$227,Forudsætninger!$B$225,Forudsætninger!$C$9),Forudsætninger!$C$11)+O338</f>
        <v>#N/A</v>
      </c>
      <c r="U338" s="5" t="e">
        <f>Forudsætninger!$E$68+((K338-(Forudsætninger!$E$84)))*0.01</f>
        <v>#N/A</v>
      </c>
      <c r="V338" s="2" t="e">
        <f>U338+Forudsætninger!$E$69</f>
        <v>#N/A</v>
      </c>
      <c r="W338" t="e">
        <f t="shared" si="158"/>
        <v>#N/A</v>
      </c>
      <c r="X338">
        <f>IF(A338+Forudsætninger!$E$60&gt;248,IF(A338+Forudsætninger!$E$60&lt;365,IF(K338&gt;180,IF(K338&lt;260,1,0),0),0),0)</f>
        <v>0</v>
      </c>
      <c r="Y338" s="22">
        <f>IF(X338=0,0,IF('Vækstfunktion, kry kvie'!A338&lt;Forudsætninger!$E$66,Forudsætninger!$E$67+(('Vækstfunktion, kry kvie'!A338-Forudsætninger!$E$66)/7)*Forudsætninger!$E$64,Forudsætninger!$E$67))</f>
        <v>0</v>
      </c>
      <c r="Z338" s="19" t="e">
        <f t="shared" si="173"/>
        <v>#N/A</v>
      </c>
      <c r="AA338" s="19">
        <f>Forudsætninger!$E$62+Forudsætninger!$C$16</f>
        <v>1575</v>
      </c>
      <c r="AB338" s="19" t="e">
        <f>IF(K338&gt;Forudsætninger!$C$48,IF(K338&gt;Forudsætninger!$C$49,IF(K338&gt;Forudsætninger!$C$50,Forudsætninger!$E$50,Forudsætninger!$E$49+Forudsætninger!$F$50*(K338-Forudsætninger!$C$49)),Forudsætninger!$E$48+Forudsætninger!$F$49*(K338-Forudsætninger!$C$48)),Forudsætninger!$E$48)+IF(K338&gt;Forudsætninger!$C$50,Forudsætninger!$G$50,IF(K338&gt;Forudsætninger!$C$49,Forudsætninger!$G$49+Forudsætninger!$H$50*(K338-Forudsætninger!$C$49),IF(K338&gt;Forudsætninger!$C$48,Forudsætninger!$G$48+Forudsætninger!$H$49*(K338-Forudsætninger!$C$48),Forudsætninger!$G$48)))*(U338-Forudsætninger!$H$48)</f>
        <v>#N/A</v>
      </c>
      <c r="AC338" s="19" t="e">
        <f>IF(K338&gt;Forudsætninger!$C$52,IF(K338&gt;Forudsætninger!$C$53,IF(K338&gt;Forudsætninger!$C$54,Forudsætninger!$E$54,Forudsætninger!$E$53+Forudsætninger!$F$54*(K338-Forudsætninger!$C$53)),Forudsætninger!$E$52+Forudsætninger!$F$53*(K338-Forudsætninger!$C$52)),Forudsætninger!$E$52)+IF(K338&gt;Forudsætninger!$C$54,Forudsætninger!$G$54,IF(K338&gt;Forudsætninger!$C$53,Forudsætninger!$G$53+Forudsætninger!$H$54*(K338-Forudsætninger!$C$53),IF(K338&gt;Forudsætninger!$C$52,Forudsætninger!$G$52+Forudsætninger!$H$53*(K338-Forudsætninger!$C$52),Forudsætninger!$G$52)))*(V338-Forudsætninger!$H$52)</f>
        <v>#N/A</v>
      </c>
      <c r="AD338" s="19" t="e">
        <f t="shared" si="159"/>
        <v>#N/A</v>
      </c>
      <c r="AE338" s="19" t="e">
        <f t="shared" si="160"/>
        <v>#N/A</v>
      </c>
      <c r="AF338" t="e">
        <f>IF(G338&lt;=Forudsætninger!$C$97,Forudsætninger!$C$98,(IF(G338&lt;=Forudsætninger!$D$97,Forudsætninger!$D$98,IF(G338&lt;=Forudsætninger!$E$97,Forudsætninger!$E$98,IF(G338&lt;=Forudsætninger!$F$97,Forudsætninger!$F$98,IF(G338&lt;=Forudsætninger!$G$97,Forudsætninger!$G$98,IF(G338&lt;=Forudsætninger!$H$97,Forudsætninger!$H$98,IF(G338&lt;=Forudsætninger!$I$97,Forudsætninger!$I$98,Forudsætninger!$I$98))))))))</f>
        <v>#N/A</v>
      </c>
      <c r="AG338" s="1" t="e">
        <f t="shared" si="170"/>
        <v>#N/A</v>
      </c>
      <c r="AH338" s="1" t="e">
        <f t="shared" si="174"/>
        <v>#N/A</v>
      </c>
      <c r="AI338" s="1" t="e">
        <f t="shared" si="161"/>
        <v>#N/A</v>
      </c>
      <c r="AJ338" s="20" t="e">
        <f>+(W338*Forudsætninger!$C$12)</f>
        <v>#N/A</v>
      </c>
      <c r="AK338" s="20">
        <f>Forudsætninger!$C$17</f>
        <v>250</v>
      </c>
      <c r="AL338" s="20">
        <f>IF(A338&lt;92,Forudsætninger!$C$20,Forudsætninger!$C$21)</f>
        <v>1.0566762728146013</v>
      </c>
      <c r="AM338" s="20">
        <f t="shared" si="171"/>
        <v>623.54871051899522</v>
      </c>
      <c r="AN338" s="19">
        <f>IFERROR(AD338+AJ338-AA338-Z338-AK338-AM338-Forudsætninger!$E$75,-999999)</f>
        <v>-999999</v>
      </c>
      <c r="AO338" s="19">
        <f>IFERROR(AN338/(A338+Forudsætninger!$E$74),-999999)</f>
        <v>-2976.1875</v>
      </c>
      <c r="AP338" s="19">
        <f>IFERROR(((365/(A338+Forudsætninger!$E$74))*AN338)/(AI338+Forudsætninger!$E$73),-999999)</f>
        <v>-999999</v>
      </c>
      <c r="AQ338" s="18">
        <f t="shared" si="162"/>
        <v>336</v>
      </c>
      <c r="AR338" s="18" t="e">
        <f t="shared" si="175"/>
        <v>#N/A</v>
      </c>
      <c r="AS338" s="18">
        <f t="shared" si="154"/>
        <v>12.2</v>
      </c>
      <c r="AT338" s="50">
        <f t="shared" si="176"/>
        <v>0</v>
      </c>
      <c r="AU338" s="50">
        <f t="shared" si="177"/>
        <v>8.8841417910448399</v>
      </c>
      <c r="AV338" s="2">
        <f t="shared" si="178"/>
        <v>0</v>
      </c>
      <c r="AW338" s="16">
        <f t="shared" si="172"/>
        <v>-2974.3317002663125</v>
      </c>
      <c r="AZ338" s="16"/>
      <c r="BA338" s="2"/>
    </row>
    <row r="339" spans="1:53" x14ac:dyDescent="0.25">
      <c r="A339">
        <v>337</v>
      </c>
      <c r="B339" s="1">
        <f>ROUND((A339+Forudsætninger!$E$60)/30.4,1)</f>
        <v>12.3</v>
      </c>
      <c r="C339" s="1" t="e">
        <f>VLOOKUP((A339+Forudsætninger!$E$60),'Model tilvækst, slagteform, fe'!A:D,4,FALSE)</f>
        <v>#N/A</v>
      </c>
      <c r="D339" s="3" t="e">
        <f t="shared" si="179"/>
        <v>#N/A</v>
      </c>
      <c r="E339" s="3" t="e">
        <f>(1+Forudsætninger!$E$78)*C339</f>
        <v>#N/A</v>
      </c>
      <c r="F339" s="2" t="e">
        <f t="shared" si="163"/>
        <v>#N/A</v>
      </c>
      <c r="G339" s="1" t="e">
        <f t="shared" si="155"/>
        <v>#N/A</v>
      </c>
      <c r="H339" s="3" t="e">
        <f t="shared" si="164"/>
        <v>#N/A</v>
      </c>
      <c r="I339" s="3" t="e">
        <f t="shared" si="156"/>
        <v>#N/A</v>
      </c>
      <c r="J339" s="1" t="e">
        <f>VLOOKUP((A339+Forudsætninger!$E$60),'Model tilvækst, slagteform, fe'!G:K,4,FALSE)*(1+Forudsætninger!$E$79)</f>
        <v>#N/A</v>
      </c>
      <c r="K339" s="17" t="e">
        <f t="shared" si="157"/>
        <v>#N/A</v>
      </c>
      <c r="L339" s="17" t="e">
        <f t="shared" si="165"/>
        <v>#N/A</v>
      </c>
      <c r="M339" s="3" t="e">
        <f>((K339-(('Model tilvækst, slagteform, fe'!$J$9/100)*'Model tilvækst, slagteform, fe'!$D$9))*1000/(A339+Forudsætninger!$E$60))</f>
        <v>#N/A</v>
      </c>
      <c r="N339" s="17" t="e">
        <f t="shared" si="166"/>
        <v>#N/A</v>
      </c>
      <c r="O339" s="19" t="e">
        <f>IF( A339&lt;Forudsætninger!$C$14,(G339/100)*Forudsætninger!$C$13,(Forudsætninger!$C$15/1000)*Forudsætninger!$C$13)</f>
        <v>#N/A</v>
      </c>
      <c r="P339" s="17" t="e" cm="1">
        <f t="array" ref="P339">INDEX('Model tilvækst, slagteform, fe'!$P$9:$P$375,MATCH(MIN(ABS('Model tilvækst, slagteform, fe'!$M$9:$M$375-G339)),ABS('Model tilvækst, slagteform, fe'!$M$9:$M$375-G339),0))*(1+Forudsætninger!$E$80)</f>
        <v>#N/A</v>
      </c>
      <c r="Q339" s="17" t="e">
        <f t="shared" si="167"/>
        <v>#N/A</v>
      </c>
      <c r="R339" s="17" t="e">
        <f t="shared" si="168"/>
        <v>#N/A</v>
      </c>
      <c r="S339" s="17" t="e">
        <f t="shared" si="169"/>
        <v>#N/A</v>
      </c>
      <c r="T339" s="19" t="e">
        <f>(P339)*IF(N339&lt;Forudsætninger!$B$228,IF(N339&lt;Forudsætninger!$B$227,Forudsætninger!$B$225,Forudsætninger!$C$9),Forudsætninger!$C$11)+O339</f>
        <v>#N/A</v>
      </c>
      <c r="U339" s="5" t="e">
        <f>Forudsætninger!$E$68+((K339-(Forudsætninger!$E$84)))*0.01</f>
        <v>#N/A</v>
      </c>
      <c r="V339" s="2" t="e">
        <f>U339+Forudsætninger!$E$69</f>
        <v>#N/A</v>
      </c>
      <c r="W339" t="e">
        <f t="shared" si="158"/>
        <v>#N/A</v>
      </c>
      <c r="X339">
        <f>IF(A339+Forudsætninger!$E$60&gt;248,IF(A339+Forudsætninger!$E$60&lt;365,IF(K339&gt;180,IF(K339&lt;260,1,0),0),0),0)</f>
        <v>0</v>
      </c>
      <c r="Y339" s="22">
        <f>IF(X339=0,0,IF('Vækstfunktion, kry kvie'!A339&lt;Forudsætninger!$E$66,Forudsætninger!$E$67+(('Vækstfunktion, kry kvie'!A339-Forudsætninger!$E$66)/7)*Forudsætninger!$E$64,Forudsætninger!$E$67))</f>
        <v>0</v>
      </c>
      <c r="Z339" s="19" t="e">
        <f t="shared" si="173"/>
        <v>#N/A</v>
      </c>
      <c r="AA339" s="19">
        <f>Forudsætninger!$E$62+Forudsætninger!$C$16</f>
        <v>1575</v>
      </c>
      <c r="AB339" s="19" t="e">
        <f>IF(K339&gt;Forudsætninger!$C$48,IF(K339&gt;Forudsætninger!$C$49,IF(K339&gt;Forudsætninger!$C$50,Forudsætninger!$E$50,Forudsætninger!$E$49+Forudsætninger!$F$50*(K339-Forudsætninger!$C$49)),Forudsætninger!$E$48+Forudsætninger!$F$49*(K339-Forudsætninger!$C$48)),Forudsætninger!$E$48)+IF(K339&gt;Forudsætninger!$C$50,Forudsætninger!$G$50,IF(K339&gt;Forudsætninger!$C$49,Forudsætninger!$G$49+Forudsætninger!$H$50*(K339-Forudsætninger!$C$49),IF(K339&gt;Forudsætninger!$C$48,Forudsætninger!$G$48+Forudsætninger!$H$49*(K339-Forudsætninger!$C$48),Forudsætninger!$G$48)))*(U339-Forudsætninger!$H$48)</f>
        <v>#N/A</v>
      </c>
      <c r="AC339" s="19" t="e">
        <f>IF(K339&gt;Forudsætninger!$C$52,IF(K339&gt;Forudsætninger!$C$53,IF(K339&gt;Forudsætninger!$C$54,Forudsætninger!$E$54,Forudsætninger!$E$53+Forudsætninger!$F$54*(K339-Forudsætninger!$C$53)),Forudsætninger!$E$52+Forudsætninger!$F$53*(K339-Forudsætninger!$C$52)),Forudsætninger!$E$52)+IF(K339&gt;Forudsætninger!$C$54,Forudsætninger!$G$54,IF(K339&gt;Forudsætninger!$C$53,Forudsætninger!$G$53+Forudsætninger!$H$54*(K339-Forudsætninger!$C$53),IF(K339&gt;Forudsætninger!$C$52,Forudsætninger!$G$52+Forudsætninger!$H$53*(K339-Forudsætninger!$C$52),Forudsætninger!$G$52)))*(V339-Forudsætninger!$H$52)</f>
        <v>#N/A</v>
      </c>
      <c r="AD339" s="19" t="e">
        <f t="shared" si="159"/>
        <v>#N/A</v>
      </c>
      <c r="AE339" s="19" t="e">
        <f t="shared" si="160"/>
        <v>#N/A</v>
      </c>
      <c r="AF339" t="e">
        <f>IF(G339&lt;=Forudsætninger!$C$97,Forudsætninger!$C$98,(IF(G339&lt;=Forudsætninger!$D$97,Forudsætninger!$D$98,IF(G339&lt;=Forudsætninger!$E$97,Forudsætninger!$E$98,IF(G339&lt;=Forudsætninger!$F$97,Forudsætninger!$F$98,IF(G339&lt;=Forudsætninger!$G$97,Forudsætninger!$G$98,IF(G339&lt;=Forudsætninger!$H$97,Forudsætninger!$H$98,IF(G339&lt;=Forudsætninger!$I$97,Forudsætninger!$I$98,Forudsætninger!$I$98))))))))</f>
        <v>#N/A</v>
      </c>
      <c r="AG339" s="1" t="e">
        <f t="shared" si="170"/>
        <v>#N/A</v>
      </c>
      <c r="AH339" s="1" t="e">
        <f t="shared" si="174"/>
        <v>#N/A</v>
      </c>
      <c r="AI339" s="1" t="e">
        <f t="shared" si="161"/>
        <v>#N/A</v>
      </c>
      <c r="AJ339" s="20" t="e">
        <f>+(W339*Forudsætninger!$C$12)</f>
        <v>#N/A</v>
      </c>
      <c r="AK339" s="20">
        <f>Forudsætninger!$C$17</f>
        <v>250</v>
      </c>
      <c r="AL339" s="20">
        <f>IF(A339&lt;92,Forudsætninger!$C$20,Forudsætninger!$C$21)</f>
        <v>1.0566762728146013</v>
      </c>
      <c r="AM339" s="20">
        <f t="shared" si="171"/>
        <v>624.60538679180979</v>
      </c>
      <c r="AN339" s="19">
        <f>IFERROR(AD339+AJ339-AA339-Z339-AK339-AM339-Forudsætninger!$E$75,-999999)</f>
        <v>-999999</v>
      </c>
      <c r="AO339" s="19">
        <f>IFERROR(AN339/(A339+Forudsætninger!$E$74),-999999)</f>
        <v>-2967.3560830860533</v>
      </c>
      <c r="AP339" s="19">
        <f>IFERROR(((365/(A339+Forudsætninger!$E$74))*AN339)/(AI339+Forudsætninger!$E$73),-999999)</f>
        <v>-999999</v>
      </c>
      <c r="AQ339" s="18">
        <f t="shared" si="162"/>
        <v>337</v>
      </c>
      <c r="AR339" s="18" t="e">
        <f t="shared" si="175"/>
        <v>#N/A</v>
      </c>
      <c r="AS339" s="18">
        <f t="shared" si="154"/>
        <v>12.3</v>
      </c>
      <c r="AT339" s="50">
        <f t="shared" si="176"/>
        <v>0</v>
      </c>
      <c r="AU339" s="50">
        <f t="shared" si="177"/>
        <v>8.8314169139466685</v>
      </c>
      <c r="AV339" s="2">
        <f t="shared" si="178"/>
        <v>0</v>
      </c>
      <c r="AW339" s="16">
        <f t="shared" si="172"/>
        <v>-2965.5026546385998</v>
      </c>
      <c r="AZ339" s="16"/>
      <c r="BA339" s="2"/>
    </row>
    <row r="340" spans="1:53" x14ac:dyDescent="0.25">
      <c r="A340">
        <v>338</v>
      </c>
      <c r="B340" s="1">
        <f>ROUND((A340+Forudsætninger!$E$60)/30.4,1)</f>
        <v>12.3</v>
      </c>
      <c r="C340" s="1" t="e">
        <f>VLOOKUP((A340+Forudsætninger!$E$60),'Model tilvækst, slagteform, fe'!A:D,4,FALSE)</f>
        <v>#N/A</v>
      </c>
      <c r="D340" s="3" t="e">
        <f t="shared" si="179"/>
        <v>#N/A</v>
      </c>
      <c r="E340" s="3" t="e">
        <f>(1+Forudsætninger!$E$78)*C340</f>
        <v>#N/A</v>
      </c>
      <c r="F340" s="2" t="e">
        <f t="shared" si="163"/>
        <v>#N/A</v>
      </c>
      <c r="G340" s="1" t="e">
        <f t="shared" si="155"/>
        <v>#N/A</v>
      </c>
      <c r="H340" s="3" t="e">
        <f t="shared" si="164"/>
        <v>#N/A</v>
      </c>
      <c r="I340" s="3" t="e">
        <f t="shared" si="156"/>
        <v>#N/A</v>
      </c>
      <c r="J340" s="1" t="e">
        <f>VLOOKUP((A340+Forudsætninger!$E$60),'Model tilvækst, slagteform, fe'!G:K,4,FALSE)*(1+Forudsætninger!$E$79)</f>
        <v>#N/A</v>
      </c>
      <c r="K340" s="17" t="e">
        <f t="shared" si="157"/>
        <v>#N/A</v>
      </c>
      <c r="L340" s="17" t="e">
        <f t="shared" si="165"/>
        <v>#N/A</v>
      </c>
      <c r="M340" s="3" t="e">
        <f>((K340-(('Model tilvækst, slagteform, fe'!$J$9/100)*'Model tilvækst, slagteform, fe'!$D$9))*1000/(A340+Forudsætninger!$E$60))</f>
        <v>#N/A</v>
      </c>
      <c r="N340" s="17" t="e">
        <f t="shared" si="166"/>
        <v>#N/A</v>
      </c>
      <c r="O340" s="19" t="e">
        <f>IF( A340&lt;Forudsætninger!$C$14,(G340/100)*Forudsætninger!$C$13,(Forudsætninger!$C$15/1000)*Forudsætninger!$C$13)</f>
        <v>#N/A</v>
      </c>
      <c r="P340" s="17" t="e" cm="1">
        <f t="array" ref="P340">INDEX('Model tilvækst, slagteform, fe'!$P$9:$P$375,MATCH(MIN(ABS('Model tilvækst, slagteform, fe'!$M$9:$M$375-G340)),ABS('Model tilvækst, slagteform, fe'!$M$9:$M$375-G340),0))*(1+Forudsætninger!$E$80)</f>
        <v>#N/A</v>
      </c>
      <c r="Q340" s="17" t="e">
        <f t="shared" si="167"/>
        <v>#N/A</v>
      </c>
      <c r="R340" s="17" t="e">
        <f t="shared" si="168"/>
        <v>#N/A</v>
      </c>
      <c r="S340" s="17" t="e">
        <f t="shared" si="169"/>
        <v>#N/A</v>
      </c>
      <c r="T340" s="19" t="e">
        <f>(P340)*IF(N340&lt;Forudsætninger!$B$228,IF(N340&lt;Forudsætninger!$B$227,Forudsætninger!$B$225,Forudsætninger!$C$9),Forudsætninger!$C$11)+O340</f>
        <v>#N/A</v>
      </c>
      <c r="U340" s="5" t="e">
        <f>Forudsætninger!$E$68+((K340-(Forudsætninger!$E$84)))*0.01</f>
        <v>#N/A</v>
      </c>
      <c r="V340" s="2" t="e">
        <f>U340+Forudsætninger!$E$69</f>
        <v>#N/A</v>
      </c>
      <c r="W340" t="e">
        <f t="shared" si="158"/>
        <v>#N/A</v>
      </c>
      <c r="X340">
        <f>IF(A340+Forudsætninger!$E$60&gt;248,IF(A340+Forudsætninger!$E$60&lt;365,IF(K340&gt;180,IF(K340&lt;260,1,0),0),0),0)</f>
        <v>0</v>
      </c>
      <c r="Y340" s="22">
        <f>IF(X340=0,0,IF('Vækstfunktion, kry kvie'!A340&lt;Forudsætninger!$E$66,Forudsætninger!$E$67+(('Vækstfunktion, kry kvie'!A340-Forudsætninger!$E$66)/7)*Forudsætninger!$E$64,Forudsætninger!$E$67))</f>
        <v>0</v>
      </c>
      <c r="Z340" s="19" t="e">
        <f t="shared" si="173"/>
        <v>#N/A</v>
      </c>
      <c r="AA340" s="19">
        <f>Forudsætninger!$E$62+Forudsætninger!$C$16</f>
        <v>1575</v>
      </c>
      <c r="AB340" s="19" t="e">
        <f>IF(K340&gt;Forudsætninger!$C$48,IF(K340&gt;Forudsætninger!$C$49,IF(K340&gt;Forudsætninger!$C$50,Forudsætninger!$E$50,Forudsætninger!$E$49+Forudsætninger!$F$50*(K340-Forudsætninger!$C$49)),Forudsætninger!$E$48+Forudsætninger!$F$49*(K340-Forudsætninger!$C$48)),Forudsætninger!$E$48)+IF(K340&gt;Forudsætninger!$C$50,Forudsætninger!$G$50,IF(K340&gt;Forudsætninger!$C$49,Forudsætninger!$G$49+Forudsætninger!$H$50*(K340-Forudsætninger!$C$49),IF(K340&gt;Forudsætninger!$C$48,Forudsætninger!$G$48+Forudsætninger!$H$49*(K340-Forudsætninger!$C$48),Forudsætninger!$G$48)))*(U340-Forudsætninger!$H$48)</f>
        <v>#N/A</v>
      </c>
      <c r="AC340" s="19" t="e">
        <f>IF(K340&gt;Forudsætninger!$C$52,IF(K340&gt;Forudsætninger!$C$53,IF(K340&gt;Forudsætninger!$C$54,Forudsætninger!$E$54,Forudsætninger!$E$53+Forudsætninger!$F$54*(K340-Forudsætninger!$C$53)),Forudsætninger!$E$52+Forudsætninger!$F$53*(K340-Forudsætninger!$C$52)),Forudsætninger!$E$52)+IF(K340&gt;Forudsætninger!$C$54,Forudsætninger!$G$54,IF(K340&gt;Forudsætninger!$C$53,Forudsætninger!$G$53+Forudsætninger!$H$54*(K340-Forudsætninger!$C$53),IF(K340&gt;Forudsætninger!$C$52,Forudsætninger!$G$52+Forudsætninger!$H$53*(K340-Forudsætninger!$C$52),Forudsætninger!$G$52)))*(V340-Forudsætninger!$H$52)</f>
        <v>#N/A</v>
      </c>
      <c r="AD340" s="19" t="e">
        <f t="shared" si="159"/>
        <v>#N/A</v>
      </c>
      <c r="AE340" s="19" t="e">
        <f t="shared" si="160"/>
        <v>#N/A</v>
      </c>
      <c r="AF340" t="e">
        <f>IF(G340&lt;=Forudsætninger!$C$97,Forudsætninger!$C$98,(IF(G340&lt;=Forudsætninger!$D$97,Forudsætninger!$D$98,IF(G340&lt;=Forudsætninger!$E$97,Forudsætninger!$E$98,IF(G340&lt;=Forudsætninger!$F$97,Forudsætninger!$F$98,IF(G340&lt;=Forudsætninger!$G$97,Forudsætninger!$G$98,IF(G340&lt;=Forudsætninger!$H$97,Forudsætninger!$H$98,IF(G340&lt;=Forudsætninger!$I$97,Forudsætninger!$I$98,Forudsætninger!$I$98))))))))</f>
        <v>#N/A</v>
      </c>
      <c r="AG340" s="1" t="e">
        <f t="shared" si="170"/>
        <v>#N/A</v>
      </c>
      <c r="AH340" s="1" t="e">
        <f t="shared" si="174"/>
        <v>#N/A</v>
      </c>
      <c r="AI340" s="1" t="e">
        <f t="shared" si="161"/>
        <v>#N/A</v>
      </c>
      <c r="AJ340" s="20" t="e">
        <f>+(W340*Forudsætninger!$C$12)</f>
        <v>#N/A</v>
      </c>
      <c r="AK340" s="20">
        <f>Forudsætninger!$C$17</f>
        <v>250</v>
      </c>
      <c r="AL340" s="20">
        <f>IF(A340&lt;92,Forudsætninger!$C$20,Forudsætninger!$C$21)</f>
        <v>1.0566762728146013</v>
      </c>
      <c r="AM340" s="20">
        <f t="shared" si="171"/>
        <v>625.66206306462436</v>
      </c>
      <c r="AN340" s="19">
        <f>IFERROR(AD340+AJ340-AA340-Z340-AK340-AM340-Forudsætninger!$E$75,-999999)</f>
        <v>-999999</v>
      </c>
      <c r="AO340" s="19">
        <f>IFERROR(AN340/(A340+Forudsætninger!$E$74),-999999)</f>
        <v>-2958.5769230769229</v>
      </c>
      <c r="AP340" s="19">
        <f>IFERROR(((365/(A340+Forudsætninger!$E$74))*AN340)/(AI340+Forudsætninger!$E$73),-999999)</f>
        <v>-999999</v>
      </c>
      <c r="AQ340" s="18">
        <f t="shared" si="162"/>
        <v>338</v>
      </c>
      <c r="AR340" s="18" t="e">
        <f t="shared" si="175"/>
        <v>#N/A</v>
      </c>
      <c r="AS340" s="18">
        <f t="shared" si="154"/>
        <v>12.3</v>
      </c>
      <c r="AT340" s="50">
        <f t="shared" si="176"/>
        <v>0</v>
      </c>
      <c r="AU340" s="50">
        <f t="shared" si="177"/>
        <v>8.7791600091304645</v>
      </c>
      <c r="AV340" s="2">
        <f t="shared" si="178"/>
        <v>0</v>
      </c>
      <c r="AW340" s="16">
        <f t="shared" si="172"/>
        <v>-2956.7258518844242</v>
      </c>
      <c r="AZ340" s="16"/>
      <c r="BA340" s="2"/>
    </row>
    <row r="341" spans="1:53" x14ac:dyDescent="0.25">
      <c r="A341">
        <v>339</v>
      </c>
      <c r="B341" s="1">
        <f>ROUND((A341+Forudsætninger!$E$60)/30.4,1)</f>
        <v>12.3</v>
      </c>
      <c r="C341" s="1" t="e">
        <f>VLOOKUP((A341+Forudsætninger!$E$60),'Model tilvækst, slagteform, fe'!A:D,4,FALSE)</f>
        <v>#N/A</v>
      </c>
      <c r="D341" s="3" t="e">
        <f t="shared" si="179"/>
        <v>#N/A</v>
      </c>
      <c r="E341" s="3" t="e">
        <f>(1+Forudsætninger!$E$78)*C341</f>
        <v>#N/A</v>
      </c>
      <c r="F341" s="2" t="e">
        <f t="shared" si="163"/>
        <v>#N/A</v>
      </c>
      <c r="G341" s="1" t="e">
        <f t="shared" si="155"/>
        <v>#N/A</v>
      </c>
      <c r="H341" s="3" t="e">
        <f t="shared" si="164"/>
        <v>#N/A</v>
      </c>
      <c r="I341" s="3" t="e">
        <f t="shared" si="156"/>
        <v>#N/A</v>
      </c>
      <c r="J341" s="1" t="e">
        <f>VLOOKUP((A341+Forudsætninger!$E$60),'Model tilvækst, slagteform, fe'!G:K,4,FALSE)*(1+Forudsætninger!$E$79)</f>
        <v>#N/A</v>
      </c>
      <c r="K341" s="17" t="e">
        <f t="shared" si="157"/>
        <v>#N/A</v>
      </c>
      <c r="L341" s="17" t="e">
        <f t="shared" si="165"/>
        <v>#N/A</v>
      </c>
      <c r="M341" s="3" t="e">
        <f>((K341-(('Model tilvækst, slagteform, fe'!$J$9/100)*'Model tilvækst, slagteform, fe'!$D$9))*1000/(A341+Forudsætninger!$E$60))</f>
        <v>#N/A</v>
      </c>
      <c r="N341" s="17" t="e">
        <f t="shared" si="166"/>
        <v>#N/A</v>
      </c>
      <c r="O341" s="19" t="e">
        <f>IF( A341&lt;Forudsætninger!$C$14,(G341/100)*Forudsætninger!$C$13,(Forudsætninger!$C$15/1000)*Forudsætninger!$C$13)</f>
        <v>#N/A</v>
      </c>
      <c r="P341" s="17" t="e" cm="1">
        <f t="array" ref="P341">INDEX('Model tilvækst, slagteform, fe'!$P$9:$P$375,MATCH(MIN(ABS('Model tilvækst, slagteform, fe'!$M$9:$M$375-G341)),ABS('Model tilvækst, slagteform, fe'!$M$9:$M$375-G341),0))*(1+Forudsætninger!$E$80)</f>
        <v>#N/A</v>
      </c>
      <c r="Q341" s="17" t="e">
        <f t="shared" si="167"/>
        <v>#N/A</v>
      </c>
      <c r="R341" s="17" t="e">
        <f t="shared" si="168"/>
        <v>#N/A</v>
      </c>
      <c r="S341" s="17" t="e">
        <f t="shared" si="169"/>
        <v>#N/A</v>
      </c>
      <c r="T341" s="19" t="e">
        <f>(P341)*IF(N341&lt;Forudsætninger!$B$228,IF(N341&lt;Forudsætninger!$B$227,Forudsætninger!$B$225,Forudsætninger!$C$9),Forudsætninger!$C$11)+O341</f>
        <v>#N/A</v>
      </c>
      <c r="U341" s="5" t="e">
        <f>Forudsætninger!$E$68+((K341-(Forudsætninger!$E$84)))*0.01</f>
        <v>#N/A</v>
      </c>
      <c r="V341" s="2" t="e">
        <f>U341+Forudsætninger!$E$69</f>
        <v>#N/A</v>
      </c>
      <c r="W341" t="e">
        <f t="shared" si="158"/>
        <v>#N/A</v>
      </c>
      <c r="X341">
        <f>IF(A341+Forudsætninger!$E$60&gt;248,IF(A341+Forudsætninger!$E$60&lt;365,IF(K341&gt;180,IF(K341&lt;260,1,0),0),0),0)</f>
        <v>0</v>
      </c>
      <c r="Y341" s="22">
        <f>IF(X341=0,0,IF('Vækstfunktion, kry kvie'!A341&lt;Forudsætninger!$E$66,Forudsætninger!$E$67+(('Vækstfunktion, kry kvie'!A341-Forudsætninger!$E$66)/7)*Forudsætninger!$E$64,Forudsætninger!$E$67))</f>
        <v>0</v>
      </c>
      <c r="Z341" s="19" t="e">
        <f t="shared" si="173"/>
        <v>#N/A</v>
      </c>
      <c r="AA341" s="19">
        <f>Forudsætninger!$E$62+Forudsætninger!$C$16</f>
        <v>1575</v>
      </c>
      <c r="AB341" s="19" t="e">
        <f>IF(K341&gt;Forudsætninger!$C$48,IF(K341&gt;Forudsætninger!$C$49,IF(K341&gt;Forudsætninger!$C$50,Forudsætninger!$E$50,Forudsætninger!$E$49+Forudsætninger!$F$50*(K341-Forudsætninger!$C$49)),Forudsætninger!$E$48+Forudsætninger!$F$49*(K341-Forudsætninger!$C$48)),Forudsætninger!$E$48)+IF(K341&gt;Forudsætninger!$C$50,Forudsætninger!$G$50,IF(K341&gt;Forudsætninger!$C$49,Forudsætninger!$G$49+Forudsætninger!$H$50*(K341-Forudsætninger!$C$49),IF(K341&gt;Forudsætninger!$C$48,Forudsætninger!$G$48+Forudsætninger!$H$49*(K341-Forudsætninger!$C$48),Forudsætninger!$G$48)))*(U341-Forudsætninger!$H$48)</f>
        <v>#N/A</v>
      </c>
      <c r="AC341" s="19" t="e">
        <f>IF(K341&gt;Forudsætninger!$C$52,IF(K341&gt;Forudsætninger!$C$53,IF(K341&gt;Forudsætninger!$C$54,Forudsætninger!$E$54,Forudsætninger!$E$53+Forudsætninger!$F$54*(K341-Forudsætninger!$C$53)),Forudsætninger!$E$52+Forudsætninger!$F$53*(K341-Forudsætninger!$C$52)),Forudsætninger!$E$52)+IF(K341&gt;Forudsætninger!$C$54,Forudsætninger!$G$54,IF(K341&gt;Forudsætninger!$C$53,Forudsætninger!$G$53+Forudsætninger!$H$54*(K341-Forudsætninger!$C$53),IF(K341&gt;Forudsætninger!$C$52,Forudsætninger!$G$52+Forudsætninger!$H$53*(K341-Forudsætninger!$C$52),Forudsætninger!$G$52)))*(V341-Forudsætninger!$H$52)</f>
        <v>#N/A</v>
      </c>
      <c r="AD341" s="19" t="e">
        <f t="shared" si="159"/>
        <v>#N/A</v>
      </c>
      <c r="AE341" s="19" t="e">
        <f t="shared" si="160"/>
        <v>#N/A</v>
      </c>
      <c r="AF341" t="e">
        <f>IF(G341&lt;=Forudsætninger!$C$97,Forudsætninger!$C$98,(IF(G341&lt;=Forudsætninger!$D$97,Forudsætninger!$D$98,IF(G341&lt;=Forudsætninger!$E$97,Forudsætninger!$E$98,IF(G341&lt;=Forudsætninger!$F$97,Forudsætninger!$F$98,IF(G341&lt;=Forudsætninger!$G$97,Forudsætninger!$G$98,IF(G341&lt;=Forudsætninger!$H$97,Forudsætninger!$H$98,IF(G341&lt;=Forudsætninger!$I$97,Forudsætninger!$I$98,Forudsætninger!$I$98))))))))</f>
        <v>#N/A</v>
      </c>
      <c r="AG341" s="1" t="e">
        <f t="shared" si="170"/>
        <v>#N/A</v>
      </c>
      <c r="AH341" s="1" t="e">
        <f t="shared" si="174"/>
        <v>#N/A</v>
      </c>
      <c r="AI341" s="1" t="e">
        <f t="shared" si="161"/>
        <v>#N/A</v>
      </c>
      <c r="AJ341" s="20" t="e">
        <f>+(W341*Forudsætninger!$C$12)</f>
        <v>#N/A</v>
      </c>
      <c r="AK341" s="20">
        <f>Forudsætninger!$C$17</f>
        <v>250</v>
      </c>
      <c r="AL341" s="20">
        <f>IF(A341&lt;92,Forudsætninger!$C$20,Forudsætninger!$C$21)</f>
        <v>1.0566762728146013</v>
      </c>
      <c r="AM341" s="20">
        <f t="shared" si="171"/>
        <v>626.71873933743893</v>
      </c>
      <c r="AN341" s="19">
        <f>IFERROR(AD341+AJ341-AA341-Z341-AK341-AM341-Forudsætninger!$E$75,-999999)</f>
        <v>-999999</v>
      </c>
      <c r="AO341" s="19">
        <f>IFERROR(AN341/(A341+Forudsætninger!$E$74),-999999)</f>
        <v>-2949.8495575221241</v>
      </c>
      <c r="AP341" s="19">
        <f>IFERROR(((365/(A341+Forudsætninger!$E$74))*AN341)/(AI341+Forudsætninger!$E$73),-999999)</f>
        <v>-999999</v>
      </c>
      <c r="AQ341" s="18">
        <f t="shared" si="162"/>
        <v>339</v>
      </c>
      <c r="AR341" s="18" t="e">
        <f t="shared" si="175"/>
        <v>#N/A</v>
      </c>
      <c r="AS341" s="18">
        <f t="shared" si="154"/>
        <v>12.3</v>
      </c>
      <c r="AT341" s="50">
        <f t="shared" si="176"/>
        <v>0</v>
      </c>
      <c r="AU341" s="50">
        <f t="shared" si="177"/>
        <v>8.7273655547987801</v>
      </c>
      <c r="AV341" s="2">
        <f t="shared" si="178"/>
        <v>0</v>
      </c>
      <c r="AW341" s="16">
        <f t="shared" si="172"/>
        <v>-2948.0008296774708</v>
      </c>
      <c r="AZ341" s="16"/>
      <c r="BA341" s="2"/>
    </row>
    <row r="342" spans="1:53" x14ac:dyDescent="0.25">
      <c r="A342">
        <v>340</v>
      </c>
      <c r="B342" s="1">
        <f>ROUND((A342+Forudsætninger!$E$60)/30.4,1)</f>
        <v>12.4</v>
      </c>
      <c r="C342" s="1" t="e">
        <f>VLOOKUP((A342+Forudsætninger!$E$60),'Model tilvækst, slagteform, fe'!A:D,4,FALSE)</f>
        <v>#N/A</v>
      </c>
      <c r="D342" s="3" t="e">
        <f t="shared" si="179"/>
        <v>#N/A</v>
      </c>
      <c r="E342" s="3" t="e">
        <f>(1+Forudsætninger!$E$78)*C342</f>
        <v>#N/A</v>
      </c>
      <c r="F342" s="2" t="e">
        <f t="shared" si="163"/>
        <v>#N/A</v>
      </c>
      <c r="G342" s="1" t="e">
        <f t="shared" si="155"/>
        <v>#N/A</v>
      </c>
      <c r="H342" s="3" t="e">
        <f t="shared" si="164"/>
        <v>#N/A</v>
      </c>
      <c r="I342" s="3" t="e">
        <f t="shared" si="156"/>
        <v>#N/A</v>
      </c>
      <c r="J342" s="1" t="e">
        <f>VLOOKUP((A342+Forudsætninger!$E$60),'Model tilvækst, slagteform, fe'!G:K,4,FALSE)*(1+Forudsætninger!$E$79)</f>
        <v>#N/A</v>
      </c>
      <c r="K342" s="17" t="e">
        <f t="shared" si="157"/>
        <v>#N/A</v>
      </c>
      <c r="L342" s="17" t="e">
        <f t="shared" si="165"/>
        <v>#N/A</v>
      </c>
      <c r="M342" s="3" t="e">
        <f>((K342-(('Model tilvækst, slagteform, fe'!$J$9/100)*'Model tilvækst, slagteform, fe'!$D$9))*1000/(A342+Forudsætninger!$E$60))</f>
        <v>#N/A</v>
      </c>
      <c r="N342" s="17" t="e">
        <f t="shared" si="166"/>
        <v>#N/A</v>
      </c>
      <c r="O342" s="19" t="e">
        <f>IF( A342&lt;Forudsætninger!$C$14,(G342/100)*Forudsætninger!$C$13,(Forudsætninger!$C$15/1000)*Forudsætninger!$C$13)</f>
        <v>#N/A</v>
      </c>
      <c r="P342" s="17" t="e" cm="1">
        <f t="array" ref="P342">INDEX('Model tilvækst, slagteform, fe'!$P$9:$P$375,MATCH(MIN(ABS('Model tilvækst, slagteform, fe'!$M$9:$M$375-G342)),ABS('Model tilvækst, slagteform, fe'!$M$9:$M$375-G342),0))*(1+Forudsætninger!$E$80)</f>
        <v>#N/A</v>
      </c>
      <c r="Q342" s="17" t="e">
        <f t="shared" si="167"/>
        <v>#N/A</v>
      </c>
      <c r="R342" s="17" t="e">
        <f t="shared" si="168"/>
        <v>#N/A</v>
      </c>
      <c r="S342" s="17" t="e">
        <f t="shared" si="169"/>
        <v>#N/A</v>
      </c>
      <c r="T342" s="19" t="e">
        <f>(P342)*IF(N342&lt;Forudsætninger!$B$228,IF(N342&lt;Forudsætninger!$B$227,Forudsætninger!$B$225,Forudsætninger!$C$9),Forudsætninger!$C$11)+O342</f>
        <v>#N/A</v>
      </c>
      <c r="U342" s="5" t="e">
        <f>Forudsætninger!$E$68+((K342-(Forudsætninger!$E$84)))*0.01</f>
        <v>#N/A</v>
      </c>
      <c r="V342" s="2" t="e">
        <f>U342+Forudsætninger!$E$69</f>
        <v>#N/A</v>
      </c>
      <c r="W342" t="e">
        <f t="shared" si="158"/>
        <v>#N/A</v>
      </c>
      <c r="X342">
        <f>IF(A342+Forudsætninger!$E$60&gt;248,IF(A342+Forudsætninger!$E$60&lt;365,IF(K342&gt;180,IF(K342&lt;260,1,0),0),0),0)</f>
        <v>0</v>
      </c>
      <c r="Y342" s="22">
        <f>IF(X342=0,0,IF('Vækstfunktion, kry kvie'!A342&lt;Forudsætninger!$E$66,Forudsætninger!$E$67+(('Vækstfunktion, kry kvie'!A342-Forudsætninger!$E$66)/7)*Forudsætninger!$E$64,Forudsætninger!$E$67))</f>
        <v>0</v>
      </c>
      <c r="Z342" s="19" t="e">
        <f t="shared" si="173"/>
        <v>#N/A</v>
      </c>
      <c r="AA342" s="19">
        <f>Forudsætninger!$E$62+Forudsætninger!$C$16</f>
        <v>1575</v>
      </c>
      <c r="AB342" s="19" t="e">
        <f>IF(K342&gt;Forudsætninger!$C$48,IF(K342&gt;Forudsætninger!$C$49,IF(K342&gt;Forudsætninger!$C$50,Forudsætninger!$E$50,Forudsætninger!$E$49+Forudsætninger!$F$50*(K342-Forudsætninger!$C$49)),Forudsætninger!$E$48+Forudsætninger!$F$49*(K342-Forudsætninger!$C$48)),Forudsætninger!$E$48)+IF(K342&gt;Forudsætninger!$C$50,Forudsætninger!$G$50,IF(K342&gt;Forudsætninger!$C$49,Forudsætninger!$G$49+Forudsætninger!$H$50*(K342-Forudsætninger!$C$49),IF(K342&gt;Forudsætninger!$C$48,Forudsætninger!$G$48+Forudsætninger!$H$49*(K342-Forudsætninger!$C$48),Forudsætninger!$G$48)))*(U342-Forudsætninger!$H$48)</f>
        <v>#N/A</v>
      </c>
      <c r="AC342" s="19" t="e">
        <f>IF(K342&gt;Forudsætninger!$C$52,IF(K342&gt;Forudsætninger!$C$53,IF(K342&gt;Forudsætninger!$C$54,Forudsætninger!$E$54,Forudsætninger!$E$53+Forudsætninger!$F$54*(K342-Forudsætninger!$C$53)),Forudsætninger!$E$52+Forudsætninger!$F$53*(K342-Forudsætninger!$C$52)),Forudsætninger!$E$52)+IF(K342&gt;Forudsætninger!$C$54,Forudsætninger!$G$54,IF(K342&gt;Forudsætninger!$C$53,Forudsætninger!$G$53+Forudsætninger!$H$54*(K342-Forudsætninger!$C$53),IF(K342&gt;Forudsætninger!$C$52,Forudsætninger!$G$52+Forudsætninger!$H$53*(K342-Forudsætninger!$C$52),Forudsætninger!$G$52)))*(V342-Forudsætninger!$H$52)</f>
        <v>#N/A</v>
      </c>
      <c r="AD342" s="19" t="e">
        <f t="shared" si="159"/>
        <v>#N/A</v>
      </c>
      <c r="AE342" s="19" t="e">
        <f t="shared" si="160"/>
        <v>#N/A</v>
      </c>
      <c r="AF342" t="e">
        <f>IF(G342&lt;=Forudsætninger!$C$97,Forudsætninger!$C$98,(IF(G342&lt;=Forudsætninger!$D$97,Forudsætninger!$D$98,IF(G342&lt;=Forudsætninger!$E$97,Forudsætninger!$E$98,IF(G342&lt;=Forudsætninger!$F$97,Forudsætninger!$F$98,IF(G342&lt;=Forudsætninger!$G$97,Forudsætninger!$G$98,IF(G342&lt;=Forudsætninger!$H$97,Forudsætninger!$H$98,IF(G342&lt;=Forudsætninger!$I$97,Forudsætninger!$I$98,Forudsætninger!$I$98))))))))</f>
        <v>#N/A</v>
      </c>
      <c r="AG342" s="1" t="e">
        <f t="shared" si="170"/>
        <v>#N/A</v>
      </c>
      <c r="AH342" s="1" t="e">
        <f t="shared" si="174"/>
        <v>#N/A</v>
      </c>
      <c r="AI342" s="1" t="e">
        <f t="shared" si="161"/>
        <v>#N/A</v>
      </c>
      <c r="AJ342" s="20" t="e">
        <f>+(W342*Forudsætninger!$C$12)</f>
        <v>#N/A</v>
      </c>
      <c r="AK342" s="20">
        <f>Forudsætninger!$C$17</f>
        <v>250</v>
      </c>
      <c r="AL342" s="20">
        <f>IF(A342&lt;92,Forudsætninger!$C$20,Forudsætninger!$C$21)</f>
        <v>1.0566762728146013</v>
      </c>
      <c r="AM342" s="20">
        <f t="shared" si="171"/>
        <v>627.7754156102535</v>
      </c>
      <c r="AN342" s="19">
        <f>IFERROR(AD342+AJ342-AA342-Z342-AK342-AM342-Forudsætninger!$E$75,-999999)</f>
        <v>-999999</v>
      </c>
      <c r="AO342" s="19">
        <f>IFERROR(AN342/(A342+Forudsætninger!$E$74),-999999)</f>
        <v>-2941.1735294117648</v>
      </c>
      <c r="AP342" s="19">
        <f>IFERROR(((365/(A342+Forudsætninger!$E$74))*AN342)/(AI342+Forudsætninger!$E$73),-999999)</f>
        <v>-999999</v>
      </c>
      <c r="AQ342" s="18">
        <f t="shared" si="162"/>
        <v>340</v>
      </c>
      <c r="AR342" s="18" t="e">
        <f t="shared" si="175"/>
        <v>#N/A</v>
      </c>
      <c r="AS342" s="18">
        <f t="shared" si="154"/>
        <v>12.4</v>
      </c>
      <c r="AT342" s="50">
        <f t="shared" si="176"/>
        <v>0</v>
      </c>
      <c r="AU342" s="50">
        <f t="shared" si="177"/>
        <v>8.6760281103593115</v>
      </c>
      <c r="AV342" s="2">
        <f t="shared" si="178"/>
        <v>0</v>
      </c>
      <c r="AW342" s="16">
        <f t="shared" si="172"/>
        <v>-2939.327131130558</v>
      </c>
      <c r="AZ342" s="16"/>
      <c r="BA342" s="2"/>
    </row>
    <row r="343" spans="1:53" x14ac:dyDescent="0.25">
      <c r="A343">
        <v>341</v>
      </c>
      <c r="B343" s="1">
        <f>ROUND((A343+Forudsætninger!$E$60)/30.4,1)</f>
        <v>12.4</v>
      </c>
      <c r="C343" s="1" t="e">
        <f>VLOOKUP((A343+Forudsætninger!$E$60),'Model tilvækst, slagteform, fe'!A:D,4,FALSE)</f>
        <v>#N/A</v>
      </c>
      <c r="D343" s="3" t="e">
        <f t="shared" si="179"/>
        <v>#N/A</v>
      </c>
      <c r="E343" s="3" t="e">
        <f>(1+Forudsætninger!$E$78)*C343</f>
        <v>#N/A</v>
      </c>
      <c r="F343" s="2" t="e">
        <f t="shared" si="163"/>
        <v>#N/A</v>
      </c>
      <c r="G343" s="1" t="e">
        <f t="shared" si="155"/>
        <v>#N/A</v>
      </c>
      <c r="H343" s="3" t="e">
        <f t="shared" si="164"/>
        <v>#N/A</v>
      </c>
      <c r="I343" s="3" t="e">
        <f t="shared" si="156"/>
        <v>#N/A</v>
      </c>
      <c r="J343" s="1" t="e">
        <f>VLOOKUP((A343+Forudsætninger!$E$60),'Model tilvækst, slagteform, fe'!G:K,4,FALSE)*(1+Forudsætninger!$E$79)</f>
        <v>#N/A</v>
      </c>
      <c r="K343" s="17" t="e">
        <f t="shared" si="157"/>
        <v>#N/A</v>
      </c>
      <c r="L343" s="17" t="e">
        <f t="shared" si="165"/>
        <v>#N/A</v>
      </c>
      <c r="M343" s="3" t="e">
        <f>((K343-(('Model tilvækst, slagteform, fe'!$J$9/100)*'Model tilvækst, slagteform, fe'!$D$9))*1000/(A343+Forudsætninger!$E$60))</f>
        <v>#N/A</v>
      </c>
      <c r="N343" s="17" t="e">
        <f t="shared" si="166"/>
        <v>#N/A</v>
      </c>
      <c r="O343" s="19" t="e">
        <f>IF( A343&lt;Forudsætninger!$C$14,(G343/100)*Forudsætninger!$C$13,(Forudsætninger!$C$15/1000)*Forudsætninger!$C$13)</f>
        <v>#N/A</v>
      </c>
      <c r="P343" s="17" t="e" cm="1">
        <f t="array" ref="P343">INDEX('Model tilvækst, slagteform, fe'!$P$9:$P$375,MATCH(MIN(ABS('Model tilvækst, slagteform, fe'!$M$9:$M$375-G343)),ABS('Model tilvækst, slagteform, fe'!$M$9:$M$375-G343),0))*(1+Forudsætninger!$E$80)</f>
        <v>#N/A</v>
      </c>
      <c r="Q343" s="17" t="e">
        <f t="shared" si="167"/>
        <v>#N/A</v>
      </c>
      <c r="R343" s="17" t="e">
        <f t="shared" si="168"/>
        <v>#N/A</v>
      </c>
      <c r="S343" s="17" t="e">
        <f t="shared" si="169"/>
        <v>#N/A</v>
      </c>
      <c r="T343" s="19" t="e">
        <f>(P343)*IF(N343&lt;Forudsætninger!$B$228,IF(N343&lt;Forudsætninger!$B$227,Forudsætninger!$B$225,Forudsætninger!$C$9),Forudsætninger!$C$11)+O343</f>
        <v>#N/A</v>
      </c>
      <c r="U343" s="5" t="e">
        <f>Forudsætninger!$E$68+((K343-(Forudsætninger!$E$84)))*0.01</f>
        <v>#N/A</v>
      </c>
      <c r="V343" s="2" t="e">
        <f>U343+Forudsætninger!$E$69</f>
        <v>#N/A</v>
      </c>
      <c r="W343" t="e">
        <f t="shared" si="158"/>
        <v>#N/A</v>
      </c>
      <c r="X343">
        <f>IF(A343+Forudsætninger!$E$60&gt;248,IF(A343+Forudsætninger!$E$60&lt;365,IF(K343&gt;180,IF(K343&lt;260,1,0),0),0),0)</f>
        <v>0</v>
      </c>
      <c r="Y343" s="22">
        <f>IF(X343=0,0,IF('Vækstfunktion, kry kvie'!A343&lt;Forudsætninger!$E$66,Forudsætninger!$E$67+(('Vækstfunktion, kry kvie'!A343-Forudsætninger!$E$66)/7)*Forudsætninger!$E$64,Forudsætninger!$E$67))</f>
        <v>0</v>
      </c>
      <c r="Z343" s="19" t="e">
        <f t="shared" si="173"/>
        <v>#N/A</v>
      </c>
      <c r="AA343" s="19">
        <f>Forudsætninger!$E$62+Forudsætninger!$C$16</f>
        <v>1575</v>
      </c>
      <c r="AB343" s="19" t="e">
        <f>IF(K343&gt;Forudsætninger!$C$48,IF(K343&gt;Forudsætninger!$C$49,IF(K343&gt;Forudsætninger!$C$50,Forudsætninger!$E$50,Forudsætninger!$E$49+Forudsætninger!$F$50*(K343-Forudsætninger!$C$49)),Forudsætninger!$E$48+Forudsætninger!$F$49*(K343-Forudsætninger!$C$48)),Forudsætninger!$E$48)+IF(K343&gt;Forudsætninger!$C$50,Forudsætninger!$G$50,IF(K343&gt;Forudsætninger!$C$49,Forudsætninger!$G$49+Forudsætninger!$H$50*(K343-Forudsætninger!$C$49),IF(K343&gt;Forudsætninger!$C$48,Forudsætninger!$G$48+Forudsætninger!$H$49*(K343-Forudsætninger!$C$48),Forudsætninger!$G$48)))*(U343-Forudsætninger!$H$48)</f>
        <v>#N/A</v>
      </c>
      <c r="AC343" s="19" t="e">
        <f>IF(K343&gt;Forudsætninger!$C$52,IF(K343&gt;Forudsætninger!$C$53,IF(K343&gt;Forudsætninger!$C$54,Forudsætninger!$E$54,Forudsætninger!$E$53+Forudsætninger!$F$54*(K343-Forudsætninger!$C$53)),Forudsætninger!$E$52+Forudsætninger!$F$53*(K343-Forudsætninger!$C$52)),Forudsætninger!$E$52)+IF(K343&gt;Forudsætninger!$C$54,Forudsætninger!$G$54,IF(K343&gt;Forudsætninger!$C$53,Forudsætninger!$G$53+Forudsætninger!$H$54*(K343-Forudsætninger!$C$53),IF(K343&gt;Forudsætninger!$C$52,Forudsætninger!$G$52+Forudsætninger!$H$53*(K343-Forudsætninger!$C$52),Forudsætninger!$G$52)))*(V343-Forudsætninger!$H$52)</f>
        <v>#N/A</v>
      </c>
      <c r="AD343" s="19" t="e">
        <f t="shared" si="159"/>
        <v>#N/A</v>
      </c>
      <c r="AE343" s="19" t="e">
        <f t="shared" si="160"/>
        <v>#N/A</v>
      </c>
      <c r="AF343" t="e">
        <f>IF(G343&lt;=Forudsætninger!$C$97,Forudsætninger!$C$98,(IF(G343&lt;=Forudsætninger!$D$97,Forudsætninger!$D$98,IF(G343&lt;=Forudsætninger!$E$97,Forudsætninger!$E$98,IF(G343&lt;=Forudsætninger!$F$97,Forudsætninger!$F$98,IF(G343&lt;=Forudsætninger!$G$97,Forudsætninger!$G$98,IF(G343&lt;=Forudsætninger!$H$97,Forudsætninger!$H$98,IF(G343&lt;=Forudsætninger!$I$97,Forudsætninger!$I$98,Forudsætninger!$I$98))))))))</f>
        <v>#N/A</v>
      </c>
      <c r="AG343" s="1" t="e">
        <f t="shared" si="170"/>
        <v>#N/A</v>
      </c>
      <c r="AH343" s="1" t="e">
        <f t="shared" si="174"/>
        <v>#N/A</v>
      </c>
      <c r="AI343" s="1" t="e">
        <f t="shared" si="161"/>
        <v>#N/A</v>
      </c>
      <c r="AJ343" s="20" t="e">
        <f>+(W343*Forudsætninger!$C$12)</f>
        <v>#N/A</v>
      </c>
      <c r="AK343" s="20">
        <f>Forudsætninger!$C$17</f>
        <v>250</v>
      </c>
      <c r="AL343" s="20">
        <f>IF(A343&lt;92,Forudsætninger!$C$20,Forudsætninger!$C$21)</f>
        <v>1.0566762728146013</v>
      </c>
      <c r="AM343" s="20">
        <f t="shared" si="171"/>
        <v>628.83209188306807</v>
      </c>
      <c r="AN343" s="19">
        <f>IFERROR(AD343+AJ343-AA343-Z343-AK343-AM343-Forudsætninger!$E$75,-999999)</f>
        <v>-999999</v>
      </c>
      <c r="AO343" s="19">
        <f>IFERROR(AN343/(A343+Forudsætninger!$E$74),-999999)</f>
        <v>-2932.5483870967741</v>
      </c>
      <c r="AP343" s="19">
        <f>IFERROR(((365/(A343+Forudsætninger!$E$74))*AN343)/(AI343+Forudsætninger!$E$73),-999999)</f>
        <v>-999999</v>
      </c>
      <c r="AQ343" s="18">
        <f t="shared" si="162"/>
        <v>341</v>
      </c>
      <c r="AR343" s="18" t="e">
        <f t="shared" si="175"/>
        <v>#N/A</v>
      </c>
      <c r="AS343" s="18">
        <f t="shared" si="154"/>
        <v>12.4</v>
      </c>
      <c r="AT343" s="50">
        <f t="shared" si="176"/>
        <v>0</v>
      </c>
      <c r="AU343" s="50">
        <f t="shared" si="177"/>
        <v>8.6251423149906259</v>
      </c>
      <c r="AV343" s="2">
        <f t="shared" si="178"/>
        <v>0</v>
      </c>
      <c r="AW343" s="16">
        <f t="shared" si="172"/>
        <v>-2930.7043047158854</v>
      </c>
      <c r="AZ343" s="16"/>
      <c r="BA343" s="2"/>
    </row>
    <row r="344" spans="1:53" x14ac:dyDescent="0.25">
      <c r="A344">
        <v>342</v>
      </c>
      <c r="B344" s="1">
        <f>ROUND((A344+Forudsætninger!$E$60)/30.4,1)</f>
        <v>12.4</v>
      </c>
      <c r="C344" s="1" t="e">
        <f>VLOOKUP((A344+Forudsætninger!$E$60),'Model tilvækst, slagteform, fe'!A:D,4,FALSE)</f>
        <v>#N/A</v>
      </c>
      <c r="D344" s="3" t="e">
        <f t="shared" si="179"/>
        <v>#N/A</v>
      </c>
      <c r="E344" s="3" t="e">
        <f>(1+Forudsætninger!$E$78)*C344</f>
        <v>#N/A</v>
      </c>
      <c r="F344" s="2" t="e">
        <f t="shared" si="163"/>
        <v>#N/A</v>
      </c>
      <c r="G344" s="1" t="e">
        <f t="shared" si="155"/>
        <v>#N/A</v>
      </c>
      <c r="H344" s="3" t="e">
        <f t="shared" si="164"/>
        <v>#N/A</v>
      </c>
      <c r="I344" s="3" t="e">
        <f t="shared" si="156"/>
        <v>#N/A</v>
      </c>
      <c r="J344" s="1" t="e">
        <f>VLOOKUP((A344+Forudsætninger!$E$60),'Model tilvækst, slagteform, fe'!G:K,4,FALSE)*(1+Forudsætninger!$E$79)</f>
        <v>#N/A</v>
      </c>
      <c r="K344" s="17" t="e">
        <f t="shared" si="157"/>
        <v>#N/A</v>
      </c>
      <c r="L344" s="17" t="e">
        <f t="shared" si="165"/>
        <v>#N/A</v>
      </c>
      <c r="M344" s="3" t="e">
        <f>((K344-(('Model tilvækst, slagteform, fe'!$J$9/100)*'Model tilvækst, slagteform, fe'!$D$9))*1000/(A344+Forudsætninger!$E$60))</f>
        <v>#N/A</v>
      </c>
      <c r="N344" s="17" t="e">
        <f t="shared" si="166"/>
        <v>#N/A</v>
      </c>
      <c r="O344" s="19" t="e">
        <f>IF( A344&lt;Forudsætninger!$C$14,(G344/100)*Forudsætninger!$C$13,(Forudsætninger!$C$15/1000)*Forudsætninger!$C$13)</f>
        <v>#N/A</v>
      </c>
      <c r="P344" s="17" t="e" cm="1">
        <f t="array" ref="P344">INDEX('Model tilvækst, slagteform, fe'!$P$9:$P$375,MATCH(MIN(ABS('Model tilvækst, slagteform, fe'!$M$9:$M$375-G344)),ABS('Model tilvækst, slagteform, fe'!$M$9:$M$375-G344),0))*(1+Forudsætninger!$E$80)</f>
        <v>#N/A</v>
      </c>
      <c r="Q344" s="17" t="e">
        <f t="shared" si="167"/>
        <v>#N/A</v>
      </c>
      <c r="R344" s="17" t="e">
        <f t="shared" si="168"/>
        <v>#N/A</v>
      </c>
      <c r="S344" s="17" t="e">
        <f t="shared" si="169"/>
        <v>#N/A</v>
      </c>
      <c r="T344" s="19" t="e">
        <f>(P344)*IF(N344&lt;Forudsætninger!$B$228,IF(N344&lt;Forudsætninger!$B$227,Forudsætninger!$B$225,Forudsætninger!$C$9),Forudsætninger!$C$11)+O344</f>
        <v>#N/A</v>
      </c>
      <c r="U344" s="5" t="e">
        <f>Forudsætninger!$E$68+((K344-(Forudsætninger!$E$84)))*0.01</f>
        <v>#N/A</v>
      </c>
      <c r="V344" s="2" t="e">
        <f>U344+Forudsætninger!$E$69</f>
        <v>#N/A</v>
      </c>
      <c r="W344" t="e">
        <f t="shared" si="158"/>
        <v>#N/A</v>
      </c>
      <c r="X344">
        <f>IF(A344+Forudsætninger!$E$60&gt;248,IF(A344+Forudsætninger!$E$60&lt;365,IF(K344&gt;180,IF(K344&lt;260,1,0),0),0),0)</f>
        <v>0</v>
      </c>
      <c r="Y344" s="22">
        <f>IF(X344=0,0,IF('Vækstfunktion, kry kvie'!A344&lt;Forudsætninger!$E$66,Forudsætninger!$E$67+(('Vækstfunktion, kry kvie'!A344-Forudsætninger!$E$66)/7)*Forudsætninger!$E$64,Forudsætninger!$E$67))</f>
        <v>0</v>
      </c>
      <c r="Z344" s="19" t="e">
        <f t="shared" si="173"/>
        <v>#N/A</v>
      </c>
      <c r="AA344" s="19">
        <f>Forudsætninger!$E$62+Forudsætninger!$C$16</f>
        <v>1575</v>
      </c>
      <c r="AB344" s="19" t="e">
        <f>IF(K344&gt;Forudsætninger!$C$48,IF(K344&gt;Forudsætninger!$C$49,IF(K344&gt;Forudsætninger!$C$50,Forudsætninger!$E$50,Forudsætninger!$E$49+Forudsætninger!$F$50*(K344-Forudsætninger!$C$49)),Forudsætninger!$E$48+Forudsætninger!$F$49*(K344-Forudsætninger!$C$48)),Forudsætninger!$E$48)+IF(K344&gt;Forudsætninger!$C$50,Forudsætninger!$G$50,IF(K344&gt;Forudsætninger!$C$49,Forudsætninger!$G$49+Forudsætninger!$H$50*(K344-Forudsætninger!$C$49),IF(K344&gt;Forudsætninger!$C$48,Forudsætninger!$G$48+Forudsætninger!$H$49*(K344-Forudsætninger!$C$48),Forudsætninger!$G$48)))*(U344-Forudsætninger!$H$48)</f>
        <v>#N/A</v>
      </c>
      <c r="AC344" s="19" t="e">
        <f>IF(K344&gt;Forudsætninger!$C$52,IF(K344&gt;Forudsætninger!$C$53,IF(K344&gt;Forudsætninger!$C$54,Forudsætninger!$E$54,Forudsætninger!$E$53+Forudsætninger!$F$54*(K344-Forudsætninger!$C$53)),Forudsætninger!$E$52+Forudsætninger!$F$53*(K344-Forudsætninger!$C$52)),Forudsætninger!$E$52)+IF(K344&gt;Forudsætninger!$C$54,Forudsætninger!$G$54,IF(K344&gt;Forudsætninger!$C$53,Forudsætninger!$G$53+Forudsætninger!$H$54*(K344-Forudsætninger!$C$53),IF(K344&gt;Forudsætninger!$C$52,Forudsætninger!$G$52+Forudsætninger!$H$53*(K344-Forudsætninger!$C$52),Forudsætninger!$G$52)))*(V344-Forudsætninger!$H$52)</f>
        <v>#N/A</v>
      </c>
      <c r="AD344" s="19" t="e">
        <f t="shared" si="159"/>
        <v>#N/A</v>
      </c>
      <c r="AE344" s="19" t="e">
        <f t="shared" si="160"/>
        <v>#N/A</v>
      </c>
      <c r="AF344" t="e">
        <f>IF(G344&lt;=Forudsætninger!$C$97,Forudsætninger!$C$98,(IF(G344&lt;=Forudsætninger!$D$97,Forudsætninger!$D$98,IF(G344&lt;=Forudsætninger!$E$97,Forudsætninger!$E$98,IF(G344&lt;=Forudsætninger!$F$97,Forudsætninger!$F$98,IF(G344&lt;=Forudsætninger!$G$97,Forudsætninger!$G$98,IF(G344&lt;=Forudsætninger!$H$97,Forudsætninger!$H$98,IF(G344&lt;=Forudsætninger!$I$97,Forudsætninger!$I$98,Forudsætninger!$I$98))))))))</f>
        <v>#N/A</v>
      </c>
      <c r="AG344" s="1" t="e">
        <f t="shared" si="170"/>
        <v>#N/A</v>
      </c>
      <c r="AH344" s="1" t="e">
        <f t="shared" si="174"/>
        <v>#N/A</v>
      </c>
      <c r="AI344" s="1" t="e">
        <f t="shared" si="161"/>
        <v>#N/A</v>
      </c>
      <c r="AJ344" s="20" t="e">
        <f>+(W344*Forudsætninger!$C$12)</f>
        <v>#N/A</v>
      </c>
      <c r="AK344" s="20">
        <f>Forudsætninger!$C$17</f>
        <v>250</v>
      </c>
      <c r="AL344" s="20">
        <f>IF(A344&lt;92,Forudsætninger!$C$20,Forudsætninger!$C$21)</f>
        <v>1.0566762728146013</v>
      </c>
      <c r="AM344" s="20">
        <f t="shared" si="171"/>
        <v>629.88876815588264</v>
      </c>
      <c r="AN344" s="19">
        <f>IFERROR(AD344+AJ344-AA344-Z344-AK344-AM344-Forudsætninger!$E$75,-999999)</f>
        <v>-999999</v>
      </c>
      <c r="AO344" s="19">
        <f>IFERROR(AN344/(A344+Forudsætninger!$E$74),-999999)</f>
        <v>-2923.9736842105262</v>
      </c>
      <c r="AP344" s="19">
        <f>IFERROR(((365/(A344+Forudsætninger!$E$74))*AN344)/(AI344+Forudsætninger!$E$73),-999999)</f>
        <v>-999999</v>
      </c>
      <c r="AQ344" s="18">
        <f t="shared" si="162"/>
        <v>342</v>
      </c>
      <c r="AR344" s="18" t="e">
        <f t="shared" si="175"/>
        <v>#N/A</v>
      </c>
      <c r="AS344" s="18">
        <f t="shared" si="154"/>
        <v>12.4</v>
      </c>
      <c r="AT344" s="50">
        <f t="shared" si="176"/>
        <v>0</v>
      </c>
      <c r="AU344" s="50">
        <f t="shared" si="177"/>
        <v>8.5747028862479056</v>
      </c>
      <c r="AV344" s="2">
        <f t="shared" si="178"/>
        <v>0</v>
      </c>
      <c r="AW344" s="16">
        <f t="shared" si="172"/>
        <v>-2922.1319041866791</v>
      </c>
      <c r="AZ344" s="16"/>
      <c r="BA344" s="2"/>
    </row>
    <row r="345" spans="1:53" x14ac:dyDescent="0.25">
      <c r="A345">
        <v>343</v>
      </c>
      <c r="B345" s="1">
        <f>ROUND((A345+Forudsætninger!$E$60)/30.4,1)</f>
        <v>12.5</v>
      </c>
      <c r="C345" s="1" t="e">
        <f>VLOOKUP((A345+Forudsætninger!$E$60),'Model tilvækst, slagteform, fe'!A:D,4,FALSE)</f>
        <v>#N/A</v>
      </c>
      <c r="D345" s="3" t="e">
        <f t="shared" si="179"/>
        <v>#N/A</v>
      </c>
      <c r="E345" s="3" t="e">
        <f>(1+Forudsætninger!$E$78)*C345</f>
        <v>#N/A</v>
      </c>
      <c r="F345" s="2" t="e">
        <f t="shared" si="163"/>
        <v>#N/A</v>
      </c>
      <c r="G345" s="1" t="e">
        <f t="shared" si="155"/>
        <v>#N/A</v>
      </c>
      <c r="H345" s="3" t="e">
        <f t="shared" si="164"/>
        <v>#N/A</v>
      </c>
      <c r="I345" s="3" t="e">
        <f t="shared" si="156"/>
        <v>#N/A</v>
      </c>
      <c r="J345" s="1" t="e">
        <f>VLOOKUP((A345+Forudsætninger!$E$60),'Model tilvækst, slagteform, fe'!G:K,4,FALSE)*(1+Forudsætninger!$E$79)</f>
        <v>#N/A</v>
      </c>
      <c r="K345" s="17" t="e">
        <f t="shared" si="157"/>
        <v>#N/A</v>
      </c>
      <c r="L345" s="17" t="e">
        <f t="shared" si="165"/>
        <v>#N/A</v>
      </c>
      <c r="M345" s="3" t="e">
        <f>((K345-(('Model tilvækst, slagteform, fe'!$J$9/100)*'Model tilvækst, slagteform, fe'!$D$9))*1000/(A345+Forudsætninger!$E$60))</f>
        <v>#N/A</v>
      </c>
      <c r="N345" s="17" t="e">
        <f t="shared" si="166"/>
        <v>#N/A</v>
      </c>
      <c r="O345" s="19" t="e">
        <f>IF( A345&lt;Forudsætninger!$C$14,(G345/100)*Forudsætninger!$C$13,(Forudsætninger!$C$15/1000)*Forudsætninger!$C$13)</f>
        <v>#N/A</v>
      </c>
      <c r="P345" s="17" t="e" cm="1">
        <f t="array" ref="P345">INDEX('Model tilvækst, slagteform, fe'!$P$9:$P$375,MATCH(MIN(ABS('Model tilvækst, slagteform, fe'!$M$9:$M$375-G345)),ABS('Model tilvækst, slagteform, fe'!$M$9:$M$375-G345),0))*(1+Forudsætninger!$E$80)</f>
        <v>#N/A</v>
      </c>
      <c r="Q345" s="17" t="e">
        <f t="shared" si="167"/>
        <v>#N/A</v>
      </c>
      <c r="R345" s="17" t="e">
        <f t="shared" si="168"/>
        <v>#N/A</v>
      </c>
      <c r="S345" s="17" t="e">
        <f t="shared" si="169"/>
        <v>#N/A</v>
      </c>
      <c r="T345" s="19" t="e">
        <f>(P345)*IF(N345&lt;Forudsætninger!$B$228,IF(N345&lt;Forudsætninger!$B$227,Forudsætninger!$B$225,Forudsætninger!$C$9),Forudsætninger!$C$11)+O345</f>
        <v>#N/A</v>
      </c>
      <c r="U345" s="5" t="e">
        <f>Forudsætninger!$E$68+((K345-(Forudsætninger!$E$84)))*0.01</f>
        <v>#N/A</v>
      </c>
      <c r="V345" s="2" t="e">
        <f>U345+Forudsætninger!$E$69</f>
        <v>#N/A</v>
      </c>
      <c r="W345" t="e">
        <f t="shared" si="158"/>
        <v>#N/A</v>
      </c>
      <c r="X345">
        <f>IF(A345+Forudsætninger!$E$60&gt;248,IF(A345+Forudsætninger!$E$60&lt;365,IF(K345&gt;180,IF(K345&lt;260,1,0),0),0),0)</f>
        <v>0</v>
      </c>
      <c r="Y345" s="22">
        <f>IF(X345=0,0,IF('Vækstfunktion, kry kvie'!A345&lt;Forudsætninger!$E$66,Forudsætninger!$E$67+(('Vækstfunktion, kry kvie'!A345-Forudsætninger!$E$66)/7)*Forudsætninger!$E$64,Forudsætninger!$E$67))</f>
        <v>0</v>
      </c>
      <c r="Z345" s="19" t="e">
        <f t="shared" si="173"/>
        <v>#N/A</v>
      </c>
      <c r="AA345" s="19">
        <f>Forudsætninger!$E$62+Forudsætninger!$C$16</f>
        <v>1575</v>
      </c>
      <c r="AB345" s="19" t="e">
        <f>IF(K345&gt;Forudsætninger!$C$48,IF(K345&gt;Forudsætninger!$C$49,IF(K345&gt;Forudsætninger!$C$50,Forudsætninger!$E$50,Forudsætninger!$E$49+Forudsætninger!$F$50*(K345-Forudsætninger!$C$49)),Forudsætninger!$E$48+Forudsætninger!$F$49*(K345-Forudsætninger!$C$48)),Forudsætninger!$E$48)+IF(K345&gt;Forudsætninger!$C$50,Forudsætninger!$G$50,IF(K345&gt;Forudsætninger!$C$49,Forudsætninger!$G$49+Forudsætninger!$H$50*(K345-Forudsætninger!$C$49),IF(K345&gt;Forudsætninger!$C$48,Forudsætninger!$G$48+Forudsætninger!$H$49*(K345-Forudsætninger!$C$48),Forudsætninger!$G$48)))*(U345-Forudsætninger!$H$48)</f>
        <v>#N/A</v>
      </c>
      <c r="AC345" s="19" t="e">
        <f>IF(K345&gt;Forudsætninger!$C$52,IF(K345&gt;Forudsætninger!$C$53,IF(K345&gt;Forudsætninger!$C$54,Forudsætninger!$E$54,Forudsætninger!$E$53+Forudsætninger!$F$54*(K345-Forudsætninger!$C$53)),Forudsætninger!$E$52+Forudsætninger!$F$53*(K345-Forudsætninger!$C$52)),Forudsætninger!$E$52)+IF(K345&gt;Forudsætninger!$C$54,Forudsætninger!$G$54,IF(K345&gt;Forudsætninger!$C$53,Forudsætninger!$G$53+Forudsætninger!$H$54*(K345-Forudsætninger!$C$53),IF(K345&gt;Forudsætninger!$C$52,Forudsætninger!$G$52+Forudsætninger!$H$53*(K345-Forudsætninger!$C$52),Forudsætninger!$G$52)))*(V345-Forudsætninger!$H$52)</f>
        <v>#N/A</v>
      </c>
      <c r="AD345" s="19" t="e">
        <f t="shared" si="159"/>
        <v>#N/A</v>
      </c>
      <c r="AE345" s="19" t="e">
        <f t="shared" si="160"/>
        <v>#N/A</v>
      </c>
      <c r="AF345" t="e">
        <f>IF(G345&lt;=Forudsætninger!$C$97,Forudsætninger!$C$98,(IF(G345&lt;=Forudsætninger!$D$97,Forudsætninger!$D$98,IF(G345&lt;=Forudsætninger!$E$97,Forudsætninger!$E$98,IF(G345&lt;=Forudsætninger!$F$97,Forudsætninger!$F$98,IF(G345&lt;=Forudsætninger!$G$97,Forudsætninger!$G$98,IF(G345&lt;=Forudsætninger!$H$97,Forudsætninger!$H$98,IF(G345&lt;=Forudsætninger!$I$97,Forudsætninger!$I$98,Forudsætninger!$I$98))))))))</f>
        <v>#N/A</v>
      </c>
      <c r="AG345" s="1" t="e">
        <f t="shared" si="170"/>
        <v>#N/A</v>
      </c>
      <c r="AH345" s="1" t="e">
        <f t="shared" si="174"/>
        <v>#N/A</v>
      </c>
      <c r="AI345" s="1" t="e">
        <f t="shared" si="161"/>
        <v>#N/A</v>
      </c>
      <c r="AJ345" s="20" t="e">
        <f>+(W345*Forudsætninger!$C$12)</f>
        <v>#N/A</v>
      </c>
      <c r="AK345" s="20">
        <f>Forudsætninger!$C$17</f>
        <v>250</v>
      </c>
      <c r="AL345" s="20">
        <f>IF(A345&lt;92,Forudsætninger!$C$20,Forudsætninger!$C$21)</f>
        <v>1.0566762728146013</v>
      </c>
      <c r="AM345" s="20">
        <f t="shared" si="171"/>
        <v>630.94544442869721</v>
      </c>
      <c r="AN345" s="19">
        <f>IFERROR(AD345+AJ345-AA345-Z345-AK345-AM345-Forudsætninger!$E$75,-999999)</f>
        <v>-999999</v>
      </c>
      <c r="AO345" s="19">
        <f>IFERROR(AN345/(A345+Forudsætninger!$E$74),-999999)</f>
        <v>-2915.4489795918366</v>
      </c>
      <c r="AP345" s="19">
        <f>IFERROR(((365/(A345+Forudsætninger!$E$74))*AN345)/(AI345+Forudsætninger!$E$73),-999999)</f>
        <v>-999999</v>
      </c>
      <c r="AQ345" s="18">
        <f t="shared" si="162"/>
        <v>343</v>
      </c>
      <c r="AR345" s="18" t="e">
        <f t="shared" si="175"/>
        <v>#N/A</v>
      </c>
      <c r="AS345" s="18">
        <f t="shared" si="154"/>
        <v>12.5</v>
      </c>
      <c r="AT345" s="50">
        <f t="shared" si="176"/>
        <v>0</v>
      </c>
      <c r="AU345" s="50">
        <f t="shared" si="177"/>
        <v>8.5247046186896114</v>
      </c>
      <c r="AV345" s="2">
        <f t="shared" si="178"/>
        <v>0</v>
      </c>
      <c r="AW345" s="16">
        <f t="shared" si="172"/>
        <v>-2913.609488500208</v>
      </c>
      <c r="AZ345" s="16"/>
      <c r="BA345" s="2"/>
    </row>
    <row r="346" spans="1:53" x14ac:dyDescent="0.25">
      <c r="A346">
        <v>344</v>
      </c>
      <c r="B346" s="1">
        <f>ROUND((A346+Forudsætninger!$E$60)/30.4,1)</f>
        <v>12.5</v>
      </c>
      <c r="C346" s="1" t="e">
        <f>VLOOKUP((A346+Forudsætninger!$E$60),'Model tilvækst, slagteform, fe'!A:D,4,FALSE)</f>
        <v>#N/A</v>
      </c>
      <c r="D346" s="3" t="e">
        <f t="shared" si="179"/>
        <v>#N/A</v>
      </c>
      <c r="E346" s="3" t="e">
        <f>(1+Forudsætninger!$E$78)*C346</f>
        <v>#N/A</v>
      </c>
      <c r="F346" s="2" t="e">
        <f t="shared" si="163"/>
        <v>#N/A</v>
      </c>
      <c r="G346" s="1" t="e">
        <f t="shared" si="155"/>
        <v>#N/A</v>
      </c>
      <c r="H346" s="3" t="e">
        <f t="shared" si="164"/>
        <v>#N/A</v>
      </c>
      <c r="I346" s="3" t="e">
        <f t="shared" si="156"/>
        <v>#N/A</v>
      </c>
      <c r="J346" s="1" t="e">
        <f>VLOOKUP((A346+Forudsætninger!$E$60),'Model tilvækst, slagteform, fe'!G:K,4,FALSE)*(1+Forudsætninger!$E$79)</f>
        <v>#N/A</v>
      </c>
      <c r="K346" s="17" t="e">
        <f t="shared" si="157"/>
        <v>#N/A</v>
      </c>
      <c r="L346" s="17" t="e">
        <f t="shared" si="165"/>
        <v>#N/A</v>
      </c>
      <c r="M346" s="3" t="e">
        <f>((K346-(('Model tilvækst, slagteform, fe'!$J$9/100)*'Model tilvækst, slagteform, fe'!$D$9))*1000/(A346+Forudsætninger!$E$60))</f>
        <v>#N/A</v>
      </c>
      <c r="N346" s="17" t="e">
        <f t="shared" si="166"/>
        <v>#N/A</v>
      </c>
      <c r="O346" s="19" t="e">
        <f>IF( A346&lt;Forudsætninger!$C$14,(G346/100)*Forudsætninger!$C$13,(Forudsætninger!$C$15/1000)*Forudsætninger!$C$13)</f>
        <v>#N/A</v>
      </c>
      <c r="P346" s="17" t="e" cm="1">
        <f t="array" ref="P346">INDEX('Model tilvækst, slagteform, fe'!$P$9:$P$375,MATCH(MIN(ABS('Model tilvækst, slagteform, fe'!$M$9:$M$375-G346)),ABS('Model tilvækst, slagteform, fe'!$M$9:$M$375-G346),0))*(1+Forudsætninger!$E$80)</f>
        <v>#N/A</v>
      </c>
      <c r="Q346" s="17" t="e">
        <f t="shared" si="167"/>
        <v>#N/A</v>
      </c>
      <c r="R346" s="17" t="e">
        <f t="shared" si="168"/>
        <v>#N/A</v>
      </c>
      <c r="S346" s="17" t="e">
        <f t="shared" si="169"/>
        <v>#N/A</v>
      </c>
      <c r="T346" s="19" t="e">
        <f>(P346)*IF(N346&lt;Forudsætninger!$B$228,IF(N346&lt;Forudsætninger!$B$227,Forudsætninger!$B$225,Forudsætninger!$C$9),Forudsætninger!$C$11)+O346</f>
        <v>#N/A</v>
      </c>
      <c r="U346" s="5" t="e">
        <f>Forudsætninger!$E$68+((K346-(Forudsætninger!$E$84)))*0.01</f>
        <v>#N/A</v>
      </c>
      <c r="V346" s="2" t="e">
        <f>U346+Forudsætninger!$E$69</f>
        <v>#N/A</v>
      </c>
      <c r="W346" t="e">
        <f t="shared" si="158"/>
        <v>#N/A</v>
      </c>
      <c r="X346">
        <f>IF(A346+Forudsætninger!$E$60&gt;248,IF(A346+Forudsætninger!$E$60&lt;365,IF(K346&gt;180,IF(K346&lt;260,1,0),0),0),0)</f>
        <v>0</v>
      </c>
      <c r="Y346" s="22">
        <f>IF(X346=0,0,IF('Vækstfunktion, kry kvie'!A346&lt;Forudsætninger!$E$66,Forudsætninger!$E$67+(('Vækstfunktion, kry kvie'!A346-Forudsætninger!$E$66)/7)*Forudsætninger!$E$64,Forudsætninger!$E$67))</f>
        <v>0</v>
      </c>
      <c r="Z346" s="19" t="e">
        <f t="shared" si="173"/>
        <v>#N/A</v>
      </c>
      <c r="AA346" s="19">
        <f>Forudsætninger!$E$62+Forudsætninger!$C$16</f>
        <v>1575</v>
      </c>
      <c r="AB346" s="19" t="e">
        <f>IF(K346&gt;Forudsætninger!$C$48,IF(K346&gt;Forudsætninger!$C$49,IF(K346&gt;Forudsætninger!$C$50,Forudsætninger!$E$50,Forudsætninger!$E$49+Forudsætninger!$F$50*(K346-Forudsætninger!$C$49)),Forudsætninger!$E$48+Forudsætninger!$F$49*(K346-Forudsætninger!$C$48)),Forudsætninger!$E$48)+IF(K346&gt;Forudsætninger!$C$50,Forudsætninger!$G$50,IF(K346&gt;Forudsætninger!$C$49,Forudsætninger!$G$49+Forudsætninger!$H$50*(K346-Forudsætninger!$C$49),IF(K346&gt;Forudsætninger!$C$48,Forudsætninger!$G$48+Forudsætninger!$H$49*(K346-Forudsætninger!$C$48),Forudsætninger!$G$48)))*(U346-Forudsætninger!$H$48)</f>
        <v>#N/A</v>
      </c>
      <c r="AC346" s="19" t="e">
        <f>IF(K346&gt;Forudsætninger!$C$52,IF(K346&gt;Forudsætninger!$C$53,IF(K346&gt;Forudsætninger!$C$54,Forudsætninger!$E$54,Forudsætninger!$E$53+Forudsætninger!$F$54*(K346-Forudsætninger!$C$53)),Forudsætninger!$E$52+Forudsætninger!$F$53*(K346-Forudsætninger!$C$52)),Forudsætninger!$E$52)+IF(K346&gt;Forudsætninger!$C$54,Forudsætninger!$G$54,IF(K346&gt;Forudsætninger!$C$53,Forudsætninger!$G$53+Forudsætninger!$H$54*(K346-Forudsætninger!$C$53),IF(K346&gt;Forudsætninger!$C$52,Forudsætninger!$G$52+Forudsætninger!$H$53*(K346-Forudsætninger!$C$52),Forudsætninger!$G$52)))*(V346-Forudsætninger!$H$52)</f>
        <v>#N/A</v>
      </c>
      <c r="AD346" s="19" t="e">
        <f t="shared" si="159"/>
        <v>#N/A</v>
      </c>
      <c r="AE346" s="19" t="e">
        <f t="shared" si="160"/>
        <v>#N/A</v>
      </c>
      <c r="AF346" t="e">
        <f>IF(G346&lt;=Forudsætninger!$C$97,Forudsætninger!$C$98,(IF(G346&lt;=Forudsætninger!$D$97,Forudsætninger!$D$98,IF(G346&lt;=Forudsætninger!$E$97,Forudsætninger!$E$98,IF(G346&lt;=Forudsætninger!$F$97,Forudsætninger!$F$98,IF(G346&lt;=Forudsætninger!$G$97,Forudsætninger!$G$98,IF(G346&lt;=Forudsætninger!$H$97,Forudsætninger!$H$98,IF(G346&lt;=Forudsætninger!$I$97,Forudsætninger!$I$98,Forudsætninger!$I$98))))))))</f>
        <v>#N/A</v>
      </c>
      <c r="AG346" s="1" t="e">
        <f t="shared" si="170"/>
        <v>#N/A</v>
      </c>
      <c r="AH346" s="1" t="e">
        <f t="shared" si="174"/>
        <v>#N/A</v>
      </c>
      <c r="AI346" s="1" t="e">
        <f t="shared" si="161"/>
        <v>#N/A</v>
      </c>
      <c r="AJ346" s="20" t="e">
        <f>+(W346*Forudsætninger!$C$12)</f>
        <v>#N/A</v>
      </c>
      <c r="AK346" s="20">
        <f>Forudsætninger!$C$17</f>
        <v>250</v>
      </c>
      <c r="AL346" s="20">
        <f>IF(A346&lt;92,Forudsætninger!$C$20,Forudsætninger!$C$21)</f>
        <v>1.0566762728146013</v>
      </c>
      <c r="AM346" s="20">
        <f t="shared" si="171"/>
        <v>632.00212070151179</v>
      </c>
      <c r="AN346" s="19">
        <f>IFERROR(AD346+AJ346-AA346-Z346-AK346-AM346-Forudsætninger!$E$75,-999999)</f>
        <v>-999999</v>
      </c>
      <c r="AO346" s="19">
        <f>IFERROR(AN346/(A346+Forudsætninger!$E$74),-999999)</f>
        <v>-2906.9738372093025</v>
      </c>
      <c r="AP346" s="19">
        <f>IFERROR(((365/(A346+Forudsætninger!$E$74))*AN346)/(AI346+Forudsætninger!$E$73),-999999)</f>
        <v>-999999</v>
      </c>
      <c r="AQ346" s="18">
        <f t="shared" si="162"/>
        <v>344</v>
      </c>
      <c r="AR346" s="18" t="e">
        <f t="shared" si="175"/>
        <v>#N/A</v>
      </c>
      <c r="AS346" s="18">
        <f t="shared" si="154"/>
        <v>12.5</v>
      </c>
      <c r="AT346" s="50">
        <f t="shared" si="176"/>
        <v>0</v>
      </c>
      <c r="AU346" s="50">
        <f t="shared" si="177"/>
        <v>8.475142382534159</v>
      </c>
      <c r="AV346" s="2">
        <f t="shared" si="178"/>
        <v>0</v>
      </c>
      <c r="AW346" s="16">
        <f t="shared" si="172"/>
        <v>-2905.1366217421469</v>
      </c>
      <c r="AZ346" s="16"/>
      <c r="BA346" s="2"/>
    </row>
    <row r="347" spans="1:53" x14ac:dyDescent="0.25">
      <c r="A347">
        <v>345</v>
      </c>
      <c r="B347" s="1">
        <f>ROUND((A347+Forudsætninger!$E$60)/30.4,1)</f>
        <v>12.5</v>
      </c>
      <c r="C347" s="1" t="e">
        <f>VLOOKUP((A347+Forudsætninger!$E$60),'Model tilvækst, slagteform, fe'!A:D,4,FALSE)</f>
        <v>#N/A</v>
      </c>
      <c r="D347" s="3" t="e">
        <f t="shared" si="179"/>
        <v>#N/A</v>
      </c>
      <c r="E347" s="3" t="e">
        <f>(1+Forudsætninger!$E$78)*C347</f>
        <v>#N/A</v>
      </c>
      <c r="F347" s="2" t="e">
        <f t="shared" si="163"/>
        <v>#N/A</v>
      </c>
      <c r="G347" s="1" t="e">
        <f t="shared" si="155"/>
        <v>#N/A</v>
      </c>
      <c r="H347" s="3" t="e">
        <f t="shared" si="164"/>
        <v>#N/A</v>
      </c>
      <c r="I347" s="3" t="e">
        <f t="shared" si="156"/>
        <v>#N/A</v>
      </c>
      <c r="J347" s="1" t="e">
        <f>VLOOKUP((A347+Forudsætninger!$E$60),'Model tilvækst, slagteform, fe'!G:K,4,FALSE)*(1+Forudsætninger!$E$79)</f>
        <v>#N/A</v>
      </c>
      <c r="K347" s="17" t="e">
        <f t="shared" si="157"/>
        <v>#N/A</v>
      </c>
      <c r="L347" s="17" t="e">
        <f t="shared" si="165"/>
        <v>#N/A</v>
      </c>
      <c r="M347" s="3" t="e">
        <f>((K347-(('Model tilvækst, slagteform, fe'!$J$9/100)*'Model tilvækst, slagteform, fe'!$D$9))*1000/(A347+Forudsætninger!$E$60))</f>
        <v>#N/A</v>
      </c>
      <c r="N347" s="17" t="e">
        <f t="shared" si="166"/>
        <v>#N/A</v>
      </c>
      <c r="O347" s="19" t="e">
        <f>IF( A347&lt;Forudsætninger!$C$14,(G347/100)*Forudsætninger!$C$13,(Forudsætninger!$C$15/1000)*Forudsætninger!$C$13)</f>
        <v>#N/A</v>
      </c>
      <c r="P347" s="17" t="e" cm="1">
        <f t="array" ref="P347">INDEX('Model tilvækst, slagteform, fe'!$P$9:$P$375,MATCH(MIN(ABS('Model tilvækst, slagteform, fe'!$M$9:$M$375-G347)),ABS('Model tilvækst, slagteform, fe'!$M$9:$M$375-G347),0))*(1+Forudsætninger!$E$80)</f>
        <v>#N/A</v>
      </c>
      <c r="Q347" s="17" t="e">
        <f t="shared" si="167"/>
        <v>#N/A</v>
      </c>
      <c r="R347" s="17" t="e">
        <f t="shared" si="168"/>
        <v>#N/A</v>
      </c>
      <c r="S347" s="17" t="e">
        <f t="shared" si="169"/>
        <v>#N/A</v>
      </c>
      <c r="T347" s="19" t="e">
        <f>(P347)*IF(N347&lt;Forudsætninger!$B$228,IF(N347&lt;Forudsætninger!$B$227,Forudsætninger!$B$225,Forudsætninger!$C$9),Forudsætninger!$C$11)+O347</f>
        <v>#N/A</v>
      </c>
      <c r="U347" s="5" t="e">
        <f>Forudsætninger!$E$68+((K347-(Forudsætninger!$E$84)))*0.01</f>
        <v>#N/A</v>
      </c>
      <c r="V347" s="2" t="e">
        <f>U347+Forudsætninger!$E$69</f>
        <v>#N/A</v>
      </c>
      <c r="W347" t="e">
        <f t="shared" si="158"/>
        <v>#N/A</v>
      </c>
      <c r="X347">
        <f>IF(A347+Forudsætninger!$E$60&gt;248,IF(A347+Forudsætninger!$E$60&lt;365,IF(K347&gt;180,IF(K347&lt;260,1,0),0),0),0)</f>
        <v>0</v>
      </c>
      <c r="Y347" s="22">
        <f>IF(X347=0,0,IF('Vækstfunktion, kry kvie'!A347&lt;Forudsætninger!$E$66,Forudsætninger!$E$67+(('Vækstfunktion, kry kvie'!A347-Forudsætninger!$E$66)/7)*Forudsætninger!$E$64,Forudsætninger!$E$67))</f>
        <v>0</v>
      </c>
      <c r="Z347" s="19" t="e">
        <f t="shared" si="173"/>
        <v>#N/A</v>
      </c>
      <c r="AA347" s="19">
        <f>Forudsætninger!$E$62+Forudsætninger!$C$16</f>
        <v>1575</v>
      </c>
      <c r="AB347" s="19" t="e">
        <f>IF(K347&gt;Forudsætninger!$C$48,IF(K347&gt;Forudsætninger!$C$49,IF(K347&gt;Forudsætninger!$C$50,Forudsætninger!$E$50,Forudsætninger!$E$49+Forudsætninger!$F$50*(K347-Forudsætninger!$C$49)),Forudsætninger!$E$48+Forudsætninger!$F$49*(K347-Forudsætninger!$C$48)),Forudsætninger!$E$48)+IF(K347&gt;Forudsætninger!$C$50,Forudsætninger!$G$50,IF(K347&gt;Forudsætninger!$C$49,Forudsætninger!$G$49+Forudsætninger!$H$50*(K347-Forudsætninger!$C$49),IF(K347&gt;Forudsætninger!$C$48,Forudsætninger!$G$48+Forudsætninger!$H$49*(K347-Forudsætninger!$C$48),Forudsætninger!$G$48)))*(U347-Forudsætninger!$H$48)</f>
        <v>#N/A</v>
      </c>
      <c r="AC347" s="19" t="e">
        <f>IF(K347&gt;Forudsætninger!$C$52,IF(K347&gt;Forudsætninger!$C$53,IF(K347&gt;Forudsætninger!$C$54,Forudsætninger!$E$54,Forudsætninger!$E$53+Forudsætninger!$F$54*(K347-Forudsætninger!$C$53)),Forudsætninger!$E$52+Forudsætninger!$F$53*(K347-Forudsætninger!$C$52)),Forudsætninger!$E$52)+IF(K347&gt;Forudsætninger!$C$54,Forudsætninger!$G$54,IF(K347&gt;Forudsætninger!$C$53,Forudsætninger!$G$53+Forudsætninger!$H$54*(K347-Forudsætninger!$C$53),IF(K347&gt;Forudsætninger!$C$52,Forudsætninger!$G$52+Forudsætninger!$H$53*(K347-Forudsætninger!$C$52),Forudsætninger!$G$52)))*(V347-Forudsætninger!$H$52)</f>
        <v>#N/A</v>
      </c>
      <c r="AD347" s="19" t="e">
        <f t="shared" si="159"/>
        <v>#N/A</v>
      </c>
      <c r="AE347" s="19" t="e">
        <f t="shared" si="160"/>
        <v>#N/A</v>
      </c>
      <c r="AF347" t="e">
        <f>IF(G347&lt;=Forudsætninger!$C$97,Forudsætninger!$C$98,(IF(G347&lt;=Forudsætninger!$D$97,Forudsætninger!$D$98,IF(G347&lt;=Forudsætninger!$E$97,Forudsætninger!$E$98,IF(G347&lt;=Forudsætninger!$F$97,Forudsætninger!$F$98,IF(G347&lt;=Forudsætninger!$G$97,Forudsætninger!$G$98,IF(G347&lt;=Forudsætninger!$H$97,Forudsætninger!$H$98,IF(G347&lt;=Forudsætninger!$I$97,Forudsætninger!$I$98,Forudsætninger!$I$98))))))))</f>
        <v>#N/A</v>
      </c>
      <c r="AG347" s="1" t="e">
        <f t="shared" si="170"/>
        <v>#N/A</v>
      </c>
      <c r="AH347" s="1" t="e">
        <f t="shared" si="174"/>
        <v>#N/A</v>
      </c>
      <c r="AI347" s="1" t="e">
        <f t="shared" si="161"/>
        <v>#N/A</v>
      </c>
      <c r="AJ347" s="20" t="e">
        <f>+(W347*Forudsætninger!$C$12)</f>
        <v>#N/A</v>
      </c>
      <c r="AK347" s="20">
        <f>Forudsætninger!$C$17</f>
        <v>250</v>
      </c>
      <c r="AL347" s="20">
        <f>IF(A347&lt;92,Forudsætninger!$C$20,Forudsætninger!$C$21)</f>
        <v>1.0566762728146013</v>
      </c>
      <c r="AM347" s="20">
        <f t="shared" si="171"/>
        <v>633.05879697432636</v>
      </c>
      <c r="AN347" s="19">
        <f>IFERROR(AD347+AJ347-AA347-Z347-AK347-AM347-Forudsætninger!$E$75,-999999)</f>
        <v>-999999</v>
      </c>
      <c r="AO347" s="19">
        <f>IFERROR(AN347/(A347+Forudsætninger!$E$74),-999999)</f>
        <v>-2898.5478260869563</v>
      </c>
      <c r="AP347" s="19">
        <f>IFERROR(((365/(A347+Forudsætninger!$E$74))*AN347)/(AI347+Forudsætninger!$E$73),-999999)</f>
        <v>-999999</v>
      </c>
      <c r="AQ347" s="18">
        <f t="shared" si="162"/>
        <v>345</v>
      </c>
      <c r="AR347" s="18" t="e">
        <f t="shared" si="175"/>
        <v>#N/A</v>
      </c>
      <c r="AS347" s="18">
        <f t="shared" si="154"/>
        <v>12.5</v>
      </c>
      <c r="AT347" s="50">
        <f t="shared" si="176"/>
        <v>0</v>
      </c>
      <c r="AU347" s="50">
        <f t="shared" si="177"/>
        <v>8.4260111223461536</v>
      </c>
      <c r="AV347" s="2">
        <f t="shared" si="178"/>
        <v>0</v>
      </c>
      <c r="AW347" s="16">
        <f t="shared" si="172"/>
        <v>-2896.7128730522481</v>
      </c>
      <c r="AZ347" s="16"/>
      <c r="BA347" s="2"/>
    </row>
    <row r="348" spans="1:53" x14ac:dyDescent="0.25">
      <c r="A348">
        <v>346</v>
      </c>
      <c r="B348" s="1">
        <f>ROUND((A348+Forudsætninger!$E$60)/30.4,1)</f>
        <v>12.6</v>
      </c>
      <c r="C348" s="1" t="e">
        <f>VLOOKUP((A348+Forudsætninger!$E$60),'Model tilvækst, slagteform, fe'!A:D,4,FALSE)</f>
        <v>#N/A</v>
      </c>
      <c r="D348" s="3" t="e">
        <f t="shared" si="179"/>
        <v>#N/A</v>
      </c>
      <c r="E348" s="3" t="e">
        <f>(1+Forudsætninger!$E$78)*C348</f>
        <v>#N/A</v>
      </c>
      <c r="F348" s="2" t="e">
        <f t="shared" si="163"/>
        <v>#N/A</v>
      </c>
      <c r="G348" s="1" t="e">
        <f t="shared" si="155"/>
        <v>#N/A</v>
      </c>
      <c r="H348" s="3" t="e">
        <f t="shared" si="164"/>
        <v>#N/A</v>
      </c>
      <c r="I348" s="3" t="e">
        <f t="shared" si="156"/>
        <v>#N/A</v>
      </c>
      <c r="J348" s="1" t="e">
        <f>VLOOKUP((A348+Forudsætninger!$E$60),'Model tilvækst, slagteform, fe'!G:K,4,FALSE)*(1+Forudsætninger!$E$79)</f>
        <v>#N/A</v>
      </c>
      <c r="K348" s="17" t="e">
        <f t="shared" si="157"/>
        <v>#N/A</v>
      </c>
      <c r="L348" s="17" t="e">
        <f t="shared" si="165"/>
        <v>#N/A</v>
      </c>
      <c r="M348" s="3" t="e">
        <f>((K348-(('Model tilvækst, slagteform, fe'!$J$9/100)*'Model tilvækst, slagteform, fe'!$D$9))*1000/(A348+Forudsætninger!$E$60))</f>
        <v>#N/A</v>
      </c>
      <c r="N348" s="17" t="e">
        <f t="shared" si="166"/>
        <v>#N/A</v>
      </c>
      <c r="O348" s="19" t="e">
        <f>IF( A348&lt;Forudsætninger!$C$14,(G348/100)*Forudsætninger!$C$13,(Forudsætninger!$C$15/1000)*Forudsætninger!$C$13)</f>
        <v>#N/A</v>
      </c>
      <c r="P348" s="17" t="e" cm="1">
        <f t="array" ref="P348">INDEX('Model tilvækst, slagteform, fe'!$P$9:$P$375,MATCH(MIN(ABS('Model tilvækst, slagteform, fe'!$M$9:$M$375-G348)),ABS('Model tilvækst, slagteform, fe'!$M$9:$M$375-G348),0))*(1+Forudsætninger!$E$80)</f>
        <v>#N/A</v>
      </c>
      <c r="Q348" s="17" t="e">
        <f t="shared" si="167"/>
        <v>#N/A</v>
      </c>
      <c r="R348" s="17" t="e">
        <f t="shared" si="168"/>
        <v>#N/A</v>
      </c>
      <c r="S348" s="17" t="e">
        <f t="shared" si="169"/>
        <v>#N/A</v>
      </c>
      <c r="T348" s="19" t="e">
        <f>(P348)*IF(N348&lt;Forudsætninger!$B$228,IF(N348&lt;Forudsætninger!$B$227,Forudsætninger!$B$225,Forudsætninger!$C$9),Forudsætninger!$C$11)+O348</f>
        <v>#N/A</v>
      </c>
      <c r="U348" s="5" t="e">
        <f>Forudsætninger!$E$68+((K348-(Forudsætninger!$E$84)))*0.01</f>
        <v>#N/A</v>
      </c>
      <c r="V348" s="2" t="e">
        <f>U348+Forudsætninger!$E$69</f>
        <v>#N/A</v>
      </c>
      <c r="W348" t="e">
        <f t="shared" si="158"/>
        <v>#N/A</v>
      </c>
      <c r="X348">
        <f>IF(A348+Forudsætninger!$E$60&gt;248,IF(A348+Forudsætninger!$E$60&lt;365,IF(K348&gt;180,IF(K348&lt;260,1,0),0),0),0)</f>
        <v>0</v>
      </c>
      <c r="Y348" s="22">
        <f>IF(X348=0,0,IF('Vækstfunktion, kry kvie'!A348&lt;Forudsætninger!$E$66,Forudsætninger!$E$67+(('Vækstfunktion, kry kvie'!A348-Forudsætninger!$E$66)/7)*Forudsætninger!$E$64,Forudsætninger!$E$67))</f>
        <v>0</v>
      </c>
      <c r="Z348" s="19" t="e">
        <f t="shared" si="173"/>
        <v>#N/A</v>
      </c>
      <c r="AA348" s="19">
        <f>Forudsætninger!$E$62+Forudsætninger!$C$16</f>
        <v>1575</v>
      </c>
      <c r="AB348" s="19" t="e">
        <f>IF(K348&gt;Forudsætninger!$C$48,IF(K348&gt;Forudsætninger!$C$49,IF(K348&gt;Forudsætninger!$C$50,Forudsætninger!$E$50,Forudsætninger!$E$49+Forudsætninger!$F$50*(K348-Forudsætninger!$C$49)),Forudsætninger!$E$48+Forudsætninger!$F$49*(K348-Forudsætninger!$C$48)),Forudsætninger!$E$48)+IF(K348&gt;Forudsætninger!$C$50,Forudsætninger!$G$50,IF(K348&gt;Forudsætninger!$C$49,Forudsætninger!$G$49+Forudsætninger!$H$50*(K348-Forudsætninger!$C$49),IF(K348&gt;Forudsætninger!$C$48,Forudsætninger!$G$48+Forudsætninger!$H$49*(K348-Forudsætninger!$C$48),Forudsætninger!$G$48)))*(U348-Forudsætninger!$H$48)</f>
        <v>#N/A</v>
      </c>
      <c r="AC348" s="19" t="e">
        <f>IF(K348&gt;Forudsætninger!$C$52,IF(K348&gt;Forudsætninger!$C$53,IF(K348&gt;Forudsætninger!$C$54,Forudsætninger!$E$54,Forudsætninger!$E$53+Forudsætninger!$F$54*(K348-Forudsætninger!$C$53)),Forudsætninger!$E$52+Forudsætninger!$F$53*(K348-Forudsætninger!$C$52)),Forudsætninger!$E$52)+IF(K348&gt;Forudsætninger!$C$54,Forudsætninger!$G$54,IF(K348&gt;Forudsætninger!$C$53,Forudsætninger!$G$53+Forudsætninger!$H$54*(K348-Forudsætninger!$C$53),IF(K348&gt;Forudsætninger!$C$52,Forudsætninger!$G$52+Forudsætninger!$H$53*(K348-Forudsætninger!$C$52),Forudsætninger!$G$52)))*(V348-Forudsætninger!$H$52)</f>
        <v>#N/A</v>
      </c>
      <c r="AD348" s="19" t="e">
        <f t="shared" si="159"/>
        <v>#N/A</v>
      </c>
      <c r="AE348" s="19" t="e">
        <f t="shared" si="160"/>
        <v>#N/A</v>
      </c>
      <c r="AF348" t="e">
        <f>IF(G348&lt;=Forudsætninger!$C$97,Forudsætninger!$C$98,(IF(G348&lt;=Forudsætninger!$D$97,Forudsætninger!$D$98,IF(G348&lt;=Forudsætninger!$E$97,Forudsætninger!$E$98,IF(G348&lt;=Forudsætninger!$F$97,Forudsætninger!$F$98,IF(G348&lt;=Forudsætninger!$G$97,Forudsætninger!$G$98,IF(G348&lt;=Forudsætninger!$H$97,Forudsætninger!$H$98,IF(G348&lt;=Forudsætninger!$I$97,Forudsætninger!$I$98,Forudsætninger!$I$98))))))))</f>
        <v>#N/A</v>
      </c>
      <c r="AG348" s="1" t="e">
        <f t="shared" si="170"/>
        <v>#N/A</v>
      </c>
      <c r="AH348" s="1" t="e">
        <f t="shared" si="174"/>
        <v>#N/A</v>
      </c>
      <c r="AI348" s="1" t="e">
        <f t="shared" si="161"/>
        <v>#N/A</v>
      </c>
      <c r="AJ348" s="20" t="e">
        <f>+(W348*Forudsætninger!$C$12)</f>
        <v>#N/A</v>
      </c>
      <c r="AK348" s="20">
        <f>Forudsætninger!$C$17</f>
        <v>250</v>
      </c>
      <c r="AL348" s="20">
        <f>IF(A348&lt;92,Forudsætninger!$C$20,Forudsætninger!$C$21)</f>
        <v>1.0566762728146013</v>
      </c>
      <c r="AM348" s="20">
        <f t="shared" si="171"/>
        <v>634.11547324714093</v>
      </c>
      <c r="AN348" s="19">
        <f>IFERROR(AD348+AJ348-AA348-Z348-AK348-AM348-Forudsætninger!$E$75,-999999)</f>
        <v>-999999</v>
      </c>
      <c r="AO348" s="19">
        <f>IFERROR(AN348/(A348+Forudsætninger!$E$74),-999999)</f>
        <v>-2890.1705202312137</v>
      </c>
      <c r="AP348" s="19">
        <f>IFERROR(((365/(A348+Forudsætninger!$E$74))*AN348)/(AI348+Forudsætninger!$E$73),-999999)</f>
        <v>-999999</v>
      </c>
      <c r="AQ348" s="18">
        <f t="shared" si="162"/>
        <v>346</v>
      </c>
      <c r="AR348" s="18" t="e">
        <f t="shared" si="175"/>
        <v>#N/A</v>
      </c>
      <c r="AS348" s="18">
        <f t="shared" si="154"/>
        <v>12.6</v>
      </c>
      <c r="AT348" s="50">
        <f t="shared" si="176"/>
        <v>0</v>
      </c>
      <c r="AU348" s="50">
        <f t="shared" si="177"/>
        <v>8.3773058557426339</v>
      </c>
      <c r="AV348" s="2">
        <f t="shared" si="178"/>
        <v>0</v>
      </c>
      <c r="AW348" s="16">
        <f t="shared" si="172"/>
        <v>-2888.3378165513091</v>
      </c>
      <c r="AZ348" s="16"/>
      <c r="BA348" s="2"/>
    </row>
    <row r="349" spans="1:53" x14ac:dyDescent="0.25">
      <c r="A349">
        <v>347</v>
      </c>
      <c r="B349" s="1">
        <f>ROUND((A349+Forudsætninger!$E$60)/30.4,1)</f>
        <v>12.6</v>
      </c>
      <c r="C349" s="1" t="e">
        <f>VLOOKUP((A349+Forudsætninger!$E$60),'Model tilvækst, slagteform, fe'!A:D,4,FALSE)</f>
        <v>#N/A</v>
      </c>
      <c r="D349" s="3" t="e">
        <f t="shared" si="179"/>
        <v>#N/A</v>
      </c>
      <c r="E349" s="3" t="e">
        <f>(1+Forudsætninger!$E$78)*C349</f>
        <v>#N/A</v>
      </c>
      <c r="F349" s="2" t="e">
        <f t="shared" si="163"/>
        <v>#N/A</v>
      </c>
      <c r="G349" s="1" t="e">
        <f t="shared" si="155"/>
        <v>#N/A</v>
      </c>
      <c r="H349" s="3" t="e">
        <f t="shared" si="164"/>
        <v>#N/A</v>
      </c>
      <c r="I349" s="3" t="e">
        <f t="shared" si="156"/>
        <v>#N/A</v>
      </c>
      <c r="J349" s="1" t="e">
        <f>VLOOKUP((A349+Forudsætninger!$E$60),'Model tilvækst, slagteform, fe'!G:K,4,FALSE)*(1+Forudsætninger!$E$79)</f>
        <v>#N/A</v>
      </c>
      <c r="K349" s="17" t="e">
        <f t="shared" si="157"/>
        <v>#N/A</v>
      </c>
      <c r="L349" s="17" t="e">
        <f t="shared" si="165"/>
        <v>#N/A</v>
      </c>
      <c r="M349" s="3" t="e">
        <f>((K349-(('Model tilvækst, slagteform, fe'!$J$9/100)*'Model tilvækst, slagteform, fe'!$D$9))*1000/(A349+Forudsætninger!$E$60))</f>
        <v>#N/A</v>
      </c>
      <c r="N349" s="17" t="e">
        <f t="shared" si="166"/>
        <v>#N/A</v>
      </c>
      <c r="O349" s="19" t="e">
        <f>IF( A349&lt;Forudsætninger!$C$14,(G349/100)*Forudsætninger!$C$13,(Forudsætninger!$C$15/1000)*Forudsætninger!$C$13)</f>
        <v>#N/A</v>
      </c>
      <c r="P349" s="17" t="e" cm="1">
        <f t="array" ref="P349">INDEX('Model tilvækst, slagteform, fe'!$P$9:$P$375,MATCH(MIN(ABS('Model tilvækst, slagteform, fe'!$M$9:$M$375-G349)),ABS('Model tilvækst, slagteform, fe'!$M$9:$M$375-G349),0))*(1+Forudsætninger!$E$80)</f>
        <v>#N/A</v>
      </c>
      <c r="Q349" s="17" t="e">
        <f t="shared" si="167"/>
        <v>#N/A</v>
      </c>
      <c r="R349" s="17" t="e">
        <f t="shared" si="168"/>
        <v>#N/A</v>
      </c>
      <c r="S349" s="17" t="e">
        <f t="shared" si="169"/>
        <v>#N/A</v>
      </c>
      <c r="T349" s="19" t="e">
        <f>(P349)*IF(N349&lt;Forudsætninger!$B$228,IF(N349&lt;Forudsætninger!$B$227,Forudsætninger!$B$225,Forudsætninger!$C$9),Forudsætninger!$C$11)+O349</f>
        <v>#N/A</v>
      </c>
      <c r="U349" s="5" t="e">
        <f>Forudsætninger!$E$68+((K349-(Forudsætninger!$E$84)))*0.01</f>
        <v>#N/A</v>
      </c>
      <c r="V349" s="2" t="e">
        <f>U349+Forudsætninger!$E$69</f>
        <v>#N/A</v>
      </c>
      <c r="W349" t="e">
        <f t="shared" si="158"/>
        <v>#N/A</v>
      </c>
      <c r="X349">
        <f>IF(A349+Forudsætninger!$E$60&gt;248,IF(A349+Forudsætninger!$E$60&lt;365,IF(K349&gt;180,IF(K349&lt;260,1,0),0),0),0)</f>
        <v>0</v>
      </c>
      <c r="Y349" s="22">
        <f>IF(X349=0,0,IF('Vækstfunktion, kry kvie'!A349&lt;Forudsætninger!$E$66,Forudsætninger!$E$67+(('Vækstfunktion, kry kvie'!A349-Forudsætninger!$E$66)/7)*Forudsætninger!$E$64,Forudsætninger!$E$67))</f>
        <v>0</v>
      </c>
      <c r="Z349" s="19" t="e">
        <f t="shared" si="173"/>
        <v>#N/A</v>
      </c>
      <c r="AA349" s="19">
        <f>Forudsætninger!$E$62+Forudsætninger!$C$16</f>
        <v>1575</v>
      </c>
      <c r="AB349" s="19" t="e">
        <f>IF(K349&gt;Forudsætninger!$C$48,IF(K349&gt;Forudsætninger!$C$49,IF(K349&gt;Forudsætninger!$C$50,Forudsætninger!$E$50,Forudsætninger!$E$49+Forudsætninger!$F$50*(K349-Forudsætninger!$C$49)),Forudsætninger!$E$48+Forudsætninger!$F$49*(K349-Forudsætninger!$C$48)),Forudsætninger!$E$48)+IF(K349&gt;Forudsætninger!$C$50,Forudsætninger!$G$50,IF(K349&gt;Forudsætninger!$C$49,Forudsætninger!$G$49+Forudsætninger!$H$50*(K349-Forudsætninger!$C$49),IF(K349&gt;Forudsætninger!$C$48,Forudsætninger!$G$48+Forudsætninger!$H$49*(K349-Forudsætninger!$C$48),Forudsætninger!$G$48)))*(U349-Forudsætninger!$H$48)</f>
        <v>#N/A</v>
      </c>
      <c r="AC349" s="19" t="e">
        <f>IF(K349&gt;Forudsætninger!$C$52,IF(K349&gt;Forudsætninger!$C$53,IF(K349&gt;Forudsætninger!$C$54,Forudsætninger!$E$54,Forudsætninger!$E$53+Forudsætninger!$F$54*(K349-Forudsætninger!$C$53)),Forudsætninger!$E$52+Forudsætninger!$F$53*(K349-Forudsætninger!$C$52)),Forudsætninger!$E$52)+IF(K349&gt;Forudsætninger!$C$54,Forudsætninger!$G$54,IF(K349&gt;Forudsætninger!$C$53,Forudsætninger!$G$53+Forudsætninger!$H$54*(K349-Forudsætninger!$C$53),IF(K349&gt;Forudsætninger!$C$52,Forudsætninger!$G$52+Forudsætninger!$H$53*(K349-Forudsætninger!$C$52),Forudsætninger!$G$52)))*(V349-Forudsætninger!$H$52)</f>
        <v>#N/A</v>
      </c>
      <c r="AD349" s="19" t="e">
        <f t="shared" si="159"/>
        <v>#N/A</v>
      </c>
      <c r="AE349" s="19" t="e">
        <f t="shared" si="160"/>
        <v>#N/A</v>
      </c>
      <c r="AF349" t="e">
        <f>IF(G349&lt;=Forudsætninger!$C$97,Forudsætninger!$C$98,(IF(G349&lt;=Forudsætninger!$D$97,Forudsætninger!$D$98,IF(G349&lt;=Forudsætninger!$E$97,Forudsætninger!$E$98,IF(G349&lt;=Forudsætninger!$F$97,Forudsætninger!$F$98,IF(G349&lt;=Forudsætninger!$G$97,Forudsætninger!$G$98,IF(G349&lt;=Forudsætninger!$H$97,Forudsætninger!$H$98,IF(G349&lt;=Forudsætninger!$I$97,Forudsætninger!$I$98,Forudsætninger!$I$98))))))))</f>
        <v>#N/A</v>
      </c>
      <c r="AG349" s="1" t="e">
        <f t="shared" si="170"/>
        <v>#N/A</v>
      </c>
      <c r="AH349" s="1" t="e">
        <f t="shared" si="174"/>
        <v>#N/A</v>
      </c>
      <c r="AI349" s="1" t="e">
        <f t="shared" si="161"/>
        <v>#N/A</v>
      </c>
      <c r="AJ349" s="20" t="e">
        <f>+(W349*Forudsætninger!$C$12)</f>
        <v>#N/A</v>
      </c>
      <c r="AK349" s="20">
        <f>Forudsætninger!$C$17</f>
        <v>250</v>
      </c>
      <c r="AL349" s="20">
        <f>IF(A349&lt;92,Forudsætninger!$C$20,Forudsætninger!$C$21)</f>
        <v>1.0566762728146013</v>
      </c>
      <c r="AM349" s="20">
        <f t="shared" si="171"/>
        <v>635.1721495199555</v>
      </c>
      <c r="AN349" s="19">
        <f>IFERROR(AD349+AJ349-AA349-Z349-AK349-AM349-Forudsætninger!$E$75,-999999)</f>
        <v>-999999</v>
      </c>
      <c r="AO349" s="19">
        <f>IFERROR(AN349/(A349+Forudsætninger!$E$74),-999999)</f>
        <v>-2881.841498559078</v>
      </c>
      <c r="AP349" s="19">
        <f>IFERROR(((365/(A349+Forudsætninger!$E$74))*AN349)/(AI349+Forudsætninger!$E$73),-999999)</f>
        <v>-999999</v>
      </c>
      <c r="AQ349" s="18">
        <f t="shared" si="162"/>
        <v>347</v>
      </c>
      <c r="AR349" s="18" t="e">
        <f t="shared" si="175"/>
        <v>#N/A</v>
      </c>
      <c r="AS349" s="18">
        <f t="shared" si="154"/>
        <v>12.6</v>
      </c>
      <c r="AT349" s="50">
        <f t="shared" si="176"/>
        <v>0</v>
      </c>
      <c r="AU349" s="50">
        <f t="shared" si="177"/>
        <v>8.3290216721356956</v>
      </c>
      <c r="AV349" s="2">
        <f t="shared" si="178"/>
        <v>0</v>
      </c>
      <c r="AW349" s="16">
        <f t="shared" si="172"/>
        <v>-2880.0110312693951</v>
      </c>
      <c r="AZ349" s="16"/>
      <c r="BA349" s="2"/>
    </row>
    <row r="350" spans="1:53" x14ac:dyDescent="0.25">
      <c r="A350">
        <v>348</v>
      </c>
      <c r="B350" s="1">
        <f>ROUND((A350+Forudsætninger!$E$60)/30.4,1)</f>
        <v>12.6</v>
      </c>
      <c r="C350" s="1" t="e">
        <f>VLOOKUP((A350+Forudsætninger!$E$60),'Model tilvækst, slagteform, fe'!A:D,4,FALSE)</f>
        <v>#N/A</v>
      </c>
      <c r="D350" s="3" t="e">
        <f t="shared" si="179"/>
        <v>#N/A</v>
      </c>
      <c r="E350" s="3" t="e">
        <f>(1+Forudsætninger!$E$78)*C350</f>
        <v>#N/A</v>
      </c>
      <c r="F350" s="2" t="e">
        <f t="shared" si="163"/>
        <v>#N/A</v>
      </c>
      <c r="G350" s="1" t="e">
        <f t="shared" si="155"/>
        <v>#N/A</v>
      </c>
      <c r="H350" s="3" t="e">
        <f t="shared" si="164"/>
        <v>#N/A</v>
      </c>
      <c r="I350" s="3" t="e">
        <f t="shared" si="156"/>
        <v>#N/A</v>
      </c>
      <c r="J350" s="1" t="e">
        <f>VLOOKUP((A350+Forudsætninger!$E$60),'Model tilvækst, slagteform, fe'!G:K,4,FALSE)*(1+Forudsætninger!$E$79)</f>
        <v>#N/A</v>
      </c>
      <c r="K350" s="17" t="e">
        <f t="shared" si="157"/>
        <v>#N/A</v>
      </c>
      <c r="L350" s="17" t="e">
        <f t="shared" si="165"/>
        <v>#N/A</v>
      </c>
      <c r="M350" s="3" t="e">
        <f>((K350-(('Model tilvækst, slagteform, fe'!$J$9/100)*'Model tilvækst, slagteform, fe'!$D$9))*1000/(A350+Forudsætninger!$E$60))</f>
        <v>#N/A</v>
      </c>
      <c r="N350" s="17" t="e">
        <f t="shared" si="166"/>
        <v>#N/A</v>
      </c>
      <c r="O350" s="19" t="e">
        <f>IF( A350&lt;Forudsætninger!$C$14,(G350/100)*Forudsætninger!$C$13,(Forudsætninger!$C$15/1000)*Forudsætninger!$C$13)</f>
        <v>#N/A</v>
      </c>
      <c r="P350" s="17" t="e" cm="1">
        <f t="array" ref="P350">INDEX('Model tilvækst, slagteform, fe'!$P$9:$P$375,MATCH(MIN(ABS('Model tilvækst, slagteform, fe'!$M$9:$M$375-G350)),ABS('Model tilvækst, slagteform, fe'!$M$9:$M$375-G350),0))*(1+Forudsætninger!$E$80)</f>
        <v>#N/A</v>
      </c>
      <c r="Q350" s="17" t="e">
        <f t="shared" si="167"/>
        <v>#N/A</v>
      </c>
      <c r="R350" s="17" t="e">
        <f t="shared" si="168"/>
        <v>#N/A</v>
      </c>
      <c r="S350" s="17" t="e">
        <f t="shared" si="169"/>
        <v>#N/A</v>
      </c>
      <c r="T350" s="19" t="e">
        <f>(P350)*IF(N350&lt;Forudsætninger!$B$228,IF(N350&lt;Forudsætninger!$B$227,Forudsætninger!$B$225,Forudsætninger!$C$9),Forudsætninger!$C$11)+O350</f>
        <v>#N/A</v>
      </c>
      <c r="U350" s="5" t="e">
        <f>Forudsætninger!$E$68+((K350-(Forudsætninger!$E$84)))*0.01</f>
        <v>#N/A</v>
      </c>
      <c r="V350" s="2" t="e">
        <f>U350+Forudsætninger!$E$69</f>
        <v>#N/A</v>
      </c>
      <c r="W350" t="e">
        <f t="shared" si="158"/>
        <v>#N/A</v>
      </c>
      <c r="X350">
        <f>IF(A350+Forudsætninger!$E$60&gt;248,IF(A350+Forudsætninger!$E$60&lt;365,IF(K350&gt;180,IF(K350&lt;260,1,0),0),0),0)</f>
        <v>0</v>
      </c>
      <c r="Y350" s="22">
        <f>IF(X350=0,0,IF('Vækstfunktion, kry kvie'!A350&lt;Forudsætninger!$E$66,Forudsætninger!$E$67+(('Vækstfunktion, kry kvie'!A350-Forudsætninger!$E$66)/7)*Forudsætninger!$E$64,Forudsætninger!$E$67))</f>
        <v>0</v>
      </c>
      <c r="Z350" s="19" t="e">
        <f>Z349+T350</f>
        <v>#N/A</v>
      </c>
      <c r="AA350" s="19">
        <f>Forudsætninger!$E$62+Forudsætninger!$C$16</f>
        <v>1575</v>
      </c>
      <c r="AB350" s="19" t="e">
        <f>IF(K350&gt;Forudsætninger!$C$48,IF(K350&gt;Forudsætninger!$C$49,IF(K350&gt;Forudsætninger!$C$50,Forudsætninger!$E$50,Forudsætninger!$E$49+Forudsætninger!$F$50*(K350-Forudsætninger!$C$49)),Forudsætninger!$E$48+Forudsætninger!$F$49*(K350-Forudsætninger!$C$48)),Forudsætninger!$E$48)+IF(K350&gt;Forudsætninger!$C$50,Forudsætninger!$G$50,IF(K350&gt;Forudsætninger!$C$49,Forudsætninger!$G$49+Forudsætninger!$H$50*(K350-Forudsætninger!$C$49),IF(K350&gt;Forudsætninger!$C$48,Forudsætninger!$G$48+Forudsætninger!$H$49*(K350-Forudsætninger!$C$48),Forudsætninger!$G$48)))*(U350-Forudsætninger!$H$48)</f>
        <v>#N/A</v>
      </c>
      <c r="AC350" s="19" t="e">
        <f>IF(K350&gt;Forudsætninger!$C$52,IF(K350&gt;Forudsætninger!$C$53,IF(K350&gt;Forudsætninger!$C$54,Forudsætninger!$E$54,Forudsætninger!$E$53+Forudsætninger!$F$54*(K350-Forudsætninger!$C$53)),Forudsætninger!$E$52+Forudsætninger!$F$53*(K350-Forudsætninger!$C$52)),Forudsætninger!$E$52)+IF(K350&gt;Forudsætninger!$C$54,Forudsætninger!$G$54,IF(K350&gt;Forudsætninger!$C$53,Forudsætninger!$G$53+Forudsætninger!$H$54*(K350-Forudsætninger!$C$53),IF(K350&gt;Forudsætninger!$C$52,Forudsætninger!$G$52+Forudsætninger!$H$53*(K350-Forudsætninger!$C$52),Forudsætninger!$G$52)))*(V350-Forudsætninger!$H$52)</f>
        <v>#N/A</v>
      </c>
      <c r="AD350" s="19" t="e">
        <f t="shared" si="159"/>
        <v>#N/A</v>
      </c>
      <c r="AE350" s="19" t="e">
        <f t="shared" si="160"/>
        <v>#N/A</v>
      </c>
      <c r="AF350" t="e">
        <f>IF(G350&lt;=Forudsætninger!$C$97,Forudsætninger!$C$98,(IF(G350&lt;=Forudsætninger!$D$97,Forudsætninger!$D$98,IF(G350&lt;=Forudsætninger!$E$97,Forudsætninger!$E$98,IF(G350&lt;=Forudsætninger!$F$97,Forudsætninger!$F$98,IF(G350&lt;=Forudsætninger!$G$97,Forudsætninger!$G$98,IF(G350&lt;=Forudsætninger!$H$97,Forudsætninger!$H$98,IF(G350&lt;=Forudsætninger!$I$97,Forudsætninger!$I$98,Forudsætninger!$I$98))))))))</f>
        <v>#N/A</v>
      </c>
      <c r="AG350" s="1" t="e">
        <f t="shared" si="170"/>
        <v>#N/A</v>
      </c>
      <c r="AH350" s="1" t="e">
        <f t="shared" si="174"/>
        <v>#N/A</v>
      </c>
      <c r="AI350" s="1" t="e">
        <f t="shared" si="161"/>
        <v>#N/A</v>
      </c>
      <c r="AJ350" s="20" t="e">
        <f>+(W350*Forudsætninger!$C$12)</f>
        <v>#N/A</v>
      </c>
      <c r="AK350" s="20">
        <f>Forudsætninger!$C$17</f>
        <v>250</v>
      </c>
      <c r="AL350" s="20">
        <f>IF(A350&lt;92,Forudsætninger!$C$20,Forudsætninger!$C$21)</f>
        <v>1.0566762728146013</v>
      </c>
      <c r="AM350" s="20">
        <f t="shared" si="171"/>
        <v>636.22882579277007</v>
      </c>
      <c r="AN350" s="19">
        <f>IFERROR(AD350+AJ350-AA350-Z350-AK350-AM350-Forudsætninger!$E$75,-999999)</f>
        <v>-999999</v>
      </c>
      <c r="AO350" s="19">
        <f>IFERROR(AN350/(A350+Forudsætninger!$E$74),-999999)</f>
        <v>-2873.5603448275861</v>
      </c>
      <c r="AP350" s="19">
        <f>IFERROR(((365/(A350+Forudsætninger!$E$74))*AN350)/(AI350+Forudsætninger!$E$73),-999999)</f>
        <v>-999999</v>
      </c>
      <c r="AQ350" s="18">
        <f t="shared" si="162"/>
        <v>348</v>
      </c>
      <c r="AR350" s="18" t="e">
        <f t="shared" si="175"/>
        <v>#N/A</v>
      </c>
      <c r="AS350" s="18">
        <f t="shared" si="154"/>
        <v>12.6</v>
      </c>
      <c r="AT350" s="50">
        <f t="shared" si="176"/>
        <v>0</v>
      </c>
      <c r="AU350" s="50">
        <f t="shared" si="177"/>
        <v>8.2811537314919406</v>
      </c>
      <c r="AV350" s="2">
        <f t="shared" si="178"/>
        <v>0</v>
      </c>
      <c r="AW350" s="16">
        <f t="shared" si="172"/>
        <v>-2871.732101075308</v>
      </c>
      <c r="AZ350" s="16"/>
      <c r="BA350" s="2"/>
    </row>
    <row r="351" spans="1:53" x14ac:dyDescent="0.25">
      <c r="A351">
        <v>349</v>
      </c>
      <c r="B351" s="1">
        <f>ROUND((A351+Forudsætninger!$E$60)/30.4,1)</f>
        <v>12.7</v>
      </c>
      <c r="C351" s="1" t="e">
        <f>VLOOKUP((A351+Forudsætninger!$E$60),'Model tilvækst, slagteform, fe'!A:D,4,FALSE)</f>
        <v>#N/A</v>
      </c>
      <c r="D351" s="3" t="e">
        <f t="shared" si="179"/>
        <v>#N/A</v>
      </c>
      <c r="E351" s="3" t="e">
        <f>(1+Forudsætninger!$E$78)*C351</f>
        <v>#N/A</v>
      </c>
      <c r="F351" s="2" t="e">
        <f t="shared" si="163"/>
        <v>#N/A</v>
      </c>
      <c r="G351" s="1" t="e">
        <f t="shared" si="155"/>
        <v>#N/A</v>
      </c>
      <c r="H351" s="3" t="e">
        <f t="shared" si="164"/>
        <v>#N/A</v>
      </c>
      <c r="I351" s="3" t="e">
        <f t="shared" si="156"/>
        <v>#N/A</v>
      </c>
      <c r="J351" s="1" t="e">
        <f>VLOOKUP((A351+Forudsætninger!$E$60),'Model tilvækst, slagteform, fe'!G:K,4,FALSE)*(1+Forudsætninger!$E$79)</f>
        <v>#N/A</v>
      </c>
      <c r="K351" s="17" t="e">
        <f t="shared" si="157"/>
        <v>#N/A</v>
      </c>
      <c r="L351" s="17" t="e">
        <f t="shared" si="165"/>
        <v>#N/A</v>
      </c>
      <c r="M351" s="3" t="e">
        <f>((K351-(('Model tilvækst, slagteform, fe'!$J$9/100)*'Model tilvækst, slagteform, fe'!$D$9))*1000/(A351+Forudsætninger!$E$60))</f>
        <v>#N/A</v>
      </c>
      <c r="N351" s="17" t="e">
        <f t="shared" si="166"/>
        <v>#N/A</v>
      </c>
      <c r="O351" s="19" t="e">
        <f>IF( A351&lt;Forudsætninger!$C$14,(G351/100)*Forudsætninger!$C$13,(Forudsætninger!$C$15/1000)*Forudsætninger!$C$13)</f>
        <v>#N/A</v>
      </c>
      <c r="P351" s="17" t="e" cm="1">
        <f t="array" ref="P351">INDEX('Model tilvækst, slagteform, fe'!$P$9:$P$375,MATCH(MIN(ABS('Model tilvækst, slagteform, fe'!$M$9:$M$375-G351)),ABS('Model tilvækst, slagteform, fe'!$M$9:$M$375-G351),0))*(1+Forudsætninger!$E$80)</f>
        <v>#N/A</v>
      </c>
      <c r="Q351" s="17" t="e">
        <f t="shared" si="167"/>
        <v>#N/A</v>
      </c>
      <c r="R351" s="17" t="e">
        <f t="shared" si="168"/>
        <v>#N/A</v>
      </c>
      <c r="S351" s="17" t="e">
        <f t="shared" si="169"/>
        <v>#N/A</v>
      </c>
      <c r="T351" s="19" t="e">
        <f>(P351)*IF(N351&lt;Forudsætninger!$B$228,IF(N351&lt;Forudsætninger!$B$227,Forudsætninger!$B$225,Forudsætninger!$C$9),Forudsætninger!$C$11)+O351</f>
        <v>#N/A</v>
      </c>
      <c r="U351" s="5" t="e">
        <f>Forudsætninger!$E$68+((K351-(Forudsætninger!$E$84)))*0.01</f>
        <v>#N/A</v>
      </c>
      <c r="V351" s="2" t="e">
        <f>U351+Forudsætninger!$E$69</f>
        <v>#N/A</v>
      </c>
      <c r="W351" t="e">
        <f t="shared" si="158"/>
        <v>#N/A</v>
      </c>
      <c r="X351">
        <f>IF(A351+Forudsætninger!$E$60&gt;248,IF(A351+Forudsætninger!$E$60&lt;365,IF(K351&gt;180,IF(K351&lt;260,1,0),0),0),0)</f>
        <v>0</v>
      </c>
      <c r="Y351" s="22">
        <f>IF(X351=0,0,IF('Vækstfunktion, kry kvie'!A351&lt;Forudsætninger!$E$66,Forudsætninger!$E$67+(('Vækstfunktion, kry kvie'!A351-Forudsætninger!$E$66)/7)*Forudsætninger!$E$64,Forudsætninger!$E$67))</f>
        <v>0</v>
      </c>
      <c r="Z351" s="19" t="e">
        <f t="shared" si="173"/>
        <v>#N/A</v>
      </c>
      <c r="AA351" s="19">
        <f>Forudsætninger!$E$62+Forudsætninger!$C$16</f>
        <v>1575</v>
      </c>
      <c r="AB351" s="19" t="e">
        <f>IF(K351&gt;Forudsætninger!$C$48,IF(K351&gt;Forudsætninger!$C$49,IF(K351&gt;Forudsætninger!$C$50,Forudsætninger!$E$50,Forudsætninger!$E$49+Forudsætninger!$F$50*(K351-Forudsætninger!$C$49)),Forudsætninger!$E$48+Forudsætninger!$F$49*(K351-Forudsætninger!$C$48)),Forudsætninger!$E$48)+IF(K351&gt;Forudsætninger!$C$50,Forudsætninger!$G$50,IF(K351&gt;Forudsætninger!$C$49,Forudsætninger!$G$49+Forudsætninger!$H$50*(K351-Forudsætninger!$C$49),IF(K351&gt;Forudsætninger!$C$48,Forudsætninger!$G$48+Forudsætninger!$H$49*(K351-Forudsætninger!$C$48),Forudsætninger!$G$48)))*(U351-Forudsætninger!$H$48)</f>
        <v>#N/A</v>
      </c>
      <c r="AC351" s="19" t="e">
        <f>IF(K351&gt;Forudsætninger!$C$52,IF(K351&gt;Forudsætninger!$C$53,IF(K351&gt;Forudsætninger!$C$54,Forudsætninger!$E$54,Forudsætninger!$E$53+Forudsætninger!$F$54*(K351-Forudsætninger!$C$53)),Forudsætninger!$E$52+Forudsætninger!$F$53*(K351-Forudsætninger!$C$52)),Forudsætninger!$E$52)+IF(K351&gt;Forudsætninger!$C$54,Forudsætninger!$G$54,IF(K351&gt;Forudsætninger!$C$53,Forudsætninger!$G$53+Forudsætninger!$H$54*(K351-Forudsætninger!$C$53),IF(K351&gt;Forudsætninger!$C$52,Forudsætninger!$G$52+Forudsætninger!$H$53*(K351-Forudsætninger!$C$52),Forudsætninger!$G$52)))*(V351-Forudsætninger!$H$52)</f>
        <v>#N/A</v>
      </c>
      <c r="AD351" s="19" t="e">
        <f t="shared" si="159"/>
        <v>#N/A</v>
      </c>
      <c r="AE351" s="19" t="e">
        <f t="shared" si="160"/>
        <v>#N/A</v>
      </c>
      <c r="AF351" t="e">
        <f>IF(G351&lt;=Forudsætninger!$C$97,Forudsætninger!$C$98,(IF(G351&lt;=Forudsætninger!$D$97,Forudsætninger!$D$98,IF(G351&lt;=Forudsætninger!$E$97,Forudsætninger!$E$98,IF(G351&lt;=Forudsætninger!$F$97,Forudsætninger!$F$98,IF(G351&lt;=Forudsætninger!$G$97,Forudsætninger!$G$98,IF(G351&lt;=Forudsætninger!$H$97,Forudsætninger!$H$98,IF(G351&lt;=Forudsætninger!$I$97,Forudsætninger!$I$98,Forudsætninger!$I$98))))))))</f>
        <v>#N/A</v>
      </c>
      <c r="AG351" s="1" t="e">
        <f t="shared" si="170"/>
        <v>#N/A</v>
      </c>
      <c r="AH351" s="1" t="e">
        <f t="shared" si="174"/>
        <v>#N/A</v>
      </c>
      <c r="AI351" s="1" t="e">
        <f t="shared" si="161"/>
        <v>#N/A</v>
      </c>
      <c r="AJ351" s="20" t="e">
        <f>+(W351*Forudsætninger!$C$12)</f>
        <v>#N/A</v>
      </c>
      <c r="AK351" s="20">
        <f>Forudsætninger!$C$17</f>
        <v>250</v>
      </c>
      <c r="AL351" s="20">
        <f>IF(A351&lt;92,Forudsætninger!$C$20,Forudsætninger!$C$21)</f>
        <v>1.0566762728146013</v>
      </c>
      <c r="AM351" s="20">
        <f t="shared" si="171"/>
        <v>637.28550206558464</v>
      </c>
      <c r="AN351" s="19">
        <f>IFERROR(AD351+AJ351-AA351-Z351-AK351-AM351-Forudsætninger!$E$75,-999999)</f>
        <v>-999999</v>
      </c>
      <c r="AO351" s="19">
        <f>IFERROR(AN351/(A351+Forudsætninger!$E$74),-999999)</f>
        <v>-2865.32664756447</v>
      </c>
      <c r="AP351" s="19">
        <f>IFERROR(((365/(A351+Forudsætninger!$E$74))*AN351)/(AI351+Forudsætninger!$E$73),-999999)</f>
        <v>-999999</v>
      </c>
      <c r="AQ351" s="18">
        <f t="shared" si="162"/>
        <v>349</v>
      </c>
      <c r="AR351" s="18" t="e">
        <f t="shared" si="175"/>
        <v>#N/A</v>
      </c>
      <c r="AS351" s="18">
        <f t="shared" si="154"/>
        <v>12.7</v>
      </c>
      <c r="AT351" s="50">
        <f t="shared" si="176"/>
        <v>0</v>
      </c>
      <c r="AU351" s="50">
        <f t="shared" si="177"/>
        <v>8.2336972631160279</v>
      </c>
      <c r="AV351" s="2">
        <f t="shared" si="178"/>
        <v>0</v>
      </c>
      <c r="AW351" s="16">
        <f t="shared" si="172"/>
        <v>-2863.5006146072619</v>
      </c>
      <c r="AZ351" s="16"/>
      <c r="BA351" s="2"/>
    </row>
    <row r="352" spans="1:53" x14ac:dyDescent="0.25">
      <c r="A352">
        <v>350</v>
      </c>
      <c r="B352" s="1">
        <f>ROUND((A352+Forudsætninger!$E$60)/30.4,1)</f>
        <v>12.7</v>
      </c>
      <c r="C352" s="1" t="e">
        <f>VLOOKUP((A352+Forudsætninger!$E$60),'Model tilvækst, slagteform, fe'!A:D,4,FALSE)</f>
        <v>#N/A</v>
      </c>
      <c r="D352" s="3" t="e">
        <f t="shared" si="179"/>
        <v>#N/A</v>
      </c>
      <c r="E352" s="3" t="e">
        <f>(1+Forudsætninger!$E$78)*C352</f>
        <v>#N/A</v>
      </c>
      <c r="F352" s="2" t="e">
        <f t="shared" si="163"/>
        <v>#N/A</v>
      </c>
      <c r="G352" s="1" t="e">
        <f t="shared" si="155"/>
        <v>#N/A</v>
      </c>
      <c r="H352" s="3" t="e">
        <f t="shared" si="164"/>
        <v>#N/A</v>
      </c>
      <c r="I352" s="3" t="e">
        <f t="shared" si="156"/>
        <v>#N/A</v>
      </c>
      <c r="J352" s="1" t="e">
        <f>VLOOKUP((A352+Forudsætninger!$E$60),'Model tilvækst, slagteform, fe'!G:K,4,FALSE)*(1+Forudsætninger!$E$79)</f>
        <v>#N/A</v>
      </c>
      <c r="K352" s="17" t="e">
        <f t="shared" si="157"/>
        <v>#N/A</v>
      </c>
      <c r="L352" s="17" t="e">
        <f t="shared" si="165"/>
        <v>#N/A</v>
      </c>
      <c r="M352" s="3" t="e">
        <f>((K352-(('Model tilvækst, slagteform, fe'!$J$9/100)*'Model tilvækst, slagteform, fe'!$D$9))*1000/(A352+Forudsætninger!$E$60))</f>
        <v>#N/A</v>
      </c>
      <c r="N352" s="17" t="e">
        <f t="shared" si="166"/>
        <v>#N/A</v>
      </c>
      <c r="O352" s="19" t="e">
        <f>IF( A352&lt;Forudsætninger!$C$14,(G352/100)*Forudsætninger!$C$13,(Forudsætninger!$C$15/1000)*Forudsætninger!$C$13)</f>
        <v>#N/A</v>
      </c>
      <c r="P352" s="17" t="e" cm="1">
        <f t="array" ref="P352">INDEX('Model tilvækst, slagteform, fe'!$P$9:$P$375,MATCH(MIN(ABS('Model tilvækst, slagteform, fe'!$M$9:$M$375-G352)),ABS('Model tilvækst, slagteform, fe'!$M$9:$M$375-G352),0))*(1+Forudsætninger!$E$80)</f>
        <v>#N/A</v>
      </c>
      <c r="Q352" s="17" t="e">
        <f t="shared" si="167"/>
        <v>#N/A</v>
      </c>
      <c r="R352" s="17" t="e">
        <f t="shared" si="168"/>
        <v>#N/A</v>
      </c>
      <c r="S352" s="17" t="e">
        <f t="shared" si="169"/>
        <v>#N/A</v>
      </c>
      <c r="T352" s="19" t="e">
        <f>(P352)*IF(N352&lt;Forudsætninger!$B$228,IF(N352&lt;Forudsætninger!$B$227,Forudsætninger!$B$225,Forudsætninger!$C$9),Forudsætninger!$C$11)+O352</f>
        <v>#N/A</v>
      </c>
      <c r="U352" s="5" t="e">
        <f>Forudsætninger!$E$68+((K352-(Forudsætninger!$E$84)))*0.01</f>
        <v>#N/A</v>
      </c>
      <c r="V352" s="2" t="e">
        <f>U352+Forudsætninger!$E$69</f>
        <v>#N/A</v>
      </c>
      <c r="W352" t="e">
        <f t="shared" si="158"/>
        <v>#N/A</v>
      </c>
      <c r="X352">
        <f>IF(A352+Forudsætninger!$E$60&gt;248,IF(A352+Forudsætninger!$E$60&lt;365,IF(K352&gt;180,IF(K352&lt;260,1,0),0),0),0)</f>
        <v>0</v>
      </c>
      <c r="Y352" s="22">
        <f>IF(X352=0,0,IF('Vækstfunktion, kry kvie'!A352&lt;Forudsætninger!$E$66,Forudsætninger!$E$67+(('Vækstfunktion, kry kvie'!A352-Forudsætninger!$E$66)/7)*Forudsætninger!$E$64,Forudsætninger!$E$67))</f>
        <v>0</v>
      </c>
      <c r="Z352" s="19" t="e">
        <f t="shared" si="173"/>
        <v>#N/A</v>
      </c>
      <c r="AA352" s="19">
        <f>Forudsætninger!$E$62+Forudsætninger!$C$16</f>
        <v>1575</v>
      </c>
      <c r="AB352" s="19" t="e">
        <f>IF(K352&gt;Forudsætninger!$C$48,IF(K352&gt;Forudsætninger!$C$49,IF(K352&gt;Forudsætninger!$C$50,Forudsætninger!$E$50,Forudsætninger!$E$49+Forudsætninger!$F$50*(K352-Forudsætninger!$C$49)),Forudsætninger!$E$48+Forudsætninger!$F$49*(K352-Forudsætninger!$C$48)),Forudsætninger!$E$48)+IF(K352&gt;Forudsætninger!$C$50,Forudsætninger!$G$50,IF(K352&gt;Forudsætninger!$C$49,Forudsætninger!$G$49+Forudsætninger!$H$50*(K352-Forudsætninger!$C$49),IF(K352&gt;Forudsætninger!$C$48,Forudsætninger!$G$48+Forudsætninger!$H$49*(K352-Forudsætninger!$C$48),Forudsætninger!$G$48)))*(U352-Forudsætninger!$H$48)</f>
        <v>#N/A</v>
      </c>
      <c r="AC352" s="19" t="e">
        <f>IF(K352&gt;Forudsætninger!$C$52,IF(K352&gt;Forudsætninger!$C$53,IF(K352&gt;Forudsætninger!$C$54,Forudsætninger!$E$54,Forudsætninger!$E$53+Forudsætninger!$F$54*(K352-Forudsætninger!$C$53)),Forudsætninger!$E$52+Forudsætninger!$F$53*(K352-Forudsætninger!$C$52)),Forudsætninger!$E$52)+IF(K352&gt;Forudsætninger!$C$54,Forudsætninger!$G$54,IF(K352&gt;Forudsætninger!$C$53,Forudsætninger!$G$53+Forudsætninger!$H$54*(K352-Forudsætninger!$C$53),IF(K352&gt;Forudsætninger!$C$52,Forudsætninger!$G$52+Forudsætninger!$H$53*(K352-Forudsætninger!$C$52),Forudsætninger!$G$52)))*(V352-Forudsætninger!$H$52)</f>
        <v>#N/A</v>
      </c>
      <c r="AD352" s="19" t="e">
        <f t="shared" si="159"/>
        <v>#N/A</v>
      </c>
      <c r="AE352" s="19" t="e">
        <f t="shared" si="160"/>
        <v>#N/A</v>
      </c>
      <c r="AF352" t="e">
        <f>IF(G352&lt;=Forudsætninger!$C$97,Forudsætninger!$C$98,(IF(G352&lt;=Forudsætninger!$D$97,Forudsætninger!$D$98,IF(G352&lt;=Forudsætninger!$E$97,Forudsætninger!$E$98,IF(G352&lt;=Forudsætninger!$F$97,Forudsætninger!$F$98,IF(G352&lt;=Forudsætninger!$G$97,Forudsætninger!$G$98,IF(G352&lt;=Forudsætninger!$H$97,Forudsætninger!$H$98,IF(G352&lt;=Forudsætninger!$I$97,Forudsætninger!$I$98,Forudsætninger!$I$98))))))))</f>
        <v>#N/A</v>
      </c>
      <c r="AG352" s="1" t="e">
        <f t="shared" si="170"/>
        <v>#N/A</v>
      </c>
      <c r="AH352" s="1" t="e">
        <f t="shared" si="174"/>
        <v>#N/A</v>
      </c>
      <c r="AI352" s="1" t="e">
        <f t="shared" si="161"/>
        <v>#N/A</v>
      </c>
      <c r="AJ352" s="20" t="e">
        <f>+(W352*Forudsætninger!$C$12)</f>
        <v>#N/A</v>
      </c>
      <c r="AK352" s="20">
        <f>Forudsætninger!$C$17</f>
        <v>250</v>
      </c>
      <c r="AL352" s="20">
        <f>IF(A352&lt;92,Forudsætninger!$C$20,Forudsætninger!$C$21)</f>
        <v>1.0566762728146013</v>
      </c>
      <c r="AM352" s="20">
        <f t="shared" si="171"/>
        <v>638.34217833839921</v>
      </c>
      <c r="AN352" s="19">
        <f>IFERROR(AD352+AJ352-AA352-Z352-AK352-AM352-Forudsætninger!$E$75,-999999)</f>
        <v>-999999</v>
      </c>
      <c r="AO352" s="19">
        <f>IFERROR(AN352/(A352+Forudsætninger!$E$74),-999999)</f>
        <v>-2857.14</v>
      </c>
      <c r="AP352" s="19">
        <f>IFERROR(((365/(A352+Forudsætninger!$E$74))*AN352)/(AI352+Forudsætninger!$E$73),-999999)</f>
        <v>-999999</v>
      </c>
      <c r="AQ352" s="18">
        <f t="shared" si="162"/>
        <v>350</v>
      </c>
      <c r="AR352" s="18" t="e">
        <f t="shared" si="175"/>
        <v>#N/A</v>
      </c>
      <c r="AS352" s="18">
        <f t="shared" si="154"/>
        <v>12.7</v>
      </c>
      <c r="AT352" s="50">
        <f t="shared" si="176"/>
        <v>0</v>
      </c>
      <c r="AU352" s="50">
        <f t="shared" si="177"/>
        <v>8.1866475644701495</v>
      </c>
      <c r="AV352" s="2">
        <f t="shared" si="178"/>
        <v>0</v>
      </c>
      <c r="AW352" s="16">
        <f t="shared" si="172"/>
        <v>-2855.3161652047474</v>
      </c>
      <c r="AZ352" s="16"/>
      <c r="BA352" s="2"/>
    </row>
    <row r="353" spans="1:53" x14ac:dyDescent="0.25">
      <c r="A353">
        <v>351</v>
      </c>
      <c r="B353" s="1">
        <f>ROUND((A353+Forudsætninger!$E$60)/30.4,1)</f>
        <v>12.7</v>
      </c>
      <c r="C353" s="1" t="e">
        <f>VLOOKUP((A353+Forudsætninger!$E$60),'Model tilvækst, slagteform, fe'!A:D,4,FALSE)</f>
        <v>#N/A</v>
      </c>
      <c r="D353" s="3" t="e">
        <f t="shared" si="179"/>
        <v>#N/A</v>
      </c>
      <c r="E353" s="3" t="e">
        <f>(1+Forudsætninger!$E$78)*C353</f>
        <v>#N/A</v>
      </c>
      <c r="F353" s="2" t="e">
        <f t="shared" si="163"/>
        <v>#N/A</v>
      </c>
      <c r="G353" s="1" t="e">
        <f t="shared" si="155"/>
        <v>#N/A</v>
      </c>
      <c r="H353" s="3" t="e">
        <f t="shared" si="164"/>
        <v>#N/A</v>
      </c>
      <c r="I353" s="3" t="e">
        <f t="shared" si="156"/>
        <v>#N/A</v>
      </c>
      <c r="J353" s="1" t="e">
        <f>VLOOKUP((A353+Forudsætninger!$E$60),'Model tilvækst, slagteform, fe'!G:K,4,FALSE)*(1+Forudsætninger!$E$79)</f>
        <v>#N/A</v>
      </c>
      <c r="K353" s="17" t="e">
        <f t="shared" si="157"/>
        <v>#N/A</v>
      </c>
      <c r="L353" s="17" t="e">
        <f t="shared" si="165"/>
        <v>#N/A</v>
      </c>
      <c r="M353" s="3" t="e">
        <f>((K353-(('Model tilvækst, slagteform, fe'!$J$9/100)*'Model tilvækst, slagteform, fe'!$D$9))*1000/(A353+Forudsætninger!$E$60))</f>
        <v>#N/A</v>
      </c>
      <c r="N353" s="17" t="e">
        <f t="shared" si="166"/>
        <v>#N/A</v>
      </c>
      <c r="O353" s="19" t="e">
        <f>IF( A353&lt;Forudsætninger!$C$14,(G353/100)*Forudsætninger!$C$13,(Forudsætninger!$C$15/1000)*Forudsætninger!$C$13)</f>
        <v>#N/A</v>
      </c>
      <c r="P353" s="17" t="e" cm="1">
        <f t="array" ref="P353">INDEX('Model tilvækst, slagteform, fe'!$P$9:$P$375,MATCH(MIN(ABS('Model tilvækst, slagteform, fe'!$M$9:$M$375-G353)),ABS('Model tilvækst, slagteform, fe'!$M$9:$M$375-G353),0))*(1+Forudsætninger!$E$80)</f>
        <v>#N/A</v>
      </c>
      <c r="Q353" s="17" t="e">
        <f t="shared" si="167"/>
        <v>#N/A</v>
      </c>
      <c r="R353" s="17" t="e">
        <f t="shared" si="168"/>
        <v>#N/A</v>
      </c>
      <c r="S353" s="17" t="e">
        <f t="shared" si="169"/>
        <v>#N/A</v>
      </c>
      <c r="T353" s="19" t="e">
        <f>(P353)*IF(N353&lt;Forudsætninger!$B$228,IF(N353&lt;Forudsætninger!$B$227,Forudsætninger!$B$225,Forudsætninger!$C$9),Forudsætninger!$C$11)+O353</f>
        <v>#N/A</v>
      </c>
      <c r="U353" s="5" t="e">
        <f>Forudsætninger!$E$68+((K353-(Forudsætninger!$E$84)))*0.01</f>
        <v>#N/A</v>
      </c>
      <c r="V353" s="2" t="e">
        <f>U353+Forudsætninger!$E$69</f>
        <v>#N/A</v>
      </c>
      <c r="W353" t="e">
        <f t="shared" si="158"/>
        <v>#N/A</v>
      </c>
      <c r="X353">
        <f>IF(A353+Forudsætninger!$E$60&gt;248,IF(A353+Forudsætninger!$E$60&lt;365,IF(K353&gt;180,IF(K353&lt;260,1,0),0),0),0)</f>
        <v>0</v>
      </c>
      <c r="Y353" s="22">
        <f>IF(X353=0,0,IF('Vækstfunktion, kry kvie'!A353&lt;Forudsætninger!$E$66,Forudsætninger!$E$67+(('Vækstfunktion, kry kvie'!A353-Forudsætninger!$E$66)/7)*Forudsætninger!$E$64,Forudsætninger!$E$67))</f>
        <v>0</v>
      </c>
      <c r="Z353" s="19" t="e">
        <f t="shared" si="173"/>
        <v>#N/A</v>
      </c>
      <c r="AA353" s="19">
        <f>Forudsætninger!$E$62+Forudsætninger!$C$16</f>
        <v>1575</v>
      </c>
      <c r="AB353" s="19" t="e">
        <f>IF(K353&gt;Forudsætninger!$C$48,IF(K353&gt;Forudsætninger!$C$49,IF(K353&gt;Forudsætninger!$C$50,Forudsætninger!$E$50,Forudsætninger!$E$49+Forudsætninger!$F$50*(K353-Forudsætninger!$C$49)),Forudsætninger!$E$48+Forudsætninger!$F$49*(K353-Forudsætninger!$C$48)),Forudsætninger!$E$48)+IF(K353&gt;Forudsætninger!$C$50,Forudsætninger!$G$50,IF(K353&gt;Forudsætninger!$C$49,Forudsætninger!$G$49+Forudsætninger!$H$50*(K353-Forudsætninger!$C$49),IF(K353&gt;Forudsætninger!$C$48,Forudsætninger!$G$48+Forudsætninger!$H$49*(K353-Forudsætninger!$C$48),Forudsætninger!$G$48)))*(U353-Forudsætninger!$H$48)</f>
        <v>#N/A</v>
      </c>
      <c r="AC353" s="19" t="e">
        <f>IF(K353&gt;Forudsætninger!$C$52,IF(K353&gt;Forudsætninger!$C$53,IF(K353&gt;Forudsætninger!$C$54,Forudsætninger!$E$54,Forudsætninger!$E$53+Forudsætninger!$F$54*(K353-Forudsætninger!$C$53)),Forudsætninger!$E$52+Forudsætninger!$F$53*(K353-Forudsætninger!$C$52)),Forudsætninger!$E$52)+IF(K353&gt;Forudsætninger!$C$54,Forudsætninger!$G$54,IF(K353&gt;Forudsætninger!$C$53,Forudsætninger!$G$53+Forudsætninger!$H$54*(K353-Forudsætninger!$C$53),IF(K353&gt;Forudsætninger!$C$52,Forudsætninger!$G$52+Forudsætninger!$H$53*(K353-Forudsætninger!$C$52),Forudsætninger!$G$52)))*(V353-Forudsætninger!$H$52)</f>
        <v>#N/A</v>
      </c>
      <c r="AD353" s="19" t="e">
        <f t="shared" si="159"/>
        <v>#N/A</v>
      </c>
      <c r="AE353" s="19" t="e">
        <f t="shared" si="160"/>
        <v>#N/A</v>
      </c>
      <c r="AF353" t="e">
        <f>IF(G353&lt;=Forudsætninger!$C$97,Forudsætninger!$C$98,(IF(G353&lt;=Forudsætninger!$D$97,Forudsætninger!$D$98,IF(G353&lt;=Forudsætninger!$E$97,Forudsætninger!$E$98,IF(G353&lt;=Forudsætninger!$F$97,Forudsætninger!$F$98,IF(G353&lt;=Forudsætninger!$G$97,Forudsætninger!$G$98,IF(G353&lt;=Forudsætninger!$H$97,Forudsætninger!$H$98,IF(G353&lt;=Forudsætninger!$I$97,Forudsætninger!$I$98,Forudsætninger!$I$98))))))))</f>
        <v>#N/A</v>
      </c>
      <c r="AG353" s="1" t="e">
        <f t="shared" si="170"/>
        <v>#N/A</v>
      </c>
      <c r="AH353" s="1" t="e">
        <f t="shared" si="174"/>
        <v>#N/A</v>
      </c>
      <c r="AI353" s="1" t="e">
        <f t="shared" si="161"/>
        <v>#N/A</v>
      </c>
      <c r="AJ353" s="20" t="e">
        <f>+(W353*Forudsætninger!$C$12)</f>
        <v>#N/A</v>
      </c>
      <c r="AK353" s="20">
        <f>Forudsætninger!$C$17</f>
        <v>250</v>
      </c>
      <c r="AL353" s="20">
        <f>IF(A353&lt;92,Forudsætninger!$C$20,Forudsætninger!$C$21)</f>
        <v>1.0566762728146013</v>
      </c>
      <c r="AM353" s="20">
        <f t="shared" si="171"/>
        <v>639.39885461121378</v>
      </c>
      <c r="AN353" s="19">
        <f>IFERROR(AD353+AJ353-AA353-Z353-AK353-AM353-Forudsætninger!$E$75,-999999)</f>
        <v>-999999</v>
      </c>
      <c r="AO353" s="19">
        <f>IFERROR(AN353/(A353+Forudsætninger!$E$74),-999999)</f>
        <v>-2849</v>
      </c>
      <c r="AP353" s="19">
        <f>IFERROR(((365/(A353+Forudsætninger!$E$74))*AN353)/(AI353+Forudsætninger!$E$73),-999999)</f>
        <v>-999999</v>
      </c>
      <c r="AQ353" s="18">
        <f t="shared" si="162"/>
        <v>351</v>
      </c>
      <c r="AR353" s="18" t="e">
        <f t="shared" si="175"/>
        <v>#N/A</v>
      </c>
      <c r="AS353" s="18">
        <f t="shared" si="154"/>
        <v>12.7</v>
      </c>
      <c r="AT353" s="50">
        <f t="shared" si="176"/>
        <v>0</v>
      </c>
      <c r="AU353" s="50">
        <f t="shared" si="177"/>
        <v>8.1399999999998727</v>
      </c>
      <c r="AV353" s="2">
        <f t="shared" si="178"/>
        <v>0</v>
      </c>
      <c r="AW353" s="16">
        <f t="shared" si="172"/>
        <v>-2847.1783508415633</v>
      </c>
      <c r="AZ353" s="16"/>
      <c r="BA353" s="2"/>
    </row>
    <row r="354" spans="1:53" x14ac:dyDescent="0.25">
      <c r="A354">
        <v>352</v>
      </c>
      <c r="B354" s="1">
        <f>ROUND((A354+Forudsætninger!$E$60)/30.4,1)</f>
        <v>12.8</v>
      </c>
      <c r="C354" s="1" t="e">
        <f>VLOOKUP((A354+Forudsætninger!$E$60),'Model tilvækst, slagteform, fe'!A:D,4,FALSE)</f>
        <v>#N/A</v>
      </c>
      <c r="D354" s="3" t="e">
        <f t="shared" si="179"/>
        <v>#N/A</v>
      </c>
      <c r="E354" s="3" t="e">
        <f>(1+Forudsætninger!$E$78)*C354</f>
        <v>#N/A</v>
      </c>
      <c r="F354" s="2" t="e">
        <f t="shared" si="163"/>
        <v>#N/A</v>
      </c>
      <c r="G354" s="1" t="e">
        <f t="shared" si="155"/>
        <v>#N/A</v>
      </c>
      <c r="H354" s="3" t="e">
        <f t="shared" si="164"/>
        <v>#N/A</v>
      </c>
      <c r="I354" s="3" t="e">
        <f t="shared" si="156"/>
        <v>#N/A</v>
      </c>
      <c r="J354" s="1" t="e">
        <f>VLOOKUP((A354+Forudsætninger!$E$60),'Model tilvækst, slagteform, fe'!G:K,4,FALSE)*(1+Forudsætninger!$E$79)</f>
        <v>#N/A</v>
      </c>
      <c r="K354" s="17" t="e">
        <f t="shared" si="157"/>
        <v>#N/A</v>
      </c>
      <c r="L354" s="17" t="e">
        <f t="shared" si="165"/>
        <v>#N/A</v>
      </c>
      <c r="M354" s="3" t="e">
        <f>((K354-(('Model tilvækst, slagteform, fe'!$J$9/100)*'Model tilvækst, slagteform, fe'!$D$9))*1000/(A354+Forudsætninger!$E$60))</f>
        <v>#N/A</v>
      </c>
      <c r="N354" s="17" t="e">
        <f t="shared" si="166"/>
        <v>#N/A</v>
      </c>
      <c r="O354" s="19" t="e">
        <f>IF( A354&lt;Forudsætninger!$C$14,(G354/100)*Forudsætninger!$C$13,(Forudsætninger!$C$15/1000)*Forudsætninger!$C$13)</f>
        <v>#N/A</v>
      </c>
      <c r="P354" s="17" t="e" cm="1">
        <f t="array" ref="P354">INDEX('Model tilvækst, slagteform, fe'!$P$9:$P$375,MATCH(MIN(ABS('Model tilvækst, slagteform, fe'!$M$9:$M$375-G354)),ABS('Model tilvækst, slagteform, fe'!$M$9:$M$375-G354),0))*(1+Forudsætninger!$E$80)</f>
        <v>#N/A</v>
      </c>
      <c r="Q354" s="17" t="e">
        <f t="shared" si="167"/>
        <v>#N/A</v>
      </c>
      <c r="R354" s="17" t="e">
        <f t="shared" si="168"/>
        <v>#N/A</v>
      </c>
      <c r="S354" s="17" t="e">
        <f t="shared" si="169"/>
        <v>#N/A</v>
      </c>
      <c r="T354" s="19" t="e">
        <f>(P354)*IF(N354&lt;Forudsætninger!$B$228,IF(N354&lt;Forudsætninger!$B$227,Forudsætninger!$B$225,Forudsætninger!$C$9),Forudsætninger!$C$11)+O354</f>
        <v>#N/A</v>
      </c>
      <c r="U354" s="5" t="e">
        <f>Forudsætninger!$E$68+((K354-(Forudsætninger!$E$84)))*0.01</f>
        <v>#N/A</v>
      </c>
      <c r="V354" s="2" t="e">
        <f>U354+Forudsætninger!$E$69</f>
        <v>#N/A</v>
      </c>
      <c r="W354" t="e">
        <f t="shared" si="158"/>
        <v>#N/A</v>
      </c>
      <c r="X354">
        <f>IF(A354+Forudsætninger!$E$60&gt;248,IF(A354+Forudsætninger!$E$60&lt;365,IF(K354&gt;180,IF(K354&lt;260,1,0),0),0),0)</f>
        <v>0</v>
      </c>
      <c r="Y354" s="22">
        <f>IF(X354=0,0,IF('Vækstfunktion, kry kvie'!A354&lt;Forudsætninger!$E$66,Forudsætninger!$E$67+(('Vækstfunktion, kry kvie'!A354-Forudsætninger!$E$66)/7)*Forudsætninger!$E$64,Forudsætninger!$E$67))</f>
        <v>0</v>
      </c>
      <c r="Z354" s="19" t="e">
        <f t="shared" si="173"/>
        <v>#N/A</v>
      </c>
      <c r="AA354" s="19">
        <f>Forudsætninger!$E$62+Forudsætninger!$C$16</f>
        <v>1575</v>
      </c>
      <c r="AB354" s="19" t="e">
        <f>IF(K354&gt;Forudsætninger!$C$48,IF(K354&gt;Forudsætninger!$C$49,IF(K354&gt;Forudsætninger!$C$50,Forudsætninger!$E$50,Forudsætninger!$E$49+Forudsætninger!$F$50*(K354-Forudsætninger!$C$49)),Forudsætninger!$E$48+Forudsætninger!$F$49*(K354-Forudsætninger!$C$48)),Forudsætninger!$E$48)+IF(K354&gt;Forudsætninger!$C$50,Forudsætninger!$G$50,IF(K354&gt;Forudsætninger!$C$49,Forudsætninger!$G$49+Forudsætninger!$H$50*(K354-Forudsætninger!$C$49),IF(K354&gt;Forudsætninger!$C$48,Forudsætninger!$G$48+Forudsætninger!$H$49*(K354-Forudsætninger!$C$48),Forudsætninger!$G$48)))*(U354-Forudsætninger!$H$48)</f>
        <v>#N/A</v>
      </c>
      <c r="AC354" s="19" t="e">
        <f>IF(K354&gt;Forudsætninger!$C$52,IF(K354&gt;Forudsætninger!$C$53,IF(K354&gt;Forudsætninger!$C$54,Forudsætninger!$E$54,Forudsætninger!$E$53+Forudsætninger!$F$54*(K354-Forudsætninger!$C$53)),Forudsætninger!$E$52+Forudsætninger!$F$53*(K354-Forudsætninger!$C$52)),Forudsætninger!$E$52)+IF(K354&gt;Forudsætninger!$C$54,Forudsætninger!$G$54,IF(K354&gt;Forudsætninger!$C$53,Forudsætninger!$G$53+Forudsætninger!$H$54*(K354-Forudsætninger!$C$53),IF(K354&gt;Forudsætninger!$C$52,Forudsætninger!$G$52+Forudsætninger!$H$53*(K354-Forudsætninger!$C$52),Forudsætninger!$G$52)))*(V354-Forudsætninger!$H$52)</f>
        <v>#N/A</v>
      </c>
      <c r="AD354" s="19" t="e">
        <f t="shared" si="159"/>
        <v>#N/A</v>
      </c>
      <c r="AE354" s="19" t="e">
        <f t="shared" si="160"/>
        <v>#N/A</v>
      </c>
      <c r="AF354" t="e">
        <f>IF(G354&lt;=Forudsætninger!$C$97,Forudsætninger!$C$98,(IF(G354&lt;=Forudsætninger!$D$97,Forudsætninger!$D$98,IF(G354&lt;=Forudsætninger!$E$97,Forudsætninger!$E$98,IF(G354&lt;=Forudsætninger!$F$97,Forudsætninger!$F$98,IF(G354&lt;=Forudsætninger!$G$97,Forudsætninger!$G$98,IF(G354&lt;=Forudsætninger!$H$97,Forudsætninger!$H$98,IF(G354&lt;=Forudsætninger!$I$97,Forudsætninger!$I$98,Forudsætninger!$I$98))))))))</f>
        <v>#N/A</v>
      </c>
      <c r="AG354" s="1" t="e">
        <f t="shared" si="170"/>
        <v>#N/A</v>
      </c>
      <c r="AH354" s="1" t="e">
        <f t="shared" si="174"/>
        <v>#N/A</v>
      </c>
      <c r="AI354" s="1" t="e">
        <f t="shared" si="161"/>
        <v>#N/A</v>
      </c>
      <c r="AJ354" s="20" t="e">
        <f>+(W354*Forudsætninger!$C$12)</f>
        <v>#N/A</v>
      </c>
      <c r="AK354" s="20">
        <f>Forudsætninger!$C$17</f>
        <v>250</v>
      </c>
      <c r="AL354" s="20">
        <f>IF(A354&lt;92,Forudsætninger!$C$20,Forudsætninger!$C$21)</f>
        <v>1.0566762728146013</v>
      </c>
      <c r="AM354" s="20">
        <f t="shared" si="171"/>
        <v>640.45553088402835</v>
      </c>
      <c r="AN354" s="19">
        <f>IFERROR(AD354+AJ354-AA354-Z354-AK354-AM354-Forudsætninger!$E$75,-999999)</f>
        <v>-999999</v>
      </c>
      <c r="AO354" s="19">
        <f>IFERROR(AN354/(A354+Forudsætninger!$E$74),-999999)</f>
        <v>-2840.90625</v>
      </c>
      <c r="AP354" s="19">
        <f>IFERROR(((365/(A354+Forudsætninger!$E$74))*AN354)/(AI354+Forudsætninger!$E$73),-999999)</f>
        <v>-999999</v>
      </c>
      <c r="AQ354" s="18">
        <f t="shared" si="162"/>
        <v>352</v>
      </c>
      <c r="AR354" s="18" t="e">
        <f t="shared" si="175"/>
        <v>#N/A</v>
      </c>
      <c r="AS354" s="18">
        <f t="shared" si="154"/>
        <v>12.8</v>
      </c>
      <c r="AT354" s="50">
        <f t="shared" si="176"/>
        <v>0</v>
      </c>
      <c r="AU354" s="50">
        <f t="shared" si="177"/>
        <v>8.09375</v>
      </c>
      <c r="AV354" s="2">
        <f t="shared" si="178"/>
        <v>0</v>
      </c>
      <c r="AW354" s="16">
        <f t="shared" si="172"/>
        <v>-2839.0867740599888</v>
      </c>
      <c r="AZ354" s="16"/>
      <c r="BA354" s="2"/>
    </row>
    <row r="355" spans="1:53" x14ac:dyDescent="0.25">
      <c r="A355">
        <v>353</v>
      </c>
      <c r="B355" s="1">
        <f>ROUND((A355+Forudsætninger!$E$60)/30.4,1)</f>
        <v>12.8</v>
      </c>
      <c r="C355" s="1" t="e">
        <f>VLOOKUP((A355+Forudsætninger!$E$60),'Model tilvækst, slagteform, fe'!A:D,4,FALSE)</f>
        <v>#N/A</v>
      </c>
      <c r="D355" s="3" t="e">
        <f t="shared" si="179"/>
        <v>#N/A</v>
      </c>
      <c r="E355" s="3" t="e">
        <f>(1+Forudsætninger!$E$78)*C355</f>
        <v>#N/A</v>
      </c>
      <c r="F355" s="2" t="e">
        <f t="shared" si="163"/>
        <v>#N/A</v>
      </c>
      <c r="G355" s="1" t="e">
        <f t="shared" si="155"/>
        <v>#N/A</v>
      </c>
      <c r="H355" s="3" t="e">
        <f>(G355-G354)*1000</f>
        <v>#N/A</v>
      </c>
      <c r="I355" s="3" t="e">
        <f t="shared" si="156"/>
        <v>#N/A</v>
      </c>
      <c r="J355" s="1" t="e">
        <f>VLOOKUP((A355+Forudsætninger!$E$60),'Model tilvækst, slagteform, fe'!G:K,4,FALSE)*(1+Forudsætninger!$E$79)</f>
        <v>#N/A</v>
      </c>
      <c r="K355" s="17" t="e">
        <f t="shared" si="157"/>
        <v>#N/A</v>
      </c>
      <c r="L355" s="17" t="e">
        <f t="shared" si="165"/>
        <v>#N/A</v>
      </c>
      <c r="M355" s="3" t="e">
        <f>((K355-(('Model tilvækst, slagteform, fe'!$J$9/100)*'Model tilvækst, slagteform, fe'!$D$9))*1000/(A355+Forudsætninger!$E$60))</f>
        <v>#N/A</v>
      </c>
      <c r="N355" s="17" t="e">
        <f t="shared" si="166"/>
        <v>#N/A</v>
      </c>
      <c r="O355" s="19" t="e">
        <f>IF( A355&lt;Forudsætninger!$C$14,(G355/100)*Forudsætninger!$C$13,(Forudsætninger!$C$15/1000)*Forudsætninger!$C$13)</f>
        <v>#N/A</v>
      </c>
      <c r="P355" s="17" t="e" cm="1">
        <f t="array" ref="P355">INDEX('Model tilvækst, slagteform, fe'!$P$9:$P$375,MATCH(MIN(ABS('Model tilvækst, slagteform, fe'!$M$9:$M$375-G355)),ABS('Model tilvækst, slagteform, fe'!$M$9:$M$375-G355),0))*(1+Forudsætninger!$E$80)</f>
        <v>#N/A</v>
      </c>
      <c r="Q355" s="17" t="e">
        <f t="shared" si="167"/>
        <v>#N/A</v>
      </c>
      <c r="R355" s="17" t="e">
        <f t="shared" si="168"/>
        <v>#N/A</v>
      </c>
      <c r="S355" s="17" t="e">
        <f t="shared" si="169"/>
        <v>#N/A</v>
      </c>
      <c r="T355" s="19" t="e">
        <f>(P355)*IF(N355&lt;Forudsætninger!$B$228,IF(N355&lt;Forudsætninger!$B$227,Forudsætninger!$B$225,Forudsætninger!$C$9),Forudsætninger!$C$11)+O355</f>
        <v>#N/A</v>
      </c>
      <c r="U355" s="5" t="e">
        <f>Forudsætninger!$E$68+((K355-(Forudsætninger!$E$84)))*0.01</f>
        <v>#N/A</v>
      </c>
      <c r="V355" s="2" t="e">
        <f>U355+Forudsætninger!$E$69</f>
        <v>#N/A</v>
      </c>
      <c r="W355" t="e">
        <f t="shared" si="158"/>
        <v>#N/A</v>
      </c>
      <c r="X355">
        <f>IF(A355+Forudsætninger!$E$60&gt;248,IF(A355+Forudsætninger!$E$60&lt;365,IF(K355&gt;180,IF(K355&lt;260,1,0),0),0),0)</f>
        <v>0</v>
      </c>
      <c r="Y355" s="22">
        <f>IF(X355=0,0,IF('Vækstfunktion, kry kvie'!A355&lt;Forudsætninger!$E$66,Forudsætninger!$E$67+(('Vækstfunktion, kry kvie'!A355-Forudsætninger!$E$66)/7)*Forudsætninger!$E$64,Forudsætninger!$E$67))</f>
        <v>0</v>
      </c>
      <c r="Z355" s="19" t="e">
        <f t="shared" si="173"/>
        <v>#N/A</v>
      </c>
      <c r="AA355" s="19">
        <f>Forudsætninger!$E$62+Forudsætninger!$C$16</f>
        <v>1575</v>
      </c>
      <c r="AB355" s="19" t="e">
        <f>IF(K355&gt;Forudsætninger!$C$48,IF(K355&gt;Forudsætninger!$C$49,IF(K355&gt;Forudsætninger!$C$50,Forudsætninger!$E$50,Forudsætninger!$E$49+Forudsætninger!$F$50*(K355-Forudsætninger!$C$49)),Forudsætninger!$E$48+Forudsætninger!$F$49*(K355-Forudsætninger!$C$48)),Forudsætninger!$E$48)+IF(K355&gt;Forudsætninger!$C$50,Forudsætninger!$G$50,IF(K355&gt;Forudsætninger!$C$49,Forudsætninger!$G$49+Forudsætninger!$H$50*(K355-Forudsætninger!$C$49),IF(K355&gt;Forudsætninger!$C$48,Forudsætninger!$G$48+Forudsætninger!$H$49*(K355-Forudsætninger!$C$48),Forudsætninger!$G$48)))*(U355-Forudsætninger!$H$48)</f>
        <v>#N/A</v>
      </c>
      <c r="AC355" s="19" t="e">
        <f>IF(K355&gt;Forudsætninger!$C$52,IF(K355&gt;Forudsætninger!$C$53,IF(K355&gt;Forudsætninger!$C$54,Forudsætninger!$E$54,Forudsætninger!$E$53+Forudsætninger!$F$54*(K355-Forudsætninger!$C$53)),Forudsætninger!$E$52+Forudsætninger!$F$53*(K355-Forudsætninger!$C$52)),Forudsætninger!$E$52)+IF(K355&gt;Forudsætninger!$C$54,Forudsætninger!$G$54,IF(K355&gt;Forudsætninger!$C$53,Forudsætninger!$G$53+Forudsætninger!$H$54*(K355-Forudsætninger!$C$53),IF(K355&gt;Forudsætninger!$C$52,Forudsætninger!$G$52+Forudsætninger!$H$53*(K355-Forudsætninger!$C$52),Forudsætninger!$G$52)))*(V355-Forudsætninger!$H$52)</f>
        <v>#N/A</v>
      </c>
      <c r="AD355" s="19" t="e">
        <f t="shared" si="159"/>
        <v>#N/A</v>
      </c>
      <c r="AE355" s="19" t="e">
        <f t="shared" si="160"/>
        <v>#N/A</v>
      </c>
      <c r="AF355" t="e">
        <f>IF(G355&lt;=Forudsætninger!$C$97,Forudsætninger!$C$98,(IF(G355&lt;=Forudsætninger!$D$97,Forudsætninger!$D$98,IF(G355&lt;=Forudsætninger!$E$97,Forudsætninger!$E$98,IF(G355&lt;=Forudsætninger!$F$97,Forudsætninger!$F$98,IF(G355&lt;=Forudsætninger!$G$97,Forudsætninger!$G$98,IF(G355&lt;=Forudsætninger!$H$97,Forudsætninger!$H$98,IF(G355&lt;=Forudsætninger!$I$97,Forudsætninger!$I$98,Forudsætninger!$I$98))))))))</f>
        <v>#N/A</v>
      </c>
      <c r="AG355" s="1" t="e">
        <f t="shared" si="170"/>
        <v>#N/A</v>
      </c>
      <c r="AH355" s="1" t="e">
        <f t="shared" si="174"/>
        <v>#N/A</v>
      </c>
      <c r="AI355" s="1" t="e">
        <f t="shared" si="161"/>
        <v>#N/A</v>
      </c>
      <c r="AJ355" s="20" t="e">
        <f>+(W355*Forudsætninger!$C$12)</f>
        <v>#N/A</v>
      </c>
      <c r="AK355" s="20">
        <f>Forudsætninger!$C$17</f>
        <v>250</v>
      </c>
      <c r="AL355" s="20">
        <f>IF(A355&lt;92,Forudsætninger!$C$20,Forudsætninger!$C$21)</f>
        <v>1.0566762728146013</v>
      </c>
      <c r="AM355" s="20">
        <f t="shared" si="171"/>
        <v>641.51220715684292</v>
      </c>
      <c r="AN355" s="19">
        <f>IFERROR(AD355+AJ355-AA355-Z355-AK355-AM355-Forudsætninger!$E$75,-999999)</f>
        <v>-999999</v>
      </c>
      <c r="AO355" s="19">
        <f>IFERROR(AN355/(A355+Forudsætninger!$E$74),-999999)</f>
        <v>-2832.85835694051</v>
      </c>
      <c r="AP355" s="19">
        <f>IFERROR(((365/(A355+Forudsætninger!$E$74))*AN355)/(AI355+Forudsætninger!$E$73),-999999)</f>
        <v>-999999</v>
      </c>
      <c r="AQ355" s="18">
        <f t="shared" si="162"/>
        <v>353</v>
      </c>
      <c r="AR355" s="18" t="e">
        <f t="shared" si="175"/>
        <v>#N/A</v>
      </c>
      <c r="AS355" s="18">
        <f t="shared" si="154"/>
        <v>12.8</v>
      </c>
      <c r="AT355" s="50">
        <f t="shared" si="176"/>
        <v>0</v>
      </c>
      <c r="AU355" s="50">
        <f t="shared" si="177"/>
        <v>8.0478930594899794</v>
      </c>
      <c r="AV355" s="2">
        <f t="shared" si="178"/>
        <v>0</v>
      </c>
      <c r="AW355" s="16">
        <f t="shared" si="172"/>
        <v>-2831.0410419060713</v>
      </c>
      <c r="AZ355" s="16"/>
      <c r="BA355" s="2"/>
    </row>
    <row r="356" spans="1:53" x14ac:dyDescent="0.25">
      <c r="A356">
        <v>354</v>
      </c>
      <c r="B356" s="1">
        <f>ROUND((A356+Forudsætninger!$E$60)/30.4,1)</f>
        <v>12.8</v>
      </c>
      <c r="C356" s="1" t="e">
        <f>VLOOKUP((A356+Forudsætninger!$E$60),'Model tilvækst, slagteform, fe'!A:D,4,FALSE)</f>
        <v>#N/A</v>
      </c>
      <c r="D356" s="3" t="e">
        <f t="shared" si="179"/>
        <v>#N/A</v>
      </c>
      <c r="E356" s="3" t="e">
        <f>(1+Forudsætninger!$E$78)*C356</f>
        <v>#N/A</v>
      </c>
      <c r="F356" s="2" t="e">
        <f t="shared" si="163"/>
        <v>#N/A</v>
      </c>
      <c r="G356" s="1" t="e">
        <f t="shared" si="155"/>
        <v>#N/A</v>
      </c>
      <c r="H356" s="3" t="e">
        <f t="shared" si="164"/>
        <v>#N/A</v>
      </c>
      <c r="I356" s="3" t="e">
        <f t="shared" si="156"/>
        <v>#N/A</v>
      </c>
      <c r="J356" s="1" t="e">
        <f>VLOOKUP((A356+Forudsætninger!$E$60),'Model tilvækst, slagteform, fe'!G:K,4,FALSE)*(1+Forudsætninger!$E$79)</f>
        <v>#N/A</v>
      </c>
      <c r="K356" s="17" t="e">
        <f t="shared" si="157"/>
        <v>#N/A</v>
      </c>
      <c r="L356" s="17" t="e">
        <f t="shared" si="165"/>
        <v>#N/A</v>
      </c>
      <c r="M356" s="3" t="e">
        <f>((K356-(('Model tilvækst, slagteform, fe'!$J$9/100)*'Model tilvækst, slagteform, fe'!$D$9))*1000/(A356+Forudsætninger!$E$60))</f>
        <v>#N/A</v>
      </c>
      <c r="N356" s="17" t="e">
        <f t="shared" si="166"/>
        <v>#N/A</v>
      </c>
      <c r="O356" s="19" t="e">
        <f>IF( A356&lt;Forudsætninger!$C$14,(G356/100)*Forudsætninger!$C$13,(Forudsætninger!$C$15/1000)*Forudsætninger!$C$13)</f>
        <v>#N/A</v>
      </c>
      <c r="P356" s="17" t="e" cm="1">
        <f t="array" ref="P356">INDEX('Model tilvækst, slagteform, fe'!$P$9:$P$375,MATCH(MIN(ABS('Model tilvækst, slagteform, fe'!$M$9:$M$375-G356)),ABS('Model tilvækst, slagteform, fe'!$M$9:$M$375-G356),0))*(1+Forudsætninger!$E$80)</f>
        <v>#N/A</v>
      </c>
      <c r="Q356" s="17" t="e">
        <f t="shared" si="167"/>
        <v>#N/A</v>
      </c>
      <c r="R356" s="17" t="e">
        <f t="shared" si="168"/>
        <v>#N/A</v>
      </c>
      <c r="S356" s="17" t="e">
        <f t="shared" si="169"/>
        <v>#N/A</v>
      </c>
      <c r="T356" s="19" t="e">
        <f>(P356)*IF(N356&lt;Forudsætninger!$B$228,IF(N356&lt;Forudsætninger!$B$227,Forudsætninger!$B$225,Forudsætninger!$C$9),Forudsætninger!$C$11)+O356</f>
        <v>#N/A</v>
      </c>
      <c r="U356" s="5" t="e">
        <f>Forudsætninger!$E$68+((K356-(Forudsætninger!$E$84)))*0.01</f>
        <v>#N/A</v>
      </c>
      <c r="V356" s="2" t="e">
        <f>U356+Forudsætninger!$E$69</f>
        <v>#N/A</v>
      </c>
      <c r="W356" t="e">
        <f t="shared" si="158"/>
        <v>#N/A</v>
      </c>
      <c r="X356">
        <f>IF(A356+Forudsætninger!$E$60&gt;248,IF(A356+Forudsætninger!$E$60&lt;365,IF(K356&gt;180,IF(K356&lt;260,1,0),0),0),0)</f>
        <v>0</v>
      </c>
      <c r="Y356" s="22">
        <f>IF(X356=0,0,IF('Vækstfunktion, kry kvie'!A356&lt;Forudsætninger!$E$66,Forudsætninger!$E$67+(('Vækstfunktion, kry kvie'!A356-Forudsætninger!$E$66)/7)*Forudsætninger!$E$64,Forudsætninger!$E$67))</f>
        <v>0</v>
      </c>
      <c r="Z356" s="19" t="e">
        <f t="shared" si="173"/>
        <v>#N/A</v>
      </c>
      <c r="AA356" s="19">
        <f>Forudsætninger!$E$62+Forudsætninger!$C$16</f>
        <v>1575</v>
      </c>
      <c r="AB356" s="19" t="e">
        <f>IF(K356&gt;Forudsætninger!$C$48,IF(K356&gt;Forudsætninger!$C$49,IF(K356&gt;Forudsætninger!$C$50,Forudsætninger!$E$50,Forudsætninger!$E$49+Forudsætninger!$F$50*(K356-Forudsætninger!$C$49)),Forudsætninger!$E$48+Forudsætninger!$F$49*(K356-Forudsætninger!$C$48)),Forudsætninger!$E$48)+IF(K356&gt;Forudsætninger!$C$50,Forudsætninger!$G$50,IF(K356&gt;Forudsætninger!$C$49,Forudsætninger!$G$49+Forudsætninger!$H$50*(K356-Forudsætninger!$C$49),IF(K356&gt;Forudsætninger!$C$48,Forudsætninger!$G$48+Forudsætninger!$H$49*(K356-Forudsætninger!$C$48),Forudsætninger!$G$48)))*(U356-Forudsætninger!$H$48)</f>
        <v>#N/A</v>
      </c>
      <c r="AC356" s="19" t="e">
        <f>IF(K356&gt;Forudsætninger!$C$52,IF(K356&gt;Forudsætninger!$C$53,IF(K356&gt;Forudsætninger!$C$54,Forudsætninger!$E$54,Forudsætninger!$E$53+Forudsætninger!$F$54*(K356-Forudsætninger!$C$53)),Forudsætninger!$E$52+Forudsætninger!$F$53*(K356-Forudsætninger!$C$52)),Forudsætninger!$E$52)+IF(K356&gt;Forudsætninger!$C$54,Forudsætninger!$G$54,IF(K356&gt;Forudsætninger!$C$53,Forudsætninger!$G$53+Forudsætninger!$H$54*(K356-Forudsætninger!$C$53),IF(K356&gt;Forudsætninger!$C$52,Forudsætninger!$G$52+Forudsætninger!$H$53*(K356-Forudsætninger!$C$52),Forudsætninger!$G$52)))*(V356-Forudsætninger!$H$52)</f>
        <v>#N/A</v>
      </c>
      <c r="AD356" s="19" t="e">
        <f t="shared" si="159"/>
        <v>#N/A</v>
      </c>
      <c r="AE356" s="19" t="e">
        <f t="shared" si="160"/>
        <v>#N/A</v>
      </c>
      <c r="AF356" t="e">
        <f>IF(G356&lt;=Forudsætninger!$C$97,Forudsætninger!$C$98,(IF(G356&lt;=Forudsætninger!$D$97,Forudsætninger!$D$98,IF(G356&lt;=Forudsætninger!$E$97,Forudsætninger!$E$98,IF(G356&lt;=Forudsætninger!$F$97,Forudsætninger!$F$98,IF(G356&lt;=Forudsætninger!$G$97,Forudsætninger!$G$98,IF(G356&lt;=Forudsætninger!$H$97,Forudsætninger!$H$98,IF(G356&lt;=Forudsætninger!$I$97,Forudsætninger!$I$98,Forudsætninger!$I$98))))))))</f>
        <v>#N/A</v>
      </c>
      <c r="AG356" s="1" t="e">
        <f t="shared" si="170"/>
        <v>#N/A</v>
      </c>
      <c r="AH356" s="1" t="e">
        <f t="shared" si="174"/>
        <v>#N/A</v>
      </c>
      <c r="AI356" s="1" t="e">
        <f t="shared" si="161"/>
        <v>#N/A</v>
      </c>
      <c r="AJ356" s="20" t="e">
        <f>+(W356*Forudsætninger!$C$12)</f>
        <v>#N/A</v>
      </c>
      <c r="AK356" s="20">
        <f>Forudsætninger!$C$17</f>
        <v>250</v>
      </c>
      <c r="AL356" s="20">
        <f>IF(A356&lt;92,Forudsætninger!$C$20,Forudsætninger!$C$21)</f>
        <v>1.0566762728146013</v>
      </c>
      <c r="AM356" s="20">
        <f t="shared" si="171"/>
        <v>642.56888342965749</v>
      </c>
      <c r="AN356" s="19">
        <f>IFERROR(AD356+AJ356-AA356-Z356-AK356-AM356-Forudsætninger!$E$75,-999999)</f>
        <v>-999999</v>
      </c>
      <c r="AO356" s="19">
        <f>IFERROR(AN356/(A356+Forudsætninger!$E$74),-999999)</f>
        <v>-2824.8559322033898</v>
      </c>
      <c r="AP356" s="19">
        <f>IFERROR(((365/(A356+Forudsætninger!$E$74))*AN356)/(AI356+Forudsætninger!$E$73),-999999)</f>
        <v>-999999</v>
      </c>
      <c r="AQ356" s="18">
        <f t="shared" si="162"/>
        <v>354</v>
      </c>
      <c r="AR356" s="18" t="e">
        <f t="shared" si="175"/>
        <v>#N/A</v>
      </c>
      <c r="AS356" s="18">
        <f t="shared" si="154"/>
        <v>12.8</v>
      </c>
      <c r="AT356" s="50">
        <f t="shared" si="176"/>
        <v>0</v>
      </c>
      <c r="AU356" s="50">
        <f t="shared" si="177"/>
        <v>8.0024247371202364</v>
      </c>
      <c r="AV356" s="2">
        <f t="shared" si="178"/>
        <v>0</v>
      </c>
      <c r="AW356" s="16">
        <f t="shared" si="172"/>
        <v>-2823.0407658660179</v>
      </c>
      <c r="AZ356" s="16"/>
      <c r="BA356" s="2"/>
    </row>
    <row r="357" spans="1:53" x14ac:dyDescent="0.25">
      <c r="A357">
        <v>355</v>
      </c>
      <c r="B357" s="1">
        <f>ROUND((A357+Forudsætninger!$E$60)/30.4,1)</f>
        <v>12.9</v>
      </c>
      <c r="C357" s="1" t="e">
        <f>VLOOKUP((A357+Forudsætninger!$E$60),'Model tilvækst, slagteform, fe'!A:D,4,FALSE)</f>
        <v>#N/A</v>
      </c>
      <c r="D357" s="3" t="e">
        <f t="shared" si="179"/>
        <v>#N/A</v>
      </c>
      <c r="E357" s="3" t="e">
        <f>(1+Forudsætninger!$E$78)*C357</f>
        <v>#N/A</v>
      </c>
      <c r="F357" s="2" t="e">
        <f t="shared" si="163"/>
        <v>#N/A</v>
      </c>
      <c r="G357" s="1" t="e">
        <f t="shared" si="155"/>
        <v>#N/A</v>
      </c>
      <c r="H357" s="3" t="e">
        <f t="shared" si="164"/>
        <v>#N/A</v>
      </c>
      <c r="I357" s="3" t="e">
        <f t="shared" si="156"/>
        <v>#N/A</v>
      </c>
      <c r="J357" s="1" t="e">
        <f>VLOOKUP((A357+Forudsætninger!$E$60),'Model tilvækst, slagteform, fe'!G:K,4,FALSE)*(1+Forudsætninger!$E$79)</f>
        <v>#N/A</v>
      </c>
      <c r="K357" s="17" t="e">
        <f t="shared" si="157"/>
        <v>#N/A</v>
      </c>
      <c r="L357" s="17" t="e">
        <f t="shared" si="165"/>
        <v>#N/A</v>
      </c>
      <c r="M357" s="3" t="e">
        <f>((K357-(('Model tilvækst, slagteform, fe'!$J$9/100)*'Model tilvækst, slagteform, fe'!$D$9))*1000/(A357+Forudsætninger!$E$60))</f>
        <v>#N/A</v>
      </c>
      <c r="N357" s="17" t="e">
        <f t="shared" si="166"/>
        <v>#N/A</v>
      </c>
      <c r="O357" s="19" t="e">
        <f>IF( A357&lt;Forudsætninger!$C$14,(G357/100)*Forudsætninger!$C$13,(Forudsætninger!$C$15/1000)*Forudsætninger!$C$13)</f>
        <v>#N/A</v>
      </c>
      <c r="P357" s="17" t="e" cm="1">
        <f t="array" ref="P357">INDEX('Model tilvækst, slagteform, fe'!$P$9:$P$375,MATCH(MIN(ABS('Model tilvækst, slagteform, fe'!$M$9:$M$375-G357)),ABS('Model tilvækst, slagteform, fe'!$M$9:$M$375-G357),0))*(1+Forudsætninger!$E$80)</f>
        <v>#N/A</v>
      </c>
      <c r="Q357" s="17" t="e">
        <f t="shared" si="167"/>
        <v>#N/A</v>
      </c>
      <c r="R357" s="17" t="e">
        <f t="shared" si="168"/>
        <v>#N/A</v>
      </c>
      <c r="S357" s="17" t="e">
        <f t="shared" si="169"/>
        <v>#N/A</v>
      </c>
      <c r="T357" s="19" t="e">
        <f>(P357)*IF(N357&lt;Forudsætninger!$B$228,IF(N357&lt;Forudsætninger!$B$227,Forudsætninger!$B$225,Forudsætninger!$C$9),Forudsætninger!$C$11)+O357</f>
        <v>#N/A</v>
      </c>
      <c r="U357" s="5" t="e">
        <f>Forudsætninger!$E$68+((K357-(Forudsætninger!$E$84)))*0.01</f>
        <v>#N/A</v>
      </c>
      <c r="V357" s="2" t="e">
        <f>U357+Forudsætninger!$E$69</f>
        <v>#N/A</v>
      </c>
      <c r="W357" t="e">
        <f t="shared" si="158"/>
        <v>#N/A</v>
      </c>
      <c r="X357">
        <f>IF(A357+Forudsætninger!$E$60&gt;248,IF(A357+Forudsætninger!$E$60&lt;365,IF(K357&gt;180,IF(K357&lt;260,1,0),0),0),0)</f>
        <v>0</v>
      </c>
      <c r="Y357" s="22">
        <f>IF(X357=0,0,IF('Vækstfunktion, kry kvie'!A357&lt;Forudsætninger!$E$66,Forudsætninger!$E$67+(('Vækstfunktion, kry kvie'!A357-Forudsætninger!$E$66)/7)*Forudsætninger!$E$64,Forudsætninger!$E$67))</f>
        <v>0</v>
      </c>
      <c r="Z357" s="19" t="e">
        <f t="shared" si="173"/>
        <v>#N/A</v>
      </c>
      <c r="AA357" s="19">
        <f>Forudsætninger!$E$62+Forudsætninger!$C$16</f>
        <v>1575</v>
      </c>
      <c r="AB357" s="19" t="e">
        <f>IF(K357&gt;Forudsætninger!$C$48,IF(K357&gt;Forudsætninger!$C$49,IF(K357&gt;Forudsætninger!$C$50,Forudsætninger!$E$50,Forudsætninger!$E$49+Forudsætninger!$F$50*(K357-Forudsætninger!$C$49)),Forudsætninger!$E$48+Forudsætninger!$F$49*(K357-Forudsætninger!$C$48)),Forudsætninger!$E$48)+IF(K357&gt;Forudsætninger!$C$50,Forudsætninger!$G$50,IF(K357&gt;Forudsætninger!$C$49,Forudsætninger!$G$49+Forudsætninger!$H$50*(K357-Forudsætninger!$C$49),IF(K357&gt;Forudsætninger!$C$48,Forudsætninger!$G$48+Forudsætninger!$H$49*(K357-Forudsætninger!$C$48),Forudsætninger!$G$48)))*(U357-Forudsætninger!$H$48)</f>
        <v>#N/A</v>
      </c>
      <c r="AC357" s="19" t="e">
        <f>IF(K357&gt;Forudsætninger!$C$52,IF(K357&gt;Forudsætninger!$C$53,IF(K357&gt;Forudsætninger!$C$54,Forudsætninger!$E$54,Forudsætninger!$E$53+Forudsætninger!$F$54*(K357-Forudsætninger!$C$53)),Forudsætninger!$E$52+Forudsætninger!$F$53*(K357-Forudsætninger!$C$52)),Forudsætninger!$E$52)+IF(K357&gt;Forudsætninger!$C$54,Forudsætninger!$G$54,IF(K357&gt;Forudsætninger!$C$53,Forudsætninger!$G$53+Forudsætninger!$H$54*(K357-Forudsætninger!$C$53),IF(K357&gt;Forudsætninger!$C$52,Forudsætninger!$G$52+Forudsætninger!$H$53*(K357-Forudsætninger!$C$52),Forudsætninger!$G$52)))*(V357-Forudsætninger!$H$52)</f>
        <v>#N/A</v>
      </c>
      <c r="AD357" s="19" t="e">
        <f t="shared" si="159"/>
        <v>#N/A</v>
      </c>
      <c r="AE357" s="19" t="e">
        <f t="shared" si="160"/>
        <v>#N/A</v>
      </c>
      <c r="AF357" t="e">
        <f>IF(G357&lt;=Forudsætninger!$C$97,Forudsætninger!$C$98,(IF(G357&lt;=Forudsætninger!$D$97,Forudsætninger!$D$98,IF(G357&lt;=Forudsætninger!$E$97,Forudsætninger!$E$98,IF(G357&lt;=Forudsætninger!$F$97,Forudsætninger!$F$98,IF(G357&lt;=Forudsætninger!$G$97,Forudsætninger!$G$98,IF(G357&lt;=Forudsætninger!$H$97,Forudsætninger!$H$98,IF(G357&lt;=Forudsætninger!$I$97,Forudsætninger!$I$98,Forudsætninger!$I$98))))))))</f>
        <v>#N/A</v>
      </c>
      <c r="AG357" s="1" t="e">
        <f t="shared" si="170"/>
        <v>#N/A</v>
      </c>
      <c r="AH357" s="1" t="e">
        <f t="shared" si="174"/>
        <v>#N/A</v>
      </c>
      <c r="AI357" s="1" t="e">
        <f t="shared" si="161"/>
        <v>#N/A</v>
      </c>
      <c r="AJ357" s="20" t="e">
        <f>+(W357*Forudsætninger!$C$12)</f>
        <v>#N/A</v>
      </c>
      <c r="AK357" s="20">
        <f>Forudsætninger!$C$17</f>
        <v>250</v>
      </c>
      <c r="AL357" s="20">
        <f>IF(A357&lt;92,Forudsætninger!$C$20,Forudsætninger!$C$21)</f>
        <v>1.0566762728146013</v>
      </c>
      <c r="AM357" s="20">
        <f t="shared" si="171"/>
        <v>643.62555970247206</v>
      </c>
      <c r="AN357" s="19">
        <f>IFERROR(AD357+AJ357-AA357-Z357-AK357-AM357-Forudsætninger!$E$75,-999999)</f>
        <v>-999999</v>
      </c>
      <c r="AO357" s="19">
        <f>IFERROR(AN357/(A357+Forudsætninger!$E$74),-999999)</f>
        <v>-2816.8985915492958</v>
      </c>
      <c r="AP357" s="19">
        <f>IFERROR(((365/(A357+Forudsætninger!$E$74))*AN357)/(AI357+Forudsætninger!$E$73),-999999)</f>
        <v>-999999</v>
      </c>
      <c r="AQ357" s="18">
        <f t="shared" si="162"/>
        <v>355</v>
      </c>
      <c r="AR357" s="18" t="e">
        <f t="shared" si="175"/>
        <v>#N/A</v>
      </c>
      <c r="AS357" s="18">
        <f t="shared" si="154"/>
        <v>12.9</v>
      </c>
      <c r="AT357" s="50">
        <f t="shared" si="176"/>
        <v>0</v>
      </c>
      <c r="AU357" s="50">
        <f t="shared" si="177"/>
        <v>7.9573406540939686</v>
      </c>
      <c r="AV357" s="2">
        <f t="shared" si="178"/>
        <v>0</v>
      </c>
      <c r="AW357" s="16">
        <f t="shared" si="172"/>
        <v>-2815.0855618036549</v>
      </c>
      <c r="AZ357" s="16"/>
      <c r="BA357" s="2"/>
    </row>
    <row r="358" spans="1:53" x14ac:dyDescent="0.25">
      <c r="A358">
        <v>356</v>
      </c>
      <c r="B358" s="1">
        <f>ROUND((A358+Forudsætninger!$E$60)/30.4,1)</f>
        <v>12.9</v>
      </c>
      <c r="C358" s="1" t="e">
        <f>VLOOKUP((A358+Forudsætninger!$E$60),'Model tilvækst, slagteform, fe'!A:D,4,FALSE)</f>
        <v>#N/A</v>
      </c>
      <c r="D358" s="3" t="e">
        <f t="shared" si="179"/>
        <v>#N/A</v>
      </c>
      <c r="E358" s="3" t="e">
        <f>(1+Forudsætninger!$E$78)*C358</f>
        <v>#N/A</v>
      </c>
      <c r="F358" s="2" t="e">
        <f t="shared" si="163"/>
        <v>#N/A</v>
      </c>
      <c r="G358" s="1" t="e">
        <f t="shared" si="155"/>
        <v>#N/A</v>
      </c>
      <c r="H358" s="3" t="e">
        <f t="shared" si="164"/>
        <v>#N/A</v>
      </c>
      <c r="I358" s="3" t="e">
        <f t="shared" si="156"/>
        <v>#N/A</v>
      </c>
      <c r="J358" s="1" t="e">
        <f>VLOOKUP((A358+Forudsætninger!$E$60),'Model tilvækst, slagteform, fe'!G:K,4,FALSE)*(1+Forudsætninger!$E$79)</f>
        <v>#N/A</v>
      </c>
      <c r="K358" s="17" t="e">
        <f t="shared" si="157"/>
        <v>#N/A</v>
      </c>
      <c r="L358" s="17" t="e">
        <f t="shared" si="165"/>
        <v>#N/A</v>
      </c>
      <c r="M358" s="3" t="e">
        <f>((K358-(('Model tilvækst, slagteform, fe'!$J$9/100)*'Model tilvækst, slagteform, fe'!$D$9))*1000/(A358+Forudsætninger!$E$60))</f>
        <v>#N/A</v>
      </c>
      <c r="N358" s="17" t="e">
        <f t="shared" si="166"/>
        <v>#N/A</v>
      </c>
      <c r="O358" s="19" t="e">
        <f>IF( A358&lt;Forudsætninger!$C$14,(G358/100)*Forudsætninger!$C$13,(Forudsætninger!$C$15/1000)*Forudsætninger!$C$13)</f>
        <v>#N/A</v>
      </c>
      <c r="P358" s="17" t="e" cm="1">
        <f t="array" ref="P358">INDEX('Model tilvækst, slagteform, fe'!$P$9:$P$375,MATCH(MIN(ABS('Model tilvækst, slagteform, fe'!$M$9:$M$375-G358)),ABS('Model tilvækst, slagteform, fe'!$M$9:$M$375-G358),0))*(1+Forudsætninger!$E$80)</f>
        <v>#N/A</v>
      </c>
      <c r="Q358" s="17" t="e">
        <f t="shared" si="167"/>
        <v>#N/A</v>
      </c>
      <c r="R358" s="17" t="e">
        <f t="shared" si="168"/>
        <v>#N/A</v>
      </c>
      <c r="S358" s="17" t="e">
        <f t="shared" si="169"/>
        <v>#N/A</v>
      </c>
      <c r="T358" s="19" t="e">
        <f>(P358)*IF(N358&lt;Forudsætninger!$B$228,IF(N358&lt;Forudsætninger!$B$227,Forudsætninger!$B$225,Forudsætninger!$C$9),Forudsætninger!$C$11)+O358</f>
        <v>#N/A</v>
      </c>
      <c r="U358" s="5" t="e">
        <f>Forudsætninger!$E$68+((K358-(Forudsætninger!$E$84)))*0.01</f>
        <v>#N/A</v>
      </c>
      <c r="V358" s="2" t="e">
        <f>U358+Forudsætninger!$E$69</f>
        <v>#N/A</v>
      </c>
      <c r="W358" t="e">
        <f t="shared" si="158"/>
        <v>#N/A</v>
      </c>
      <c r="X358">
        <f>IF(A358+Forudsætninger!$E$60&gt;248,IF(A358+Forudsætninger!$E$60&lt;365,IF(K358&gt;180,IF(K358&lt;260,1,0),0),0),0)</f>
        <v>0</v>
      </c>
      <c r="Y358" s="22">
        <f>IF(X358=0,0,IF('Vækstfunktion, kry kvie'!A358&lt;Forudsætninger!$E$66,Forudsætninger!$E$67+(('Vækstfunktion, kry kvie'!A358-Forudsætninger!$E$66)/7)*Forudsætninger!$E$64,Forudsætninger!$E$67))</f>
        <v>0</v>
      </c>
      <c r="Z358" s="19" t="e">
        <f t="shared" si="173"/>
        <v>#N/A</v>
      </c>
      <c r="AA358" s="19">
        <f>Forudsætninger!$E$62+Forudsætninger!$C$16</f>
        <v>1575</v>
      </c>
      <c r="AB358" s="19" t="e">
        <f>IF(K358&gt;Forudsætninger!$C$48,IF(K358&gt;Forudsætninger!$C$49,IF(K358&gt;Forudsætninger!$C$50,Forudsætninger!$E$50,Forudsætninger!$E$49+Forudsætninger!$F$50*(K358-Forudsætninger!$C$49)),Forudsætninger!$E$48+Forudsætninger!$F$49*(K358-Forudsætninger!$C$48)),Forudsætninger!$E$48)+IF(K358&gt;Forudsætninger!$C$50,Forudsætninger!$G$50,IF(K358&gt;Forudsætninger!$C$49,Forudsætninger!$G$49+Forudsætninger!$H$50*(K358-Forudsætninger!$C$49),IF(K358&gt;Forudsætninger!$C$48,Forudsætninger!$G$48+Forudsætninger!$H$49*(K358-Forudsætninger!$C$48),Forudsætninger!$G$48)))*(U358-Forudsætninger!$H$48)</f>
        <v>#N/A</v>
      </c>
      <c r="AC358" s="19" t="e">
        <f>IF(K358&gt;Forudsætninger!$C$52,IF(K358&gt;Forudsætninger!$C$53,IF(K358&gt;Forudsætninger!$C$54,Forudsætninger!$E$54,Forudsætninger!$E$53+Forudsætninger!$F$54*(K358-Forudsætninger!$C$53)),Forudsætninger!$E$52+Forudsætninger!$F$53*(K358-Forudsætninger!$C$52)),Forudsætninger!$E$52)+IF(K358&gt;Forudsætninger!$C$54,Forudsætninger!$G$54,IF(K358&gt;Forudsætninger!$C$53,Forudsætninger!$G$53+Forudsætninger!$H$54*(K358-Forudsætninger!$C$53),IF(K358&gt;Forudsætninger!$C$52,Forudsætninger!$G$52+Forudsætninger!$H$53*(K358-Forudsætninger!$C$52),Forudsætninger!$G$52)))*(V358-Forudsætninger!$H$52)</f>
        <v>#N/A</v>
      </c>
      <c r="AD358" s="19" t="e">
        <f t="shared" si="159"/>
        <v>#N/A</v>
      </c>
      <c r="AE358" s="19" t="e">
        <f t="shared" si="160"/>
        <v>#N/A</v>
      </c>
      <c r="AF358" t="e">
        <f>IF(G358&lt;=Forudsætninger!$C$97,Forudsætninger!$C$98,(IF(G358&lt;=Forudsætninger!$D$97,Forudsætninger!$D$98,IF(G358&lt;=Forudsætninger!$E$97,Forudsætninger!$E$98,IF(G358&lt;=Forudsætninger!$F$97,Forudsætninger!$F$98,IF(G358&lt;=Forudsætninger!$G$97,Forudsætninger!$G$98,IF(G358&lt;=Forudsætninger!$H$97,Forudsætninger!$H$98,IF(G358&lt;=Forudsætninger!$I$97,Forudsætninger!$I$98,Forudsætninger!$I$98))))))))</f>
        <v>#N/A</v>
      </c>
      <c r="AG358" s="1" t="e">
        <f t="shared" si="170"/>
        <v>#N/A</v>
      </c>
      <c r="AH358" s="1" t="e">
        <f t="shared" si="174"/>
        <v>#N/A</v>
      </c>
      <c r="AI358" s="1" t="e">
        <f t="shared" si="161"/>
        <v>#N/A</v>
      </c>
      <c r="AJ358" s="20" t="e">
        <f>+(W358*Forudsætninger!$C$12)</f>
        <v>#N/A</v>
      </c>
      <c r="AK358" s="20">
        <f>Forudsætninger!$C$17</f>
        <v>250</v>
      </c>
      <c r="AL358" s="20">
        <f>IF(A358&lt;92,Forudsætninger!$C$20,Forudsætninger!$C$21)</f>
        <v>1.0566762728146013</v>
      </c>
      <c r="AM358" s="20">
        <f t="shared" si="171"/>
        <v>644.68223597528663</v>
      </c>
      <c r="AN358" s="19">
        <f>IFERROR(AD358+AJ358-AA358-Z358-AK358-AM358-Forudsætninger!$E$75,-999999)</f>
        <v>-999999</v>
      </c>
      <c r="AO358" s="19">
        <f>IFERROR(AN358/(A358+Forudsætninger!$E$74),-999999)</f>
        <v>-2808.9859550561796</v>
      </c>
      <c r="AP358" s="19">
        <f>IFERROR(((365/(A358+Forudsætninger!$E$74))*AN358)/(AI358+Forudsætninger!$E$73),-999999)</f>
        <v>-999999</v>
      </c>
      <c r="AQ358" s="18">
        <f t="shared" si="162"/>
        <v>356</v>
      </c>
      <c r="AR358" s="18" t="e">
        <f t="shared" si="175"/>
        <v>#N/A</v>
      </c>
      <c r="AS358" s="18">
        <f t="shared" si="154"/>
        <v>12.9</v>
      </c>
      <c r="AT358" s="50">
        <f t="shared" si="176"/>
        <v>0</v>
      </c>
      <c r="AU358" s="50">
        <f t="shared" si="177"/>
        <v>7.9126364931162243</v>
      </c>
      <c r="AV358" s="2">
        <f t="shared" si="178"/>
        <v>0</v>
      </c>
      <c r="AW358" s="16">
        <f t="shared" si="172"/>
        <v>-2807.1750498989459</v>
      </c>
      <c r="AZ358" s="16"/>
      <c r="BA358" s="2"/>
    </row>
    <row r="359" spans="1:53" x14ac:dyDescent="0.25">
      <c r="A359">
        <v>357</v>
      </c>
      <c r="B359" s="1">
        <f>ROUND((A359+Forudsætninger!$E$60)/30.4,1)</f>
        <v>12.9</v>
      </c>
      <c r="C359" s="1" t="e">
        <f>VLOOKUP((A359+Forudsætninger!$E$60),'Model tilvækst, slagteform, fe'!A:D,4,FALSE)</f>
        <v>#N/A</v>
      </c>
      <c r="D359" s="3" t="e">
        <f t="shared" si="179"/>
        <v>#N/A</v>
      </c>
      <c r="E359" s="3" t="e">
        <f>(1+Forudsætninger!$E$78)*C359</f>
        <v>#N/A</v>
      </c>
      <c r="F359" s="2" t="e">
        <f t="shared" si="163"/>
        <v>#N/A</v>
      </c>
      <c r="G359" s="1" t="e">
        <f t="shared" si="155"/>
        <v>#N/A</v>
      </c>
      <c r="H359" s="3" t="e">
        <f t="shared" si="164"/>
        <v>#N/A</v>
      </c>
      <c r="I359" s="3" t="e">
        <f t="shared" si="156"/>
        <v>#N/A</v>
      </c>
      <c r="J359" s="1" t="e">
        <f>VLOOKUP((A359+Forudsætninger!$E$60),'Model tilvækst, slagteform, fe'!G:K,4,FALSE)*(1+Forudsætninger!$E$79)</f>
        <v>#N/A</v>
      </c>
      <c r="K359" s="17" t="e">
        <f t="shared" si="157"/>
        <v>#N/A</v>
      </c>
      <c r="L359" s="17" t="e">
        <f t="shared" si="165"/>
        <v>#N/A</v>
      </c>
      <c r="M359" s="3" t="e">
        <f>((K359-(('Model tilvækst, slagteform, fe'!$J$9/100)*'Model tilvækst, slagteform, fe'!$D$9))*1000/(A359+Forudsætninger!$E$60))</f>
        <v>#N/A</v>
      </c>
      <c r="N359" s="17" t="e">
        <f t="shared" si="166"/>
        <v>#N/A</v>
      </c>
      <c r="O359" s="19" t="e">
        <f>IF( A359&lt;Forudsætninger!$C$14,(G359/100)*Forudsætninger!$C$13,(Forudsætninger!$C$15/1000)*Forudsætninger!$C$13)</f>
        <v>#N/A</v>
      </c>
      <c r="P359" s="17" t="e" cm="1">
        <f t="array" ref="P359">INDEX('Model tilvækst, slagteform, fe'!$P$9:$P$375,MATCH(MIN(ABS('Model tilvækst, slagteform, fe'!$M$9:$M$375-G359)),ABS('Model tilvækst, slagteform, fe'!$M$9:$M$375-G359),0))*(1+Forudsætninger!$E$80)</f>
        <v>#N/A</v>
      </c>
      <c r="Q359" s="17" t="e">
        <f t="shared" si="167"/>
        <v>#N/A</v>
      </c>
      <c r="R359" s="17" t="e">
        <f t="shared" si="168"/>
        <v>#N/A</v>
      </c>
      <c r="S359" s="17" t="e">
        <f t="shared" si="169"/>
        <v>#N/A</v>
      </c>
      <c r="T359" s="19" t="e">
        <f>(P359)*IF(N359&lt;Forudsætninger!$B$228,IF(N359&lt;Forudsætninger!$B$227,Forudsætninger!$B$225,Forudsætninger!$C$9),Forudsætninger!$C$11)+O359</f>
        <v>#N/A</v>
      </c>
      <c r="U359" s="5" t="e">
        <f>Forudsætninger!$E$68+((K359-(Forudsætninger!$E$84)))*0.01</f>
        <v>#N/A</v>
      </c>
      <c r="V359" s="2" t="e">
        <f>U359+Forudsætninger!$E$69</f>
        <v>#N/A</v>
      </c>
      <c r="W359" t="e">
        <f t="shared" si="158"/>
        <v>#N/A</v>
      </c>
      <c r="X359">
        <f>IF(A359+Forudsætninger!$E$60&gt;248,IF(A359+Forudsætninger!$E$60&lt;365,IF(K359&gt;180,IF(K359&lt;260,1,0),0),0),0)</f>
        <v>0</v>
      </c>
      <c r="Y359" s="22">
        <f>IF(X359=0,0,IF('Vækstfunktion, kry kvie'!A359&lt;Forudsætninger!$E$66,Forudsætninger!$E$67+(('Vækstfunktion, kry kvie'!A359-Forudsætninger!$E$66)/7)*Forudsætninger!$E$64,Forudsætninger!$E$67))</f>
        <v>0</v>
      </c>
      <c r="Z359" s="19" t="e">
        <f t="shared" si="173"/>
        <v>#N/A</v>
      </c>
      <c r="AA359" s="19">
        <f>Forudsætninger!$E$62+Forudsætninger!$C$16</f>
        <v>1575</v>
      </c>
      <c r="AB359" s="19" t="e">
        <f>IF(K359&gt;Forudsætninger!$C$48,IF(K359&gt;Forudsætninger!$C$49,IF(K359&gt;Forudsætninger!$C$50,Forudsætninger!$E$50,Forudsætninger!$E$49+Forudsætninger!$F$50*(K359-Forudsætninger!$C$49)),Forudsætninger!$E$48+Forudsætninger!$F$49*(K359-Forudsætninger!$C$48)),Forudsætninger!$E$48)+IF(K359&gt;Forudsætninger!$C$50,Forudsætninger!$G$50,IF(K359&gt;Forudsætninger!$C$49,Forudsætninger!$G$49+Forudsætninger!$H$50*(K359-Forudsætninger!$C$49),IF(K359&gt;Forudsætninger!$C$48,Forudsætninger!$G$48+Forudsætninger!$H$49*(K359-Forudsætninger!$C$48),Forudsætninger!$G$48)))*(U359-Forudsætninger!$H$48)</f>
        <v>#N/A</v>
      </c>
      <c r="AC359" s="19" t="e">
        <f>IF(K359&gt;Forudsætninger!$C$52,IF(K359&gt;Forudsætninger!$C$53,IF(K359&gt;Forudsætninger!$C$54,Forudsætninger!$E$54,Forudsætninger!$E$53+Forudsætninger!$F$54*(K359-Forudsætninger!$C$53)),Forudsætninger!$E$52+Forudsætninger!$F$53*(K359-Forudsætninger!$C$52)),Forudsætninger!$E$52)+IF(K359&gt;Forudsætninger!$C$54,Forudsætninger!$G$54,IF(K359&gt;Forudsætninger!$C$53,Forudsætninger!$G$53+Forudsætninger!$H$54*(K359-Forudsætninger!$C$53),IF(K359&gt;Forudsætninger!$C$52,Forudsætninger!$G$52+Forudsætninger!$H$53*(K359-Forudsætninger!$C$52),Forudsætninger!$G$52)))*(V359-Forudsætninger!$H$52)</f>
        <v>#N/A</v>
      </c>
      <c r="AD359" s="19" t="e">
        <f t="shared" si="159"/>
        <v>#N/A</v>
      </c>
      <c r="AE359" s="19" t="e">
        <f t="shared" si="160"/>
        <v>#N/A</v>
      </c>
      <c r="AF359" t="e">
        <f>IF(G359&lt;=Forudsætninger!$C$97,Forudsætninger!$C$98,(IF(G359&lt;=Forudsætninger!$D$97,Forudsætninger!$D$98,IF(G359&lt;=Forudsætninger!$E$97,Forudsætninger!$E$98,IF(G359&lt;=Forudsætninger!$F$97,Forudsætninger!$F$98,IF(G359&lt;=Forudsætninger!$G$97,Forudsætninger!$G$98,IF(G359&lt;=Forudsætninger!$H$97,Forudsætninger!$H$98,IF(G359&lt;=Forudsætninger!$I$97,Forudsætninger!$I$98,Forudsætninger!$I$98))))))))</f>
        <v>#N/A</v>
      </c>
      <c r="AG359" s="1" t="e">
        <f t="shared" si="170"/>
        <v>#N/A</v>
      </c>
      <c r="AH359" s="1" t="e">
        <f t="shared" si="174"/>
        <v>#N/A</v>
      </c>
      <c r="AI359" s="1" t="e">
        <f t="shared" si="161"/>
        <v>#N/A</v>
      </c>
      <c r="AJ359" s="20" t="e">
        <f>+(W359*Forudsætninger!$C$12)</f>
        <v>#N/A</v>
      </c>
      <c r="AK359" s="20">
        <f>Forudsætninger!$C$17</f>
        <v>250</v>
      </c>
      <c r="AL359" s="20">
        <f>IF(A359&lt;92,Forudsætninger!$C$20,Forudsætninger!$C$21)</f>
        <v>1.0566762728146013</v>
      </c>
      <c r="AM359" s="20">
        <f t="shared" si="171"/>
        <v>645.7389122481012</v>
      </c>
      <c r="AN359" s="19">
        <f>IFERROR(AD359+AJ359-AA359-Z359-AK359-AM359-Forudsætninger!$E$75,-999999)</f>
        <v>-999999</v>
      </c>
      <c r="AO359" s="19">
        <f>IFERROR(AN359/(A359+Forudsætninger!$E$74),-999999)</f>
        <v>-2801.1176470588234</v>
      </c>
      <c r="AP359" s="19">
        <f>IFERROR(((365/(A359+Forudsætninger!$E$74))*AN359)/(AI359+Forudsætninger!$E$73),-999999)</f>
        <v>-999999</v>
      </c>
      <c r="AQ359" s="18">
        <f t="shared" si="162"/>
        <v>357</v>
      </c>
      <c r="AR359" s="18" t="e">
        <f t="shared" si="175"/>
        <v>#N/A</v>
      </c>
      <c r="AS359" s="18">
        <f t="shared" si="154"/>
        <v>12.9</v>
      </c>
      <c r="AT359" s="50">
        <f t="shared" si="176"/>
        <v>0</v>
      </c>
      <c r="AU359" s="50">
        <f t="shared" si="177"/>
        <v>7.8683079973561689</v>
      </c>
      <c r="AV359" s="2">
        <f t="shared" si="178"/>
        <v>0</v>
      </c>
      <c r="AW359" s="16">
        <f t="shared" si="172"/>
        <v>-2799.3088545875403</v>
      </c>
      <c r="AZ359" s="16"/>
      <c r="BA359" s="2"/>
    </row>
    <row r="360" spans="1:53" x14ac:dyDescent="0.25">
      <c r="A360">
        <v>358</v>
      </c>
      <c r="B360" s="1">
        <f>ROUND((A360+Forudsætninger!$E$60)/30.4,1)</f>
        <v>13</v>
      </c>
      <c r="C360" s="1" t="e">
        <f>VLOOKUP((A360+Forudsætninger!$E$60),'Model tilvækst, slagteform, fe'!A:D,4,FALSE)</f>
        <v>#N/A</v>
      </c>
      <c r="D360" s="3" t="e">
        <f t="shared" si="179"/>
        <v>#N/A</v>
      </c>
      <c r="E360" s="3" t="e">
        <f>(1+Forudsætninger!$E$78)*C360</f>
        <v>#N/A</v>
      </c>
      <c r="F360" s="2" t="e">
        <f t="shared" si="163"/>
        <v>#N/A</v>
      </c>
      <c r="G360" s="1" t="e">
        <f t="shared" si="155"/>
        <v>#N/A</v>
      </c>
      <c r="H360" s="3" t="e">
        <f t="shared" si="164"/>
        <v>#N/A</v>
      </c>
      <c r="I360" s="3" t="e">
        <f t="shared" si="156"/>
        <v>#N/A</v>
      </c>
      <c r="J360" s="1" t="e">
        <f>VLOOKUP((A360+Forudsætninger!$E$60),'Model tilvækst, slagteform, fe'!G:K,4,FALSE)*(1+Forudsætninger!$E$79)</f>
        <v>#N/A</v>
      </c>
      <c r="K360" s="17" t="e">
        <f t="shared" si="157"/>
        <v>#N/A</v>
      </c>
      <c r="L360" s="17" t="e">
        <f t="shared" si="165"/>
        <v>#N/A</v>
      </c>
      <c r="M360" s="3" t="e">
        <f>((K360-(('Model tilvækst, slagteform, fe'!$J$9/100)*'Model tilvækst, slagteform, fe'!$D$9))*1000/(A360+Forudsætninger!$E$60))</f>
        <v>#N/A</v>
      </c>
      <c r="N360" s="17" t="e">
        <f t="shared" si="166"/>
        <v>#N/A</v>
      </c>
      <c r="O360" s="19" t="e">
        <f>IF( A360&lt;Forudsætninger!$C$14,(G360/100)*Forudsætninger!$C$13,(Forudsætninger!$C$15/1000)*Forudsætninger!$C$13)</f>
        <v>#N/A</v>
      </c>
      <c r="P360" s="17" t="e" cm="1">
        <f t="array" ref="P360">INDEX('Model tilvækst, slagteform, fe'!$P$9:$P$375,MATCH(MIN(ABS('Model tilvækst, slagteform, fe'!$M$9:$M$375-G360)),ABS('Model tilvækst, slagteform, fe'!$M$9:$M$375-G360),0))*(1+Forudsætninger!$E$80)</f>
        <v>#N/A</v>
      </c>
      <c r="Q360" s="17" t="e">
        <f t="shared" si="167"/>
        <v>#N/A</v>
      </c>
      <c r="R360" s="17" t="e">
        <f t="shared" si="168"/>
        <v>#N/A</v>
      </c>
      <c r="S360" s="17" t="e">
        <f t="shared" si="169"/>
        <v>#N/A</v>
      </c>
      <c r="T360" s="19" t="e">
        <f>(P360)*IF(N360&lt;Forudsætninger!$B$228,IF(N360&lt;Forudsætninger!$B$227,Forudsætninger!$B$225,Forudsætninger!$C$9),Forudsætninger!$C$11)+O360</f>
        <v>#N/A</v>
      </c>
      <c r="U360" s="5" t="e">
        <f>Forudsætninger!$E$68+((K360-(Forudsætninger!$E$84)))*0.01</f>
        <v>#N/A</v>
      </c>
      <c r="V360" s="2" t="e">
        <f>U360+Forudsætninger!$E$69</f>
        <v>#N/A</v>
      </c>
      <c r="W360" t="e">
        <f t="shared" si="158"/>
        <v>#N/A</v>
      </c>
      <c r="X360">
        <f>IF(A360+Forudsætninger!$E$60&gt;248,IF(A360+Forudsætninger!$E$60&lt;365,IF(K360&gt;180,IF(K360&lt;260,1,0),0),0),0)</f>
        <v>0</v>
      </c>
      <c r="Y360" s="22">
        <f>IF(X360=0,0,IF('Vækstfunktion, kry kvie'!A360&lt;Forudsætninger!$E$66,Forudsætninger!$E$67+(('Vækstfunktion, kry kvie'!A360-Forudsætninger!$E$66)/7)*Forudsætninger!$E$64,Forudsætninger!$E$67))</f>
        <v>0</v>
      </c>
      <c r="Z360" s="19" t="e">
        <f t="shared" si="173"/>
        <v>#N/A</v>
      </c>
      <c r="AA360" s="19">
        <f>Forudsætninger!$E$62+Forudsætninger!$C$16</f>
        <v>1575</v>
      </c>
      <c r="AB360" s="19" t="e">
        <f>IF(K360&gt;Forudsætninger!$C$48,IF(K360&gt;Forudsætninger!$C$49,IF(K360&gt;Forudsætninger!$C$50,Forudsætninger!$E$50,Forudsætninger!$E$49+Forudsætninger!$F$50*(K360-Forudsætninger!$C$49)),Forudsætninger!$E$48+Forudsætninger!$F$49*(K360-Forudsætninger!$C$48)),Forudsætninger!$E$48)+IF(K360&gt;Forudsætninger!$C$50,Forudsætninger!$G$50,IF(K360&gt;Forudsætninger!$C$49,Forudsætninger!$G$49+Forudsætninger!$H$50*(K360-Forudsætninger!$C$49),IF(K360&gt;Forudsætninger!$C$48,Forudsætninger!$G$48+Forudsætninger!$H$49*(K360-Forudsætninger!$C$48),Forudsætninger!$G$48)))*(U360-Forudsætninger!$H$48)</f>
        <v>#N/A</v>
      </c>
      <c r="AC360" s="19" t="e">
        <f>IF(K360&gt;Forudsætninger!$C$52,IF(K360&gt;Forudsætninger!$C$53,IF(K360&gt;Forudsætninger!$C$54,Forudsætninger!$E$54,Forudsætninger!$E$53+Forudsætninger!$F$54*(K360-Forudsætninger!$C$53)),Forudsætninger!$E$52+Forudsætninger!$F$53*(K360-Forudsætninger!$C$52)),Forudsætninger!$E$52)+IF(K360&gt;Forudsætninger!$C$54,Forudsætninger!$G$54,IF(K360&gt;Forudsætninger!$C$53,Forudsætninger!$G$53+Forudsætninger!$H$54*(K360-Forudsætninger!$C$53),IF(K360&gt;Forudsætninger!$C$52,Forudsætninger!$G$52+Forudsætninger!$H$53*(K360-Forudsætninger!$C$52),Forudsætninger!$G$52)))*(V360-Forudsætninger!$H$52)</f>
        <v>#N/A</v>
      </c>
      <c r="AD360" s="19" t="e">
        <f t="shared" si="159"/>
        <v>#N/A</v>
      </c>
      <c r="AE360" s="19" t="e">
        <f t="shared" si="160"/>
        <v>#N/A</v>
      </c>
      <c r="AF360" t="e">
        <f>IF(G360&lt;=Forudsætninger!$C$97,Forudsætninger!$C$98,(IF(G360&lt;=Forudsætninger!$D$97,Forudsætninger!$D$98,IF(G360&lt;=Forudsætninger!$E$97,Forudsætninger!$E$98,IF(G360&lt;=Forudsætninger!$F$97,Forudsætninger!$F$98,IF(G360&lt;=Forudsætninger!$G$97,Forudsætninger!$G$98,IF(G360&lt;=Forudsætninger!$H$97,Forudsætninger!$H$98,IF(G360&lt;=Forudsætninger!$I$97,Forudsætninger!$I$98,Forudsætninger!$I$98))))))))</f>
        <v>#N/A</v>
      </c>
      <c r="AG360" s="1" t="e">
        <f t="shared" si="170"/>
        <v>#N/A</v>
      </c>
      <c r="AH360" s="1" t="e">
        <f t="shared" si="174"/>
        <v>#N/A</v>
      </c>
      <c r="AI360" s="1" t="e">
        <f t="shared" si="161"/>
        <v>#N/A</v>
      </c>
      <c r="AJ360" s="20" t="e">
        <f>+(W360*Forudsætninger!$C$12)</f>
        <v>#N/A</v>
      </c>
      <c r="AK360" s="20">
        <f>Forudsætninger!$C$17</f>
        <v>250</v>
      </c>
      <c r="AL360" s="20">
        <f>IF(A360&lt;92,Forudsætninger!$C$20,Forudsætninger!$C$21)</f>
        <v>1.0566762728146013</v>
      </c>
      <c r="AM360" s="20">
        <f t="shared" si="171"/>
        <v>646.79558852091577</v>
      </c>
      <c r="AN360" s="19">
        <f>IFERROR(AD360+AJ360-AA360-Z360-AK360-AM360-Forudsætninger!$E$75,-999999)</f>
        <v>-999999</v>
      </c>
      <c r="AO360" s="19">
        <f>IFERROR(AN360/(A360+Forudsætninger!$E$74),-999999)</f>
        <v>-2793.2932960893854</v>
      </c>
      <c r="AP360" s="19">
        <f>IFERROR(((365/(A360+Forudsætninger!$E$74))*AN360)/(AI360+Forudsætninger!$E$73),-999999)</f>
        <v>-999999</v>
      </c>
      <c r="AQ360" s="18">
        <f t="shared" si="162"/>
        <v>358</v>
      </c>
      <c r="AR360" s="18" t="e">
        <f t="shared" si="175"/>
        <v>#N/A</v>
      </c>
      <c r="AS360" s="18">
        <f t="shared" si="154"/>
        <v>13</v>
      </c>
      <c r="AT360" s="50">
        <f t="shared" si="176"/>
        <v>0</v>
      </c>
      <c r="AU360" s="50">
        <f t="shared" si="177"/>
        <v>7.8243509694380009</v>
      </c>
      <c r="AV360" s="2">
        <f t="shared" si="178"/>
        <v>0</v>
      </c>
      <c r="AW360" s="16">
        <f t="shared" si="172"/>
        <v>-2791.4866045013382</v>
      </c>
      <c r="AZ360" s="16"/>
      <c r="BA360" s="2"/>
    </row>
    <row r="361" spans="1:53" x14ac:dyDescent="0.25">
      <c r="A361">
        <v>359</v>
      </c>
      <c r="B361" s="1">
        <f>ROUND((A361+Forudsætninger!$E$60)/30.4,1)</f>
        <v>13</v>
      </c>
      <c r="C361" s="1" t="e">
        <f>VLOOKUP((A361+Forudsætninger!$E$60),'Model tilvækst, slagteform, fe'!A:D,4,FALSE)</f>
        <v>#N/A</v>
      </c>
      <c r="D361" s="3" t="e">
        <f t="shared" si="179"/>
        <v>#N/A</v>
      </c>
      <c r="E361" s="3" t="e">
        <f>(1+Forudsætninger!$E$78)*C361</f>
        <v>#N/A</v>
      </c>
      <c r="F361" s="2" t="e">
        <f t="shared" si="163"/>
        <v>#N/A</v>
      </c>
      <c r="G361" s="1" t="e">
        <f t="shared" si="155"/>
        <v>#N/A</v>
      </c>
      <c r="H361" s="3" t="e">
        <f t="shared" si="164"/>
        <v>#N/A</v>
      </c>
      <c r="I361" s="3" t="e">
        <f t="shared" si="156"/>
        <v>#N/A</v>
      </c>
      <c r="J361" s="1" t="e">
        <f>VLOOKUP((A361+Forudsætninger!$E$60),'Model tilvækst, slagteform, fe'!G:K,4,FALSE)*(1+Forudsætninger!$E$79)</f>
        <v>#N/A</v>
      </c>
      <c r="K361" s="17" t="e">
        <f t="shared" si="157"/>
        <v>#N/A</v>
      </c>
      <c r="L361" s="17" t="e">
        <f t="shared" si="165"/>
        <v>#N/A</v>
      </c>
      <c r="M361" s="3" t="e">
        <f>((K361-(('Model tilvækst, slagteform, fe'!$J$9/100)*'Model tilvækst, slagteform, fe'!$D$9))*1000/(A361+Forudsætninger!$E$60))</f>
        <v>#N/A</v>
      </c>
      <c r="N361" s="17" t="e">
        <f t="shared" si="166"/>
        <v>#N/A</v>
      </c>
      <c r="O361" s="19" t="e">
        <f>IF( A361&lt;Forudsætninger!$C$14,(G361/100)*Forudsætninger!$C$13,(Forudsætninger!$C$15/1000)*Forudsætninger!$C$13)</f>
        <v>#N/A</v>
      </c>
      <c r="P361" s="17" t="e" cm="1">
        <f t="array" ref="P361">INDEX('Model tilvækst, slagteform, fe'!$P$9:$P$375,MATCH(MIN(ABS('Model tilvækst, slagteform, fe'!$M$9:$M$375-G361)),ABS('Model tilvækst, slagteform, fe'!$M$9:$M$375-G361),0))*(1+Forudsætninger!$E$80)</f>
        <v>#N/A</v>
      </c>
      <c r="Q361" s="17" t="e">
        <f t="shared" si="167"/>
        <v>#N/A</v>
      </c>
      <c r="R361" s="17" t="e">
        <f t="shared" si="168"/>
        <v>#N/A</v>
      </c>
      <c r="S361" s="17" t="e">
        <f t="shared" si="169"/>
        <v>#N/A</v>
      </c>
      <c r="T361" s="19" t="e">
        <f>(P361)*IF(N361&lt;Forudsætninger!$B$228,IF(N361&lt;Forudsætninger!$B$227,Forudsætninger!$B$225,Forudsætninger!$C$9),Forudsætninger!$C$11)+O361</f>
        <v>#N/A</v>
      </c>
      <c r="U361" s="5" t="e">
        <f>Forudsætninger!$E$68+((K361-(Forudsætninger!$E$84)))*0.01</f>
        <v>#N/A</v>
      </c>
      <c r="V361" s="2" t="e">
        <f>U361+Forudsætninger!$E$69</f>
        <v>#N/A</v>
      </c>
      <c r="W361" t="e">
        <f t="shared" si="158"/>
        <v>#N/A</v>
      </c>
      <c r="X361">
        <f>IF(A361+Forudsætninger!$E$60&gt;248,IF(A361+Forudsætninger!$E$60&lt;365,IF(K361&gt;180,IF(K361&lt;260,1,0),0),0),0)</f>
        <v>0</v>
      </c>
      <c r="Y361" s="22">
        <f>IF(X361=0,0,IF('Vækstfunktion, kry kvie'!A361&lt;Forudsætninger!$E$66,Forudsætninger!$E$67+(('Vækstfunktion, kry kvie'!A361-Forudsætninger!$E$66)/7)*Forudsætninger!$E$64,Forudsætninger!$E$67))</f>
        <v>0</v>
      </c>
      <c r="Z361" s="19" t="e">
        <f t="shared" si="173"/>
        <v>#N/A</v>
      </c>
      <c r="AA361" s="19">
        <f>Forudsætninger!$E$62+Forudsætninger!$C$16</f>
        <v>1575</v>
      </c>
      <c r="AB361" s="19" t="e">
        <f>IF(K361&gt;Forudsætninger!$C$48,IF(K361&gt;Forudsætninger!$C$49,IF(K361&gt;Forudsætninger!$C$50,Forudsætninger!$E$50,Forudsætninger!$E$49+Forudsætninger!$F$50*(K361-Forudsætninger!$C$49)),Forudsætninger!$E$48+Forudsætninger!$F$49*(K361-Forudsætninger!$C$48)),Forudsætninger!$E$48)+IF(K361&gt;Forudsætninger!$C$50,Forudsætninger!$G$50,IF(K361&gt;Forudsætninger!$C$49,Forudsætninger!$G$49+Forudsætninger!$H$50*(K361-Forudsætninger!$C$49),IF(K361&gt;Forudsætninger!$C$48,Forudsætninger!$G$48+Forudsætninger!$H$49*(K361-Forudsætninger!$C$48),Forudsætninger!$G$48)))*(U361-Forudsætninger!$H$48)</f>
        <v>#N/A</v>
      </c>
      <c r="AC361" s="19" t="e">
        <f>IF(K361&gt;Forudsætninger!$C$52,IF(K361&gt;Forudsætninger!$C$53,IF(K361&gt;Forudsætninger!$C$54,Forudsætninger!$E$54,Forudsætninger!$E$53+Forudsætninger!$F$54*(K361-Forudsætninger!$C$53)),Forudsætninger!$E$52+Forudsætninger!$F$53*(K361-Forudsætninger!$C$52)),Forudsætninger!$E$52)+IF(K361&gt;Forudsætninger!$C$54,Forudsætninger!$G$54,IF(K361&gt;Forudsætninger!$C$53,Forudsætninger!$G$53+Forudsætninger!$H$54*(K361-Forudsætninger!$C$53),IF(K361&gt;Forudsætninger!$C$52,Forudsætninger!$G$52+Forudsætninger!$H$53*(K361-Forudsætninger!$C$52),Forudsætninger!$G$52)))*(V361-Forudsætninger!$H$52)</f>
        <v>#N/A</v>
      </c>
      <c r="AD361" s="19" t="e">
        <f t="shared" si="159"/>
        <v>#N/A</v>
      </c>
      <c r="AE361" s="19" t="e">
        <f t="shared" si="160"/>
        <v>#N/A</v>
      </c>
      <c r="AF361" t="e">
        <f>IF(G361&lt;=Forudsætninger!$C$97,Forudsætninger!$C$98,(IF(G361&lt;=Forudsætninger!$D$97,Forudsætninger!$D$98,IF(G361&lt;=Forudsætninger!$E$97,Forudsætninger!$E$98,IF(G361&lt;=Forudsætninger!$F$97,Forudsætninger!$F$98,IF(G361&lt;=Forudsætninger!$G$97,Forudsætninger!$G$98,IF(G361&lt;=Forudsætninger!$H$97,Forudsætninger!$H$98,IF(G361&lt;=Forudsætninger!$I$97,Forudsætninger!$I$98,Forudsætninger!$I$98))))))))</f>
        <v>#N/A</v>
      </c>
      <c r="AG361" s="1" t="e">
        <f t="shared" si="170"/>
        <v>#N/A</v>
      </c>
      <c r="AH361" s="1" t="e">
        <f t="shared" si="174"/>
        <v>#N/A</v>
      </c>
      <c r="AI361" s="1" t="e">
        <f t="shared" si="161"/>
        <v>#N/A</v>
      </c>
      <c r="AJ361" s="20" t="e">
        <f>+(W361*Forudsætninger!$C$12)</f>
        <v>#N/A</v>
      </c>
      <c r="AK361" s="20">
        <f>Forudsætninger!$C$17</f>
        <v>250</v>
      </c>
      <c r="AL361" s="20">
        <f>IF(A361&lt;92,Forudsætninger!$C$20,Forudsætninger!$C$21)</f>
        <v>1.0566762728146013</v>
      </c>
      <c r="AM361" s="20">
        <f t="shared" si="171"/>
        <v>647.85226479373034</v>
      </c>
      <c r="AN361" s="19">
        <f>IFERROR(AD361+AJ361-AA361-Z361-AK361-AM361-Forudsætninger!$E$75,-999999)</f>
        <v>-999999</v>
      </c>
      <c r="AO361" s="19">
        <f>IFERROR(AN361/(A361+Forudsætninger!$E$74),-999999)</f>
        <v>-2785.5125348189417</v>
      </c>
      <c r="AP361" s="19">
        <f>IFERROR(((365/(A361+Forudsætninger!$E$74))*AN361)/(AI361+Forudsætninger!$E$73),-999999)</f>
        <v>-999999</v>
      </c>
      <c r="AQ361" s="18">
        <f t="shared" si="162"/>
        <v>359</v>
      </c>
      <c r="AR361" s="18" t="e">
        <f t="shared" si="175"/>
        <v>#N/A</v>
      </c>
      <c r="AS361" s="18">
        <f t="shared" si="154"/>
        <v>13</v>
      </c>
      <c r="AT361" s="50">
        <f t="shared" si="176"/>
        <v>0</v>
      </c>
      <c r="AU361" s="50">
        <f t="shared" si="177"/>
        <v>7.7807612704436906</v>
      </c>
      <c r="AV361" s="2">
        <f t="shared" si="178"/>
        <v>0</v>
      </c>
      <c r="AW361" s="16">
        <f t="shared" si="172"/>
        <v>-2783.7079324100455</v>
      </c>
      <c r="AZ361" s="16"/>
      <c r="BA361" s="2"/>
    </row>
    <row r="362" spans="1:53" x14ac:dyDescent="0.25">
      <c r="A362">
        <v>360</v>
      </c>
      <c r="B362" s="1">
        <f>ROUND((A362+Forudsætninger!$E$60)/30.4,1)</f>
        <v>13</v>
      </c>
      <c r="C362" s="1" t="e">
        <f>VLOOKUP((A362+Forudsætninger!$E$60),'Model tilvækst, slagteform, fe'!A:D,4,FALSE)</f>
        <v>#N/A</v>
      </c>
      <c r="D362" s="3" t="e">
        <f t="shared" si="179"/>
        <v>#N/A</v>
      </c>
      <c r="E362" s="3" t="e">
        <f>(1+Forudsætninger!$E$78)*C362</f>
        <v>#N/A</v>
      </c>
      <c r="F362" s="2" t="e">
        <f t="shared" si="163"/>
        <v>#N/A</v>
      </c>
      <c r="G362" s="1" t="e">
        <f t="shared" si="155"/>
        <v>#N/A</v>
      </c>
      <c r="H362" s="3" t="e">
        <f t="shared" si="164"/>
        <v>#N/A</v>
      </c>
      <c r="I362" s="3" t="e">
        <f t="shared" si="156"/>
        <v>#N/A</v>
      </c>
      <c r="J362" s="1" t="e">
        <f>VLOOKUP((A362+Forudsætninger!$E$60),'Model tilvækst, slagteform, fe'!G:K,4,FALSE)*(1+Forudsætninger!$E$79)</f>
        <v>#N/A</v>
      </c>
      <c r="K362" s="17" t="e">
        <f t="shared" si="157"/>
        <v>#N/A</v>
      </c>
      <c r="L362" s="17" t="e">
        <f t="shared" si="165"/>
        <v>#N/A</v>
      </c>
      <c r="M362" s="3" t="e">
        <f>((K362-(('Model tilvækst, slagteform, fe'!$J$9/100)*'Model tilvækst, slagteform, fe'!$D$9))*1000/(A362+Forudsætninger!$E$60))</f>
        <v>#N/A</v>
      </c>
      <c r="N362" s="17" t="e">
        <f t="shared" si="166"/>
        <v>#N/A</v>
      </c>
      <c r="O362" s="19" t="e">
        <f>IF( A362&lt;Forudsætninger!$C$14,(G362/100)*Forudsætninger!$C$13,(Forudsætninger!$C$15/1000)*Forudsætninger!$C$13)</f>
        <v>#N/A</v>
      </c>
      <c r="P362" s="17" t="e" cm="1">
        <f t="array" ref="P362">INDEX('Model tilvækst, slagteform, fe'!$P$9:$P$375,MATCH(MIN(ABS('Model tilvækst, slagteform, fe'!$M$9:$M$375-G362)),ABS('Model tilvækst, slagteform, fe'!$M$9:$M$375-G362),0))*(1+Forudsætninger!$E$80)</f>
        <v>#N/A</v>
      </c>
      <c r="Q362" s="17" t="e">
        <f t="shared" si="167"/>
        <v>#N/A</v>
      </c>
      <c r="R362" s="17" t="e">
        <f t="shared" si="168"/>
        <v>#N/A</v>
      </c>
      <c r="S362" s="17" t="e">
        <f t="shared" si="169"/>
        <v>#N/A</v>
      </c>
      <c r="T362" s="19" t="e">
        <f>(P362)*IF(N362&lt;Forudsætninger!$B$228,IF(N362&lt;Forudsætninger!$B$227,Forudsætninger!$B$225,Forudsætninger!$C$9),Forudsætninger!$C$11)+O362</f>
        <v>#N/A</v>
      </c>
      <c r="U362" s="5" t="e">
        <f>Forudsætninger!$E$68+((K362-(Forudsætninger!$E$84)))*0.01</f>
        <v>#N/A</v>
      </c>
      <c r="V362" s="2" t="e">
        <f>U362+Forudsætninger!$E$69</f>
        <v>#N/A</v>
      </c>
      <c r="W362" t="e">
        <f t="shared" si="158"/>
        <v>#N/A</v>
      </c>
      <c r="X362">
        <f>IF(A362+Forudsætninger!$E$60&gt;248,IF(A362+Forudsætninger!$E$60&lt;365,IF(K362&gt;180,IF(K362&lt;260,1,0),0),0),0)</f>
        <v>0</v>
      </c>
      <c r="Y362" s="22">
        <f>IF(X362=0,0,IF('Vækstfunktion, kry kvie'!A362&lt;Forudsætninger!$E$66,Forudsætninger!$E$67+(('Vækstfunktion, kry kvie'!A362-Forudsætninger!$E$66)/7)*Forudsætninger!$E$64,Forudsætninger!$E$67))</f>
        <v>0</v>
      </c>
      <c r="Z362" s="19" t="e">
        <f t="shared" si="173"/>
        <v>#N/A</v>
      </c>
      <c r="AA362" s="19">
        <f>Forudsætninger!$E$62+Forudsætninger!$C$16</f>
        <v>1575</v>
      </c>
      <c r="AB362" s="19" t="e">
        <f>IF(K362&gt;Forudsætninger!$C$48,IF(K362&gt;Forudsætninger!$C$49,IF(K362&gt;Forudsætninger!$C$50,Forudsætninger!$E$50,Forudsætninger!$E$49+Forudsætninger!$F$50*(K362-Forudsætninger!$C$49)),Forudsætninger!$E$48+Forudsætninger!$F$49*(K362-Forudsætninger!$C$48)),Forudsætninger!$E$48)+IF(K362&gt;Forudsætninger!$C$50,Forudsætninger!$G$50,IF(K362&gt;Forudsætninger!$C$49,Forudsætninger!$G$49+Forudsætninger!$H$50*(K362-Forudsætninger!$C$49),IF(K362&gt;Forudsætninger!$C$48,Forudsætninger!$G$48+Forudsætninger!$H$49*(K362-Forudsætninger!$C$48),Forudsætninger!$G$48)))*(U362-Forudsætninger!$H$48)</f>
        <v>#N/A</v>
      </c>
      <c r="AC362" s="19" t="e">
        <f>IF(K362&gt;Forudsætninger!$C$52,IF(K362&gt;Forudsætninger!$C$53,IF(K362&gt;Forudsætninger!$C$54,Forudsætninger!$E$54,Forudsætninger!$E$53+Forudsætninger!$F$54*(K362-Forudsætninger!$C$53)),Forudsætninger!$E$52+Forudsætninger!$F$53*(K362-Forudsætninger!$C$52)),Forudsætninger!$E$52)+IF(K362&gt;Forudsætninger!$C$54,Forudsætninger!$G$54,IF(K362&gt;Forudsætninger!$C$53,Forudsætninger!$G$53+Forudsætninger!$H$54*(K362-Forudsætninger!$C$53),IF(K362&gt;Forudsætninger!$C$52,Forudsætninger!$G$52+Forudsætninger!$H$53*(K362-Forudsætninger!$C$52),Forudsætninger!$G$52)))*(V362-Forudsætninger!$H$52)</f>
        <v>#N/A</v>
      </c>
      <c r="AD362" s="19" t="e">
        <f t="shared" si="159"/>
        <v>#N/A</v>
      </c>
      <c r="AE362" s="19" t="e">
        <f t="shared" si="160"/>
        <v>#N/A</v>
      </c>
      <c r="AF362" t="e">
        <f>IF(G362&lt;=Forudsætninger!$C$97,Forudsætninger!$C$98,(IF(G362&lt;=Forudsætninger!$D$97,Forudsætninger!$D$98,IF(G362&lt;=Forudsætninger!$E$97,Forudsætninger!$E$98,IF(G362&lt;=Forudsætninger!$F$97,Forudsætninger!$F$98,IF(G362&lt;=Forudsætninger!$G$97,Forudsætninger!$G$98,IF(G362&lt;=Forudsætninger!$H$97,Forudsætninger!$H$98,IF(G362&lt;=Forudsætninger!$I$97,Forudsætninger!$I$98,Forudsætninger!$I$98))))))))</f>
        <v>#N/A</v>
      </c>
      <c r="AG362" s="1" t="e">
        <f t="shared" si="170"/>
        <v>#N/A</v>
      </c>
      <c r="AH362" s="1" t="e">
        <f t="shared" si="174"/>
        <v>#N/A</v>
      </c>
      <c r="AI362" s="1" t="e">
        <f t="shared" si="161"/>
        <v>#N/A</v>
      </c>
      <c r="AJ362" s="20" t="e">
        <f>+(W362*Forudsætninger!$C$12)</f>
        <v>#N/A</v>
      </c>
      <c r="AK362" s="20">
        <f>Forudsætninger!$C$17</f>
        <v>250</v>
      </c>
      <c r="AL362" s="20">
        <f>IF(A362&lt;92,Forudsætninger!$C$20,Forudsætninger!$C$21)</f>
        <v>1.0566762728146013</v>
      </c>
      <c r="AM362" s="20">
        <f t="shared" si="171"/>
        <v>648.90894106654491</v>
      </c>
      <c r="AN362" s="19">
        <f>IFERROR(AD362+AJ362-AA362-Z362-AK362-AM362-Forudsætninger!$E$75,-999999)</f>
        <v>-999999</v>
      </c>
      <c r="AO362" s="19">
        <f>IFERROR(AN362/(A362+Forudsætninger!$E$74),-999999)</f>
        <v>-2777.7750000000001</v>
      </c>
      <c r="AP362" s="19">
        <f>IFERROR(((365/(A362+Forudsætninger!$E$74))*AN362)/(AI362+Forudsætninger!$E$73),-999999)</f>
        <v>-999999</v>
      </c>
      <c r="AQ362" s="18">
        <f t="shared" si="162"/>
        <v>360</v>
      </c>
      <c r="AR362" s="18" t="e">
        <f t="shared" si="175"/>
        <v>#N/A</v>
      </c>
      <c r="AS362" s="18">
        <f t="shared" si="154"/>
        <v>13</v>
      </c>
      <c r="AT362" s="50">
        <f t="shared" si="176"/>
        <v>0</v>
      </c>
      <c r="AU362" s="50">
        <f t="shared" si="177"/>
        <v>7.73753481894164</v>
      </c>
      <c r="AV362" s="2">
        <f t="shared" si="178"/>
        <v>0</v>
      </c>
      <c r="AW362" s="16">
        <f t="shared" si="172"/>
        <v>-2775.9724751637041</v>
      </c>
      <c r="AZ362" s="16"/>
      <c r="BA362" s="2"/>
    </row>
    <row r="363" spans="1:53" x14ac:dyDescent="0.25">
      <c r="A363">
        <v>361</v>
      </c>
      <c r="B363" s="1">
        <f>ROUND((A363+Forudsætninger!$E$60)/30.4,1)</f>
        <v>13.1</v>
      </c>
      <c r="C363" s="1" t="e">
        <f>VLOOKUP((A363+Forudsætninger!$E$60),'Model tilvækst, slagteform, fe'!A:D,4,FALSE)</f>
        <v>#N/A</v>
      </c>
      <c r="D363" s="3" t="e">
        <f t="shared" si="179"/>
        <v>#N/A</v>
      </c>
      <c r="E363" s="3" t="e">
        <f>(1+Forudsætninger!$E$78)*C363</f>
        <v>#N/A</v>
      </c>
      <c r="F363" s="2" t="e">
        <f t="shared" si="163"/>
        <v>#N/A</v>
      </c>
      <c r="G363" s="1" t="e">
        <f t="shared" si="155"/>
        <v>#N/A</v>
      </c>
      <c r="H363" s="3" t="e">
        <f t="shared" si="164"/>
        <v>#N/A</v>
      </c>
      <c r="I363" s="3" t="e">
        <f t="shared" si="156"/>
        <v>#N/A</v>
      </c>
      <c r="J363" s="1" t="e">
        <f>VLOOKUP((A363+Forudsætninger!$E$60),'Model tilvækst, slagteform, fe'!G:K,4,FALSE)*(1+Forudsætninger!$E$79)</f>
        <v>#N/A</v>
      </c>
      <c r="K363" s="17" t="e">
        <f t="shared" si="157"/>
        <v>#N/A</v>
      </c>
      <c r="L363" s="17" t="e">
        <f t="shared" si="165"/>
        <v>#N/A</v>
      </c>
      <c r="M363" s="3" t="e">
        <f>((K363-(('Model tilvækst, slagteform, fe'!$J$9/100)*'Model tilvækst, slagteform, fe'!$D$9))*1000/(A363+Forudsætninger!$E$60))</f>
        <v>#N/A</v>
      </c>
      <c r="N363" s="17" t="e">
        <f t="shared" si="166"/>
        <v>#N/A</v>
      </c>
      <c r="O363" s="19" t="e">
        <f>IF( A363&lt;Forudsætninger!$C$14,(G363/100)*Forudsætninger!$C$13,(Forudsætninger!$C$15/1000)*Forudsætninger!$C$13)</f>
        <v>#N/A</v>
      </c>
      <c r="P363" s="17" t="e" cm="1">
        <f t="array" ref="P363">INDEX('Model tilvækst, slagteform, fe'!$P$9:$P$375,MATCH(MIN(ABS('Model tilvækst, slagteform, fe'!$M$9:$M$375-G363)),ABS('Model tilvækst, slagteform, fe'!$M$9:$M$375-G363),0))*(1+Forudsætninger!$E$80)</f>
        <v>#N/A</v>
      </c>
      <c r="Q363" s="17" t="e">
        <f t="shared" si="167"/>
        <v>#N/A</v>
      </c>
      <c r="R363" s="17" t="e">
        <f t="shared" si="168"/>
        <v>#N/A</v>
      </c>
      <c r="S363" s="17" t="e">
        <f t="shared" si="169"/>
        <v>#N/A</v>
      </c>
      <c r="T363" s="19" t="e">
        <f>(P363)*IF(N363&lt;Forudsætninger!$B$228,IF(N363&lt;Forudsætninger!$B$227,Forudsætninger!$B$225,Forudsætninger!$C$9),Forudsætninger!$C$11)+O363</f>
        <v>#N/A</v>
      </c>
      <c r="U363" s="5" t="e">
        <f>Forudsætninger!$E$68+((K363-(Forudsætninger!$E$84)))*0.01</f>
        <v>#N/A</v>
      </c>
      <c r="V363" s="2" t="e">
        <f>U363+Forudsætninger!$E$69</f>
        <v>#N/A</v>
      </c>
      <c r="W363" t="e">
        <f t="shared" si="158"/>
        <v>#N/A</v>
      </c>
      <c r="X363">
        <f>IF(A363+Forudsætninger!$E$60&gt;248,IF(A363+Forudsætninger!$E$60&lt;365,IF(K363&gt;180,IF(K363&lt;260,1,0),0),0),0)</f>
        <v>0</v>
      </c>
      <c r="Y363" s="22">
        <f>IF(X363=0,0,IF('Vækstfunktion, kry kvie'!A363&lt;Forudsætninger!$E$66,Forudsætninger!$E$67+(('Vækstfunktion, kry kvie'!A363-Forudsætninger!$E$66)/7)*Forudsætninger!$E$64,Forudsætninger!$E$67))</f>
        <v>0</v>
      </c>
      <c r="Z363" s="19" t="e">
        <f t="shared" si="173"/>
        <v>#N/A</v>
      </c>
      <c r="AA363" s="19">
        <f>Forudsætninger!$E$62+Forudsætninger!$C$16</f>
        <v>1575</v>
      </c>
      <c r="AB363" s="19" t="e">
        <f>IF(K363&gt;Forudsætninger!$C$48,IF(K363&gt;Forudsætninger!$C$49,IF(K363&gt;Forudsætninger!$C$50,Forudsætninger!$E$50,Forudsætninger!$E$49+Forudsætninger!$F$50*(K363-Forudsætninger!$C$49)),Forudsætninger!$E$48+Forudsætninger!$F$49*(K363-Forudsætninger!$C$48)),Forudsætninger!$E$48)+IF(K363&gt;Forudsætninger!$C$50,Forudsætninger!$G$50,IF(K363&gt;Forudsætninger!$C$49,Forudsætninger!$G$49+Forudsætninger!$H$50*(K363-Forudsætninger!$C$49),IF(K363&gt;Forudsætninger!$C$48,Forudsætninger!$G$48+Forudsætninger!$H$49*(K363-Forudsætninger!$C$48),Forudsætninger!$G$48)))*(U363-Forudsætninger!$H$48)</f>
        <v>#N/A</v>
      </c>
      <c r="AC363" s="19" t="e">
        <f>IF(K363&gt;Forudsætninger!$C$52,IF(K363&gt;Forudsætninger!$C$53,IF(K363&gt;Forudsætninger!$C$54,Forudsætninger!$E$54,Forudsætninger!$E$53+Forudsætninger!$F$54*(K363-Forudsætninger!$C$53)),Forudsætninger!$E$52+Forudsætninger!$F$53*(K363-Forudsætninger!$C$52)),Forudsætninger!$E$52)+IF(K363&gt;Forudsætninger!$C$54,Forudsætninger!$G$54,IF(K363&gt;Forudsætninger!$C$53,Forudsætninger!$G$53+Forudsætninger!$H$54*(K363-Forudsætninger!$C$53),IF(K363&gt;Forudsætninger!$C$52,Forudsætninger!$G$52+Forudsætninger!$H$53*(K363-Forudsætninger!$C$52),Forudsætninger!$G$52)))*(V363-Forudsætninger!$H$52)</f>
        <v>#N/A</v>
      </c>
      <c r="AD363" s="19" t="e">
        <f t="shared" si="159"/>
        <v>#N/A</v>
      </c>
      <c r="AE363" s="19" t="e">
        <f t="shared" si="160"/>
        <v>#N/A</v>
      </c>
      <c r="AF363" t="e">
        <f>IF(G363&lt;=Forudsætninger!$C$97,Forudsætninger!$C$98,(IF(G363&lt;=Forudsætninger!$D$97,Forudsætninger!$D$98,IF(G363&lt;=Forudsætninger!$E$97,Forudsætninger!$E$98,IF(G363&lt;=Forudsætninger!$F$97,Forudsætninger!$F$98,IF(G363&lt;=Forudsætninger!$G$97,Forudsætninger!$G$98,IF(G363&lt;=Forudsætninger!$H$97,Forudsætninger!$H$98,IF(G363&lt;=Forudsætninger!$I$97,Forudsætninger!$I$98,Forudsætninger!$I$98))))))))</f>
        <v>#N/A</v>
      </c>
      <c r="AG363" s="1" t="e">
        <f t="shared" si="170"/>
        <v>#N/A</v>
      </c>
      <c r="AH363" s="1" t="e">
        <f t="shared" si="174"/>
        <v>#N/A</v>
      </c>
      <c r="AI363" s="1" t="e">
        <f t="shared" si="161"/>
        <v>#N/A</v>
      </c>
      <c r="AJ363" s="20" t="e">
        <f>+(W363*Forudsætninger!$C$12)</f>
        <v>#N/A</v>
      </c>
      <c r="AK363" s="20">
        <f>Forudsætninger!$C$17</f>
        <v>250</v>
      </c>
      <c r="AL363" s="20">
        <f>IF(A363&lt;92,Forudsætninger!$C$20,Forudsætninger!$C$21)</f>
        <v>1.0566762728146013</v>
      </c>
      <c r="AM363" s="20">
        <f t="shared" si="171"/>
        <v>649.96561733935948</v>
      </c>
      <c r="AN363" s="19">
        <f>IFERROR(AD363+AJ363-AA363-Z363-AK363-AM363-Forudsætninger!$E$75,-999999)</f>
        <v>-999999</v>
      </c>
      <c r="AO363" s="19">
        <f>IFERROR(AN363/(A363+Forudsætninger!$E$74),-999999)</f>
        <v>-2770.0803324099725</v>
      </c>
      <c r="AP363" s="19">
        <f>IFERROR(((365/(A363+Forudsætninger!$E$74))*AN363)/(AI363+Forudsætninger!$E$73),-999999)</f>
        <v>-999999</v>
      </c>
      <c r="AQ363" s="18">
        <f t="shared" si="162"/>
        <v>361</v>
      </c>
      <c r="AR363" s="18" t="e">
        <f t="shared" si="175"/>
        <v>#N/A</v>
      </c>
      <c r="AS363" s="18">
        <f t="shared" si="154"/>
        <v>13.1</v>
      </c>
      <c r="AT363" s="50">
        <f t="shared" si="176"/>
        <v>0</v>
      </c>
      <c r="AU363" s="50">
        <f t="shared" si="177"/>
        <v>7.6946675900276205</v>
      </c>
      <c r="AV363" s="2">
        <f t="shared" si="178"/>
        <v>0</v>
      </c>
      <c r="AW363" s="16">
        <f t="shared" si="172"/>
        <v>-2768.2798736361792</v>
      </c>
      <c r="AZ363" s="16"/>
      <c r="BA363" s="2"/>
    </row>
    <row r="364" spans="1:53" x14ac:dyDescent="0.25">
      <c r="A364">
        <v>362</v>
      </c>
      <c r="B364" s="1">
        <f>ROUND((A364+Forudsætninger!$E$60)/30.4,1)</f>
        <v>13.1</v>
      </c>
      <c r="C364" s="1" t="e">
        <f>VLOOKUP((A364+Forudsætninger!$E$60),'Model tilvækst, slagteform, fe'!A:D,4,FALSE)</f>
        <v>#N/A</v>
      </c>
      <c r="D364" s="3" t="e">
        <f t="shared" si="179"/>
        <v>#N/A</v>
      </c>
      <c r="E364" s="3" t="e">
        <f>(1+Forudsætninger!$E$78)*C364</f>
        <v>#N/A</v>
      </c>
      <c r="F364" s="2" t="e">
        <f t="shared" si="163"/>
        <v>#N/A</v>
      </c>
      <c r="G364" s="1" t="e">
        <f t="shared" si="155"/>
        <v>#N/A</v>
      </c>
      <c r="H364" s="3" t="e">
        <f t="shared" si="164"/>
        <v>#N/A</v>
      </c>
      <c r="I364" s="3" t="e">
        <f t="shared" si="156"/>
        <v>#N/A</v>
      </c>
      <c r="J364" s="1" t="e">
        <f>VLOOKUP((A364+Forudsætninger!$E$60),'Model tilvækst, slagteform, fe'!G:K,4,FALSE)*(1+Forudsætninger!$E$79)</f>
        <v>#N/A</v>
      </c>
      <c r="K364" s="17" t="e">
        <f t="shared" si="157"/>
        <v>#N/A</v>
      </c>
      <c r="L364" s="17" t="e">
        <f t="shared" si="165"/>
        <v>#N/A</v>
      </c>
      <c r="M364" s="3" t="e">
        <f>((K364-(('Model tilvækst, slagteform, fe'!$J$9/100)*'Model tilvækst, slagteform, fe'!$D$9))*1000/(A364+Forudsætninger!$E$60))</f>
        <v>#N/A</v>
      </c>
      <c r="N364" s="17" t="e">
        <f t="shared" si="166"/>
        <v>#N/A</v>
      </c>
      <c r="O364" s="19" t="e">
        <f>IF( A364&lt;Forudsætninger!$C$14,(G364/100)*Forudsætninger!$C$13,(Forudsætninger!$C$15/1000)*Forudsætninger!$C$13)</f>
        <v>#N/A</v>
      </c>
      <c r="P364" s="17" t="e" cm="1">
        <f t="array" ref="P364">INDEX('Model tilvækst, slagteform, fe'!$P$9:$P$375,MATCH(MIN(ABS('Model tilvækst, slagteform, fe'!$M$9:$M$375-G364)),ABS('Model tilvækst, slagteform, fe'!$M$9:$M$375-G364),0))*(1+Forudsætninger!$E$80)</f>
        <v>#N/A</v>
      </c>
      <c r="Q364" s="17" t="e">
        <f t="shared" si="167"/>
        <v>#N/A</v>
      </c>
      <c r="R364" s="17" t="e">
        <f t="shared" si="168"/>
        <v>#N/A</v>
      </c>
      <c r="S364" s="17" t="e">
        <f t="shared" si="169"/>
        <v>#N/A</v>
      </c>
      <c r="T364" s="19" t="e">
        <f>(P364)*IF(N364&lt;Forudsætninger!$B$228,IF(N364&lt;Forudsætninger!$B$227,Forudsætninger!$B$225,Forudsætninger!$C$9),Forudsætninger!$C$11)+O364</f>
        <v>#N/A</v>
      </c>
      <c r="U364" s="5" t="e">
        <f>Forudsætninger!$E$68+((K364-(Forudsætninger!$E$84)))*0.01</f>
        <v>#N/A</v>
      </c>
      <c r="V364" s="2" t="e">
        <f>U364+Forudsætninger!$E$69</f>
        <v>#N/A</v>
      </c>
      <c r="W364" t="e">
        <f t="shared" si="158"/>
        <v>#N/A</v>
      </c>
      <c r="X364">
        <f>IF(A364+Forudsætninger!$E$60&gt;248,IF(A364+Forudsætninger!$E$60&lt;365,IF(K364&gt;180,IF(K364&lt;260,1,0),0),0),0)</f>
        <v>0</v>
      </c>
      <c r="Y364" s="22">
        <f>IF(X364=0,0,IF('Vækstfunktion, kry kvie'!A364&lt;Forudsætninger!$E$66,Forudsætninger!$E$67+(('Vækstfunktion, kry kvie'!A364-Forudsætninger!$E$66)/7)*Forudsætninger!$E$64,Forudsætninger!$E$67))</f>
        <v>0</v>
      </c>
      <c r="Z364" s="19" t="e">
        <f t="shared" si="173"/>
        <v>#N/A</v>
      </c>
      <c r="AA364" s="19">
        <f>Forudsætninger!$E$62+Forudsætninger!$C$16</f>
        <v>1575</v>
      </c>
      <c r="AB364" s="19" t="e">
        <f>IF(K364&gt;Forudsætninger!$C$48,IF(K364&gt;Forudsætninger!$C$49,IF(K364&gt;Forudsætninger!$C$50,Forudsætninger!$E$50,Forudsætninger!$E$49+Forudsætninger!$F$50*(K364-Forudsætninger!$C$49)),Forudsætninger!$E$48+Forudsætninger!$F$49*(K364-Forudsætninger!$C$48)),Forudsætninger!$E$48)+IF(K364&gt;Forudsætninger!$C$50,Forudsætninger!$G$50,IF(K364&gt;Forudsætninger!$C$49,Forudsætninger!$G$49+Forudsætninger!$H$50*(K364-Forudsætninger!$C$49),IF(K364&gt;Forudsætninger!$C$48,Forudsætninger!$G$48+Forudsætninger!$H$49*(K364-Forudsætninger!$C$48),Forudsætninger!$G$48)))*(U364-Forudsætninger!$H$48)</f>
        <v>#N/A</v>
      </c>
      <c r="AC364" s="19" t="e">
        <f>IF(K364&gt;Forudsætninger!$C$52,IF(K364&gt;Forudsætninger!$C$53,IF(K364&gt;Forudsætninger!$C$54,Forudsætninger!$E$54,Forudsætninger!$E$53+Forudsætninger!$F$54*(K364-Forudsætninger!$C$53)),Forudsætninger!$E$52+Forudsætninger!$F$53*(K364-Forudsætninger!$C$52)),Forudsætninger!$E$52)+IF(K364&gt;Forudsætninger!$C$54,Forudsætninger!$G$54,IF(K364&gt;Forudsætninger!$C$53,Forudsætninger!$G$53+Forudsætninger!$H$54*(K364-Forudsætninger!$C$53),IF(K364&gt;Forudsætninger!$C$52,Forudsætninger!$G$52+Forudsætninger!$H$53*(K364-Forudsætninger!$C$52),Forudsætninger!$G$52)))*(V364-Forudsætninger!$H$52)</f>
        <v>#N/A</v>
      </c>
      <c r="AD364" s="19" t="e">
        <f t="shared" si="159"/>
        <v>#N/A</v>
      </c>
      <c r="AE364" s="19" t="e">
        <f t="shared" si="160"/>
        <v>#N/A</v>
      </c>
      <c r="AF364" t="e">
        <f>IF(G364&lt;=Forudsætninger!$C$97,Forudsætninger!$C$98,(IF(G364&lt;=Forudsætninger!$D$97,Forudsætninger!$D$98,IF(G364&lt;=Forudsætninger!$E$97,Forudsætninger!$E$98,IF(G364&lt;=Forudsætninger!$F$97,Forudsætninger!$F$98,IF(G364&lt;=Forudsætninger!$G$97,Forudsætninger!$G$98,IF(G364&lt;=Forudsætninger!$H$97,Forudsætninger!$H$98,IF(G364&lt;=Forudsætninger!$I$97,Forudsætninger!$I$98,Forudsætninger!$I$98))))))))</f>
        <v>#N/A</v>
      </c>
      <c r="AG364" s="1" t="e">
        <f t="shared" si="170"/>
        <v>#N/A</v>
      </c>
      <c r="AH364" s="1" t="e">
        <f t="shared" si="174"/>
        <v>#N/A</v>
      </c>
      <c r="AI364" s="1" t="e">
        <f t="shared" si="161"/>
        <v>#N/A</v>
      </c>
      <c r="AJ364" s="20" t="e">
        <f>+(W364*Forudsætninger!$C$12)</f>
        <v>#N/A</v>
      </c>
      <c r="AK364" s="20">
        <f>Forudsætninger!$C$17</f>
        <v>250</v>
      </c>
      <c r="AL364" s="20">
        <f>IF(A364&lt;92,Forudsætninger!$C$20,Forudsætninger!$C$21)</f>
        <v>1.0566762728146013</v>
      </c>
      <c r="AM364" s="20">
        <f t="shared" si="171"/>
        <v>651.02229361217405</v>
      </c>
      <c r="AN364" s="19">
        <f>IFERROR(AD364+AJ364-AA364-Z364-AK364-AM364-Forudsætninger!$E$75,-999999)</f>
        <v>-999999</v>
      </c>
      <c r="AO364" s="19">
        <f>IFERROR(AN364/(A364+Forudsætninger!$E$74),-999999)</f>
        <v>-2762.4281767955799</v>
      </c>
      <c r="AP364" s="19">
        <f>IFERROR(((365/(A364+Forudsætninger!$E$74))*AN364)/(AI364+Forudsætninger!$E$73),-999999)</f>
        <v>-999999</v>
      </c>
      <c r="AQ364" s="18">
        <f t="shared" si="162"/>
        <v>362</v>
      </c>
      <c r="AR364" s="18" t="e">
        <f t="shared" si="175"/>
        <v>#N/A</v>
      </c>
      <c r="AS364" s="18">
        <f t="shared" si="154"/>
        <v>13.1</v>
      </c>
      <c r="AT364" s="50">
        <f t="shared" si="176"/>
        <v>0</v>
      </c>
      <c r="AU364" s="50">
        <f t="shared" si="177"/>
        <v>7.6521556143925409</v>
      </c>
      <c r="AV364" s="2">
        <f t="shared" si="178"/>
        <v>0</v>
      </c>
      <c r="AW364" s="16">
        <f t="shared" si="172"/>
        <v>-2760.6297726695798</v>
      </c>
      <c r="AZ364" s="16"/>
      <c r="BA364" s="2"/>
    </row>
    <row r="365" spans="1:53" x14ac:dyDescent="0.25">
      <c r="A365">
        <v>363</v>
      </c>
      <c r="B365" s="1">
        <f>ROUND((A365+Forudsætninger!$E$60)/30.4,1)</f>
        <v>13.1</v>
      </c>
      <c r="C365" s="1" t="e">
        <f>VLOOKUP((A365+Forudsætninger!$E$60),'Model tilvækst, slagteform, fe'!A:D,4,FALSE)</f>
        <v>#N/A</v>
      </c>
      <c r="D365" s="3" t="e">
        <f t="shared" si="179"/>
        <v>#N/A</v>
      </c>
      <c r="E365" s="3" t="e">
        <f>(1+Forudsætninger!$E$78)*C365</f>
        <v>#N/A</v>
      </c>
      <c r="F365" s="2" t="e">
        <f t="shared" si="163"/>
        <v>#N/A</v>
      </c>
      <c r="G365" s="1" t="e">
        <f t="shared" si="155"/>
        <v>#N/A</v>
      </c>
      <c r="H365" s="3" t="e">
        <f t="shared" si="164"/>
        <v>#N/A</v>
      </c>
      <c r="I365" s="3" t="e">
        <f t="shared" si="156"/>
        <v>#N/A</v>
      </c>
      <c r="J365" s="1" t="e">
        <f>VLOOKUP((A365+Forudsætninger!$E$60),'Model tilvækst, slagteform, fe'!G:K,4,FALSE)*(1+Forudsætninger!$E$79)</f>
        <v>#N/A</v>
      </c>
      <c r="K365" s="17" t="e">
        <f t="shared" si="157"/>
        <v>#N/A</v>
      </c>
      <c r="L365" s="17" t="e">
        <f t="shared" si="165"/>
        <v>#N/A</v>
      </c>
      <c r="M365" s="3" t="e">
        <f>((K365-(('Model tilvækst, slagteform, fe'!$J$9/100)*'Model tilvækst, slagteform, fe'!$D$9))*1000/(A365+Forudsætninger!$E$60))</f>
        <v>#N/A</v>
      </c>
      <c r="N365" s="17" t="e">
        <f t="shared" si="166"/>
        <v>#N/A</v>
      </c>
      <c r="O365" s="19" t="e">
        <f>IF( A365&lt;Forudsætninger!$C$14,(G365/100)*Forudsætninger!$C$13,(Forudsætninger!$C$15/1000)*Forudsætninger!$C$13)</f>
        <v>#N/A</v>
      </c>
      <c r="P365" s="17" t="e" cm="1">
        <f t="array" ref="P365">INDEX('Model tilvækst, slagteform, fe'!$P$9:$P$375,MATCH(MIN(ABS('Model tilvækst, slagteform, fe'!$M$9:$M$375-G365)),ABS('Model tilvækst, slagteform, fe'!$M$9:$M$375-G365),0))*(1+Forudsætninger!$E$80)</f>
        <v>#N/A</v>
      </c>
      <c r="Q365" s="17" t="e">
        <f t="shared" si="167"/>
        <v>#N/A</v>
      </c>
      <c r="R365" s="17" t="e">
        <f t="shared" si="168"/>
        <v>#N/A</v>
      </c>
      <c r="S365" s="17" t="e">
        <f t="shared" si="169"/>
        <v>#N/A</v>
      </c>
      <c r="T365" s="19" t="e">
        <f>(P365)*IF(N365&lt;Forudsætninger!$B$228,IF(N365&lt;Forudsætninger!$B$227,Forudsætninger!$B$225,Forudsætninger!$C$9),Forudsætninger!$C$11)+O365</f>
        <v>#N/A</v>
      </c>
      <c r="U365" s="5" t="e">
        <f>Forudsætninger!$E$68+((K365-(Forudsætninger!$E$84)))*0.01</f>
        <v>#N/A</v>
      </c>
      <c r="V365" s="2" t="e">
        <f>U365+Forudsætninger!$E$69</f>
        <v>#N/A</v>
      </c>
      <c r="W365" t="e">
        <f t="shared" si="158"/>
        <v>#N/A</v>
      </c>
      <c r="X365">
        <f>IF(A365+Forudsætninger!$E$60&gt;248,IF(A365+Forudsætninger!$E$60&lt;365,IF(K365&gt;180,IF(K365&lt;260,1,0),0),0),0)</f>
        <v>0</v>
      </c>
      <c r="Y365" s="22">
        <f>IF(X365=0,0,IF('Vækstfunktion, kry kvie'!A365&lt;Forudsætninger!$E$66,Forudsætninger!$E$67+(('Vækstfunktion, kry kvie'!A365-Forudsætninger!$E$66)/7)*Forudsætninger!$E$64,Forudsætninger!$E$67))</f>
        <v>0</v>
      </c>
      <c r="Z365" s="19" t="e">
        <f t="shared" si="173"/>
        <v>#N/A</v>
      </c>
      <c r="AA365" s="19">
        <f>Forudsætninger!$E$62+Forudsætninger!$C$16</f>
        <v>1575</v>
      </c>
      <c r="AB365" s="19" t="e">
        <f>IF(K365&gt;Forudsætninger!$C$48,IF(K365&gt;Forudsætninger!$C$49,IF(K365&gt;Forudsætninger!$C$50,Forudsætninger!$E$50,Forudsætninger!$E$49+Forudsætninger!$F$50*(K365-Forudsætninger!$C$49)),Forudsætninger!$E$48+Forudsætninger!$F$49*(K365-Forudsætninger!$C$48)),Forudsætninger!$E$48)+IF(K365&gt;Forudsætninger!$C$50,Forudsætninger!$G$50,IF(K365&gt;Forudsætninger!$C$49,Forudsætninger!$G$49+Forudsætninger!$H$50*(K365-Forudsætninger!$C$49),IF(K365&gt;Forudsætninger!$C$48,Forudsætninger!$G$48+Forudsætninger!$H$49*(K365-Forudsætninger!$C$48),Forudsætninger!$G$48)))*(U365-Forudsætninger!$H$48)</f>
        <v>#N/A</v>
      </c>
      <c r="AC365" s="19" t="e">
        <f>IF(K365&gt;Forudsætninger!$C$52,IF(K365&gt;Forudsætninger!$C$53,IF(K365&gt;Forudsætninger!$C$54,Forudsætninger!$E$54,Forudsætninger!$E$53+Forudsætninger!$F$54*(K365-Forudsætninger!$C$53)),Forudsætninger!$E$52+Forudsætninger!$F$53*(K365-Forudsætninger!$C$52)),Forudsætninger!$E$52)+IF(K365&gt;Forudsætninger!$C$54,Forudsætninger!$G$54,IF(K365&gt;Forudsætninger!$C$53,Forudsætninger!$G$53+Forudsætninger!$H$54*(K365-Forudsætninger!$C$53),IF(K365&gt;Forudsætninger!$C$52,Forudsætninger!$G$52+Forudsætninger!$H$53*(K365-Forudsætninger!$C$52),Forudsætninger!$G$52)))*(V365-Forudsætninger!$H$52)</f>
        <v>#N/A</v>
      </c>
      <c r="AD365" s="19" t="e">
        <f t="shared" si="159"/>
        <v>#N/A</v>
      </c>
      <c r="AE365" s="19" t="e">
        <f t="shared" si="160"/>
        <v>#N/A</v>
      </c>
      <c r="AF365" t="e">
        <f>IF(G365&lt;=Forudsætninger!$C$97,Forudsætninger!$C$98,(IF(G365&lt;=Forudsætninger!$D$97,Forudsætninger!$D$98,IF(G365&lt;=Forudsætninger!$E$97,Forudsætninger!$E$98,IF(G365&lt;=Forudsætninger!$F$97,Forudsætninger!$F$98,IF(G365&lt;=Forudsætninger!$G$97,Forudsætninger!$G$98,IF(G365&lt;=Forudsætninger!$H$97,Forudsætninger!$H$98,IF(G365&lt;=Forudsætninger!$I$97,Forudsætninger!$I$98,Forudsætninger!$I$98))))))))</f>
        <v>#N/A</v>
      </c>
      <c r="AG365" s="1" t="e">
        <f t="shared" si="170"/>
        <v>#N/A</v>
      </c>
      <c r="AH365" s="1" t="e">
        <f t="shared" si="174"/>
        <v>#N/A</v>
      </c>
      <c r="AI365" s="1" t="e">
        <f t="shared" si="161"/>
        <v>#N/A</v>
      </c>
      <c r="AJ365" s="20" t="e">
        <f>+(W365*Forudsætninger!$C$12)</f>
        <v>#N/A</v>
      </c>
      <c r="AK365" s="20">
        <f>Forudsætninger!$C$17</f>
        <v>250</v>
      </c>
      <c r="AL365" s="20">
        <f>IF(A365&lt;92,Forudsætninger!$C$20,Forudsætninger!$C$21)</f>
        <v>1.0566762728146013</v>
      </c>
      <c r="AM365" s="20">
        <f t="shared" si="171"/>
        <v>652.07896988498862</v>
      </c>
      <c r="AN365" s="19">
        <f>IFERROR(AD365+AJ365-AA365-Z365-AK365-AM365-Forudsætninger!$E$75,-999999)</f>
        <v>-999999</v>
      </c>
      <c r="AO365" s="19">
        <f>IFERROR(AN365/(A365+Forudsætninger!$E$74),-999999)</f>
        <v>-2754.818181818182</v>
      </c>
      <c r="AP365" s="19">
        <f>IFERROR(((365/(A365+Forudsætninger!$E$74))*AN365)/(AI365+Forudsætninger!$E$73),-999999)</f>
        <v>-999999</v>
      </c>
      <c r="AQ365" s="18">
        <f t="shared" si="162"/>
        <v>363</v>
      </c>
      <c r="AR365" s="18" t="e">
        <f t="shared" si="175"/>
        <v>#N/A</v>
      </c>
      <c r="AS365" s="18">
        <f t="shared" si="154"/>
        <v>13.1</v>
      </c>
      <c r="AT365" s="50">
        <f t="shared" si="176"/>
        <v>0</v>
      </c>
      <c r="AU365" s="50">
        <f t="shared" si="177"/>
        <v>7.6099949773979461</v>
      </c>
      <c r="AV365" s="2">
        <f t="shared" si="178"/>
        <v>0</v>
      </c>
      <c r="AW365" s="16">
        <f t="shared" si="172"/>
        <v>-2753.0218210196003</v>
      </c>
      <c r="AZ365" s="16"/>
      <c r="BA365" s="2"/>
    </row>
    <row r="366" spans="1:53" x14ac:dyDescent="0.25">
      <c r="A366">
        <v>364</v>
      </c>
      <c r="B366" s="1">
        <f>ROUND((A366+Forudsætninger!$E$60)/30.4,1)</f>
        <v>13.2</v>
      </c>
      <c r="C366" s="1" t="e">
        <f>VLOOKUP((A366+Forudsætninger!$E$60),'Model tilvækst, slagteform, fe'!A:D,4,FALSE)</f>
        <v>#N/A</v>
      </c>
      <c r="D366" s="3" t="e">
        <f t="shared" si="179"/>
        <v>#N/A</v>
      </c>
      <c r="E366" s="3" t="e">
        <f>(1+Forudsætninger!$E$78)*C366</f>
        <v>#N/A</v>
      </c>
      <c r="F366" s="2" t="e">
        <f t="shared" si="163"/>
        <v>#N/A</v>
      </c>
      <c r="G366" s="1" t="e">
        <f t="shared" si="155"/>
        <v>#N/A</v>
      </c>
      <c r="H366" s="3" t="e">
        <f t="shared" si="164"/>
        <v>#N/A</v>
      </c>
      <c r="I366" s="3" t="e">
        <f t="shared" si="156"/>
        <v>#N/A</v>
      </c>
      <c r="J366" s="1" t="e">
        <f>VLOOKUP((A366+Forudsætninger!$E$60),'Model tilvækst, slagteform, fe'!G:K,4,FALSE)*(1+Forudsætninger!$E$79)</f>
        <v>#N/A</v>
      </c>
      <c r="K366" s="17" t="e">
        <f t="shared" si="157"/>
        <v>#N/A</v>
      </c>
      <c r="L366" s="17" t="e">
        <f t="shared" si="165"/>
        <v>#N/A</v>
      </c>
      <c r="M366" s="3" t="e">
        <f>((K366-(('Model tilvækst, slagteform, fe'!$J$9/100)*'Model tilvækst, slagteform, fe'!$D$9))*1000/(A366+Forudsætninger!$E$60))</f>
        <v>#N/A</v>
      </c>
      <c r="N366" s="17" t="e">
        <f t="shared" si="166"/>
        <v>#N/A</v>
      </c>
      <c r="O366" s="19" t="e">
        <f>IF( A366&lt;Forudsætninger!$C$14,(G366/100)*Forudsætninger!$C$13,(Forudsætninger!$C$15/1000)*Forudsætninger!$C$13)</f>
        <v>#N/A</v>
      </c>
      <c r="P366" s="17" t="e" cm="1">
        <f t="array" ref="P366">INDEX('Model tilvækst, slagteform, fe'!$P$9:$P$375,MATCH(MIN(ABS('Model tilvækst, slagteform, fe'!$M$9:$M$375-G366)),ABS('Model tilvækst, slagteform, fe'!$M$9:$M$375-G366),0))*(1+Forudsætninger!$E$80)</f>
        <v>#N/A</v>
      </c>
      <c r="Q366" s="17" t="e">
        <f t="shared" si="167"/>
        <v>#N/A</v>
      </c>
      <c r="R366" s="17" t="e">
        <f t="shared" si="168"/>
        <v>#N/A</v>
      </c>
      <c r="S366" s="17" t="e">
        <f t="shared" si="169"/>
        <v>#N/A</v>
      </c>
      <c r="T366" s="19" t="e">
        <f>(P366)*IF(N366&lt;Forudsætninger!$B$228,IF(N366&lt;Forudsætninger!$B$227,Forudsætninger!$B$225,Forudsætninger!$C$9),Forudsætninger!$C$11)+O366</f>
        <v>#N/A</v>
      </c>
      <c r="U366" s="5" t="e">
        <f>Forudsætninger!$E$68+((K366-(Forudsætninger!$E$84)))*0.01</f>
        <v>#N/A</v>
      </c>
      <c r="V366" s="2" t="e">
        <f>U366+Forudsætninger!$E$69</f>
        <v>#N/A</v>
      </c>
      <c r="W366" t="e">
        <f t="shared" si="158"/>
        <v>#N/A</v>
      </c>
      <c r="X366">
        <f>IF(A366+Forudsætninger!$E$60&gt;248,IF(A366+Forudsætninger!$E$60&lt;365,IF(K366&gt;180,IF(K366&lt;260,1,0),0),0),0)</f>
        <v>0</v>
      </c>
      <c r="Y366" s="22">
        <f>IF(X366=0,0,IF('Vækstfunktion, kry kvie'!A366&lt;Forudsætninger!$E$66,Forudsætninger!$E$67+(('Vækstfunktion, kry kvie'!A366-Forudsætninger!$E$66)/7)*Forudsætninger!$E$64,Forudsætninger!$E$67))</f>
        <v>0</v>
      </c>
      <c r="Z366" s="19" t="e">
        <f t="shared" si="173"/>
        <v>#N/A</v>
      </c>
      <c r="AA366" s="19">
        <f>Forudsætninger!$E$62+Forudsætninger!$C$16</f>
        <v>1575</v>
      </c>
      <c r="AB366" s="19" t="e">
        <f>IF(K366&gt;Forudsætninger!$C$48,IF(K366&gt;Forudsætninger!$C$49,IF(K366&gt;Forudsætninger!$C$50,Forudsætninger!$E$50,Forudsætninger!$E$49+Forudsætninger!$F$50*(K366-Forudsætninger!$C$49)),Forudsætninger!$E$48+Forudsætninger!$F$49*(K366-Forudsætninger!$C$48)),Forudsætninger!$E$48)+IF(K366&gt;Forudsætninger!$C$50,Forudsætninger!$G$50,IF(K366&gt;Forudsætninger!$C$49,Forudsætninger!$G$49+Forudsætninger!$H$50*(K366-Forudsætninger!$C$49),IF(K366&gt;Forudsætninger!$C$48,Forudsætninger!$G$48+Forudsætninger!$H$49*(K366-Forudsætninger!$C$48),Forudsætninger!$G$48)))*(U366-Forudsætninger!$H$48)</f>
        <v>#N/A</v>
      </c>
      <c r="AC366" s="19" t="e">
        <f>IF(K366&gt;Forudsætninger!$C$52,IF(K366&gt;Forudsætninger!$C$53,IF(K366&gt;Forudsætninger!$C$54,Forudsætninger!$E$54,Forudsætninger!$E$53+Forudsætninger!$F$54*(K366-Forudsætninger!$C$53)),Forudsætninger!$E$52+Forudsætninger!$F$53*(K366-Forudsætninger!$C$52)),Forudsætninger!$E$52)+IF(K366&gt;Forudsætninger!$C$54,Forudsætninger!$G$54,IF(K366&gt;Forudsætninger!$C$53,Forudsætninger!$G$53+Forudsætninger!$H$54*(K366-Forudsætninger!$C$53),IF(K366&gt;Forudsætninger!$C$52,Forudsætninger!$G$52+Forudsætninger!$H$53*(K366-Forudsætninger!$C$52),Forudsætninger!$G$52)))*(V366-Forudsætninger!$H$52)</f>
        <v>#N/A</v>
      </c>
      <c r="AD366" s="19" t="e">
        <f t="shared" si="159"/>
        <v>#N/A</v>
      </c>
      <c r="AE366" s="19" t="e">
        <f t="shared" si="160"/>
        <v>#N/A</v>
      </c>
      <c r="AF366" t="e">
        <f>IF(G366&lt;=Forudsætninger!$C$97,Forudsætninger!$C$98,(IF(G366&lt;=Forudsætninger!$D$97,Forudsætninger!$D$98,IF(G366&lt;=Forudsætninger!$E$97,Forudsætninger!$E$98,IF(G366&lt;=Forudsætninger!$F$97,Forudsætninger!$F$98,IF(G366&lt;=Forudsætninger!$G$97,Forudsætninger!$G$98,IF(G366&lt;=Forudsætninger!$H$97,Forudsætninger!$H$98,IF(G366&lt;=Forudsætninger!$I$97,Forudsætninger!$I$98,Forudsætninger!$I$98))))))))</f>
        <v>#N/A</v>
      </c>
      <c r="AG366" s="1" t="e">
        <f t="shared" si="170"/>
        <v>#N/A</v>
      </c>
      <c r="AH366" s="1" t="e">
        <f t="shared" si="174"/>
        <v>#N/A</v>
      </c>
      <c r="AI366" s="1" t="e">
        <f t="shared" si="161"/>
        <v>#N/A</v>
      </c>
      <c r="AJ366" s="20" t="e">
        <f>+(W366*Forudsætninger!$C$12)</f>
        <v>#N/A</v>
      </c>
      <c r="AK366" s="20">
        <f>Forudsætninger!$C$17</f>
        <v>250</v>
      </c>
      <c r="AL366" s="20">
        <f>IF(A366&lt;92,Forudsætninger!$C$20,Forudsætninger!$C$21)</f>
        <v>1.0566762728146013</v>
      </c>
      <c r="AM366" s="20">
        <f t="shared" si="171"/>
        <v>653.13564615780319</v>
      </c>
      <c r="AN366" s="19">
        <f>IFERROR(AD366+AJ366-AA366-Z366-AK366-AM366-Forudsætninger!$E$75,-999999)</f>
        <v>-999999</v>
      </c>
      <c r="AO366" s="19">
        <f>IFERROR(AN366/(A366+Forudsætninger!$E$74),-999999)</f>
        <v>-2747.25</v>
      </c>
      <c r="AP366" s="19">
        <f>IFERROR(((365/(A366+Forudsætninger!$E$74))*AN366)/(AI366+Forudsætninger!$E$73),-999999)</f>
        <v>-999999</v>
      </c>
      <c r="AQ366" s="18">
        <f t="shared" si="162"/>
        <v>364</v>
      </c>
      <c r="AR366" s="18" t="e">
        <f t="shared" si="175"/>
        <v>#N/A</v>
      </c>
      <c r="AS366" s="18">
        <f t="shared" si="154"/>
        <v>13.2</v>
      </c>
      <c r="AT366" s="50">
        <f t="shared" si="176"/>
        <v>0</v>
      </c>
      <c r="AU366" s="50">
        <f t="shared" si="177"/>
        <v>7.5681818181819835</v>
      </c>
      <c r="AV366" s="2">
        <f t="shared" si="178"/>
        <v>0</v>
      </c>
      <c r="AW366" s="16">
        <f t="shared" si="172"/>
        <v>-2745.4556713017641</v>
      </c>
      <c r="AZ366" s="16"/>
      <c r="BA366" s="2"/>
    </row>
    <row r="367" spans="1:53" x14ac:dyDescent="0.25">
      <c r="A367">
        <v>365</v>
      </c>
      <c r="B367" s="1">
        <f>ROUND((A367+Forudsætninger!$E$60)/30.4,1)</f>
        <v>13.2</v>
      </c>
      <c r="C367" s="1" t="e">
        <f>VLOOKUP((A367+Forudsætninger!$E$60),'Model tilvækst, slagteform, fe'!A:D,4,FALSE)</f>
        <v>#N/A</v>
      </c>
      <c r="D367" s="3" t="e">
        <f t="shared" si="179"/>
        <v>#N/A</v>
      </c>
      <c r="E367" s="3" t="e">
        <f>(1+Forudsætninger!$E$78)*C367</f>
        <v>#N/A</v>
      </c>
      <c r="F367" s="2" t="e">
        <f t="shared" si="163"/>
        <v>#N/A</v>
      </c>
      <c r="G367" s="1" t="e">
        <f t="shared" si="155"/>
        <v>#N/A</v>
      </c>
      <c r="H367" s="3" t="e">
        <f t="shared" si="164"/>
        <v>#N/A</v>
      </c>
      <c r="I367" s="3" t="e">
        <f t="shared" si="156"/>
        <v>#N/A</v>
      </c>
      <c r="J367" s="1" t="e">
        <f>VLOOKUP((A367+Forudsætninger!$E$60),'Model tilvækst, slagteform, fe'!G:K,4,FALSE)*(1+Forudsætninger!$E$79)</f>
        <v>#N/A</v>
      </c>
      <c r="K367" s="17" t="e">
        <f t="shared" si="157"/>
        <v>#N/A</v>
      </c>
      <c r="L367" s="17" t="e">
        <f t="shared" si="165"/>
        <v>#N/A</v>
      </c>
      <c r="M367" s="3" t="e">
        <f>((K367-(('Model tilvækst, slagteform, fe'!$J$9/100)*'Model tilvækst, slagteform, fe'!$D$9))*1000/(A367+Forudsætninger!$E$60))</f>
        <v>#N/A</v>
      </c>
      <c r="N367" s="17" t="e">
        <f t="shared" si="166"/>
        <v>#N/A</v>
      </c>
      <c r="O367" s="19" t="e">
        <f>IF( A367&lt;Forudsætninger!$C$14,(G367/100)*Forudsætninger!$C$13,(Forudsætninger!$C$15/1000)*Forudsætninger!$C$13)</f>
        <v>#N/A</v>
      </c>
      <c r="P367" s="17" t="e" cm="1">
        <f t="array" ref="P367">INDEX('Model tilvækst, slagteform, fe'!$P$9:$P$375,MATCH(MIN(ABS('Model tilvækst, slagteform, fe'!$M$9:$M$375-G367)),ABS('Model tilvækst, slagteform, fe'!$M$9:$M$375-G367),0))*(1+Forudsætninger!$E$80)</f>
        <v>#N/A</v>
      </c>
      <c r="Q367" s="17" t="e">
        <f t="shared" si="167"/>
        <v>#N/A</v>
      </c>
      <c r="R367" s="17" t="e">
        <f t="shared" si="168"/>
        <v>#N/A</v>
      </c>
      <c r="S367" s="17" t="e">
        <f t="shared" si="169"/>
        <v>#N/A</v>
      </c>
      <c r="T367" s="19" t="e">
        <f>(P367)*IF(N367&lt;Forudsætninger!$B$228,IF(N367&lt;Forudsætninger!$B$227,Forudsætninger!$B$225,Forudsætninger!$C$9),Forudsætninger!$C$11)+O367</f>
        <v>#N/A</v>
      </c>
      <c r="U367" s="5" t="e">
        <f>Forudsætninger!$E$68+((K367-(Forudsætninger!$E$84)))*0.01</f>
        <v>#N/A</v>
      </c>
      <c r="V367" s="2" t="e">
        <f>U367+Forudsætninger!$E$69</f>
        <v>#N/A</v>
      </c>
      <c r="W367" t="e">
        <f t="shared" si="158"/>
        <v>#N/A</v>
      </c>
      <c r="X367">
        <f>IF(A367+Forudsætninger!$E$60&gt;248,IF(A367+Forudsætninger!$E$60&lt;365,IF(K367&gt;180,IF(K367&lt;260,1,0),0),0),0)</f>
        <v>0</v>
      </c>
      <c r="Y367" s="22">
        <f>IF(X367=0,0,IF('Vækstfunktion, kry kvie'!A367&lt;Forudsætninger!$E$66,Forudsætninger!$E$67+(('Vækstfunktion, kry kvie'!A367-Forudsætninger!$E$66)/7)*Forudsætninger!$E$64,Forudsætninger!$E$67))</f>
        <v>0</v>
      </c>
      <c r="Z367" s="19" t="e">
        <f t="shared" si="173"/>
        <v>#N/A</v>
      </c>
      <c r="AA367" s="19">
        <f>Forudsætninger!$E$62+Forudsætninger!$C$16</f>
        <v>1575</v>
      </c>
      <c r="AB367" s="19" t="e">
        <f>IF(K367&gt;Forudsætninger!$C$48,IF(K367&gt;Forudsætninger!$C$49,IF(K367&gt;Forudsætninger!$C$50,Forudsætninger!$E$50,Forudsætninger!$E$49+Forudsætninger!$F$50*(K367-Forudsætninger!$C$49)),Forudsætninger!$E$48+Forudsætninger!$F$49*(K367-Forudsætninger!$C$48)),Forudsætninger!$E$48)+IF(K367&gt;Forudsætninger!$C$50,Forudsætninger!$G$50,IF(K367&gt;Forudsætninger!$C$49,Forudsætninger!$G$49+Forudsætninger!$H$50*(K367-Forudsætninger!$C$49),IF(K367&gt;Forudsætninger!$C$48,Forudsætninger!$G$48+Forudsætninger!$H$49*(K367-Forudsætninger!$C$48),Forudsætninger!$G$48)))*(U367-Forudsætninger!$H$48)</f>
        <v>#N/A</v>
      </c>
      <c r="AC367" s="19" t="e">
        <f>IF(K367&gt;Forudsætninger!$C$52,IF(K367&gt;Forudsætninger!$C$53,IF(K367&gt;Forudsætninger!$C$54,Forudsætninger!$E$54,Forudsætninger!$E$53+Forudsætninger!$F$54*(K367-Forudsætninger!$C$53)),Forudsætninger!$E$52+Forudsætninger!$F$53*(K367-Forudsætninger!$C$52)),Forudsætninger!$E$52)+IF(K367&gt;Forudsætninger!$C$54,Forudsætninger!$G$54,IF(K367&gt;Forudsætninger!$C$53,Forudsætninger!$G$53+Forudsætninger!$H$54*(K367-Forudsætninger!$C$53),IF(K367&gt;Forudsætninger!$C$52,Forudsætninger!$G$52+Forudsætninger!$H$53*(K367-Forudsætninger!$C$52),Forudsætninger!$G$52)))*(V367-Forudsætninger!$H$52)</f>
        <v>#N/A</v>
      </c>
      <c r="AD367" s="19" t="e">
        <f t="shared" si="159"/>
        <v>#N/A</v>
      </c>
      <c r="AE367" s="19" t="e">
        <f t="shared" si="160"/>
        <v>#N/A</v>
      </c>
      <c r="AF367" t="e">
        <f>IF(G367&lt;=Forudsætninger!$C$97,Forudsætninger!$C$98,(IF(G367&lt;=Forudsætninger!$D$97,Forudsætninger!$D$98,IF(G367&lt;=Forudsætninger!$E$97,Forudsætninger!$E$98,IF(G367&lt;=Forudsætninger!$F$97,Forudsætninger!$F$98,IF(G367&lt;=Forudsætninger!$G$97,Forudsætninger!$G$98,IF(G367&lt;=Forudsætninger!$H$97,Forudsætninger!$H$98,IF(G367&lt;=Forudsætninger!$I$97,Forudsætninger!$I$98,Forudsætninger!$I$98))))))))</f>
        <v>#N/A</v>
      </c>
      <c r="AG367" s="1" t="e">
        <f t="shared" si="170"/>
        <v>#N/A</v>
      </c>
      <c r="AH367" s="1" t="e">
        <f t="shared" si="174"/>
        <v>#N/A</v>
      </c>
      <c r="AI367" s="1" t="e">
        <f t="shared" si="161"/>
        <v>#N/A</v>
      </c>
      <c r="AJ367" s="20" t="e">
        <f>+(W367*Forudsætninger!$C$12)</f>
        <v>#N/A</v>
      </c>
      <c r="AK367" s="20">
        <f>Forudsætninger!$C$17</f>
        <v>250</v>
      </c>
      <c r="AL367" s="20">
        <f>IF(A367&lt;92,Forudsætninger!$C$20,Forudsætninger!$C$21)</f>
        <v>1.0566762728146013</v>
      </c>
      <c r="AM367" s="20">
        <f t="shared" si="171"/>
        <v>654.19232243061776</v>
      </c>
      <c r="AN367" s="19">
        <f>IFERROR(AD367+AJ367-AA367-Z367-AK367-AM367-Forudsætninger!$E$75,-999999)</f>
        <v>-999999</v>
      </c>
      <c r="AO367" s="19">
        <f>IFERROR(AN367/(A367+Forudsætninger!$E$74),-999999)</f>
        <v>-2739.7232876712328</v>
      </c>
      <c r="AP367" s="19">
        <f>IFERROR(((365/(A367+Forudsætninger!$E$74))*AN367)/(AI367+Forudsætninger!$E$73),-999999)</f>
        <v>-999999</v>
      </c>
      <c r="AQ367" s="18">
        <f t="shared" si="162"/>
        <v>365</v>
      </c>
      <c r="AR367" s="18" t="e">
        <f t="shared" si="175"/>
        <v>#N/A</v>
      </c>
      <c r="AS367" s="18">
        <f t="shared" si="154"/>
        <v>13.2</v>
      </c>
      <c r="AT367" s="50">
        <f t="shared" si="176"/>
        <v>0</v>
      </c>
      <c r="AU367" s="50">
        <f t="shared" si="177"/>
        <v>7.5267123287671893</v>
      </c>
      <c r="AV367" s="2">
        <f t="shared" si="178"/>
        <v>0</v>
      </c>
      <c r="AW367" s="16">
        <f t="shared" si="172"/>
        <v>-2737.930979938546</v>
      </c>
      <c r="AZ367" s="16"/>
      <c r="BA367" s="2"/>
    </row>
    <row r="368" spans="1:53" x14ac:dyDescent="0.25">
      <c r="A368">
        <v>366</v>
      </c>
      <c r="B368" s="1">
        <f>ROUND((A368+Forudsætninger!$E$60)/30.4,1)</f>
        <v>13.2</v>
      </c>
      <c r="C368" s="1" t="e">
        <f>VLOOKUP((A368+Forudsætninger!$E$60),'Model tilvækst, slagteform, fe'!A:D,4,FALSE)</f>
        <v>#N/A</v>
      </c>
      <c r="D368" s="3" t="e">
        <f t="shared" ref="D368" si="180">(C368-C367)*1000</f>
        <v>#N/A</v>
      </c>
      <c r="E368" s="3" t="e">
        <f>(1+Forudsætninger!$E$78)*C368</f>
        <v>#N/A</v>
      </c>
      <c r="F368" s="2" t="e">
        <f t="shared" si="163"/>
        <v>#N/A</v>
      </c>
      <c r="G368" s="1" t="e">
        <f t="shared" si="155"/>
        <v>#N/A</v>
      </c>
      <c r="H368" s="3" t="e">
        <f t="shared" ref="H368" si="181">(G368-G367)*1000</f>
        <v>#N/A</v>
      </c>
      <c r="I368" s="3" t="e">
        <f t="shared" si="156"/>
        <v>#N/A</v>
      </c>
      <c r="J368" s="1" t="e">
        <f>VLOOKUP((A368+Forudsætninger!$E$60),'Model tilvækst, slagteform, fe'!G:K,4,FALSE)*(1+Forudsætninger!$E$79)</f>
        <v>#N/A</v>
      </c>
      <c r="K368" s="17" t="e">
        <f t="shared" si="157"/>
        <v>#N/A</v>
      </c>
      <c r="L368" s="17" t="e">
        <f t="shared" ref="L368" si="182">(K368-K367)*1000</f>
        <v>#N/A</v>
      </c>
      <c r="M368" s="3" t="e">
        <f>((K368-(('Model tilvækst, slagteform, fe'!$J$9/100)*'Model tilvækst, slagteform, fe'!$D$9))*1000/(A368+Forudsætninger!$E$60))</f>
        <v>#N/A</v>
      </c>
      <c r="N368" s="17" t="e">
        <f t="shared" ref="N368" si="183">N367+P368</f>
        <v>#N/A</v>
      </c>
      <c r="O368" s="19" t="e">
        <f>IF( A368&lt;Forudsætninger!$C$14,(G368/100)*Forudsætninger!$C$13,(Forudsætninger!$C$15/1000)*Forudsætninger!$C$13)</f>
        <v>#N/A</v>
      </c>
      <c r="P368" s="17" t="e" cm="1">
        <f t="array" ref="P368">INDEX('Model tilvækst, slagteform, fe'!$P$9:$P$375,MATCH(MIN(ABS('Model tilvækst, slagteform, fe'!$M$9:$M$375-G368)),ABS('Model tilvækst, slagteform, fe'!$M$9:$M$375-G368),0))*(1+Forudsætninger!$E$80)</f>
        <v>#N/A</v>
      </c>
      <c r="Q368" s="17" t="e">
        <f t="shared" ref="Q368" si="184">P368/(L368/1000)</f>
        <v>#N/A</v>
      </c>
      <c r="R368" s="17" t="e">
        <f t="shared" ref="R368" si="185">N368/(K368-$K$2)</f>
        <v>#N/A</v>
      </c>
      <c r="S368" s="17" t="e">
        <f t="shared" ref="S368" si="186">N368/(G368-$G$2)</f>
        <v>#N/A</v>
      </c>
      <c r="T368" s="19" t="e">
        <f>(P368)*IF(N368&lt;Forudsætninger!$B$228,IF(N368&lt;Forudsætninger!$B$227,Forudsætninger!$B$225,Forudsætninger!$C$9),Forudsætninger!$C$11)+O368</f>
        <v>#N/A</v>
      </c>
      <c r="U368" s="5" t="e">
        <f>Forudsætninger!$E$68+((K368-(Forudsætninger!$E$84)))*0.01</f>
        <v>#N/A</v>
      </c>
      <c r="V368" s="2" t="e">
        <f>U368+Forudsætninger!$E$69</f>
        <v>#N/A</v>
      </c>
      <c r="W368" t="e">
        <f t="shared" ref="W368" si="187">IF(K368&gt;130,1,0)</f>
        <v>#N/A</v>
      </c>
      <c r="X368">
        <f>IF(A368+Forudsætninger!$E$60&gt;248,IF(A368+Forudsætninger!$E$60&lt;365,IF(K368&gt;180,IF(K368&lt;260,1,0),0),0),0)</f>
        <v>0</v>
      </c>
      <c r="Y368" s="22">
        <f>IF(X368=0,0,IF('Vækstfunktion, kry kvie'!A368&lt;Forudsætninger!$E$66,Forudsætninger!$E$67+(('Vækstfunktion, kry kvie'!A368-Forudsætninger!$E$66)/7)*Forudsætninger!$E$64,Forudsætninger!$E$67))</f>
        <v>0</v>
      </c>
      <c r="Z368" s="19" t="e">
        <f t="shared" ref="Z368" si="188">Z367+T368</f>
        <v>#N/A</v>
      </c>
      <c r="AA368" s="19">
        <f>Forudsætninger!$E$62+Forudsætninger!$C$16</f>
        <v>1575</v>
      </c>
      <c r="AB368" s="19" t="e">
        <f>IF(K368&gt;Forudsætninger!$C$48,IF(K368&gt;Forudsætninger!$C$49,IF(K368&gt;Forudsætninger!$C$50,Forudsætninger!$E$50,Forudsætninger!$E$49+Forudsætninger!$F$50*(K368-Forudsætninger!$C$49)),Forudsætninger!$E$48+Forudsætninger!$F$49*(K368-Forudsætninger!$C$48)),Forudsætninger!$E$48)+IF(K368&gt;Forudsætninger!$C$50,Forudsætninger!$G$50,IF(K368&gt;Forudsætninger!$C$49,Forudsætninger!$G$49+Forudsætninger!$H$50*(K368-Forudsætninger!$C$49),IF(K368&gt;Forudsætninger!$C$48,Forudsætninger!$G$48+Forudsætninger!$H$49*(K368-Forudsætninger!$C$48),Forudsætninger!$G$48)))*(U368-Forudsætninger!$H$48)</f>
        <v>#N/A</v>
      </c>
      <c r="AC368" s="19" t="e">
        <f>IF(K368&gt;Forudsætninger!$C$52,IF(K368&gt;Forudsætninger!$C$53,IF(K368&gt;Forudsætninger!$C$54,Forudsætninger!$E$54,Forudsætninger!$E$53+Forudsætninger!$F$54*(K368-Forudsætninger!$C$53)),Forudsætninger!$E$52+Forudsætninger!$F$53*(K368-Forudsætninger!$C$52)),Forudsætninger!$E$52)+IF(K368&gt;Forudsætninger!$C$54,Forudsætninger!$G$54,IF(K368&gt;Forudsætninger!$C$53,Forudsætninger!$G$53+Forudsætninger!$H$54*(K368-Forudsætninger!$C$53),IF(K368&gt;Forudsætninger!$C$52,Forudsætninger!$G$52+Forudsætninger!$H$53*(K368-Forudsætninger!$C$52),Forudsætninger!$G$52)))*(V368-Forudsætninger!$H$52)</f>
        <v>#N/A</v>
      </c>
      <c r="AD368" s="19" t="e">
        <f t="shared" si="159"/>
        <v>#N/A</v>
      </c>
      <c r="AE368" s="19" t="e">
        <f t="shared" si="160"/>
        <v>#N/A</v>
      </c>
      <c r="AF368" t="e">
        <f>IF(G368&lt;=Forudsætninger!$C$97,Forudsætninger!$C$98,(IF(G368&lt;=Forudsætninger!$D$97,Forudsætninger!$D$98,IF(G368&lt;=Forudsætninger!$E$97,Forudsætninger!$E$98,IF(G368&lt;=Forudsætninger!$F$97,Forudsætninger!$F$98,IF(G368&lt;=Forudsætninger!$G$97,Forudsætninger!$G$98,IF(G368&lt;=Forudsætninger!$H$97,Forudsætninger!$H$98,IF(G368&lt;=Forudsætninger!$I$97,Forudsætninger!$I$98,Forudsætninger!$I$98))))))))</f>
        <v>#N/A</v>
      </c>
      <c r="AG368" s="1" t="e">
        <f t="shared" ref="AG368" si="189">IF(AF368&lt;=3.2,IF(AF368&lt;=2.2,2.2,3.2),4.4)</f>
        <v>#N/A</v>
      </c>
      <c r="AH368" s="1" t="e">
        <f t="shared" ref="AH368" si="190">AH367+AG368</f>
        <v>#N/A</v>
      </c>
      <c r="AI368" s="1" t="e">
        <f t="shared" si="161"/>
        <v>#N/A</v>
      </c>
      <c r="AJ368" s="20" t="e">
        <f>+(W368*Forudsætninger!$C$12)</f>
        <v>#N/A</v>
      </c>
      <c r="AK368" s="20">
        <f>Forudsætninger!$C$17</f>
        <v>250</v>
      </c>
      <c r="AL368" s="20">
        <f>IF(A368&lt;92,Forudsætninger!$C$20,Forudsætninger!$C$21)</f>
        <v>1.0566762728146013</v>
      </c>
      <c r="AM368" s="20">
        <f t="shared" ref="AM368" si="191">AL368+AM367</f>
        <v>655.24899870343233</v>
      </c>
      <c r="AN368" s="19">
        <f>IFERROR(AD368+AJ368-AA368-Z368-AK368-AM368-Forudsætninger!$E$75,-999999)</f>
        <v>-999999</v>
      </c>
      <c r="AO368" s="19">
        <f>IFERROR(AN368/(A368+Forudsætninger!$E$74),-999999)</f>
        <v>-2732.2377049180327</v>
      </c>
      <c r="AP368" s="19">
        <f>IFERROR(((365/(A368+Forudsætninger!$E$74))*AN368)/(AI368+Forudsætninger!$E$73),-999999)</f>
        <v>-999999</v>
      </c>
      <c r="AQ368" s="18">
        <f t="shared" si="162"/>
        <v>366</v>
      </c>
      <c r="AR368" s="18" t="e">
        <f t="shared" si="175"/>
        <v>#N/A</v>
      </c>
      <c r="AS368" s="18">
        <f t="shared" si="154"/>
        <v>13.2</v>
      </c>
      <c r="AT368" s="50">
        <f t="shared" si="176"/>
        <v>0</v>
      </c>
      <c r="AU368" s="50">
        <f t="shared" si="177"/>
        <v>7.4855827532001058</v>
      </c>
      <c r="AV368" s="2">
        <f t="shared" si="178"/>
        <v>0</v>
      </c>
      <c r="AW368" s="16">
        <f t="shared" si="172"/>
        <v>-2730.4474071073678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B824D-1858-43D5-BE31-B34D321DBC4E}">
  <dimension ref="A1:BM376"/>
  <sheetViews>
    <sheetView workbookViewId="0">
      <selection activeCell="J9" sqref="J9"/>
    </sheetView>
  </sheetViews>
  <sheetFormatPr defaultRowHeight="15" x14ac:dyDescent="0.25"/>
  <cols>
    <col min="2" max="2" width="17.85546875" style="17" customWidth="1"/>
    <col min="3" max="3" width="20.42578125" style="17" customWidth="1"/>
    <col min="4" max="4" width="21.42578125" style="17" customWidth="1"/>
    <col min="8" max="8" width="18.140625" style="17" bestFit="1" customWidth="1"/>
    <col min="9" max="9" width="20" style="17" bestFit="1" customWidth="1"/>
    <col min="10" max="10" width="21.42578125" style="17" bestFit="1" customWidth="1"/>
    <col min="13" max="13" width="8.7109375" customWidth="1"/>
    <col min="14" max="14" width="10.140625" bestFit="1" customWidth="1"/>
    <col min="15" max="15" width="12" bestFit="1" customWidth="1"/>
    <col min="16" max="16" width="13.42578125" bestFit="1" customWidth="1"/>
    <col min="19" max="19" width="9.140625" style="5"/>
    <col min="21" max="21" width="9.140625" style="5"/>
    <col min="23" max="23" width="9.140625" style="5"/>
  </cols>
  <sheetData>
    <row r="1" spans="1:65" x14ac:dyDescent="0.25">
      <c r="A1" t="s">
        <v>204</v>
      </c>
      <c r="B1" s="17" t="s">
        <v>205</v>
      </c>
      <c r="C1" s="17" t="s">
        <v>206</v>
      </c>
      <c r="D1" s="17" t="s">
        <v>207</v>
      </c>
    </row>
    <row r="2" spans="1:65" x14ac:dyDescent="0.25">
      <c r="A2" t="s">
        <v>199</v>
      </c>
      <c r="B2" s="5">
        <v>45.437564507575317</v>
      </c>
      <c r="C2" s="5">
        <v>46.209708417807079</v>
      </c>
      <c r="D2" s="5">
        <v>43.987843771398374</v>
      </c>
    </row>
    <row r="3" spans="1:65" x14ac:dyDescent="0.25">
      <c r="A3" t="s">
        <v>200</v>
      </c>
      <c r="B3" s="5">
        <v>0.16194398633029733</v>
      </c>
      <c r="C3" s="5">
        <v>0.35729878446126079</v>
      </c>
      <c r="D3" s="5">
        <v>0.18887651915668952</v>
      </c>
    </row>
    <row r="4" spans="1:65" x14ac:dyDescent="0.25">
      <c r="A4" t="s">
        <v>201</v>
      </c>
      <c r="B4" s="181">
        <v>9.7966773841706989E-3</v>
      </c>
      <c r="C4" s="181">
        <v>1.0505905782079978E-2</v>
      </c>
      <c r="D4" s="181">
        <v>9.9247126148826314E-3</v>
      </c>
    </row>
    <row r="5" spans="1:65" x14ac:dyDescent="0.25">
      <c r="A5" t="s">
        <v>202</v>
      </c>
      <c r="B5" s="180">
        <v>-2.6652158946681302E-5</v>
      </c>
      <c r="C5" s="180">
        <v>-2.9786639716216298E-5</v>
      </c>
      <c r="D5" s="180">
        <v>-2.8337082917912835E-5</v>
      </c>
    </row>
    <row r="6" spans="1:65" x14ac:dyDescent="0.25">
      <c r="A6" t="s">
        <v>203</v>
      </c>
      <c r="B6" s="179">
        <v>2.2264475848588807E-8</v>
      </c>
      <c r="C6" s="179">
        <v>2.5872358893709836E-8</v>
      </c>
      <c r="D6" s="179">
        <v>2.437585851972462E-8</v>
      </c>
    </row>
    <row r="8" spans="1:65" x14ac:dyDescent="0.25">
      <c r="A8" t="s">
        <v>46</v>
      </c>
      <c r="B8" s="17" t="s">
        <v>72</v>
      </c>
      <c r="C8" s="17" t="s">
        <v>73</v>
      </c>
      <c r="D8" s="17" t="s">
        <v>74</v>
      </c>
      <c r="G8" t="s">
        <v>46</v>
      </c>
      <c r="H8" s="17" t="s">
        <v>75</v>
      </c>
      <c r="I8" s="17" t="s">
        <v>76</v>
      </c>
      <c r="J8" s="17" t="s">
        <v>77</v>
      </c>
      <c r="M8" t="s">
        <v>13</v>
      </c>
      <c r="N8" s="17" t="s">
        <v>79</v>
      </c>
      <c r="O8" s="17" t="s">
        <v>80</v>
      </c>
      <c r="P8" s="17" t="s">
        <v>81</v>
      </c>
      <c r="R8" s="3">
        <v>40.837706573829301</v>
      </c>
      <c r="T8">
        <v>27.6285699642522</v>
      </c>
      <c r="V8">
        <v>1.9999999999998399</v>
      </c>
      <c r="Y8" t="s">
        <v>121</v>
      </c>
    </row>
    <row r="9" spans="1:65" x14ac:dyDescent="0.25">
      <c r="A9">
        <v>0</v>
      </c>
      <c r="B9" s="17">
        <f>$B$2+$B$3*A9+$B$4*A9^2+$B$5*A9^3+$B$6*A9^4</f>
        <v>45.437564507575317</v>
      </c>
      <c r="C9" s="17">
        <f>$C$2+$C$3*A9+$C$4*A9^2+$C$5*A9^3+$C$6*A9^4</f>
        <v>46.209708417807079</v>
      </c>
      <c r="D9" s="17">
        <f>$D$2+$D$3*A9+$D$4*A9^2+$D$5*A9^3+$D$6*A9^4</f>
        <v>43.987843771398374</v>
      </c>
      <c r="G9" s="1">
        <v>0</v>
      </c>
      <c r="H9" s="17">
        <v>45</v>
      </c>
      <c r="I9" s="17">
        <v>47</v>
      </c>
      <c r="J9" s="17">
        <v>46</v>
      </c>
      <c r="M9" s="17">
        <v>50.481116096890617</v>
      </c>
      <c r="N9" s="17">
        <v>1.33</v>
      </c>
      <c r="O9" s="17">
        <v>1.33</v>
      </c>
      <c r="P9" s="17">
        <v>1.33</v>
      </c>
      <c r="R9">
        <v>0.56008539632245102</v>
      </c>
      <c r="S9" s="5">
        <f>$R$8+$R$9*A9+$R$10*A9*A9+$R$11*A9*A9*A9</f>
        <v>40.837706573829301</v>
      </c>
      <c r="T9">
        <v>0.84308576117993494</v>
      </c>
      <c r="U9" s="5">
        <f>$T$8+$T$9*A9+$T$10*A9*A9+$T$11*A9*A9*A9</f>
        <v>27.6285699642522</v>
      </c>
      <c r="V9">
        <v>1.27621649752797</v>
      </c>
      <c r="W9" s="5">
        <f>$V$8+$V$9*A9+$V$10*A9*A9+$V$11*A9*A9*A9</f>
        <v>1.9999999999998399</v>
      </c>
      <c r="Y9" t="s">
        <v>46</v>
      </c>
      <c r="Z9" t="s">
        <v>178</v>
      </c>
      <c r="AA9" t="s">
        <v>179</v>
      </c>
      <c r="AB9" t="s">
        <v>180</v>
      </c>
      <c r="AC9" t="s">
        <v>181</v>
      </c>
      <c r="BC9" s="17">
        <f>B9</f>
        <v>45.437564507575317</v>
      </c>
      <c r="BD9" s="3">
        <v>429</v>
      </c>
      <c r="BF9" s="5">
        <f>S9</f>
        <v>40.837706573829301</v>
      </c>
      <c r="BG9">
        <v>564</v>
      </c>
      <c r="BI9" s="5">
        <f>U9</f>
        <v>27.6285699642522</v>
      </c>
      <c r="BJ9">
        <v>846</v>
      </c>
      <c r="BL9" s="5">
        <f>W9</f>
        <v>1.9999999999998399</v>
      </c>
      <c r="BM9">
        <v>1277</v>
      </c>
    </row>
    <row r="10" spans="1:65" x14ac:dyDescent="0.25">
      <c r="A10">
        <v>1</v>
      </c>
      <c r="B10" s="17">
        <f t="shared" ref="B10:B73" si="0">$B$2+$B$3*A10+$B$4*A10^2+$B$5*A10^3+$B$6*A10^4</f>
        <v>45.609278541395319</v>
      </c>
      <c r="C10" s="17">
        <f t="shared" ref="C10:C73" si="1">$C$2+$C$3*A10+$C$4*A10^2+$C$5*A10^3+$C$6*A10^4</f>
        <v>46.577483347283071</v>
      </c>
      <c r="D10" s="17">
        <f t="shared" ref="D10:D73" si="2">$D$2+$D$3*A10+$D$4*A10^2+$D$5*A10^3+$D$6*A10^4</f>
        <v>44.186616690462884</v>
      </c>
      <c r="G10" s="1">
        <v>1</v>
      </c>
      <c r="H10" s="17">
        <v>45.016479097290578</v>
      </c>
      <c r="I10" s="17">
        <v>47.010788697070723</v>
      </c>
      <c r="J10" s="17">
        <v>46.014527448175727</v>
      </c>
      <c r="M10" s="17">
        <v>51.633848151960933</v>
      </c>
      <c r="N10" s="17">
        <v>1.3665153908543299</v>
      </c>
      <c r="O10" s="17">
        <v>1.3726352637428449</v>
      </c>
      <c r="P10" s="17">
        <v>1.3704151164032581</v>
      </c>
      <c r="R10">
        <v>4.8615670227261203E-3</v>
      </c>
      <c r="S10" s="5">
        <f t="shared" ref="S10:S73" si="3">$R$8+$R$9*A10+$R$10*A10*A10+$R$11*A10*A10*A10</f>
        <v>41.402645497822007</v>
      </c>
      <c r="T10">
        <v>3.3347259581395301E-3</v>
      </c>
      <c r="U10" s="5">
        <f t="shared" ref="U10:U73" si="4">$T$8+$T$9*A10+$T$10*A10*A10+$T$11*A10*A10*A10</f>
        <v>28.47498476477206</v>
      </c>
      <c r="V10">
        <v>1.2541431514825801E-3</v>
      </c>
      <c r="W10" s="5">
        <f t="shared" ref="W10:W73" si="5">$V$8+$V$9*A10+$V$10*A10*A10+$V$11*A10*A10*A10</f>
        <v>3.2774679483345097</v>
      </c>
      <c r="Y10">
        <f>A10</f>
        <v>1</v>
      </c>
      <c r="Z10" s="3">
        <f>(B10-B9)*1000</f>
        <v>171.7140338200025</v>
      </c>
      <c r="AA10" s="3">
        <f>(S10-S9)*1000</f>
        <v>564.93892399270612</v>
      </c>
      <c r="AB10" s="3">
        <f>(U10-U9)*1000</f>
        <v>846.41480051985945</v>
      </c>
      <c r="AC10" s="3">
        <f>(W10-W9)*1000</f>
        <v>1277.4679483346697</v>
      </c>
      <c r="BC10" s="17">
        <f>B10</f>
        <v>45.609278541395319</v>
      </c>
      <c r="BD10" s="3">
        <f>Z10</f>
        <v>171.7140338200025</v>
      </c>
      <c r="BF10" s="5">
        <f t="shared" ref="BF10:BF73" si="6">S10</f>
        <v>41.402645497822007</v>
      </c>
      <c r="BG10">
        <f t="shared" ref="BG10:BG73" si="7">AA10</f>
        <v>564.93892399270612</v>
      </c>
      <c r="BI10" s="5">
        <f t="shared" ref="BI10:BI73" si="8">U10</f>
        <v>28.47498476477206</v>
      </c>
      <c r="BJ10">
        <f t="shared" ref="BJ10:BJ73" si="9">AB10</f>
        <v>846.41480051985945</v>
      </c>
      <c r="BL10" s="5">
        <f t="shared" ref="BL10:BL73" si="10">W10</f>
        <v>3.2774679483345097</v>
      </c>
      <c r="BM10">
        <f t="shared" ref="BM10:BM73" si="11">AC10</f>
        <v>1277.4679483346697</v>
      </c>
    </row>
    <row r="11" spans="1:65" x14ac:dyDescent="0.25">
      <c r="A11">
        <v>2</v>
      </c>
      <c r="B11" s="17">
        <f t="shared" si="0"/>
        <v>45.800426328732641</v>
      </c>
      <c r="C11" s="17">
        <f t="shared" si="1"/>
        <v>46.966091730697933</v>
      </c>
      <c r="D11" s="17">
        <f t="shared" si="2"/>
        <v>44.405069353521682</v>
      </c>
      <c r="G11" s="1">
        <v>2</v>
      </c>
      <c r="H11" s="17">
        <v>45.032957641524384</v>
      </c>
      <c r="I11" s="17">
        <v>47.021613582974709</v>
      </c>
      <c r="J11" s="17">
        <v>46.02906694474175</v>
      </c>
      <c r="M11" s="17">
        <v>52.78658020703125</v>
      </c>
      <c r="N11" s="17">
        <v>1.403034574560525</v>
      </c>
      <c r="O11" s="17">
        <v>1.4152705064321061</v>
      </c>
      <c r="P11" s="17">
        <v>1.4108254597869809</v>
      </c>
      <c r="R11">
        <v>-8.0393524720964999E-6</v>
      </c>
      <c r="S11" s="5">
        <f t="shared" si="3"/>
        <v>41.977259319745329</v>
      </c>
      <c r="T11">
        <v>-5.6866182151026701E-6</v>
      </c>
      <c r="U11" s="5">
        <f t="shared" si="4"/>
        <v>29.32803489749891</v>
      </c>
      <c r="V11">
        <v>-2.6923447826519101E-6</v>
      </c>
      <c r="W11" s="5">
        <f t="shared" si="5"/>
        <v>4.5574280289034483</v>
      </c>
      <c r="Y11">
        <f t="shared" ref="Y11:Y74" si="12">A11</f>
        <v>2</v>
      </c>
      <c r="Z11" s="3">
        <f t="shared" ref="Z11:Z74" si="13">(B11-B10)*1000</f>
        <v>191.14778733732152</v>
      </c>
      <c r="AA11" s="3">
        <f t="shared" ref="AA11:AA74" si="14">(S11-S10)*1000</f>
        <v>574.61382192332167</v>
      </c>
      <c r="AB11" s="3">
        <f t="shared" ref="AB11:AB74" si="15">(U11-U10)*1000</f>
        <v>853.0501327268496</v>
      </c>
      <c r="AC11" s="3">
        <f t="shared" ref="AC11:AC74" si="16">(W11-W10)*1000</f>
        <v>1279.9600805689386</v>
      </c>
      <c r="BC11" s="17">
        <f t="shared" ref="BC11:BC74" si="17">B11</f>
        <v>45.800426328732641</v>
      </c>
      <c r="BD11" s="3">
        <f t="shared" ref="BD11:BD74" si="18">Z11</f>
        <v>191.14778733732152</v>
      </c>
      <c r="BF11" s="5">
        <f t="shared" si="6"/>
        <v>41.977259319745329</v>
      </c>
      <c r="BG11">
        <f t="shared" si="7"/>
        <v>574.61382192332167</v>
      </c>
      <c r="BI11" s="5">
        <f t="shared" si="8"/>
        <v>29.32803489749891</v>
      </c>
      <c r="BJ11">
        <f t="shared" si="9"/>
        <v>853.0501327268496</v>
      </c>
      <c r="BL11" s="5">
        <f t="shared" si="10"/>
        <v>4.5574280289034483</v>
      </c>
      <c r="BM11">
        <f t="shared" si="11"/>
        <v>1279.9600805689386</v>
      </c>
    </row>
    <row r="12" spans="1:65" x14ac:dyDescent="0.25">
      <c r="A12">
        <v>3</v>
      </c>
      <c r="B12" s="17">
        <f t="shared" si="0"/>
        <v>46.010848758154729</v>
      </c>
      <c r="C12" s="17">
        <f t="shared" si="1"/>
        <v>47.37535577961831</v>
      </c>
      <c r="D12" s="17">
        <f t="shared" si="2"/>
        <v>44.643032615608135</v>
      </c>
      <c r="G12" s="1">
        <v>3</v>
      </c>
      <c r="H12" s="17">
        <v>45.049435079644653</v>
      </c>
      <c r="I12" s="17">
        <v>47.032510846545243</v>
      </c>
      <c r="J12" s="17">
        <v>46.043630538088372</v>
      </c>
      <c r="M12" s="17">
        <v>53.939312262101559</v>
      </c>
      <c r="N12" s="17">
        <v>1.439561343970448</v>
      </c>
      <c r="O12" s="17">
        <v>1.457905707014199</v>
      </c>
      <c r="P12" s="17">
        <v>1.4512262571316361</v>
      </c>
      <c r="S12" s="5">
        <f t="shared" si="3"/>
        <v>42.561499803484445</v>
      </c>
      <c r="U12" s="5">
        <f t="shared" si="4"/>
        <v>30.187686242723455</v>
      </c>
      <c r="W12" s="5">
        <f t="shared" si="5"/>
        <v>5.8398640876379622</v>
      </c>
      <c r="Y12">
        <f t="shared" si="12"/>
        <v>3</v>
      </c>
      <c r="Z12" s="3">
        <f t="shared" si="13"/>
        <v>210.42242942208844</v>
      </c>
      <c r="AA12" s="3">
        <f t="shared" si="14"/>
        <v>584.24048373911569</v>
      </c>
      <c r="AB12" s="3">
        <f t="shared" si="15"/>
        <v>859.65134522454537</v>
      </c>
      <c r="AC12" s="3">
        <f t="shared" si="16"/>
        <v>1282.4360587345138</v>
      </c>
      <c r="BC12" s="17">
        <f t="shared" si="17"/>
        <v>46.010848758154729</v>
      </c>
      <c r="BD12" s="3">
        <f t="shared" si="18"/>
        <v>210.42242942208844</v>
      </c>
      <c r="BF12" s="5">
        <f t="shared" si="6"/>
        <v>42.561499803484445</v>
      </c>
      <c r="BG12">
        <f t="shared" si="7"/>
        <v>584.24048373911569</v>
      </c>
      <c r="BI12" s="5">
        <f t="shared" si="8"/>
        <v>30.187686242723455</v>
      </c>
      <c r="BJ12">
        <f t="shared" si="9"/>
        <v>859.65134522454537</v>
      </c>
      <c r="BL12" s="5">
        <f t="shared" si="10"/>
        <v>5.8398640876379622</v>
      </c>
      <c r="BM12">
        <f t="shared" si="11"/>
        <v>1282.4360587345138</v>
      </c>
    </row>
    <row r="13" spans="1:65" x14ac:dyDescent="0.25">
      <c r="A13">
        <v>4</v>
      </c>
      <c r="B13" s="17">
        <f t="shared" si="0"/>
        <v>46.240387252576461</v>
      </c>
      <c r="C13" s="17">
        <f t="shared" si="1"/>
        <v>47.805098326547437</v>
      </c>
      <c r="D13" s="17">
        <f t="shared" si="2"/>
        <v>44.900337916776287</v>
      </c>
      <c r="G13" s="1">
        <v>4</v>
      </c>
      <c r="H13" s="17">
        <v>45.065910858594577</v>
      </c>
      <c r="I13" s="17">
        <v>47.043516676615553</v>
      </c>
      <c r="J13" s="17">
        <v>46.058230276605869</v>
      </c>
      <c r="M13" s="17">
        <v>55.092044317171883</v>
      </c>
      <c r="N13" s="17">
        <v>1.4760994919359649</v>
      </c>
      <c r="O13" s="17">
        <v>1.5005408444355399</v>
      </c>
      <c r="P13" s="17">
        <v>1.491612735417688</v>
      </c>
      <c r="S13" s="5">
        <f t="shared" si="3"/>
        <v>43.155318712924512</v>
      </c>
      <c r="U13" s="5">
        <f t="shared" si="4"/>
        <v>31.053904680736409</v>
      </c>
      <c r="W13" s="5">
        <f t="shared" si="5"/>
        <v>7.1247599704693521</v>
      </c>
      <c r="Y13">
        <f t="shared" si="12"/>
        <v>4</v>
      </c>
      <c r="Z13" s="3">
        <f t="shared" si="13"/>
        <v>229.5384944217318</v>
      </c>
      <c r="AA13" s="3">
        <f t="shared" si="14"/>
        <v>593.81890944006705</v>
      </c>
      <c r="AB13" s="3">
        <f t="shared" si="15"/>
        <v>866.21843801295381</v>
      </c>
      <c r="AC13" s="3">
        <f t="shared" si="16"/>
        <v>1284.8958828313898</v>
      </c>
      <c r="BC13" s="17">
        <f t="shared" si="17"/>
        <v>46.240387252576461</v>
      </c>
      <c r="BD13" s="3">
        <f t="shared" si="18"/>
        <v>229.5384944217318</v>
      </c>
      <c r="BF13" s="5">
        <f t="shared" si="6"/>
        <v>43.155318712924512</v>
      </c>
      <c r="BG13">
        <f t="shared" si="7"/>
        <v>593.81890944006705</v>
      </c>
      <c r="BI13" s="5">
        <f t="shared" si="8"/>
        <v>31.053904680736409</v>
      </c>
      <c r="BJ13">
        <f t="shared" si="9"/>
        <v>866.21843801295381</v>
      </c>
      <c r="BL13" s="5">
        <f t="shared" si="10"/>
        <v>7.1247599704693521</v>
      </c>
      <c r="BM13">
        <f t="shared" si="11"/>
        <v>1284.8958828313898</v>
      </c>
    </row>
    <row r="14" spans="1:65" x14ac:dyDescent="0.25">
      <c r="A14">
        <v>5</v>
      </c>
      <c r="B14" s="17">
        <f t="shared" si="0"/>
        <v>46.488883769260148</v>
      </c>
      <c r="C14" s="17">
        <f t="shared" si="1"/>
        <v>48.255142824925159</v>
      </c>
      <c r="D14" s="17">
        <f t="shared" si="2"/>
        <v>45.176817282100721</v>
      </c>
      <c r="G14" s="1">
        <v>5</v>
      </c>
      <c r="H14" s="17">
        <v>45.082384425317443</v>
      </c>
      <c r="I14" s="17">
        <v>47.054667262018938</v>
      </c>
      <c r="J14" s="17">
        <v>46.072878208684557</v>
      </c>
      <c r="M14" s="17">
        <v>56.244776372242193</v>
      </c>
      <c r="N14" s="17">
        <v>1.5126528113089379</v>
      </c>
      <c r="O14" s="17">
        <v>1.543175897642546</v>
      </c>
      <c r="P14" s="17">
        <v>1.5319801216256019</v>
      </c>
      <c r="S14" s="5">
        <f t="shared" si="3"/>
        <v>43.758667811950694</v>
      </c>
      <c r="U14" s="5">
        <f t="shared" si="4"/>
        <v>31.92665609182848</v>
      </c>
      <c r="W14" s="5">
        <f t="shared" si="5"/>
        <v>8.4120995233289211</v>
      </c>
      <c r="Y14">
        <f t="shared" si="12"/>
        <v>5</v>
      </c>
      <c r="Z14" s="3">
        <f t="shared" si="13"/>
        <v>248.49651668368722</v>
      </c>
      <c r="AA14" s="3">
        <f t="shared" si="14"/>
        <v>603.34909902618256</v>
      </c>
      <c r="AB14" s="3">
        <f t="shared" si="15"/>
        <v>872.75141109207152</v>
      </c>
      <c r="AC14" s="3">
        <f t="shared" si="16"/>
        <v>1287.339552859569</v>
      </c>
      <c r="BC14" s="17">
        <f t="shared" si="17"/>
        <v>46.488883769260148</v>
      </c>
      <c r="BD14" s="3">
        <f t="shared" si="18"/>
        <v>248.49651668368722</v>
      </c>
      <c r="BF14" s="5">
        <f t="shared" si="6"/>
        <v>43.758667811950694</v>
      </c>
      <c r="BG14">
        <f t="shared" si="7"/>
        <v>603.34909902618256</v>
      </c>
      <c r="BI14" s="5">
        <f t="shared" si="8"/>
        <v>31.92665609182848</v>
      </c>
      <c r="BJ14">
        <f t="shared" si="9"/>
        <v>872.75141109207152</v>
      </c>
      <c r="BL14" s="5">
        <f t="shared" si="10"/>
        <v>8.4120995233289211</v>
      </c>
      <c r="BM14">
        <f t="shared" si="11"/>
        <v>1287.339552859569</v>
      </c>
    </row>
    <row r="15" spans="1:65" x14ac:dyDescent="0.25">
      <c r="A15">
        <v>6</v>
      </c>
      <c r="B15" s="17">
        <f t="shared" si="0"/>
        <v>46.756180799815468</v>
      </c>
      <c r="C15" s="17">
        <f t="shared" si="1"/>
        <v>48.725313349127951</v>
      </c>
      <c r="D15" s="17">
        <f t="shared" si="2"/>
        <v>45.472303321676662</v>
      </c>
      <c r="G15" s="1">
        <v>6</v>
      </c>
      <c r="H15" s="17">
        <v>45.098855226756442</v>
      </c>
      <c r="I15" s="17">
        <v>47.065998791588648</v>
      </c>
      <c r="J15" s="17">
        <v>46.087586382714733</v>
      </c>
      <c r="M15" s="17">
        <v>57.397508427312502</v>
      </c>
      <c r="N15" s="17">
        <v>1.5492250949412321</v>
      </c>
      <c r="O15" s="17">
        <v>1.5858108455816331</v>
      </c>
      <c r="P15" s="17">
        <v>1.5723236427358449</v>
      </c>
      <c r="S15" s="5">
        <f t="shared" si="3"/>
        <v>44.371498864448171</v>
      </c>
      <c r="U15" s="5">
        <f t="shared" si="4"/>
        <v>32.805906356290372</v>
      </c>
      <c r="W15" s="5">
        <f t="shared" si="5"/>
        <v>9.7018665921479812</v>
      </c>
      <c r="Y15">
        <f t="shared" si="12"/>
        <v>6</v>
      </c>
      <c r="Z15" s="3">
        <f t="shared" si="13"/>
        <v>267.29703055531928</v>
      </c>
      <c r="AA15" s="3">
        <f t="shared" si="14"/>
        <v>612.83105249747655</v>
      </c>
      <c r="AB15" s="3">
        <f t="shared" si="15"/>
        <v>879.25026446189133</v>
      </c>
      <c r="AC15" s="3">
        <f t="shared" si="16"/>
        <v>1289.7670688190601</v>
      </c>
      <c r="BC15" s="17">
        <f t="shared" si="17"/>
        <v>46.756180799815468</v>
      </c>
      <c r="BD15" s="3">
        <f t="shared" si="18"/>
        <v>267.29703055531928</v>
      </c>
      <c r="BF15" s="5">
        <f t="shared" si="6"/>
        <v>44.371498864448171</v>
      </c>
      <c r="BG15">
        <f t="shared" si="7"/>
        <v>612.83105249747655</v>
      </c>
      <c r="BI15" s="5">
        <f t="shared" si="8"/>
        <v>32.805906356290372</v>
      </c>
      <c r="BJ15">
        <f t="shared" si="9"/>
        <v>879.25026446189133</v>
      </c>
      <c r="BL15" s="5">
        <f t="shared" si="10"/>
        <v>9.7018665921479812</v>
      </c>
      <c r="BM15">
        <f t="shared" si="11"/>
        <v>1289.7670688190601</v>
      </c>
    </row>
    <row r="16" spans="1:65" x14ac:dyDescent="0.25">
      <c r="A16">
        <v>7</v>
      </c>
      <c r="B16" s="17">
        <f t="shared" si="0"/>
        <v>47.042121370199567</v>
      </c>
      <c r="C16" s="17">
        <f t="shared" si="1"/>
        <v>49.215434594468867</v>
      </c>
      <c r="D16" s="17">
        <f t="shared" si="2"/>
        <v>45.786629230619909</v>
      </c>
      <c r="G16" s="1">
        <v>7</v>
      </c>
      <c r="H16" s="17">
        <v>45.115322709854802</v>
      </c>
      <c r="I16" s="17">
        <v>47.077547454157973</v>
      </c>
      <c r="J16" s="17">
        <v>46.102366847086678</v>
      </c>
      <c r="M16" s="17">
        <v>58.550240482382812</v>
      </c>
      <c r="N16" s="17">
        <v>1.5858201356847119</v>
      </c>
      <c r="O16" s="17">
        <v>1.628445667199216</v>
      </c>
      <c r="P16" s="17">
        <v>1.612638525728882</v>
      </c>
      <c r="S16" s="5">
        <f t="shared" si="3"/>
        <v>44.993763634302105</v>
      </c>
      <c r="U16" s="5">
        <f t="shared" si="4"/>
        <v>33.691621354412803</v>
      </c>
      <c r="W16" s="5">
        <f t="shared" si="5"/>
        <v>10.994045022857826</v>
      </c>
      <c r="Y16">
        <f t="shared" si="12"/>
        <v>7</v>
      </c>
      <c r="Z16" s="3">
        <f t="shared" si="13"/>
        <v>285.94057038409915</v>
      </c>
      <c r="AA16" s="3">
        <f t="shared" si="14"/>
        <v>622.26476985393469</v>
      </c>
      <c r="AB16" s="3">
        <f t="shared" si="15"/>
        <v>885.7149981224311</v>
      </c>
      <c r="AC16" s="3">
        <f t="shared" si="16"/>
        <v>1292.1784307098444</v>
      </c>
      <c r="BC16" s="17">
        <f t="shared" si="17"/>
        <v>47.042121370199567</v>
      </c>
      <c r="BD16" s="3">
        <f t="shared" si="18"/>
        <v>285.94057038409915</v>
      </c>
      <c r="BF16" s="5">
        <f t="shared" si="6"/>
        <v>44.993763634302105</v>
      </c>
      <c r="BG16">
        <f t="shared" si="7"/>
        <v>622.26476985393469</v>
      </c>
      <c r="BI16" s="5">
        <f t="shared" si="8"/>
        <v>33.691621354412803</v>
      </c>
      <c r="BJ16">
        <f t="shared" si="9"/>
        <v>885.7149981224311</v>
      </c>
      <c r="BL16" s="5">
        <f t="shared" si="10"/>
        <v>10.994045022857826</v>
      </c>
      <c r="BM16">
        <f t="shared" si="11"/>
        <v>1292.1784307098444</v>
      </c>
    </row>
    <row r="17" spans="1:65" x14ac:dyDescent="0.25">
      <c r="A17">
        <v>8</v>
      </c>
      <c r="B17" s="17">
        <f t="shared" si="0"/>
        <v>47.346549040716994</v>
      </c>
      <c r="C17" s="17">
        <f t="shared" si="1"/>
        <v>49.725331877197611</v>
      </c>
      <c r="D17" s="17">
        <f t="shared" si="2"/>
        <v>46.119628789066901</v>
      </c>
      <c r="G17" s="1">
        <v>8</v>
      </c>
      <c r="H17" s="17">
        <v>45.131786321555758</v>
      </c>
      <c r="I17" s="17">
        <v>47.089349438560127</v>
      </c>
      <c r="J17" s="17">
        <v>46.117231650190703</v>
      </c>
      <c r="M17" s="17">
        <v>59.702972537453121</v>
      </c>
      <c r="N17" s="17">
        <v>1.622441726391241</v>
      </c>
      <c r="O17" s="17">
        <v>1.671080341441713</v>
      </c>
      <c r="P17" s="17">
        <v>1.6529199975851789</v>
      </c>
      <c r="S17" s="5">
        <f t="shared" si="3"/>
        <v>45.62541388539767</v>
      </c>
      <c r="U17" s="5">
        <f t="shared" si="4"/>
        <v>34.583766966486472</v>
      </c>
      <c r="W17" s="5">
        <f t="shared" si="5"/>
        <v>12.288618661389767</v>
      </c>
      <c r="Y17">
        <f t="shared" si="12"/>
        <v>8</v>
      </c>
      <c r="Z17" s="3">
        <f t="shared" si="13"/>
        <v>304.42767051742692</v>
      </c>
      <c r="AA17" s="3">
        <f t="shared" si="14"/>
        <v>631.65025109556439</v>
      </c>
      <c r="AB17" s="3">
        <f t="shared" si="15"/>
        <v>892.14561207366933</v>
      </c>
      <c r="AC17" s="3">
        <f t="shared" si="16"/>
        <v>1294.5736385319417</v>
      </c>
      <c r="BC17" s="17">
        <f t="shared" si="17"/>
        <v>47.346549040716994</v>
      </c>
      <c r="BD17" s="3">
        <f t="shared" si="18"/>
        <v>304.42767051742692</v>
      </c>
      <c r="BF17" s="5">
        <f t="shared" si="6"/>
        <v>45.62541388539767</v>
      </c>
      <c r="BG17">
        <f t="shared" si="7"/>
        <v>631.65025109556439</v>
      </c>
      <c r="BI17" s="5">
        <f t="shared" si="8"/>
        <v>34.583766966486472</v>
      </c>
      <c r="BJ17">
        <f t="shared" si="9"/>
        <v>892.14561207366933</v>
      </c>
      <c r="BL17" s="5">
        <f t="shared" si="10"/>
        <v>12.288618661389767</v>
      </c>
      <c r="BM17">
        <f t="shared" si="11"/>
        <v>1294.5736385319417</v>
      </c>
    </row>
    <row r="18" spans="1:65" x14ac:dyDescent="0.25">
      <c r="A18">
        <v>9</v>
      </c>
      <c r="B18" s="17">
        <f t="shared" si="0"/>
        <v>47.669307906019732</v>
      </c>
      <c r="C18" s="17">
        <f t="shared" si="1"/>
        <v>50.254831134500485</v>
      </c>
      <c r="D18" s="17">
        <f t="shared" si="2"/>
        <v>46.471136362174661</v>
      </c>
      <c r="G18" s="1">
        <v>9</v>
      </c>
      <c r="H18" s="17">
        <v>45.148245508802553</v>
      </c>
      <c r="I18" s="17">
        <v>47.101440933628439</v>
      </c>
      <c r="J18" s="17">
        <v>46.132192840417098</v>
      </c>
      <c r="M18" s="17">
        <v>60.855704592523438</v>
      </c>
      <c r="N18" s="17">
        <v>1.659093659912684</v>
      </c>
      <c r="O18" s="17">
        <v>1.7137148472555379</v>
      </c>
      <c r="P18" s="17">
        <v>1.6931632852852001</v>
      </c>
      <c r="S18" s="5">
        <f t="shared" si="3"/>
        <v>46.266401381620021</v>
      </c>
      <c r="U18" s="5">
        <f t="shared" si="4"/>
        <v>35.48230907280211</v>
      </c>
      <c r="W18" s="5">
        <f t="shared" si="5"/>
        <v>13.585571353675107</v>
      </c>
      <c r="Y18">
        <f t="shared" si="12"/>
        <v>9</v>
      </c>
      <c r="Z18" s="3">
        <f t="shared" si="13"/>
        <v>322.75886530273823</v>
      </c>
      <c r="AA18" s="3">
        <f t="shared" si="14"/>
        <v>640.98749622235118</v>
      </c>
      <c r="AB18" s="3">
        <f t="shared" si="15"/>
        <v>898.54210631563797</v>
      </c>
      <c r="AC18" s="3">
        <f t="shared" si="16"/>
        <v>1296.9526922853395</v>
      </c>
      <c r="BC18" s="17">
        <f t="shared" si="17"/>
        <v>47.669307906019732</v>
      </c>
      <c r="BD18" s="3">
        <f t="shared" si="18"/>
        <v>322.75886530273823</v>
      </c>
      <c r="BF18" s="5">
        <f t="shared" si="6"/>
        <v>46.266401381620021</v>
      </c>
      <c r="BG18">
        <f t="shared" si="7"/>
        <v>640.98749622235118</v>
      </c>
      <c r="BI18" s="5">
        <f t="shared" si="8"/>
        <v>35.48230907280211</v>
      </c>
      <c r="BJ18">
        <f t="shared" si="9"/>
        <v>898.54210631563797</v>
      </c>
      <c r="BL18" s="5">
        <f t="shared" si="10"/>
        <v>13.585571353675107</v>
      </c>
      <c r="BM18">
        <f t="shared" si="11"/>
        <v>1296.9526922853395</v>
      </c>
    </row>
    <row r="19" spans="1:65" x14ac:dyDescent="0.25">
      <c r="A19">
        <v>10</v>
      </c>
      <c r="B19" s="17">
        <f t="shared" si="0"/>
        <v>48.010242595107165</v>
      </c>
      <c r="C19" s="17">
        <f t="shared" si="1"/>
        <v>50.8037589245004</v>
      </c>
      <c r="D19" s="17">
        <f t="shared" si="2"/>
        <v>46.840986900120818</v>
      </c>
      <c r="G19" s="1">
        <v>10</v>
      </c>
      <c r="H19" s="17">
        <v>45.16469971853838</v>
      </c>
      <c r="I19" s="17">
        <v>47.113858128196142</v>
      </c>
      <c r="J19" s="17">
        <v>46.147262466156157</v>
      </c>
      <c r="M19" s="17">
        <v>62.008436647593747</v>
      </c>
      <c r="N19" s="17">
        <v>1.695779729100906</v>
      </c>
      <c r="O19" s="17">
        <v>1.7563491635871089</v>
      </c>
      <c r="P19" s="17">
        <v>1.733363615809413</v>
      </c>
      <c r="S19" s="5">
        <f t="shared" si="3"/>
        <v>46.916677886854323</v>
      </c>
      <c r="U19" s="5">
        <f t="shared" si="4"/>
        <v>36.387213553650398</v>
      </c>
      <c r="W19" s="5">
        <f t="shared" si="5"/>
        <v>14.884886945645146</v>
      </c>
      <c r="Y19">
        <f t="shared" si="12"/>
        <v>10</v>
      </c>
      <c r="Z19" s="3">
        <f t="shared" si="13"/>
        <v>340.93468908743318</v>
      </c>
      <c r="AA19" s="3">
        <f t="shared" si="14"/>
        <v>650.27650523430225</v>
      </c>
      <c r="AB19" s="3">
        <f t="shared" si="15"/>
        <v>904.90448084828756</v>
      </c>
      <c r="AC19" s="3">
        <f t="shared" si="16"/>
        <v>1299.3155919700391</v>
      </c>
      <c r="BC19" s="17">
        <f t="shared" si="17"/>
        <v>48.010242595107165</v>
      </c>
      <c r="BD19" s="3">
        <f t="shared" si="18"/>
        <v>340.93468908743318</v>
      </c>
      <c r="BF19" s="5">
        <f t="shared" si="6"/>
        <v>46.916677886854323</v>
      </c>
      <c r="BG19">
        <f t="shared" si="7"/>
        <v>650.27650523430225</v>
      </c>
      <c r="BI19" s="5">
        <f t="shared" si="8"/>
        <v>36.387213553650398</v>
      </c>
      <c r="BJ19">
        <f t="shared" si="9"/>
        <v>904.90448084828756</v>
      </c>
      <c r="BL19" s="5">
        <f t="shared" si="10"/>
        <v>14.884886945645146</v>
      </c>
      <c r="BM19">
        <f t="shared" si="11"/>
        <v>1299.3155919700391</v>
      </c>
    </row>
    <row r="20" spans="1:65" x14ac:dyDescent="0.25">
      <c r="A20">
        <v>11</v>
      </c>
      <c r="B20" s="17">
        <f t="shared" si="0"/>
        <v>48.369198271326113</v>
      </c>
      <c r="C20" s="17">
        <f t="shared" si="1"/>
        <v>51.371942426256908</v>
      </c>
      <c r="D20" s="17">
        <f t="shared" si="2"/>
        <v>47.229015938103601</v>
      </c>
      <c r="G20" s="1">
        <v>11</v>
      </c>
      <c r="H20" s="17">
        <v>45.181148397706487</v>
      </c>
      <c r="I20" s="17">
        <v>47.126637211096487</v>
      </c>
      <c r="J20" s="17">
        <v>46.162452575798191</v>
      </c>
      <c r="M20" s="17">
        <v>63.161168702664057</v>
      </c>
      <c r="N20" s="17">
        <v>1.7325037268077701</v>
      </c>
      <c r="O20" s="17">
        <v>1.79898326938284</v>
      </c>
      <c r="P20" s="17">
        <v>1.7735162161382829</v>
      </c>
      <c r="S20" s="5">
        <f t="shared" si="3"/>
        <v>47.576195164985755</v>
      </c>
      <c r="U20" s="5">
        <f t="shared" si="4"/>
        <v>37.298446289322065</v>
      </c>
      <c r="W20" s="5">
        <f t="shared" si="5"/>
        <v>16.186549283231191</v>
      </c>
      <c r="Y20">
        <f t="shared" si="12"/>
        <v>11</v>
      </c>
      <c r="Z20" s="3">
        <f t="shared" si="13"/>
        <v>358.95567621894742</v>
      </c>
      <c r="AA20" s="3">
        <f t="shared" si="14"/>
        <v>659.51727813143179</v>
      </c>
      <c r="AB20" s="3">
        <f t="shared" si="15"/>
        <v>911.23273567166757</v>
      </c>
      <c r="AC20" s="3">
        <f t="shared" si="16"/>
        <v>1301.6623375860447</v>
      </c>
      <c r="BC20" s="17">
        <f t="shared" si="17"/>
        <v>48.369198271326113</v>
      </c>
      <c r="BD20" s="3">
        <f t="shared" si="18"/>
        <v>358.95567621894742</v>
      </c>
      <c r="BF20" s="5">
        <f t="shared" si="6"/>
        <v>47.576195164985755</v>
      </c>
      <c r="BG20">
        <f t="shared" si="7"/>
        <v>659.51727813143179</v>
      </c>
      <c r="BI20" s="5">
        <f t="shared" si="8"/>
        <v>37.298446289322065</v>
      </c>
      <c r="BJ20">
        <f t="shared" si="9"/>
        <v>911.23273567166757</v>
      </c>
      <c r="BL20" s="5">
        <f t="shared" si="10"/>
        <v>16.186549283231191</v>
      </c>
      <c r="BM20">
        <f t="shared" si="11"/>
        <v>1301.6623375860447</v>
      </c>
    </row>
    <row r="21" spans="1:65" x14ac:dyDescent="0.25">
      <c r="A21">
        <v>12</v>
      </c>
      <c r="B21" s="17">
        <f t="shared" si="0"/>
        <v>48.746020632370801</v>
      </c>
      <c r="C21" s="17">
        <f t="shared" si="1"/>
        <v>51.95920943976612</v>
      </c>
      <c r="D21" s="17">
        <f t="shared" si="2"/>
        <v>47.635059596341861</v>
      </c>
      <c r="G21" s="1">
        <v>12</v>
      </c>
      <c r="H21" s="17">
        <v>45.19759099325011</v>
      </c>
      <c r="I21" s="17">
        <v>47.139814371162792</v>
      </c>
      <c r="J21" s="17">
        <v>46.177775217733483</v>
      </c>
      <c r="M21" s="17">
        <v>64.313900757734373</v>
      </c>
      <c r="N21" s="17">
        <v>1.769269445885141</v>
      </c>
      <c r="O21" s="17">
        <v>1.84161714358915</v>
      </c>
      <c r="P21" s="17">
        <v>1.8136163132522749</v>
      </c>
      <c r="S21" s="5">
        <f t="shared" si="3"/>
        <v>48.244904979899495</v>
      </c>
      <c r="U21" s="5">
        <f t="shared" si="4"/>
        <v>38.215973160107815</v>
      </c>
      <c r="W21" s="5">
        <f t="shared" si="5"/>
        <v>17.490542212364549</v>
      </c>
      <c r="Y21">
        <f t="shared" si="12"/>
        <v>12</v>
      </c>
      <c r="Z21" s="3">
        <f t="shared" si="13"/>
        <v>376.82236104468814</v>
      </c>
      <c r="AA21" s="3">
        <f t="shared" si="14"/>
        <v>668.70981491373982</v>
      </c>
      <c r="AB21" s="3">
        <f t="shared" si="15"/>
        <v>917.52687078574979</v>
      </c>
      <c r="AC21" s="3">
        <f t="shared" si="16"/>
        <v>1303.9929291333578</v>
      </c>
      <c r="BC21" s="17">
        <f t="shared" si="17"/>
        <v>48.746020632370801</v>
      </c>
      <c r="BD21" s="3">
        <f t="shared" si="18"/>
        <v>376.82236104468814</v>
      </c>
      <c r="BF21" s="5">
        <f t="shared" si="6"/>
        <v>48.244904979899495</v>
      </c>
      <c r="BG21">
        <f t="shared" si="7"/>
        <v>668.70981491373982</v>
      </c>
      <c r="BI21" s="5">
        <f t="shared" si="8"/>
        <v>38.215973160107815</v>
      </c>
      <c r="BJ21">
        <f t="shared" si="9"/>
        <v>917.52687078574979</v>
      </c>
      <c r="BL21" s="5">
        <f t="shared" si="10"/>
        <v>17.490542212364549</v>
      </c>
      <c r="BM21">
        <f t="shared" si="11"/>
        <v>1303.9929291333578</v>
      </c>
    </row>
    <row r="22" spans="1:65" x14ac:dyDescent="0.25">
      <c r="A22">
        <v>13</v>
      </c>
      <c r="B22" s="17">
        <f t="shared" si="0"/>
        <v>49.140555910282885</v>
      </c>
      <c r="C22" s="17">
        <f t="shared" si="1"/>
        <v>52.565388385960823</v>
      </c>
      <c r="D22" s="17">
        <f t="shared" si="2"/>
        <v>48.058954580075032</v>
      </c>
      <c r="G22" s="1">
        <v>13</v>
      </c>
      <c r="H22" s="17">
        <v>45.214026952112462</v>
      </c>
      <c r="I22" s="17">
        <v>47.153425797228273</v>
      </c>
      <c r="J22" s="17">
        <v>46.193242440352321</v>
      </c>
      <c r="M22" s="17">
        <v>65.46663281280469</v>
      </c>
      <c r="N22" s="17">
        <v>1.8060806791848829</v>
      </c>
      <c r="O22" s="17">
        <v>1.8842507651524529</v>
      </c>
      <c r="P22" s="17">
        <v>1.8536591341318549</v>
      </c>
      <c r="S22" s="5">
        <f t="shared" si="3"/>
        <v>48.922759095480679</v>
      </c>
      <c r="U22" s="5">
        <f t="shared" si="4"/>
        <v>39.139760046298349</v>
      </c>
      <c r="W22" s="5">
        <f t="shared" si="5"/>
        <v>18.79684957897652</v>
      </c>
      <c r="Y22">
        <f t="shared" si="12"/>
        <v>13</v>
      </c>
      <c r="Z22" s="3">
        <f t="shared" si="13"/>
        <v>394.53527791208387</v>
      </c>
      <c r="AA22" s="3">
        <f t="shared" si="14"/>
        <v>677.85411558118369</v>
      </c>
      <c r="AB22" s="3">
        <f t="shared" si="15"/>
        <v>923.78688619053401</v>
      </c>
      <c r="AC22" s="3">
        <f t="shared" si="16"/>
        <v>1306.3073666119712</v>
      </c>
      <c r="BC22" s="17">
        <f t="shared" si="17"/>
        <v>49.140555910282885</v>
      </c>
      <c r="BD22" s="3">
        <f t="shared" si="18"/>
        <v>394.53527791208387</v>
      </c>
      <c r="BF22" s="5">
        <f t="shared" si="6"/>
        <v>48.922759095480679</v>
      </c>
      <c r="BG22">
        <f t="shared" si="7"/>
        <v>677.85411558118369</v>
      </c>
      <c r="BI22" s="5">
        <f t="shared" si="8"/>
        <v>39.139760046298349</v>
      </c>
      <c r="BJ22">
        <f t="shared" si="9"/>
        <v>923.78688619053401</v>
      </c>
      <c r="BL22" s="5">
        <f t="shared" si="10"/>
        <v>18.79684957897652</v>
      </c>
      <c r="BM22">
        <f t="shared" si="11"/>
        <v>1306.3073666119712</v>
      </c>
    </row>
    <row r="23" spans="1:65" x14ac:dyDescent="0.25">
      <c r="A23">
        <v>14</v>
      </c>
      <c r="B23" s="17">
        <f t="shared" si="0"/>
        <v>49.552650871451441</v>
      </c>
      <c r="C23" s="17">
        <f t="shared" si="1"/>
        <v>53.190308306710371</v>
      </c>
      <c r="D23" s="17">
        <f t="shared" si="2"/>
        <v>48.500538179563165</v>
      </c>
      <c r="G23" s="1">
        <v>14</v>
      </c>
      <c r="H23" s="17">
        <v>45.23045572123678</v>
      </c>
      <c r="I23" s="17">
        <v>47.167507678126213</v>
      </c>
      <c r="J23" s="17">
        <v>46.208866292045023</v>
      </c>
      <c r="M23" s="17">
        <v>66.619364867874992</v>
      </c>
      <c r="N23" s="17">
        <v>1.8429412195588599</v>
      </c>
      <c r="O23" s="17">
        <v>1.926884113019165</v>
      </c>
      <c r="P23" s="17">
        <v>1.893639905757488</v>
      </c>
      <c r="S23" s="5">
        <f t="shared" si="3"/>
        <v>49.609709275614506</v>
      </c>
      <c r="U23" s="5">
        <f t="shared" si="4"/>
        <v>40.069772828184398</v>
      </c>
      <c r="W23" s="5">
        <f t="shared" si="5"/>
        <v>20.105455228998405</v>
      </c>
      <c r="Y23">
        <f t="shared" si="12"/>
        <v>14</v>
      </c>
      <c r="Z23" s="3">
        <f t="shared" si="13"/>
        <v>412.09496116855604</v>
      </c>
      <c r="AA23" s="3">
        <f t="shared" si="14"/>
        <v>686.95018013382742</v>
      </c>
      <c r="AB23" s="3">
        <f t="shared" si="15"/>
        <v>930.01278188604886</v>
      </c>
      <c r="AC23" s="3">
        <f t="shared" si="16"/>
        <v>1308.6056500218851</v>
      </c>
      <c r="BC23" s="17">
        <f t="shared" si="17"/>
        <v>49.552650871451441</v>
      </c>
      <c r="BD23" s="3">
        <f t="shared" si="18"/>
        <v>412.09496116855604</v>
      </c>
      <c r="BF23" s="5">
        <f t="shared" si="6"/>
        <v>49.609709275614506</v>
      </c>
      <c r="BG23">
        <f t="shared" si="7"/>
        <v>686.95018013382742</v>
      </c>
      <c r="BI23" s="5">
        <f t="shared" si="8"/>
        <v>40.069772828184398</v>
      </c>
      <c r="BJ23">
        <f t="shared" si="9"/>
        <v>930.01278188604886</v>
      </c>
      <c r="BL23" s="5">
        <f t="shared" si="10"/>
        <v>20.105455228998405</v>
      </c>
      <c r="BM23">
        <f t="shared" si="11"/>
        <v>1308.6056500218851</v>
      </c>
    </row>
    <row r="24" spans="1:65" x14ac:dyDescent="0.25">
      <c r="A24">
        <v>15</v>
      </c>
      <c r="B24" s="17">
        <f t="shared" si="0"/>
        <v>49.98215281661296</v>
      </c>
      <c r="C24" s="17">
        <f t="shared" si="1"/>
        <v>53.83379886482075</v>
      </c>
      <c r="D24" s="17">
        <f t="shared" si="2"/>
        <v>48.959648270086916</v>
      </c>
      <c r="G24" s="1">
        <v>15</v>
      </c>
      <c r="H24" s="17">
        <v>45.24687674756629</v>
      </c>
      <c r="I24" s="17">
        <v>47.18209620268987</v>
      </c>
      <c r="J24" s="17">
        <v>46.224658821201857</v>
      </c>
      <c r="M24" s="17">
        <v>67.772096922945309</v>
      </c>
      <c r="N24" s="17">
        <v>1.8798548598589371</v>
      </c>
      <c r="O24" s="17">
        <v>1.969517166135704</v>
      </c>
      <c r="P24" s="17">
        <v>1.933553855109641</v>
      </c>
      <c r="S24" s="5">
        <f t="shared" si="3"/>
        <v>50.30570728418612</v>
      </c>
      <c r="U24" s="5">
        <f t="shared" si="4"/>
        <v>41.005977386056642</v>
      </c>
      <c r="W24" s="5">
        <f t="shared" si="5"/>
        <v>21.416343008361519</v>
      </c>
      <c r="Y24">
        <f t="shared" si="12"/>
        <v>15</v>
      </c>
      <c r="Z24" s="3">
        <f t="shared" si="13"/>
        <v>429.50194516151896</v>
      </c>
      <c r="AA24" s="3">
        <f t="shared" si="14"/>
        <v>695.99800857161404</v>
      </c>
      <c r="AB24" s="3">
        <f t="shared" si="15"/>
        <v>936.20455787224444</v>
      </c>
      <c r="AC24" s="3">
        <f t="shared" si="16"/>
        <v>1310.8877793631136</v>
      </c>
      <c r="BC24" s="17">
        <f t="shared" si="17"/>
        <v>49.98215281661296</v>
      </c>
      <c r="BD24" s="3">
        <f t="shared" si="18"/>
        <v>429.50194516151896</v>
      </c>
      <c r="BF24" s="5">
        <f t="shared" si="6"/>
        <v>50.30570728418612</v>
      </c>
      <c r="BG24">
        <f t="shared" si="7"/>
        <v>695.99800857161404</v>
      </c>
      <c r="BI24" s="5">
        <f t="shared" si="8"/>
        <v>41.005977386056642</v>
      </c>
      <c r="BJ24">
        <f t="shared" si="9"/>
        <v>936.20455787224444</v>
      </c>
      <c r="BL24" s="5">
        <f t="shared" si="10"/>
        <v>21.416343008361519</v>
      </c>
      <c r="BM24">
        <f t="shared" si="11"/>
        <v>1310.8877793631136</v>
      </c>
    </row>
    <row r="25" spans="1:65" x14ac:dyDescent="0.25">
      <c r="A25">
        <v>16</v>
      </c>
      <c r="B25" s="17">
        <f t="shared" si="0"/>
        <v>50.428909580851382</v>
      </c>
      <c r="C25" s="17">
        <f t="shared" si="1"/>
        <v>54.495690344034564</v>
      </c>
      <c r="D25" s="17">
        <f t="shared" si="2"/>
        <v>49.436123311947533</v>
      </c>
      <c r="G25" s="1">
        <v>16</v>
      </c>
      <c r="H25" s="17">
        <v>45.263289478044207</v>
      </c>
      <c r="I25" s="17">
        <v>47.197227559752527</v>
      </c>
      <c r="J25" s="17">
        <v>46.24063207621316</v>
      </c>
      <c r="M25" s="17">
        <v>68.924828978015626</v>
      </c>
      <c r="N25" s="17">
        <v>1.916825392936977</v>
      </c>
      <c r="O25" s="17">
        <v>2.012149903448484</v>
      </c>
      <c r="P25" s="17">
        <v>1.973396209168778</v>
      </c>
      <c r="S25" s="5">
        <f t="shared" si="3"/>
        <v>51.010704885080692</v>
      </c>
      <c r="U25" s="5">
        <f t="shared" si="4"/>
        <v>41.94833960020582</v>
      </c>
      <c r="W25" s="5">
        <f t="shared" si="5"/>
        <v>22.729496762997158</v>
      </c>
      <c r="Y25">
        <f t="shared" si="12"/>
        <v>16</v>
      </c>
      <c r="Z25" s="3">
        <f t="shared" si="13"/>
        <v>446.75676423842248</v>
      </c>
      <c r="AA25" s="3">
        <f t="shared" si="14"/>
        <v>704.99760089457197</v>
      </c>
      <c r="AB25" s="3">
        <f t="shared" si="15"/>
        <v>942.36221414917759</v>
      </c>
      <c r="AC25" s="3">
        <f t="shared" si="16"/>
        <v>1313.1537546356392</v>
      </c>
      <c r="BC25" s="17">
        <f t="shared" si="17"/>
        <v>50.428909580851382</v>
      </c>
      <c r="BD25" s="3">
        <f t="shared" si="18"/>
        <v>446.75676423842248</v>
      </c>
      <c r="BF25" s="5">
        <f t="shared" si="6"/>
        <v>51.010704885080692</v>
      </c>
      <c r="BG25">
        <f t="shared" si="7"/>
        <v>704.99760089457197</v>
      </c>
      <c r="BI25" s="5">
        <f t="shared" si="8"/>
        <v>41.94833960020582</v>
      </c>
      <c r="BJ25">
        <f t="shared" si="9"/>
        <v>942.36221414917759</v>
      </c>
      <c r="BL25" s="5">
        <f t="shared" si="10"/>
        <v>22.729496762997158</v>
      </c>
      <c r="BM25">
        <f t="shared" si="11"/>
        <v>1313.1537546356392</v>
      </c>
    </row>
    <row r="26" spans="1:65" x14ac:dyDescent="0.25">
      <c r="A26">
        <v>17</v>
      </c>
      <c r="B26" s="17">
        <f t="shared" si="0"/>
        <v>50.892769533598013</v>
      </c>
      <c r="C26" s="17">
        <f t="shared" si="1"/>
        <v>55.175813649031014</v>
      </c>
      <c r="D26" s="17">
        <f t="shared" si="2"/>
        <v>49.929802350466893</v>
      </c>
      <c r="G26" s="1">
        <v>17</v>
      </c>
      <c r="H26" s="17">
        <v>45.279693359613788</v>
      </c>
      <c r="I26" s="17">
        <v>47.212937938147441</v>
      </c>
      <c r="J26" s="17">
        <v>46.256798105469187</v>
      </c>
      <c r="M26" s="17">
        <v>70.077561033085942</v>
      </c>
      <c r="N26" s="17">
        <v>1.9538566116448459</v>
      </c>
      <c r="O26" s="17">
        <v>2.0547823039039228</v>
      </c>
      <c r="P26" s="17">
        <v>2.0131621949153669</v>
      </c>
      <c r="S26" s="5">
        <f t="shared" si="3"/>
        <v>51.724653842183407</v>
      </c>
      <c r="U26" s="5">
        <f t="shared" si="4"/>
        <v>42.896825350922619</v>
      </c>
      <c r="W26" s="5">
        <f t="shared" si="5"/>
        <v>24.044900338836623</v>
      </c>
      <c r="Y26">
        <f t="shared" si="12"/>
        <v>17</v>
      </c>
      <c r="Z26" s="3">
        <f t="shared" si="13"/>
        <v>463.85995274663117</v>
      </c>
      <c r="AA26" s="3">
        <f t="shared" si="14"/>
        <v>713.94895710271555</v>
      </c>
      <c r="AB26" s="3">
        <f t="shared" si="15"/>
        <v>948.48575071679875</v>
      </c>
      <c r="AC26" s="3">
        <f t="shared" si="16"/>
        <v>1315.4035758394648</v>
      </c>
      <c r="BC26" s="17">
        <f t="shared" si="17"/>
        <v>50.892769533598013</v>
      </c>
      <c r="BD26" s="3">
        <f t="shared" si="18"/>
        <v>463.85995274663117</v>
      </c>
      <c r="BF26" s="5">
        <f t="shared" si="6"/>
        <v>51.724653842183407</v>
      </c>
      <c r="BG26">
        <f t="shared" si="7"/>
        <v>713.94895710271555</v>
      </c>
      <c r="BI26" s="5">
        <f t="shared" si="8"/>
        <v>42.896825350922619</v>
      </c>
      <c r="BJ26">
        <f t="shared" si="9"/>
        <v>948.48575071679875</v>
      </c>
      <c r="BL26" s="5">
        <f t="shared" si="10"/>
        <v>24.044900338836623</v>
      </c>
      <c r="BM26">
        <f t="shared" si="11"/>
        <v>1315.4035758394648</v>
      </c>
    </row>
    <row r="27" spans="1:65" x14ac:dyDescent="0.25">
      <c r="A27">
        <v>18</v>
      </c>
      <c r="B27" s="17">
        <f t="shared" si="0"/>
        <v>51.373581578631608</v>
      </c>
      <c r="C27" s="17">
        <f t="shared" si="1"/>
        <v>55.874000305425938</v>
      </c>
      <c r="D27" s="17">
        <f t="shared" si="2"/>
        <v>50.440525015987461</v>
      </c>
      <c r="G27" s="1">
        <v>18</v>
      </c>
      <c r="H27" s="17">
        <v>45.296087839218238</v>
      </c>
      <c r="I27" s="17">
        <v>47.229263526707882</v>
      </c>
      <c r="J27" s="17">
        <v>46.273168957360262</v>
      </c>
      <c r="M27" s="17">
        <v>71.230293088156259</v>
      </c>
      <c r="N27" s="17">
        <v>1.9909523088344061</v>
      </c>
      <c r="O27" s="17">
        <v>2.0974143464484349</v>
      </c>
      <c r="P27" s="17">
        <v>2.0528470393298721</v>
      </c>
      <c r="S27" s="5">
        <f t="shared" si="3"/>
        <v>52.447505919379417</v>
      </c>
      <c r="U27" s="5">
        <f t="shared" si="4"/>
        <v>43.851400518497762</v>
      </c>
      <c r="W27" s="5">
        <f t="shared" si="5"/>
        <v>25.362537581811232</v>
      </c>
      <c r="Y27">
        <f t="shared" si="12"/>
        <v>18</v>
      </c>
      <c r="Z27" s="3">
        <f t="shared" si="13"/>
        <v>480.81204503359487</v>
      </c>
      <c r="AA27" s="3">
        <f t="shared" si="14"/>
        <v>722.85207719600919</v>
      </c>
      <c r="AB27" s="3">
        <f t="shared" si="15"/>
        <v>954.57516757514327</v>
      </c>
      <c r="AC27" s="3">
        <f t="shared" si="16"/>
        <v>1317.6372429746089</v>
      </c>
      <c r="BC27" s="17">
        <f t="shared" si="17"/>
        <v>51.373581578631608</v>
      </c>
      <c r="BD27" s="3">
        <f t="shared" si="18"/>
        <v>480.81204503359487</v>
      </c>
      <c r="BF27" s="5">
        <f t="shared" si="6"/>
        <v>52.447505919379417</v>
      </c>
      <c r="BG27">
        <f t="shared" si="7"/>
        <v>722.85207719600919</v>
      </c>
      <c r="BI27" s="5">
        <f t="shared" si="8"/>
        <v>43.851400518497762</v>
      </c>
      <c r="BJ27">
        <f t="shared" si="9"/>
        <v>954.57516757514327</v>
      </c>
      <c r="BL27" s="5">
        <f t="shared" si="10"/>
        <v>25.362537581811232</v>
      </c>
      <c r="BM27">
        <f t="shared" si="11"/>
        <v>1317.6372429746089</v>
      </c>
    </row>
    <row r="28" spans="1:65" x14ac:dyDescent="0.25">
      <c r="A28">
        <v>19</v>
      </c>
      <c r="B28" s="17">
        <f t="shared" si="0"/>
        <v>51.871195154078364</v>
      </c>
      <c r="C28" s="17">
        <f t="shared" si="1"/>
        <v>56.590082459771764</v>
      </c>
      <c r="D28" s="17">
        <f t="shared" si="2"/>
        <v>50.968131523872295</v>
      </c>
      <c r="G28" s="1">
        <v>19</v>
      </c>
      <c r="H28" s="17">
        <v>45.312472363800786</v>
      </c>
      <c r="I28" s="17">
        <v>47.246240514267107</v>
      </c>
      <c r="J28" s="17">
        <v>46.289756680276682</v>
      </c>
      <c r="M28" s="17">
        <v>72.383025143226561</v>
      </c>
      <c r="N28" s="17">
        <v>2.028116277357523</v>
      </c>
      <c r="O28" s="17">
        <v>2.140046010028438</v>
      </c>
      <c r="P28" s="17">
        <v>2.0924459693927591</v>
      </c>
      <c r="S28" s="5">
        <f t="shared" si="3"/>
        <v>53.179212880553891</v>
      </c>
      <c r="U28" s="5">
        <f t="shared" si="4"/>
        <v>44.812030983221945</v>
      </c>
      <c r="W28" s="5">
        <f t="shared" si="5"/>
        <v>26.682392337852271</v>
      </c>
      <c r="Y28">
        <f t="shared" si="12"/>
        <v>19</v>
      </c>
      <c r="Z28" s="3">
        <f t="shared" si="13"/>
        <v>497.61357544675633</v>
      </c>
      <c r="AA28" s="3">
        <f t="shared" si="14"/>
        <v>731.70696117447415</v>
      </c>
      <c r="AB28" s="3">
        <f t="shared" si="15"/>
        <v>960.63046472418273</v>
      </c>
      <c r="AC28" s="3">
        <f t="shared" si="16"/>
        <v>1319.8547560410389</v>
      </c>
      <c r="BC28" s="17">
        <f t="shared" si="17"/>
        <v>51.871195154078364</v>
      </c>
      <c r="BD28" s="3">
        <f t="shared" si="18"/>
        <v>497.61357544675633</v>
      </c>
      <c r="BF28" s="5">
        <f t="shared" si="6"/>
        <v>53.179212880553891</v>
      </c>
      <c r="BG28">
        <f t="shared" si="7"/>
        <v>731.70696117447415</v>
      </c>
      <c r="BI28" s="5">
        <f t="shared" si="8"/>
        <v>44.812030983221945</v>
      </c>
      <c r="BJ28">
        <f t="shared" si="9"/>
        <v>960.63046472418273</v>
      </c>
      <c r="BL28" s="5">
        <f t="shared" si="10"/>
        <v>26.682392337852271</v>
      </c>
      <c r="BM28">
        <f t="shared" si="11"/>
        <v>1319.8547560410389</v>
      </c>
    </row>
    <row r="29" spans="1:65" x14ac:dyDescent="0.25">
      <c r="A29">
        <v>20</v>
      </c>
      <c r="B29" s="17">
        <f t="shared" si="0"/>
        <v>52.385460232411873</v>
      </c>
      <c r="C29" s="17">
        <f t="shared" si="1"/>
        <v>57.323892879557555</v>
      </c>
      <c r="D29" s="17">
        <f t="shared" si="2"/>
        <v>51.512462674505066</v>
      </c>
      <c r="G29" s="1">
        <v>20</v>
      </c>
      <c r="H29" s="17">
        <v>45.328846380304668</v>
      </c>
      <c r="I29" s="17">
        <v>47.263905089658387</v>
      </c>
      <c r="J29" s="17">
        <v>46.306573322608713</v>
      </c>
      <c r="M29" s="17">
        <v>73.535757198296878</v>
      </c>
      <c r="N29" s="17">
        <v>2.0653523100660611</v>
      </c>
      <c r="O29" s="17">
        <v>2.1826772735903481</v>
      </c>
      <c r="P29" s="17">
        <v>2.131954212084493</v>
      </c>
      <c r="S29" s="5">
        <f t="shared" si="3"/>
        <v>53.919726489592009</v>
      </c>
      <c r="U29" s="5">
        <f t="shared" si="4"/>
        <v>45.778682625385891</v>
      </c>
      <c r="W29" s="5">
        <f t="shared" si="5"/>
        <v>28.004448452891054</v>
      </c>
      <c r="Y29">
        <f t="shared" si="12"/>
        <v>20</v>
      </c>
      <c r="Z29" s="3">
        <f t="shared" si="13"/>
        <v>514.26507833350854</v>
      </c>
      <c r="AA29" s="3">
        <f t="shared" si="14"/>
        <v>740.51360903811769</v>
      </c>
      <c r="AB29" s="3">
        <f t="shared" si="15"/>
        <v>966.65164216394578</v>
      </c>
      <c r="AC29" s="3">
        <f t="shared" si="16"/>
        <v>1322.0561150387837</v>
      </c>
      <c r="BC29" s="17">
        <f t="shared" si="17"/>
        <v>52.385460232411873</v>
      </c>
      <c r="BD29" s="3">
        <f t="shared" si="18"/>
        <v>514.26507833350854</v>
      </c>
      <c r="BF29" s="5">
        <f t="shared" si="6"/>
        <v>53.919726489592009</v>
      </c>
      <c r="BG29">
        <f t="shared" si="7"/>
        <v>740.51360903811769</v>
      </c>
      <c r="BI29" s="5">
        <f t="shared" si="8"/>
        <v>45.778682625385891</v>
      </c>
      <c r="BJ29">
        <f t="shared" si="9"/>
        <v>966.65164216394578</v>
      </c>
      <c r="BL29" s="5">
        <f t="shared" si="10"/>
        <v>28.004448452891054</v>
      </c>
      <c r="BM29">
        <f t="shared" si="11"/>
        <v>1322.0561150387837</v>
      </c>
    </row>
    <row r="30" spans="1:65" x14ac:dyDescent="0.25">
      <c r="A30">
        <v>21</v>
      </c>
      <c r="B30" s="17">
        <f t="shared" si="0"/>
        <v>52.916227320453132</v>
      </c>
      <c r="C30" s="17">
        <f t="shared" si="1"/>
        <v>58.075264953208944</v>
      </c>
      <c r="D30" s="17">
        <f t="shared" si="2"/>
        <v>52.073359853290079</v>
      </c>
      <c r="G30" s="1">
        <v>21</v>
      </c>
      <c r="H30" s="17">
        <v>45.345209335673097</v>
      </c>
      <c r="I30" s="17">
        <v>47.282293441714998</v>
      </c>
      <c r="J30" s="17">
        <v>46.323630932746667</v>
      </c>
      <c r="M30" s="17">
        <v>74.68848925336718</v>
      </c>
      <c r="N30" s="17">
        <v>2.1026641998118829</v>
      </c>
      <c r="O30" s="17">
        <v>2.2253081160805799</v>
      </c>
      <c r="P30" s="17">
        <v>2.1713669943855409</v>
      </c>
      <c r="S30" s="5">
        <f t="shared" si="3"/>
        <v>54.668998510378913</v>
      </c>
      <c r="U30" s="5">
        <f t="shared" si="4"/>
        <v>46.751321325280308</v>
      </c>
      <c r="W30" s="5">
        <f t="shared" si="5"/>
        <v>29.32868977285889</v>
      </c>
      <c r="Y30">
        <f t="shared" si="12"/>
        <v>21</v>
      </c>
      <c r="Z30" s="3">
        <f t="shared" si="13"/>
        <v>530.76708804125872</v>
      </c>
      <c r="AA30" s="3">
        <f t="shared" si="14"/>
        <v>749.27202078690414</v>
      </c>
      <c r="AB30" s="3">
        <f t="shared" si="15"/>
        <v>972.63869989441787</v>
      </c>
      <c r="AC30" s="3">
        <f t="shared" si="16"/>
        <v>1324.241319967836</v>
      </c>
      <c r="BC30" s="17">
        <f t="shared" si="17"/>
        <v>52.916227320453132</v>
      </c>
      <c r="BD30" s="3">
        <f t="shared" si="18"/>
        <v>530.76708804125872</v>
      </c>
      <c r="BF30" s="5">
        <f t="shared" si="6"/>
        <v>54.668998510378913</v>
      </c>
      <c r="BG30">
        <f t="shared" si="7"/>
        <v>749.27202078690414</v>
      </c>
      <c r="BI30" s="5">
        <f t="shared" si="8"/>
        <v>46.751321325280308</v>
      </c>
      <c r="BJ30">
        <f t="shared" si="9"/>
        <v>972.63869989441787</v>
      </c>
      <c r="BL30" s="5">
        <f t="shared" si="10"/>
        <v>29.32868977285889</v>
      </c>
      <c r="BM30">
        <f t="shared" si="11"/>
        <v>1324.241319967836</v>
      </c>
    </row>
    <row r="31" spans="1:65" x14ac:dyDescent="0.25">
      <c r="A31">
        <v>22</v>
      </c>
      <c r="B31" s="17">
        <f t="shared" si="0"/>
        <v>53.463347459370603</v>
      </c>
      <c r="C31" s="17">
        <f t="shared" si="1"/>
        <v>58.844032690088262</v>
      </c>
      <c r="D31" s="17">
        <f t="shared" si="2"/>
        <v>52.650665030652192</v>
      </c>
      <c r="G31" s="1">
        <v>22</v>
      </c>
      <c r="H31" s="17">
        <v>45.361560676849329</v>
      </c>
      <c r="I31" s="17">
        <v>47.301441759270197</v>
      </c>
      <c r="J31" s="17">
        <v>46.340941559080868</v>
      </c>
      <c r="M31" s="17">
        <v>75.841221308437497</v>
      </c>
      <c r="N31" s="17">
        <v>2.1400557394468551</v>
      </c>
      <c r="O31" s="17">
        <v>2.2679385164455499</v>
      </c>
      <c r="P31" s="17">
        <v>2.2106795432763682</v>
      </c>
      <c r="S31" s="5">
        <f t="shared" si="3"/>
        <v>55.426980706799782</v>
      </c>
      <c r="U31" s="5">
        <f t="shared" si="4"/>
        <v>47.729912963195893</v>
      </c>
      <c r="W31" s="5">
        <f t="shared" si="5"/>
        <v>30.655100143687072</v>
      </c>
      <c r="Y31">
        <f t="shared" si="12"/>
        <v>22</v>
      </c>
      <c r="Z31" s="3">
        <f t="shared" si="13"/>
        <v>547.12013891747097</v>
      </c>
      <c r="AA31" s="3">
        <f t="shared" si="14"/>
        <v>757.98219642086906</v>
      </c>
      <c r="AB31" s="3">
        <f t="shared" si="15"/>
        <v>978.59163791558501</v>
      </c>
      <c r="AC31" s="3">
        <f t="shared" si="16"/>
        <v>1326.4103708281816</v>
      </c>
      <c r="BC31" s="17">
        <f t="shared" si="17"/>
        <v>53.463347459370603</v>
      </c>
      <c r="BD31" s="3">
        <f t="shared" si="18"/>
        <v>547.12013891747097</v>
      </c>
      <c r="BF31" s="5">
        <f t="shared" si="6"/>
        <v>55.426980706799782</v>
      </c>
      <c r="BG31">
        <f t="shared" si="7"/>
        <v>757.98219642086906</v>
      </c>
      <c r="BI31" s="5">
        <f t="shared" si="8"/>
        <v>47.729912963195893</v>
      </c>
      <c r="BJ31">
        <f t="shared" si="9"/>
        <v>978.59163791558501</v>
      </c>
      <c r="BL31" s="5">
        <f t="shared" si="10"/>
        <v>30.655100143687072</v>
      </c>
      <c r="BM31">
        <f t="shared" si="11"/>
        <v>1326.4103708281816</v>
      </c>
    </row>
    <row r="32" spans="1:65" x14ac:dyDescent="0.25">
      <c r="A32">
        <v>23</v>
      </c>
      <c r="B32" s="17">
        <f t="shared" si="0"/>
        <v>54.026672224680134</v>
      </c>
      <c r="C32" s="17">
        <f t="shared" si="1"/>
        <v>59.630030720494361</v>
      </c>
      <c r="D32" s="17">
        <f t="shared" si="2"/>
        <v>53.244220762036917</v>
      </c>
      <c r="G32" s="1">
        <v>23</v>
      </c>
      <c r="H32" s="17">
        <v>45.377899850776572</v>
      </c>
      <c r="I32" s="17">
        <v>47.321386231157248</v>
      </c>
      <c r="J32" s="17">
        <v>46.358517250001583</v>
      </c>
      <c r="M32" s="17">
        <v>76.993953363507813</v>
      </c>
      <c r="N32" s="17">
        <v>2.177530721822841</v>
      </c>
      <c r="O32" s="17">
        <v>2.3105684536316762</v>
      </c>
      <c r="P32" s="17">
        <v>2.2498870857374391</v>
      </c>
      <c r="S32" s="5">
        <f t="shared" si="3"/>
        <v>56.193624842739794</v>
      </c>
      <c r="U32" s="5">
        <f t="shared" si="4"/>
        <v>48.714423419423362</v>
      </c>
      <c r="W32" s="5">
        <f t="shared" si="5"/>
        <v>31.983663411306907</v>
      </c>
      <c r="Y32">
        <f t="shared" si="12"/>
        <v>23</v>
      </c>
      <c r="Z32" s="3">
        <f t="shared" si="13"/>
        <v>563.32476530953102</v>
      </c>
      <c r="AA32" s="3">
        <f t="shared" si="14"/>
        <v>766.64413594001246</v>
      </c>
      <c r="AB32" s="3">
        <f t="shared" si="15"/>
        <v>984.51045622746847</v>
      </c>
      <c r="AC32" s="3">
        <f t="shared" si="16"/>
        <v>1328.5632676198347</v>
      </c>
      <c r="BC32" s="17">
        <f t="shared" si="17"/>
        <v>54.026672224680134</v>
      </c>
      <c r="BD32" s="3">
        <f t="shared" si="18"/>
        <v>563.32476530953102</v>
      </c>
      <c r="BF32" s="5">
        <f t="shared" si="6"/>
        <v>56.193624842739794</v>
      </c>
      <c r="BG32">
        <f t="shared" si="7"/>
        <v>766.64413594001246</v>
      </c>
      <c r="BI32" s="5">
        <f t="shared" si="8"/>
        <v>48.714423419423362</v>
      </c>
      <c r="BJ32">
        <f t="shared" si="9"/>
        <v>984.51045622746847</v>
      </c>
      <c r="BL32" s="5">
        <f t="shared" si="10"/>
        <v>31.983663411306907</v>
      </c>
      <c r="BM32">
        <f t="shared" si="11"/>
        <v>1328.5632676198347</v>
      </c>
    </row>
    <row r="33" spans="1:65" x14ac:dyDescent="0.25">
      <c r="A33">
        <v>24</v>
      </c>
      <c r="B33" s="17">
        <f t="shared" si="0"/>
        <v>54.606053726244994</v>
      </c>
      <c r="C33" s="17">
        <f t="shared" si="1"/>
        <v>60.433094295662748</v>
      </c>
      <c r="D33" s="17">
        <f t="shared" si="2"/>
        <v>53.853870187910331</v>
      </c>
      <c r="G33" s="1">
        <v>24</v>
      </c>
      <c r="H33" s="17">
        <v>45.394226304398053</v>
      </c>
      <c r="I33" s="17">
        <v>47.342163046209407</v>
      </c>
      <c r="J33" s="17">
        <v>46.376370053899109</v>
      </c>
      <c r="M33" s="17">
        <v>78.14668541857813</v>
      </c>
      <c r="N33" s="17">
        <v>2.215092939791703</v>
      </c>
      <c r="O33" s="17">
        <v>2.3531979065853741</v>
      </c>
      <c r="P33" s="17">
        <v>2.2889848487492199</v>
      </c>
      <c r="S33" s="5">
        <f t="shared" si="3"/>
        <v>56.968882682084107</v>
      </c>
      <c r="U33" s="5">
        <f t="shared" si="4"/>
        <v>49.70481857425343</v>
      </c>
      <c r="W33" s="5">
        <f t="shared" si="5"/>
        <v>33.314363421649702</v>
      </c>
      <c r="Y33">
        <f t="shared" si="12"/>
        <v>24</v>
      </c>
      <c r="Z33" s="3">
        <f t="shared" si="13"/>
        <v>579.3815015648604</v>
      </c>
      <c r="AA33" s="3">
        <f t="shared" si="14"/>
        <v>775.25783934431297</v>
      </c>
      <c r="AB33" s="3">
        <f t="shared" si="15"/>
        <v>990.39515483006824</v>
      </c>
      <c r="AC33" s="3">
        <f t="shared" si="16"/>
        <v>1330.7000103427954</v>
      </c>
      <c r="BC33" s="17">
        <f t="shared" si="17"/>
        <v>54.606053726244994</v>
      </c>
      <c r="BD33" s="3">
        <f t="shared" si="18"/>
        <v>579.3815015648604</v>
      </c>
      <c r="BF33" s="5">
        <f t="shared" si="6"/>
        <v>56.968882682084107</v>
      </c>
      <c r="BG33">
        <f t="shared" si="7"/>
        <v>775.25783934431297</v>
      </c>
      <c r="BI33" s="5">
        <f t="shared" si="8"/>
        <v>49.70481857425343</v>
      </c>
      <c r="BJ33">
        <f t="shared" si="9"/>
        <v>990.39515483006824</v>
      </c>
      <c r="BL33" s="5">
        <f t="shared" si="10"/>
        <v>33.314363421649702</v>
      </c>
      <c r="BM33">
        <f t="shared" si="11"/>
        <v>1330.7000103427954</v>
      </c>
    </row>
    <row r="34" spans="1:65" x14ac:dyDescent="0.25">
      <c r="A34">
        <v>25</v>
      </c>
      <c r="B34" s="17">
        <f t="shared" si="0"/>
        <v>55.201344608275896</v>
      </c>
      <c r="C34" s="17">
        <f t="shared" si="1"/>
        <v>61.253059287765559</v>
      </c>
      <c r="D34" s="17">
        <f t="shared" si="2"/>
        <v>54.479457033759132</v>
      </c>
      <c r="G34" s="1">
        <v>25</v>
      </c>
      <c r="H34" s="17">
        <v>45.410539484657008</v>
      </c>
      <c r="I34" s="17">
        <v>47.363808393259973</v>
      </c>
      <c r="J34" s="17">
        <v>46.394512019163749</v>
      </c>
      <c r="M34" s="17">
        <v>79.299417473648447</v>
      </c>
      <c r="N34" s="17">
        <v>2.2527461862053091</v>
      </c>
      <c r="O34" s="17">
        <v>2.3958268542530572</v>
      </c>
      <c r="P34" s="17">
        <v>2.327968059292179</v>
      </c>
      <c r="S34" s="5">
        <f t="shared" si="3"/>
        <v>57.752705988717892</v>
      </c>
      <c r="U34" s="5">
        <f t="shared" si="4"/>
        <v>50.701064307976807</v>
      </c>
      <c r="W34" s="5">
        <f t="shared" si="5"/>
        <v>34.647184020646762</v>
      </c>
      <c r="Y34">
        <f t="shared" si="12"/>
        <v>25</v>
      </c>
      <c r="Z34" s="3">
        <f t="shared" si="13"/>
        <v>595.29088203090191</v>
      </c>
      <c r="AA34" s="3">
        <f t="shared" si="14"/>
        <v>783.82330663378502</v>
      </c>
      <c r="AB34" s="3">
        <f t="shared" si="15"/>
        <v>996.24573372337727</v>
      </c>
      <c r="AC34" s="3">
        <f t="shared" si="16"/>
        <v>1332.8205989970597</v>
      </c>
      <c r="BC34" s="17">
        <f t="shared" si="17"/>
        <v>55.201344608275896</v>
      </c>
      <c r="BD34" s="3">
        <f t="shared" si="18"/>
        <v>595.29088203090191</v>
      </c>
      <c r="BF34" s="5">
        <f t="shared" si="6"/>
        <v>57.752705988717892</v>
      </c>
      <c r="BG34">
        <f t="shared" si="7"/>
        <v>783.82330663378502</v>
      </c>
      <c r="BI34" s="5">
        <f t="shared" si="8"/>
        <v>50.701064307976807</v>
      </c>
      <c r="BJ34">
        <f t="shared" si="9"/>
        <v>996.24573372337727</v>
      </c>
      <c r="BL34" s="5">
        <f t="shared" si="10"/>
        <v>34.647184020646762</v>
      </c>
      <c r="BM34">
        <f t="shared" si="11"/>
        <v>1332.8205989970597</v>
      </c>
    </row>
    <row r="35" spans="1:65" x14ac:dyDescent="0.25">
      <c r="A35">
        <v>26</v>
      </c>
      <c r="B35" s="17">
        <f t="shared" si="0"/>
        <v>55.812398049330952</v>
      </c>
      <c r="C35" s="17">
        <f t="shared" si="1"/>
        <v>62.089762189911518</v>
      </c>
      <c r="D35" s="17">
        <f t="shared" si="2"/>
        <v>55.120825610090627</v>
      </c>
      <c r="G35" s="1">
        <v>26</v>
      </c>
      <c r="H35" s="17">
        <v>45.426838838496657</v>
      </c>
      <c r="I35" s="17">
        <v>47.386358461142187</v>
      </c>
      <c r="J35" s="17">
        <v>46.412955194185798</v>
      </c>
      <c r="M35" s="17">
        <v>80.452149528718749</v>
      </c>
      <c r="N35" s="17">
        <v>2.29049425391552</v>
      </c>
      <c r="O35" s="17">
        <v>2.4384552755811439</v>
      </c>
      <c r="P35" s="17">
        <v>2.3668319443467789</v>
      </c>
      <c r="S35" s="5">
        <f t="shared" si="3"/>
        <v>58.54504652652632</v>
      </c>
      <c r="U35" s="5">
        <f t="shared" si="4"/>
        <v>51.703126500884196</v>
      </c>
      <c r="W35" s="5">
        <f t="shared" si="5"/>
        <v>35.98210905422939</v>
      </c>
      <c r="Y35">
        <f t="shared" si="12"/>
        <v>26</v>
      </c>
      <c r="Z35" s="3">
        <f t="shared" si="13"/>
        <v>611.0534410550556</v>
      </c>
      <c r="AA35" s="3">
        <f t="shared" si="14"/>
        <v>792.34053780842828</v>
      </c>
      <c r="AB35" s="3">
        <f t="shared" si="15"/>
        <v>1002.0621929073883</v>
      </c>
      <c r="AC35" s="3">
        <f t="shared" si="16"/>
        <v>1334.9250335826284</v>
      </c>
      <c r="BC35" s="17">
        <f t="shared" si="17"/>
        <v>55.812398049330952</v>
      </c>
      <c r="BD35" s="3">
        <f t="shared" si="18"/>
        <v>611.0534410550556</v>
      </c>
      <c r="BF35" s="5">
        <f t="shared" si="6"/>
        <v>58.54504652652632</v>
      </c>
      <c r="BG35">
        <f t="shared" si="7"/>
        <v>792.34053780842828</v>
      </c>
      <c r="BI35" s="5">
        <f t="shared" si="8"/>
        <v>51.703126500884196</v>
      </c>
      <c r="BJ35">
        <f t="shared" si="9"/>
        <v>1002.0621929073883</v>
      </c>
      <c r="BL35" s="5">
        <f t="shared" si="10"/>
        <v>35.98210905422939</v>
      </c>
      <c r="BM35">
        <f t="shared" si="11"/>
        <v>1334.9250335826284</v>
      </c>
    </row>
    <row r="36" spans="1:65" x14ac:dyDescent="0.25">
      <c r="A36">
        <v>27</v>
      </c>
      <c r="B36" s="17">
        <f t="shared" si="0"/>
        <v>56.439067762315716</v>
      </c>
      <c r="C36" s="17">
        <f t="shared" si="1"/>
        <v>62.943040116145973</v>
      </c>
      <c r="D36" s="17">
        <f t="shared" si="2"/>
        <v>55.777820812432729</v>
      </c>
      <c r="G36" s="1">
        <v>27</v>
      </c>
      <c r="H36" s="17">
        <v>45.443123812860229</v>
      </c>
      <c r="I36" s="17">
        <v>47.409849438689307</v>
      </c>
      <c r="J36" s="17">
        <v>46.431711627355547</v>
      </c>
      <c r="M36" s="17">
        <v>81.604881583789066</v>
      </c>
      <c r="N36" s="17">
        <v>2.328340935774202</v>
      </c>
      <c r="O36" s="17">
        <v>2.4810831495160501</v>
      </c>
      <c r="P36" s="17">
        <v>2.405571730893485</v>
      </c>
      <c r="S36" s="5">
        <f t="shared" si="3"/>
        <v>59.345856059394542</v>
      </c>
      <c r="U36" s="5">
        <f t="shared" si="4"/>
        <v>52.710971033266304</v>
      </c>
      <c r="W36" s="5">
        <f t="shared" si="5"/>
        <v>37.319122368328891</v>
      </c>
      <c r="Y36">
        <f t="shared" si="12"/>
        <v>27</v>
      </c>
      <c r="Z36" s="3">
        <f t="shared" si="13"/>
        <v>626.66971298476426</v>
      </c>
      <c r="AA36" s="3">
        <f t="shared" si="14"/>
        <v>800.80953286822159</v>
      </c>
      <c r="AB36" s="3">
        <f t="shared" si="15"/>
        <v>1007.8445323821086</v>
      </c>
      <c r="AC36" s="3">
        <f t="shared" si="16"/>
        <v>1337.0133140995008</v>
      </c>
      <c r="BC36" s="17">
        <f t="shared" si="17"/>
        <v>56.439067762315716</v>
      </c>
      <c r="BD36" s="3">
        <f t="shared" si="18"/>
        <v>626.66971298476426</v>
      </c>
      <c r="BF36" s="5">
        <f t="shared" si="6"/>
        <v>59.345856059394542</v>
      </c>
      <c r="BG36">
        <f t="shared" si="7"/>
        <v>800.80953286822159</v>
      </c>
      <c r="BI36" s="5">
        <f t="shared" si="8"/>
        <v>52.710971033266304</v>
      </c>
      <c r="BJ36">
        <f t="shared" si="9"/>
        <v>1007.8445323821086</v>
      </c>
      <c r="BL36" s="5">
        <f t="shared" si="10"/>
        <v>37.319122368328891</v>
      </c>
      <c r="BM36">
        <f t="shared" si="11"/>
        <v>1337.0133140995008</v>
      </c>
    </row>
    <row r="37" spans="1:65" x14ac:dyDescent="0.25">
      <c r="A37">
        <v>28</v>
      </c>
      <c r="B37" s="17">
        <f t="shared" si="0"/>
        <v>57.081207994483108</v>
      </c>
      <c r="C37" s="17">
        <f t="shared" si="1"/>
        <v>63.812730801450876</v>
      </c>
      <c r="D37" s="17">
        <f t="shared" si="2"/>
        <v>56.450288121333941</v>
      </c>
      <c r="G37" s="1">
        <v>28</v>
      </c>
      <c r="H37" s="17">
        <v>45.459393854690958</v>
      </c>
      <c r="I37" s="17">
        <v>47.43431751473463</v>
      </c>
      <c r="J37" s="17">
        <v>46.450793367063312</v>
      </c>
      <c r="M37" s="17">
        <v>82.757613638859368</v>
      </c>
      <c r="N37" s="17">
        <v>2.3662900246332179</v>
      </c>
      <c r="O37" s="17">
        <v>2.5237104550041929</v>
      </c>
      <c r="P37" s="17">
        <v>2.4441826459127651</v>
      </c>
      <c r="S37" s="5">
        <f t="shared" si="3"/>
        <v>60.155086351207743</v>
      </c>
      <c r="U37" s="5">
        <f t="shared" si="4"/>
        <v>53.724563785413835</v>
      </c>
      <c r="W37" s="5">
        <f t="shared" si="5"/>
        <v>38.658207808876561</v>
      </c>
      <c r="Y37">
        <f t="shared" si="12"/>
        <v>28</v>
      </c>
      <c r="Z37" s="3">
        <f t="shared" si="13"/>
        <v>642.14023216739236</v>
      </c>
      <c r="AA37" s="3">
        <f t="shared" si="14"/>
        <v>809.23029181320067</v>
      </c>
      <c r="AB37" s="3">
        <f t="shared" si="15"/>
        <v>1013.592752147531</v>
      </c>
      <c r="AC37" s="3">
        <f t="shared" si="16"/>
        <v>1339.0854405476703</v>
      </c>
      <c r="BC37" s="17">
        <f t="shared" si="17"/>
        <v>57.081207994483108</v>
      </c>
      <c r="BD37" s="3">
        <f t="shared" si="18"/>
        <v>642.14023216739236</v>
      </c>
      <c r="BF37" s="5">
        <f t="shared" si="6"/>
        <v>60.155086351207743</v>
      </c>
      <c r="BG37">
        <f t="shared" si="7"/>
        <v>809.23029181320067</v>
      </c>
      <c r="BI37" s="5">
        <f t="shared" si="8"/>
        <v>53.724563785413835</v>
      </c>
      <c r="BJ37">
        <f t="shared" si="9"/>
        <v>1013.592752147531</v>
      </c>
      <c r="BL37" s="5">
        <f t="shared" si="10"/>
        <v>38.658207808876561</v>
      </c>
      <c r="BM37">
        <f t="shared" si="11"/>
        <v>1339.0854405476703</v>
      </c>
    </row>
    <row r="38" spans="1:65" x14ac:dyDescent="0.25">
      <c r="A38">
        <v>29</v>
      </c>
      <c r="B38" s="17">
        <f t="shared" si="0"/>
        <v>57.738673527433548</v>
      </c>
      <c r="C38" s="17">
        <f t="shared" si="1"/>
        <v>64.698672601744804</v>
      </c>
      <c r="D38" s="17">
        <f t="shared" si="2"/>
        <v>57.138073602363377</v>
      </c>
      <c r="G38" s="1">
        <v>29</v>
      </c>
      <c r="H38" s="17">
        <v>45.475648410932067</v>
      </c>
      <c r="I38" s="17">
        <v>47.4597988781114</v>
      </c>
      <c r="J38" s="17">
        <v>46.470212461699369</v>
      </c>
      <c r="M38" s="17">
        <v>83.910345693929685</v>
      </c>
      <c r="N38" s="17">
        <v>2.4043453133444328</v>
      </c>
      <c r="O38" s="17">
        <v>2.5663371709919871</v>
      </c>
      <c r="P38" s="17">
        <v>2.4826599163850829</v>
      </c>
      <c r="S38" s="5">
        <f t="shared" si="3"/>
        <v>60.972689165851087</v>
      </c>
      <c r="U38" s="5">
        <f t="shared" si="4"/>
        <v>54.743870637617512</v>
      </c>
      <c r="W38" s="5">
        <f t="shared" si="5"/>
        <v>39.999349221803726</v>
      </c>
      <c r="Y38">
        <f t="shared" si="12"/>
        <v>29</v>
      </c>
      <c r="Z38" s="3">
        <f t="shared" si="13"/>
        <v>657.46553295043952</v>
      </c>
      <c r="AA38" s="3">
        <f t="shared" si="14"/>
        <v>817.60281464334389</v>
      </c>
      <c r="AB38" s="3">
        <f t="shared" si="15"/>
        <v>1019.3068522036767</v>
      </c>
      <c r="AC38" s="3">
        <f t="shared" si="16"/>
        <v>1341.1414129271648</v>
      </c>
      <c r="BC38" s="17">
        <f t="shared" si="17"/>
        <v>57.738673527433548</v>
      </c>
      <c r="BD38" s="3">
        <f t="shared" si="18"/>
        <v>657.46553295043952</v>
      </c>
      <c r="BF38" s="5">
        <f t="shared" si="6"/>
        <v>60.972689165851087</v>
      </c>
      <c r="BG38">
        <f t="shared" si="7"/>
        <v>817.60281464334389</v>
      </c>
      <c r="BI38" s="5">
        <f t="shared" si="8"/>
        <v>54.743870637617512</v>
      </c>
      <c r="BJ38">
        <f t="shared" si="9"/>
        <v>1019.3068522036767</v>
      </c>
      <c r="BL38" s="5">
        <f t="shared" si="10"/>
        <v>39.999349221803726</v>
      </c>
      <c r="BM38">
        <f t="shared" si="11"/>
        <v>1341.1414129271648</v>
      </c>
    </row>
    <row r="39" spans="1:65" x14ac:dyDescent="0.25">
      <c r="A39">
        <v>30</v>
      </c>
      <c r="B39" s="17">
        <f t="shared" si="0"/>
        <v>58.411319677114818</v>
      </c>
      <c r="C39" s="17">
        <f t="shared" si="1"/>
        <v>65.600704493882944</v>
      </c>
      <c r="D39" s="17">
        <f t="shared" si="2"/>
        <v>57.841023906110756</v>
      </c>
      <c r="G39" s="1">
        <v>30</v>
      </c>
      <c r="H39" s="17">
        <v>45.491886928526789</v>
      </c>
      <c r="I39" s="17">
        <v>47.486329717652879</v>
      </c>
      <c r="J39" s="17">
        <v>46.489980959654027</v>
      </c>
      <c r="M39" s="17">
        <v>85.063077749000001</v>
      </c>
      <c r="N39" s="17">
        <v>2.4425105947597121</v>
      </c>
      <c r="O39" s="17">
        <v>2.6089632764258481</v>
      </c>
      <c r="P39" s="17">
        <v>2.5209987692909062</v>
      </c>
      <c r="S39" s="5">
        <f t="shared" si="3"/>
        <v>61.798616267209738</v>
      </c>
      <c r="U39" s="5">
        <f t="shared" si="4"/>
        <v>55.768857470168051</v>
      </c>
      <c r="W39" s="5">
        <f t="shared" si="5"/>
        <v>41.342530453041661</v>
      </c>
      <c r="Y39">
        <f t="shared" si="12"/>
        <v>30</v>
      </c>
      <c r="Z39" s="3">
        <f t="shared" si="13"/>
        <v>672.64614968127034</v>
      </c>
      <c r="AA39" s="3">
        <f t="shared" si="14"/>
        <v>825.92710135865127</v>
      </c>
      <c r="AB39" s="3">
        <f t="shared" si="15"/>
        <v>1024.986832550539</v>
      </c>
      <c r="AC39" s="3">
        <f t="shared" si="16"/>
        <v>1343.181231237935</v>
      </c>
      <c r="BC39" s="17">
        <f t="shared" si="17"/>
        <v>58.411319677114818</v>
      </c>
      <c r="BD39" s="3">
        <f t="shared" si="18"/>
        <v>672.64614968127034</v>
      </c>
      <c r="BF39" s="5">
        <f t="shared" si="6"/>
        <v>61.798616267209738</v>
      </c>
      <c r="BG39">
        <f t="shared" si="7"/>
        <v>825.92710135865127</v>
      </c>
      <c r="BI39" s="5">
        <f t="shared" si="8"/>
        <v>55.768857470168051</v>
      </c>
      <c r="BJ39">
        <f t="shared" si="9"/>
        <v>1024.986832550539</v>
      </c>
      <c r="BL39" s="5">
        <f t="shared" si="10"/>
        <v>41.342530453041661</v>
      </c>
      <c r="BM39">
        <f t="shared" si="11"/>
        <v>1343.181231237935</v>
      </c>
    </row>
    <row r="40" spans="1:65" x14ac:dyDescent="0.25">
      <c r="A40">
        <v>31</v>
      </c>
      <c r="B40" s="17">
        <f t="shared" si="0"/>
        <v>59.09900229382216</v>
      </c>
      <c r="C40" s="17">
        <f t="shared" si="1"/>
        <v>66.518666075657094</v>
      </c>
      <c r="D40" s="17">
        <f t="shared" si="2"/>
        <v>58.558986268186416</v>
      </c>
      <c r="G40" s="1">
        <v>31</v>
      </c>
      <c r="H40" s="17">
        <v>45.508108923548882</v>
      </c>
      <c r="I40" s="17">
        <v>47.513944341985599</v>
      </c>
      <c r="J40" s="17">
        <v>46.510110284402082</v>
      </c>
      <c r="M40" s="17">
        <v>86.215809804070318</v>
      </c>
      <c r="N40" s="17">
        <v>2.4807896617309182</v>
      </c>
      <c r="O40" s="17">
        <v>2.651588750252194</v>
      </c>
      <c r="P40" s="17">
        <v>2.5591944316106989</v>
      </c>
      <c r="S40" s="5">
        <f t="shared" si="3"/>
        <v>62.632819419168861</v>
      </c>
      <c r="U40" s="5">
        <f t="shared" si="4"/>
        <v>56.799490163356147</v>
      </c>
      <c r="W40" s="5">
        <f t="shared" si="5"/>
        <v>42.687735348521684</v>
      </c>
      <c r="Y40">
        <f t="shared" si="12"/>
        <v>31</v>
      </c>
      <c r="Z40" s="3">
        <f t="shared" si="13"/>
        <v>687.68261670734182</v>
      </c>
      <c r="AA40" s="3">
        <f t="shared" si="14"/>
        <v>834.20315195912303</v>
      </c>
      <c r="AB40" s="3">
        <f t="shared" si="15"/>
        <v>1030.632693188096</v>
      </c>
      <c r="AC40" s="3">
        <f t="shared" si="16"/>
        <v>1345.2048954800234</v>
      </c>
      <c r="BC40" s="17">
        <f t="shared" si="17"/>
        <v>59.09900229382216</v>
      </c>
      <c r="BD40" s="3">
        <f t="shared" si="18"/>
        <v>687.68261670734182</v>
      </c>
      <c r="BF40" s="5">
        <f t="shared" si="6"/>
        <v>62.632819419168861</v>
      </c>
      <c r="BG40">
        <f t="shared" si="7"/>
        <v>834.20315195912303</v>
      </c>
      <c r="BI40" s="5">
        <f t="shared" si="8"/>
        <v>56.799490163356147</v>
      </c>
      <c r="BJ40">
        <f t="shared" si="9"/>
        <v>1030.632693188096</v>
      </c>
      <c r="BL40" s="5">
        <f t="shared" si="10"/>
        <v>42.687735348521684</v>
      </c>
      <c r="BM40">
        <f t="shared" si="11"/>
        <v>1345.2048954800234</v>
      </c>
    </row>
    <row r="41" spans="1:65" x14ac:dyDescent="0.25">
      <c r="A41">
        <v>32</v>
      </c>
      <c r="B41" s="17">
        <f t="shared" si="0"/>
        <v>59.801577762198185</v>
      </c>
      <c r="C41" s="17">
        <f t="shared" si="1"/>
        <v>67.452397565795678</v>
      </c>
      <c r="D41" s="17">
        <f t="shared" si="2"/>
        <v>59.291808509221269</v>
      </c>
      <c r="G41" s="1">
        <v>32</v>
      </c>
      <c r="H41" s="17">
        <v>45.524315502114909</v>
      </c>
      <c r="I41" s="17">
        <v>47.542633814868033</v>
      </c>
      <c r="J41" s="17">
        <v>46.530597486303023</v>
      </c>
      <c r="M41" s="17">
        <v>87.368541859140635</v>
      </c>
      <c r="N41" s="17">
        <v>2.5191863071099161</v>
      </c>
      <c r="O41" s="17">
        <v>2.6942135714174391</v>
      </c>
      <c r="P41" s="17">
        <v>2.5972421303249269</v>
      </c>
      <c r="S41" s="5">
        <f t="shared" si="3"/>
        <v>63.475250385613627</v>
      </c>
      <c r="U41" s="5">
        <f t="shared" si="4"/>
        <v>57.835734597472516</v>
      </c>
      <c r="W41" s="5">
        <f t="shared" si="5"/>
        <v>44.0349477541751</v>
      </c>
      <c r="Y41">
        <f t="shared" si="12"/>
        <v>32</v>
      </c>
      <c r="Z41" s="3">
        <f t="shared" si="13"/>
        <v>702.57546837602547</v>
      </c>
      <c r="AA41" s="3">
        <f t="shared" si="14"/>
        <v>842.43096644476623</v>
      </c>
      <c r="AB41" s="3">
        <f t="shared" si="15"/>
        <v>1036.2444341163696</v>
      </c>
      <c r="AC41" s="3">
        <f t="shared" si="16"/>
        <v>1347.2124056534155</v>
      </c>
      <c r="BC41" s="17">
        <f t="shared" si="17"/>
        <v>59.801577762198185</v>
      </c>
      <c r="BD41" s="3">
        <f t="shared" si="18"/>
        <v>702.57546837602547</v>
      </c>
      <c r="BF41" s="5">
        <f t="shared" si="6"/>
        <v>63.475250385613627</v>
      </c>
      <c r="BG41">
        <f t="shared" si="7"/>
        <v>842.43096644476623</v>
      </c>
      <c r="BI41" s="5">
        <f t="shared" si="8"/>
        <v>57.835734597472516</v>
      </c>
      <c r="BJ41">
        <f t="shared" si="9"/>
        <v>1036.2444341163696</v>
      </c>
      <c r="BL41" s="5">
        <f t="shared" si="10"/>
        <v>44.0349477541751</v>
      </c>
      <c r="BM41">
        <f t="shared" si="11"/>
        <v>1347.2124056534155</v>
      </c>
    </row>
    <row r="42" spans="1:65" x14ac:dyDescent="0.25">
      <c r="A42">
        <v>33</v>
      </c>
      <c r="B42" s="17">
        <f t="shared" si="0"/>
        <v>60.518903001232971</v>
      </c>
      <c r="C42" s="17">
        <f t="shared" si="1"/>
        <v>68.401739803963693</v>
      </c>
      <c r="D42" s="17">
        <f t="shared" si="2"/>
        <v>60.039339034866856</v>
      </c>
      <c r="G42" s="1">
        <v>33</v>
      </c>
      <c r="H42" s="17">
        <v>45.540509360375182</v>
      </c>
      <c r="I42" s="17">
        <v>47.572345955215859</v>
      </c>
      <c r="J42" s="17">
        <v>46.551425242614187</v>
      </c>
      <c r="M42" s="17">
        <v>88.521273914210937</v>
      </c>
      <c r="N42" s="17">
        <v>2.557704323748569</v>
      </c>
      <c r="O42" s="17">
        <v>2.7368377188680011</v>
      </c>
      <c r="P42" s="17">
        <v>2.635137092414058</v>
      </c>
      <c r="S42" s="5">
        <f t="shared" si="3"/>
        <v>64.325860930429201</v>
      </c>
      <c r="U42" s="5">
        <f t="shared" si="4"/>
        <v>58.877556652807861</v>
      </c>
      <c r="W42" s="5">
        <f t="shared" si="5"/>
        <v>45.384151515933212</v>
      </c>
      <c r="Y42">
        <f t="shared" si="12"/>
        <v>33</v>
      </c>
      <c r="Z42" s="3">
        <f t="shared" si="13"/>
        <v>717.32523903478545</v>
      </c>
      <c r="AA42" s="3">
        <f t="shared" si="14"/>
        <v>850.61054481557358</v>
      </c>
      <c r="AB42" s="3">
        <f t="shared" si="15"/>
        <v>1041.8220553353449</v>
      </c>
      <c r="AC42" s="3">
        <f t="shared" si="16"/>
        <v>1349.2037617581118</v>
      </c>
      <c r="BC42" s="17">
        <f t="shared" si="17"/>
        <v>60.518903001232971</v>
      </c>
      <c r="BD42" s="3">
        <f t="shared" si="18"/>
        <v>717.32523903478545</v>
      </c>
      <c r="BF42" s="5">
        <f t="shared" si="6"/>
        <v>64.325860930429201</v>
      </c>
      <c r="BG42">
        <f t="shared" si="7"/>
        <v>850.61054481557358</v>
      </c>
      <c r="BI42" s="5">
        <f t="shared" si="8"/>
        <v>58.877556652807861</v>
      </c>
      <c r="BJ42">
        <f t="shared" si="9"/>
        <v>1041.8220553353449</v>
      </c>
      <c r="BL42" s="5">
        <f t="shared" si="10"/>
        <v>45.384151515933212</v>
      </c>
      <c r="BM42">
        <f t="shared" si="11"/>
        <v>1349.2037617581118</v>
      </c>
    </row>
    <row r="43" spans="1:65" x14ac:dyDescent="0.25">
      <c r="A43">
        <v>34</v>
      </c>
      <c r="B43" s="17">
        <f t="shared" si="0"/>
        <v>61.250835464263993</v>
      </c>
      <c r="C43" s="17">
        <f t="shared" si="1"/>
        <v>69.366534250762825</v>
      </c>
      <c r="D43" s="17">
        <f t="shared" si="2"/>
        <v>60.801426835795304</v>
      </c>
      <c r="G43" s="1">
        <v>34</v>
      </c>
      <c r="H43" s="17">
        <v>45.556693263613553</v>
      </c>
      <c r="I43" s="17">
        <v>47.603026701729597</v>
      </c>
      <c r="J43" s="17">
        <v>46.57257560567308</v>
      </c>
      <c r="M43" s="17">
        <v>89.674005969281254</v>
      </c>
      <c r="N43" s="17">
        <v>2.596347504498743</v>
      </c>
      <c r="O43" s="17">
        <v>2.7794611715502948</v>
      </c>
      <c r="P43" s="17">
        <v>2.672874544858554</v>
      </c>
      <c r="S43" s="5">
        <f t="shared" si="3"/>
        <v>65.184602817500746</v>
      </c>
      <c r="U43" s="5">
        <f t="shared" si="4"/>
        <v>59.924922209652891</v>
      </c>
      <c r="W43" s="5">
        <f t="shared" si="5"/>
        <v>46.735330479727324</v>
      </c>
      <c r="Y43">
        <f t="shared" si="12"/>
        <v>34</v>
      </c>
      <c r="Z43" s="3">
        <f t="shared" si="13"/>
        <v>731.93246303102205</v>
      </c>
      <c r="AA43" s="3">
        <f t="shared" si="14"/>
        <v>858.74188707154531</v>
      </c>
      <c r="AB43" s="3">
        <f t="shared" si="15"/>
        <v>1047.3655568450297</v>
      </c>
      <c r="AC43" s="3">
        <f t="shared" si="16"/>
        <v>1351.178963794112</v>
      </c>
      <c r="BC43" s="17">
        <f t="shared" si="17"/>
        <v>61.250835464263993</v>
      </c>
      <c r="BD43" s="3">
        <f t="shared" si="18"/>
        <v>731.93246303102205</v>
      </c>
      <c r="BF43" s="5">
        <f t="shared" si="6"/>
        <v>65.184602817500746</v>
      </c>
      <c r="BG43">
        <f t="shared" si="7"/>
        <v>858.74188707154531</v>
      </c>
      <c r="BI43" s="5">
        <f t="shared" si="8"/>
        <v>59.924922209652891</v>
      </c>
      <c r="BJ43">
        <f t="shared" si="9"/>
        <v>1047.3655568450297</v>
      </c>
      <c r="BL43" s="5">
        <f t="shared" si="10"/>
        <v>46.735330479727324</v>
      </c>
      <c r="BM43">
        <f t="shared" si="11"/>
        <v>1351.178963794112</v>
      </c>
    </row>
    <row r="44" spans="1:65" x14ac:dyDescent="0.25">
      <c r="A44">
        <v>35</v>
      </c>
      <c r="B44" s="17">
        <f t="shared" si="0"/>
        <v>61.997233138976156</v>
      </c>
      <c r="C44" s="17">
        <f t="shared" si="1"/>
        <v>70.34662298773128</v>
      </c>
      <c r="D44" s="17">
        <f t="shared" si="2"/>
        <v>61.577921487699385</v>
      </c>
      <c r="G44" s="1">
        <v>35</v>
      </c>
      <c r="H44" s="17">
        <v>45.572869977113882</v>
      </c>
      <c r="I44" s="17">
        <v>47.634621993109768</v>
      </c>
      <c r="J44" s="17">
        <v>46.594030627817141</v>
      </c>
      <c r="M44" s="17">
        <v>90.826738024351556</v>
      </c>
      <c r="N44" s="17">
        <v>2.6351196422123011</v>
      </c>
      <c r="O44" s="17">
        <v>2.822083908410737</v>
      </c>
      <c r="P44" s="17">
        <v>2.7104497146388842</v>
      </c>
      <c r="S44" s="5">
        <f t="shared" si="3"/>
        <v>66.051427810713449</v>
      </c>
      <c r="U44" s="5">
        <f t="shared" si="4"/>
        <v>60.977797148298322</v>
      </c>
      <c r="W44" s="5">
        <f t="shared" si="5"/>
        <v>48.08846849148874</v>
      </c>
      <c r="Y44">
        <f t="shared" si="12"/>
        <v>35</v>
      </c>
      <c r="Z44" s="3">
        <f t="shared" si="13"/>
        <v>746.39767471216351</v>
      </c>
      <c r="AA44" s="3">
        <f t="shared" si="14"/>
        <v>866.82499321270257</v>
      </c>
      <c r="AB44" s="3">
        <f t="shared" si="15"/>
        <v>1052.8749386454308</v>
      </c>
      <c r="AC44" s="3">
        <f t="shared" si="16"/>
        <v>1353.1380117614162</v>
      </c>
      <c r="BC44" s="17">
        <f t="shared" si="17"/>
        <v>61.997233138976156</v>
      </c>
      <c r="BD44" s="3">
        <f t="shared" si="18"/>
        <v>746.39767471216351</v>
      </c>
      <c r="BF44" s="5">
        <f t="shared" si="6"/>
        <v>66.051427810713449</v>
      </c>
      <c r="BG44">
        <f t="shared" si="7"/>
        <v>866.82499321270257</v>
      </c>
      <c r="BI44" s="5">
        <f t="shared" si="8"/>
        <v>60.977797148298322</v>
      </c>
      <c r="BJ44">
        <f t="shared" si="9"/>
        <v>1052.8749386454308</v>
      </c>
      <c r="BL44" s="5">
        <f t="shared" si="10"/>
        <v>48.08846849148874</v>
      </c>
      <c r="BM44">
        <f t="shared" si="11"/>
        <v>1353.1380117614162</v>
      </c>
    </row>
    <row r="45" spans="1:65" x14ac:dyDescent="0.25">
      <c r="A45">
        <v>36</v>
      </c>
      <c r="B45" s="17">
        <f t="shared" si="0"/>
        <v>62.757954547401788</v>
      </c>
      <c r="C45" s="17">
        <f t="shared" si="1"/>
        <v>71.341848717343964</v>
      </c>
      <c r="D45" s="17">
        <f t="shared" si="2"/>
        <v>62.368673151292406</v>
      </c>
      <c r="G45" s="1">
        <v>36</v>
      </c>
      <c r="H45" s="17">
        <v>45.589042266160043</v>
      </c>
      <c r="I45" s="17">
        <v>47.667077768056892</v>
      </c>
      <c r="J45" s="17">
        <v>46.615772361383847</v>
      </c>
      <c r="M45" s="17">
        <v>91.979470079421873</v>
      </c>
      <c r="N45" s="17">
        <v>2.6740241737519801</v>
      </c>
      <c r="O45" s="17">
        <v>2.8647059083957438</v>
      </c>
      <c r="P45" s="17">
        <v>2.747857828735512</v>
      </c>
      <c r="S45" s="5">
        <f t="shared" si="3"/>
        <v>66.926287673952459</v>
      </c>
      <c r="U45" s="5">
        <f t="shared" si="4"/>
        <v>62.036147349034856</v>
      </c>
      <c r="W45" s="5">
        <f t="shared" si="5"/>
        <v>49.443549397148772</v>
      </c>
      <c r="Y45">
        <f t="shared" si="12"/>
        <v>36</v>
      </c>
      <c r="Z45" s="3">
        <f t="shared" si="13"/>
        <v>760.72140842563135</v>
      </c>
      <c r="AA45" s="3">
        <f t="shared" si="14"/>
        <v>874.85986323900988</v>
      </c>
      <c r="AB45" s="3">
        <f t="shared" si="15"/>
        <v>1058.3502007365339</v>
      </c>
      <c r="AC45" s="3">
        <f t="shared" si="16"/>
        <v>1355.0809056600315</v>
      </c>
      <c r="BC45" s="17">
        <f t="shared" si="17"/>
        <v>62.757954547401788</v>
      </c>
      <c r="BD45" s="3">
        <f t="shared" si="18"/>
        <v>760.72140842563135</v>
      </c>
      <c r="BF45" s="5">
        <f t="shared" si="6"/>
        <v>66.926287673952459</v>
      </c>
      <c r="BG45">
        <f t="shared" si="7"/>
        <v>874.85986323900988</v>
      </c>
      <c r="BI45" s="5">
        <f t="shared" si="8"/>
        <v>62.036147349034856</v>
      </c>
      <c r="BJ45">
        <f t="shared" si="9"/>
        <v>1058.3502007365339</v>
      </c>
      <c r="BL45" s="5">
        <f t="shared" si="10"/>
        <v>49.443549397148772</v>
      </c>
      <c r="BM45">
        <f t="shared" si="11"/>
        <v>1355.0809056600315</v>
      </c>
    </row>
    <row r="46" spans="1:65" x14ac:dyDescent="0.25">
      <c r="A46">
        <v>37</v>
      </c>
      <c r="B46" s="17">
        <f t="shared" si="0"/>
        <v>63.53285874592062</v>
      </c>
      <c r="C46" s="17">
        <f t="shared" si="1"/>
        <v>72.352054763012305</v>
      </c>
      <c r="D46" s="17">
        <f t="shared" si="2"/>
        <v>63.173532572308353</v>
      </c>
      <c r="G46" s="1">
        <v>37</v>
      </c>
      <c r="H46" s="17">
        <v>45.60521289603588</v>
      </c>
      <c r="I46" s="17">
        <v>47.700339965271468</v>
      </c>
      <c r="J46" s="17">
        <v>46.637782858710672</v>
      </c>
      <c r="M46" s="17">
        <v>93.132202134492189</v>
      </c>
      <c r="N46" s="17">
        <v>2.713059554239349</v>
      </c>
      <c r="O46" s="17">
        <v>2.907327150451732</v>
      </c>
      <c r="P46" s="17">
        <v>2.7850941141289032</v>
      </c>
      <c r="S46" s="5">
        <f t="shared" si="3"/>
        <v>67.80913417110294</v>
      </c>
      <c r="U46" s="5">
        <f t="shared" si="4"/>
        <v>63.099938692153209</v>
      </c>
      <c r="W46" s="5">
        <f t="shared" si="5"/>
        <v>50.800557042638708</v>
      </c>
      <c r="Y46">
        <f t="shared" si="12"/>
        <v>37</v>
      </c>
      <c r="Z46" s="3">
        <f t="shared" si="13"/>
        <v>774.9041985188328</v>
      </c>
      <c r="AA46" s="3">
        <f t="shared" si="14"/>
        <v>882.84649715048147</v>
      </c>
      <c r="AB46" s="3">
        <f t="shared" si="15"/>
        <v>1063.7913431183533</v>
      </c>
      <c r="AC46" s="3">
        <f t="shared" si="16"/>
        <v>1357.0076454899365</v>
      </c>
      <c r="BC46" s="17">
        <f t="shared" si="17"/>
        <v>63.53285874592062</v>
      </c>
      <c r="BD46" s="3">
        <f t="shared" si="18"/>
        <v>774.9041985188328</v>
      </c>
      <c r="BF46" s="5">
        <f t="shared" si="6"/>
        <v>67.80913417110294</v>
      </c>
      <c r="BG46">
        <f t="shared" si="7"/>
        <v>882.84649715048147</v>
      </c>
      <c r="BI46" s="5">
        <f t="shared" si="8"/>
        <v>63.099938692153209</v>
      </c>
      <c r="BJ46">
        <f t="shared" si="9"/>
        <v>1063.7913431183533</v>
      </c>
      <c r="BL46" s="5">
        <f t="shared" si="10"/>
        <v>50.800557042638708</v>
      </c>
      <c r="BM46">
        <f t="shared" si="11"/>
        <v>1357.0076454899365</v>
      </c>
    </row>
    <row r="47" spans="1:65" x14ac:dyDescent="0.25">
      <c r="A47">
        <v>38</v>
      </c>
      <c r="B47" s="17">
        <f t="shared" si="0"/>
        <v>64.321805325259831</v>
      </c>
      <c r="C47" s="17">
        <f t="shared" si="1"/>
        <v>73.377085069084444</v>
      </c>
      <c r="D47" s="17">
        <f t="shared" si="2"/>
        <v>63.992351081501759</v>
      </c>
      <c r="G47" s="1">
        <v>38</v>
      </c>
      <c r="H47" s="17">
        <v>45.621384632025261</v>
      </c>
      <c r="I47" s="17">
        <v>47.734354523454023</v>
      </c>
      <c r="J47" s="17">
        <v>46.660044172135059</v>
      </c>
      <c r="M47" s="17">
        <v>94.284934189562506</v>
      </c>
      <c r="N47" s="17">
        <v>2.752220572932023</v>
      </c>
      <c r="O47" s="17">
        <v>2.9499476135251159</v>
      </c>
      <c r="P47" s="17">
        <v>2.8221537977995239</v>
      </c>
      <c r="S47" s="5">
        <f t="shared" si="3"/>
        <v>68.699919066050086</v>
      </c>
      <c r="U47" s="5">
        <f t="shared" si="4"/>
        <v>64.169137057944099</v>
      </c>
      <c r="W47" s="5">
        <f t="shared" si="5"/>
        <v>52.159475273889868</v>
      </c>
      <c r="Y47">
        <f t="shared" si="12"/>
        <v>38</v>
      </c>
      <c r="Z47" s="3">
        <f t="shared" si="13"/>
        <v>788.94657933921053</v>
      </c>
      <c r="AA47" s="3">
        <f t="shared" si="14"/>
        <v>890.78489494714574</v>
      </c>
      <c r="AB47" s="3">
        <f t="shared" si="15"/>
        <v>1069.1983657908893</v>
      </c>
      <c r="AC47" s="3">
        <f t="shared" si="16"/>
        <v>1358.9182312511596</v>
      </c>
      <c r="BC47" s="17">
        <f t="shared" si="17"/>
        <v>64.321805325259831</v>
      </c>
      <c r="BD47" s="3">
        <f t="shared" si="18"/>
        <v>788.94657933921053</v>
      </c>
      <c r="BF47" s="5">
        <f t="shared" si="6"/>
        <v>68.699919066050086</v>
      </c>
      <c r="BG47">
        <f t="shared" si="7"/>
        <v>890.78489494714574</v>
      </c>
      <c r="BI47" s="5">
        <f t="shared" si="8"/>
        <v>64.169137057944099</v>
      </c>
      <c r="BJ47">
        <f t="shared" si="9"/>
        <v>1069.1983657908893</v>
      </c>
      <c r="BL47" s="5">
        <f t="shared" si="10"/>
        <v>52.159475273889868</v>
      </c>
      <c r="BM47">
        <f t="shared" si="11"/>
        <v>1358.9182312511596</v>
      </c>
    </row>
    <row r="48" spans="1:65" x14ac:dyDescent="0.25">
      <c r="A48">
        <v>39</v>
      </c>
      <c r="B48" s="17">
        <f t="shared" si="0"/>
        <v>65.124654410493989</v>
      </c>
      <c r="C48" s="17">
        <f t="shared" si="1"/>
        <v>74.416784200845086</v>
      </c>
      <c r="D48" s="17">
        <f t="shared" si="2"/>
        <v>64.824980594647812</v>
      </c>
      <c r="G48" s="1">
        <v>39</v>
      </c>
      <c r="H48" s="17">
        <v>45.637560239412053</v>
      </c>
      <c r="I48" s="17">
        <v>47.769067381305071</v>
      </c>
      <c r="J48" s="17">
        <v>46.682538353994502</v>
      </c>
      <c r="M48" s="17">
        <v>95.437666244632823</v>
      </c>
      <c r="N48" s="17">
        <v>2.791501934058803</v>
      </c>
      <c r="O48" s="17">
        <v>2.99256727643415</v>
      </c>
      <c r="P48" s="17">
        <v>2.8590321067278421</v>
      </c>
      <c r="S48" s="5">
        <f t="shared" si="3"/>
        <v>69.598594122679032</v>
      </c>
      <c r="T48" s="17"/>
      <c r="U48" s="5">
        <f t="shared" si="4"/>
        <v>65.243708326698211</v>
      </c>
      <c r="W48" s="5">
        <f t="shared" si="5"/>
        <v>53.52028793683354</v>
      </c>
      <c r="Y48">
        <f t="shared" si="12"/>
        <v>39</v>
      </c>
      <c r="Z48" s="3">
        <f t="shared" si="13"/>
        <v>802.84908523415766</v>
      </c>
      <c r="AA48" s="3">
        <f t="shared" si="14"/>
        <v>898.67505662894587</v>
      </c>
      <c r="AB48" s="3">
        <f t="shared" si="15"/>
        <v>1074.5712687541129</v>
      </c>
      <c r="AC48" s="3">
        <f t="shared" si="16"/>
        <v>1360.8126629436724</v>
      </c>
      <c r="BC48" s="17">
        <f t="shared" si="17"/>
        <v>65.124654410493989</v>
      </c>
      <c r="BD48" s="3">
        <f t="shared" si="18"/>
        <v>802.84908523415766</v>
      </c>
      <c r="BF48" s="5">
        <f t="shared" si="6"/>
        <v>69.598594122679032</v>
      </c>
      <c r="BG48">
        <f t="shared" si="7"/>
        <v>898.67505662894587</v>
      </c>
      <c r="BI48" s="5">
        <f t="shared" si="8"/>
        <v>65.243708326698211</v>
      </c>
      <c r="BJ48">
        <f t="shared" si="9"/>
        <v>1074.5712687541129</v>
      </c>
      <c r="BL48" s="5">
        <f t="shared" si="10"/>
        <v>53.52028793683354</v>
      </c>
      <c r="BM48">
        <f t="shared" si="11"/>
        <v>1360.8126629436724</v>
      </c>
    </row>
    <row r="49" spans="1:65" x14ac:dyDescent="0.25">
      <c r="A49">
        <v>40</v>
      </c>
      <c r="B49" s="17">
        <f t="shared" si="0"/>
        <v>65.94126666104512</v>
      </c>
      <c r="C49" s="17">
        <f t="shared" si="1"/>
        <v>75.470997344515524</v>
      </c>
      <c r="D49" s="17">
        <f t="shared" si="2"/>
        <v>65.671273612542251</v>
      </c>
      <c r="G49" s="1">
        <v>40</v>
      </c>
      <c r="H49" s="17">
        <v>45.653742483480109</v>
      </c>
      <c r="I49" s="17">
        <v>47.804424477525117</v>
      </c>
      <c r="J49" s="17">
        <v>46.705247456626438</v>
      </c>
      <c r="M49" s="17">
        <v>96.590398299703139</v>
      </c>
      <c r="N49" s="17">
        <v>2.8308983418484912</v>
      </c>
      <c r="O49" s="17">
        <v>3.035185415817589</v>
      </c>
      <c r="P49" s="17">
        <v>2.89572426789432</v>
      </c>
      <c r="S49" s="5">
        <f t="shared" si="3"/>
        <v>70.505111104874956</v>
      </c>
      <c r="T49" s="17"/>
      <c r="U49" s="5">
        <f t="shared" si="4"/>
        <v>66.323618378706271</v>
      </c>
      <c r="W49" s="5">
        <f t="shared" si="5"/>
        <v>54.882978877401037</v>
      </c>
      <c r="Y49">
        <f t="shared" si="12"/>
        <v>40</v>
      </c>
      <c r="Z49" s="3">
        <f t="shared" si="13"/>
        <v>816.61225055113107</v>
      </c>
      <c r="AA49" s="3">
        <f t="shared" si="14"/>
        <v>906.51698219592447</v>
      </c>
      <c r="AB49" s="3">
        <f t="shared" si="15"/>
        <v>1079.9100520080601</v>
      </c>
      <c r="AC49" s="3">
        <f t="shared" si="16"/>
        <v>1362.6909405674965</v>
      </c>
      <c r="BC49" s="17">
        <f t="shared" si="17"/>
        <v>65.94126666104512</v>
      </c>
      <c r="BD49" s="3">
        <f t="shared" si="18"/>
        <v>816.61225055113107</v>
      </c>
      <c r="BF49" s="5">
        <f t="shared" si="6"/>
        <v>70.505111104874956</v>
      </c>
      <c r="BG49">
        <f t="shared" si="7"/>
        <v>906.51698219592447</v>
      </c>
      <c r="BI49" s="5">
        <f t="shared" si="8"/>
        <v>66.323618378706271</v>
      </c>
      <c r="BJ49">
        <f t="shared" si="9"/>
        <v>1079.9100520080601</v>
      </c>
      <c r="BL49" s="5">
        <f t="shared" si="10"/>
        <v>54.882978877401037</v>
      </c>
      <c r="BM49">
        <f t="shared" si="11"/>
        <v>1362.6909405674965</v>
      </c>
    </row>
    <row r="50" spans="1:65" x14ac:dyDescent="0.25">
      <c r="A50">
        <v>41</v>
      </c>
      <c r="B50" s="17">
        <f t="shared" si="0"/>
        <v>66.771503270682615</v>
      </c>
      <c r="C50" s="17">
        <f t="shared" si="1"/>
        <v>76.539570307253726</v>
      </c>
      <c r="D50" s="17">
        <f t="shared" si="2"/>
        <v>66.531083221001424</v>
      </c>
      <c r="G50" s="1">
        <v>41</v>
      </c>
      <c r="H50" s="17">
        <v>45.669934129513287</v>
      </c>
      <c r="I50" s="17">
        <v>47.840371750814697</v>
      </c>
      <c r="J50" s="17">
        <v>46.72815353236836</v>
      </c>
      <c r="M50" s="17">
        <v>97.743130354773442</v>
      </c>
      <c r="N50" s="17">
        <v>2.870404500529887</v>
      </c>
      <c r="O50" s="17">
        <v>3.0777989623731479</v>
      </c>
      <c r="P50" s="17">
        <v>2.9322255082794242</v>
      </c>
      <c r="S50" s="5">
        <f t="shared" si="3"/>
        <v>71.419421776523038</v>
      </c>
      <c r="T50" s="17"/>
      <c r="U50" s="5">
        <f t="shared" si="4"/>
        <v>67.408833094258995</v>
      </c>
      <c r="W50" s="5">
        <f t="shared" si="5"/>
        <v>56.247531941523668</v>
      </c>
      <c r="Y50">
        <f t="shared" si="12"/>
        <v>41</v>
      </c>
      <c r="Z50" s="3">
        <f t="shared" si="13"/>
        <v>830.23660963749535</v>
      </c>
      <c r="AA50" s="3">
        <f t="shared" si="14"/>
        <v>914.31067164808155</v>
      </c>
      <c r="AB50" s="3">
        <f t="shared" si="15"/>
        <v>1085.2147155527234</v>
      </c>
      <c r="AC50" s="3">
        <f t="shared" si="16"/>
        <v>1364.5530641226314</v>
      </c>
      <c r="BC50" s="17">
        <f t="shared" si="17"/>
        <v>66.771503270682615</v>
      </c>
      <c r="BD50" s="3">
        <f t="shared" si="18"/>
        <v>830.23660963749535</v>
      </c>
      <c r="BF50" s="5">
        <f t="shared" si="6"/>
        <v>71.419421776523038</v>
      </c>
      <c r="BG50">
        <f t="shared" si="7"/>
        <v>914.31067164808155</v>
      </c>
      <c r="BI50" s="5">
        <f t="shared" si="8"/>
        <v>67.408833094258995</v>
      </c>
      <c r="BJ50">
        <f t="shared" si="9"/>
        <v>1085.2147155527234</v>
      </c>
      <c r="BL50" s="5">
        <f t="shared" si="10"/>
        <v>56.247531941523668</v>
      </c>
      <c r="BM50">
        <f t="shared" si="11"/>
        <v>1364.5530641226314</v>
      </c>
    </row>
    <row r="51" spans="1:65" x14ac:dyDescent="0.25">
      <c r="A51">
        <v>42</v>
      </c>
      <c r="B51" s="17">
        <f t="shared" si="0"/>
        <v>67.615225967523358</v>
      </c>
      <c r="C51" s="17">
        <f t="shared" si="1"/>
        <v>77.622349517154191</v>
      </c>
      <c r="D51" s="17">
        <f t="shared" si="2"/>
        <v>67.404263090862358</v>
      </c>
      <c r="G51" s="1">
        <v>42</v>
      </c>
      <c r="H51" s="17">
        <v>45.686137942795469</v>
      </c>
      <c r="I51" s="17">
        <v>47.876855139874323</v>
      </c>
      <c r="J51" s="17">
        <v>46.751238633557733</v>
      </c>
      <c r="M51" s="17">
        <v>98.895862409843744</v>
      </c>
      <c r="N51" s="17">
        <v>2.9100151143317921</v>
      </c>
      <c r="O51" s="17">
        <v>3.1204043574580531</v>
      </c>
      <c r="P51" s="17">
        <v>2.9685310548636208</v>
      </c>
      <c r="S51" s="5">
        <f t="shared" si="3"/>
        <v>72.341477901508441</v>
      </c>
      <c r="T51" s="17"/>
      <c r="U51" s="5">
        <f t="shared" si="4"/>
        <v>68.49931835364707</v>
      </c>
      <c r="W51" s="5">
        <f t="shared" si="5"/>
        <v>57.613930975132732</v>
      </c>
      <c r="Y51">
        <f t="shared" si="12"/>
        <v>42</v>
      </c>
      <c r="Z51" s="3">
        <f t="shared" si="13"/>
        <v>843.72269684074297</v>
      </c>
      <c r="AA51" s="3">
        <f t="shared" si="14"/>
        <v>922.0561249854029</v>
      </c>
      <c r="AB51" s="3">
        <f t="shared" si="15"/>
        <v>1090.4852593880746</v>
      </c>
      <c r="AC51" s="3">
        <f t="shared" si="16"/>
        <v>1366.3990336090635</v>
      </c>
      <c r="BC51" s="17">
        <f t="shared" si="17"/>
        <v>67.615225967523358</v>
      </c>
      <c r="BD51" s="3">
        <f t="shared" si="18"/>
        <v>843.72269684074297</v>
      </c>
      <c r="BF51" s="5">
        <f t="shared" si="6"/>
        <v>72.341477901508441</v>
      </c>
      <c r="BG51">
        <f t="shared" si="7"/>
        <v>922.0561249854029</v>
      </c>
      <c r="BI51" s="5">
        <f t="shared" si="8"/>
        <v>68.49931835364707</v>
      </c>
      <c r="BJ51">
        <f t="shared" si="9"/>
        <v>1090.4852593880746</v>
      </c>
      <c r="BL51" s="5">
        <f t="shared" si="10"/>
        <v>57.613930975132732</v>
      </c>
      <c r="BM51">
        <f t="shared" si="11"/>
        <v>1366.3990336090635</v>
      </c>
    </row>
    <row r="52" spans="1:65" x14ac:dyDescent="0.25">
      <c r="A52">
        <v>43</v>
      </c>
      <c r="B52" s="17">
        <f t="shared" si="0"/>
        <v>68.472297014031568</v>
      </c>
      <c r="C52" s="17">
        <f t="shared" si="1"/>
        <v>78.719182023248138</v>
      </c>
      <c r="D52" s="17">
        <f t="shared" si="2"/>
        <v>68.290667477982609</v>
      </c>
      <c r="G52" s="1">
        <v>43</v>
      </c>
      <c r="H52" s="17">
        <v>45.702356688610493</v>
      </c>
      <c r="I52" s="17">
        <v>47.913820583404487</v>
      </c>
      <c r="J52" s="17">
        <v>46.774484812532002</v>
      </c>
      <c r="M52" s="17">
        <v>100.0485944649141</v>
      </c>
      <c r="N52" s="17">
        <v>2.9497248874830082</v>
      </c>
      <c r="O52" s="17">
        <v>3.1629980424295252</v>
      </c>
      <c r="P52" s="17">
        <v>3.004637029893988</v>
      </c>
      <c r="S52" s="5">
        <f t="shared" si="3"/>
        <v>73.271231243716315</v>
      </c>
      <c r="T52" s="17"/>
      <c r="U52" s="5">
        <f t="shared" si="4"/>
        <v>69.595040037161226</v>
      </c>
      <c r="W52" s="5">
        <f t="shared" si="5"/>
        <v>58.982159824159531</v>
      </c>
      <c r="Y52">
        <f t="shared" si="12"/>
        <v>43</v>
      </c>
      <c r="Z52" s="3">
        <f t="shared" si="13"/>
        <v>857.07104650821009</v>
      </c>
      <c r="AA52" s="3">
        <f t="shared" si="14"/>
        <v>929.75334220787431</v>
      </c>
      <c r="AB52" s="3">
        <f t="shared" si="15"/>
        <v>1095.7216835141567</v>
      </c>
      <c r="AC52" s="3">
        <f t="shared" si="16"/>
        <v>1368.2288490267993</v>
      </c>
      <c r="BC52" s="17">
        <f t="shared" si="17"/>
        <v>68.472297014031568</v>
      </c>
      <c r="BD52" s="3">
        <f t="shared" si="18"/>
        <v>857.07104650821009</v>
      </c>
      <c r="BF52" s="5">
        <f t="shared" si="6"/>
        <v>73.271231243716315</v>
      </c>
      <c r="BG52">
        <f t="shared" si="7"/>
        <v>929.75334220787431</v>
      </c>
      <c r="BI52" s="5">
        <f t="shared" si="8"/>
        <v>69.595040037161226</v>
      </c>
      <c r="BJ52">
        <f t="shared" si="9"/>
        <v>1095.7216835141567</v>
      </c>
      <c r="BL52" s="5">
        <f t="shared" si="10"/>
        <v>58.982159824159531</v>
      </c>
      <c r="BM52">
        <f t="shared" si="11"/>
        <v>1368.2288490267993</v>
      </c>
    </row>
    <row r="53" spans="1:65" x14ac:dyDescent="0.25">
      <c r="A53">
        <v>44</v>
      </c>
      <c r="B53" s="17">
        <f t="shared" si="0"/>
        <v>69.342579207018957</v>
      </c>
      <c r="C53" s="17">
        <f t="shared" si="1"/>
        <v>79.8299154955033</v>
      </c>
      <c r="D53" s="17">
        <f t="shared" si="2"/>
        <v>69.190151223240349</v>
      </c>
      <c r="G53" s="1">
        <v>44</v>
      </c>
      <c r="H53" s="17">
        <v>45.718593132242233</v>
      </c>
      <c r="I53" s="17">
        <v>47.951214020105731</v>
      </c>
      <c r="J53" s="17">
        <v>46.797874121628638</v>
      </c>
      <c r="M53" s="17">
        <v>101.20132651998441</v>
      </c>
      <c r="N53" s="17">
        <v>2.9895285242123348</v>
      </c>
      <c r="O53" s="17">
        <v>3.205576458644789</v>
      </c>
      <c r="P53" s="17">
        <v>3.0405436007168132</v>
      </c>
      <c r="S53" s="5">
        <f t="shared" si="3"/>
        <v>74.208633567031839</v>
      </c>
      <c r="T53" s="17"/>
      <c r="U53" s="5">
        <f t="shared" si="4"/>
        <v>70.695964025092152</v>
      </c>
      <c r="W53" s="5">
        <f t="shared" si="5"/>
        <v>60.35220233453537</v>
      </c>
      <c r="Y53">
        <f t="shared" si="12"/>
        <v>44</v>
      </c>
      <c r="Z53" s="3">
        <f t="shared" si="13"/>
        <v>870.28219298738918</v>
      </c>
      <c r="AA53" s="3">
        <f t="shared" si="14"/>
        <v>937.4023233155242</v>
      </c>
      <c r="AB53" s="3">
        <f t="shared" si="15"/>
        <v>1100.9239879309262</v>
      </c>
      <c r="AC53" s="3">
        <f t="shared" si="16"/>
        <v>1370.0425103758391</v>
      </c>
      <c r="BC53" s="17">
        <f t="shared" si="17"/>
        <v>69.342579207018957</v>
      </c>
      <c r="BD53" s="3">
        <f t="shared" si="18"/>
        <v>870.28219298738918</v>
      </c>
      <c r="BF53" s="5">
        <f t="shared" si="6"/>
        <v>74.208633567031839</v>
      </c>
      <c r="BG53">
        <f t="shared" si="7"/>
        <v>937.4023233155242</v>
      </c>
      <c r="BI53" s="5">
        <f t="shared" si="8"/>
        <v>70.695964025092152</v>
      </c>
      <c r="BJ53">
        <f t="shared" si="9"/>
        <v>1100.9239879309262</v>
      </c>
      <c r="BL53" s="5">
        <f t="shared" si="10"/>
        <v>60.35220233453537</v>
      </c>
      <c r="BM53">
        <f t="shared" si="11"/>
        <v>1370.0425103758391</v>
      </c>
    </row>
    <row r="54" spans="1:65" x14ac:dyDescent="0.25">
      <c r="A54">
        <v>45</v>
      </c>
      <c r="B54" s="17">
        <f t="shared" si="0"/>
        <v>70.225935877644659</v>
      </c>
      <c r="C54" s="17">
        <f t="shared" si="1"/>
        <v>80.954398224824089</v>
      </c>
      <c r="D54" s="17">
        <f t="shared" si="2"/>
        <v>70.102569752534365</v>
      </c>
      <c r="G54" s="1">
        <v>45</v>
      </c>
      <c r="H54" s="17">
        <v>45.734850038974542</v>
      </c>
      <c r="I54" s="17">
        <v>47.988981388678553</v>
      </c>
      <c r="J54" s="17">
        <v>46.821388613185128</v>
      </c>
      <c r="M54" s="17">
        <v>102.35405857505469</v>
      </c>
      <c r="N54" s="17">
        <v>3.0294207287485748</v>
      </c>
      <c r="O54" s="17">
        <v>3.248136047461069</v>
      </c>
      <c r="P54" s="17">
        <v>3.0762520766090011</v>
      </c>
      <c r="S54" s="5">
        <f t="shared" si="3"/>
        <v>75.153636635340192</v>
      </c>
      <c r="T54" s="17"/>
      <c r="U54" s="5">
        <f t="shared" si="4"/>
        <v>71.802056197730593</v>
      </c>
      <c r="W54" s="5">
        <f t="shared" si="5"/>
        <v>61.724042352191553</v>
      </c>
      <c r="Y54">
        <f t="shared" si="12"/>
        <v>45</v>
      </c>
      <c r="Z54" s="3">
        <f t="shared" si="13"/>
        <v>883.35667062570167</v>
      </c>
      <c r="AA54" s="3">
        <f t="shared" si="14"/>
        <v>945.00306830835257</v>
      </c>
      <c r="AB54" s="3">
        <f t="shared" si="15"/>
        <v>1106.0921726384408</v>
      </c>
      <c r="AC54" s="3">
        <f t="shared" si="16"/>
        <v>1371.8400176561829</v>
      </c>
      <c r="BC54" s="17">
        <f t="shared" si="17"/>
        <v>70.225935877644659</v>
      </c>
      <c r="BD54" s="3">
        <f t="shared" si="18"/>
        <v>883.35667062570167</v>
      </c>
      <c r="BF54" s="5">
        <f t="shared" si="6"/>
        <v>75.153636635340192</v>
      </c>
      <c r="BG54">
        <f t="shared" si="7"/>
        <v>945.00306830835257</v>
      </c>
      <c r="BI54" s="5">
        <f t="shared" si="8"/>
        <v>71.802056197730593</v>
      </c>
      <c r="BJ54">
        <f t="shared" si="9"/>
        <v>1106.0921726384408</v>
      </c>
      <c r="BL54" s="5">
        <f t="shared" si="10"/>
        <v>61.724042352191553</v>
      </c>
      <c r="BM54">
        <f t="shared" si="11"/>
        <v>1371.8400176561829</v>
      </c>
    </row>
    <row r="55" spans="1:65" x14ac:dyDescent="0.25">
      <c r="A55">
        <v>46</v>
      </c>
      <c r="B55" s="17">
        <f t="shared" si="0"/>
        <v>71.122230891415143</v>
      </c>
      <c r="C55" s="17">
        <f t="shared" si="1"/>
        <v>82.092479123051461</v>
      </c>
      <c r="D55" s="17">
        <f t="shared" si="2"/>
        <v>71.027779076784086</v>
      </c>
      <c r="G55" s="1">
        <v>46</v>
      </c>
      <c r="H55" s="17">
        <v>45.751130174091287</v>
      </c>
      <c r="I55" s="17">
        <v>48.027068627823482</v>
      </c>
      <c r="J55" s="17">
        <v>46.845010339538923</v>
      </c>
      <c r="M55" s="17">
        <v>103.506790630125</v>
      </c>
      <c r="N55" s="17">
        <v>3.0693962053205288</v>
      </c>
      <c r="O55" s="17">
        <v>3.2906732502355882</v>
      </c>
      <c r="P55" s="17">
        <v>3.1117637669153999</v>
      </c>
      <c r="S55" s="5">
        <f t="shared" si="3"/>
        <v>76.106192212526537</v>
      </c>
      <c r="T55" s="17"/>
      <c r="U55" s="5">
        <f t="shared" si="4"/>
        <v>72.913282435367222</v>
      </c>
      <c r="W55" s="5">
        <f t="shared" si="5"/>
        <v>63.097663723059384</v>
      </c>
      <c r="Y55">
        <f t="shared" si="12"/>
        <v>46</v>
      </c>
      <c r="Z55" s="3">
        <f t="shared" si="13"/>
        <v>896.29501377048371</v>
      </c>
      <c r="AA55" s="3">
        <f t="shared" si="14"/>
        <v>952.5555771863452</v>
      </c>
      <c r="AB55" s="3">
        <f t="shared" si="15"/>
        <v>1111.2262376366289</v>
      </c>
      <c r="AC55" s="3">
        <f t="shared" si="16"/>
        <v>1373.6213708678306</v>
      </c>
      <c r="BC55" s="17">
        <f t="shared" si="17"/>
        <v>71.122230891415143</v>
      </c>
      <c r="BD55" s="3">
        <f t="shared" si="18"/>
        <v>896.29501377048371</v>
      </c>
      <c r="BF55" s="5">
        <f t="shared" si="6"/>
        <v>76.106192212526537</v>
      </c>
      <c r="BG55">
        <f t="shared" si="7"/>
        <v>952.5555771863452</v>
      </c>
      <c r="BI55" s="5">
        <f t="shared" si="8"/>
        <v>72.913282435367222</v>
      </c>
      <c r="BJ55">
        <f t="shared" si="9"/>
        <v>1111.2262376366289</v>
      </c>
      <c r="BL55" s="5">
        <f t="shared" si="10"/>
        <v>63.097663723059384</v>
      </c>
      <c r="BM55">
        <f t="shared" si="11"/>
        <v>1373.6213708678306</v>
      </c>
    </row>
    <row r="56" spans="1:65" x14ac:dyDescent="0.25">
      <c r="A56">
        <v>47</v>
      </c>
      <c r="B56" s="17">
        <f t="shared" si="0"/>
        <v>72.031328648184385</v>
      </c>
      <c r="C56" s="17">
        <f t="shared" si="1"/>
        <v>83.24400772296309</v>
      </c>
      <c r="D56" s="17">
        <f t="shared" si="2"/>
        <v>71.965635791929444</v>
      </c>
      <c r="G56" s="1">
        <v>47</v>
      </c>
      <c r="H56" s="17">
        <v>45.767436302876327</v>
      </c>
      <c r="I56" s="17">
        <v>48.065421676241023</v>
      </c>
      <c r="J56" s="17">
        <v>46.868721353027503</v>
      </c>
      <c r="M56" s="17">
        <v>104.6595226851953</v>
      </c>
      <c r="N56" s="17">
        <v>3.109449658156997</v>
      </c>
      <c r="O56" s="17">
        <v>3.3331845083255711</v>
      </c>
      <c r="P56" s="17">
        <v>3.1470799809808581</v>
      </c>
      <c r="S56" s="5">
        <f t="shared" si="3"/>
        <v>77.066252062476025</v>
      </c>
      <c r="T56" s="17"/>
      <c r="U56" s="5">
        <f t="shared" si="4"/>
        <v>74.02960861829277</v>
      </c>
      <c r="W56" s="5">
        <f t="shared" si="5"/>
        <v>64.473050293070173</v>
      </c>
      <c r="Y56">
        <f t="shared" si="12"/>
        <v>47</v>
      </c>
      <c r="Z56" s="3">
        <f t="shared" si="13"/>
        <v>909.09775676924198</v>
      </c>
      <c r="AA56" s="3">
        <f t="shared" si="14"/>
        <v>960.0598499494879</v>
      </c>
      <c r="AB56" s="3">
        <f t="shared" si="15"/>
        <v>1116.3261829255475</v>
      </c>
      <c r="AC56" s="3">
        <f t="shared" si="16"/>
        <v>1375.3865700107895</v>
      </c>
      <c r="BC56" s="17">
        <f t="shared" si="17"/>
        <v>72.031328648184385</v>
      </c>
      <c r="BD56" s="3">
        <f t="shared" si="18"/>
        <v>909.09775676924198</v>
      </c>
      <c r="BF56" s="5">
        <f t="shared" si="6"/>
        <v>77.066252062476025</v>
      </c>
      <c r="BG56">
        <f t="shared" si="7"/>
        <v>960.0598499494879</v>
      </c>
      <c r="BI56" s="5">
        <f t="shared" si="8"/>
        <v>74.02960861829277</v>
      </c>
      <c r="BJ56">
        <f t="shared" si="9"/>
        <v>1116.3261829255475</v>
      </c>
      <c r="BL56" s="5">
        <f t="shared" si="10"/>
        <v>64.473050293070173</v>
      </c>
      <c r="BM56">
        <f t="shared" si="11"/>
        <v>1375.3865700107895</v>
      </c>
    </row>
    <row r="57" spans="1:65" x14ac:dyDescent="0.25">
      <c r="A57">
        <v>48</v>
      </c>
      <c r="B57" s="17">
        <f t="shared" si="0"/>
        <v>72.953094082153768</v>
      </c>
      <c r="C57" s="17">
        <f t="shared" si="1"/>
        <v>84.408834178273182</v>
      </c>
      <c r="D57" s="17">
        <f t="shared" si="2"/>
        <v>72.915997078931085</v>
      </c>
      <c r="G57" s="1">
        <v>48</v>
      </c>
      <c r="H57" s="17">
        <v>45.783771190613521</v>
      </c>
      <c r="I57" s="17">
        <v>48.103986472631703</v>
      </c>
      <c r="J57" s="17">
        <v>46.892503705988297</v>
      </c>
      <c r="M57" s="17">
        <v>105.8122547402656</v>
      </c>
      <c r="N57" s="17">
        <v>3.1495757914867801</v>
      </c>
      <c r="O57" s="17">
        <v>3.3756662630882408</v>
      </c>
      <c r="P57" s="17">
        <v>3.1822020281502219</v>
      </c>
      <c r="S57" s="5">
        <f t="shared" si="3"/>
        <v>78.033767949073848</v>
      </c>
      <c r="T57" s="17"/>
      <c r="U57" s="5">
        <f t="shared" si="4"/>
        <v>75.151000626797924</v>
      </c>
      <c r="W57" s="5">
        <f t="shared" si="5"/>
        <v>65.850185908155225</v>
      </c>
      <c r="Y57">
        <f t="shared" si="12"/>
        <v>48</v>
      </c>
      <c r="Z57" s="3">
        <f t="shared" si="13"/>
        <v>921.76543396938371</v>
      </c>
      <c r="AA57" s="3">
        <f t="shared" si="14"/>
        <v>967.51588659782328</v>
      </c>
      <c r="AB57" s="3">
        <f t="shared" si="15"/>
        <v>1121.3920085051541</v>
      </c>
      <c r="AC57" s="3">
        <f t="shared" si="16"/>
        <v>1377.1356150850522</v>
      </c>
      <c r="BC57" s="17">
        <f t="shared" si="17"/>
        <v>72.953094082153768</v>
      </c>
      <c r="BD57" s="3">
        <f t="shared" si="18"/>
        <v>921.76543396938371</v>
      </c>
      <c r="BF57" s="5">
        <f t="shared" si="6"/>
        <v>78.033767949073848</v>
      </c>
      <c r="BG57">
        <f t="shared" si="7"/>
        <v>967.51588659782328</v>
      </c>
      <c r="BI57" s="5">
        <f t="shared" si="8"/>
        <v>75.151000626797924</v>
      </c>
      <c r="BJ57">
        <f t="shared" si="9"/>
        <v>1121.3920085051541</v>
      </c>
      <c r="BL57" s="5">
        <f t="shared" si="10"/>
        <v>65.850185908155225</v>
      </c>
      <c r="BM57">
        <f t="shared" si="11"/>
        <v>1377.1356150850522</v>
      </c>
    </row>
    <row r="58" spans="1:65" x14ac:dyDescent="0.25">
      <c r="A58">
        <v>49</v>
      </c>
      <c r="B58" s="17">
        <f t="shared" si="0"/>
        <v>73.887392661872042</v>
      </c>
      <c r="C58" s="17">
        <f t="shared" si="1"/>
        <v>85.586809263632588</v>
      </c>
      <c r="D58" s="17">
        <f t="shared" si="2"/>
        <v>73.878720703770199</v>
      </c>
      <c r="G58" s="1">
        <v>49</v>
      </c>
      <c r="H58" s="17">
        <v>45.80013760258673</v>
      </c>
      <c r="I58" s="17">
        <v>48.142708955696023</v>
      </c>
      <c r="J58" s="17">
        <v>46.916339450758827</v>
      </c>
      <c r="M58" s="17">
        <v>106.9649867953359</v>
      </c>
      <c r="N58" s="17">
        <v>3.1897693095386792</v>
      </c>
      <c r="O58" s="17">
        <v>3.4181149558808221</v>
      </c>
      <c r="P58" s="17">
        <v>3.2171312177683409</v>
      </c>
      <c r="S58" s="5">
        <f t="shared" si="3"/>
        <v>79.008691636205128</v>
      </c>
      <c r="T58" s="17"/>
      <c r="U58" s="5">
        <f t="shared" si="4"/>
        <v>76.277424341173401</v>
      </c>
      <c r="W58" s="5">
        <f t="shared" si="5"/>
        <v>67.229054414245837</v>
      </c>
      <c r="Y58">
        <f t="shared" si="12"/>
        <v>49</v>
      </c>
      <c r="Z58" s="3">
        <f t="shared" si="13"/>
        <v>934.29857971827346</v>
      </c>
      <c r="AA58" s="3">
        <f t="shared" si="14"/>
        <v>974.9236871312803</v>
      </c>
      <c r="AB58" s="3">
        <f t="shared" si="15"/>
        <v>1126.4237143754769</v>
      </c>
      <c r="AC58" s="3">
        <f t="shared" si="16"/>
        <v>1378.8685060906118</v>
      </c>
      <c r="BC58" s="17">
        <f t="shared" si="17"/>
        <v>73.887392661872042</v>
      </c>
      <c r="BD58" s="3">
        <f t="shared" si="18"/>
        <v>934.29857971827346</v>
      </c>
      <c r="BF58" s="5">
        <f t="shared" si="6"/>
        <v>79.008691636205128</v>
      </c>
      <c r="BG58">
        <f t="shared" si="7"/>
        <v>974.9236871312803</v>
      </c>
      <c r="BI58" s="5">
        <f t="shared" si="8"/>
        <v>76.277424341173401</v>
      </c>
      <c r="BJ58">
        <f t="shared" si="9"/>
        <v>1126.4237143754769</v>
      </c>
      <c r="BL58" s="5">
        <f t="shared" si="10"/>
        <v>67.229054414245837</v>
      </c>
      <c r="BM58">
        <f t="shared" si="11"/>
        <v>1378.8685060906118</v>
      </c>
    </row>
    <row r="59" spans="1:65" x14ac:dyDescent="0.25">
      <c r="A59">
        <v>50</v>
      </c>
      <c r="B59" s="17">
        <f t="shared" si="0"/>
        <v>74.83409039023546</v>
      </c>
      <c r="C59" s="17">
        <f t="shared" si="1"/>
        <v>86.777784374628723</v>
      </c>
      <c r="D59" s="17">
        <f t="shared" si="2"/>
        <v>74.853665017448591</v>
      </c>
      <c r="G59" s="1">
        <v>50</v>
      </c>
      <c r="H59" s="17">
        <v>45.81653830407982</v>
      </c>
      <c r="I59" s="17">
        <v>48.181535064134501</v>
      </c>
      <c r="J59" s="17">
        <v>46.940210639676522</v>
      </c>
      <c r="M59" s="17">
        <v>108.11771885040631</v>
      </c>
      <c r="N59" s="17">
        <v>3.2300249165414971</v>
      </c>
      <c r="O59" s="17">
        <v>3.4605270280605378</v>
      </c>
      <c r="P59" s="17">
        <v>3.2518688591800631</v>
      </c>
      <c r="S59" s="5">
        <f t="shared" si="3"/>
        <v>79.990974887755087</v>
      </c>
      <c r="T59" s="17"/>
      <c r="U59" s="5">
        <f t="shared" si="4"/>
        <v>77.408845641709931</v>
      </c>
      <c r="W59" s="5">
        <f t="shared" si="5"/>
        <v>68.609639657273291</v>
      </c>
      <c r="Y59">
        <f t="shared" si="12"/>
        <v>50</v>
      </c>
      <c r="Z59" s="3">
        <f t="shared" si="13"/>
        <v>946.69772836341792</v>
      </c>
      <c r="AA59" s="3">
        <f t="shared" si="14"/>
        <v>982.28325154995844</v>
      </c>
      <c r="AB59" s="3">
        <f t="shared" si="15"/>
        <v>1131.4213005365305</v>
      </c>
      <c r="AC59" s="3">
        <f t="shared" si="16"/>
        <v>1380.585243027454</v>
      </c>
      <c r="BC59" s="17">
        <f t="shared" si="17"/>
        <v>74.83409039023546</v>
      </c>
      <c r="BD59" s="3">
        <f t="shared" si="18"/>
        <v>946.69772836341792</v>
      </c>
      <c r="BF59" s="5">
        <f t="shared" si="6"/>
        <v>79.990974887755087</v>
      </c>
      <c r="BG59">
        <f t="shared" si="7"/>
        <v>982.28325154995844</v>
      </c>
      <c r="BI59" s="5">
        <f t="shared" si="8"/>
        <v>77.408845641709931</v>
      </c>
      <c r="BJ59">
        <f t="shared" si="9"/>
        <v>1131.4213005365305</v>
      </c>
      <c r="BL59" s="5">
        <f t="shared" si="10"/>
        <v>68.609639657273291</v>
      </c>
      <c r="BM59">
        <f t="shared" si="11"/>
        <v>1380.585243027454</v>
      </c>
    </row>
    <row r="60" spans="1:65" x14ac:dyDescent="0.25">
      <c r="A60">
        <v>51</v>
      </c>
      <c r="B60" s="17">
        <f t="shared" si="0"/>
        <v>75.793053804487585</v>
      </c>
      <c r="C60" s="17">
        <f t="shared" si="1"/>
        <v>87.981611527785674</v>
      </c>
      <c r="D60" s="17">
        <f t="shared" si="2"/>
        <v>75.840688955988711</v>
      </c>
      <c r="G60" s="1">
        <v>51</v>
      </c>
      <c r="H60" s="17">
        <v>45.832976060376652</v>
      </c>
      <c r="I60" s="17">
        <v>48.220410736647672</v>
      </c>
      <c r="J60" s="17">
        <v>46.964099325078848</v>
      </c>
      <c r="M60" s="17">
        <v>109.27045090547659</v>
      </c>
      <c r="N60" s="17">
        <v>3.2703373167240328</v>
      </c>
      <c r="O60" s="17">
        <v>3.5028989209846109</v>
      </c>
      <c r="P60" s="17">
        <v>3.2864162617302339</v>
      </c>
      <c r="S60" s="5">
        <f t="shared" si="3"/>
        <v>80.980569467608873</v>
      </c>
      <c r="T60" s="17"/>
      <c r="U60" s="5">
        <f t="shared" si="4"/>
        <v>78.545230408698217</v>
      </c>
      <c r="W60" s="5">
        <f t="shared" si="5"/>
        <v>69.991925483168941</v>
      </c>
      <c r="Y60">
        <f t="shared" si="12"/>
        <v>51</v>
      </c>
      <c r="Z60" s="3">
        <f t="shared" si="13"/>
        <v>958.96341425212484</v>
      </c>
      <c r="AA60" s="3">
        <f t="shared" si="14"/>
        <v>989.59457985378663</v>
      </c>
      <c r="AB60" s="3">
        <f t="shared" si="15"/>
        <v>1136.3847669882857</v>
      </c>
      <c r="AC60" s="3">
        <f t="shared" si="16"/>
        <v>1382.2858258956501</v>
      </c>
      <c r="BC60" s="17">
        <f t="shared" si="17"/>
        <v>75.793053804487585</v>
      </c>
      <c r="BD60" s="3">
        <f t="shared" si="18"/>
        <v>958.96341425212484</v>
      </c>
      <c r="BF60" s="5">
        <f t="shared" si="6"/>
        <v>80.980569467608873</v>
      </c>
      <c r="BG60">
        <f t="shared" si="7"/>
        <v>989.59457985378663</v>
      </c>
      <c r="BI60" s="5">
        <f t="shared" si="8"/>
        <v>78.545230408698217</v>
      </c>
      <c r="BJ60">
        <f t="shared" si="9"/>
        <v>1136.3847669882857</v>
      </c>
      <c r="BL60" s="5">
        <f t="shared" si="10"/>
        <v>69.991925483168941</v>
      </c>
      <c r="BM60">
        <f t="shared" si="11"/>
        <v>1382.2858258956501</v>
      </c>
    </row>
    <row r="61" spans="1:65" x14ac:dyDescent="0.25">
      <c r="A61">
        <v>52</v>
      </c>
      <c r="B61" s="17">
        <f t="shared" si="0"/>
        <v>76.764149976219542</v>
      </c>
      <c r="C61" s="17">
        <f t="shared" si="1"/>
        <v>89.198143360564146</v>
      </c>
      <c r="D61" s="17">
        <f t="shared" si="2"/>
        <v>76.839652040433535</v>
      </c>
      <c r="G61" s="1">
        <v>52</v>
      </c>
      <c r="H61" s="17">
        <v>45.849453636761083</v>
      </c>
      <c r="I61" s="17">
        <v>48.259281911936007</v>
      </c>
      <c r="J61" s="17">
        <v>46.987987559303292</v>
      </c>
      <c r="M61" s="17">
        <v>110.4231829605469</v>
      </c>
      <c r="N61" s="17">
        <v>3.3107012143150891</v>
      </c>
      <c r="O61" s="17">
        <v>3.545227076010268</v>
      </c>
      <c r="P61" s="17">
        <v>3.3207747347637051</v>
      </c>
      <c r="S61" s="5">
        <f t="shared" si="3"/>
        <v>81.977427139651638</v>
      </c>
      <c r="T61" s="17"/>
      <c r="U61" s="5">
        <f t="shared" si="4"/>
        <v>79.686544522428946</v>
      </c>
      <c r="W61" s="5">
        <f t="shared" si="5"/>
        <v>71.375895737864056</v>
      </c>
      <c r="Y61">
        <f t="shared" si="12"/>
        <v>52</v>
      </c>
      <c r="Z61" s="3">
        <f t="shared" si="13"/>
        <v>971.09617173195772</v>
      </c>
      <c r="AA61" s="3">
        <f t="shared" si="14"/>
        <v>996.85767204276488</v>
      </c>
      <c r="AB61" s="3">
        <f t="shared" si="15"/>
        <v>1141.3141137307293</v>
      </c>
      <c r="AC61" s="3">
        <f t="shared" si="16"/>
        <v>1383.9702546951144</v>
      </c>
      <c r="BC61" s="17">
        <f t="shared" si="17"/>
        <v>76.764149976219542</v>
      </c>
      <c r="BD61" s="3">
        <f t="shared" si="18"/>
        <v>971.09617173195772</v>
      </c>
      <c r="BF61" s="5">
        <f t="shared" si="6"/>
        <v>81.977427139651638</v>
      </c>
      <c r="BG61">
        <f t="shared" si="7"/>
        <v>996.85767204276488</v>
      </c>
      <c r="BI61" s="5">
        <f t="shared" si="8"/>
        <v>79.686544522428946</v>
      </c>
      <c r="BJ61">
        <f t="shared" si="9"/>
        <v>1141.3141137307293</v>
      </c>
      <c r="BL61" s="5">
        <f t="shared" si="10"/>
        <v>71.375895737864056</v>
      </c>
      <c r="BM61">
        <f t="shared" si="11"/>
        <v>1383.9702546951144</v>
      </c>
    </row>
    <row r="62" spans="1:65" x14ac:dyDescent="0.25">
      <c r="A62">
        <v>53</v>
      </c>
      <c r="B62" s="17">
        <f t="shared" si="0"/>
        <v>77.747246511369738</v>
      </c>
      <c r="C62" s="17">
        <f t="shared" si="1"/>
        <v>90.427233131361433</v>
      </c>
      <c r="D62" s="17">
        <f t="shared" si="2"/>
        <v>77.8504143768467</v>
      </c>
      <c r="G62" s="1">
        <v>53</v>
      </c>
      <c r="H62" s="17">
        <v>45.865973798516961</v>
      </c>
      <c r="I62" s="17">
        <v>48.298094528700076</v>
      </c>
      <c r="J62" s="17">
        <v>47.011857394687297</v>
      </c>
      <c r="M62" s="17">
        <v>111.5759150156172</v>
      </c>
      <c r="N62" s="17">
        <v>3.3511113135434649</v>
      </c>
      <c r="O62" s="17">
        <v>3.5875079344947292</v>
      </c>
      <c r="P62" s="17">
        <v>3.3549455876253211</v>
      </c>
      <c r="S62" s="5">
        <f t="shared" si="3"/>
        <v>82.981499667768574</v>
      </c>
      <c r="T62" s="17"/>
      <c r="U62" s="5">
        <f t="shared" si="4"/>
        <v>80.832753863192849</v>
      </c>
      <c r="W62" s="5">
        <f t="shared" si="5"/>
        <v>72.761534267289946</v>
      </c>
      <c r="Y62">
        <f t="shared" si="12"/>
        <v>53</v>
      </c>
      <c r="Z62" s="3">
        <f t="shared" si="13"/>
        <v>983.0965351501959</v>
      </c>
      <c r="AA62" s="3">
        <f t="shared" si="14"/>
        <v>1004.0725281169358</v>
      </c>
      <c r="AB62" s="3">
        <f t="shared" si="15"/>
        <v>1146.2093407639031</v>
      </c>
      <c r="AC62" s="3">
        <f t="shared" si="16"/>
        <v>1385.6385294258898</v>
      </c>
      <c r="BC62" s="17">
        <f t="shared" si="17"/>
        <v>77.747246511369738</v>
      </c>
      <c r="BD62" s="3">
        <f t="shared" si="18"/>
        <v>983.0965351501959</v>
      </c>
      <c r="BF62" s="5">
        <f t="shared" si="6"/>
        <v>82.981499667768574</v>
      </c>
      <c r="BG62">
        <f t="shared" si="7"/>
        <v>1004.0725281169358</v>
      </c>
      <c r="BI62" s="5">
        <f t="shared" si="8"/>
        <v>80.832753863192849</v>
      </c>
      <c r="BJ62">
        <f t="shared" si="9"/>
        <v>1146.2093407639031</v>
      </c>
      <c r="BL62" s="5">
        <f t="shared" si="10"/>
        <v>72.761534267289946</v>
      </c>
      <c r="BM62">
        <f t="shared" si="11"/>
        <v>1385.6385294258898</v>
      </c>
    </row>
    <row r="63" spans="1:65" x14ac:dyDescent="0.25">
      <c r="A63">
        <v>54</v>
      </c>
      <c r="B63" s="17">
        <f t="shared" si="0"/>
        <v>78.742211550224113</v>
      </c>
      <c r="C63" s="17">
        <f t="shared" si="1"/>
        <v>91.668734719511406</v>
      </c>
      <c r="D63" s="17">
        <f t="shared" si="2"/>
        <v>78.87283665631243</v>
      </c>
      <c r="G63" s="1">
        <v>54</v>
      </c>
      <c r="H63" s="17">
        <v>45.882539310928173</v>
      </c>
      <c r="I63" s="17">
        <v>48.336794525640371</v>
      </c>
      <c r="J63" s="17">
        <v>47.03569088356835</v>
      </c>
      <c r="M63" s="17">
        <v>112.7286470706875</v>
      </c>
      <c r="N63" s="17">
        <v>3.3915623186379631</v>
      </c>
      <c r="O63" s="17">
        <v>3.6297379377952219</v>
      </c>
      <c r="P63" s="17">
        <v>3.3889301296599319</v>
      </c>
      <c r="S63" s="5">
        <f t="shared" si="3"/>
        <v>83.992738815844831</v>
      </c>
      <c r="T63" s="17"/>
      <c r="U63" s="5">
        <f t="shared" si="4"/>
        <v>81.983824311280628</v>
      </c>
      <c r="W63" s="5">
        <f t="shared" si="5"/>
        <v>74.148824917377922</v>
      </c>
      <c r="Y63">
        <f t="shared" si="12"/>
        <v>54</v>
      </c>
      <c r="Z63" s="3">
        <f t="shared" si="13"/>
        <v>994.96503885437448</v>
      </c>
      <c r="AA63" s="3">
        <f t="shared" si="14"/>
        <v>1011.2391480762568</v>
      </c>
      <c r="AB63" s="3">
        <f t="shared" si="15"/>
        <v>1151.0704480877791</v>
      </c>
      <c r="AC63" s="3">
        <f t="shared" si="16"/>
        <v>1387.2906500879765</v>
      </c>
      <c r="BC63" s="17">
        <f t="shared" si="17"/>
        <v>78.742211550224113</v>
      </c>
      <c r="BD63" s="3">
        <f t="shared" si="18"/>
        <v>994.96503885437448</v>
      </c>
      <c r="BF63" s="5">
        <f t="shared" si="6"/>
        <v>83.992738815844831</v>
      </c>
      <c r="BG63">
        <f t="shared" si="7"/>
        <v>1011.2391480762568</v>
      </c>
      <c r="BI63" s="5">
        <f t="shared" si="8"/>
        <v>81.983824311280628</v>
      </c>
      <c r="BJ63">
        <f t="shared" si="9"/>
        <v>1151.0704480877791</v>
      </c>
      <c r="BL63" s="5">
        <f t="shared" si="10"/>
        <v>74.148824917377922</v>
      </c>
      <c r="BM63">
        <f t="shared" si="11"/>
        <v>1387.2906500879765</v>
      </c>
    </row>
    <row r="64" spans="1:65" x14ac:dyDescent="0.25">
      <c r="A64">
        <v>55</v>
      </c>
      <c r="B64" s="17">
        <f t="shared" si="0"/>
        <v>79.748913767415914</v>
      </c>
      <c r="C64" s="17">
        <f t="shared" si="1"/>
        <v>92.922502625284622</v>
      </c>
      <c r="D64" s="17">
        <f t="shared" si="2"/>
        <v>79.906780154935561</v>
      </c>
      <c r="G64" s="1">
        <v>55</v>
      </c>
      <c r="H64" s="17">
        <v>45.899152939278572</v>
      </c>
      <c r="I64" s="17">
        <v>48.375327841457413</v>
      </c>
      <c r="J64" s="17">
        <v>47.059470078283908</v>
      </c>
      <c r="M64" s="17">
        <v>113.8813791257578</v>
      </c>
      <c r="N64" s="17">
        <v>3.432048933827383</v>
      </c>
      <c r="O64" s="17">
        <v>3.6719135272689671</v>
      </c>
      <c r="P64" s="17">
        <v>3.4227296702123842</v>
      </c>
      <c r="S64" s="5">
        <f t="shared" si="3"/>
        <v>85.011096347765573</v>
      </c>
      <c r="T64" s="17"/>
      <c r="U64" s="5">
        <f t="shared" si="4"/>
        <v>83.139721746983</v>
      </c>
      <c r="W64" s="5">
        <f t="shared" si="5"/>
        <v>75.537751534059282</v>
      </c>
      <c r="Y64">
        <f t="shared" si="12"/>
        <v>55</v>
      </c>
      <c r="Z64" s="3">
        <f t="shared" si="13"/>
        <v>1006.7022171918012</v>
      </c>
      <c r="AA64" s="3">
        <f t="shared" si="14"/>
        <v>1018.3575319207421</v>
      </c>
      <c r="AB64" s="3">
        <f t="shared" si="15"/>
        <v>1155.8974357023715</v>
      </c>
      <c r="AC64" s="3">
        <f t="shared" si="16"/>
        <v>1388.92661668136</v>
      </c>
      <c r="BC64" s="17">
        <f t="shared" si="17"/>
        <v>79.748913767415914</v>
      </c>
      <c r="BD64" s="3">
        <f t="shared" si="18"/>
        <v>1006.7022171918012</v>
      </c>
      <c r="BF64" s="5">
        <f t="shared" si="6"/>
        <v>85.011096347765573</v>
      </c>
      <c r="BG64">
        <f t="shared" si="7"/>
        <v>1018.3575319207421</v>
      </c>
      <c r="BI64" s="5">
        <f t="shared" si="8"/>
        <v>83.139721746983</v>
      </c>
      <c r="BJ64">
        <f t="shared" si="9"/>
        <v>1155.8974357023715</v>
      </c>
      <c r="BL64" s="5">
        <f t="shared" si="10"/>
        <v>75.537751534059282</v>
      </c>
      <c r="BM64">
        <f t="shared" si="11"/>
        <v>1388.92661668136</v>
      </c>
    </row>
    <row r="65" spans="1:65" x14ac:dyDescent="0.25">
      <c r="A65">
        <v>56</v>
      </c>
      <c r="B65" s="17">
        <f t="shared" si="0"/>
        <v>80.767222371925925</v>
      </c>
      <c r="C65" s="17">
        <f t="shared" si="1"/>
        <v>94.188391969888201</v>
      </c>
      <c r="D65" s="17">
        <f t="shared" si="2"/>
        <v>80.952106733841546</v>
      </c>
      <c r="G65" s="1">
        <v>56</v>
      </c>
      <c r="H65" s="17">
        <v>45.91581744885201</v>
      </c>
      <c r="I65" s="17">
        <v>48.413640414851692</v>
      </c>
      <c r="J65" s="17">
        <v>47.083177031171438</v>
      </c>
      <c r="M65" s="17">
        <v>115.03411118082811</v>
      </c>
      <c r="N65" s="17">
        <v>3.472565863340527</v>
      </c>
      <c r="O65" s="17">
        <v>3.7140311442731901</v>
      </c>
      <c r="P65" s="17">
        <v>3.4563455186275269</v>
      </c>
      <c r="S65" s="5">
        <f t="shared" si="3"/>
        <v>86.036524027415979</v>
      </c>
      <c r="T65" s="17"/>
      <c r="U65" s="5">
        <f t="shared" si="4"/>
        <v>84.300412050590651</v>
      </c>
      <c r="W65" s="5">
        <f t="shared" si="5"/>
        <v>76.928297963265322</v>
      </c>
      <c r="Y65">
        <f t="shared" si="12"/>
        <v>56</v>
      </c>
      <c r="Z65" s="3">
        <f t="shared" si="13"/>
        <v>1018.3086045100112</v>
      </c>
      <c r="AA65" s="3">
        <f t="shared" si="14"/>
        <v>1025.4276796504059</v>
      </c>
      <c r="AB65" s="3">
        <f t="shared" si="15"/>
        <v>1160.6903036076517</v>
      </c>
      <c r="AC65" s="3">
        <f t="shared" si="16"/>
        <v>1390.5464292060401</v>
      </c>
      <c r="BC65" s="17">
        <f t="shared" si="17"/>
        <v>80.767222371925925</v>
      </c>
      <c r="BD65" s="3">
        <f t="shared" si="18"/>
        <v>1018.3086045100112</v>
      </c>
      <c r="BF65" s="5">
        <f t="shared" si="6"/>
        <v>86.036524027415979</v>
      </c>
      <c r="BG65">
        <f t="shared" si="7"/>
        <v>1025.4276796504059</v>
      </c>
      <c r="BI65" s="5">
        <f t="shared" si="8"/>
        <v>84.300412050590651</v>
      </c>
      <c r="BJ65">
        <f t="shared" si="9"/>
        <v>1160.6903036076517</v>
      </c>
      <c r="BL65" s="5">
        <f t="shared" si="10"/>
        <v>76.928297963265322</v>
      </c>
      <c r="BM65">
        <f t="shared" si="11"/>
        <v>1390.5464292060401</v>
      </c>
    </row>
    <row r="66" spans="1:65" x14ac:dyDescent="0.25">
      <c r="A66">
        <v>57</v>
      </c>
      <c r="B66" s="17">
        <f t="shared" si="0"/>
        <v>81.79700710708228</v>
      </c>
      <c r="C66" s="17">
        <f t="shared" si="1"/>
        <v>95.466258495465908</v>
      </c>
      <c r="D66" s="17">
        <f t="shared" si="2"/>
        <v>82.008678839176383</v>
      </c>
      <c r="G66" s="1">
        <v>57</v>
      </c>
      <c r="H66" s="17">
        <v>45.932535604932362</v>
      </c>
      <c r="I66" s="17">
        <v>48.45167818452375</v>
      </c>
      <c r="J66" s="17">
        <v>47.106793794568411</v>
      </c>
      <c r="M66" s="17">
        <v>116.18684323589839</v>
      </c>
      <c r="N66" s="17">
        <v>3.5131078114061962</v>
      </c>
      <c r="O66" s="17">
        <v>3.756087230165114</v>
      </c>
      <c r="P66" s="17">
        <v>3.4897789842502069</v>
      </c>
      <c r="S66" s="5">
        <f t="shared" si="3"/>
        <v>87.068973618681213</v>
      </c>
      <c r="T66" s="17"/>
      <c r="U66" s="5">
        <f t="shared" si="4"/>
        <v>85.4658611023943</v>
      </c>
      <c r="W66" s="5">
        <f t="shared" si="5"/>
        <v>78.320448050927368</v>
      </c>
      <c r="Y66">
        <f t="shared" si="12"/>
        <v>57</v>
      </c>
      <c r="Z66" s="3">
        <f t="shared" si="13"/>
        <v>1029.7847351563546</v>
      </c>
      <c r="AA66" s="3">
        <f t="shared" si="14"/>
        <v>1032.4495912652337</v>
      </c>
      <c r="AB66" s="3">
        <f t="shared" si="15"/>
        <v>1165.4490518036482</v>
      </c>
      <c r="AC66" s="3">
        <f t="shared" si="16"/>
        <v>1392.1500876620457</v>
      </c>
      <c r="BC66" s="17">
        <f t="shared" si="17"/>
        <v>81.79700710708228</v>
      </c>
      <c r="BD66" s="3">
        <f t="shared" si="18"/>
        <v>1029.7847351563546</v>
      </c>
      <c r="BF66" s="5">
        <f t="shared" si="6"/>
        <v>87.068973618681213</v>
      </c>
      <c r="BG66">
        <f t="shared" si="7"/>
        <v>1032.4495912652337</v>
      </c>
      <c r="BI66" s="5">
        <f t="shared" si="8"/>
        <v>85.4658611023943</v>
      </c>
      <c r="BJ66">
        <f t="shared" si="9"/>
        <v>1165.4490518036482</v>
      </c>
      <c r="BL66" s="5">
        <f t="shared" si="10"/>
        <v>78.320448050927368</v>
      </c>
      <c r="BM66">
        <f t="shared" si="11"/>
        <v>1392.1500876620457</v>
      </c>
    </row>
    <row r="67" spans="1:65" x14ac:dyDescent="0.25">
      <c r="A67">
        <v>58</v>
      </c>
      <c r="B67" s="17">
        <f t="shared" si="0"/>
        <v>82.838138250560576</v>
      </c>
      <c r="C67" s="17">
        <f t="shared" si="1"/>
        <v>96.755958565098098</v>
      </c>
      <c r="D67" s="17">
        <f t="shared" si="2"/>
        <v>83.076359502106769</v>
      </c>
      <c r="G67" s="1">
        <v>58</v>
      </c>
      <c r="H67" s="17">
        <v>45.949310172803472</v>
      </c>
      <c r="I67" s="17">
        <v>48.489387089174102</v>
      </c>
      <c r="J67" s="17">
        <v>47.130302420812292</v>
      </c>
      <c r="M67" s="17">
        <v>117.3395752909688</v>
      </c>
      <c r="N67" s="17">
        <v>3.5536694822531909</v>
      </c>
      <c r="O67" s="17">
        <v>3.7980782263019628</v>
      </c>
      <c r="P67" s="17">
        <v>3.5230313764252732</v>
      </c>
      <c r="S67" s="5">
        <f t="shared" si="3"/>
        <v>88.108396885446425</v>
      </c>
      <c r="T67" s="17"/>
      <c r="U67" s="5">
        <f t="shared" si="4"/>
        <v>86.636034782684689</v>
      </c>
      <c r="W67" s="5">
        <f t="shared" si="5"/>
        <v>79.71418564297673</v>
      </c>
      <c r="Y67">
        <f t="shared" si="12"/>
        <v>58</v>
      </c>
      <c r="Z67" s="3">
        <f t="shared" si="13"/>
        <v>1041.1311434782961</v>
      </c>
      <c r="AA67" s="3">
        <f t="shared" si="14"/>
        <v>1039.4232667652118</v>
      </c>
      <c r="AB67" s="3">
        <f t="shared" si="15"/>
        <v>1170.1736802903895</v>
      </c>
      <c r="AC67" s="3">
        <f t="shared" si="16"/>
        <v>1393.7375920493623</v>
      </c>
      <c r="BC67" s="17">
        <f t="shared" si="17"/>
        <v>82.838138250560576</v>
      </c>
      <c r="BD67" s="3">
        <f t="shared" si="18"/>
        <v>1041.1311434782961</v>
      </c>
      <c r="BF67" s="5">
        <f t="shared" si="6"/>
        <v>88.108396885446425</v>
      </c>
      <c r="BG67">
        <f t="shared" si="7"/>
        <v>1039.4232667652118</v>
      </c>
      <c r="BI67" s="5">
        <f t="shared" si="8"/>
        <v>86.636034782684689</v>
      </c>
      <c r="BJ67">
        <f t="shared" si="9"/>
        <v>1170.1736802903895</v>
      </c>
      <c r="BL67" s="5">
        <f t="shared" si="10"/>
        <v>79.71418564297673</v>
      </c>
      <c r="BM67">
        <f t="shared" si="11"/>
        <v>1393.7375920493623</v>
      </c>
    </row>
    <row r="68" spans="1:65" x14ac:dyDescent="0.25">
      <c r="A68">
        <v>59</v>
      </c>
      <c r="B68" s="17">
        <f t="shared" si="0"/>
        <v>83.890486614383747</v>
      </c>
      <c r="C68" s="17">
        <f t="shared" si="1"/>
        <v>98.057349162801728</v>
      </c>
      <c r="D68" s="17">
        <f t="shared" si="2"/>
        <v>84.155012338819901</v>
      </c>
      <c r="G68" s="1">
        <v>59</v>
      </c>
      <c r="H68" s="17">
        <v>45.9661439177492</v>
      </c>
      <c r="I68" s="17">
        <v>48.526713067503238</v>
      </c>
      <c r="J68" s="17">
        <v>47.153684962240533</v>
      </c>
      <c r="M68" s="17">
        <v>118.4923073460391</v>
      </c>
      <c r="N68" s="17">
        <v>3.594245580110313</v>
      </c>
      <c r="O68" s="17">
        <v>3.8400005740409608</v>
      </c>
      <c r="P68" s="17">
        <v>3.5561040044975729</v>
      </c>
      <c r="S68" s="5">
        <f t="shared" si="3"/>
        <v>89.154745591596836</v>
      </c>
      <c r="T68" s="17"/>
      <c r="U68" s="5">
        <f t="shared" si="4"/>
        <v>87.810898971752479</v>
      </c>
      <c r="W68" s="5">
        <f t="shared" si="5"/>
        <v>81.109494585344663</v>
      </c>
      <c r="Y68">
        <f t="shared" si="12"/>
        <v>59</v>
      </c>
      <c r="Z68" s="3">
        <f t="shared" si="13"/>
        <v>1052.348363823171</v>
      </c>
      <c r="AA68" s="3">
        <f t="shared" si="14"/>
        <v>1046.3487061504111</v>
      </c>
      <c r="AB68" s="3">
        <f t="shared" si="15"/>
        <v>1174.8641890677902</v>
      </c>
      <c r="AC68" s="3">
        <f t="shared" si="16"/>
        <v>1395.308942367933</v>
      </c>
      <c r="BC68" s="17">
        <f t="shared" si="17"/>
        <v>83.890486614383747</v>
      </c>
      <c r="BD68" s="3">
        <f t="shared" si="18"/>
        <v>1052.348363823171</v>
      </c>
      <c r="BF68" s="5">
        <f t="shared" si="6"/>
        <v>89.154745591596836</v>
      </c>
      <c r="BG68">
        <f t="shared" si="7"/>
        <v>1046.3487061504111</v>
      </c>
      <c r="BI68" s="5">
        <f t="shared" si="8"/>
        <v>87.810898971752479</v>
      </c>
      <c r="BJ68">
        <f t="shared" si="9"/>
        <v>1174.8641890677902</v>
      </c>
      <c r="BL68" s="5">
        <f t="shared" si="10"/>
        <v>81.109494585344663</v>
      </c>
      <c r="BM68">
        <f t="shared" si="11"/>
        <v>1395.308942367933</v>
      </c>
    </row>
    <row r="69" spans="1:65" x14ac:dyDescent="0.25">
      <c r="A69">
        <v>60</v>
      </c>
      <c r="B69" s="17">
        <f t="shared" si="0"/>
        <v>84.953923544922233</v>
      </c>
      <c r="C69" s="17">
        <f t="shared" si="1"/>
        <v>99.370287893530403</v>
      </c>
      <c r="D69" s="17">
        <f t="shared" si="2"/>
        <v>85.244501550523665</v>
      </c>
      <c r="G69" s="1">
        <v>60</v>
      </c>
      <c r="H69" s="17">
        <v>45.983039605053428</v>
      </c>
      <c r="I69" s="17">
        <v>48.563602058211707</v>
      </c>
      <c r="J69" s="17">
        <v>47.176923471190612</v>
      </c>
      <c r="M69" s="17">
        <v>119.6450394011094</v>
      </c>
      <c r="N69" s="17">
        <v>3.6348308092063619</v>
      </c>
      <c r="O69" s="17">
        <v>3.88185071473933</v>
      </c>
      <c r="P69" s="17">
        <v>3.5889981778119551</v>
      </c>
      <c r="S69" s="5">
        <f t="shared" si="3"/>
        <v>90.207971501017553</v>
      </c>
      <c r="T69" s="17"/>
      <c r="U69" s="5">
        <f t="shared" si="4"/>
        <v>88.990419549888429</v>
      </c>
      <c r="W69" s="5">
        <f t="shared" si="5"/>
        <v>82.506358723962521</v>
      </c>
      <c r="Y69">
        <f t="shared" si="12"/>
        <v>60</v>
      </c>
      <c r="Z69" s="3">
        <f t="shared" si="13"/>
        <v>1063.4369305384866</v>
      </c>
      <c r="AA69" s="3">
        <f t="shared" si="14"/>
        <v>1053.2259094207177</v>
      </c>
      <c r="AB69" s="3">
        <f t="shared" si="15"/>
        <v>1179.52057813595</v>
      </c>
      <c r="AC69" s="3">
        <f t="shared" si="16"/>
        <v>1396.8641386178574</v>
      </c>
      <c r="BC69" s="17">
        <f t="shared" si="17"/>
        <v>84.953923544922233</v>
      </c>
      <c r="BD69" s="3">
        <f t="shared" si="18"/>
        <v>1063.4369305384866</v>
      </c>
      <c r="BF69" s="5">
        <f t="shared" si="6"/>
        <v>90.207971501017553</v>
      </c>
      <c r="BG69">
        <f t="shared" si="7"/>
        <v>1053.2259094207177</v>
      </c>
      <c r="BI69" s="5">
        <f t="shared" si="8"/>
        <v>88.990419549888429</v>
      </c>
      <c r="BJ69">
        <f t="shared" si="9"/>
        <v>1179.52057813595</v>
      </c>
      <c r="BL69" s="5">
        <f t="shared" si="10"/>
        <v>82.506358723962521</v>
      </c>
      <c r="BM69">
        <f t="shared" si="11"/>
        <v>1396.8641386178574</v>
      </c>
    </row>
    <row r="70" spans="1:65" x14ac:dyDescent="0.25">
      <c r="A70">
        <v>61</v>
      </c>
      <c r="B70" s="17">
        <f t="shared" si="0"/>
        <v>86.028320922893855</v>
      </c>
      <c r="C70" s="17">
        <f t="shared" si="1"/>
        <v>100.69463298317434</v>
      </c>
      <c r="D70" s="17">
        <f t="shared" si="2"/>
        <v>86.344691923446533</v>
      </c>
      <c r="G70" s="1">
        <v>61</v>
      </c>
      <c r="H70" s="17">
        <v>46</v>
      </c>
      <c r="I70" s="17">
        <v>48.6</v>
      </c>
      <c r="J70" s="17">
        <v>47.2</v>
      </c>
      <c r="M70" s="17">
        <v>120.7977714561797</v>
      </c>
      <c r="N70" s="17">
        <v>3.67541987377014</v>
      </c>
      <c r="O70" s="17">
        <v>3.9236250897542968</v>
      </c>
      <c r="P70" s="17">
        <v>3.621715205713266</v>
      </c>
      <c r="S70" s="5">
        <f t="shared" si="3"/>
        <v>91.26802637759377</v>
      </c>
      <c r="T70" s="17"/>
      <c r="U70" s="5">
        <f t="shared" si="4"/>
        <v>90.174562397383198</v>
      </c>
      <c r="W70" s="5">
        <f t="shared" si="5"/>
        <v>83.904761904761585</v>
      </c>
      <c r="Y70">
        <f t="shared" si="12"/>
        <v>61</v>
      </c>
      <c r="Z70" s="3">
        <f t="shared" si="13"/>
        <v>1074.3973779716214</v>
      </c>
      <c r="AA70" s="3">
        <f t="shared" si="14"/>
        <v>1060.0548765762169</v>
      </c>
      <c r="AB70" s="3">
        <f t="shared" si="15"/>
        <v>1184.1428474947691</v>
      </c>
      <c r="AC70" s="3">
        <f t="shared" si="16"/>
        <v>1398.4031807990646</v>
      </c>
      <c r="BC70" s="17">
        <f t="shared" si="17"/>
        <v>86.028320922893855</v>
      </c>
      <c r="BD70" s="3">
        <f t="shared" si="18"/>
        <v>1074.3973779716214</v>
      </c>
      <c r="BF70" s="5">
        <f t="shared" si="6"/>
        <v>91.26802637759377</v>
      </c>
      <c r="BG70">
        <f t="shared" si="7"/>
        <v>1060.0548765762169</v>
      </c>
      <c r="BI70" s="5">
        <f t="shared" si="8"/>
        <v>90.174562397383198</v>
      </c>
      <c r="BJ70">
        <f t="shared" si="9"/>
        <v>1184.1428474947691</v>
      </c>
      <c r="BL70" s="5">
        <f t="shared" si="10"/>
        <v>83.904761904761585</v>
      </c>
      <c r="BM70">
        <f t="shared" si="11"/>
        <v>1398.4031807990646</v>
      </c>
    </row>
    <row r="71" spans="1:65" x14ac:dyDescent="0.25">
      <c r="A71">
        <v>62</v>
      </c>
      <c r="B71" s="17">
        <f t="shared" si="0"/>
        <v>87.113551163363894</v>
      </c>
      <c r="C71" s="17">
        <f t="shared" si="1"/>
        <v>102.03024327856033</v>
      </c>
      <c r="D71" s="17">
        <f t="shared" si="2"/>
        <v>87.455448828837547</v>
      </c>
      <c r="G71" s="1">
        <v>62</v>
      </c>
      <c r="H71" s="17">
        <v>46.017027133192663</v>
      </c>
      <c r="I71" s="17">
        <v>48.635863648012858</v>
      </c>
      <c r="J71" s="17">
        <v>47.222900175560049</v>
      </c>
      <c r="M71" s="17">
        <v>121.95050351125001</v>
      </c>
      <c r="N71" s="17">
        <v>3.716007478030448</v>
      </c>
      <c r="O71" s="17">
        <v>3.9653201404430818</v>
      </c>
      <c r="P71" s="17">
        <v>3.6542563975463538</v>
      </c>
      <c r="S71" s="5">
        <f t="shared" si="3"/>
        <v>92.334861985210651</v>
      </c>
      <c r="T71" s="17"/>
      <c r="U71" s="5">
        <f t="shared" si="4"/>
        <v>91.363293394527517</v>
      </c>
      <c r="W71" s="5">
        <f t="shared" si="5"/>
        <v>85.304687973673154</v>
      </c>
      <c r="Y71">
        <f t="shared" si="12"/>
        <v>62</v>
      </c>
      <c r="Z71" s="3">
        <f t="shared" si="13"/>
        <v>1085.2302404700395</v>
      </c>
      <c r="AA71" s="3">
        <f t="shared" si="14"/>
        <v>1066.8356076168807</v>
      </c>
      <c r="AB71" s="3">
        <f t="shared" si="15"/>
        <v>1188.7309971443187</v>
      </c>
      <c r="AC71" s="3">
        <f t="shared" si="16"/>
        <v>1399.9260689115686</v>
      </c>
      <c r="BC71" s="17">
        <f t="shared" si="17"/>
        <v>87.113551163363894</v>
      </c>
      <c r="BD71" s="3">
        <f t="shared" si="18"/>
        <v>1085.2302404700395</v>
      </c>
      <c r="BF71" s="5">
        <f t="shared" si="6"/>
        <v>92.334861985210651</v>
      </c>
      <c r="BG71">
        <f t="shared" si="7"/>
        <v>1066.8356076168807</v>
      </c>
      <c r="BI71" s="5">
        <f t="shared" si="8"/>
        <v>91.363293394527517</v>
      </c>
      <c r="BJ71">
        <f t="shared" si="9"/>
        <v>1188.7309971443187</v>
      </c>
      <c r="BL71" s="5">
        <f t="shared" si="10"/>
        <v>85.304687973673154</v>
      </c>
      <c r="BM71">
        <f t="shared" si="11"/>
        <v>1399.9260689115686</v>
      </c>
    </row>
    <row r="72" spans="1:65" x14ac:dyDescent="0.25">
      <c r="A72">
        <v>63</v>
      </c>
      <c r="B72" s="17">
        <f t="shared" si="0"/>
        <v>88.209487215744986</v>
      </c>
      <c r="C72" s="17">
        <f t="shared" si="1"/>
        <v>103.37697824745183</v>
      </c>
      <c r="D72" s="17">
        <f t="shared" si="2"/>
        <v>88.576638222966366</v>
      </c>
      <c r="G72" s="1">
        <v>63</v>
      </c>
      <c r="H72" s="17">
        <v>46.034120096514599</v>
      </c>
      <c r="I72" s="17">
        <v>48.671193023171817</v>
      </c>
      <c r="J72" s="17">
        <v>47.245623922977643</v>
      </c>
      <c r="M72" s="17">
        <v>123.10323556632029</v>
      </c>
      <c r="N72" s="17">
        <v>3.7565883262160851</v>
      </c>
      <c r="O72" s="17">
        <v>4.0069323081629129</v>
      </c>
      <c r="P72" s="17">
        <v>3.6866230626560679</v>
      </c>
      <c r="S72" s="5">
        <f t="shared" si="3"/>
        <v>93.408430087753374</v>
      </c>
      <c r="T72" s="17"/>
      <c r="U72" s="5">
        <f t="shared" si="4"/>
        <v>92.556578421612102</v>
      </c>
      <c r="W72" s="5">
        <f t="shared" si="5"/>
        <v>86.706120776628552</v>
      </c>
      <c r="Y72">
        <f t="shared" si="12"/>
        <v>63</v>
      </c>
      <c r="Z72" s="3">
        <f t="shared" si="13"/>
        <v>1095.9360523810915</v>
      </c>
      <c r="AA72" s="3">
        <f t="shared" si="14"/>
        <v>1073.5681025427225</v>
      </c>
      <c r="AB72" s="3">
        <f t="shared" si="15"/>
        <v>1193.2850270845847</v>
      </c>
      <c r="AC72" s="3">
        <f t="shared" si="16"/>
        <v>1401.4328029553981</v>
      </c>
      <c r="BC72" s="17">
        <f t="shared" si="17"/>
        <v>88.209487215744986</v>
      </c>
      <c r="BD72" s="3">
        <f t="shared" si="18"/>
        <v>1095.9360523810915</v>
      </c>
      <c r="BF72" s="5">
        <f t="shared" si="6"/>
        <v>93.408430087753374</v>
      </c>
      <c r="BG72">
        <f t="shared" si="7"/>
        <v>1073.5681025427225</v>
      </c>
      <c r="BI72" s="5">
        <f t="shared" si="8"/>
        <v>92.556578421612102</v>
      </c>
      <c r="BJ72">
        <f t="shared" si="9"/>
        <v>1193.2850270845847</v>
      </c>
      <c r="BL72" s="5">
        <f t="shared" si="10"/>
        <v>86.706120776628552</v>
      </c>
      <c r="BM72">
        <f t="shared" si="11"/>
        <v>1401.4328029553981</v>
      </c>
    </row>
    <row r="73" spans="1:65" x14ac:dyDescent="0.25">
      <c r="A73">
        <v>64</v>
      </c>
      <c r="B73" s="17">
        <f t="shared" si="0"/>
        <v>89.316002563797269</v>
      </c>
      <c r="C73" s="17">
        <f t="shared" si="1"/>
        <v>104.73469797854884</v>
      </c>
      <c r="D73" s="17">
        <f t="shared" si="2"/>
        <v>89.708126647123279</v>
      </c>
      <c r="G73" s="1">
        <v>64</v>
      </c>
      <c r="H73" s="17">
        <v>46.051277247168898</v>
      </c>
      <c r="I73" s="17">
        <v>48.705998962842671</v>
      </c>
      <c r="J73" s="17">
        <v>47.268174741913583</v>
      </c>
      <c r="M73" s="17">
        <v>124.2559676213906</v>
      </c>
      <c r="N73" s="17">
        <v>3.797157122555856</v>
      </c>
      <c r="O73" s="17">
        <v>4.0484580342710101</v>
      </c>
      <c r="P73" s="17">
        <v>3.7188165103872559</v>
      </c>
      <c r="S73" s="5">
        <f t="shared" si="3"/>
        <v>94.488682449107088</v>
      </c>
      <c r="T73" s="17"/>
      <c r="U73" s="5">
        <f t="shared" si="4"/>
        <v>93.754383358927669</v>
      </c>
      <c r="W73" s="5">
        <f t="shared" si="5"/>
        <v>88.109044159559062</v>
      </c>
      <c r="Y73">
        <f t="shared" si="12"/>
        <v>64</v>
      </c>
      <c r="Z73" s="3">
        <f t="shared" si="13"/>
        <v>1106.5153480522838</v>
      </c>
      <c r="AA73" s="3">
        <f t="shared" si="14"/>
        <v>1080.2523613537146</v>
      </c>
      <c r="AB73" s="3">
        <f t="shared" si="15"/>
        <v>1197.804937315567</v>
      </c>
      <c r="AC73" s="3">
        <f t="shared" si="16"/>
        <v>1402.9233829305099</v>
      </c>
      <c r="BC73" s="17">
        <f t="shared" si="17"/>
        <v>89.316002563797269</v>
      </c>
      <c r="BD73" s="3">
        <f t="shared" si="18"/>
        <v>1106.5153480522838</v>
      </c>
      <c r="BF73" s="5">
        <f t="shared" si="6"/>
        <v>94.488682449107088</v>
      </c>
      <c r="BG73">
        <f t="shared" si="7"/>
        <v>1080.2523613537146</v>
      </c>
      <c r="BI73" s="5">
        <f t="shared" si="8"/>
        <v>93.754383358927669</v>
      </c>
      <c r="BJ73">
        <f t="shared" si="9"/>
        <v>1197.804937315567</v>
      </c>
      <c r="BL73" s="5">
        <f t="shared" si="10"/>
        <v>88.109044159559062</v>
      </c>
      <c r="BM73">
        <f t="shared" si="11"/>
        <v>1402.9233829305099</v>
      </c>
    </row>
    <row r="74" spans="1:65" x14ac:dyDescent="0.25">
      <c r="A74">
        <v>65</v>
      </c>
      <c r="B74" s="17">
        <f t="shared" ref="B74:B137" si="19">$B$2+$B$3*A74+$B$4*A74^2+$B$5*A74^3+$B$6*A74^4</f>
        <v>90.432971225628208</v>
      </c>
      <c r="C74" s="17">
        <f t="shared" ref="C74:C137" si="20">$C$2+$C$3*A74+$C$4*A74^2+$C$5*A74^3+$C$6*A74^4</f>
        <v>106.10326318148806</v>
      </c>
      <c r="D74" s="17">
        <f t="shared" ref="D74:D137" si="21">$D$2+$D$3*A74+$D$4*A74^2+$D$5*A74^3+$D$6*A74^4</f>
        <v>90.849781227619161</v>
      </c>
      <c r="G74" s="1">
        <v>65</v>
      </c>
      <c r="H74" s="17">
        <v>46.068496942358642</v>
      </c>
      <c r="I74" s="17">
        <v>48.740292304391147</v>
      </c>
      <c r="J74" s="17">
        <v>47.290556132028627</v>
      </c>
      <c r="M74" s="17">
        <v>125.4086996764609</v>
      </c>
      <c r="N74" s="17">
        <v>3.8377085712785588</v>
      </c>
      <c r="O74" s="17">
        <v>4.0898937601245997</v>
      </c>
      <c r="P74" s="17">
        <v>3.7508380500847629</v>
      </c>
      <c r="S74" s="5">
        <f t="shared" ref="S74:S137" si="22">$R$8+$R$9*A74+$R$10*A74*A74+$R$11*A74*A74*A74</f>
        <v>95.575570833156974</v>
      </c>
      <c r="T74" s="17"/>
      <c r="U74" s="5">
        <f t="shared" ref="U74:U137" si="23">$T$8+$T$9*A74+$T$10*A74*A74+$T$11*A74*A74*A74</f>
        <v>94.956674086764906</v>
      </c>
      <c r="W74" s="5">
        <f t="shared" ref="W74:W137" si="24">$V$8+$V$9*A74+$V$10*A74*A74+$V$11*A74*A74*A74</f>
        <v>89.513441968396009</v>
      </c>
      <c r="Y74">
        <f t="shared" si="12"/>
        <v>65</v>
      </c>
      <c r="Z74" s="3">
        <f t="shared" si="13"/>
        <v>1116.9686618309383</v>
      </c>
      <c r="AA74" s="3">
        <f t="shared" si="14"/>
        <v>1086.8883840498852</v>
      </c>
      <c r="AB74" s="3">
        <f t="shared" si="15"/>
        <v>1202.2907278372372</v>
      </c>
      <c r="AC74" s="3">
        <f t="shared" si="16"/>
        <v>1404.3978088369472</v>
      </c>
      <c r="BC74" s="17">
        <f t="shared" si="17"/>
        <v>90.432971225628208</v>
      </c>
      <c r="BD74" s="3">
        <f t="shared" si="18"/>
        <v>1116.9686618309383</v>
      </c>
      <c r="BF74" s="5">
        <f t="shared" ref="BF74:BF137" si="25">S74</f>
        <v>95.575570833156974</v>
      </c>
      <c r="BG74">
        <f t="shared" ref="BG74:BG137" si="26">AA74</f>
        <v>1086.8883840498852</v>
      </c>
      <c r="BI74" s="5">
        <f t="shared" ref="BI74:BI137" si="27">U74</f>
        <v>94.956674086764906</v>
      </c>
      <c r="BJ74">
        <f t="shared" ref="BJ74:BJ137" si="28">AB74</f>
        <v>1202.2907278372372</v>
      </c>
      <c r="BL74" s="5">
        <f t="shared" ref="BL74:BL137" si="29">W74</f>
        <v>89.513441968396009</v>
      </c>
      <c r="BM74">
        <f t="shared" ref="BM74:BM137" si="30">AC74</f>
        <v>1404.3978088369472</v>
      </c>
    </row>
    <row r="75" spans="1:65" x14ac:dyDescent="0.25">
      <c r="A75">
        <v>66</v>
      </c>
      <c r="B75" s="17">
        <f t="shared" si="19"/>
        <v>91.560267753692756</v>
      </c>
      <c r="C75" s="17">
        <f t="shared" si="20"/>
        <v>107.48253518684274</v>
      </c>
      <c r="D75" s="17">
        <f t="shared" si="21"/>
        <v>92.001469675785472</v>
      </c>
      <c r="G75" s="1">
        <v>66</v>
      </c>
      <c r="H75" s="17">
        <v>46.08577753928688</v>
      </c>
      <c r="I75" s="17">
        <v>48.774083885183039</v>
      </c>
      <c r="J75" s="17">
        <v>47.312771592983573</v>
      </c>
      <c r="M75" s="17">
        <v>126.5614317315313</v>
      </c>
      <c r="N75" s="17">
        <v>3.8782373766129958</v>
      </c>
      <c r="O75" s="17">
        <v>4.1312359270809029</v>
      </c>
      <c r="P75" s="17">
        <v>3.7826889910934409</v>
      </c>
      <c r="S75" s="5">
        <f t="shared" si="22"/>
        <v>96.669047003788179</v>
      </c>
      <c r="T75" s="17"/>
      <c r="U75" s="5">
        <f t="shared" si="23"/>
        <v>96.163416485414544</v>
      </c>
      <c r="W75" s="5">
        <f t="shared" si="24"/>
        <v>90.91929804907069</v>
      </c>
      <c r="Y75">
        <f t="shared" ref="Y75:Y138" si="31">A75</f>
        <v>66</v>
      </c>
      <c r="Z75" s="3">
        <f t="shared" ref="Z75:Z138" si="32">(B75-B74)*1000</f>
        <v>1127.2965280645481</v>
      </c>
      <c r="AA75" s="3">
        <f t="shared" ref="AA75:AA138" si="33">(S75-S74)*1000</f>
        <v>1093.4761706312061</v>
      </c>
      <c r="AB75" s="3">
        <f t="shared" ref="AB75:AB138" si="34">(U75-U74)*1000</f>
        <v>1206.7423986496378</v>
      </c>
      <c r="AC75" s="3">
        <f t="shared" ref="AC75:AC138" si="35">(W75-W74)*1000</f>
        <v>1405.8560806746812</v>
      </c>
      <c r="BC75" s="17">
        <f t="shared" ref="BC75:BC138" si="36">B75</f>
        <v>91.560267753692756</v>
      </c>
      <c r="BD75" s="3">
        <f t="shared" ref="BD75:BD138" si="37">Z75</f>
        <v>1127.2965280645481</v>
      </c>
      <c r="BF75" s="5">
        <f t="shared" si="25"/>
        <v>96.669047003788179</v>
      </c>
      <c r="BG75">
        <f t="shared" si="26"/>
        <v>1093.4761706312061</v>
      </c>
      <c r="BI75" s="5">
        <f t="shared" si="27"/>
        <v>96.163416485414544</v>
      </c>
      <c r="BJ75">
        <f t="shared" si="28"/>
        <v>1206.7423986496378</v>
      </c>
      <c r="BL75" s="5">
        <f t="shared" si="29"/>
        <v>90.91929804907069</v>
      </c>
      <c r="BM75">
        <f t="shared" si="30"/>
        <v>1405.8560806746812</v>
      </c>
    </row>
    <row r="76" spans="1:65" x14ac:dyDescent="0.25">
      <c r="A76">
        <v>67</v>
      </c>
      <c r="B76" s="17">
        <f t="shared" si="19"/>
        <v>92.697767234793275</v>
      </c>
      <c r="C76" s="17">
        <f t="shared" si="20"/>
        <v>108.87237594612277</v>
      </c>
      <c r="D76" s="17">
        <f t="shared" si="21"/>
        <v>93.163060287974346</v>
      </c>
      <c r="G76" s="1">
        <v>67</v>
      </c>
      <c r="H76" s="17">
        <v>46.103117395156708</v>
      </c>
      <c r="I76" s="17">
        <v>48.807384542584103</v>
      </c>
      <c r="J76" s="17">
        <v>47.334824624439193</v>
      </c>
      <c r="M76" s="17">
        <v>127.7141637866016</v>
      </c>
      <c r="N76" s="17">
        <v>3.9187382427879678</v>
      </c>
      <c r="O76" s="17">
        <v>4.1724809764971464</v>
      </c>
      <c r="P76" s="17">
        <v>3.814370642758135</v>
      </c>
      <c r="S76" s="5">
        <f t="shared" si="22"/>
        <v>97.769062724885927</v>
      </c>
      <c r="T76" s="17"/>
      <c r="U76" s="5">
        <f t="shared" si="23"/>
        <v>97.374576435167256</v>
      </c>
      <c r="W76" s="5">
        <f t="shared" si="24"/>
        <v>92.326596247514388</v>
      </c>
      <c r="Y76">
        <f t="shared" si="31"/>
        <v>67</v>
      </c>
      <c r="Z76" s="3">
        <f t="shared" si="32"/>
        <v>1137.4994811005195</v>
      </c>
      <c r="AA76" s="3">
        <f t="shared" si="33"/>
        <v>1100.0157210977477</v>
      </c>
      <c r="AB76" s="3">
        <f t="shared" si="34"/>
        <v>1211.1599497527122</v>
      </c>
      <c r="AC76" s="3">
        <f t="shared" si="35"/>
        <v>1407.2981984436979</v>
      </c>
      <c r="BC76" s="17">
        <f t="shared" si="36"/>
        <v>92.697767234793275</v>
      </c>
      <c r="BD76" s="3">
        <f t="shared" si="37"/>
        <v>1137.4994811005195</v>
      </c>
      <c r="BF76" s="5">
        <f t="shared" si="25"/>
        <v>97.769062724885927</v>
      </c>
      <c r="BG76">
        <f t="shared" si="26"/>
        <v>1100.0157210977477</v>
      </c>
      <c r="BI76" s="5">
        <f t="shared" si="27"/>
        <v>97.374576435167256</v>
      </c>
      <c r="BJ76">
        <f t="shared" si="28"/>
        <v>1211.1599497527122</v>
      </c>
      <c r="BL76" s="5">
        <f t="shared" si="29"/>
        <v>92.326596247514388</v>
      </c>
      <c r="BM76">
        <f t="shared" si="30"/>
        <v>1407.2981984436979</v>
      </c>
    </row>
    <row r="77" spans="1:65" x14ac:dyDescent="0.25">
      <c r="A77">
        <v>68</v>
      </c>
      <c r="B77" s="17">
        <f t="shared" si="19"/>
        <v>93.84534529007955</v>
      </c>
      <c r="C77" s="17">
        <f t="shared" si="20"/>
        <v>110.27264803177465</v>
      </c>
      <c r="D77" s="17">
        <f t="shared" si="21"/>
        <v>94.334421945558418</v>
      </c>
      <c r="G77" s="1">
        <v>68</v>
      </c>
      <c r="H77" s="17">
        <v>46.120514867171202</v>
      </c>
      <c r="I77" s="17">
        <v>48.840205113960081</v>
      </c>
      <c r="J77" s="17">
        <v>47.356718726056272</v>
      </c>
      <c r="M77" s="17">
        <v>128.86689584167189</v>
      </c>
      <c r="N77" s="17">
        <v>3.9592058740322762</v>
      </c>
      <c r="O77" s="17">
        <v>4.2136253497305507</v>
      </c>
      <c r="P77" s="17">
        <v>3.8458843144236949</v>
      </c>
      <c r="S77" s="5">
        <f t="shared" si="22"/>
        <v>98.87556976033531</v>
      </c>
      <c r="T77" s="17"/>
      <c r="U77" s="5">
        <f t="shared" si="23"/>
        <v>98.590119816313788</v>
      </c>
      <c r="W77" s="5">
        <f t="shared" si="24"/>
        <v>93.735320409658428</v>
      </c>
      <c r="Y77">
        <f t="shared" si="31"/>
        <v>68</v>
      </c>
      <c r="Z77" s="3">
        <f t="shared" si="32"/>
        <v>1147.5780552862743</v>
      </c>
      <c r="AA77" s="3">
        <f t="shared" si="33"/>
        <v>1106.5070354493828</v>
      </c>
      <c r="AB77" s="3">
        <f t="shared" si="34"/>
        <v>1215.5433811465314</v>
      </c>
      <c r="AC77" s="3">
        <f t="shared" si="35"/>
        <v>1408.7241621440398</v>
      </c>
      <c r="BC77" s="17">
        <f t="shared" si="36"/>
        <v>93.84534529007955</v>
      </c>
      <c r="BD77" s="3">
        <f t="shared" si="37"/>
        <v>1147.5780552862743</v>
      </c>
      <c r="BF77" s="5">
        <f t="shared" si="25"/>
        <v>98.87556976033531</v>
      </c>
      <c r="BG77">
        <f t="shared" si="26"/>
        <v>1106.5070354493828</v>
      </c>
      <c r="BI77" s="5">
        <f t="shared" si="27"/>
        <v>98.590119816313788</v>
      </c>
      <c r="BJ77">
        <f t="shared" si="28"/>
        <v>1215.5433811465314</v>
      </c>
      <c r="BL77" s="5">
        <f t="shared" si="29"/>
        <v>93.735320409658428</v>
      </c>
      <c r="BM77">
        <f t="shared" si="30"/>
        <v>1408.7241621440398</v>
      </c>
    </row>
    <row r="78" spans="1:65" x14ac:dyDescent="0.25">
      <c r="A78">
        <v>69</v>
      </c>
      <c r="B78" s="17">
        <f t="shared" si="19"/>
        <v>95.002878075048741</v>
      </c>
      <c r="C78" s="17">
        <f t="shared" si="20"/>
        <v>111.68321463718149</v>
      </c>
      <c r="D78" s="17">
        <f t="shared" si="21"/>
        <v>95.515424114931008</v>
      </c>
      <c r="G78" s="1">
        <v>69</v>
      </c>
      <c r="H78" s="17">
        <v>46.137968312533417</v>
      </c>
      <c r="I78" s="17">
        <v>48.87255643667676</v>
      </c>
      <c r="J78" s="17">
        <v>47.37845739749558</v>
      </c>
      <c r="M78" s="17">
        <v>130.01962789674221</v>
      </c>
      <c r="N78" s="17">
        <v>3.9996349745747208</v>
      </c>
      <c r="O78" s="17">
        <v>4.2546654881383432</v>
      </c>
      <c r="P78" s="17">
        <v>3.8772313154349658</v>
      </c>
      <c r="S78" s="5">
        <f t="shared" si="22"/>
        <v>99.988519874021534</v>
      </c>
      <c r="T78" s="17"/>
      <c r="U78" s="5">
        <f t="shared" si="23"/>
        <v>99.810012509144855</v>
      </c>
      <c r="W78" s="5">
        <f t="shared" si="24"/>
        <v>95.145454381434121</v>
      </c>
      <c r="Y78">
        <f t="shared" si="31"/>
        <v>69</v>
      </c>
      <c r="Z78" s="3">
        <f t="shared" si="32"/>
        <v>1157.5327849691917</v>
      </c>
      <c r="AA78" s="3">
        <f t="shared" si="33"/>
        <v>1112.9501136862245</v>
      </c>
      <c r="AB78" s="3">
        <f t="shared" si="34"/>
        <v>1219.8926928310671</v>
      </c>
      <c r="AC78" s="3">
        <f t="shared" si="35"/>
        <v>1410.1339717756928</v>
      </c>
      <c r="BC78" s="17">
        <f t="shared" si="36"/>
        <v>95.002878075048741</v>
      </c>
      <c r="BD78" s="3">
        <f t="shared" si="37"/>
        <v>1157.5327849691917</v>
      </c>
      <c r="BF78" s="5">
        <f t="shared" si="25"/>
        <v>99.988519874021534</v>
      </c>
      <c r="BG78">
        <f t="shared" si="26"/>
        <v>1112.9501136862245</v>
      </c>
      <c r="BI78" s="5">
        <f t="shared" si="27"/>
        <v>99.810012509144855</v>
      </c>
      <c r="BJ78">
        <f t="shared" si="28"/>
        <v>1219.8926928310671</v>
      </c>
      <c r="BL78" s="5">
        <f t="shared" si="29"/>
        <v>95.145454381434121</v>
      </c>
      <c r="BM78">
        <f t="shared" si="30"/>
        <v>1410.1339717756928</v>
      </c>
    </row>
    <row r="79" spans="1:65" x14ac:dyDescent="0.25">
      <c r="A79">
        <v>70</v>
      </c>
      <c r="B79" s="17">
        <f t="shared" si="19"/>
        <v>96.170242279545477</v>
      </c>
      <c r="C79" s="17">
        <f t="shared" si="20"/>
        <v>113.10393957666302</v>
      </c>
      <c r="D79" s="17">
        <f t="shared" si="21"/>
        <v>96.70593684750601</v>
      </c>
      <c r="G79" s="1">
        <v>70</v>
      </c>
      <c r="H79" s="17">
        <v>46.155476088446449</v>
      </c>
      <c r="I79" s="17">
        <v>48.904449348099902</v>
      </c>
      <c r="J79" s="17">
        <v>47.400044138417918</v>
      </c>
      <c r="M79" s="17">
        <v>131.1723599518125</v>
      </c>
      <c r="N79" s="17">
        <v>4.0400202486441028</v>
      </c>
      <c r="O79" s="17">
        <v>4.2955978330777453</v>
      </c>
      <c r="P79" s="17">
        <v>3.9084129551367992</v>
      </c>
      <c r="S79" s="5">
        <f t="shared" si="22"/>
        <v>101.10786482982977</v>
      </c>
      <c r="T79" s="17"/>
      <c r="U79" s="5">
        <f t="shared" si="23"/>
        <v>101.03422039395113</v>
      </c>
      <c r="W79" s="5">
        <f t="shared" si="24"/>
        <v>96.556982008772763</v>
      </c>
      <c r="Y79">
        <f t="shared" si="31"/>
        <v>70</v>
      </c>
      <c r="Z79" s="3">
        <f t="shared" si="32"/>
        <v>1167.3642044967351</v>
      </c>
      <c r="AA79" s="3">
        <f t="shared" si="33"/>
        <v>1119.3449558082307</v>
      </c>
      <c r="AB79" s="3">
        <f t="shared" si="34"/>
        <v>1224.2078848062761</v>
      </c>
      <c r="AC79" s="3">
        <f t="shared" si="35"/>
        <v>1411.5276273386428</v>
      </c>
      <c r="BC79" s="17">
        <f t="shared" si="36"/>
        <v>96.170242279545477</v>
      </c>
      <c r="BD79" s="3">
        <f t="shared" si="37"/>
        <v>1167.3642044967351</v>
      </c>
      <c r="BF79" s="5">
        <f t="shared" si="25"/>
        <v>101.10786482982977</v>
      </c>
      <c r="BG79">
        <f t="shared" si="26"/>
        <v>1119.3449558082307</v>
      </c>
      <c r="BI79" s="5">
        <f t="shared" si="27"/>
        <v>101.03422039395113</v>
      </c>
      <c r="BJ79">
        <f t="shared" si="28"/>
        <v>1224.2078848062761</v>
      </c>
      <c r="BL79" s="5">
        <f t="shared" si="29"/>
        <v>96.556982008772763</v>
      </c>
      <c r="BM79">
        <f t="shared" si="30"/>
        <v>1411.5276273386428</v>
      </c>
    </row>
    <row r="80" spans="1:65" x14ac:dyDescent="0.25">
      <c r="A80">
        <v>71</v>
      </c>
      <c r="B80" s="17">
        <f t="shared" si="19"/>
        <v>97.347315127761803</v>
      </c>
      <c r="C80" s="17">
        <f t="shared" si="20"/>
        <v>114.53468728547554</v>
      </c>
      <c r="D80" s="17">
        <f t="shared" si="21"/>
        <v>97.905830779717931</v>
      </c>
      <c r="G80" s="1">
        <v>71</v>
      </c>
      <c r="H80" s="17">
        <v>46.173036552113359</v>
      </c>
      <c r="I80" s="17">
        <v>48.935894685595251</v>
      </c>
      <c r="J80" s="17">
        <v>47.421482448484063</v>
      </c>
      <c r="M80" s="17">
        <v>132.32509200688281</v>
      </c>
      <c r="N80" s="17">
        <v>4.0803564004692241</v>
      </c>
      <c r="O80" s="17">
        <v>4.3364188259059819</v>
      </c>
      <c r="P80" s="17">
        <v>3.9394305428740402</v>
      </c>
      <c r="S80" s="5">
        <f t="shared" si="22"/>
        <v>102.23355639164518</v>
      </c>
      <c r="T80" s="17"/>
      <c r="U80" s="5">
        <f t="shared" si="23"/>
        <v>102.26270935102335</v>
      </c>
      <c r="W80" s="5">
        <f t="shared" si="24"/>
        <v>97.969887137605681</v>
      </c>
      <c r="Y80">
        <f t="shared" si="31"/>
        <v>71</v>
      </c>
      <c r="Z80" s="3">
        <f t="shared" si="32"/>
        <v>1177.0728482163263</v>
      </c>
      <c r="AA80" s="3">
        <f t="shared" si="33"/>
        <v>1125.6915618154153</v>
      </c>
      <c r="AB80" s="3">
        <f t="shared" si="34"/>
        <v>1228.4889570722157</v>
      </c>
      <c r="AC80" s="3">
        <f t="shared" si="35"/>
        <v>1412.9051288329179</v>
      </c>
      <c r="BC80" s="17">
        <f t="shared" si="36"/>
        <v>97.347315127761803</v>
      </c>
      <c r="BD80" s="3">
        <f t="shared" si="37"/>
        <v>1177.0728482163263</v>
      </c>
      <c r="BF80" s="5">
        <f t="shared" si="25"/>
        <v>102.23355639164518</v>
      </c>
      <c r="BG80">
        <f t="shared" si="26"/>
        <v>1125.6915618154153</v>
      </c>
      <c r="BI80" s="5">
        <f t="shared" si="27"/>
        <v>102.26270935102335</v>
      </c>
      <c r="BJ80">
        <f t="shared" si="28"/>
        <v>1228.4889570722157</v>
      </c>
      <c r="BL80" s="5">
        <f t="shared" si="29"/>
        <v>97.969887137605681</v>
      </c>
      <c r="BM80">
        <f t="shared" si="30"/>
        <v>1412.9051288329179</v>
      </c>
    </row>
    <row r="81" spans="1:65" x14ac:dyDescent="0.25">
      <c r="A81">
        <v>72</v>
      </c>
      <c r="B81" s="17">
        <f t="shared" si="19"/>
        <v>98.533974378237176</v>
      </c>
      <c r="C81" s="17">
        <f t="shared" si="20"/>
        <v>115.97532281981204</v>
      </c>
      <c r="D81" s="17">
        <f t="shared" si="21"/>
        <v>99.114977133021895</v>
      </c>
      <c r="G81" s="1">
        <v>72</v>
      </c>
      <c r="H81" s="17">
        <v>46.190648060737232</v>
      </c>
      <c r="I81" s="17">
        <v>48.966903286528591</v>
      </c>
      <c r="J81" s="17">
        <v>47.442775827354787</v>
      </c>
      <c r="M81" s="17">
        <v>133.4778240619531</v>
      </c>
      <c r="N81" s="17">
        <v>4.1206381342788863</v>
      </c>
      <c r="O81" s="17">
        <v>4.3771249079802761</v>
      </c>
      <c r="P81" s="17">
        <v>3.9702853879915381</v>
      </c>
      <c r="S81" s="5">
        <f t="shared" si="22"/>
        <v>103.36554632335292</v>
      </c>
      <c r="T81" s="17"/>
      <c r="U81" s="5">
        <f t="shared" si="23"/>
        <v>103.49544526065219</v>
      </c>
      <c r="W81" s="5">
        <f t="shared" si="24"/>
        <v>99.384153613864129</v>
      </c>
      <c r="Y81">
        <f t="shared" si="31"/>
        <v>72</v>
      </c>
      <c r="Z81" s="3">
        <f t="shared" si="32"/>
        <v>1186.6592504753726</v>
      </c>
      <c r="AA81" s="3">
        <f t="shared" si="33"/>
        <v>1131.9899317077356</v>
      </c>
      <c r="AB81" s="3">
        <f t="shared" si="34"/>
        <v>1232.7359096288433</v>
      </c>
      <c r="AC81" s="3">
        <f t="shared" si="35"/>
        <v>1414.2664762584473</v>
      </c>
      <c r="BC81" s="17">
        <f t="shared" si="36"/>
        <v>98.533974378237176</v>
      </c>
      <c r="BD81" s="3">
        <f t="shared" si="37"/>
        <v>1186.6592504753726</v>
      </c>
      <c r="BF81" s="5">
        <f t="shared" si="25"/>
        <v>103.36554632335292</v>
      </c>
      <c r="BG81">
        <f t="shared" si="26"/>
        <v>1131.9899317077356</v>
      </c>
      <c r="BI81" s="5">
        <f t="shared" si="27"/>
        <v>103.49544526065219</v>
      </c>
      <c r="BJ81">
        <f t="shared" si="28"/>
        <v>1232.7359096288433</v>
      </c>
      <c r="BL81" s="5">
        <f t="shared" si="29"/>
        <v>99.384153613864129</v>
      </c>
      <c r="BM81">
        <f t="shared" si="30"/>
        <v>1414.2664762584473</v>
      </c>
    </row>
    <row r="82" spans="1:65" x14ac:dyDescent="0.25">
      <c r="A82">
        <v>73</v>
      </c>
      <c r="B82" s="17">
        <f t="shared" si="19"/>
        <v>99.730098323858456</v>
      </c>
      <c r="C82" s="17">
        <f t="shared" si="20"/>
        <v>117.42571185680205</v>
      </c>
      <c r="D82" s="17">
        <f t="shared" si="21"/>
        <v>100.3332477138936</v>
      </c>
      <c r="G82" s="1">
        <v>73</v>
      </c>
      <c r="H82" s="17">
        <v>46.208308971521127</v>
      </c>
      <c r="I82" s="17">
        <v>48.99748598826568</v>
      </c>
      <c r="J82" s="17">
        <v>47.463927774690873</v>
      </c>
      <c r="M82" s="17">
        <v>134.6305561170235</v>
      </c>
      <c r="N82" s="17">
        <v>4.160860154301889</v>
      </c>
      <c r="O82" s="17">
        <v>4.4177125206578518</v>
      </c>
      <c r="P82" s="17">
        <v>4.0009787998341402</v>
      </c>
      <c r="S82" s="5">
        <f t="shared" si="22"/>
        <v>104.50378638883817</v>
      </c>
      <c r="T82" s="17"/>
      <c r="U82" s="5">
        <f t="shared" si="23"/>
        <v>104.73239400312841</v>
      </c>
      <c r="W82" s="5">
        <f t="shared" si="24"/>
        <v>100.79976528347943</v>
      </c>
      <c r="Y82">
        <f t="shared" si="31"/>
        <v>73</v>
      </c>
      <c r="Z82" s="3">
        <f t="shared" si="32"/>
        <v>1196.1239456212809</v>
      </c>
      <c r="AA82" s="3">
        <f t="shared" si="33"/>
        <v>1138.240065485249</v>
      </c>
      <c r="AB82" s="3">
        <f t="shared" si="34"/>
        <v>1236.9487424762156</v>
      </c>
      <c r="AC82" s="3">
        <f t="shared" si="35"/>
        <v>1415.6116696153022</v>
      </c>
      <c r="BC82" s="17">
        <f t="shared" si="36"/>
        <v>99.730098323858456</v>
      </c>
      <c r="BD82" s="3">
        <f t="shared" si="37"/>
        <v>1196.1239456212809</v>
      </c>
      <c r="BF82" s="5">
        <f t="shared" si="25"/>
        <v>104.50378638883817</v>
      </c>
      <c r="BG82">
        <f t="shared" si="26"/>
        <v>1138.240065485249</v>
      </c>
      <c r="BI82" s="5">
        <f t="shared" si="27"/>
        <v>104.73239400312841</v>
      </c>
      <c r="BJ82">
        <f t="shared" si="28"/>
        <v>1236.9487424762156</v>
      </c>
      <c r="BL82" s="5">
        <f t="shared" si="29"/>
        <v>100.79976528347943</v>
      </c>
      <c r="BM82">
        <f t="shared" si="30"/>
        <v>1415.6116696153022</v>
      </c>
    </row>
    <row r="83" spans="1:65" x14ac:dyDescent="0.25">
      <c r="A83">
        <v>74</v>
      </c>
      <c r="B83" s="17">
        <f t="shared" si="19"/>
        <v>100.93556579185996</v>
      </c>
      <c r="C83" s="17">
        <f t="shared" si="20"/>
        <v>118.88572069451182</v>
      </c>
      <c r="D83" s="17">
        <f t="shared" si="21"/>
        <v>101.56051491382935</v>
      </c>
      <c r="G83" s="1">
        <v>74</v>
      </c>
      <c r="H83" s="17">
        <v>46.226017641668143</v>
      </c>
      <c r="I83" s="17">
        <v>49.027653628172281</v>
      </c>
      <c r="J83" s="17">
        <v>47.484941790153108</v>
      </c>
      <c r="M83" s="17">
        <v>135.78328817209379</v>
      </c>
      <c r="N83" s="17">
        <v>4.201017164767034</v>
      </c>
      <c r="O83" s="17">
        <v>4.4581781052959331</v>
      </c>
      <c r="P83" s="17">
        <v>4.0315120877466946</v>
      </c>
      <c r="S83" s="5">
        <f t="shared" si="22"/>
        <v>105.64822835198608</v>
      </c>
      <c r="T83" s="17"/>
      <c r="U83" s="5">
        <f t="shared" si="23"/>
        <v>105.97352145874268</v>
      </c>
      <c r="W83" s="5">
        <f t="shared" si="24"/>
        <v>102.2167059923829</v>
      </c>
      <c r="Y83">
        <f t="shared" si="31"/>
        <v>74</v>
      </c>
      <c r="Z83" s="3">
        <f t="shared" si="32"/>
        <v>1205.4674680015012</v>
      </c>
      <c r="AA83" s="3">
        <f t="shared" si="33"/>
        <v>1144.4419631479122</v>
      </c>
      <c r="AB83" s="3">
        <f t="shared" si="34"/>
        <v>1241.1274556142757</v>
      </c>
      <c r="AC83" s="3">
        <f t="shared" si="35"/>
        <v>1416.9407089034678</v>
      </c>
      <c r="BC83" s="17">
        <f t="shared" si="36"/>
        <v>100.93556579185996</v>
      </c>
      <c r="BD83" s="3">
        <f t="shared" si="37"/>
        <v>1205.4674680015012</v>
      </c>
      <c r="BF83" s="5">
        <f t="shared" si="25"/>
        <v>105.64822835198608</v>
      </c>
      <c r="BG83">
        <f t="shared" si="26"/>
        <v>1144.4419631479122</v>
      </c>
      <c r="BI83" s="5">
        <f t="shared" si="27"/>
        <v>105.97352145874268</v>
      </c>
      <c r="BJ83">
        <f t="shared" si="28"/>
        <v>1241.1274556142757</v>
      </c>
      <c r="BL83" s="5">
        <f t="shared" si="29"/>
        <v>102.2167059923829</v>
      </c>
      <c r="BM83">
        <f t="shared" si="30"/>
        <v>1416.9407089034678</v>
      </c>
    </row>
    <row r="84" spans="1:65" x14ac:dyDescent="0.25">
      <c r="A84">
        <v>75</v>
      </c>
      <c r="B84" s="17">
        <f t="shared" si="19"/>
        <v>102.15025614382337</v>
      </c>
      <c r="C84" s="17">
        <f t="shared" si="20"/>
        <v>120.35521625194406</v>
      </c>
      <c r="D84" s="17">
        <f t="shared" si="21"/>
        <v>102.79665170934608</v>
      </c>
      <c r="G84" s="1">
        <v>75</v>
      </c>
      <c r="H84" s="17">
        <v>46.24377242838132</v>
      </c>
      <c r="I84" s="17">
        <v>49.057417043614159</v>
      </c>
      <c r="J84" s="17">
        <v>47.50582137340227</v>
      </c>
      <c r="M84" s="17">
        <v>136.93602022716411</v>
      </c>
      <c r="N84" s="17">
        <v>4.2411038699031218</v>
      </c>
      <c r="O84" s="17">
        <v>4.4985181032517421</v>
      </c>
      <c r="P84" s="17">
        <v>4.0618865610740498</v>
      </c>
      <c r="S84" s="5">
        <f t="shared" si="22"/>
        <v>106.79882397668186</v>
      </c>
      <c r="T84" s="17"/>
      <c r="U84" s="5">
        <f t="shared" si="23"/>
        <v>107.21879350778573</v>
      </c>
      <c r="W84" s="5">
        <f t="shared" si="24"/>
        <v>103.63495958650583</v>
      </c>
      <c r="Y84">
        <f t="shared" si="31"/>
        <v>75</v>
      </c>
      <c r="Z84" s="3">
        <f t="shared" si="32"/>
        <v>1214.6903519634122</v>
      </c>
      <c r="AA84" s="3">
        <f t="shared" si="33"/>
        <v>1150.5956246957821</v>
      </c>
      <c r="AB84" s="3">
        <f t="shared" si="34"/>
        <v>1245.2720490430522</v>
      </c>
      <c r="AC84" s="3">
        <f t="shared" si="35"/>
        <v>1418.2535941229303</v>
      </c>
      <c r="BC84" s="17">
        <f t="shared" si="36"/>
        <v>102.15025614382337</v>
      </c>
      <c r="BD84" s="3">
        <f t="shared" si="37"/>
        <v>1214.6903519634122</v>
      </c>
      <c r="BF84" s="5">
        <f t="shared" si="25"/>
        <v>106.79882397668186</v>
      </c>
      <c r="BG84">
        <f t="shared" si="26"/>
        <v>1150.5956246957821</v>
      </c>
      <c r="BI84" s="5">
        <f t="shared" si="27"/>
        <v>107.21879350778573</v>
      </c>
      <c r="BJ84">
        <f t="shared" si="28"/>
        <v>1245.2720490430522</v>
      </c>
      <c r="BL84" s="5">
        <f t="shared" si="29"/>
        <v>103.63495958650583</v>
      </c>
      <c r="BM84">
        <f t="shared" si="30"/>
        <v>1418.2535941229303</v>
      </c>
    </row>
    <row r="85" spans="1:65" x14ac:dyDescent="0.25">
      <c r="A85">
        <v>76</v>
      </c>
      <c r="B85" s="17">
        <f t="shared" si="19"/>
        <v>103.37404927567788</v>
      </c>
      <c r="C85" s="17">
        <f t="shared" si="20"/>
        <v>121.8340660690382</v>
      </c>
      <c r="D85" s="17">
        <f t="shared" si="21"/>
        <v>104.0415316619813</v>
      </c>
      <c r="G85" s="1">
        <v>76</v>
      </c>
      <c r="H85" s="17">
        <v>46.261571688863761</v>
      </c>
      <c r="I85" s="17">
        <v>49.086787071957069</v>
      </c>
      <c r="J85" s="17">
        <v>47.526570024099144</v>
      </c>
      <c r="M85" s="17">
        <v>138.0887522822344</v>
      </c>
      <c r="N85" s="17">
        <v>4.2811149739389531</v>
      </c>
      <c r="O85" s="17">
        <v>4.5387289558825064</v>
      </c>
      <c r="P85" s="17">
        <v>4.0921035291610526</v>
      </c>
      <c r="S85" s="5">
        <f t="shared" si="22"/>
        <v>107.95552502681062</v>
      </c>
      <c r="T85" s="17"/>
      <c r="U85" s="5">
        <f t="shared" si="23"/>
        <v>108.46817603054828</v>
      </c>
      <c r="W85" s="5">
        <f t="shared" si="24"/>
        <v>105.05450991177953</v>
      </c>
      <c r="Y85">
        <f t="shared" si="31"/>
        <v>76</v>
      </c>
      <c r="Z85" s="3">
        <f t="shared" si="32"/>
        <v>1223.7931318545066</v>
      </c>
      <c r="AA85" s="3">
        <f t="shared" si="33"/>
        <v>1156.7010501287598</v>
      </c>
      <c r="AB85" s="3">
        <f t="shared" si="34"/>
        <v>1249.382522762545</v>
      </c>
      <c r="AC85" s="3">
        <f t="shared" si="35"/>
        <v>1419.5503252737039</v>
      </c>
      <c r="BC85" s="17">
        <f t="shared" si="36"/>
        <v>103.37404927567788</v>
      </c>
      <c r="BD85" s="3">
        <f t="shared" si="37"/>
        <v>1223.7931318545066</v>
      </c>
      <c r="BF85" s="5">
        <f t="shared" si="25"/>
        <v>107.95552502681062</v>
      </c>
      <c r="BG85">
        <f t="shared" si="26"/>
        <v>1156.7010501287598</v>
      </c>
      <c r="BI85" s="5">
        <f t="shared" si="27"/>
        <v>108.46817603054828</v>
      </c>
      <c r="BJ85">
        <f t="shared" si="28"/>
        <v>1249.382522762545</v>
      </c>
      <c r="BL85" s="5">
        <f t="shared" si="29"/>
        <v>105.05450991177953</v>
      </c>
      <c r="BM85">
        <f t="shared" si="30"/>
        <v>1419.5503252737039</v>
      </c>
    </row>
    <row r="86" spans="1:65" x14ac:dyDescent="0.25">
      <c r="A86">
        <v>77</v>
      </c>
      <c r="B86" s="17">
        <f t="shared" si="19"/>
        <v>104.60682561769997</v>
      </c>
      <c r="C86" s="17">
        <f t="shared" si="20"/>
        <v>123.32213830667025</v>
      </c>
      <c r="D86" s="17">
        <f t="shared" si="21"/>
        <v>105.29502891829316</v>
      </c>
      <c r="G86" s="1">
        <v>77</v>
      </c>
      <c r="H86" s="17">
        <v>46.279413780318542</v>
      </c>
      <c r="I86" s="17">
        <v>49.11577455056679</v>
      </c>
      <c r="J86" s="17">
        <v>47.5471912419045</v>
      </c>
      <c r="M86" s="17">
        <v>139.24148433730471</v>
      </c>
      <c r="N86" s="17">
        <v>4.3210451811033304</v>
      </c>
      <c r="O86" s="17">
        <v>4.5788071045454446</v>
      </c>
      <c r="P86" s="17">
        <v>4.1221643013525524</v>
      </c>
      <c r="S86" s="5">
        <f t="shared" si="22"/>
        <v>109.11828326625756</v>
      </c>
      <c r="T86" s="17"/>
      <c r="U86" s="5">
        <f t="shared" si="23"/>
        <v>109.721634907321</v>
      </c>
      <c r="W86" s="5">
        <f t="shared" si="24"/>
        <v>106.47534081413532</v>
      </c>
      <c r="Y86">
        <f t="shared" si="31"/>
        <v>77</v>
      </c>
      <c r="Z86" s="3">
        <f t="shared" si="32"/>
        <v>1232.7763420220917</v>
      </c>
      <c r="AA86" s="3">
        <f t="shared" si="33"/>
        <v>1162.7582394469441</v>
      </c>
      <c r="AB86" s="3">
        <f t="shared" si="34"/>
        <v>1253.4588767727257</v>
      </c>
      <c r="AC86" s="3">
        <f t="shared" si="35"/>
        <v>1420.8309023557888</v>
      </c>
      <c r="BC86" s="17">
        <f t="shared" si="36"/>
        <v>104.60682561769997</v>
      </c>
      <c r="BD86" s="3">
        <f t="shared" si="37"/>
        <v>1232.7763420220917</v>
      </c>
      <c r="BF86" s="5">
        <f t="shared" si="25"/>
        <v>109.11828326625756</v>
      </c>
      <c r="BG86">
        <f t="shared" si="26"/>
        <v>1162.7582394469441</v>
      </c>
      <c r="BI86" s="5">
        <f t="shared" si="27"/>
        <v>109.721634907321</v>
      </c>
      <c r="BJ86">
        <f t="shared" si="28"/>
        <v>1253.4588767727257</v>
      </c>
      <c r="BL86" s="5">
        <f t="shared" si="29"/>
        <v>106.47534081413532</v>
      </c>
      <c r="BM86">
        <f t="shared" si="30"/>
        <v>1420.8309023557888</v>
      </c>
    </row>
    <row r="87" spans="1:65" x14ac:dyDescent="0.25">
      <c r="A87">
        <v>78</v>
      </c>
      <c r="B87" s="17">
        <f t="shared" si="19"/>
        <v>105.8484661345137</v>
      </c>
      <c r="C87" s="17">
        <f t="shared" si="20"/>
        <v>124.81930174665288</v>
      </c>
      <c r="D87" s="17">
        <f t="shared" si="21"/>
        <v>106.55701820986039</v>
      </c>
      <c r="G87" s="1">
        <v>78</v>
      </c>
      <c r="H87" s="17">
        <v>46.297297059948711</v>
      </c>
      <c r="I87" s="17">
        <v>49.144390316809073</v>
      </c>
      <c r="J87" s="17">
        <v>47.567688526479131</v>
      </c>
      <c r="M87" s="17">
        <v>140.394216392375</v>
      </c>
      <c r="N87" s="17">
        <v>4.3608891956250524</v>
      </c>
      <c r="O87" s="17">
        <v>4.6187489905977852</v>
      </c>
      <c r="P87" s="17">
        <v>4.1520701869933951</v>
      </c>
      <c r="S87" s="5">
        <f t="shared" si="22"/>
        <v>110.28705045890787</v>
      </c>
      <c r="T87" s="17"/>
      <c r="U87" s="5">
        <f t="shared" si="23"/>
        <v>110.97913601839463</v>
      </c>
      <c r="W87" s="5">
        <f t="shared" si="24"/>
        <v>107.89743613950449</v>
      </c>
      <c r="Y87">
        <f t="shared" si="31"/>
        <v>78</v>
      </c>
      <c r="Z87" s="3">
        <f t="shared" si="32"/>
        <v>1241.6405168137317</v>
      </c>
      <c r="AA87" s="3">
        <f t="shared" si="33"/>
        <v>1168.7671926503072</v>
      </c>
      <c r="AB87" s="3">
        <f t="shared" si="34"/>
        <v>1257.5011110736227</v>
      </c>
      <c r="AC87" s="3">
        <f t="shared" si="35"/>
        <v>1422.0953253691705</v>
      </c>
      <c r="BC87" s="17">
        <f t="shared" si="36"/>
        <v>105.8484661345137</v>
      </c>
      <c r="BD87" s="3">
        <f t="shared" si="37"/>
        <v>1241.6405168137317</v>
      </c>
      <c r="BF87" s="5">
        <f t="shared" si="25"/>
        <v>110.28705045890787</v>
      </c>
      <c r="BG87">
        <f t="shared" si="26"/>
        <v>1168.7671926503072</v>
      </c>
      <c r="BI87" s="5">
        <f t="shared" si="27"/>
        <v>110.97913601839463</v>
      </c>
      <c r="BJ87">
        <f t="shared" si="28"/>
        <v>1257.5011110736227</v>
      </c>
      <c r="BL87" s="5">
        <f t="shared" si="29"/>
        <v>107.89743613950449</v>
      </c>
      <c r="BM87">
        <f t="shared" si="30"/>
        <v>1422.0953253691705</v>
      </c>
    </row>
    <row r="88" spans="1:65" x14ac:dyDescent="0.25">
      <c r="A88">
        <v>79</v>
      </c>
      <c r="B88" s="17">
        <f t="shared" si="19"/>
        <v>107.09885232509042</v>
      </c>
      <c r="C88" s="17">
        <f t="shared" si="20"/>
        <v>126.32542579173531</v>
      </c>
      <c r="D88" s="17">
        <f t="shared" si="21"/>
        <v>107.82737485328235</v>
      </c>
      <c r="G88" s="1">
        <v>79</v>
      </c>
      <c r="H88" s="17">
        <v>46.315219884957372</v>
      </c>
      <c r="I88" s="17">
        <v>49.17264520804968</v>
      </c>
      <c r="J88" s="17">
        <v>47.588065377483822</v>
      </c>
      <c r="M88" s="17">
        <v>141.54694844744529</v>
      </c>
      <c r="N88" s="17">
        <v>4.4006417217329226</v>
      </c>
      <c r="O88" s="17">
        <v>4.6585510553967504</v>
      </c>
      <c r="P88" s="17">
        <v>4.1818224954284302</v>
      </c>
      <c r="S88" s="5">
        <f t="shared" si="22"/>
        <v>111.46177836864665</v>
      </c>
      <c r="T88" s="17"/>
      <c r="U88" s="5">
        <f t="shared" si="23"/>
        <v>112.24064524405986</v>
      </c>
      <c r="W88" s="5">
        <f t="shared" si="24"/>
        <v>109.32077973381833</v>
      </c>
      <c r="Y88">
        <f t="shared" si="31"/>
        <v>79</v>
      </c>
      <c r="Z88" s="3">
        <f t="shared" si="32"/>
        <v>1250.3861905767194</v>
      </c>
      <c r="AA88" s="3">
        <f t="shared" si="33"/>
        <v>1174.7279097387775</v>
      </c>
      <c r="AB88" s="3">
        <f t="shared" si="34"/>
        <v>1261.509225665236</v>
      </c>
      <c r="AC88" s="3">
        <f t="shared" si="35"/>
        <v>1423.3435943138347</v>
      </c>
      <c r="BC88" s="17">
        <f t="shared" si="36"/>
        <v>107.09885232509042</v>
      </c>
      <c r="BD88" s="3">
        <f t="shared" si="37"/>
        <v>1250.3861905767194</v>
      </c>
      <c r="BF88" s="5">
        <f t="shared" si="25"/>
        <v>111.46177836864665</v>
      </c>
      <c r="BG88">
        <f t="shared" si="26"/>
        <v>1174.7279097387775</v>
      </c>
      <c r="BI88" s="5">
        <f t="shared" si="27"/>
        <v>112.24064524405986</v>
      </c>
      <c r="BJ88">
        <f t="shared" si="28"/>
        <v>1261.509225665236</v>
      </c>
      <c r="BL88" s="5">
        <f t="shared" si="29"/>
        <v>109.32077973381833</v>
      </c>
      <c r="BM88">
        <f t="shared" si="30"/>
        <v>1423.3435943138347</v>
      </c>
    </row>
    <row r="89" spans="1:65" x14ac:dyDescent="0.25">
      <c r="A89">
        <v>80</v>
      </c>
      <c r="B89" s="17">
        <f t="shared" si="19"/>
        <v>108.35786622274895</v>
      </c>
      <c r="C89" s="17">
        <f t="shared" si="20"/>
        <v>127.84038046560342</v>
      </c>
      <c r="D89" s="17">
        <f t="shared" si="21"/>
        <v>109.10597475017892</v>
      </c>
      <c r="G89" s="1">
        <v>80</v>
      </c>
      <c r="H89" s="17">
        <v>46.333180612547579</v>
      </c>
      <c r="I89" s="17">
        <v>49.200550061654383</v>
      </c>
      <c r="J89" s="17">
        <v>47.60832529457933</v>
      </c>
      <c r="M89" s="17">
        <v>142.6996805025156</v>
      </c>
      <c r="N89" s="17">
        <v>4.4402974636557406</v>
      </c>
      <c r="O89" s="17">
        <v>4.6982097402995624</v>
      </c>
      <c r="P89" s="17">
        <v>4.2114225360025053</v>
      </c>
      <c r="S89" s="5">
        <f t="shared" si="22"/>
        <v>112.64241875935915</v>
      </c>
      <c r="T89" s="17"/>
      <c r="U89" s="5">
        <f t="shared" si="23"/>
        <v>113.50612846460743</v>
      </c>
      <c r="W89" s="5">
        <f t="shared" si="24"/>
        <v>110.74535544300818</v>
      </c>
      <c r="Y89">
        <f t="shared" si="31"/>
        <v>80</v>
      </c>
      <c r="Z89" s="3">
        <f t="shared" si="32"/>
        <v>1259.0138976585336</v>
      </c>
      <c r="AA89" s="3">
        <f t="shared" si="33"/>
        <v>1180.6403907124973</v>
      </c>
      <c r="AB89" s="3">
        <f t="shared" si="34"/>
        <v>1265.4832205475657</v>
      </c>
      <c r="AC89" s="3">
        <f t="shared" si="35"/>
        <v>1424.5757091898527</v>
      </c>
      <c r="BC89" s="17">
        <f t="shared" si="36"/>
        <v>108.35786622274895</v>
      </c>
      <c r="BD89" s="3">
        <f t="shared" si="37"/>
        <v>1259.0138976585336</v>
      </c>
      <c r="BF89" s="5">
        <f t="shared" si="25"/>
        <v>112.64241875935915</v>
      </c>
      <c r="BG89">
        <f t="shared" si="26"/>
        <v>1180.6403907124973</v>
      </c>
      <c r="BI89" s="5">
        <f t="shared" si="27"/>
        <v>113.50612846460743</v>
      </c>
      <c r="BJ89">
        <f t="shared" si="28"/>
        <v>1265.4832205475657</v>
      </c>
      <c r="BL89" s="5">
        <f t="shared" si="29"/>
        <v>110.74535544300818</v>
      </c>
      <c r="BM89">
        <f t="shared" si="30"/>
        <v>1424.5757091898527</v>
      </c>
    </row>
    <row r="90" spans="1:65" x14ac:dyDescent="0.25">
      <c r="A90">
        <v>81</v>
      </c>
      <c r="B90" s="17">
        <f t="shared" si="19"/>
        <v>109.62539039515553</v>
      </c>
      <c r="C90" s="17">
        <f t="shared" si="20"/>
        <v>129.36403641287961</v>
      </c>
      <c r="D90" s="17">
        <f t="shared" si="21"/>
        <v>110.39269438719072</v>
      </c>
      <c r="G90" s="1">
        <v>81</v>
      </c>
      <c r="H90" s="17">
        <v>46.351177599922423</v>
      </c>
      <c r="I90" s="17">
        <v>49.228115714988952</v>
      </c>
      <c r="J90" s="17">
        <v>47.628471777426462</v>
      </c>
      <c r="M90" s="17">
        <v>143.85241255758601</v>
      </c>
      <c r="N90" s="17">
        <v>4.4798511256223081</v>
      </c>
      <c r="O90" s="17">
        <v>4.7377214866634461</v>
      </c>
      <c r="P90" s="17">
        <v>4.240871618060468</v>
      </c>
      <c r="S90" s="5">
        <f t="shared" si="22"/>
        <v>113.82892339493046</v>
      </c>
      <c r="T90" s="17"/>
      <c r="U90" s="5">
        <f t="shared" si="23"/>
        <v>114.77555156032801</v>
      </c>
      <c r="W90" s="5">
        <f t="shared" si="24"/>
        <v>112.1711471130053</v>
      </c>
      <c r="Y90">
        <f t="shared" si="31"/>
        <v>81</v>
      </c>
      <c r="Z90" s="3">
        <f t="shared" si="32"/>
        <v>1267.5241724065813</v>
      </c>
      <c r="AA90" s="3">
        <f t="shared" si="33"/>
        <v>1186.5046355713105</v>
      </c>
      <c r="AB90" s="3">
        <f t="shared" si="34"/>
        <v>1269.4230957205832</v>
      </c>
      <c r="AC90" s="3">
        <f t="shared" si="35"/>
        <v>1425.7916699971247</v>
      </c>
      <c r="BC90" s="17">
        <f t="shared" si="36"/>
        <v>109.62539039515553</v>
      </c>
      <c r="BD90" s="3">
        <f t="shared" si="37"/>
        <v>1267.5241724065813</v>
      </c>
      <c r="BF90" s="5">
        <f t="shared" si="25"/>
        <v>113.82892339493046</v>
      </c>
      <c r="BG90">
        <f t="shared" si="26"/>
        <v>1186.5046355713105</v>
      </c>
      <c r="BI90" s="5">
        <f t="shared" si="27"/>
        <v>114.77555156032801</v>
      </c>
      <c r="BJ90">
        <f t="shared" si="28"/>
        <v>1269.4230957205832</v>
      </c>
      <c r="BL90" s="5">
        <f t="shared" si="29"/>
        <v>112.1711471130053</v>
      </c>
      <c r="BM90">
        <f t="shared" si="30"/>
        <v>1425.7916699971247</v>
      </c>
    </row>
    <row r="91" spans="1:65" x14ac:dyDescent="0.25">
      <c r="A91">
        <v>82</v>
      </c>
      <c r="B91" s="17">
        <f t="shared" si="19"/>
        <v>110.90130794432383</v>
      </c>
      <c r="C91" s="17">
        <f t="shared" si="20"/>
        <v>130.89626489912305</v>
      </c>
      <c r="D91" s="17">
        <f t="shared" si="21"/>
        <v>111.68741083597884</v>
      </c>
      <c r="G91" s="1">
        <v>82</v>
      </c>
      <c r="H91" s="17">
        <v>46.369209204284957</v>
      </c>
      <c r="I91" s="17">
        <v>49.255353005419117</v>
      </c>
      <c r="J91" s="17">
        <v>47.648508325685988</v>
      </c>
      <c r="M91" s="17">
        <v>145.0051446126563</v>
      </c>
      <c r="N91" s="17">
        <v>4.5192974118614258</v>
      </c>
      <c r="O91" s="17">
        <v>4.7770827358456263</v>
      </c>
      <c r="P91" s="17">
        <v>4.2701710509471669</v>
      </c>
      <c r="S91" s="5">
        <f t="shared" si="22"/>
        <v>115.0212440392458</v>
      </c>
      <c r="T91" s="17"/>
      <c r="U91" s="5">
        <f t="shared" si="23"/>
        <v>116.04888041151234</v>
      </c>
      <c r="W91" s="5">
        <f t="shared" si="24"/>
        <v>113.59813858974103</v>
      </c>
      <c r="Y91">
        <f t="shared" si="31"/>
        <v>82</v>
      </c>
      <c r="Z91" s="3">
        <f t="shared" si="32"/>
        <v>1275.9175491682981</v>
      </c>
      <c r="AA91" s="3">
        <f t="shared" si="33"/>
        <v>1192.3206443153447</v>
      </c>
      <c r="AB91" s="3">
        <f t="shared" si="34"/>
        <v>1273.3288511843311</v>
      </c>
      <c r="AC91" s="3">
        <f t="shared" si="35"/>
        <v>1426.9914767357222</v>
      </c>
      <c r="BC91" s="17">
        <f t="shared" si="36"/>
        <v>110.90130794432383</v>
      </c>
      <c r="BD91" s="3">
        <f t="shared" si="37"/>
        <v>1275.9175491682981</v>
      </c>
      <c r="BF91" s="5">
        <f t="shared" si="25"/>
        <v>115.0212440392458</v>
      </c>
      <c r="BG91">
        <f t="shared" si="26"/>
        <v>1192.3206443153447</v>
      </c>
      <c r="BI91" s="5">
        <f t="shared" si="27"/>
        <v>116.04888041151234</v>
      </c>
      <c r="BJ91">
        <f t="shared" si="28"/>
        <v>1273.3288511843311</v>
      </c>
      <c r="BL91" s="5">
        <f t="shared" si="29"/>
        <v>113.59813858974103</v>
      </c>
      <c r="BM91">
        <f t="shared" si="30"/>
        <v>1426.9914767357222</v>
      </c>
    </row>
    <row r="92" spans="1:65" x14ac:dyDescent="0.25">
      <c r="A92">
        <v>83</v>
      </c>
      <c r="B92" s="17">
        <f t="shared" si="19"/>
        <v>112.18550250661495</v>
      </c>
      <c r="C92" s="17">
        <f t="shared" si="20"/>
        <v>132.43693781082942</v>
      </c>
      <c r="D92" s="17">
        <f t="shared" si="21"/>
        <v>112.99000175322512</v>
      </c>
      <c r="G92" s="1">
        <v>83</v>
      </c>
      <c r="H92" s="17">
        <v>46.387273782838278</v>
      </c>
      <c r="I92" s="17">
        <v>49.282272770310691</v>
      </c>
      <c r="J92" s="17">
        <v>47.668438439018693</v>
      </c>
      <c r="M92" s="17">
        <v>146.15787666772661</v>
      </c>
      <c r="N92" s="17">
        <v>4.5586310266018941</v>
      </c>
      <c r="O92" s="17">
        <v>4.8162899292033243</v>
      </c>
      <c r="P92" s="17">
        <v>4.2993221440074478</v>
      </c>
      <c r="S92" s="5">
        <f t="shared" si="22"/>
        <v>116.21933245619033</v>
      </c>
      <c r="T92" s="17"/>
      <c r="U92" s="5">
        <f t="shared" si="23"/>
        <v>117.32608089845112</v>
      </c>
      <c r="W92" s="5">
        <f t="shared" si="24"/>
        <v>115.02631371914666</v>
      </c>
      <c r="Y92">
        <f t="shared" si="31"/>
        <v>83</v>
      </c>
      <c r="Z92" s="3">
        <f t="shared" si="32"/>
        <v>1284.1945622911198</v>
      </c>
      <c r="AA92" s="3">
        <f t="shared" si="33"/>
        <v>1198.0884169445289</v>
      </c>
      <c r="AB92" s="3">
        <f t="shared" si="34"/>
        <v>1277.2004869387815</v>
      </c>
      <c r="AC92" s="3">
        <f t="shared" si="35"/>
        <v>1428.1751294056307</v>
      </c>
      <c r="BC92" s="17">
        <f t="shared" si="36"/>
        <v>112.18550250661495</v>
      </c>
      <c r="BD92" s="3">
        <f t="shared" si="37"/>
        <v>1284.1945622911198</v>
      </c>
      <c r="BF92" s="5">
        <f t="shared" si="25"/>
        <v>116.21933245619033</v>
      </c>
      <c r="BG92">
        <f t="shared" si="26"/>
        <v>1198.0884169445289</v>
      </c>
      <c r="BI92" s="5">
        <f t="shared" si="27"/>
        <v>117.32608089845112</v>
      </c>
      <c r="BJ92">
        <f t="shared" si="28"/>
        <v>1277.2004869387815</v>
      </c>
      <c r="BL92" s="5">
        <f t="shared" si="29"/>
        <v>115.02631371914666</v>
      </c>
      <c r="BM92">
        <f t="shared" si="30"/>
        <v>1428.1751294056307</v>
      </c>
    </row>
    <row r="93" spans="1:65" x14ac:dyDescent="0.25">
      <c r="A93">
        <v>84</v>
      </c>
      <c r="B93" s="17">
        <f t="shared" si="19"/>
        <v>113.47785825273736</v>
      </c>
      <c r="C93" s="17">
        <f t="shared" si="20"/>
        <v>133.98592765543097</v>
      </c>
      <c r="D93" s="17">
        <f t="shared" si="21"/>
        <v>114.30034538063182</v>
      </c>
      <c r="G93" s="1">
        <v>84</v>
      </c>
      <c r="H93" s="17">
        <v>46.405369692785463</v>
      </c>
      <c r="I93" s="17">
        <v>49.308885847029401</v>
      </c>
      <c r="J93" s="17">
        <v>47.688265617085349</v>
      </c>
      <c r="M93" s="17">
        <v>147.3106087227969</v>
      </c>
      <c r="N93" s="17">
        <v>4.5978466740725148</v>
      </c>
      <c r="O93" s="17">
        <v>4.8553395080937669</v>
      </c>
      <c r="P93" s="17">
        <v>4.3283262065861621</v>
      </c>
      <c r="S93" s="5">
        <f t="shared" si="22"/>
        <v>117.42314040964921</v>
      </c>
      <c r="T93" s="17"/>
      <c r="U93" s="5">
        <f t="shared" si="23"/>
        <v>118.60711890143506</v>
      </c>
      <c r="W93" s="5">
        <f t="shared" si="24"/>
        <v>116.45565634715349</v>
      </c>
      <c r="Y93">
        <f t="shared" si="31"/>
        <v>84</v>
      </c>
      <c r="Z93" s="3">
        <f t="shared" si="32"/>
        <v>1292.3557461224107</v>
      </c>
      <c r="AA93" s="3">
        <f t="shared" si="33"/>
        <v>1203.8079534588774</v>
      </c>
      <c r="AB93" s="3">
        <f t="shared" si="34"/>
        <v>1281.0380029839337</v>
      </c>
      <c r="AC93" s="3">
        <f t="shared" si="35"/>
        <v>1429.3426280068361</v>
      </c>
      <c r="BC93" s="17">
        <f t="shared" si="36"/>
        <v>113.47785825273736</v>
      </c>
      <c r="BD93" s="3">
        <f t="shared" si="37"/>
        <v>1292.3557461224107</v>
      </c>
      <c r="BF93" s="5">
        <f t="shared" si="25"/>
        <v>117.42314040964921</v>
      </c>
      <c r="BG93">
        <f t="shared" si="26"/>
        <v>1203.8079534588774</v>
      </c>
      <c r="BI93" s="5">
        <f t="shared" si="27"/>
        <v>118.60711890143506</v>
      </c>
      <c r="BJ93">
        <f t="shared" si="28"/>
        <v>1281.0380029839337</v>
      </c>
      <c r="BL93" s="5">
        <f t="shared" si="29"/>
        <v>116.45565634715349</v>
      </c>
      <c r="BM93">
        <f t="shared" si="30"/>
        <v>1429.3426280068361</v>
      </c>
    </row>
    <row r="94" spans="1:65" x14ac:dyDescent="0.25">
      <c r="A94">
        <v>85</v>
      </c>
      <c r="B94" s="17">
        <f t="shared" si="19"/>
        <v>114.77825988774698</v>
      </c>
      <c r="C94" s="17">
        <f t="shared" si="20"/>
        <v>135.54310756129672</v>
      </c>
      <c r="D94" s="17">
        <f t="shared" si="21"/>
        <v>115.61832054492199</v>
      </c>
      <c r="G94" s="1">
        <v>85</v>
      </c>
      <c r="H94" s="17">
        <v>46.423495291329552</v>
      </c>
      <c r="I94" s="17">
        <v>49.33520307294102</v>
      </c>
      <c r="J94" s="17">
        <v>47.707993359546748</v>
      </c>
      <c r="M94" s="17">
        <v>148.46334077786719</v>
      </c>
      <c r="N94" s="17">
        <v>4.6369390585020893</v>
      </c>
      <c r="O94" s="17">
        <v>4.8942279138741762</v>
      </c>
      <c r="P94" s="17">
        <v>4.3571845480281546</v>
      </c>
      <c r="S94" s="5">
        <f t="shared" si="22"/>
        <v>118.6326196635076</v>
      </c>
      <c r="T94" s="17"/>
      <c r="U94" s="5">
        <f t="shared" si="23"/>
        <v>119.89196030075485</v>
      </c>
      <c r="W94" s="5">
        <f t="shared" si="24"/>
        <v>117.88615031969285</v>
      </c>
      <c r="Y94">
        <f t="shared" si="31"/>
        <v>85</v>
      </c>
      <c r="Z94" s="3">
        <f t="shared" si="32"/>
        <v>1300.4016350096208</v>
      </c>
      <c r="AA94" s="3">
        <f t="shared" si="33"/>
        <v>1209.4792538583902</v>
      </c>
      <c r="AB94" s="3">
        <f t="shared" si="34"/>
        <v>1284.841399319788</v>
      </c>
      <c r="AC94" s="3">
        <f t="shared" si="35"/>
        <v>1430.4939725393524</v>
      </c>
      <c r="BC94" s="17">
        <f t="shared" si="36"/>
        <v>114.77825988774698</v>
      </c>
      <c r="BD94" s="3">
        <f t="shared" si="37"/>
        <v>1300.4016350096208</v>
      </c>
      <c r="BF94" s="5">
        <f t="shared" si="25"/>
        <v>118.6326196635076</v>
      </c>
      <c r="BG94">
        <f t="shared" si="26"/>
        <v>1209.4792538583902</v>
      </c>
      <c r="BI94" s="5">
        <f t="shared" si="27"/>
        <v>119.89196030075485</v>
      </c>
      <c r="BJ94">
        <f t="shared" si="28"/>
        <v>1284.841399319788</v>
      </c>
      <c r="BL94" s="5">
        <f t="shared" si="29"/>
        <v>117.88615031969285</v>
      </c>
      <c r="BM94">
        <f t="shared" si="30"/>
        <v>1430.4939725393524</v>
      </c>
    </row>
    <row r="95" spans="1:65" x14ac:dyDescent="0.25">
      <c r="A95">
        <v>86</v>
      </c>
      <c r="B95" s="17">
        <f t="shared" si="19"/>
        <v>116.08659265104716</v>
      </c>
      <c r="C95" s="17">
        <f t="shared" si="20"/>
        <v>137.10835127773214</v>
      </c>
      <c r="D95" s="17">
        <f t="shared" si="21"/>
        <v>116.94380665783916</v>
      </c>
      <c r="G95" s="1">
        <v>86</v>
      </c>
      <c r="H95" s="17">
        <v>46.441648935673662</v>
      </c>
      <c r="I95" s="17">
        <v>49.361235285411311</v>
      </c>
      <c r="J95" s="17">
        <v>47.727625166063667</v>
      </c>
      <c r="M95" s="17">
        <v>149.6160728329375</v>
      </c>
      <c r="N95" s="17">
        <v>4.6759028841194183</v>
      </c>
      <c r="O95" s="17">
        <v>4.9329515879017753</v>
      </c>
      <c r="P95" s="17">
        <v>4.3858984776782739</v>
      </c>
      <c r="S95" s="5">
        <f t="shared" si="22"/>
        <v>119.84772198165065</v>
      </c>
      <c r="T95" s="17"/>
      <c r="U95" s="5">
        <f t="shared" si="23"/>
        <v>121.18057097670123</v>
      </c>
      <c r="W95" s="5">
        <f t="shared" si="24"/>
        <v>119.31777948269598</v>
      </c>
      <c r="Y95">
        <f t="shared" si="31"/>
        <v>86</v>
      </c>
      <c r="Z95" s="3">
        <f t="shared" si="32"/>
        <v>1308.3327633001716</v>
      </c>
      <c r="AA95" s="3">
        <f t="shared" si="33"/>
        <v>1215.1023181430533</v>
      </c>
      <c r="AB95" s="3">
        <f t="shared" si="34"/>
        <v>1288.6106759463871</v>
      </c>
      <c r="AC95" s="3">
        <f t="shared" si="35"/>
        <v>1431.6291630031374</v>
      </c>
      <c r="BC95" s="17">
        <f t="shared" si="36"/>
        <v>116.08659265104716</v>
      </c>
      <c r="BD95" s="3">
        <f t="shared" si="37"/>
        <v>1308.3327633001716</v>
      </c>
      <c r="BF95" s="5">
        <f t="shared" si="25"/>
        <v>119.84772198165065</v>
      </c>
      <c r="BG95">
        <f t="shared" si="26"/>
        <v>1215.1023181430533</v>
      </c>
      <c r="BI95" s="5">
        <f t="shared" si="27"/>
        <v>121.18057097670123</v>
      </c>
      <c r="BJ95">
        <f t="shared" si="28"/>
        <v>1288.6106759463871</v>
      </c>
      <c r="BL95" s="5">
        <f t="shared" si="29"/>
        <v>119.31777948269598</v>
      </c>
      <c r="BM95">
        <f t="shared" si="30"/>
        <v>1431.6291630031374</v>
      </c>
    </row>
    <row r="96" spans="1:65" x14ac:dyDescent="0.25">
      <c r="A96">
        <v>87</v>
      </c>
      <c r="B96" s="17">
        <f t="shared" si="19"/>
        <v>117.40274231638865</v>
      </c>
      <c r="C96" s="17">
        <f t="shared" si="20"/>
        <v>138.68153317497939</v>
      </c>
      <c r="D96" s="17">
        <f t="shared" si="21"/>
        <v>118.27668371614746</v>
      </c>
      <c r="G96" s="1">
        <v>87</v>
      </c>
      <c r="H96" s="17">
        <v>46.459828983020827</v>
      </c>
      <c r="I96" s="17">
        <v>49.386993321806052</v>
      </c>
      <c r="J96" s="17">
        <v>47.747164536296893</v>
      </c>
      <c r="M96" s="17">
        <v>150.76880488800779</v>
      </c>
      <c r="N96" s="17">
        <v>4.7147328551533008</v>
      </c>
      <c r="O96" s="17">
        <v>4.9715069715337901</v>
      </c>
      <c r="P96" s="17">
        <v>4.4144693048813703</v>
      </c>
      <c r="S96" s="5">
        <f t="shared" si="22"/>
        <v>121.06839912796359</v>
      </c>
      <c r="T96" s="17"/>
      <c r="U96" s="5">
        <f t="shared" si="23"/>
        <v>122.47291680956489</v>
      </c>
      <c r="W96" s="5">
        <f t="shared" si="24"/>
        <v>120.75052768209426</v>
      </c>
      <c r="Y96">
        <f t="shared" si="31"/>
        <v>87</v>
      </c>
      <c r="Z96" s="3">
        <f t="shared" si="32"/>
        <v>1316.1496653414986</v>
      </c>
      <c r="AA96" s="3">
        <f t="shared" si="33"/>
        <v>1220.6771463129371</v>
      </c>
      <c r="AB96" s="3">
        <f t="shared" si="34"/>
        <v>1292.3458328636598</v>
      </c>
      <c r="AC96" s="3">
        <f t="shared" si="35"/>
        <v>1432.7481993982758</v>
      </c>
      <c r="BC96" s="17">
        <f t="shared" si="36"/>
        <v>117.40274231638865</v>
      </c>
      <c r="BD96" s="3">
        <f t="shared" si="37"/>
        <v>1316.1496653414986</v>
      </c>
      <c r="BF96" s="5">
        <f t="shared" si="25"/>
        <v>121.06839912796359</v>
      </c>
      <c r="BG96">
        <f t="shared" si="26"/>
        <v>1220.6771463129371</v>
      </c>
      <c r="BI96" s="5">
        <f t="shared" si="27"/>
        <v>122.47291680956489</v>
      </c>
      <c r="BJ96">
        <f t="shared" si="28"/>
        <v>1292.3458328636598</v>
      </c>
      <c r="BL96" s="5">
        <f t="shared" si="29"/>
        <v>120.75052768209426</v>
      </c>
      <c r="BM96">
        <f t="shared" si="30"/>
        <v>1432.7481993982758</v>
      </c>
    </row>
    <row r="97" spans="1:65" x14ac:dyDescent="0.25">
      <c r="A97">
        <v>88</v>
      </c>
      <c r="B97" s="17">
        <f t="shared" si="19"/>
        <v>118.72659519186966</v>
      </c>
      <c r="C97" s="17">
        <f t="shared" si="20"/>
        <v>140.26252824421726</v>
      </c>
      <c r="D97" s="17">
        <f t="shared" si="21"/>
        <v>119.61683230163179</v>
      </c>
      <c r="G97" s="1">
        <v>88</v>
      </c>
      <c r="H97" s="17">
        <v>46.478033790574159</v>
      </c>
      <c r="I97" s="17">
        <v>49.412488019490979</v>
      </c>
      <c r="J97" s="17">
        <v>47.766614969907202</v>
      </c>
      <c r="M97" s="17">
        <v>151.92153694307811</v>
      </c>
      <c r="N97" s="17">
        <v>4.7534236758325417</v>
      </c>
      <c r="O97" s="17">
        <v>5.0098905061274426</v>
      </c>
      <c r="P97" s="17">
        <v>4.442898338982288</v>
      </c>
      <c r="S97" s="5">
        <f t="shared" si="22"/>
        <v>122.2946028663315</v>
      </c>
      <c r="T97" s="17"/>
      <c r="U97" s="5">
        <f t="shared" si="23"/>
        <v>123.76896367963656</v>
      </c>
      <c r="W97" s="5">
        <f t="shared" si="24"/>
        <v>122.18437876381894</v>
      </c>
      <c r="Y97">
        <f t="shared" si="31"/>
        <v>88</v>
      </c>
      <c r="Z97" s="3">
        <f t="shared" si="32"/>
        <v>1323.8528754810091</v>
      </c>
      <c r="AA97" s="3">
        <f t="shared" si="33"/>
        <v>1226.2037383679144</v>
      </c>
      <c r="AB97" s="3">
        <f t="shared" si="34"/>
        <v>1296.0468700716633</v>
      </c>
      <c r="AC97" s="3">
        <f t="shared" si="35"/>
        <v>1433.8510817246829</v>
      </c>
      <c r="BC97" s="17">
        <f t="shared" si="36"/>
        <v>118.72659519186966</v>
      </c>
      <c r="BD97" s="3">
        <f t="shared" si="37"/>
        <v>1323.8528754810091</v>
      </c>
      <c r="BF97" s="5">
        <f t="shared" si="25"/>
        <v>122.2946028663315</v>
      </c>
      <c r="BG97">
        <f t="shared" si="26"/>
        <v>1226.2037383679144</v>
      </c>
      <c r="BI97" s="5">
        <f t="shared" si="27"/>
        <v>123.76896367963656</v>
      </c>
      <c r="BJ97">
        <f t="shared" si="28"/>
        <v>1296.0468700716633</v>
      </c>
      <c r="BL97" s="5">
        <f t="shared" si="29"/>
        <v>122.18437876381894</v>
      </c>
      <c r="BM97">
        <f t="shared" si="30"/>
        <v>1433.8510817246829</v>
      </c>
    </row>
    <row r="98" spans="1:65" x14ac:dyDescent="0.25">
      <c r="A98">
        <v>89</v>
      </c>
      <c r="B98" s="17">
        <f t="shared" si="19"/>
        <v>120.05803811993576</v>
      </c>
      <c r="C98" s="17">
        <f t="shared" si="20"/>
        <v>141.85121209756116</v>
      </c>
      <c r="D98" s="17">
        <f t="shared" si="21"/>
        <v>120.96413358109746</v>
      </c>
      <c r="G98" s="1">
        <v>89</v>
      </c>
      <c r="H98" s="17">
        <v>46.496261715536718</v>
      </c>
      <c r="I98" s="17">
        <v>49.437730215831877</v>
      </c>
      <c r="J98" s="17">
        <v>47.785979966555367</v>
      </c>
      <c r="M98" s="17">
        <v>153.07426899814851</v>
      </c>
      <c r="N98" s="17">
        <v>4.7919700503859382</v>
      </c>
      <c r="O98" s="17">
        <v>5.0480986330399578</v>
      </c>
      <c r="P98" s="17">
        <v>4.4711868893258773</v>
      </c>
      <c r="S98" s="5">
        <f t="shared" si="22"/>
        <v>123.52628496063963</v>
      </c>
      <c r="T98" s="17"/>
      <c r="U98" s="5">
        <f t="shared" si="23"/>
        <v>125.06867746720691</v>
      </c>
      <c r="W98" s="5">
        <f t="shared" si="24"/>
        <v>123.61931657380136</v>
      </c>
      <c r="Y98">
        <f t="shared" si="31"/>
        <v>89</v>
      </c>
      <c r="Z98" s="3">
        <f t="shared" si="32"/>
        <v>1331.4429280660961</v>
      </c>
      <c r="AA98" s="3">
        <f t="shared" si="33"/>
        <v>1231.6820943081268</v>
      </c>
      <c r="AB98" s="3">
        <f t="shared" si="34"/>
        <v>1299.7137875703543</v>
      </c>
      <c r="AC98" s="3">
        <f t="shared" si="35"/>
        <v>1434.937809982415</v>
      </c>
      <c r="BC98" s="17">
        <f t="shared" si="36"/>
        <v>120.05803811993576</v>
      </c>
      <c r="BD98" s="3">
        <f t="shared" si="37"/>
        <v>1331.4429280660961</v>
      </c>
      <c r="BF98" s="5">
        <f t="shared" si="25"/>
        <v>123.52628496063963</v>
      </c>
      <c r="BG98">
        <f t="shared" si="26"/>
        <v>1231.6820943081268</v>
      </c>
      <c r="BI98" s="5">
        <f t="shared" si="27"/>
        <v>125.06867746720691</v>
      </c>
      <c r="BJ98">
        <f t="shared" si="28"/>
        <v>1299.7137875703543</v>
      </c>
      <c r="BL98" s="5">
        <f t="shared" si="29"/>
        <v>123.61931657380136</v>
      </c>
      <c r="BM98">
        <f t="shared" si="30"/>
        <v>1434.937809982415</v>
      </c>
    </row>
    <row r="99" spans="1:65" x14ac:dyDescent="0.25">
      <c r="A99">
        <v>90</v>
      </c>
      <c r="B99" s="17">
        <f t="shared" si="19"/>
        <v>121.39695847737997</v>
      </c>
      <c r="C99" s="17">
        <f t="shared" si="20"/>
        <v>143.44746096806296</v>
      </c>
      <c r="D99" s="17">
        <f t="shared" si="21"/>
        <v>122.31846930637043</v>
      </c>
      <c r="G99" s="1">
        <v>90</v>
      </c>
      <c r="H99" s="17">
        <v>46.514511115111567</v>
      </c>
      <c r="I99" s="17">
        <v>49.462730748194502</v>
      </c>
      <c r="J99" s="17">
        <v>47.805263025902192</v>
      </c>
      <c r="M99" s="17">
        <v>154.2270010532188</v>
      </c>
      <c r="N99" s="17">
        <v>4.8303666830422944</v>
      </c>
      <c r="O99" s="17">
        <v>5.0861277936285569</v>
      </c>
      <c r="P99" s="17">
        <v>4.4993362652569857</v>
      </c>
      <c r="S99" s="5">
        <f t="shared" si="22"/>
        <v>124.76339717477313</v>
      </c>
      <c r="T99" s="17"/>
      <c r="U99" s="5">
        <f t="shared" si="23"/>
        <v>126.3720240525667</v>
      </c>
      <c r="W99" s="5">
        <f t="shared" si="24"/>
        <v>125.0553249579728</v>
      </c>
      <c r="Y99">
        <f t="shared" si="31"/>
        <v>90</v>
      </c>
      <c r="Z99" s="3">
        <f t="shared" si="32"/>
        <v>1338.9203574442092</v>
      </c>
      <c r="AA99" s="3">
        <f t="shared" si="33"/>
        <v>1237.1122141335036</v>
      </c>
      <c r="AB99" s="3">
        <f t="shared" si="34"/>
        <v>1303.3465853597904</v>
      </c>
      <c r="AC99" s="3">
        <f t="shared" si="35"/>
        <v>1436.008384171444</v>
      </c>
      <c r="BC99" s="17">
        <f t="shared" si="36"/>
        <v>121.39695847737997</v>
      </c>
      <c r="BD99" s="3">
        <f t="shared" si="37"/>
        <v>1338.9203574442092</v>
      </c>
      <c r="BF99" s="5">
        <f t="shared" si="25"/>
        <v>124.76339717477313</v>
      </c>
      <c r="BG99">
        <f t="shared" si="26"/>
        <v>1237.1122141335036</v>
      </c>
      <c r="BI99" s="5">
        <f t="shared" si="27"/>
        <v>126.3720240525667</v>
      </c>
      <c r="BJ99">
        <f t="shared" si="28"/>
        <v>1303.3465853597904</v>
      </c>
      <c r="BL99" s="5">
        <f t="shared" si="29"/>
        <v>125.0553249579728</v>
      </c>
      <c r="BM99">
        <f t="shared" si="30"/>
        <v>1436.008384171444</v>
      </c>
    </row>
    <row r="100" spans="1:65" x14ac:dyDescent="0.25">
      <c r="A100">
        <v>91</v>
      </c>
      <c r="B100" s="17">
        <f t="shared" si="19"/>
        <v>122.74324417534277</v>
      </c>
      <c r="C100" s="17">
        <f t="shared" si="20"/>
        <v>145.05115170971143</v>
      </c>
      <c r="D100" s="17">
        <f t="shared" si="21"/>
        <v>123.67972181429734</v>
      </c>
      <c r="G100" s="1">
        <v>91</v>
      </c>
      <c r="H100" s="17">
        <v>46.532780346501802</v>
      </c>
      <c r="I100" s="17">
        <v>49.487500453944619</v>
      </c>
      <c r="J100" s="17">
        <v>47.824467647608429</v>
      </c>
      <c r="M100" s="17">
        <v>155.37973310828909</v>
      </c>
      <c r="N100" s="17">
        <v>4.8686082780304094</v>
      </c>
      <c r="O100" s="17">
        <v>5.1239744292504668</v>
      </c>
      <c r="P100" s="17">
        <v>4.527347776120461</v>
      </c>
      <c r="S100" s="5">
        <f t="shared" si="22"/>
        <v>126.00589127261713</v>
      </c>
      <c r="T100" s="17"/>
      <c r="U100" s="5">
        <f t="shared" si="23"/>
        <v>127.6789693160066</v>
      </c>
      <c r="W100" s="5">
        <f t="shared" si="24"/>
        <v>126.49238776226457</v>
      </c>
      <c r="Y100">
        <f t="shared" si="31"/>
        <v>91</v>
      </c>
      <c r="Z100" s="3">
        <f t="shared" si="32"/>
        <v>1346.2856979627986</v>
      </c>
      <c r="AA100" s="3">
        <f t="shared" si="33"/>
        <v>1242.494097844002</v>
      </c>
      <c r="AB100" s="3">
        <f t="shared" si="34"/>
        <v>1306.9452634398999</v>
      </c>
      <c r="AC100" s="3">
        <f t="shared" si="35"/>
        <v>1437.0628042917701</v>
      </c>
      <c r="BC100" s="17">
        <f t="shared" si="36"/>
        <v>122.74324417534277</v>
      </c>
      <c r="BD100" s="3">
        <f t="shared" si="37"/>
        <v>1346.2856979627986</v>
      </c>
      <c r="BF100" s="5">
        <f t="shared" si="25"/>
        <v>126.00589127261713</v>
      </c>
      <c r="BG100">
        <f t="shared" si="26"/>
        <v>1242.494097844002</v>
      </c>
      <c r="BI100" s="5">
        <f t="shared" si="27"/>
        <v>127.6789693160066</v>
      </c>
      <c r="BJ100">
        <f t="shared" si="28"/>
        <v>1306.9452634398999</v>
      </c>
      <c r="BL100" s="5">
        <f t="shared" si="29"/>
        <v>126.49238776226457</v>
      </c>
      <c r="BM100">
        <f t="shared" si="30"/>
        <v>1437.0628042917701</v>
      </c>
    </row>
    <row r="101" spans="1:65" x14ac:dyDescent="0.25">
      <c r="A101">
        <v>92</v>
      </c>
      <c r="B101" s="17">
        <f t="shared" si="19"/>
        <v>124.09678365931201</v>
      </c>
      <c r="C101" s="17">
        <f t="shared" si="20"/>
        <v>146.66216179743171</v>
      </c>
      <c r="D101" s="17">
        <f t="shared" si="21"/>
        <v>125.04777402674536</v>
      </c>
      <c r="G101" s="1">
        <v>92</v>
      </c>
      <c r="H101" s="17">
        <v>46.551067766910478</v>
      </c>
      <c r="I101" s="17">
        <v>49.512050170447992</v>
      </c>
      <c r="J101" s="17">
        <v>47.843597331334877</v>
      </c>
      <c r="M101" s="17">
        <v>156.5324651633594</v>
      </c>
      <c r="N101" s="17">
        <v>4.9066895395790837</v>
      </c>
      <c r="O101" s="17">
        <v>5.1616349812629103</v>
      </c>
      <c r="P101" s="17">
        <v>4.5552227312611508</v>
      </c>
      <c r="S101" s="5">
        <f t="shared" si="22"/>
        <v>127.2537190180568</v>
      </c>
      <c r="T101" s="17"/>
      <c r="U101" s="5">
        <f t="shared" si="23"/>
        <v>128.98947913781731</v>
      </c>
      <c r="W101" s="5">
        <f t="shared" si="24"/>
        <v>127.93048883260798</v>
      </c>
      <c r="Y101">
        <f t="shared" si="31"/>
        <v>92</v>
      </c>
      <c r="Z101" s="3">
        <f t="shared" si="32"/>
        <v>1353.5394839692431</v>
      </c>
      <c r="AA101" s="3">
        <f t="shared" si="33"/>
        <v>1247.8277454396648</v>
      </c>
      <c r="AB101" s="3">
        <f t="shared" si="34"/>
        <v>1310.5098218107116</v>
      </c>
      <c r="AC101" s="3">
        <f t="shared" si="35"/>
        <v>1438.1010703434072</v>
      </c>
      <c r="BC101" s="17">
        <f t="shared" si="36"/>
        <v>124.09678365931201</v>
      </c>
      <c r="BD101" s="3">
        <f t="shared" si="37"/>
        <v>1353.5394839692431</v>
      </c>
      <c r="BF101" s="5">
        <f t="shared" si="25"/>
        <v>127.2537190180568</v>
      </c>
      <c r="BG101">
        <f t="shared" si="26"/>
        <v>1247.8277454396648</v>
      </c>
      <c r="BI101" s="5">
        <f t="shared" si="27"/>
        <v>128.98947913781731</v>
      </c>
      <c r="BJ101">
        <f t="shared" si="28"/>
        <v>1310.5098218107116</v>
      </c>
      <c r="BL101" s="5">
        <f t="shared" si="29"/>
        <v>127.93048883260798</v>
      </c>
      <c r="BM101">
        <f t="shared" si="30"/>
        <v>1438.1010703434072</v>
      </c>
    </row>
    <row r="102" spans="1:65" x14ac:dyDescent="0.25">
      <c r="A102">
        <v>93</v>
      </c>
      <c r="B102" s="17">
        <f t="shared" si="19"/>
        <v>125.45746590912294</v>
      </c>
      <c r="C102" s="17">
        <f t="shared" si="20"/>
        <v>148.28036932708557</v>
      </c>
      <c r="D102" s="17">
        <f t="shared" si="21"/>
        <v>126.42250945060232</v>
      </c>
      <c r="G102" s="1">
        <v>93</v>
      </c>
      <c r="H102" s="17">
        <v>46.569371733540677</v>
      </c>
      <c r="I102" s="17">
        <v>49.536390735070377</v>
      </c>
      <c r="J102" s="17">
        <v>47.86265557674232</v>
      </c>
      <c r="M102" s="17">
        <v>157.68519721842969</v>
      </c>
      <c r="N102" s="17">
        <v>4.9446051719171207</v>
      </c>
      <c r="O102" s="17">
        <v>5.1991058910231107</v>
      </c>
      <c r="P102" s="17">
        <v>4.5829624400239029</v>
      </c>
      <c r="S102" s="5">
        <f t="shared" si="22"/>
        <v>128.50683217497735</v>
      </c>
      <c r="T102" s="17"/>
      <c r="U102" s="5">
        <f t="shared" si="23"/>
        <v>130.30351939828961</v>
      </c>
      <c r="W102" s="5">
        <f t="shared" si="24"/>
        <v>129.36961201493435</v>
      </c>
      <c r="Y102">
        <f t="shared" si="31"/>
        <v>93</v>
      </c>
      <c r="Z102" s="3">
        <f t="shared" si="32"/>
        <v>1360.6822498109352</v>
      </c>
      <c r="AA102" s="3">
        <f t="shared" si="33"/>
        <v>1253.1131569205486</v>
      </c>
      <c r="AB102" s="3">
        <f t="shared" si="34"/>
        <v>1314.0402604722965</v>
      </c>
      <c r="AC102" s="3">
        <f t="shared" si="35"/>
        <v>1439.1231823263695</v>
      </c>
      <c r="BC102" s="17">
        <f t="shared" si="36"/>
        <v>125.45746590912294</v>
      </c>
      <c r="BD102" s="3">
        <f t="shared" si="37"/>
        <v>1360.6822498109352</v>
      </c>
      <c r="BF102" s="5">
        <f t="shared" si="25"/>
        <v>128.50683217497735</v>
      </c>
      <c r="BG102">
        <f t="shared" si="26"/>
        <v>1253.1131569205486</v>
      </c>
      <c r="BI102" s="5">
        <f t="shared" si="27"/>
        <v>130.30351939828961</v>
      </c>
      <c r="BJ102">
        <f t="shared" si="28"/>
        <v>1314.0402604722965</v>
      </c>
      <c r="BL102" s="5">
        <f t="shared" si="29"/>
        <v>129.36961201493435</v>
      </c>
      <c r="BM102">
        <f t="shared" si="30"/>
        <v>1439.1231823263695</v>
      </c>
    </row>
    <row r="103" spans="1:65" x14ac:dyDescent="0.25">
      <c r="A103">
        <v>94</v>
      </c>
      <c r="B103" s="17">
        <f t="shared" si="19"/>
        <v>126.8251804389583</v>
      </c>
      <c r="C103" s="17">
        <f t="shared" si="20"/>
        <v>149.90565301547159</v>
      </c>
      <c r="D103" s="17">
        <f t="shared" si="21"/>
        <v>127.80381217777662</v>
      </c>
      <c r="G103" s="1">
        <v>94</v>
      </c>
      <c r="H103" s="17">
        <v>46.587690603595483</v>
      </c>
      <c r="I103" s="17">
        <v>49.560532985177559</v>
      </c>
      <c r="J103" s="17">
        <v>47.88164588349153</v>
      </c>
      <c r="M103" s="17">
        <v>158.83792927350001</v>
      </c>
      <c r="N103" s="17">
        <v>4.9823498792733201</v>
      </c>
      <c r="O103" s="17">
        <v>5.2363835998882919</v>
      </c>
      <c r="P103" s="17">
        <v>4.6105682117535673</v>
      </c>
      <c r="S103" s="5">
        <f t="shared" si="22"/>
        <v>129.76518250726392</v>
      </c>
      <c r="T103" s="17"/>
      <c r="U103" s="5">
        <f t="shared" si="23"/>
        <v>131.62105597771415</v>
      </c>
      <c r="W103" s="5">
        <f t="shared" si="24"/>
        <v>130.80974115517495</v>
      </c>
      <c r="Y103">
        <f t="shared" si="31"/>
        <v>94</v>
      </c>
      <c r="Z103" s="3">
        <f t="shared" si="32"/>
        <v>1367.7145298353537</v>
      </c>
      <c r="AA103" s="3">
        <f t="shared" si="33"/>
        <v>1258.3503322865681</v>
      </c>
      <c r="AB103" s="3">
        <f t="shared" si="34"/>
        <v>1317.5365794245408</v>
      </c>
      <c r="AC103" s="3">
        <f t="shared" si="35"/>
        <v>1440.1291402406002</v>
      </c>
      <c r="BC103" s="17">
        <f t="shared" si="36"/>
        <v>126.8251804389583</v>
      </c>
      <c r="BD103" s="3">
        <f t="shared" si="37"/>
        <v>1367.7145298353537</v>
      </c>
      <c r="BF103" s="5">
        <f t="shared" si="25"/>
        <v>129.76518250726392</v>
      </c>
      <c r="BG103">
        <f t="shared" si="26"/>
        <v>1258.3503322865681</v>
      </c>
      <c r="BI103" s="5">
        <f t="shared" si="27"/>
        <v>131.62105597771415</v>
      </c>
      <c r="BJ103">
        <f t="shared" si="28"/>
        <v>1317.5365794245408</v>
      </c>
      <c r="BL103" s="5">
        <f t="shared" si="29"/>
        <v>130.80974115517495</v>
      </c>
      <c r="BM103">
        <f t="shared" si="30"/>
        <v>1440.1291402406002</v>
      </c>
    </row>
    <row r="104" spans="1:65" x14ac:dyDescent="0.25">
      <c r="A104">
        <v>95</v>
      </c>
      <c r="B104" s="17">
        <f t="shared" si="19"/>
        <v>128.1998172973482</v>
      </c>
      <c r="C104" s="17">
        <f t="shared" si="20"/>
        <v>151.53789220032468</v>
      </c>
      <c r="D104" s="17">
        <f t="shared" si="21"/>
        <v>129.19156688519723</v>
      </c>
      <c r="G104" s="1">
        <v>95</v>
      </c>
      <c r="H104" s="17">
        <v>46.606022734277957</v>
      </c>
      <c r="I104" s="17">
        <v>49.584487758135282</v>
      </c>
      <c r="J104" s="17">
        <v>47.900571751243291</v>
      </c>
      <c r="M104" s="17">
        <v>159.9906613285703</v>
      </c>
      <c r="N104" s="17">
        <v>5.0199183658764834</v>
      </c>
      <c r="O104" s="17">
        <v>5.273464549215678</v>
      </c>
      <c r="P104" s="17">
        <v>4.6380413557949884</v>
      </c>
      <c r="S104" s="5">
        <f t="shared" si="22"/>
        <v>131.02872177880167</v>
      </c>
      <c r="T104" s="17"/>
      <c r="U104" s="5">
        <f t="shared" si="23"/>
        <v>132.94205475638162</v>
      </c>
      <c r="W104" s="5">
        <f t="shared" si="24"/>
        <v>132.25086009926108</v>
      </c>
      <c r="Y104">
        <f t="shared" si="31"/>
        <v>95</v>
      </c>
      <c r="Z104" s="3">
        <f t="shared" si="32"/>
        <v>1374.6368583899057</v>
      </c>
      <c r="AA104" s="3">
        <f t="shared" si="33"/>
        <v>1263.539271537752</v>
      </c>
      <c r="AB104" s="3">
        <f t="shared" si="34"/>
        <v>1320.9987786674731</v>
      </c>
      <c r="AC104" s="3">
        <f t="shared" si="35"/>
        <v>1441.1189440861278</v>
      </c>
      <c r="BC104" s="17">
        <f t="shared" si="36"/>
        <v>128.1998172973482</v>
      </c>
      <c r="BD104" s="3">
        <f t="shared" si="37"/>
        <v>1374.6368583899057</v>
      </c>
      <c r="BF104" s="5">
        <f t="shared" si="25"/>
        <v>131.02872177880167</v>
      </c>
      <c r="BG104">
        <f t="shared" si="26"/>
        <v>1263.539271537752</v>
      </c>
      <c r="BI104" s="5">
        <f t="shared" si="27"/>
        <v>132.94205475638162</v>
      </c>
      <c r="BJ104">
        <f t="shared" si="28"/>
        <v>1320.9987786674731</v>
      </c>
      <c r="BL104" s="5">
        <f t="shared" si="29"/>
        <v>132.25086009926108</v>
      </c>
      <c r="BM104">
        <f t="shared" si="30"/>
        <v>1441.1189440861278</v>
      </c>
    </row>
    <row r="105" spans="1:65" x14ac:dyDescent="0.25">
      <c r="A105">
        <v>96</v>
      </c>
      <c r="B105" s="17">
        <f t="shared" si="19"/>
        <v>129.58126706717019</v>
      </c>
      <c r="C105" s="17">
        <f t="shared" si="20"/>
        <v>153.17696684031662</v>
      </c>
      <c r="D105" s="17">
        <f t="shared" si="21"/>
        <v>130.58565883481387</v>
      </c>
      <c r="G105" s="1">
        <v>96</v>
      </c>
      <c r="H105" s="17">
        <v>46.624366482791181</v>
      </c>
      <c r="I105" s="17">
        <v>49.608265891309308</v>
      </c>
      <c r="J105" s="17">
        <v>47.919436679658382</v>
      </c>
      <c r="M105" s="17">
        <v>161.14339338364061</v>
      </c>
      <c r="N105" s="17">
        <v>5.0573053359554097</v>
      </c>
      <c r="O105" s="17">
        <v>5.3103451803624928</v>
      </c>
      <c r="P105" s="17">
        <v>4.6653831814930156</v>
      </c>
      <c r="S105" s="5">
        <f t="shared" si="22"/>
        <v>132.29740175347578</v>
      </c>
      <c r="T105" s="17"/>
      <c r="U105" s="5">
        <f t="shared" si="23"/>
        <v>134.2664816145828</v>
      </c>
      <c r="W105" s="5">
        <f t="shared" si="24"/>
        <v>133.69295269312408</v>
      </c>
      <c r="Y105">
        <f t="shared" si="31"/>
        <v>96</v>
      </c>
      <c r="Z105" s="3">
        <f t="shared" si="32"/>
        <v>1381.4497698219839</v>
      </c>
      <c r="AA105" s="3">
        <f t="shared" si="33"/>
        <v>1268.6799746741144</v>
      </c>
      <c r="AB105" s="3">
        <f t="shared" si="34"/>
        <v>1324.4268582011784</v>
      </c>
      <c r="AC105" s="3">
        <f t="shared" si="35"/>
        <v>1442.0925938630091</v>
      </c>
      <c r="BC105" s="17">
        <f t="shared" si="36"/>
        <v>129.58126706717019</v>
      </c>
      <c r="BD105" s="3">
        <f t="shared" si="37"/>
        <v>1381.4497698219839</v>
      </c>
      <c r="BF105" s="5">
        <f t="shared" si="25"/>
        <v>132.29740175347578</v>
      </c>
      <c r="BG105">
        <f t="shared" si="26"/>
        <v>1268.6799746741144</v>
      </c>
      <c r="BI105" s="5">
        <f t="shared" si="27"/>
        <v>134.2664816145828</v>
      </c>
      <c r="BJ105">
        <f t="shared" si="28"/>
        <v>1324.4268582011784</v>
      </c>
      <c r="BL105" s="5">
        <f t="shared" si="29"/>
        <v>133.69295269312408</v>
      </c>
      <c r="BM105">
        <f t="shared" si="30"/>
        <v>1442.0925938630091</v>
      </c>
    </row>
    <row r="106" spans="1:65" x14ac:dyDescent="0.25">
      <c r="A106">
        <v>97</v>
      </c>
      <c r="B106" s="17">
        <f t="shared" si="19"/>
        <v>130.96942086564923</v>
      </c>
      <c r="C106" s="17">
        <f t="shared" si="20"/>
        <v>154.82275751505571</v>
      </c>
      <c r="D106" s="17">
        <f t="shared" si="21"/>
        <v>131.98597387359661</v>
      </c>
      <c r="G106" s="1">
        <v>97</v>
      </c>
      <c r="H106" s="17">
        <v>46.642720206338232</v>
      </c>
      <c r="I106" s="17">
        <v>49.63187822206541</v>
      </c>
      <c r="J106" s="17">
        <v>47.938244168397603</v>
      </c>
      <c r="M106" s="17">
        <v>162.29612543871099</v>
      </c>
      <c r="N106" s="17">
        <v>5.094505493738902</v>
      </c>
      <c r="O106" s="17">
        <v>5.3470219346859587</v>
      </c>
      <c r="P106" s="17">
        <v>4.6925949981924981</v>
      </c>
      <c r="S106" s="5">
        <f t="shared" si="22"/>
        <v>133.57117419517138</v>
      </c>
      <c r="T106" s="17"/>
      <c r="U106" s="5">
        <f t="shared" si="23"/>
        <v>135.59430243260834</v>
      </c>
      <c r="W106" s="5">
        <f t="shared" si="24"/>
        <v>135.13600278269527</v>
      </c>
      <c r="Y106">
        <f t="shared" si="31"/>
        <v>97</v>
      </c>
      <c r="Z106" s="3">
        <f t="shared" si="32"/>
        <v>1388.1537984790384</v>
      </c>
      <c r="AA106" s="3">
        <f t="shared" si="33"/>
        <v>1273.7724416955984</v>
      </c>
      <c r="AB106" s="3">
        <f t="shared" si="34"/>
        <v>1327.8208180255433</v>
      </c>
      <c r="AC106" s="3">
        <f t="shared" si="35"/>
        <v>1443.0500895711873</v>
      </c>
      <c r="BC106" s="17">
        <f t="shared" si="36"/>
        <v>130.96942086564923</v>
      </c>
      <c r="BD106" s="3">
        <f t="shared" si="37"/>
        <v>1388.1537984790384</v>
      </c>
      <c r="BF106" s="5">
        <f t="shared" si="25"/>
        <v>133.57117419517138</v>
      </c>
      <c r="BG106">
        <f t="shared" si="26"/>
        <v>1273.7724416955984</v>
      </c>
      <c r="BI106" s="5">
        <f t="shared" si="27"/>
        <v>135.59430243260834</v>
      </c>
      <c r="BJ106">
        <f t="shared" si="28"/>
        <v>1327.8208180255433</v>
      </c>
      <c r="BL106" s="5">
        <f t="shared" si="29"/>
        <v>135.13600278269527</v>
      </c>
      <c r="BM106">
        <f t="shared" si="30"/>
        <v>1443.0500895711873</v>
      </c>
    </row>
    <row r="107" spans="1:65" x14ac:dyDescent="0.25">
      <c r="A107">
        <v>98</v>
      </c>
      <c r="B107" s="17">
        <f t="shared" si="19"/>
        <v>132.36417034435772</v>
      </c>
      <c r="C107" s="17">
        <f t="shared" si="20"/>
        <v>156.47514542508679</v>
      </c>
      <c r="D107" s="17">
        <f t="shared" si="21"/>
        <v>133.39239843353641</v>
      </c>
      <c r="G107" s="1">
        <v>98</v>
      </c>
      <c r="H107" s="17">
        <v>46.661082262122171</v>
      </c>
      <c r="I107" s="17">
        <v>49.655335587769351</v>
      </c>
      <c r="J107" s="17">
        <v>47.956997717121702</v>
      </c>
      <c r="M107" s="17">
        <v>163.4488574937813</v>
      </c>
      <c r="N107" s="17">
        <v>5.1315135434557604</v>
      </c>
      <c r="O107" s="17">
        <v>5.3834912535433013</v>
      </c>
      <c r="P107" s="17">
        <v>4.719678115238283</v>
      </c>
      <c r="S107" s="5">
        <f t="shared" si="22"/>
        <v>134.8499908677737</v>
      </c>
      <c r="T107" s="17"/>
      <c r="U107" s="5">
        <f t="shared" si="23"/>
        <v>136.92548309074897</v>
      </c>
      <c r="W107" s="5">
        <f t="shared" si="24"/>
        <v>136.57999421390591</v>
      </c>
      <c r="Y107">
        <f t="shared" si="31"/>
        <v>98</v>
      </c>
      <c r="Z107" s="3">
        <f t="shared" si="32"/>
        <v>1394.7494787084906</v>
      </c>
      <c r="AA107" s="3">
        <f t="shared" si="33"/>
        <v>1278.8166726023178</v>
      </c>
      <c r="AB107" s="3">
        <f t="shared" si="34"/>
        <v>1331.1806581406245</v>
      </c>
      <c r="AC107" s="3">
        <f t="shared" si="35"/>
        <v>1443.9914312106339</v>
      </c>
      <c r="BC107" s="17">
        <f t="shared" si="36"/>
        <v>132.36417034435772</v>
      </c>
      <c r="BD107" s="3">
        <f t="shared" si="37"/>
        <v>1394.7494787084906</v>
      </c>
      <c r="BF107" s="5">
        <f t="shared" si="25"/>
        <v>134.8499908677737</v>
      </c>
      <c r="BG107">
        <f t="shared" si="26"/>
        <v>1278.8166726023178</v>
      </c>
      <c r="BI107" s="5">
        <f t="shared" si="27"/>
        <v>136.92548309074897</v>
      </c>
      <c r="BJ107">
        <f t="shared" si="28"/>
        <v>1331.1806581406245</v>
      </c>
      <c r="BL107" s="5">
        <f t="shared" si="29"/>
        <v>136.57999421390591</v>
      </c>
      <c r="BM107">
        <f t="shared" si="30"/>
        <v>1443.9914312106339</v>
      </c>
    </row>
    <row r="108" spans="1:65" x14ac:dyDescent="0.25">
      <c r="A108">
        <v>99</v>
      </c>
      <c r="B108" s="17">
        <f t="shared" si="19"/>
        <v>133.76540768921541</v>
      </c>
      <c r="C108" s="17">
        <f t="shared" si="20"/>
        <v>158.13401239189136</v>
      </c>
      <c r="D108" s="17">
        <f t="shared" si="21"/>
        <v>134.8048195316446</v>
      </c>
      <c r="G108" s="1">
        <v>99</v>
      </c>
      <c r="H108" s="17">
        <v>46.679451007346088</v>
      </c>
      <c r="I108" s="17">
        <v>49.678648825786887</v>
      </c>
      <c r="J108" s="17">
        <v>47.975700825491479</v>
      </c>
      <c r="M108" s="17">
        <v>164.60158954885159</v>
      </c>
      <c r="N108" s="17">
        <v>5.1683241893347862</v>
      </c>
      <c r="O108" s="17">
        <v>5.4197495782917438</v>
      </c>
      <c r="P108" s="17">
        <v>4.7466338419752176</v>
      </c>
      <c r="S108" s="5">
        <f t="shared" si="22"/>
        <v>136.13380353516789</v>
      </c>
      <c r="T108" s="17"/>
      <c r="U108" s="5">
        <f t="shared" si="23"/>
        <v>138.25998946929539</v>
      </c>
      <c r="W108" s="5">
        <f t="shared" si="24"/>
        <v>138.02491083268728</v>
      </c>
      <c r="Y108">
        <f t="shared" si="31"/>
        <v>99</v>
      </c>
      <c r="Z108" s="3">
        <f t="shared" si="32"/>
        <v>1401.2373448576909</v>
      </c>
      <c r="AA108" s="3">
        <f t="shared" si="33"/>
        <v>1283.8126673941872</v>
      </c>
      <c r="AB108" s="3">
        <f t="shared" si="34"/>
        <v>1334.506378546422</v>
      </c>
      <c r="AC108" s="3">
        <f t="shared" si="35"/>
        <v>1444.9166187813773</v>
      </c>
      <c r="BC108" s="17">
        <f t="shared" si="36"/>
        <v>133.76540768921541</v>
      </c>
      <c r="BD108" s="3">
        <f t="shared" si="37"/>
        <v>1401.2373448576909</v>
      </c>
      <c r="BF108" s="5">
        <f t="shared" si="25"/>
        <v>136.13380353516789</v>
      </c>
      <c r="BG108">
        <f t="shared" si="26"/>
        <v>1283.8126673941872</v>
      </c>
      <c r="BI108" s="5">
        <f t="shared" si="27"/>
        <v>138.25998946929539</v>
      </c>
      <c r="BJ108">
        <f t="shared" si="28"/>
        <v>1334.506378546422</v>
      </c>
      <c r="BL108" s="5">
        <f t="shared" si="29"/>
        <v>138.02491083268728</v>
      </c>
      <c r="BM108">
        <f t="shared" si="30"/>
        <v>1444.9166187813773</v>
      </c>
    </row>
    <row r="109" spans="1:65" x14ac:dyDescent="0.25">
      <c r="A109">
        <v>100</v>
      </c>
      <c r="B109" s="17">
        <f t="shared" si="19"/>
        <v>135.17302562048962</v>
      </c>
      <c r="C109" s="17">
        <f t="shared" si="20"/>
        <v>159.79924085788761</v>
      </c>
      <c r="D109" s="17">
        <f t="shared" si="21"/>
        <v>136.2231247699533</v>
      </c>
      <c r="G109" s="1">
        <v>100</v>
      </c>
      <c r="H109" s="17">
        <v>46.697824799213052</v>
      </c>
      <c r="I109" s="17">
        <v>49.70182877348379</v>
      </c>
      <c r="J109" s="17">
        <v>47.994356993167713</v>
      </c>
      <c r="M109" s="17">
        <v>165.75432160392191</v>
      </c>
      <c r="N109" s="17">
        <v>5.204932135604782</v>
      </c>
      <c r="O109" s="17">
        <v>5.4557933502885101</v>
      </c>
      <c r="P109" s="17">
        <v>4.7734634877481499</v>
      </c>
      <c r="S109" s="5">
        <f t="shared" si="22"/>
        <v>137.42256396123909</v>
      </c>
      <c r="T109" s="17"/>
      <c r="U109" s="5">
        <f t="shared" si="23"/>
        <v>139.59778744853833</v>
      </c>
      <c r="W109" s="5">
        <f t="shared" si="24"/>
        <v>139.47073648497073</v>
      </c>
      <c r="Y109">
        <f t="shared" si="31"/>
        <v>100</v>
      </c>
      <c r="Z109" s="3">
        <f t="shared" si="32"/>
        <v>1407.617931274217</v>
      </c>
      <c r="AA109" s="3">
        <f t="shared" si="33"/>
        <v>1288.7604260712067</v>
      </c>
      <c r="AB109" s="3">
        <f t="shared" si="34"/>
        <v>1337.7979792429358</v>
      </c>
      <c r="AC109" s="3">
        <f t="shared" si="35"/>
        <v>1445.8256522834461</v>
      </c>
      <c r="BC109" s="17">
        <f t="shared" si="36"/>
        <v>135.17302562048962</v>
      </c>
      <c r="BD109" s="3">
        <f t="shared" si="37"/>
        <v>1407.617931274217</v>
      </c>
      <c r="BF109" s="5">
        <f t="shared" si="25"/>
        <v>137.42256396123909</v>
      </c>
      <c r="BG109">
        <f t="shared" si="26"/>
        <v>1288.7604260712067</v>
      </c>
      <c r="BI109" s="5">
        <f t="shared" si="27"/>
        <v>139.59778744853833</v>
      </c>
      <c r="BJ109">
        <f t="shared" si="28"/>
        <v>1337.7979792429358</v>
      </c>
      <c r="BL109" s="5">
        <f t="shared" si="29"/>
        <v>139.47073648497073</v>
      </c>
      <c r="BM109">
        <f t="shared" si="30"/>
        <v>1445.8256522834461</v>
      </c>
    </row>
    <row r="110" spans="1:65" x14ac:dyDescent="0.25">
      <c r="A110">
        <v>101</v>
      </c>
      <c r="B110" s="17">
        <f t="shared" si="19"/>
        <v>136.58691739279493</v>
      </c>
      <c r="C110" s="17">
        <f t="shared" si="20"/>
        <v>161.47071388643027</v>
      </c>
      <c r="D110" s="17">
        <f t="shared" si="21"/>
        <v>137.64720233551506</v>
      </c>
      <c r="G110" s="1">
        <v>101</v>
      </c>
      <c r="H110" s="17">
        <v>46.716201994926131</v>
      </c>
      <c r="I110" s="17">
        <v>49.724886268225823</v>
      </c>
      <c r="J110" s="17">
        <v>48.012969719811203</v>
      </c>
      <c r="M110" s="17">
        <v>166.9070536589922</v>
      </c>
      <c r="N110" s="17">
        <v>5.2413320864945456</v>
      </c>
      <c r="O110" s="17">
        <v>5.4916190108908234</v>
      </c>
      <c r="P110" s="17">
        <v>4.8001683619019291</v>
      </c>
      <c r="S110" s="5">
        <f t="shared" si="22"/>
        <v>138.7162239098725</v>
      </c>
      <c r="T110" s="17"/>
      <c r="U110" s="5">
        <f t="shared" si="23"/>
        <v>140.93884290876849</v>
      </c>
      <c r="W110" s="5">
        <f t="shared" si="24"/>
        <v>140.91745501668754</v>
      </c>
      <c r="Y110">
        <f t="shared" si="31"/>
        <v>101</v>
      </c>
      <c r="Z110" s="3">
        <f t="shared" si="32"/>
        <v>1413.8917723053055</v>
      </c>
      <c r="AA110" s="3">
        <f t="shared" si="33"/>
        <v>1293.6599486334046</v>
      </c>
      <c r="AB110" s="3">
        <f t="shared" si="34"/>
        <v>1341.0554602301659</v>
      </c>
      <c r="AC110" s="3">
        <f t="shared" si="35"/>
        <v>1446.7185317168116</v>
      </c>
      <c r="BC110" s="17">
        <f t="shared" si="36"/>
        <v>136.58691739279493</v>
      </c>
      <c r="BD110" s="3">
        <f t="shared" si="37"/>
        <v>1413.8917723053055</v>
      </c>
      <c r="BF110" s="5">
        <f t="shared" si="25"/>
        <v>138.7162239098725</v>
      </c>
      <c r="BG110">
        <f t="shared" si="26"/>
        <v>1293.6599486334046</v>
      </c>
      <c r="BI110" s="5">
        <f t="shared" si="27"/>
        <v>140.93884290876849</v>
      </c>
      <c r="BJ110">
        <f t="shared" si="28"/>
        <v>1341.0554602301659</v>
      </c>
      <c r="BL110" s="5">
        <f t="shared" si="29"/>
        <v>140.91745501668754</v>
      </c>
      <c r="BM110">
        <f t="shared" si="30"/>
        <v>1446.7185317168116</v>
      </c>
    </row>
    <row r="111" spans="1:65" x14ac:dyDescent="0.25">
      <c r="A111">
        <v>102</v>
      </c>
      <c r="B111" s="17">
        <f t="shared" si="19"/>
        <v>138.00697679509341</v>
      </c>
      <c r="C111" s="17">
        <f t="shared" si="20"/>
        <v>163.14831516181064</v>
      </c>
      <c r="D111" s="17">
        <f t="shared" si="21"/>
        <v>139.07694100040314</v>
      </c>
      <c r="G111" s="1">
        <v>102</v>
      </c>
      <c r="H111" s="17">
        <v>46.734580951688422</v>
      </c>
      <c r="I111" s="17">
        <v>49.747832147378737</v>
      </c>
      <c r="J111" s="17">
        <v>48.03154250508269</v>
      </c>
      <c r="M111" s="17">
        <v>168.05978571406251</v>
      </c>
      <c r="N111" s="17">
        <v>5.2775187462328814</v>
      </c>
      <c r="O111" s="17">
        <v>5.5272230014559094</v>
      </c>
      <c r="P111" s="17">
        <v>4.8267497737814011</v>
      </c>
      <c r="S111" s="5">
        <f t="shared" si="22"/>
        <v>140.01473514495328</v>
      </c>
      <c r="T111" s="17"/>
      <c r="U111" s="5">
        <f t="shared" si="23"/>
        <v>142.28312173027658</v>
      </c>
      <c r="W111" s="5">
        <f t="shared" si="24"/>
        <v>142.36505027376907</v>
      </c>
      <c r="Y111">
        <f t="shared" si="31"/>
        <v>102</v>
      </c>
      <c r="Z111" s="3">
        <f t="shared" si="32"/>
        <v>1420.0594022984774</v>
      </c>
      <c r="AA111" s="3">
        <f t="shared" si="33"/>
        <v>1298.511235080781</v>
      </c>
      <c r="AB111" s="3">
        <f t="shared" si="34"/>
        <v>1344.2788215080839</v>
      </c>
      <c r="AC111" s="3">
        <f t="shared" si="35"/>
        <v>1447.5952570815309</v>
      </c>
      <c r="BC111" s="17">
        <f t="shared" si="36"/>
        <v>138.00697679509341</v>
      </c>
      <c r="BD111" s="3">
        <f t="shared" si="37"/>
        <v>1420.0594022984774</v>
      </c>
      <c r="BF111" s="5">
        <f t="shared" si="25"/>
        <v>140.01473514495328</v>
      </c>
      <c r="BG111">
        <f t="shared" si="26"/>
        <v>1298.511235080781</v>
      </c>
      <c r="BI111" s="5">
        <f t="shared" si="27"/>
        <v>142.28312173027658</v>
      </c>
      <c r="BJ111">
        <f t="shared" si="28"/>
        <v>1344.2788215080839</v>
      </c>
      <c r="BL111" s="5">
        <f t="shared" si="29"/>
        <v>142.36505027376907</v>
      </c>
      <c r="BM111">
        <f t="shared" si="30"/>
        <v>1447.5952570815309</v>
      </c>
    </row>
    <row r="112" spans="1:65" x14ac:dyDescent="0.25">
      <c r="A112">
        <v>103</v>
      </c>
      <c r="B112" s="17">
        <f t="shared" si="19"/>
        <v>139.43309815069458</v>
      </c>
      <c r="C112" s="17">
        <f t="shared" si="20"/>
        <v>164.83192898925677</v>
      </c>
      <c r="D112" s="17">
        <f t="shared" si="21"/>
        <v>140.51223012171144</v>
      </c>
      <c r="G112" s="1">
        <v>103</v>
      </c>
      <c r="H112" s="17">
        <v>46.752960026702958</v>
      </c>
      <c r="I112" s="17">
        <v>49.77067724830831</v>
      </c>
      <c r="J112" s="17">
        <v>48.05007884864299</v>
      </c>
      <c r="M112" s="17">
        <v>169.2125177691328</v>
      </c>
      <c r="N112" s="17">
        <v>5.3134868190485873</v>
      </c>
      <c r="O112" s="17">
        <v>5.5626017633409877</v>
      </c>
      <c r="P112" s="17">
        <v>4.8532090327314164</v>
      </c>
      <c r="S112" s="5">
        <f t="shared" si="22"/>
        <v>141.31804943036659</v>
      </c>
      <c r="T112" s="17"/>
      <c r="U112" s="5">
        <f t="shared" si="23"/>
        <v>143.63058979335329</v>
      </c>
      <c r="W112" s="5">
        <f t="shared" si="24"/>
        <v>143.81350610214656</v>
      </c>
      <c r="Y112">
        <f t="shared" si="31"/>
        <v>103</v>
      </c>
      <c r="Z112" s="3">
        <f t="shared" si="32"/>
        <v>1426.1213556011683</v>
      </c>
      <c r="AA112" s="3">
        <f t="shared" si="33"/>
        <v>1303.3142854133075</v>
      </c>
      <c r="AB112" s="3">
        <f t="shared" si="34"/>
        <v>1347.4680630767182</v>
      </c>
      <c r="AC112" s="3">
        <f t="shared" si="35"/>
        <v>1448.4558283774902</v>
      </c>
      <c r="BC112" s="17">
        <f t="shared" si="36"/>
        <v>139.43309815069458</v>
      </c>
      <c r="BD112" s="3">
        <f t="shared" si="37"/>
        <v>1426.1213556011683</v>
      </c>
      <c r="BF112" s="5">
        <f t="shared" si="25"/>
        <v>141.31804943036659</v>
      </c>
      <c r="BG112">
        <f t="shared" si="26"/>
        <v>1303.3142854133075</v>
      </c>
      <c r="BI112" s="5">
        <f t="shared" si="27"/>
        <v>143.63058979335329</v>
      </c>
      <c r="BJ112">
        <f t="shared" si="28"/>
        <v>1347.4680630767182</v>
      </c>
      <c r="BL112" s="5">
        <f t="shared" si="29"/>
        <v>143.81350610214656</v>
      </c>
      <c r="BM112">
        <f t="shared" si="30"/>
        <v>1448.4558283774902</v>
      </c>
    </row>
    <row r="113" spans="1:65" x14ac:dyDescent="0.25">
      <c r="A113">
        <v>104</v>
      </c>
      <c r="B113" s="17">
        <f t="shared" si="19"/>
        <v>140.86517631725528</v>
      </c>
      <c r="C113" s="17">
        <f t="shared" si="20"/>
        <v>166.52144029493317</v>
      </c>
      <c r="D113" s="17">
        <f t="shared" si="21"/>
        <v>141.95295964155443</v>
      </c>
      <c r="G113" s="1">
        <v>104</v>
      </c>
      <c r="H113" s="17">
        <v>46.771337577172851</v>
      </c>
      <c r="I113" s="17">
        <v>49.793432408380298</v>
      </c>
      <c r="J113" s="17">
        <v>48.068582250152872</v>
      </c>
      <c r="M113" s="17">
        <v>170.3652498242032</v>
      </c>
      <c r="N113" s="17">
        <v>5.3492310091704667</v>
      </c>
      <c r="O113" s="17">
        <v>5.5977517379032857</v>
      </c>
      <c r="P113" s="17">
        <v>4.8795474480968197</v>
      </c>
      <c r="S113" s="5">
        <f t="shared" si="22"/>
        <v>142.6261185299976</v>
      </c>
      <c r="T113" s="17"/>
      <c r="U113" s="5">
        <f t="shared" si="23"/>
        <v>144.98121297828934</v>
      </c>
      <c r="W113" s="5">
        <f t="shared" si="24"/>
        <v>145.26280634775131</v>
      </c>
      <c r="Y113">
        <f t="shared" si="31"/>
        <v>104</v>
      </c>
      <c r="Z113" s="3">
        <f t="shared" si="32"/>
        <v>1432.0781665607001</v>
      </c>
      <c r="AA113" s="3">
        <f t="shared" si="33"/>
        <v>1308.0690996310125</v>
      </c>
      <c r="AB113" s="3">
        <f t="shared" si="34"/>
        <v>1350.6231849360404</v>
      </c>
      <c r="AC113" s="3">
        <f t="shared" si="35"/>
        <v>1449.3002456047464</v>
      </c>
      <c r="BC113" s="17">
        <f t="shared" si="36"/>
        <v>140.86517631725528</v>
      </c>
      <c r="BD113" s="3">
        <f t="shared" si="37"/>
        <v>1432.0781665607001</v>
      </c>
      <c r="BF113" s="5">
        <f t="shared" si="25"/>
        <v>142.6261185299976</v>
      </c>
      <c r="BG113">
        <f t="shared" si="26"/>
        <v>1308.0690996310125</v>
      </c>
      <c r="BI113" s="5">
        <f t="shared" si="27"/>
        <v>144.98121297828934</v>
      </c>
      <c r="BJ113">
        <f t="shared" si="28"/>
        <v>1350.6231849360404</v>
      </c>
      <c r="BL113" s="5">
        <f t="shared" si="29"/>
        <v>145.26280634775131</v>
      </c>
      <c r="BM113">
        <f t="shared" si="30"/>
        <v>1449.3002456047464</v>
      </c>
    </row>
    <row r="114" spans="1:65" x14ac:dyDescent="0.25">
      <c r="A114">
        <v>105</v>
      </c>
      <c r="B114" s="17">
        <f t="shared" si="19"/>
        <v>142.3031066867799</v>
      </c>
      <c r="C114" s="17">
        <f t="shared" si="20"/>
        <v>168.21673462594106</v>
      </c>
      <c r="D114" s="17">
        <f t="shared" si="21"/>
        <v>143.39902008706704</v>
      </c>
      <c r="G114" s="1">
        <v>105</v>
      </c>
      <c r="H114" s="17">
        <v>46.789711960301169</v>
      </c>
      <c r="I114" s="17">
        <v>49.816108464960472</v>
      </c>
      <c r="J114" s="17">
        <v>48.087056209273122</v>
      </c>
      <c r="M114" s="17">
        <v>171.51798187927341</v>
      </c>
      <c r="N114" s="17">
        <v>5.3847460208273183</v>
      </c>
      <c r="O114" s="17">
        <v>5.6326693665000267</v>
      </c>
      <c r="P114" s="17">
        <v>4.9057663292224616</v>
      </c>
      <c r="S114" s="5">
        <f t="shared" si="22"/>
        <v>143.93889420773141</v>
      </c>
      <c r="T114" s="17"/>
      <c r="U114" s="5">
        <f t="shared" si="23"/>
        <v>146.33495716537547</v>
      </c>
      <c r="W114" s="5">
        <f t="shared" si="24"/>
        <v>146.71293485651469</v>
      </c>
      <c r="Y114">
        <f t="shared" si="31"/>
        <v>105</v>
      </c>
      <c r="Z114" s="3">
        <f t="shared" si="32"/>
        <v>1437.9303695246222</v>
      </c>
      <c r="AA114" s="3">
        <f t="shared" si="33"/>
        <v>1312.7756777338107</v>
      </c>
      <c r="AB114" s="3">
        <f t="shared" si="34"/>
        <v>1353.7441870861358</v>
      </c>
      <c r="AC114" s="3">
        <f t="shared" si="35"/>
        <v>1450.1285087633846</v>
      </c>
      <c r="BC114" s="17">
        <f t="shared" si="36"/>
        <v>142.3031066867799</v>
      </c>
      <c r="BD114" s="3">
        <f t="shared" si="37"/>
        <v>1437.9303695246222</v>
      </c>
      <c r="BF114" s="5">
        <f t="shared" si="25"/>
        <v>143.93889420773141</v>
      </c>
      <c r="BG114">
        <f t="shared" si="26"/>
        <v>1312.7756777338107</v>
      </c>
      <c r="BI114" s="5">
        <f t="shared" si="27"/>
        <v>146.33495716537547</v>
      </c>
      <c r="BJ114">
        <f t="shared" si="28"/>
        <v>1353.7441870861358</v>
      </c>
      <c r="BL114" s="5">
        <f t="shared" si="29"/>
        <v>146.71293485651469</v>
      </c>
      <c r="BM114">
        <f t="shared" si="30"/>
        <v>1450.1285087633846</v>
      </c>
    </row>
    <row r="115" spans="1:65" x14ac:dyDescent="0.25">
      <c r="A115">
        <v>106</v>
      </c>
      <c r="B115" s="17">
        <f t="shared" si="19"/>
        <v>143.74678518562021</v>
      </c>
      <c r="C115" s="17">
        <f t="shared" si="20"/>
        <v>169.91769815031824</v>
      </c>
      <c r="D115" s="17">
        <f t="shared" si="21"/>
        <v>144.85030257040503</v>
      </c>
      <c r="G115" s="1">
        <v>106</v>
      </c>
      <c r="H115" s="17">
        <v>46.808081533290967</v>
      </c>
      <c r="I115" s="17">
        <v>49.838716255414589</v>
      </c>
      <c r="J115" s="17">
        <v>48.105504225664511</v>
      </c>
      <c r="M115" s="17">
        <v>172.67071393434381</v>
      </c>
      <c r="N115" s="17">
        <v>5.4200265582479457</v>
      </c>
      <c r="O115" s="17">
        <v>5.6673510904884328</v>
      </c>
      <c r="P115" s="17">
        <v>4.9318669854531887</v>
      </c>
      <c r="S115" s="5">
        <f t="shared" si="22"/>
        <v>145.25632822745331</v>
      </c>
      <c r="T115" s="17"/>
      <c r="U115" s="5">
        <f t="shared" si="23"/>
        <v>147.69178823490236</v>
      </c>
      <c r="W115" s="5">
        <f t="shared" si="24"/>
        <v>148.16387547436796</v>
      </c>
      <c r="Y115">
        <f t="shared" si="31"/>
        <v>106</v>
      </c>
      <c r="Z115" s="3">
        <f t="shared" si="32"/>
        <v>1443.6784988403133</v>
      </c>
      <c r="AA115" s="3">
        <f t="shared" si="33"/>
        <v>1317.434019721901</v>
      </c>
      <c r="AB115" s="3">
        <f t="shared" si="34"/>
        <v>1356.8310695268906</v>
      </c>
      <c r="AC115" s="3">
        <f t="shared" si="35"/>
        <v>1450.9406178532629</v>
      </c>
      <c r="BC115" s="17">
        <f t="shared" si="36"/>
        <v>143.74678518562021</v>
      </c>
      <c r="BD115" s="3">
        <f t="shared" si="37"/>
        <v>1443.6784988403133</v>
      </c>
      <c r="BF115" s="5">
        <f t="shared" si="25"/>
        <v>145.25632822745331</v>
      </c>
      <c r="BG115">
        <f t="shared" si="26"/>
        <v>1317.434019721901</v>
      </c>
      <c r="BI115" s="5">
        <f t="shared" si="27"/>
        <v>147.69178823490236</v>
      </c>
      <c r="BJ115">
        <f t="shared" si="28"/>
        <v>1356.8310695268906</v>
      </c>
      <c r="BL115" s="5">
        <f t="shared" si="29"/>
        <v>148.16387547436796</v>
      </c>
      <c r="BM115">
        <f t="shared" si="30"/>
        <v>1450.9406178532629</v>
      </c>
    </row>
    <row r="116" spans="1:65" x14ac:dyDescent="0.25">
      <c r="A116">
        <v>107</v>
      </c>
      <c r="B116" s="17">
        <f t="shared" si="19"/>
        <v>145.19610827447534</v>
      </c>
      <c r="C116" s="17">
        <f t="shared" si="20"/>
        <v>171.6242176570392</v>
      </c>
      <c r="D116" s="17">
        <f t="shared" si="21"/>
        <v>146.30669878874465</v>
      </c>
      <c r="G116" s="1">
        <v>107</v>
      </c>
      <c r="H116" s="17">
        <v>46.826444653345348</v>
      </c>
      <c r="I116" s="17">
        <v>49.861266617108413</v>
      </c>
      <c r="J116" s="17">
        <v>48.123929798987817</v>
      </c>
      <c r="M116" s="17">
        <v>173.8234459894141</v>
      </c>
      <c r="N116" s="17">
        <v>5.4550673256611493</v>
      </c>
      <c r="O116" s="17">
        <v>5.7017933512257297</v>
      </c>
      <c r="P116" s="17">
        <v>4.9578507261338487</v>
      </c>
      <c r="S116" s="5">
        <f t="shared" si="22"/>
        <v>146.57837235304839</v>
      </c>
      <c r="T116" s="17"/>
      <c r="U116" s="5">
        <f t="shared" si="23"/>
        <v>149.05167206716069</v>
      </c>
      <c r="W116" s="5">
        <f t="shared" si="24"/>
        <v>149.61561204724245</v>
      </c>
      <c r="Y116">
        <f t="shared" si="31"/>
        <v>107</v>
      </c>
      <c r="Z116" s="3">
        <f t="shared" si="32"/>
        <v>1449.3230888551238</v>
      </c>
      <c r="AA116" s="3">
        <f t="shared" si="33"/>
        <v>1322.0441255950846</v>
      </c>
      <c r="AB116" s="3">
        <f t="shared" si="34"/>
        <v>1359.8838322583333</v>
      </c>
      <c r="AC116" s="3">
        <f t="shared" si="35"/>
        <v>1451.7365728744949</v>
      </c>
      <c r="BC116" s="17">
        <f t="shared" si="36"/>
        <v>145.19610827447534</v>
      </c>
      <c r="BD116" s="3">
        <f t="shared" si="37"/>
        <v>1449.3230888551238</v>
      </c>
      <c r="BF116" s="5">
        <f t="shared" si="25"/>
        <v>146.57837235304839</v>
      </c>
      <c r="BG116">
        <f t="shared" si="26"/>
        <v>1322.0441255950846</v>
      </c>
      <c r="BI116" s="5">
        <f t="shared" si="27"/>
        <v>149.05167206716069</v>
      </c>
      <c r="BJ116">
        <f t="shared" si="28"/>
        <v>1359.8838322583333</v>
      </c>
      <c r="BL116" s="5">
        <f t="shared" si="29"/>
        <v>149.61561204724245</v>
      </c>
      <c r="BM116">
        <f t="shared" si="30"/>
        <v>1451.7365728744949</v>
      </c>
    </row>
    <row r="117" spans="1:65" x14ac:dyDescent="0.25">
      <c r="A117">
        <v>108</v>
      </c>
      <c r="B117" s="17">
        <f t="shared" si="19"/>
        <v>146.65097294839182</v>
      </c>
      <c r="C117" s="17">
        <f t="shared" si="20"/>
        <v>173.33618055601485</v>
      </c>
      <c r="D117" s="17">
        <f t="shared" si="21"/>
        <v>147.7681010242828</v>
      </c>
      <c r="G117" s="1">
        <v>108</v>
      </c>
      <c r="H117" s="17">
        <v>46.844799677667368</v>
      </c>
      <c r="I117" s="17">
        <v>49.883770387407722</v>
      </c>
      <c r="J117" s="17">
        <v>48.142336428903853</v>
      </c>
      <c r="M117" s="17">
        <v>174.97617804448441</v>
      </c>
      <c r="N117" s="17">
        <v>5.4898630272957289</v>
      </c>
      <c r="O117" s="17">
        <v>5.7359925900691406</v>
      </c>
      <c r="P117" s="17">
        <v>4.9837188606092919</v>
      </c>
      <c r="S117" s="5">
        <f t="shared" si="22"/>
        <v>147.90497834840187</v>
      </c>
      <c r="T117" s="17"/>
      <c r="U117" s="5">
        <f t="shared" si="23"/>
        <v>150.41457454244124</v>
      </c>
      <c r="W117" s="5">
        <f t="shared" si="24"/>
        <v>151.06812842106939</v>
      </c>
      <c r="Y117">
        <f t="shared" si="31"/>
        <v>108</v>
      </c>
      <c r="Z117" s="3">
        <f t="shared" si="32"/>
        <v>1454.8646739164894</v>
      </c>
      <c r="AA117" s="3">
        <f t="shared" si="33"/>
        <v>1326.605995353475</v>
      </c>
      <c r="AB117" s="3">
        <f t="shared" si="34"/>
        <v>1362.9024752805492</v>
      </c>
      <c r="AC117" s="3">
        <f t="shared" si="35"/>
        <v>1452.5163738269384</v>
      </c>
      <c r="BC117" s="17">
        <f t="shared" si="36"/>
        <v>146.65097294839182</v>
      </c>
      <c r="BD117" s="3">
        <f t="shared" si="37"/>
        <v>1454.8646739164894</v>
      </c>
      <c r="BF117" s="5">
        <f t="shared" si="25"/>
        <v>147.90497834840187</v>
      </c>
      <c r="BG117">
        <f t="shared" si="26"/>
        <v>1326.605995353475</v>
      </c>
      <c r="BI117" s="5">
        <f t="shared" si="27"/>
        <v>150.41457454244124</v>
      </c>
      <c r="BJ117">
        <f t="shared" si="28"/>
        <v>1362.9024752805492</v>
      </c>
      <c r="BL117" s="5">
        <f t="shared" si="29"/>
        <v>151.06812842106939</v>
      </c>
      <c r="BM117">
        <f t="shared" si="30"/>
        <v>1452.5163738269384</v>
      </c>
    </row>
    <row r="118" spans="1:65" x14ac:dyDescent="0.25">
      <c r="A118">
        <v>109</v>
      </c>
      <c r="B118" s="17">
        <f t="shared" si="19"/>
        <v>148.11127673676378</v>
      </c>
      <c r="C118" s="17">
        <f t="shared" si="20"/>
        <v>175.05347487809291</v>
      </c>
      <c r="D118" s="17">
        <f t="shared" si="21"/>
        <v>149.23440214423684</v>
      </c>
      <c r="G118" s="1">
        <v>109</v>
      </c>
      <c r="H118" s="17">
        <v>46.863144963460108</v>
      </c>
      <c r="I118" s="17">
        <v>49.906238403678252</v>
      </c>
      <c r="J118" s="17">
        <v>48.16072761507337</v>
      </c>
      <c r="M118" s="17">
        <v>176.1289100995547</v>
      </c>
      <c r="N118" s="17">
        <v>5.5244083673804862</v>
      </c>
      <c r="O118" s="17">
        <v>5.7699452483758904</v>
      </c>
      <c r="P118" s="17">
        <v>5.0094726982243634</v>
      </c>
      <c r="S118" s="5">
        <f t="shared" si="22"/>
        <v>149.23609797739883</v>
      </c>
      <c r="T118" s="17"/>
      <c r="U118" s="5">
        <f t="shared" si="23"/>
        <v>151.7804615410347</v>
      </c>
      <c r="W118" s="5">
        <f t="shared" si="24"/>
        <v>152.52140844178018</v>
      </c>
      <c r="Y118">
        <f t="shared" si="31"/>
        <v>109</v>
      </c>
      <c r="Z118" s="3">
        <f t="shared" si="32"/>
        <v>1460.3037883719594</v>
      </c>
      <c r="AA118" s="3">
        <f t="shared" si="33"/>
        <v>1331.1196289969587</v>
      </c>
      <c r="AB118" s="3">
        <f t="shared" si="34"/>
        <v>1365.886998593453</v>
      </c>
      <c r="AC118" s="3">
        <f t="shared" si="35"/>
        <v>1453.2800207107925</v>
      </c>
      <c r="BC118" s="17">
        <f t="shared" si="36"/>
        <v>148.11127673676378</v>
      </c>
      <c r="BD118" s="3">
        <f t="shared" si="37"/>
        <v>1460.3037883719594</v>
      </c>
      <c r="BF118" s="5">
        <f t="shared" si="25"/>
        <v>149.23609797739883</v>
      </c>
      <c r="BG118">
        <f t="shared" si="26"/>
        <v>1331.1196289969587</v>
      </c>
      <c r="BI118" s="5">
        <f t="shared" si="27"/>
        <v>151.7804615410347</v>
      </c>
      <c r="BJ118">
        <f t="shared" si="28"/>
        <v>1365.886998593453</v>
      </c>
      <c r="BL118" s="5">
        <f t="shared" si="29"/>
        <v>152.52140844178018</v>
      </c>
      <c r="BM118">
        <f t="shared" si="30"/>
        <v>1453.2800207107925</v>
      </c>
    </row>
    <row r="119" spans="1:65" x14ac:dyDescent="0.25">
      <c r="A119">
        <v>110</v>
      </c>
      <c r="B119" s="17">
        <f t="shared" si="19"/>
        <v>149.57691770333258</v>
      </c>
      <c r="C119" s="17">
        <f t="shared" si="20"/>
        <v>176.77598927505764</v>
      </c>
      <c r="D119" s="17">
        <f t="shared" si="21"/>
        <v>150.70549560084498</v>
      </c>
      <c r="G119" s="1">
        <v>110</v>
      </c>
      <c r="H119" s="17">
        <v>46.881478867926639</v>
      </c>
      <c r="I119" s="17">
        <v>49.92868150328578</v>
      </c>
      <c r="J119" s="17">
        <v>48.179106857157151</v>
      </c>
      <c r="M119" s="17">
        <v>177.28164215462499</v>
      </c>
      <c r="N119" s="17">
        <v>5.5586980501442227</v>
      </c>
      <c r="O119" s="17">
        <v>5.8036477675031994</v>
      </c>
      <c r="P119" s="17">
        <v>5.0351135483239098</v>
      </c>
      <c r="S119" s="5">
        <f t="shared" si="22"/>
        <v>150.57168300392453</v>
      </c>
      <c r="T119" s="17"/>
      <c r="U119" s="5">
        <f t="shared" si="23"/>
        <v>153.14929894323171</v>
      </c>
      <c r="W119" s="5">
        <f t="shared" si="24"/>
        <v>153.97543595530604</v>
      </c>
      <c r="Y119">
        <f t="shared" si="31"/>
        <v>110</v>
      </c>
      <c r="Z119" s="3">
        <f t="shared" si="32"/>
        <v>1465.6409665687988</v>
      </c>
      <c r="AA119" s="3">
        <f t="shared" si="33"/>
        <v>1335.5850265257061</v>
      </c>
      <c r="AB119" s="3">
        <f t="shared" si="34"/>
        <v>1368.8374021970162</v>
      </c>
      <c r="AC119" s="3">
        <f t="shared" si="35"/>
        <v>1454.0275135258582</v>
      </c>
      <c r="BC119" s="17">
        <f t="shared" si="36"/>
        <v>149.57691770333258</v>
      </c>
      <c r="BD119" s="3">
        <f t="shared" si="37"/>
        <v>1465.6409665687988</v>
      </c>
      <c r="BF119" s="5">
        <f t="shared" si="25"/>
        <v>150.57168300392453</v>
      </c>
      <c r="BG119">
        <f t="shared" si="26"/>
        <v>1335.5850265257061</v>
      </c>
      <c r="BI119" s="5">
        <f t="shared" si="27"/>
        <v>153.14929894323171</v>
      </c>
      <c r="BJ119">
        <f t="shared" si="28"/>
        <v>1368.8374021970162</v>
      </c>
      <c r="BL119" s="5">
        <f t="shared" si="29"/>
        <v>153.97543595530604</v>
      </c>
      <c r="BM119">
        <f t="shared" si="30"/>
        <v>1454.0275135258582</v>
      </c>
    </row>
    <row r="120" spans="1:65" x14ac:dyDescent="0.25">
      <c r="A120">
        <v>111</v>
      </c>
      <c r="B120" s="17">
        <f t="shared" si="19"/>
        <v>151.04779444618705</v>
      </c>
      <c r="C120" s="17">
        <f t="shared" si="20"/>
        <v>178.50361301962994</v>
      </c>
      <c r="D120" s="17">
        <f t="shared" si="21"/>
        <v>152.1812754313658</v>
      </c>
      <c r="G120" s="1">
        <v>111</v>
      </c>
      <c r="H120" s="17">
        <v>46.899799748270027</v>
      </c>
      <c r="I120" s="17">
        <v>49.951110523596071</v>
      </c>
      <c r="J120" s="17">
        <v>48.197477654815977</v>
      </c>
      <c r="M120" s="17">
        <v>178.43437420969531</v>
      </c>
      <c r="N120" s="17">
        <v>5.5927267798157381</v>
      </c>
      <c r="O120" s="17">
        <v>5.8370965888082944</v>
      </c>
      <c r="P120" s="17">
        <v>5.0606427202527842</v>
      </c>
      <c r="S120" s="5">
        <f t="shared" si="22"/>
        <v>151.91168519186408</v>
      </c>
      <c r="T120" s="17"/>
      <c r="U120" s="5">
        <f t="shared" si="23"/>
        <v>154.52105262932304</v>
      </c>
      <c r="W120" s="5">
        <f t="shared" si="24"/>
        <v>155.43019480757835</v>
      </c>
      <c r="Y120">
        <f t="shared" si="31"/>
        <v>111</v>
      </c>
      <c r="Z120" s="3">
        <f t="shared" si="32"/>
        <v>1470.8767428544718</v>
      </c>
      <c r="AA120" s="3">
        <f t="shared" si="33"/>
        <v>1340.0021879395467</v>
      </c>
      <c r="AB120" s="3">
        <f t="shared" si="34"/>
        <v>1371.7536860913242</v>
      </c>
      <c r="AC120" s="3">
        <f t="shared" si="35"/>
        <v>1454.7588522723061</v>
      </c>
      <c r="BC120" s="17">
        <f t="shared" si="36"/>
        <v>151.04779444618705</v>
      </c>
      <c r="BD120" s="3">
        <f t="shared" si="37"/>
        <v>1470.8767428544718</v>
      </c>
      <c r="BF120" s="5">
        <f t="shared" si="25"/>
        <v>151.91168519186408</v>
      </c>
      <c r="BG120">
        <f t="shared" si="26"/>
        <v>1340.0021879395467</v>
      </c>
      <c r="BI120" s="5">
        <f t="shared" si="27"/>
        <v>154.52105262932304</v>
      </c>
      <c r="BJ120">
        <f t="shared" si="28"/>
        <v>1371.7536860913242</v>
      </c>
      <c r="BL120" s="5">
        <f t="shared" si="29"/>
        <v>155.43019480757835</v>
      </c>
      <c r="BM120">
        <f t="shared" si="30"/>
        <v>1454.7588522723061</v>
      </c>
    </row>
    <row r="121" spans="1:65" x14ac:dyDescent="0.25">
      <c r="A121">
        <v>112</v>
      </c>
      <c r="B121" s="17">
        <f t="shared" si="19"/>
        <v>152.5238060977635</v>
      </c>
      <c r="C121" s="17">
        <f t="shared" si="20"/>
        <v>180.23623600546728</v>
      </c>
      <c r="D121" s="17">
        <f t="shared" si="21"/>
        <v>153.66163625807866</v>
      </c>
      <c r="G121" s="1">
        <v>112</v>
      </c>
      <c r="H121" s="17">
        <v>46.918105961693378</v>
      </c>
      <c r="I121" s="17">
        <v>49.973536301974889</v>
      </c>
      <c r="J121" s="17">
        <v>48.215843507710652</v>
      </c>
      <c r="M121" s="17">
        <v>179.58710626476559</v>
      </c>
      <c r="N121" s="17">
        <v>5.6264892606238348</v>
      </c>
      <c r="O121" s="17">
        <v>5.8702881536483984</v>
      </c>
      <c r="P121" s="17">
        <v>5.0860615233558306</v>
      </c>
      <c r="S121" s="5">
        <f t="shared" si="22"/>
        <v>153.2560563051027</v>
      </c>
      <c r="T121" s="17"/>
      <c r="U121" s="5">
        <f t="shared" si="23"/>
        <v>155.89568847959941</v>
      </c>
      <c r="W121" s="5">
        <f t="shared" si="24"/>
        <v>156.88566884452834</v>
      </c>
      <c r="Y121">
        <f t="shared" si="31"/>
        <v>112</v>
      </c>
      <c r="Z121" s="3">
        <f t="shared" si="32"/>
        <v>1476.0116515764423</v>
      </c>
      <c r="AA121" s="3">
        <f t="shared" si="33"/>
        <v>1344.3711132386227</v>
      </c>
      <c r="AB121" s="3">
        <f t="shared" si="34"/>
        <v>1374.6358502763769</v>
      </c>
      <c r="AC121" s="3">
        <f t="shared" si="35"/>
        <v>1455.4740369499939</v>
      </c>
      <c r="BC121" s="17">
        <f t="shared" si="36"/>
        <v>152.5238060977635</v>
      </c>
      <c r="BD121" s="3">
        <f t="shared" si="37"/>
        <v>1476.0116515764423</v>
      </c>
      <c r="BF121" s="5">
        <f t="shared" si="25"/>
        <v>153.2560563051027</v>
      </c>
      <c r="BG121">
        <f t="shared" si="26"/>
        <v>1344.3711132386227</v>
      </c>
      <c r="BI121" s="5">
        <f t="shared" si="27"/>
        <v>155.89568847959941</v>
      </c>
      <c r="BJ121">
        <f t="shared" si="28"/>
        <v>1374.6358502763769</v>
      </c>
      <c r="BL121" s="5">
        <f t="shared" si="29"/>
        <v>156.88566884452834</v>
      </c>
      <c r="BM121">
        <f t="shared" si="30"/>
        <v>1455.4740369499939</v>
      </c>
    </row>
    <row r="122" spans="1:65" x14ac:dyDescent="0.25">
      <c r="A122">
        <v>113</v>
      </c>
      <c r="B122" s="17">
        <f t="shared" si="19"/>
        <v>154.00485232484559</v>
      </c>
      <c r="C122" s="17">
        <f t="shared" si="20"/>
        <v>181.97374874716371</v>
      </c>
      <c r="D122" s="17">
        <f t="shared" si="21"/>
        <v>155.1464732882834</v>
      </c>
      <c r="G122" s="1">
        <v>113</v>
      </c>
      <c r="H122" s="17">
        <v>46.936395865399732</v>
      </c>
      <c r="I122" s="17">
        <v>49.995969675787997</v>
      </c>
      <c r="J122" s="17">
        <v>48.234207915501941</v>
      </c>
      <c r="M122" s="17">
        <v>180.73983831983591</v>
      </c>
      <c r="N122" s="17">
        <v>5.6599801967973136</v>
      </c>
      <c r="O122" s="17">
        <v>5.9032189033807336</v>
      </c>
      <c r="P122" s="17">
        <v>5.1113712669778977</v>
      </c>
      <c r="S122" s="5">
        <f t="shared" si="22"/>
        <v>154.6047481075255</v>
      </c>
      <c r="T122" s="17"/>
      <c r="U122" s="5">
        <f t="shared" si="23"/>
        <v>157.27317237435153</v>
      </c>
      <c r="W122" s="5">
        <f t="shared" si="24"/>
        <v>158.3418419120874</v>
      </c>
      <c r="Y122">
        <f t="shared" si="31"/>
        <v>113</v>
      </c>
      <c r="Z122" s="3">
        <f t="shared" si="32"/>
        <v>1481.0462270820892</v>
      </c>
      <c r="AA122" s="3">
        <f t="shared" si="33"/>
        <v>1348.6918024227919</v>
      </c>
      <c r="AB122" s="3">
        <f t="shared" si="34"/>
        <v>1377.4838947521175</v>
      </c>
      <c r="AC122" s="3">
        <f t="shared" si="35"/>
        <v>1456.1730675590638</v>
      </c>
      <c r="BC122" s="17">
        <f t="shared" si="36"/>
        <v>154.00485232484559</v>
      </c>
      <c r="BD122" s="3">
        <f t="shared" si="37"/>
        <v>1481.0462270820892</v>
      </c>
      <c r="BF122" s="5">
        <f t="shared" si="25"/>
        <v>154.6047481075255</v>
      </c>
      <c r="BG122">
        <f t="shared" si="26"/>
        <v>1348.6918024227919</v>
      </c>
      <c r="BI122" s="5">
        <f t="shared" si="27"/>
        <v>157.27317237435153</v>
      </c>
      <c r="BJ122">
        <f t="shared" si="28"/>
        <v>1377.4838947521175</v>
      </c>
      <c r="BL122" s="5">
        <f t="shared" si="29"/>
        <v>158.3418419120874</v>
      </c>
      <c r="BM122">
        <f t="shared" si="30"/>
        <v>1456.1730675590638</v>
      </c>
    </row>
    <row r="123" spans="1:65" x14ac:dyDescent="0.25">
      <c r="A123">
        <v>114</v>
      </c>
      <c r="B123" s="17">
        <f t="shared" si="19"/>
        <v>155.49083332856449</v>
      </c>
      <c r="C123" s="17">
        <f t="shared" si="20"/>
        <v>183.71604238024997</v>
      </c>
      <c r="D123" s="17">
        <f t="shared" si="21"/>
        <v>156.63568231430057</v>
      </c>
      <c r="G123" s="1">
        <v>114</v>
      </c>
      <c r="H123" s="17">
        <v>46.954667816592178</v>
      </c>
      <c r="I123" s="17">
        <v>50.018421482401173</v>
      </c>
      <c r="J123" s="17">
        <v>48.252574377850607</v>
      </c>
      <c r="M123" s="17">
        <v>181.89257037490631</v>
      </c>
      <c r="N123" s="17">
        <v>5.6931942925649732</v>
      </c>
      <c r="O123" s="17">
        <v>5.9358852793625259</v>
      </c>
      <c r="P123" s="17">
        <v>5.1365732604638339</v>
      </c>
      <c r="S123" s="5">
        <f t="shared" si="22"/>
        <v>155.95771236301763</v>
      </c>
      <c r="T123" s="17"/>
      <c r="U123" s="5">
        <f t="shared" si="23"/>
        <v>158.65347019387005</v>
      </c>
      <c r="W123" s="5">
        <f t="shared" si="24"/>
        <v>159.79869785618678</v>
      </c>
      <c r="Y123">
        <f t="shared" si="31"/>
        <v>114</v>
      </c>
      <c r="Z123" s="3">
        <f t="shared" si="32"/>
        <v>1485.981003718905</v>
      </c>
      <c r="AA123" s="3">
        <f t="shared" si="33"/>
        <v>1352.9642554921395</v>
      </c>
      <c r="AB123" s="3">
        <f t="shared" si="34"/>
        <v>1380.2978195185176</v>
      </c>
      <c r="AC123" s="3">
        <f t="shared" si="35"/>
        <v>1456.8559440993738</v>
      </c>
      <c r="BC123" s="17">
        <f t="shared" si="36"/>
        <v>155.49083332856449</v>
      </c>
      <c r="BD123" s="3">
        <f t="shared" si="37"/>
        <v>1485.981003718905</v>
      </c>
      <c r="BF123" s="5">
        <f t="shared" si="25"/>
        <v>155.95771236301763</v>
      </c>
      <c r="BG123">
        <f t="shared" si="26"/>
        <v>1352.9642554921395</v>
      </c>
      <c r="BI123" s="5">
        <f t="shared" si="27"/>
        <v>158.65347019387005</v>
      </c>
      <c r="BJ123">
        <f t="shared" si="28"/>
        <v>1380.2978195185176</v>
      </c>
      <c r="BL123" s="5">
        <f t="shared" si="29"/>
        <v>159.79869785618678</v>
      </c>
      <c r="BM123">
        <f t="shared" si="30"/>
        <v>1456.8559440993738</v>
      </c>
    </row>
    <row r="124" spans="1:65" x14ac:dyDescent="0.25">
      <c r="A124">
        <v>115</v>
      </c>
      <c r="B124" s="17">
        <f t="shared" si="19"/>
        <v>156.98164984439867</v>
      </c>
      <c r="C124" s="17">
        <f t="shared" si="20"/>
        <v>185.46300866119347</v>
      </c>
      <c r="D124" s="17">
        <f t="shared" si="21"/>
        <v>158.12915971347121</v>
      </c>
      <c r="G124" s="1">
        <v>115</v>
      </c>
      <c r="H124" s="17">
        <v>46.972920172473792</v>
      </c>
      <c r="I124" s="17">
        <v>50.04090255918014</v>
      </c>
      <c r="J124" s="17">
        <v>48.270946394417457</v>
      </c>
      <c r="M124" s="17">
        <v>183.0453024299766</v>
      </c>
      <c r="N124" s="17">
        <v>5.7261262521556189</v>
      </c>
      <c r="O124" s="17">
        <v>5.968283722951</v>
      </c>
      <c r="P124" s="17">
        <v>5.1616688131584869</v>
      </c>
      <c r="S124" s="5">
        <f t="shared" si="22"/>
        <v>157.31490083546436</v>
      </c>
      <c r="T124" s="17"/>
      <c r="U124" s="5">
        <f t="shared" si="23"/>
        <v>160.03654781844574</v>
      </c>
      <c r="W124" s="5">
        <f t="shared" si="24"/>
        <v>161.25622052275776</v>
      </c>
      <c r="Y124">
        <f t="shared" si="31"/>
        <v>115</v>
      </c>
      <c r="Z124" s="3">
        <f t="shared" si="32"/>
        <v>1490.8165158341831</v>
      </c>
      <c r="AA124" s="3">
        <f t="shared" si="33"/>
        <v>1357.1884724467225</v>
      </c>
      <c r="AB124" s="3">
        <f t="shared" si="34"/>
        <v>1383.0776245756908</v>
      </c>
      <c r="AC124" s="3">
        <f t="shared" si="35"/>
        <v>1457.5226665709806</v>
      </c>
      <c r="BC124" s="17">
        <f t="shared" si="36"/>
        <v>156.98164984439867</v>
      </c>
      <c r="BD124" s="3">
        <f t="shared" si="37"/>
        <v>1490.8165158341831</v>
      </c>
      <c r="BF124" s="5">
        <f t="shared" si="25"/>
        <v>157.31490083546436</v>
      </c>
      <c r="BG124">
        <f t="shared" si="26"/>
        <v>1357.1884724467225</v>
      </c>
      <c r="BI124" s="5">
        <f t="shared" si="27"/>
        <v>160.03654781844574</v>
      </c>
      <c r="BJ124">
        <f t="shared" si="28"/>
        <v>1383.0776245756908</v>
      </c>
      <c r="BL124" s="5">
        <f t="shared" si="29"/>
        <v>161.25622052275776</v>
      </c>
      <c r="BM124">
        <f t="shared" si="30"/>
        <v>1457.5226665709806</v>
      </c>
    </row>
    <row r="125" spans="1:65" x14ac:dyDescent="0.25">
      <c r="A125">
        <v>116</v>
      </c>
      <c r="B125" s="17">
        <f t="shared" si="19"/>
        <v>158.47720314217412</v>
      </c>
      <c r="C125" s="17">
        <f t="shared" si="20"/>
        <v>187.21453996739808</v>
      </c>
      <c r="D125" s="17">
        <f t="shared" si="21"/>
        <v>159.62680244815706</v>
      </c>
      <c r="G125" s="1">
        <v>116</v>
      </c>
      <c r="H125" s="17">
        <v>46.99115129024765</v>
      </c>
      <c r="I125" s="17">
        <v>50.063423743490702</v>
      </c>
      <c r="J125" s="17">
        <v>48.289327464863277</v>
      </c>
      <c r="M125" s="17">
        <v>184.19803448504689</v>
      </c>
      <c r="N125" s="17">
        <v>5.7587707797980494</v>
      </c>
      <c r="O125" s="17">
        <v>6.0004106755033773</v>
      </c>
      <c r="P125" s="17">
        <v>5.1866592344067044</v>
      </c>
      <c r="S125" s="5">
        <f t="shared" si="22"/>
        <v>158.67626528875076</v>
      </c>
      <c r="T125" s="17"/>
      <c r="U125" s="5">
        <f t="shared" si="23"/>
        <v>161.42237112836926</v>
      </c>
      <c r="W125" s="5">
        <f t="shared" si="24"/>
        <v>162.71439375773173</v>
      </c>
      <c r="Y125">
        <f t="shared" si="31"/>
        <v>116</v>
      </c>
      <c r="Z125" s="3">
        <f t="shared" si="32"/>
        <v>1495.5532977754444</v>
      </c>
      <c r="AA125" s="3">
        <f t="shared" si="33"/>
        <v>1361.3644532863987</v>
      </c>
      <c r="AB125" s="3">
        <f t="shared" si="34"/>
        <v>1385.8233099235235</v>
      </c>
      <c r="AC125" s="3">
        <f t="shared" si="35"/>
        <v>1458.1732349739696</v>
      </c>
      <c r="BC125" s="17">
        <f t="shared" si="36"/>
        <v>158.47720314217412</v>
      </c>
      <c r="BD125" s="3">
        <f t="shared" si="37"/>
        <v>1495.5532977754444</v>
      </c>
      <c r="BF125" s="5">
        <f t="shared" si="25"/>
        <v>158.67626528875076</v>
      </c>
      <c r="BG125">
        <f t="shared" si="26"/>
        <v>1361.3644532863987</v>
      </c>
      <c r="BI125" s="5">
        <f t="shared" si="27"/>
        <v>161.42237112836926</v>
      </c>
      <c r="BJ125">
        <f t="shared" si="28"/>
        <v>1385.8233099235235</v>
      </c>
      <c r="BL125" s="5">
        <f t="shared" si="29"/>
        <v>162.71439375773173</v>
      </c>
      <c r="BM125">
        <f t="shared" si="30"/>
        <v>1458.1732349739696</v>
      </c>
    </row>
    <row r="126" spans="1:65" x14ac:dyDescent="0.25">
      <c r="A126">
        <v>117</v>
      </c>
      <c r="B126" s="17">
        <f t="shared" si="19"/>
        <v>159.97739502606416</v>
      </c>
      <c r="C126" s="17">
        <f t="shared" si="20"/>
        <v>188.97052929720434</v>
      </c>
      <c r="D126" s="17">
        <f t="shared" si="21"/>
        <v>161.12850806574039</v>
      </c>
      <c r="G126" s="1">
        <v>117</v>
      </c>
      <c r="H126" s="17">
        <v>47.009359527116807</v>
      </c>
      <c r="I126" s="17">
        <v>50.085995872698597</v>
      </c>
      <c r="J126" s="17">
        <v>48.30772108884883</v>
      </c>
      <c r="M126" s="17">
        <v>185.35076654011721</v>
      </c>
      <c r="N126" s="17">
        <v>5.7911225797210637</v>
      </c>
      <c r="O126" s="17">
        <v>6.0322625783768817</v>
      </c>
      <c r="P126" s="17">
        <v>5.211545833553334</v>
      </c>
      <c r="S126" s="5">
        <f t="shared" si="22"/>
        <v>160.04175748676207</v>
      </c>
      <c r="T126" s="17"/>
      <c r="U126" s="5">
        <f t="shared" si="23"/>
        <v>162.81090600393136</v>
      </c>
      <c r="W126" s="5">
        <f t="shared" si="24"/>
        <v>164.1732014070399</v>
      </c>
      <c r="Y126">
        <f t="shared" si="31"/>
        <v>117</v>
      </c>
      <c r="Z126" s="3">
        <f t="shared" si="32"/>
        <v>1500.1918838900394</v>
      </c>
      <c r="AA126" s="3">
        <f t="shared" si="33"/>
        <v>1365.4921980113102</v>
      </c>
      <c r="AB126" s="3">
        <f t="shared" si="34"/>
        <v>1388.534875562101</v>
      </c>
      <c r="AC126" s="3">
        <f t="shared" si="35"/>
        <v>1458.8076493081701</v>
      </c>
      <c r="BC126" s="17">
        <f t="shared" si="36"/>
        <v>159.97739502606416</v>
      </c>
      <c r="BD126" s="3">
        <f t="shared" si="37"/>
        <v>1500.1918838900394</v>
      </c>
      <c r="BF126" s="5">
        <f t="shared" si="25"/>
        <v>160.04175748676207</v>
      </c>
      <c r="BG126">
        <f t="shared" si="26"/>
        <v>1365.4921980113102</v>
      </c>
      <c r="BI126" s="5">
        <f t="shared" si="27"/>
        <v>162.81090600393136</v>
      </c>
      <c r="BJ126">
        <f t="shared" si="28"/>
        <v>1388.534875562101</v>
      </c>
      <c r="BL126" s="5">
        <f t="shared" si="29"/>
        <v>164.1732014070399</v>
      </c>
      <c r="BM126">
        <f t="shared" si="30"/>
        <v>1458.8076493081701</v>
      </c>
    </row>
    <row r="127" spans="1:65" x14ac:dyDescent="0.25">
      <c r="A127">
        <v>118</v>
      </c>
      <c r="B127" s="17">
        <f t="shared" si="19"/>
        <v>161.48212783458962</v>
      </c>
      <c r="C127" s="17">
        <f t="shared" si="20"/>
        <v>190.73087026988946</v>
      </c>
      <c r="D127" s="17">
        <f t="shared" si="21"/>
        <v>162.63417469862421</v>
      </c>
      <c r="G127" s="1">
        <v>118</v>
      </c>
      <c r="H127" s="17">
        <v>47.027543240284373</v>
      </c>
      <c r="I127" s="17">
        <v>50.108629784169622</v>
      </c>
      <c r="J127" s="17">
        <v>48.3261307660349</v>
      </c>
      <c r="M127" s="17">
        <v>186.50349859518749</v>
      </c>
      <c r="N127" s="17">
        <v>5.823176356153466</v>
      </c>
      <c r="O127" s="17">
        <v>6.0638358729287383</v>
      </c>
      <c r="P127" s="17">
        <v>5.2363299199432243</v>
      </c>
      <c r="S127" s="5">
        <f t="shared" si="22"/>
        <v>161.41132919338335</v>
      </c>
      <c r="T127" s="17"/>
      <c r="U127" s="5">
        <f t="shared" si="23"/>
        <v>164.20211832542276</v>
      </c>
      <c r="W127" s="5">
        <f t="shared" si="24"/>
        <v>165.63262731661362</v>
      </c>
      <c r="Y127">
        <f t="shared" si="31"/>
        <v>118</v>
      </c>
      <c r="Z127" s="3">
        <f t="shared" si="32"/>
        <v>1504.7328085254605</v>
      </c>
      <c r="AA127" s="3">
        <f t="shared" si="33"/>
        <v>1369.5717066212865</v>
      </c>
      <c r="AB127" s="3">
        <f t="shared" si="34"/>
        <v>1391.2123214913947</v>
      </c>
      <c r="AC127" s="3">
        <f t="shared" si="35"/>
        <v>1459.4259095737243</v>
      </c>
      <c r="BC127" s="17">
        <f t="shared" si="36"/>
        <v>161.48212783458962</v>
      </c>
      <c r="BD127" s="3">
        <f t="shared" si="37"/>
        <v>1504.7328085254605</v>
      </c>
      <c r="BF127" s="5">
        <f t="shared" si="25"/>
        <v>161.41132919338335</v>
      </c>
      <c r="BG127">
        <f t="shared" si="26"/>
        <v>1369.5717066212865</v>
      </c>
      <c r="BI127" s="5">
        <f t="shared" si="27"/>
        <v>164.20211832542276</v>
      </c>
      <c r="BJ127">
        <f t="shared" si="28"/>
        <v>1391.2123214913947</v>
      </c>
      <c r="BL127" s="5">
        <f t="shared" si="29"/>
        <v>165.63262731661362</v>
      </c>
      <c r="BM127">
        <f t="shared" si="30"/>
        <v>1459.4259095737243</v>
      </c>
    </row>
    <row r="128" spans="1:65" x14ac:dyDescent="0.25">
      <c r="A128">
        <v>119</v>
      </c>
      <c r="B128" s="17">
        <f t="shared" si="19"/>
        <v>162.99130444061876</v>
      </c>
      <c r="C128" s="17">
        <f t="shared" si="20"/>
        <v>192.49545712566717</v>
      </c>
      <c r="D128" s="17">
        <f t="shared" si="21"/>
        <v>164.14370106423195</v>
      </c>
      <c r="G128" s="1">
        <v>119</v>
      </c>
      <c r="H128" s="17">
        <v>47.045700786953397</v>
      </c>
      <c r="I128" s="17">
        <v>50.131336315269493</v>
      </c>
      <c r="J128" s="17">
        <v>48.344559996082268</v>
      </c>
      <c r="M128" s="17">
        <v>187.65623065025781</v>
      </c>
      <c r="N128" s="17">
        <v>5.854926813324056</v>
      </c>
      <c r="O128" s="17">
        <v>6.09512700051617</v>
      </c>
      <c r="P128" s="17">
        <v>5.2610128029212238</v>
      </c>
      <c r="S128" s="5">
        <f t="shared" si="22"/>
        <v>162.78493217249991</v>
      </c>
      <c r="T128" s="17"/>
      <c r="U128" s="5">
        <f t="shared" si="23"/>
        <v>165.59597397313414</v>
      </c>
      <c r="W128" s="5">
        <f t="shared" si="24"/>
        <v>167.09265533238417</v>
      </c>
      <c r="Y128">
        <f t="shared" si="31"/>
        <v>119</v>
      </c>
      <c r="Z128" s="3">
        <f t="shared" si="32"/>
        <v>1509.1766060291434</v>
      </c>
      <c r="AA128" s="3">
        <f t="shared" si="33"/>
        <v>1373.6029791165549</v>
      </c>
      <c r="AB128" s="3">
        <f t="shared" si="34"/>
        <v>1393.8556477113764</v>
      </c>
      <c r="AC128" s="3">
        <f t="shared" si="35"/>
        <v>1460.028015770547</v>
      </c>
      <c r="BC128" s="17">
        <f t="shared" si="36"/>
        <v>162.99130444061876</v>
      </c>
      <c r="BD128" s="3">
        <f t="shared" si="37"/>
        <v>1509.1766060291434</v>
      </c>
      <c r="BF128" s="5">
        <f t="shared" si="25"/>
        <v>162.78493217249991</v>
      </c>
      <c r="BG128">
        <f t="shared" si="26"/>
        <v>1373.6029791165549</v>
      </c>
      <c r="BI128" s="5">
        <f t="shared" si="27"/>
        <v>165.59597397313414</v>
      </c>
      <c r="BJ128">
        <f t="shared" si="28"/>
        <v>1393.8556477113764</v>
      </c>
      <c r="BL128" s="5">
        <f t="shared" si="29"/>
        <v>167.09265533238417</v>
      </c>
      <c r="BM128">
        <f t="shared" si="30"/>
        <v>1460.028015770547</v>
      </c>
    </row>
    <row r="129" spans="1:65" x14ac:dyDescent="0.25">
      <c r="A129">
        <v>120</v>
      </c>
      <c r="B129" s="17">
        <f t="shared" si="19"/>
        <v>164.50482825136714</v>
      </c>
      <c r="C129" s="17">
        <f t="shared" si="20"/>
        <v>194.26418472568798</v>
      </c>
      <c r="D129" s="17">
        <f t="shared" si="21"/>
        <v>165.65698646500772</v>
      </c>
      <c r="F129" s="5"/>
      <c r="G129" s="1">
        <v>120</v>
      </c>
      <c r="H129" s="17">
        <v>47.06383052432696</v>
      </c>
      <c r="I129" s="17">
        <v>50.154126303364009</v>
      </c>
      <c r="J129" s="17">
        <v>48.363012278651723</v>
      </c>
      <c r="M129" s="17">
        <v>188.8089627053281</v>
      </c>
      <c r="N129" s="17">
        <v>5.8863686554616361</v>
      </c>
      <c r="O129" s="17">
        <v>6.1261324024964008</v>
      </c>
      <c r="P129" s="17">
        <v>5.2855957918321774</v>
      </c>
      <c r="S129" s="5">
        <f t="shared" si="22"/>
        <v>164.1625181879968</v>
      </c>
      <c r="T129" s="17"/>
      <c r="U129" s="5">
        <f t="shared" si="23"/>
        <v>166.99243882735621</v>
      </c>
      <c r="W129" s="5">
        <f t="shared" si="24"/>
        <v>168.55326930028286</v>
      </c>
      <c r="Y129">
        <f t="shared" si="31"/>
        <v>120</v>
      </c>
      <c r="Z129" s="3">
        <f t="shared" si="32"/>
        <v>1513.5238107483815</v>
      </c>
      <c r="AA129" s="3">
        <f t="shared" si="33"/>
        <v>1377.5860154968882</v>
      </c>
      <c r="AB129" s="3">
        <f t="shared" si="34"/>
        <v>1396.4648542220743</v>
      </c>
      <c r="AC129" s="3">
        <f t="shared" si="35"/>
        <v>1460.6139678986949</v>
      </c>
      <c r="BC129" s="17">
        <f t="shared" si="36"/>
        <v>164.50482825136714</v>
      </c>
      <c r="BD129" s="3">
        <f t="shared" si="37"/>
        <v>1513.5238107483815</v>
      </c>
      <c r="BF129" s="5">
        <f t="shared" si="25"/>
        <v>164.1625181879968</v>
      </c>
      <c r="BG129">
        <f t="shared" si="26"/>
        <v>1377.5860154968882</v>
      </c>
      <c r="BI129" s="5">
        <f t="shared" si="27"/>
        <v>166.99243882735621</v>
      </c>
      <c r="BJ129">
        <f t="shared" si="28"/>
        <v>1396.4648542220743</v>
      </c>
      <c r="BL129" s="5">
        <f t="shared" si="29"/>
        <v>168.55326930028286</v>
      </c>
      <c r="BM129">
        <f t="shared" si="30"/>
        <v>1460.6139678986949</v>
      </c>
    </row>
    <row r="130" spans="1:65" x14ac:dyDescent="0.25">
      <c r="A130">
        <v>121</v>
      </c>
      <c r="B130" s="17">
        <f t="shared" si="19"/>
        <v>166.02260320839787</v>
      </c>
      <c r="C130" s="17">
        <f t="shared" si="20"/>
        <v>196.03694855203878</v>
      </c>
      <c r="D130" s="17">
        <f t="shared" si="21"/>
        <v>167.1739307884163</v>
      </c>
      <c r="F130" s="5"/>
      <c r="G130" s="1">
        <v>121</v>
      </c>
      <c r="H130" s="17">
        <v>47.081930809608139</v>
      </c>
      <c r="I130" s="17">
        <v>50.177010585818927</v>
      </c>
      <c r="J130" s="17">
        <v>48.381491113404039</v>
      </c>
      <c r="M130" s="17">
        <v>189.96169476039839</v>
      </c>
      <c r="N130" s="17">
        <v>5.9174965867950053</v>
      </c>
      <c r="O130" s="17">
        <v>6.1568485202266547</v>
      </c>
      <c r="P130" s="17">
        <v>5.3100801960209374</v>
      </c>
      <c r="S130" s="5">
        <f t="shared" si="22"/>
        <v>165.54403900375925</v>
      </c>
      <c r="T130" s="17"/>
      <c r="U130" s="5">
        <f t="shared" si="23"/>
        <v>168.3914787683797</v>
      </c>
      <c r="W130" s="5">
        <f t="shared" si="24"/>
        <v>170.01445306624103</v>
      </c>
      <c r="Y130">
        <f t="shared" si="31"/>
        <v>121</v>
      </c>
      <c r="Z130" s="3">
        <f t="shared" si="32"/>
        <v>1517.7749570307242</v>
      </c>
      <c r="AA130" s="3">
        <f t="shared" si="33"/>
        <v>1381.5208157624568</v>
      </c>
      <c r="AB130" s="3">
        <f t="shared" si="34"/>
        <v>1399.0399410234886</v>
      </c>
      <c r="AC130" s="3">
        <f t="shared" si="35"/>
        <v>1461.1837659581681</v>
      </c>
      <c r="BC130" s="17">
        <f t="shared" si="36"/>
        <v>166.02260320839787</v>
      </c>
      <c r="BD130" s="3">
        <f t="shared" si="37"/>
        <v>1517.7749570307242</v>
      </c>
      <c r="BF130" s="5">
        <f t="shared" si="25"/>
        <v>165.54403900375925</v>
      </c>
      <c r="BG130">
        <f t="shared" si="26"/>
        <v>1381.5208157624568</v>
      </c>
      <c r="BI130" s="5">
        <f t="shared" si="27"/>
        <v>168.3914787683797</v>
      </c>
      <c r="BJ130">
        <f t="shared" si="28"/>
        <v>1399.0399410234886</v>
      </c>
      <c r="BL130" s="5">
        <f t="shared" si="29"/>
        <v>170.01445306624103</v>
      </c>
      <c r="BM130">
        <f t="shared" si="30"/>
        <v>1461.1837659581681</v>
      </c>
    </row>
    <row r="131" spans="1:65" x14ac:dyDescent="0.25">
      <c r="A131">
        <v>122</v>
      </c>
      <c r="B131" s="17">
        <f t="shared" si="19"/>
        <v>167.54453378762133</v>
      </c>
      <c r="C131" s="17">
        <f t="shared" si="20"/>
        <v>197.81364470774321</v>
      </c>
      <c r="D131" s="17">
        <f t="shared" si="21"/>
        <v>168.69443450694303</v>
      </c>
      <c r="F131" s="5"/>
      <c r="G131" s="1">
        <v>122</v>
      </c>
      <c r="H131" s="17">
        <v>47.1</v>
      </c>
      <c r="I131" s="17">
        <v>50.2</v>
      </c>
      <c r="J131" s="17">
        <v>48.4</v>
      </c>
      <c r="M131" s="17">
        <v>191.11442681546879</v>
      </c>
      <c r="N131" s="17">
        <v>5.9483053115529652</v>
      </c>
      <c r="O131" s="17">
        <v>6.1872717950641558</v>
      </c>
      <c r="P131" s="17">
        <v>5.3344673248323486</v>
      </c>
      <c r="S131" s="5">
        <f t="shared" si="22"/>
        <v>166.9294463836724</v>
      </c>
      <c r="T131" s="17"/>
      <c r="U131" s="5">
        <f t="shared" si="23"/>
        <v>169.79305967649526</v>
      </c>
      <c r="W131" s="5">
        <f t="shared" si="24"/>
        <v>171.47619047618997</v>
      </c>
      <c r="Y131">
        <f t="shared" si="31"/>
        <v>122</v>
      </c>
      <c r="Z131" s="3">
        <f t="shared" si="32"/>
        <v>1521.930579223465</v>
      </c>
      <c r="AA131" s="3">
        <f t="shared" si="33"/>
        <v>1385.407379913147</v>
      </c>
      <c r="AB131" s="3">
        <f t="shared" si="34"/>
        <v>1401.5809081155624</v>
      </c>
      <c r="AC131" s="3">
        <f t="shared" si="35"/>
        <v>1461.7374099489382</v>
      </c>
      <c r="BC131" s="17">
        <f t="shared" si="36"/>
        <v>167.54453378762133</v>
      </c>
      <c r="BD131" s="3">
        <f t="shared" si="37"/>
        <v>1521.930579223465</v>
      </c>
      <c r="BF131" s="5">
        <f t="shared" si="25"/>
        <v>166.9294463836724</v>
      </c>
      <c r="BG131">
        <f t="shared" si="26"/>
        <v>1385.407379913147</v>
      </c>
      <c r="BI131" s="5">
        <f t="shared" si="27"/>
        <v>169.79305967649526</v>
      </c>
      <c r="BJ131">
        <f t="shared" si="28"/>
        <v>1401.5809081155624</v>
      </c>
      <c r="BL131" s="5">
        <f t="shared" si="29"/>
        <v>171.47619047618997</v>
      </c>
      <c r="BM131">
        <f t="shared" si="30"/>
        <v>1461.7374099489382</v>
      </c>
    </row>
    <row r="132" spans="1:65" x14ac:dyDescent="0.25">
      <c r="A132">
        <v>123</v>
      </c>
      <c r="B132" s="17">
        <f t="shared" si="19"/>
        <v>169.07052499929551</v>
      </c>
      <c r="C132" s="17">
        <f t="shared" si="20"/>
        <v>199.59416991676162</v>
      </c>
      <c r="D132" s="17">
        <f t="shared" si="21"/>
        <v>170.21839867809382</v>
      </c>
      <c r="G132" s="1">
        <v>123</v>
      </c>
      <c r="H132" s="17">
        <v>47.118036989389012</v>
      </c>
      <c r="I132" s="17">
        <v>50.223103482140353</v>
      </c>
      <c r="J132" s="17">
        <v>48.418541888075723</v>
      </c>
      <c r="M132" s="17">
        <v>192.26715887053911</v>
      </c>
      <c r="N132" s="17">
        <v>5.9787895339643171</v>
      </c>
      <c r="O132" s="17">
        <v>6.2173986683661262</v>
      </c>
      <c r="P132" s="17">
        <v>5.3587584876112597</v>
      </c>
      <c r="S132" s="5">
        <f t="shared" si="22"/>
        <v>168.31869209162141</v>
      </c>
      <c r="T132" s="17"/>
      <c r="U132" s="5">
        <f t="shared" si="23"/>
        <v>171.1971474319937</v>
      </c>
      <c r="W132" s="5">
        <f t="shared" si="24"/>
        <v>172.93846537606098</v>
      </c>
      <c r="Y132">
        <f t="shared" si="31"/>
        <v>123</v>
      </c>
      <c r="Z132" s="3">
        <f t="shared" si="32"/>
        <v>1525.9912116741816</v>
      </c>
      <c r="AA132" s="3">
        <f t="shared" si="33"/>
        <v>1389.2457079490157</v>
      </c>
      <c r="AB132" s="3">
        <f t="shared" si="34"/>
        <v>1404.0877554984377</v>
      </c>
      <c r="AC132" s="3">
        <f t="shared" si="35"/>
        <v>1462.2748998710051</v>
      </c>
      <c r="BC132" s="17">
        <f t="shared" si="36"/>
        <v>169.07052499929551</v>
      </c>
      <c r="BD132" s="3">
        <f t="shared" si="37"/>
        <v>1525.9912116741816</v>
      </c>
      <c r="BF132" s="5">
        <f t="shared" si="25"/>
        <v>168.31869209162141</v>
      </c>
      <c r="BG132">
        <f t="shared" si="26"/>
        <v>1389.2457079490157</v>
      </c>
      <c r="BI132" s="5">
        <f t="shared" si="27"/>
        <v>171.1971474319937</v>
      </c>
      <c r="BJ132">
        <f t="shared" si="28"/>
        <v>1404.0877554984377</v>
      </c>
      <c r="BL132" s="5">
        <f t="shared" si="29"/>
        <v>172.93846537606098</v>
      </c>
      <c r="BM132">
        <f t="shared" si="30"/>
        <v>1462.2748998710051</v>
      </c>
    </row>
    <row r="133" spans="1:65" x14ac:dyDescent="0.25">
      <c r="A133">
        <v>124</v>
      </c>
      <c r="B133" s="17">
        <f t="shared" si="19"/>
        <v>170.60048238802568</v>
      </c>
      <c r="C133" s="17">
        <f t="shared" si="20"/>
        <v>201.37842152399068</v>
      </c>
      <c r="D133" s="17">
        <f t="shared" si="21"/>
        <v>171.74572494439519</v>
      </c>
      <c r="G133" s="1">
        <v>124</v>
      </c>
      <c r="H133" s="17">
        <v>47.13604281839514</v>
      </c>
      <c r="I133" s="17">
        <v>50.246322363942447</v>
      </c>
      <c r="J133" s="17">
        <v>48.437117527168681</v>
      </c>
      <c r="M133" s="17">
        <v>193.41989092560939</v>
      </c>
      <c r="N133" s="17">
        <v>6.0089439582578628</v>
      </c>
      <c r="O133" s="17">
        <v>6.2472255814897926</v>
      </c>
      <c r="P133" s="17">
        <v>5.3829549937025192</v>
      </c>
      <c r="S133" s="5">
        <f t="shared" si="22"/>
        <v>169.71172789149156</v>
      </c>
      <c r="T133" s="17"/>
      <c r="U133" s="5">
        <f t="shared" si="23"/>
        <v>172.60370791516561</v>
      </c>
      <c r="W133" s="5">
        <f t="shared" si="24"/>
        <v>174.40126161178534</v>
      </c>
      <c r="Y133">
        <f t="shared" si="31"/>
        <v>124</v>
      </c>
      <c r="Z133" s="3">
        <f t="shared" si="32"/>
        <v>1529.9573887301676</v>
      </c>
      <c r="AA133" s="3">
        <f t="shared" si="33"/>
        <v>1393.0357998701481</v>
      </c>
      <c r="AB133" s="3">
        <f t="shared" si="34"/>
        <v>1406.5604831719156</v>
      </c>
      <c r="AC133" s="3">
        <f t="shared" si="35"/>
        <v>1462.7962357243689</v>
      </c>
      <c r="BC133" s="17">
        <f t="shared" si="36"/>
        <v>170.60048238802568</v>
      </c>
      <c r="BD133" s="3">
        <f t="shared" si="37"/>
        <v>1529.9573887301676</v>
      </c>
      <c r="BF133" s="5">
        <f t="shared" si="25"/>
        <v>169.71172789149156</v>
      </c>
      <c r="BG133">
        <f t="shared" si="26"/>
        <v>1393.0357998701481</v>
      </c>
      <c r="BI133" s="5">
        <f t="shared" si="27"/>
        <v>172.60370791516561</v>
      </c>
      <c r="BJ133">
        <f t="shared" si="28"/>
        <v>1406.5604831719156</v>
      </c>
      <c r="BL133" s="5">
        <f t="shared" si="29"/>
        <v>174.40126161178534</v>
      </c>
      <c r="BM133">
        <f t="shared" si="30"/>
        <v>1462.7962357243689</v>
      </c>
    </row>
    <row r="134" spans="1:65" x14ac:dyDescent="0.25">
      <c r="A134">
        <v>125</v>
      </c>
      <c r="B134" s="17">
        <f t="shared" si="19"/>
        <v>172.13431203276463</v>
      </c>
      <c r="C134" s="17">
        <f t="shared" si="20"/>
        <v>203.16629749526399</v>
      </c>
      <c r="D134" s="17">
        <f t="shared" si="21"/>
        <v>173.27631553339432</v>
      </c>
      <c r="G134" s="1">
        <v>125</v>
      </c>
      <c r="H134" s="17">
        <v>47.154019064321751</v>
      </c>
      <c r="I134" s="17">
        <v>50.269656075976158</v>
      </c>
      <c r="J134" s="17">
        <v>48.455727116791671</v>
      </c>
      <c r="M134" s="17">
        <v>194.57262298067971</v>
      </c>
      <c r="N134" s="17">
        <v>6.0387632886624001</v>
      </c>
      <c r="O134" s="17">
        <v>6.2767489757923753</v>
      </c>
      <c r="P134" s="17">
        <v>5.4070581524509738</v>
      </c>
      <c r="S134" s="5">
        <f t="shared" si="22"/>
        <v>171.10850554716785</v>
      </c>
      <c r="T134" s="17"/>
      <c r="U134" s="5">
        <f t="shared" si="23"/>
        <v>174.01270700630181</v>
      </c>
      <c r="W134" s="5">
        <f t="shared" si="24"/>
        <v>175.86456302929437</v>
      </c>
      <c r="Y134">
        <f t="shared" si="31"/>
        <v>125</v>
      </c>
      <c r="Z134" s="3">
        <f t="shared" si="32"/>
        <v>1533.8296447389439</v>
      </c>
      <c r="AA134" s="3">
        <f t="shared" si="33"/>
        <v>1396.7776556762885</v>
      </c>
      <c r="AB134" s="3">
        <f t="shared" si="34"/>
        <v>1408.9990911361951</v>
      </c>
      <c r="AC134" s="3">
        <f t="shared" si="35"/>
        <v>1463.3014175090295</v>
      </c>
      <c r="BC134" s="17">
        <f t="shared" si="36"/>
        <v>172.13431203276463</v>
      </c>
      <c r="BD134" s="3">
        <f t="shared" si="37"/>
        <v>1533.8296447389439</v>
      </c>
      <c r="BF134" s="5">
        <f t="shared" si="25"/>
        <v>171.10850554716785</v>
      </c>
      <c r="BG134">
        <f t="shared" si="26"/>
        <v>1396.7776556762885</v>
      </c>
      <c r="BI134" s="5">
        <f t="shared" si="27"/>
        <v>174.01270700630181</v>
      </c>
      <c r="BJ134">
        <f t="shared" si="28"/>
        <v>1408.9990911361951</v>
      </c>
      <c r="BL134" s="5">
        <f t="shared" si="29"/>
        <v>175.86456302929437</v>
      </c>
      <c r="BM134">
        <f t="shared" si="30"/>
        <v>1463.3014175090295</v>
      </c>
    </row>
    <row r="135" spans="1:65" x14ac:dyDescent="0.25">
      <c r="A135">
        <v>126</v>
      </c>
      <c r="B135" s="17">
        <f t="shared" si="19"/>
        <v>173.67192054681243</v>
      </c>
      <c r="C135" s="17">
        <f t="shared" si="20"/>
        <v>204.95769641735163</v>
      </c>
      <c r="D135" s="17">
        <f t="shared" si="21"/>
        <v>174.81007325765893</v>
      </c>
      <c r="G135" s="1">
        <v>126</v>
      </c>
      <c r="H135" s="17">
        <v>47.171967304472211</v>
      </c>
      <c r="I135" s="17">
        <v>50.293104048811287</v>
      </c>
      <c r="J135" s="17">
        <v>48.474370856457497</v>
      </c>
      <c r="M135" s="17">
        <v>195.72535503575</v>
      </c>
      <c r="N135" s="17">
        <v>6.0682422294067351</v>
      </c>
      <c r="O135" s="17">
        <v>6.3059652926311012</v>
      </c>
      <c r="P135" s="17">
        <v>5.4310692732014729</v>
      </c>
      <c r="S135" s="5">
        <f t="shared" si="22"/>
        <v>172.50897682253554</v>
      </c>
      <c r="T135" s="17"/>
      <c r="U135" s="5">
        <f t="shared" si="23"/>
        <v>175.42411058569297</v>
      </c>
      <c r="W135" s="5">
        <f t="shared" si="24"/>
        <v>177.32835347451939</v>
      </c>
      <c r="Y135">
        <f t="shared" si="31"/>
        <v>126</v>
      </c>
      <c r="Z135" s="3">
        <f t="shared" si="32"/>
        <v>1537.608514047804</v>
      </c>
      <c r="AA135" s="3">
        <f t="shared" si="33"/>
        <v>1400.4712753676927</v>
      </c>
      <c r="AB135" s="3">
        <f t="shared" si="34"/>
        <v>1411.4035793911626</v>
      </c>
      <c r="AC135" s="3">
        <f t="shared" si="35"/>
        <v>1463.7904452250154</v>
      </c>
      <c r="BC135" s="17">
        <f t="shared" si="36"/>
        <v>173.67192054681243</v>
      </c>
      <c r="BD135" s="3">
        <f t="shared" si="37"/>
        <v>1537.608514047804</v>
      </c>
      <c r="BF135" s="5">
        <f t="shared" si="25"/>
        <v>172.50897682253554</v>
      </c>
      <c r="BG135">
        <f t="shared" si="26"/>
        <v>1400.4712753676927</v>
      </c>
      <c r="BI135" s="5">
        <f t="shared" si="27"/>
        <v>175.42411058569297</v>
      </c>
      <c r="BJ135">
        <f t="shared" si="28"/>
        <v>1411.4035793911626</v>
      </c>
      <c r="BL135" s="5">
        <f t="shared" si="29"/>
        <v>177.32835347451939</v>
      </c>
      <c r="BM135">
        <f t="shared" si="30"/>
        <v>1463.7904452250154</v>
      </c>
    </row>
    <row r="136" spans="1:65" x14ac:dyDescent="0.25">
      <c r="A136">
        <v>127</v>
      </c>
      <c r="B136" s="17">
        <f t="shared" si="19"/>
        <v>175.21321507781673</v>
      </c>
      <c r="C136" s="17">
        <f t="shared" si="20"/>
        <v>206.75251749796013</v>
      </c>
      <c r="D136" s="17">
        <f t="shared" si="21"/>
        <v>176.34690151477739</v>
      </c>
      <c r="G136" s="1">
        <v>127</v>
      </c>
      <c r="H136" s="17">
        <v>47.189889116149871</v>
      </c>
      <c r="I136" s="17">
        <v>50.316665713017713</v>
      </c>
      <c r="J136" s="17">
        <v>48.493048945678993</v>
      </c>
      <c r="M136" s="17">
        <v>196.87808709082029</v>
      </c>
      <c r="N136" s="17">
        <v>6.0973754847196648</v>
      </c>
      <c r="O136" s="17">
        <v>6.3348709733631914</v>
      </c>
      <c r="P136" s="17">
        <v>5.4549896652988634</v>
      </c>
      <c r="S136" s="5">
        <f t="shared" si="22"/>
        <v>173.91309348147973</v>
      </c>
      <c r="T136" s="17"/>
      <c r="U136" s="5">
        <f t="shared" si="23"/>
        <v>176.83788453362976</v>
      </c>
      <c r="W136" s="5">
        <f t="shared" si="24"/>
        <v>178.79261679339169</v>
      </c>
      <c r="Y136">
        <f t="shared" si="31"/>
        <v>127</v>
      </c>
      <c r="Z136" s="3">
        <f t="shared" si="32"/>
        <v>1541.2945310042971</v>
      </c>
      <c r="AA136" s="3">
        <f t="shared" si="33"/>
        <v>1404.11665894419</v>
      </c>
      <c r="AB136" s="3">
        <f t="shared" si="34"/>
        <v>1413.7739479367895</v>
      </c>
      <c r="AC136" s="3">
        <f t="shared" si="35"/>
        <v>1464.2633188722982</v>
      </c>
      <c r="BC136" s="17">
        <f t="shared" si="36"/>
        <v>175.21321507781673</v>
      </c>
      <c r="BD136" s="3">
        <f t="shared" si="37"/>
        <v>1541.2945310042971</v>
      </c>
      <c r="BF136" s="5">
        <f t="shared" si="25"/>
        <v>173.91309348147973</v>
      </c>
      <c r="BG136">
        <f t="shared" si="26"/>
        <v>1404.11665894419</v>
      </c>
      <c r="BI136" s="5">
        <f t="shared" si="27"/>
        <v>176.83788453362976</v>
      </c>
      <c r="BJ136">
        <f t="shared" si="28"/>
        <v>1413.7739479367895</v>
      </c>
      <c r="BL136" s="5">
        <f t="shared" si="29"/>
        <v>178.79261679339169</v>
      </c>
      <c r="BM136">
        <f t="shared" si="30"/>
        <v>1464.2633188722982</v>
      </c>
    </row>
    <row r="137" spans="1:65" x14ac:dyDescent="0.25">
      <c r="A137">
        <v>128</v>
      </c>
      <c r="B137" s="17">
        <f t="shared" si="19"/>
        <v>176.75810330777244</v>
      </c>
      <c r="C137" s="17">
        <f t="shared" si="20"/>
        <v>208.55066056573301</v>
      </c>
      <c r="D137" s="17">
        <f t="shared" si="21"/>
        <v>177.8867042873587</v>
      </c>
      <c r="G137" s="1">
        <v>128</v>
      </c>
      <c r="H137" s="17">
        <v>47.207786076658103</v>
      </c>
      <c r="I137" s="17">
        <v>50.340340499165222</v>
      </c>
      <c r="J137" s="17">
        <v>48.511761583968912</v>
      </c>
      <c r="M137" s="17">
        <v>198.0308191458906</v>
      </c>
      <c r="N137" s="17">
        <v>6.1261577588299918</v>
      </c>
      <c r="O137" s="17">
        <v>6.3634624593458717</v>
      </c>
      <c r="P137" s="17">
        <v>5.4788206380879938</v>
      </c>
      <c r="S137" s="5">
        <f t="shared" si="22"/>
        <v>175.32080728788569</v>
      </c>
      <c r="T137" s="17"/>
      <c r="U137" s="5">
        <f t="shared" si="23"/>
        <v>178.25399473040292</v>
      </c>
      <c r="W137" s="5">
        <f t="shared" si="24"/>
        <v>180.25733683184257</v>
      </c>
      <c r="Y137">
        <f t="shared" si="31"/>
        <v>128</v>
      </c>
      <c r="Z137" s="3">
        <f t="shared" si="32"/>
        <v>1544.888229955717</v>
      </c>
      <c r="AA137" s="3">
        <f t="shared" si="33"/>
        <v>1407.7138064059511</v>
      </c>
      <c r="AB137" s="3">
        <f t="shared" si="34"/>
        <v>1416.1101967731611</v>
      </c>
      <c r="AC137" s="3">
        <f t="shared" si="35"/>
        <v>1464.7200384508778</v>
      </c>
      <c r="BC137" s="17">
        <f t="shared" si="36"/>
        <v>176.75810330777244</v>
      </c>
      <c r="BD137" s="3">
        <f t="shared" si="37"/>
        <v>1544.888229955717</v>
      </c>
      <c r="BF137" s="5">
        <f t="shared" si="25"/>
        <v>175.32080728788569</v>
      </c>
      <c r="BG137">
        <f t="shared" si="26"/>
        <v>1407.7138064059511</v>
      </c>
      <c r="BI137" s="5">
        <f t="shared" si="27"/>
        <v>178.25399473040292</v>
      </c>
      <c r="BJ137">
        <f t="shared" si="28"/>
        <v>1416.1101967731611</v>
      </c>
      <c r="BL137" s="5">
        <f t="shared" si="29"/>
        <v>180.25733683184257</v>
      </c>
      <c r="BM137">
        <f t="shared" si="30"/>
        <v>1464.7200384508778</v>
      </c>
    </row>
    <row r="138" spans="1:65" x14ac:dyDescent="0.25">
      <c r="A138">
        <v>129</v>
      </c>
      <c r="B138" s="17">
        <f t="shared" ref="B138:B201" si="38">$B$2+$B$3*A138+$B$4*A138^2+$B$5*A138^3+$B$6*A138^4</f>
        <v>178.30649345302206</v>
      </c>
      <c r="C138" s="17">
        <f t="shared" ref="C138:C201" si="39">$C$2+$C$3*A138+$C$4*A138^2+$C$5*A138^3+$C$6*A138^4</f>
        <v>210.3520260702501</v>
      </c>
      <c r="D138" s="17">
        <f t="shared" ref="D138:D201" si="40">$D$2+$D$3*A138+$D$4*A138^2+$D$5*A138^3+$D$6*A138^4</f>
        <v>179.42938614303233</v>
      </c>
      <c r="G138" s="1">
        <v>129</v>
      </c>
      <c r="H138" s="17">
        <v>47.22565976330025</v>
      </c>
      <c r="I138" s="17">
        <v>50.364127837823681</v>
      </c>
      <c r="J138" s="17">
        <v>48.530508970840103</v>
      </c>
      <c r="M138" s="17">
        <v>199.18355120096101</v>
      </c>
      <c r="N138" s="17">
        <v>6.1545837559665184</v>
      </c>
      <c r="O138" s="17">
        <v>6.3917361919363653</v>
      </c>
      <c r="P138" s="17">
        <v>5.5025635009137108</v>
      </c>
      <c r="S138" s="5">
        <f t="shared" ref="S138:S201" si="41">$R$8+$R$9*A138+$R$10*A138*A138+$R$11*A138*A138*A138</f>
        <v>176.73207000563849</v>
      </c>
      <c r="T138" s="17"/>
      <c r="U138" s="5">
        <f t="shared" ref="U138:U201" si="42">$T$8+$T$9*A138+$T$10*A138*A138+$T$11*A138*A138*A138</f>
        <v>179.6724070563032</v>
      </c>
      <c r="W138" s="5">
        <f t="shared" ref="W138:W201" si="43">$V$8+$V$9*A138+$V$10*A138*A138+$V$11*A138*A138*A138</f>
        <v>181.72249743580332</v>
      </c>
      <c r="Y138">
        <f t="shared" si="31"/>
        <v>129</v>
      </c>
      <c r="Z138" s="3">
        <f t="shared" si="32"/>
        <v>1548.3901452496127</v>
      </c>
      <c r="AA138" s="3">
        <f t="shared" si="33"/>
        <v>1411.2627177528054</v>
      </c>
      <c r="AB138" s="3">
        <f t="shared" si="34"/>
        <v>1418.4123259002774</v>
      </c>
      <c r="AC138" s="3">
        <f t="shared" si="35"/>
        <v>1465.1606039607543</v>
      </c>
      <c r="BC138" s="17">
        <f t="shared" si="36"/>
        <v>178.30649345302206</v>
      </c>
      <c r="BD138" s="3">
        <f t="shared" si="37"/>
        <v>1548.3901452496127</v>
      </c>
      <c r="BF138" s="5">
        <f t="shared" ref="BF138:BF201" si="44">S138</f>
        <v>176.73207000563849</v>
      </c>
      <c r="BG138">
        <f t="shared" ref="BG138:BG201" si="45">AA138</f>
        <v>1411.2627177528054</v>
      </c>
      <c r="BI138" s="5">
        <f t="shared" ref="BI138:BI201" si="46">U138</f>
        <v>179.6724070563032</v>
      </c>
      <c r="BJ138">
        <f t="shared" ref="BJ138:BJ201" si="47">AB138</f>
        <v>1418.4123259002774</v>
      </c>
      <c r="BL138" s="5">
        <f t="shared" ref="BL138:BL201" si="48">W138</f>
        <v>181.72249743580332</v>
      </c>
      <c r="BM138">
        <f t="shared" ref="BM138:BM201" si="49">AC138</f>
        <v>1465.1606039607543</v>
      </c>
    </row>
    <row r="139" spans="1:65" x14ac:dyDescent="0.25">
      <c r="A139">
        <v>130</v>
      </c>
      <c r="B139" s="17">
        <f t="shared" si="38"/>
        <v>179.85829426425539</v>
      </c>
      <c r="C139" s="17">
        <f t="shared" si="39"/>
        <v>212.15651508202785</v>
      </c>
      <c r="D139" s="17">
        <f t="shared" si="40"/>
        <v>180.97485223444852</v>
      </c>
      <c r="G139" s="1">
        <v>130</v>
      </c>
      <c r="H139" s="17">
        <v>47.243511753379693</v>
      </c>
      <c r="I139" s="17">
        <v>50.388027159562917</v>
      </c>
      <c r="J139" s="17">
        <v>48.54929130580534</v>
      </c>
      <c r="M139" s="17">
        <v>200.33628325603129</v>
      </c>
      <c r="N139" s="17">
        <v>6.1826481803580418</v>
      </c>
      <c r="O139" s="17">
        <v>6.4196886124918962</v>
      </c>
      <c r="P139" s="17">
        <v>5.526219563120863</v>
      </c>
      <c r="S139" s="5">
        <f t="shared" si="41"/>
        <v>178.14683339862336</v>
      </c>
      <c r="T139" s="17"/>
      <c r="U139" s="5">
        <f t="shared" si="42"/>
        <v>181.09308739162122</v>
      </c>
      <c r="W139" s="5">
        <f t="shared" si="43"/>
        <v>183.18808245120528</v>
      </c>
      <c r="Y139">
        <f t="shared" ref="Y139:Y202" si="50">A139</f>
        <v>130</v>
      </c>
      <c r="Z139" s="3">
        <f t="shared" ref="Z139:Z202" si="51">(B139-B138)*1000</f>
        <v>1551.8008112333348</v>
      </c>
      <c r="AA139" s="3">
        <f t="shared" ref="AA139:AA202" si="52">(S139-S138)*1000</f>
        <v>1414.7633929848666</v>
      </c>
      <c r="AB139" s="3">
        <f t="shared" ref="AB139:AB202" si="53">(U139-U138)*1000</f>
        <v>1420.6803353180248</v>
      </c>
      <c r="AC139" s="3">
        <f t="shared" ref="AC139:AC202" si="54">(W139-W138)*1000</f>
        <v>1465.5850154019561</v>
      </c>
      <c r="BC139" s="17">
        <f t="shared" ref="BC139:BC202" si="55">B139</f>
        <v>179.85829426425539</v>
      </c>
      <c r="BD139" s="3">
        <f t="shared" ref="BD139:BD202" si="56">Z139</f>
        <v>1551.8008112333348</v>
      </c>
      <c r="BF139" s="5">
        <f t="shared" si="44"/>
        <v>178.14683339862336</v>
      </c>
      <c r="BG139">
        <f t="shared" si="45"/>
        <v>1414.7633929848666</v>
      </c>
      <c r="BI139" s="5">
        <f t="shared" si="46"/>
        <v>181.09308739162122</v>
      </c>
      <c r="BJ139">
        <f t="shared" si="47"/>
        <v>1420.6803353180248</v>
      </c>
      <c r="BL139" s="5">
        <f t="shared" si="48"/>
        <v>183.18808245120528</v>
      </c>
      <c r="BM139">
        <f t="shared" si="49"/>
        <v>1465.5850154019561</v>
      </c>
    </row>
    <row r="140" spans="1:65" x14ac:dyDescent="0.25">
      <c r="A140">
        <v>131</v>
      </c>
      <c r="B140" s="17">
        <f t="shared" si="38"/>
        <v>181.41341502650971</v>
      </c>
      <c r="C140" s="17">
        <f t="shared" si="39"/>
        <v>213.96402929251954</v>
      </c>
      <c r="D140" s="17">
        <f t="shared" si="40"/>
        <v>182.52300829927802</v>
      </c>
      <c r="G140" s="1">
        <v>131</v>
      </c>
      <c r="H140" s="17">
        <v>47.26134362419976</v>
      </c>
      <c r="I140" s="17">
        <v>50.412037894952782</v>
      </c>
      <c r="J140" s="17">
        <v>48.568108788377451</v>
      </c>
      <c r="M140" s="17">
        <v>201.48901531110161</v>
      </c>
      <c r="N140" s="17">
        <v>6.2103457362333661</v>
      </c>
      <c r="O140" s="17">
        <v>6.4473161623696864</v>
      </c>
      <c r="P140" s="17">
        <v>5.5497901340542999</v>
      </c>
      <c r="S140" s="5">
        <f t="shared" si="41"/>
        <v>179.56504923072544</v>
      </c>
      <c r="T140" s="17"/>
      <c r="U140" s="5">
        <f t="shared" si="42"/>
        <v>182.51600161664777</v>
      </c>
      <c r="W140" s="5">
        <f t="shared" si="43"/>
        <v>184.6540757239797</v>
      </c>
      <c r="Y140">
        <f t="shared" si="50"/>
        <v>131</v>
      </c>
      <c r="Z140" s="3">
        <f t="shared" si="51"/>
        <v>1555.1207622543188</v>
      </c>
      <c r="AA140" s="3">
        <f t="shared" si="52"/>
        <v>1418.2158321020779</v>
      </c>
      <c r="AB140" s="3">
        <f t="shared" si="53"/>
        <v>1422.9142250265454</v>
      </c>
      <c r="AC140" s="3">
        <f t="shared" si="54"/>
        <v>1465.9932727744263</v>
      </c>
      <c r="BC140" s="17">
        <f t="shared" si="55"/>
        <v>181.41341502650971</v>
      </c>
      <c r="BD140" s="3">
        <f t="shared" si="56"/>
        <v>1555.1207622543188</v>
      </c>
      <c r="BF140" s="5">
        <f t="shared" si="44"/>
        <v>179.56504923072544</v>
      </c>
      <c r="BG140">
        <f t="shared" si="45"/>
        <v>1418.2158321020779</v>
      </c>
      <c r="BI140" s="5">
        <f t="shared" si="46"/>
        <v>182.51600161664777</v>
      </c>
      <c r="BJ140">
        <f t="shared" si="47"/>
        <v>1422.9142250265454</v>
      </c>
      <c r="BL140" s="5">
        <f t="shared" si="48"/>
        <v>184.6540757239797</v>
      </c>
      <c r="BM140">
        <f t="shared" si="49"/>
        <v>1465.9932727744263</v>
      </c>
    </row>
    <row r="141" spans="1:65" x14ac:dyDescent="0.25">
      <c r="A141">
        <v>132</v>
      </c>
      <c r="B141" s="17">
        <f t="shared" si="38"/>
        <v>182.97176555916974</v>
      </c>
      <c r="C141" s="17">
        <f t="shared" si="39"/>
        <v>215.77447101411479</v>
      </c>
      <c r="D141" s="17">
        <f t="shared" si="40"/>
        <v>184.0737606602122</v>
      </c>
      <c r="G141" s="1">
        <v>132</v>
      </c>
      <c r="H141" s="17">
        <v>47.279156953063847</v>
      </c>
      <c r="I141" s="17">
        <v>50.436159474563091</v>
      </c>
      <c r="J141" s="17">
        <v>48.586961618069232</v>
      </c>
      <c r="M141" s="17">
        <v>202.6417473661719</v>
      </c>
      <c r="N141" s="17">
        <v>6.2376711278212911</v>
      </c>
      <c r="O141" s="17">
        <v>6.4746152829269619</v>
      </c>
      <c r="P141" s="17">
        <v>5.5732765230588672</v>
      </c>
      <c r="S141" s="5">
        <f t="shared" si="41"/>
        <v>180.9866692658299</v>
      </c>
      <c r="T141" s="17"/>
      <c r="U141" s="5">
        <f t="shared" si="42"/>
        <v>183.94111561167352</v>
      </c>
      <c r="W141" s="5">
        <f t="shared" si="43"/>
        <v>186.12046110005798</v>
      </c>
      <c r="Y141">
        <f t="shared" si="50"/>
        <v>132</v>
      </c>
      <c r="Z141" s="3">
        <f t="shared" si="51"/>
        <v>1558.3505326600289</v>
      </c>
      <c r="AA141" s="3">
        <f t="shared" si="52"/>
        <v>1421.6200351044677</v>
      </c>
      <c r="AB141" s="3">
        <f t="shared" si="53"/>
        <v>1425.1139950257539</v>
      </c>
      <c r="AC141" s="3">
        <f t="shared" si="54"/>
        <v>1466.3853760782786</v>
      </c>
      <c r="BC141" s="17">
        <f t="shared" si="55"/>
        <v>182.97176555916974</v>
      </c>
      <c r="BD141" s="3">
        <f t="shared" si="56"/>
        <v>1558.3505326600289</v>
      </c>
      <c r="BF141" s="5">
        <f t="shared" si="44"/>
        <v>180.9866692658299</v>
      </c>
      <c r="BG141">
        <f t="shared" si="45"/>
        <v>1421.6200351044677</v>
      </c>
      <c r="BI141" s="5">
        <f t="shared" si="46"/>
        <v>183.94111561167352</v>
      </c>
      <c r="BJ141">
        <f t="shared" si="47"/>
        <v>1425.1139950257539</v>
      </c>
      <c r="BL141" s="5">
        <f t="shared" si="48"/>
        <v>186.12046110005798</v>
      </c>
      <c r="BM141">
        <f t="shared" si="49"/>
        <v>1466.3853760782786</v>
      </c>
    </row>
    <row r="142" spans="1:65" x14ac:dyDescent="0.25">
      <c r="A142">
        <v>133</v>
      </c>
      <c r="B142" s="17">
        <f t="shared" si="38"/>
        <v>184.53325621596741</v>
      </c>
      <c r="C142" s="17">
        <f t="shared" si="39"/>
        <v>217.58774318014011</v>
      </c>
      <c r="D142" s="17">
        <f t="shared" si="40"/>
        <v>185.62701622496309</v>
      </c>
      <c r="G142" s="1">
        <v>133</v>
      </c>
      <c r="H142" s="17">
        <v>47.296953317275303</v>
      </c>
      <c r="I142" s="17">
        <v>50.460391328963702</v>
      </c>
      <c r="J142" s="17">
        <v>48.605849994393488</v>
      </c>
      <c r="M142" s="17">
        <v>203.79447942124219</v>
      </c>
      <c r="N142" s="17">
        <v>6.2646190593506184</v>
      </c>
      <c r="O142" s="17">
        <v>6.5015824155209474</v>
      </c>
      <c r="P142" s="17">
        <v>5.5966800394794127</v>
      </c>
      <c r="S142" s="5">
        <f t="shared" si="41"/>
        <v>182.41164526782194</v>
      </c>
      <c r="T142" s="17"/>
      <c r="U142" s="5">
        <f t="shared" si="42"/>
        <v>185.3683952569892</v>
      </c>
      <c r="W142" s="5">
        <f t="shared" si="43"/>
        <v>187.58722242537135</v>
      </c>
      <c r="Y142">
        <f t="shared" si="50"/>
        <v>133</v>
      </c>
      <c r="Z142" s="3">
        <f t="shared" si="51"/>
        <v>1561.4906567976732</v>
      </c>
      <c r="AA142" s="3">
        <f t="shared" si="52"/>
        <v>1424.9760019920359</v>
      </c>
      <c r="AB142" s="3">
        <f t="shared" si="53"/>
        <v>1427.2796453156786</v>
      </c>
      <c r="AC142" s="3">
        <f t="shared" si="54"/>
        <v>1466.7613253133709</v>
      </c>
      <c r="BC142" s="17">
        <f t="shared" si="55"/>
        <v>184.53325621596741</v>
      </c>
      <c r="BD142" s="3">
        <f t="shared" si="56"/>
        <v>1561.4906567976732</v>
      </c>
      <c r="BF142" s="5">
        <f t="shared" si="44"/>
        <v>182.41164526782194</v>
      </c>
      <c r="BG142">
        <f t="shared" si="45"/>
        <v>1424.9760019920359</v>
      </c>
      <c r="BI142" s="5">
        <f t="shared" si="46"/>
        <v>185.3683952569892</v>
      </c>
      <c r="BJ142">
        <f t="shared" si="47"/>
        <v>1427.2796453156786</v>
      </c>
      <c r="BL142" s="5">
        <f t="shared" si="48"/>
        <v>187.58722242537135</v>
      </c>
      <c r="BM142">
        <f t="shared" si="49"/>
        <v>1466.7613253133709</v>
      </c>
    </row>
    <row r="143" spans="1:65" x14ac:dyDescent="0.25">
      <c r="A143">
        <v>134</v>
      </c>
      <c r="B143" s="17">
        <f t="shared" si="38"/>
        <v>186.09779788498238</v>
      </c>
      <c r="C143" s="17">
        <f t="shared" si="39"/>
        <v>219.40374934485843</v>
      </c>
      <c r="D143" s="17">
        <f t="shared" si="40"/>
        <v>187.18268248626319</v>
      </c>
      <c r="G143" s="1">
        <v>134</v>
      </c>
      <c r="H143" s="17">
        <v>47.314734294137473</v>
      </c>
      <c r="I143" s="17">
        <v>50.484732888724423</v>
      </c>
      <c r="J143" s="17">
        <v>48.624774116863023</v>
      </c>
      <c r="M143" s="17">
        <v>204.9472114763125</v>
      </c>
      <c r="N143" s="17">
        <v>6.2911842350501503</v>
      </c>
      <c r="O143" s="17">
        <v>6.5282140015088608</v>
      </c>
      <c r="P143" s="17">
        <v>5.6200019926607858</v>
      </c>
      <c r="S143" s="5">
        <f t="shared" si="41"/>
        <v>183.83992900058669</v>
      </c>
      <c r="T143" s="17"/>
      <c r="U143" s="5">
        <f t="shared" si="42"/>
        <v>186.79780643288549</v>
      </c>
      <c r="W143" s="5">
        <f t="shared" si="43"/>
        <v>189.05434354585111</v>
      </c>
      <c r="Y143">
        <f t="shared" si="50"/>
        <v>134</v>
      </c>
      <c r="Z143" s="3">
        <f t="shared" si="51"/>
        <v>1564.5416690149716</v>
      </c>
      <c r="AA143" s="3">
        <f t="shared" si="52"/>
        <v>1428.2837327647542</v>
      </c>
      <c r="AB143" s="3">
        <f t="shared" si="53"/>
        <v>1429.4111758962913</v>
      </c>
      <c r="AC143" s="3">
        <f t="shared" si="54"/>
        <v>1467.1211204797601</v>
      </c>
      <c r="BC143" s="17">
        <f t="shared" si="55"/>
        <v>186.09779788498238</v>
      </c>
      <c r="BD143" s="3">
        <f t="shared" si="56"/>
        <v>1564.5416690149716</v>
      </c>
      <c r="BF143" s="5">
        <f t="shared" si="44"/>
        <v>183.83992900058669</v>
      </c>
      <c r="BG143">
        <f t="shared" si="45"/>
        <v>1428.2837327647542</v>
      </c>
      <c r="BI143" s="5">
        <f t="shared" si="46"/>
        <v>186.79780643288549</v>
      </c>
      <c r="BJ143">
        <f t="shared" si="47"/>
        <v>1429.4111758962913</v>
      </c>
      <c r="BL143" s="5">
        <f t="shared" si="48"/>
        <v>189.05434354585111</v>
      </c>
      <c r="BM143">
        <f t="shared" si="49"/>
        <v>1467.1211204797601</v>
      </c>
    </row>
    <row r="144" spans="1:65" x14ac:dyDescent="0.25">
      <c r="A144">
        <v>135</v>
      </c>
      <c r="B144" s="17">
        <f t="shared" si="38"/>
        <v>187.66530198864163</v>
      </c>
      <c r="C144" s="17">
        <f t="shared" si="39"/>
        <v>221.22239368346925</v>
      </c>
      <c r="D144" s="17">
        <f t="shared" si="40"/>
        <v>188.74066752186579</v>
      </c>
      <c r="G144" s="1">
        <v>135</v>
      </c>
      <c r="H144" s="17">
        <v>47.332501460953743</v>
      </c>
      <c r="I144" s="17">
        <v>50.509183584415112</v>
      </c>
      <c r="J144" s="17">
        <v>48.643734184990642</v>
      </c>
      <c r="M144" s="17">
        <v>206.09994353138279</v>
      </c>
      <c r="N144" s="17">
        <v>6.3173613591486841</v>
      </c>
      <c r="O144" s="17">
        <v>6.554506482247934</v>
      </c>
      <c r="P144" s="17">
        <v>5.6432436919478342</v>
      </c>
      <c r="S144" s="5">
        <f t="shared" si="41"/>
        <v>185.27147222800932</v>
      </c>
      <c r="T144" s="17"/>
      <c r="U144" s="5">
        <f t="shared" si="42"/>
        <v>188.22931501965311</v>
      </c>
      <c r="W144" s="5">
        <f t="shared" si="43"/>
        <v>190.52180830742859</v>
      </c>
      <c r="Y144">
        <f t="shared" si="50"/>
        <v>135</v>
      </c>
      <c r="Z144" s="3">
        <f t="shared" si="51"/>
        <v>1567.5041036592461</v>
      </c>
      <c r="AA144" s="3">
        <f t="shared" si="52"/>
        <v>1431.5432274226225</v>
      </c>
      <c r="AB144" s="3">
        <f t="shared" si="53"/>
        <v>1431.5085867676203</v>
      </c>
      <c r="AC144" s="3">
        <f t="shared" si="54"/>
        <v>1467.4647615774745</v>
      </c>
      <c r="BC144" s="17">
        <f t="shared" si="55"/>
        <v>187.66530198864163</v>
      </c>
      <c r="BD144" s="3">
        <f t="shared" si="56"/>
        <v>1567.5041036592461</v>
      </c>
      <c r="BF144" s="5">
        <f t="shared" si="44"/>
        <v>185.27147222800932</v>
      </c>
      <c r="BG144">
        <f t="shared" si="45"/>
        <v>1431.5432274226225</v>
      </c>
      <c r="BI144" s="5">
        <f t="shared" si="46"/>
        <v>188.22931501965311</v>
      </c>
      <c r="BJ144">
        <f t="shared" si="47"/>
        <v>1431.5085867676203</v>
      </c>
      <c r="BL144" s="5">
        <f t="shared" si="48"/>
        <v>190.52180830742859</v>
      </c>
      <c r="BM144">
        <f t="shared" si="49"/>
        <v>1467.4647615774745</v>
      </c>
    </row>
    <row r="145" spans="1:65" x14ac:dyDescent="0.25">
      <c r="A145">
        <v>136</v>
      </c>
      <c r="B145" s="17">
        <f t="shared" si="38"/>
        <v>189.23568048371939</v>
      </c>
      <c r="C145" s="17">
        <f t="shared" si="39"/>
        <v>223.04358099210887</v>
      </c>
      <c r="D145" s="17">
        <f t="shared" si="40"/>
        <v>190.30087999454452</v>
      </c>
      <c r="G145" s="1">
        <v>136</v>
      </c>
      <c r="H145" s="17">
        <v>47.350256395027444</v>
      </c>
      <c r="I145" s="17">
        <v>50.533742846605612</v>
      </c>
      <c r="J145" s="17">
        <v>48.662730398289149</v>
      </c>
      <c r="M145" s="17">
        <v>207.25267558645311</v>
      </c>
      <c r="N145" s="17">
        <v>6.3431451358750248</v>
      </c>
      <c r="O145" s="17">
        <v>6.5804562990953839</v>
      </c>
      <c r="P145" s="17">
        <v>5.6664064466854063</v>
      </c>
      <c r="S145" s="5">
        <f t="shared" si="41"/>
        <v>186.70622671397498</v>
      </c>
      <c r="T145" s="17"/>
      <c r="U145" s="5">
        <f t="shared" si="42"/>
        <v>189.66288689758281</v>
      </c>
      <c r="W145" s="5">
        <f t="shared" si="43"/>
        <v>191.9896005560351</v>
      </c>
      <c r="Y145">
        <f t="shared" si="50"/>
        <v>136</v>
      </c>
      <c r="Z145" s="3">
        <f t="shared" si="51"/>
        <v>1570.3784950777617</v>
      </c>
      <c r="AA145" s="3">
        <f t="shared" si="52"/>
        <v>1434.7544859656693</v>
      </c>
      <c r="AB145" s="3">
        <f t="shared" si="53"/>
        <v>1433.571877929694</v>
      </c>
      <c r="AC145" s="3">
        <f t="shared" si="54"/>
        <v>1467.7922486065142</v>
      </c>
      <c r="BC145" s="17">
        <f t="shared" si="55"/>
        <v>189.23568048371939</v>
      </c>
      <c r="BD145" s="3">
        <f t="shared" si="56"/>
        <v>1570.3784950777617</v>
      </c>
      <c r="BF145" s="5">
        <f t="shared" si="44"/>
        <v>186.70622671397498</v>
      </c>
      <c r="BG145">
        <f t="shared" si="45"/>
        <v>1434.7544859656693</v>
      </c>
      <c r="BI145" s="5">
        <f t="shared" si="46"/>
        <v>189.66288689758281</v>
      </c>
      <c r="BJ145">
        <f t="shared" si="47"/>
        <v>1433.571877929694</v>
      </c>
      <c r="BL145" s="5">
        <f t="shared" si="48"/>
        <v>191.9896005560351</v>
      </c>
      <c r="BM145">
        <f t="shared" si="49"/>
        <v>1467.7922486065142</v>
      </c>
    </row>
    <row r="146" spans="1:65" x14ac:dyDescent="0.25">
      <c r="A146">
        <v>137</v>
      </c>
      <c r="B146" s="17">
        <f t="shared" si="38"/>
        <v>190.80884586133752</v>
      </c>
      <c r="C146" s="17">
        <f t="shared" si="39"/>
        <v>224.86721668785017</v>
      </c>
      <c r="D146" s="17">
        <f t="shared" si="40"/>
        <v>191.86322915209394</v>
      </c>
      <c r="G146" s="1">
        <v>137</v>
      </c>
      <c r="H146" s="17">
        <v>47.368000673661953</v>
      </c>
      <c r="I146" s="17">
        <v>50.558410105865732</v>
      </c>
      <c r="J146" s="17">
        <v>48.681762956271363</v>
      </c>
      <c r="M146" s="17">
        <v>208.40540764152351</v>
      </c>
      <c r="N146" s="17">
        <v>6.3685302694579704</v>
      </c>
      <c r="O146" s="17">
        <v>6.6060598934084389</v>
      </c>
      <c r="P146" s="17">
        <v>5.6894915662183472</v>
      </c>
      <c r="S146" s="5">
        <f t="shared" si="41"/>
        <v>188.14414422236888</v>
      </c>
      <c r="T146" s="17"/>
      <c r="U146" s="5">
        <f t="shared" si="42"/>
        <v>191.09848794696524</v>
      </c>
      <c r="W146" s="5">
        <f t="shared" si="43"/>
        <v>193.45770413760192</v>
      </c>
      <c r="Y146">
        <f t="shared" si="50"/>
        <v>137</v>
      </c>
      <c r="Z146" s="3">
        <f t="shared" si="51"/>
        <v>1573.1653776181247</v>
      </c>
      <c r="AA146" s="3">
        <f t="shared" si="52"/>
        <v>1437.9175083938946</v>
      </c>
      <c r="AB146" s="3">
        <f t="shared" si="53"/>
        <v>1435.6010493824272</v>
      </c>
      <c r="AC146" s="3">
        <f t="shared" si="54"/>
        <v>1468.1035815668224</v>
      </c>
      <c r="BC146" s="17">
        <f t="shared" si="55"/>
        <v>190.80884586133752</v>
      </c>
      <c r="BD146" s="3">
        <f t="shared" si="56"/>
        <v>1573.1653776181247</v>
      </c>
      <c r="BF146" s="5">
        <f t="shared" si="44"/>
        <v>188.14414422236888</v>
      </c>
      <c r="BG146">
        <f t="shared" si="45"/>
        <v>1437.9175083938946</v>
      </c>
      <c r="BI146" s="5">
        <f t="shared" si="46"/>
        <v>191.09848794696524</v>
      </c>
      <c r="BJ146">
        <f t="shared" si="47"/>
        <v>1435.6010493824272</v>
      </c>
      <c r="BL146" s="5">
        <f t="shared" si="48"/>
        <v>193.45770413760192</v>
      </c>
      <c r="BM146">
        <f t="shared" si="49"/>
        <v>1468.1035815668224</v>
      </c>
    </row>
    <row r="147" spans="1:65" x14ac:dyDescent="0.25">
      <c r="A147">
        <v>138</v>
      </c>
      <c r="B147" s="17">
        <f t="shared" si="38"/>
        <v>192.38471114696512</v>
      </c>
      <c r="C147" s="17">
        <f t="shared" si="39"/>
        <v>226.69320680870248</v>
      </c>
      <c r="D147" s="17">
        <f t="shared" si="40"/>
        <v>193.427624827329</v>
      </c>
      <c r="G147" s="1">
        <v>138</v>
      </c>
      <c r="H147" s="17">
        <v>47.38573587416063</v>
      </c>
      <c r="I147" s="17">
        <v>50.58318479276533</v>
      </c>
      <c r="J147" s="17">
        <v>48.700832058450047</v>
      </c>
      <c r="M147" s="17">
        <v>209.5581396965938</v>
      </c>
      <c r="N147" s="17">
        <v>6.3935114641263251</v>
      </c>
      <c r="O147" s="17">
        <v>6.6313137065443204</v>
      </c>
      <c r="P147" s="17">
        <v>5.7125003598915089</v>
      </c>
      <c r="S147" s="5">
        <f t="shared" si="41"/>
        <v>189.58517651707618</v>
      </c>
      <c r="T147" s="17"/>
      <c r="U147" s="5">
        <f t="shared" si="42"/>
        <v>192.53608404809111</v>
      </c>
      <c r="W147" s="5">
        <f t="shared" si="43"/>
        <v>194.92610289806035</v>
      </c>
      <c r="Y147">
        <f t="shared" si="50"/>
        <v>138</v>
      </c>
      <c r="Z147" s="3">
        <f t="shared" si="51"/>
        <v>1575.8652856276001</v>
      </c>
      <c r="AA147" s="3">
        <f t="shared" si="52"/>
        <v>1441.0322947072984</v>
      </c>
      <c r="AB147" s="3">
        <f t="shared" si="53"/>
        <v>1437.5961011258767</v>
      </c>
      <c r="AC147" s="3">
        <f t="shared" si="54"/>
        <v>1468.3987604584274</v>
      </c>
      <c r="BC147" s="17">
        <f t="shared" si="55"/>
        <v>192.38471114696512</v>
      </c>
      <c r="BD147" s="3">
        <f t="shared" si="56"/>
        <v>1575.8652856276001</v>
      </c>
      <c r="BF147" s="5">
        <f t="shared" si="44"/>
        <v>189.58517651707618</v>
      </c>
      <c r="BG147">
        <f t="shared" si="45"/>
        <v>1441.0322947072984</v>
      </c>
      <c r="BI147" s="5">
        <f t="shared" si="46"/>
        <v>192.53608404809111</v>
      </c>
      <c r="BJ147">
        <f t="shared" si="47"/>
        <v>1437.5961011258767</v>
      </c>
      <c r="BL147" s="5">
        <f t="shared" si="48"/>
        <v>194.92610289806035</v>
      </c>
      <c r="BM147">
        <f t="shared" si="49"/>
        <v>1468.3987604584274</v>
      </c>
    </row>
    <row r="148" spans="1:65" x14ac:dyDescent="0.25">
      <c r="A148">
        <v>139</v>
      </c>
      <c r="B148" s="17">
        <f t="shared" si="38"/>
        <v>193.963189900419</v>
      </c>
      <c r="C148" s="17">
        <f t="shared" si="39"/>
        <v>228.521458013612</v>
      </c>
      <c r="D148" s="17">
        <f t="shared" si="40"/>
        <v>194.9939774380853</v>
      </c>
      <c r="G148" s="1">
        <v>139</v>
      </c>
      <c r="H148" s="17">
        <v>47.403463573826841</v>
      </c>
      <c r="I148" s="17">
        <v>50.608066337874227</v>
      </c>
      <c r="J148" s="17">
        <v>48.719937904338067</v>
      </c>
      <c r="M148" s="17">
        <v>210.71087175166409</v>
      </c>
      <c r="N148" s="17">
        <v>6.418083424108886</v>
      </c>
      <c r="O148" s="17">
        <v>6.6562141798602532</v>
      </c>
      <c r="P148" s="17">
        <v>5.7354341370497366</v>
      </c>
      <c r="S148" s="5">
        <f t="shared" si="41"/>
        <v>191.029275361982</v>
      </c>
      <c r="T148" s="17"/>
      <c r="U148" s="5">
        <f t="shared" si="42"/>
        <v>193.97564108125121</v>
      </c>
      <c r="W148" s="5">
        <f t="shared" si="43"/>
        <v>196.39478068334171</v>
      </c>
      <c r="Y148">
        <f t="shared" si="50"/>
        <v>139</v>
      </c>
      <c r="Z148" s="3">
        <f t="shared" si="51"/>
        <v>1578.4787534538793</v>
      </c>
      <c r="AA148" s="3">
        <f t="shared" si="52"/>
        <v>1444.0988449058239</v>
      </c>
      <c r="AB148" s="3">
        <f t="shared" si="53"/>
        <v>1439.5570331600993</v>
      </c>
      <c r="AC148" s="3">
        <f t="shared" si="54"/>
        <v>1468.6777852813577</v>
      </c>
      <c r="BC148" s="17">
        <f t="shared" si="55"/>
        <v>193.963189900419</v>
      </c>
      <c r="BD148" s="3">
        <f t="shared" si="56"/>
        <v>1578.4787534538793</v>
      </c>
      <c r="BF148" s="5">
        <f t="shared" si="44"/>
        <v>191.029275361982</v>
      </c>
      <c r="BG148">
        <f t="shared" si="45"/>
        <v>1444.0988449058239</v>
      </c>
      <c r="BI148" s="5">
        <f t="shared" si="46"/>
        <v>193.97564108125121</v>
      </c>
      <c r="BJ148">
        <f t="shared" si="47"/>
        <v>1439.5570331600993</v>
      </c>
      <c r="BL148" s="5">
        <f t="shared" si="48"/>
        <v>196.39478068334171</v>
      </c>
      <c r="BM148">
        <f t="shared" si="49"/>
        <v>1468.6777852813577</v>
      </c>
    </row>
    <row r="149" spans="1:65" x14ac:dyDescent="0.25">
      <c r="A149">
        <v>140</v>
      </c>
      <c r="B149" s="17">
        <f t="shared" si="38"/>
        <v>195.54419621586302</v>
      </c>
      <c r="C149" s="17">
        <f t="shared" si="39"/>
        <v>230.35187758246124</v>
      </c>
      <c r="D149" s="17">
        <f t="shared" si="40"/>
        <v>196.56219798721909</v>
      </c>
      <c r="G149" s="1">
        <v>140</v>
      </c>
      <c r="H149" s="17">
        <v>47.421185349963942</v>
      </c>
      <c r="I149" s="17">
        <v>50.633054171762289</v>
      </c>
      <c r="J149" s="17">
        <v>48.73908069344818</v>
      </c>
      <c r="M149" s="17">
        <v>211.8636038067344</v>
      </c>
      <c r="N149" s="17">
        <v>6.4422421802701804</v>
      </c>
      <c r="O149" s="17">
        <v>6.6807577547134596</v>
      </c>
      <c r="P149" s="17">
        <v>5.7582942070378778</v>
      </c>
      <c r="S149" s="5">
        <f t="shared" si="41"/>
        <v>192.47639252097161</v>
      </c>
      <c r="T149" s="17"/>
      <c r="U149" s="5">
        <f t="shared" si="42"/>
        <v>195.41712492673614</v>
      </c>
      <c r="W149" s="5">
        <f t="shared" si="43"/>
        <v>197.86372133937735</v>
      </c>
      <c r="Y149">
        <f t="shared" si="50"/>
        <v>140</v>
      </c>
      <c r="Z149" s="3">
        <f t="shared" si="51"/>
        <v>1581.0063154440286</v>
      </c>
      <c r="AA149" s="3">
        <f t="shared" si="52"/>
        <v>1447.117158989613</v>
      </c>
      <c r="AB149" s="3">
        <f t="shared" si="53"/>
        <v>1441.4838454849246</v>
      </c>
      <c r="AC149" s="3">
        <f t="shared" si="54"/>
        <v>1468.9406560356417</v>
      </c>
      <c r="BC149" s="17">
        <f t="shared" si="55"/>
        <v>195.54419621586302</v>
      </c>
      <c r="BD149" s="3">
        <f t="shared" si="56"/>
        <v>1581.0063154440286</v>
      </c>
      <c r="BF149" s="5">
        <f t="shared" si="44"/>
        <v>192.47639252097161</v>
      </c>
      <c r="BG149">
        <f t="shared" si="45"/>
        <v>1447.117158989613</v>
      </c>
      <c r="BI149" s="5">
        <f t="shared" si="46"/>
        <v>195.41712492673614</v>
      </c>
      <c r="BJ149">
        <f t="shared" si="47"/>
        <v>1441.4838454849246</v>
      </c>
      <c r="BL149" s="5">
        <f t="shared" si="48"/>
        <v>197.86372133937735</v>
      </c>
      <c r="BM149">
        <f t="shared" si="49"/>
        <v>1468.9406560356417</v>
      </c>
    </row>
    <row r="150" spans="1:65" x14ac:dyDescent="0.25">
      <c r="A150">
        <v>141</v>
      </c>
      <c r="B150" s="17">
        <f t="shared" si="38"/>
        <v>197.12764472180874</v>
      </c>
      <c r="C150" s="17">
        <f t="shared" si="39"/>
        <v>232.18437341606955</v>
      </c>
      <c r="D150" s="17">
        <f t="shared" si="40"/>
        <v>198.1321980626071</v>
      </c>
      <c r="G150" s="1">
        <v>141</v>
      </c>
      <c r="H150" s="17">
        <v>47.438902779875278</v>
      </c>
      <c r="I150" s="17">
        <v>50.658147724999317</v>
      </c>
      <c r="J150" s="17">
        <v>48.758260625293211</v>
      </c>
      <c r="M150" s="17">
        <v>213.01633586180469</v>
      </c>
      <c r="N150" s="17">
        <v>6.4659904890688331</v>
      </c>
      <c r="O150" s="17">
        <v>6.7049408724611661</v>
      </c>
      <c r="P150" s="17">
        <v>5.7810818792007819</v>
      </c>
      <c r="S150" s="5">
        <f t="shared" si="41"/>
        <v>193.92647975793005</v>
      </c>
      <c r="T150" s="17"/>
      <c r="U150" s="5">
        <f t="shared" si="42"/>
        <v>196.86050146483672</v>
      </c>
      <c r="W150" s="5">
        <f t="shared" si="43"/>
        <v>199.33290871209852</v>
      </c>
      <c r="Y150">
        <f t="shared" si="50"/>
        <v>141</v>
      </c>
      <c r="Z150" s="3">
        <f t="shared" si="51"/>
        <v>1583.4485059457108</v>
      </c>
      <c r="AA150" s="3">
        <f t="shared" si="52"/>
        <v>1450.0872369584386</v>
      </c>
      <c r="AB150" s="3">
        <f t="shared" si="53"/>
        <v>1443.3765381005799</v>
      </c>
      <c r="AC150" s="3">
        <f t="shared" si="54"/>
        <v>1469.1873727211657</v>
      </c>
      <c r="BC150" s="17">
        <f t="shared" si="55"/>
        <v>197.12764472180874</v>
      </c>
      <c r="BD150" s="3">
        <f t="shared" si="56"/>
        <v>1583.4485059457108</v>
      </c>
      <c r="BF150" s="5">
        <f t="shared" si="44"/>
        <v>193.92647975793005</v>
      </c>
      <c r="BG150">
        <f t="shared" si="45"/>
        <v>1450.0872369584386</v>
      </c>
      <c r="BI150" s="5">
        <f t="shared" si="46"/>
        <v>196.86050146483672</v>
      </c>
      <c r="BJ150">
        <f t="shared" si="47"/>
        <v>1443.3765381005799</v>
      </c>
      <c r="BL150" s="5">
        <f t="shared" si="48"/>
        <v>199.33290871209852</v>
      </c>
      <c r="BM150">
        <f t="shared" si="49"/>
        <v>1469.1873727211657</v>
      </c>
    </row>
    <row r="151" spans="1:65" x14ac:dyDescent="0.25">
      <c r="A151">
        <v>142</v>
      </c>
      <c r="B151" s="17">
        <f t="shared" si="38"/>
        <v>198.71345058111498</v>
      </c>
      <c r="C151" s="17">
        <f t="shared" si="39"/>
        <v>234.01885403619278</v>
      </c>
      <c r="D151" s="17">
        <f t="shared" si="40"/>
        <v>199.70388983714685</v>
      </c>
      <c r="G151" s="1">
        <v>142</v>
      </c>
      <c r="H151" s="17">
        <v>47.456617440864221</v>
      </c>
      <c r="I151" s="17">
        <v>50.683346428155183</v>
      </c>
      <c r="J151" s="17">
        <v>48.777477899385957</v>
      </c>
      <c r="M151" s="17">
        <v>214.16906791687501</v>
      </c>
      <c r="N151" s="17">
        <v>6.4893332331738067</v>
      </c>
      <c r="O151" s="17">
        <v>6.7287599744605942</v>
      </c>
      <c r="P151" s="17">
        <v>5.8037984628832966</v>
      </c>
      <c r="S151" s="5">
        <f t="shared" si="41"/>
        <v>195.37948883674261</v>
      </c>
      <c r="T151" s="17"/>
      <c r="U151" s="5">
        <f t="shared" si="42"/>
        <v>198.30573657584355</v>
      </c>
      <c r="W151" s="5">
        <f t="shared" si="43"/>
        <v>200.8023266474365</v>
      </c>
      <c r="Y151">
        <f t="shared" si="50"/>
        <v>142</v>
      </c>
      <c r="Z151" s="3">
        <f t="shared" si="51"/>
        <v>1585.8058593062481</v>
      </c>
      <c r="AA151" s="3">
        <f t="shared" si="52"/>
        <v>1453.0090788125563</v>
      </c>
      <c r="AB151" s="3">
        <f t="shared" si="53"/>
        <v>1445.2351110068378</v>
      </c>
      <c r="AC151" s="3">
        <f t="shared" si="54"/>
        <v>1469.4179353379866</v>
      </c>
      <c r="BC151" s="17">
        <f t="shared" si="55"/>
        <v>198.71345058111498</v>
      </c>
      <c r="BD151" s="3">
        <f t="shared" si="56"/>
        <v>1585.8058593062481</v>
      </c>
      <c r="BF151" s="5">
        <f t="shared" si="44"/>
        <v>195.37948883674261</v>
      </c>
      <c r="BG151">
        <f t="shared" si="45"/>
        <v>1453.0090788125563</v>
      </c>
      <c r="BI151" s="5">
        <f t="shared" si="46"/>
        <v>198.30573657584355</v>
      </c>
      <c r="BJ151">
        <f t="shared" si="47"/>
        <v>1445.2351110068378</v>
      </c>
      <c r="BL151" s="5">
        <f t="shared" si="48"/>
        <v>200.8023266474365</v>
      </c>
      <c r="BM151">
        <f t="shared" si="49"/>
        <v>1469.4179353379866</v>
      </c>
    </row>
    <row r="152" spans="1:65" x14ac:dyDescent="0.25">
      <c r="A152">
        <v>143</v>
      </c>
      <c r="B152" s="17">
        <f t="shared" si="38"/>
        <v>200.30152949098812</v>
      </c>
      <c r="C152" s="17">
        <f t="shared" si="39"/>
        <v>235.85522858552343</v>
      </c>
      <c r="D152" s="17">
        <f t="shared" si="40"/>
        <v>201.27718606875629</v>
      </c>
      <c r="G152" s="1">
        <v>143</v>
      </c>
      <c r="H152" s="17">
        <v>47.474330910234137</v>
      </c>
      <c r="I152" s="17">
        <v>50.70864971179968</v>
      </c>
      <c r="J152" s="17">
        <v>48.796732715239237</v>
      </c>
      <c r="M152" s="17">
        <v>215.3217999719453</v>
      </c>
      <c r="N152" s="17">
        <v>6.5122752960814072</v>
      </c>
      <c r="O152" s="17">
        <v>6.7522115020689686</v>
      </c>
      <c r="P152" s="17">
        <v>5.8264452674302687</v>
      </c>
      <c r="S152" s="5">
        <f t="shared" si="41"/>
        <v>196.83537152129435</v>
      </c>
      <c r="T152" s="17"/>
      <c r="U152" s="5">
        <f t="shared" si="42"/>
        <v>199.75279614004742</v>
      </c>
      <c r="W152" s="5">
        <f t="shared" si="43"/>
        <v>202.27195899132263</v>
      </c>
      <c r="Y152">
        <f t="shared" si="50"/>
        <v>143</v>
      </c>
      <c r="Z152" s="3">
        <f t="shared" si="51"/>
        <v>1588.0789098731327</v>
      </c>
      <c r="AA152" s="3">
        <f t="shared" si="52"/>
        <v>1455.8826845517387</v>
      </c>
      <c r="AB152" s="3">
        <f t="shared" si="53"/>
        <v>1447.0595642038688</v>
      </c>
      <c r="AC152" s="3">
        <f t="shared" si="54"/>
        <v>1469.6323438861327</v>
      </c>
      <c r="BC152" s="17">
        <f t="shared" si="55"/>
        <v>200.30152949098812</v>
      </c>
      <c r="BD152" s="3">
        <f t="shared" si="56"/>
        <v>1588.0789098731327</v>
      </c>
      <c r="BF152" s="5">
        <f t="shared" si="44"/>
        <v>196.83537152129435</v>
      </c>
      <c r="BG152">
        <f t="shared" si="45"/>
        <v>1455.8826845517387</v>
      </c>
      <c r="BI152" s="5">
        <f t="shared" si="46"/>
        <v>199.75279614004742</v>
      </c>
      <c r="BJ152">
        <f t="shared" si="47"/>
        <v>1447.0595642038688</v>
      </c>
      <c r="BL152" s="5">
        <f t="shared" si="48"/>
        <v>202.27195899132263</v>
      </c>
      <c r="BM152">
        <f t="shared" si="49"/>
        <v>1469.6323438861327</v>
      </c>
    </row>
    <row r="153" spans="1:65" x14ac:dyDescent="0.25">
      <c r="A153">
        <v>144</v>
      </c>
      <c r="B153" s="17">
        <f t="shared" si="38"/>
        <v>201.8917976829818</v>
      </c>
      <c r="C153" s="17">
        <f t="shared" si="39"/>
        <v>237.69340682769072</v>
      </c>
      <c r="D153" s="17">
        <f t="shared" si="40"/>
        <v>202.85200010037408</v>
      </c>
      <c r="G153" s="1">
        <v>144</v>
      </c>
      <c r="H153" s="17">
        <v>47.492044765288377</v>
      </c>
      <c r="I153" s="17">
        <v>50.734057006502681</v>
      </c>
      <c r="J153" s="17">
        <v>48.816025272365842</v>
      </c>
      <c r="M153" s="17">
        <v>216.47453202701561</v>
      </c>
      <c r="N153" s="17">
        <v>6.5348215612879406</v>
      </c>
      <c r="O153" s="17">
        <v>6.7752922822950987</v>
      </c>
      <c r="P153" s="17">
        <v>5.8490236021865467</v>
      </c>
      <c r="S153" s="5">
        <f t="shared" si="41"/>
        <v>198.29407957547051</v>
      </c>
      <c r="T153" s="17"/>
      <c r="U153" s="5">
        <f t="shared" si="42"/>
        <v>201.20164603773898</v>
      </c>
      <c r="W153" s="5">
        <f t="shared" si="43"/>
        <v>203.74178958968824</v>
      </c>
      <c r="Y153">
        <f t="shared" si="50"/>
        <v>144</v>
      </c>
      <c r="Z153" s="3">
        <f t="shared" si="51"/>
        <v>1590.2681919936867</v>
      </c>
      <c r="AA153" s="3">
        <f t="shared" si="52"/>
        <v>1458.7080541761566</v>
      </c>
      <c r="AB153" s="3">
        <f t="shared" si="53"/>
        <v>1448.8498976915594</v>
      </c>
      <c r="AC153" s="3">
        <f t="shared" si="54"/>
        <v>1469.8305983656041</v>
      </c>
      <c r="BC153" s="17">
        <f t="shared" si="55"/>
        <v>201.8917976829818</v>
      </c>
      <c r="BD153" s="3">
        <f t="shared" si="56"/>
        <v>1590.2681919936867</v>
      </c>
      <c r="BF153" s="5">
        <f t="shared" si="44"/>
        <v>198.29407957547051</v>
      </c>
      <c r="BG153">
        <f t="shared" si="45"/>
        <v>1458.7080541761566</v>
      </c>
      <c r="BI153" s="5">
        <f t="shared" si="46"/>
        <v>201.20164603773898</v>
      </c>
      <c r="BJ153">
        <f t="shared" si="47"/>
        <v>1448.8498976915594</v>
      </c>
      <c r="BL153" s="5">
        <f t="shared" si="48"/>
        <v>203.74178958968824</v>
      </c>
      <c r="BM153">
        <f t="shared" si="49"/>
        <v>1469.8305983656041</v>
      </c>
    </row>
    <row r="154" spans="1:65" x14ac:dyDescent="0.25">
      <c r="A154">
        <v>145</v>
      </c>
      <c r="B154" s="17">
        <f t="shared" si="38"/>
        <v>203.48417192299715</v>
      </c>
      <c r="C154" s="17">
        <f t="shared" si="39"/>
        <v>239.53329914726024</v>
      </c>
      <c r="D154" s="17">
        <f t="shared" si="40"/>
        <v>204.42824585995947</v>
      </c>
      <c r="G154" s="1">
        <v>145</v>
      </c>
      <c r="H154" s="17">
        <v>47.509760583330319</v>
      </c>
      <c r="I154" s="17">
        <v>50.759567742834008</v>
      </c>
      <c r="J154" s="17">
        <v>48.835355770278582</v>
      </c>
      <c r="M154" s="17">
        <v>217.62726408208599</v>
      </c>
      <c r="N154" s="17">
        <v>6.5569769122897128</v>
      </c>
      <c r="O154" s="17">
        <v>6.7980036632548888</v>
      </c>
      <c r="P154" s="17">
        <v>5.8715347764969801</v>
      </c>
      <c r="S154" s="5">
        <f t="shared" si="41"/>
        <v>199.7555647631562</v>
      </c>
      <c r="T154" s="17"/>
      <c r="U154" s="5">
        <f t="shared" si="42"/>
        <v>202.65225214920903</v>
      </c>
      <c r="W154" s="5">
        <f t="shared" si="43"/>
        <v>205.21180228846455</v>
      </c>
      <c r="Y154">
        <f t="shared" si="50"/>
        <v>145</v>
      </c>
      <c r="Z154" s="3">
        <f t="shared" si="51"/>
        <v>1592.3742400153458</v>
      </c>
      <c r="AA154" s="3">
        <f t="shared" si="52"/>
        <v>1461.485187685696</v>
      </c>
      <c r="AB154" s="3">
        <f t="shared" si="53"/>
        <v>1450.6061114700515</v>
      </c>
      <c r="AC154" s="3">
        <f t="shared" si="54"/>
        <v>1470.0126987763156</v>
      </c>
      <c r="BC154" s="17">
        <f t="shared" si="55"/>
        <v>203.48417192299715</v>
      </c>
      <c r="BD154" s="3">
        <f t="shared" si="56"/>
        <v>1592.3742400153458</v>
      </c>
      <c r="BF154" s="5">
        <f t="shared" si="44"/>
        <v>199.7555647631562</v>
      </c>
      <c r="BG154">
        <f t="shared" si="45"/>
        <v>1461.485187685696</v>
      </c>
      <c r="BI154" s="5">
        <f t="shared" si="46"/>
        <v>202.65225214920903</v>
      </c>
      <c r="BJ154">
        <f t="shared" si="47"/>
        <v>1450.6061114700515</v>
      </c>
      <c r="BL154" s="5">
        <f t="shared" si="48"/>
        <v>205.21180228846455</v>
      </c>
      <c r="BM154">
        <f t="shared" si="49"/>
        <v>1470.0126987763156</v>
      </c>
    </row>
    <row r="155" spans="1:65" x14ac:dyDescent="0.25">
      <c r="A155">
        <v>146</v>
      </c>
      <c r="B155" s="17">
        <f t="shared" si="38"/>
        <v>205.07856951128284</v>
      </c>
      <c r="C155" s="17">
        <f t="shared" si="39"/>
        <v>241.37481654973445</v>
      </c>
      <c r="D155" s="17">
        <f t="shared" si="40"/>
        <v>206.00583786049233</v>
      </c>
      <c r="G155" s="1">
        <v>146</v>
      </c>
      <c r="H155" s="17">
        <v>47.527479941663287</v>
      </c>
      <c r="I155" s="17">
        <v>50.785181351363498</v>
      </c>
      <c r="J155" s="17">
        <v>48.854724408490263</v>
      </c>
      <c r="M155" s="17">
        <v>218.7799961371563</v>
      </c>
      <c r="N155" s="17">
        <v>6.5787462325830282</v>
      </c>
      <c r="O155" s="17">
        <v>6.8203499280089117</v>
      </c>
      <c r="P155" s="17">
        <v>5.8939800997064147</v>
      </c>
      <c r="S155" s="5">
        <f t="shared" si="41"/>
        <v>201.21977884823664</v>
      </c>
      <c r="T155" s="17"/>
      <c r="U155" s="5">
        <f t="shared" si="42"/>
        <v>204.10458035474818</v>
      </c>
      <c r="W155" s="5">
        <f t="shared" si="43"/>
        <v>206.68198093358293</v>
      </c>
      <c r="Y155">
        <f t="shared" si="50"/>
        <v>146</v>
      </c>
      <c r="Z155" s="3">
        <f t="shared" si="51"/>
        <v>1594.3975882856876</v>
      </c>
      <c r="AA155" s="3">
        <f t="shared" si="52"/>
        <v>1464.2140850804424</v>
      </c>
      <c r="AB155" s="3">
        <f t="shared" si="53"/>
        <v>1452.3282055391462</v>
      </c>
      <c r="AC155" s="3">
        <f t="shared" si="54"/>
        <v>1470.1786451183807</v>
      </c>
      <c r="BC155" s="17">
        <f t="shared" si="55"/>
        <v>205.07856951128284</v>
      </c>
      <c r="BD155" s="3">
        <f t="shared" si="56"/>
        <v>1594.3975882856876</v>
      </c>
      <c r="BF155" s="5">
        <f t="shared" si="44"/>
        <v>201.21977884823664</v>
      </c>
      <c r="BG155">
        <f t="shared" si="45"/>
        <v>1464.2140850804424</v>
      </c>
      <c r="BI155" s="5">
        <f t="shared" si="46"/>
        <v>204.10458035474818</v>
      </c>
      <c r="BJ155">
        <f t="shared" si="47"/>
        <v>1452.3282055391462</v>
      </c>
      <c r="BL155" s="5">
        <f t="shared" si="48"/>
        <v>206.68198093358293</v>
      </c>
      <c r="BM155">
        <f t="shared" si="49"/>
        <v>1470.1786451183807</v>
      </c>
    </row>
    <row r="156" spans="1:65" x14ac:dyDescent="0.25">
      <c r="A156">
        <v>147</v>
      </c>
      <c r="B156" s="17">
        <f t="shared" si="38"/>
        <v>206.67490828243476</v>
      </c>
      <c r="C156" s="17">
        <f t="shared" si="39"/>
        <v>243.21787066155233</v>
      </c>
      <c r="D156" s="17">
        <f t="shared" si="40"/>
        <v>207.58469119997307</v>
      </c>
      <c r="G156" s="1">
        <v>147</v>
      </c>
      <c r="H156" s="17">
        <v>47.545204417590689</v>
      </c>
      <c r="I156" s="17">
        <v>50.810897262660987</v>
      </c>
      <c r="J156" s="17">
        <v>48.874131386513682</v>
      </c>
      <c r="M156" s="17">
        <v>219.93272819222659</v>
      </c>
      <c r="N156" s="17">
        <v>6.6001344056641944</v>
      </c>
      <c r="O156" s="17">
        <v>6.8423354093532014</v>
      </c>
      <c r="P156" s="17">
        <v>5.9163608811596999</v>
      </c>
      <c r="S156" s="5">
        <f t="shared" si="41"/>
        <v>202.68667359459695</v>
      </c>
      <c r="T156" s="17"/>
      <c r="U156" s="5">
        <f t="shared" si="42"/>
        <v>205.55859653464714</v>
      </c>
      <c r="W156" s="5">
        <f t="shared" si="43"/>
        <v>208.15230937097471</v>
      </c>
      <c r="Y156">
        <f t="shared" si="50"/>
        <v>147</v>
      </c>
      <c r="Z156" s="3">
        <f t="shared" si="51"/>
        <v>1596.3387711519204</v>
      </c>
      <c r="AA156" s="3">
        <f t="shared" si="52"/>
        <v>1466.8947463603104</v>
      </c>
      <c r="AB156" s="3">
        <f t="shared" si="53"/>
        <v>1454.0161798989573</v>
      </c>
      <c r="AC156" s="3">
        <f t="shared" si="54"/>
        <v>1470.3284373917711</v>
      </c>
      <c r="BC156" s="17">
        <f t="shared" si="55"/>
        <v>206.67490828243476</v>
      </c>
      <c r="BD156" s="3">
        <f t="shared" si="56"/>
        <v>1596.3387711519204</v>
      </c>
      <c r="BF156" s="5">
        <f t="shared" si="44"/>
        <v>202.68667359459695</v>
      </c>
      <c r="BG156">
        <f t="shared" si="45"/>
        <v>1466.8947463603104</v>
      </c>
      <c r="BI156" s="5">
        <f t="shared" si="46"/>
        <v>205.55859653464714</v>
      </c>
      <c r="BJ156">
        <f t="shared" si="47"/>
        <v>1454.0161798989573</v>
      </c>
      <c r="BL156" s="5">
        <f t="shared" si="48"/>
        <v>208.15230937097471</v>
      </c>
      <c r="BM156">
        <f t="shared" si="49"/>
        <v>1470.3284373917711</v>
      </c>
    </row>
    <row r="157" spans="1:65" x14ac:dyDescent="0.25">
      <c r="A157">
        <v>148</v>
      </c>
      <c r="B157" s="17">
        <f t="shared" si="38"/>
        <v>208.27310660539641</v>
      </c>
      <c r="C157" s="17">
        <f t="shared" si="39"/>
        <v>245.06237373008938</v>
      </c>
      <c r="D157" s="17">
        <f t="shared" si="40"/>
        <v>209.1647215614226</v>
      </c>
      <c r="G157" s="1">
        <v>148</v>
      </c>
      <c r="H157" s="17">
        <v>47.562935588415847</v>
      </c>
      <c r="I157" s="17">
        <v>50.836714907296319</v>
      </c>
      <c r="J157" s="17">
        <v>48.893576903861643</v>
      </c>
      <c r="M157" s="17">
        <v>221.08546024729691</v>
      </c>
      <c r="N157" s="17">
        <v>6.6211463150295158</v>
      </c>
      <c r="O157" s="17">
        <v>6.8639644400837954</v>
      </c>
      <c r="P157" s="17">
        <v>5.9386784302016817</v>
      </c>
      <c r="S157" s="5">
        <f t="shared" si="41"/>
        <v>204.15620076612237</v>
      </c>
      <c r="T157" s="17"/>
      <c r="U157" s="5">
        <f t="shared" si="42"/>
        <v>207.01426656919674</v>
      </c>
      <c r="W157" s="5">
        <f t="shared" si="43"/>
        <v>209.62277144657111</v>
      </c>
      <c r="Y157">
        <f t="shared" si="50"/>
        <v>148</v>
      </c>
      <c r="Z157" s="3">
        <f t="shared" si="51"/>
        <v>1598.1983229616503</v>
      </c>
      <c r="AA157" s="3">
        <f t="shared" si="52"/>
        <v>1469.5271715254137</v>
      </c>
      <c r="AB157" s="3">
        <f t="shared" si="53"/>
        <v>1455.6700345495983</v>
      </c>
      <c r="AC157" s="3">
        <f t="shared" si="54"/>
        <v>1470.4620755964015</v>
      </c>
      <c r="BC157" s="17">
        <f t="shared" si="55"/>
        <v>208.27310660539641</v>
      </c>
      <c r="BD157" s="3">
        <f t="shared" si="56"/>
        <v>1598.1983229616503</v>
      </c>
      <c r="BF157" s="5">
        <f t="shared" si="44"/>
        <v>204.15620076612237</v>
      </c>
      <c r="BG157">
        <f t="shared" si="45"/>
        <v>1469.5271715254137</v>
      </c>
      <c r="BI157" s="5">
        <f t="shared" si="46"/>
        <v>207.01426656919674</v>
      </c>
      <c r="BJ157">
        <f t="shared" si="47"/>
        <v>1455.6700345495983</v>
      </c>
      <c r="BL157" s="5">
        <f t="shared" si="48"/>
        <v>209.62277144657111</v>
      </c>
      <c r="BM157">
        <f t="shared" si="49"/>
        <v>1470.4620755964015</v>
      </c>
    </row>
    <row r="158" spans="1:65" x14ac:dyDescent="0.25">
      <c r="A158">
        <v>149</v>
      </c>
      <c r="B158" s="17">
        <f t="shared" si="38"/>
        <v>209.87308338345852</v>
      </c>
      <c r="C158" s="17">
        <f t="shared" si="39"/>
        <v>246.90823862365772</v>
      </c>
      <c r="D158" s="17">
        <f t="shared" si="40"/>
        <v>210.74584521288278</v>
      </c>
      <c r="G158" s="1">
        <v>149</v>
      </c>
      <c r="H158" s="17">
        <v>47.580675031442127</v>
      </c>
      <c r="I158" s="17">
        <v>50.862633715839323</v>
      </c>
      <c r="J158" s="17">
        <v>48.913061160046958</v>
      </c>
      <c r="M158" s="17">
        <v>222.2381923023672</v>
      </c>
      <c r="N158" s="17">
        <v>6.6417868441752992</v>
      </c>
      <c r="O158" s="17">
        <v>6.8852413529967231</v>
      </c>
      <c r="P158" s="17">
        <v>5.9609340561772104</v>
      </c>
      <c r="S158" s="5">
        <f t="shared" si="41"/>
        <v>205.62831212669798</v>
      </c>
      <c r="T158" s="17"/>
      <c r="U158" s="5">
        <f t="shared" si="42"/>
        <v>208.47155633868755</v>
      </c>
      <c r="W158" s="5">
        <f t="shared" si="43"/>
        <v>211.09335100630352</v>
      </c>
      <c r="Y158">
        <f t="shared" si="50"/>
        <v>149</v>
      </c>
      <c r="Z158" s="3">
        <f t="shared" si="51"/>
        <v>1599.9767780621141</v>
      </c>
      <c r="AA158" s="3">
        <f t="shared" si="52"/>
        <v>1472.1113605756102</v>
      </c>
      <c r="AB158" s="3">
        <f t="shared" si="53"/>
        <v>1457.2897694908136</v>
      </c>
      <c r="AC158" s="3">
        <f t="shared" si="54"/>
        <v>1470.5795597324141</v>
      </c>
      <c r="BC158" s="17">
        <f t="shared" si="55"/>
        <v>209.87308338345852</v>
      </c>
      <c r="BD158" s="3">
        <f t="shared" si="56"/>
        <v>1599.9767780621141</v>
      </c>
      <c r="BF158" s="5">
        <f t="shared" si="44"/>
        <v>205.62831212669798</v>
      </c>
      <c r="BG158">
        <f t="shared" si="45"/>
        <v>1472.1113605756102</v>
      </c>
      <c r="BI158" s="5">
        <f t="shared" si="46"/>
        <v>208.47155633868755</v>
      </c>
      <c r="BJ158">
        <f t="shared" si="47"/>
        <v>1457.2897694908136</v>
      </c>
      <c r="BL158" s="5">
        <f t="shared" si="48"/>
        <v>211.09335100630352</v>
      </c>
      <c r="BM158">
        <f t="shared" si="49"/>
        <v>1470.5795597324141</v>
      </c>
    </row>
    <row r="159" spans="1:65" x14ac:dyDescent="0.25">
      <c r="A159">
        <v>150</v>
      </c>
      <c r="B159" s="17">
        <f t="shared" si="38"/>
        <v>211.47475805425935</v>
      </c>
      <c r="C159" s="17">
        <f t="shared" si="39"/>
        <v>248.75537883150631</v>
      </c>
      <c r="D159" s="17">
        <f t="shared" si="40"/>
        <v>212.32797900741573</v>
      </c>
      <c r="G159" s="1">
        <v>150</v>
      </c>
      <c r="H159" s="17">
        <v>47.598424323972907</v>
      </c>
      <c r="I159" s="17">
        <v>50.888653118859843</v>
      </c>
      <c r="J159" s="17">
        <v>48.932584354582438</v>
      </c>
      <c r="M159" s="17">
        <v>223.39092435743751</v>
      </c>
      <c r="N159" s="17">
        <v>6.6620608765978506</v>
      </c>
      <c r="O159" s="17">
        <v>6.906170480888024</v>
      </c>
      <c r="P159" s="17">
        <v>5.9831290684311318</v>
      </c>
      <c r="S159" s="5">
        <f t="shared" si="41"/>
        <v>207.10295944020896</v>
      </c>
      <c r="T159" s="17"/>
      <c r="U159" s="5">
        <f t="shared" si="42"/>
        <v>209.93043172341038</v>
      </c>
      <c r="W159" s="5">
        <f t="shared" si="43"/>
        <v>212.56403189610316</v>
      </c>
      <c r="Y159">
        <f t="shared" si="50"/>
        <v>150</v>
      </c>
      <c r="Z159" s="3">
        <f t="shared" si="51"/>
        <v>1601.6746708008327</v>
      </c>
      <c r="AA159" s="3">
        <f t="shared" si="52"/>
        <v>1474.6473135109852</v>
      </c>
      <c r="AB159" s="3">
        <f t="shared" si="53"/>
        <v>1458.8753847228304</v>
      </c>
      <c r="AC159" s="3">
        <f t="shared" si="54"/>
        <v>1470.6808897996382</v>
      </c>
      <c r="BC159" s="17">
        <f t="shared" si="55"/>
        <v>211.47475805425935</v>
      </c>
      <c r="BD159" s="3">
        <f t="shared" si="56"/>
        <v>1601.6746708008327</v>
      </c>
      <c r="BF159" s="5">
        <f t="shared" si="44"/>
        <v>207.10295944020896</v>
      </c>
      <c r="BG159">
        <f t="shared" si="45"/>
        <v>1474.6473135109852</v>
      </c>
      <c r="BI159" s="5">
        <f t="shared" si="46"/>
        <v>209.93043172341038</v>
      </c>
      <c r="BJ159">
        <f t="shared" si="47"/>
        <v>1458.8753847228304</v>
      </c>
      <c r="BL159" s="5">
        <f t="shared" si="48"/>
        <v>212.56403189610316</v>
      </c>
      <c r="BM159">
        <f t="shared" si="49"/>
        <v>1470.6808897996382</v>
      </c>
    </row>
    <row r="160" spans="1:65" x14ac:dyDescent="0.25">
      <c r="A160">
        <v>151</v>
      </c>
      <c r="B160" s="17">
        <f t="shared" si="38"/>
        <v>213.07805058978457</v>
      </c>
      <c r="C160" s="17">
        <f t="shared" si="39"/>
        <v>250.60370846382048</v>
      </c>
      <c r="D160" s="17">
        <f t="shared" si="40"/>
        <v>213.91104038310442</v>
      </c>
      <c r="G160" s="1">
        <v>151</v>
      </c>
      <c r="H160" s="17">
        <v>47.616185043311539</v>
      </c>
      <c r="I160" s="17">
        <v>50.914772546927701</v>
      </c>
      <c r="J160" s="17">
        <v>48.952146686980882</v>
      </c>
      <c r="M160" s="17">
        <v>224.5436564125078</v>
      </c>
      <c r="N160" s="17">
        <v>6.6819732957934752</v>
      </c>
      <c r="O160" s="17">
        <v>6.926756156553731</v>
      </c>
      <c r="P160" s="17">
        <v>6.0052647763082954</v>
      </c>
      <c r="S160" s="5">
        <f t="shared" si="41"/>
        <v>208.58009447054056</v>
      </c>
      <c r="T160" s="17"/>
      <c r="U160" s="5">
        <f t="shared" si="42"/>
        <v>211.39085860365583</v>
      </c>
      <c r="W160" s="5">
        <f t="shared" si="43"/>
        <v>214.03479796190143</v>
      </c>
      <c r="Y160">
        <f t="shared" si="50"/>
        <v>151</v>
      </c>
      <c r="Z160" s="3">
        <f t="shared" si="51"/>
        <v>1603.2925355252132</v>
      </c>
      <c r="AA160" s="3">
        <f t="shared" si="52"/>
        <v>1477.1350303315955</v>
      </c>
      <c r="AB160" s="3">
        <f t="shared" si="53"/>
        <v>1460.4268802454499</v>
      </c>
      <c r="AC160" s="3">
        <f t="shared" si="54"/>
        <v>1470.7660657982728</v>
      </c>
      <c r="BC160" s="17">
        <f t="shared" si="55"/>
        <v>213.07805058978457</v>
      </c>
      <c r="BD160" s="3">
        <f t="shared" si="56"/>
        <v>1603.2925355252132</v>
      </c>
      <c r="BF160" s="5">
        <f t="shared" si="44"/>
        <v>208.58009447054056</v>
      </c>
      <c r="BG160">
        <f t="shared" si="45"/>
        <v>1477.1350303315955</v>
      </c>
      <c r="BI160" s="5">
        <f t="shared" si="46"/>
        <v>211.39085860365583</v>
      </c>
      <c r="BJ160">
        <f t="shared" si="47"/>
        <v>1460.4268802454499</v>
      </c>
      <c r="BL160" s="5">
        <f t="shared" si="48"/>
        <v>214.03479796190143</v>
      </c>
      <c r="BM160">
        <f t="shared" si="49"/>
        <v>1470.7660657982728</v>
      </c>
    </row>
    <row r="161" spans="1:65" x14ac:dyDescent="0.25">
      <c r="A161">
        <v>152</v>
      </c>
      <c r="B161" s="17">
        <f t="shared" si="38"/>
        <v>214.68288149636732</v>
      </c>
      <c r="C161" s="17">
        <f t="shared" si="39"/>
        <v>252.4531422517222</v>
      </c>
      <c r="D161" s="17">
        <f t="shared" si="40"/>
        <v>215.49494736305232</v>
      </c>
      <c r="G161" s="1">
        <v>152</v>
      </c>
      <c r="H161" s="17">
        <v>47.633958766761367</v>
      </c>
      <c r="I161" s="17">
        <v>50.94099143061274</v>
      </c>
      <c r="J161" s="17">
        <v>48.971748356755093</v>
      </c>
      <c r="M161" s="17">
        <v>225.6963884675782</v>
      </c>
      <c r="N161" s="17">
        <v>6.7015289852584798</v>
      </c>
      <c r="O161" s="17">
        <v>6.9470027127898799</v>
      </c>
      <c r="P161" s="17">
        <v>6.027342489153547</v>
      </c>
      <c r="S161" s="5">
        <f t="shared" si="41"/>
        <v>210.05966898157786</v>
      </c>
      <c r="T161" s="17"/>
      <c r="U161" s="5">
        <f t="shared" si="42"/>
        <v>212.85280285971473</v>
      </c>
      <c r="W161" s="5">
        <f t="shared" si="43"/>
        <v>215.50563304962955</v>
      </c>
      <c r="Y161">
        <f t="shared" si="50"/>
        <v>152</v>
      </c>
      <c r="Z161" s="3">
        <f t="shared" si="51"/>
        <v>1604.8309065827482</v>
      </c>
      <c r="AA161" s="3">
        <f t="shared" si="52"/>
        <v>1479.5745110372991</v>
      </c>
      <c r="AB161" s="3">
        <f t="shared" si="53"/>
        <v>1461.9442560588993</v>
      </c>
      <c r="AC161" s="3">
        <f t="shared" si="54"/>
        <v>1470.8350877281191</v>
      </c>
      <c r="BC161" s="17">
        <f t="shared" si="55"/>
        <v>214.68288149636732</v>
      </c>
      <c r="BD161" s="3">
        <f t="shared" si="56"/>
        <v>1604.8309065827482</v>
      </c>
      <c r="BF161" s="5">
        <f t="shared" si="44"/>
        <v>210.05966898157786</v>
      </c>
      <c r="BG161">
        <f t="shared" si="45"/>
        <v>1479.5745110372991</v>
      </c>
      <c r="BI161" s="5">
        <f t="shared" si="46"/>
        <v>212.85280285971473</v>
      </c>
      <c r="BJ161">
        <f t="shared" si="47"/>
        <v>1461.9442560588993</v>
      </c>
      <c r="BL161" s="5">
        <f t="shared" si="48"/>
        <v>215.50563304962955</v>
      </c>
      <c r="BM161">
        <f t="shared" si="49"/>
        <v>1470.8350877281191</v>
      </c>
    </row>
    <row r="162" spans="1:65" x14ac:dyDescent="0.25">
      <c r="A162">
        <v>153</v>
      </c>
      <c r="B162" s="17">
        <f t="shared" si="38"/>
        <v>216.28917181468802</v>
      </c>
      <c r="C162" s="17">
        <f t="shared" si="39"/>
        <v>254.30359554727016</v>
      </c>
      <c r="D162" s="17">
        <f t="shared" si="40"/>
        <v>217.07961855538335</v>
      </c>
      <c r="G162" s="1">
        <v>153</v>
      </c>
      <c r="H162" s="17">
        <v>47.651747071625792</v>
      </c>
      <c r="I162" s="17">
        <v>50.967309200484813</v>
      </c>
      <c r="J162" s="17">
        <v>48.991389563417883</v>
      </c>
      <c r="M162" s="17">
        <v>226.84912052264841</v>
      </c>
      <c r="N162" s="17">
        <v>6.7207328284891688</v>
      </c>
      <c r="O162" s="17">
        <v>6.9669144823925047</v>
      </c>
      <c r="P162" s="17">
        <v>6.0493635163117379</v>
      </c>
      <c r="S162" s="5">
        <f t="shared" si="41"/>
        <v>211.5416347372061</v>
      </c>
      <c r="T162" s="17"/>
      <c r="U162" s="5">
        <f t="shared" si="42"/>
        <v>214.31623037187774</v>
      </c>
      <c r="W162" s="5">
        <f t="shared" si="43"/>
        <v>216.97652100521887</v>
      </c>
      <c r="Y162">
        <f t="shared" si="50"/>
        <v>153</v>
      </c>
      <c r="Z162" s="3">
        <f t="shared" si="51"/>
        <v>1606.2903183207027</v>
      </c>
      <c r="AA162" s="3">
        <f t="shared" si="52"/>
        <v>1481.965755628238</v>
      </c>
      <c r="AB162" s="3">
        <f t="shared" si="53"/>
        <v>1463.4275121630083</v>
      </c>
      <c r="AC162" s="3">
        <f t="shared" si="54"/>
        <v>1470.8879555893191</v>
      </c>
      <c r="BC162" s="17">
        <f t="shared" si="55"/>
        <v>216.28917181468802</v>
      </c>
      <c r="BD162" s="3">
        <f t="shared" si="56"/>
        <v>1606.2903183207027</v>
      </c>
      <c r="BF162" s="5">
        <f t="shared" si="44"/>
        <v>211.5416347372061</v>
      </c>
      <c r="BG162">
        <f t="shared" si="45"/>
        <v>1481.965755628238</v>
      </c>
      <c r="BI162" s="5">
        <f t="shared" si="46"/>
        <v>214.31623037187774</v>
      </c>
      <c r="BJ162">
        <f t="shared" si="47"/>
        <v>1463.4275121630083</v>
      </c>
      <c r="BL162" s="5">
        <f t="shared" si="48"/>
        <v>216.97652100521887</v>
      </c>
      <c r="BM162">
        <f t="shared" si="49"/>
        <v>1470.8879555893191</v>
      </c>
    </row>
    <row r="163" spans="1:65" x14ac:dyDescent="0.25">
      <c r="A163">
        <v>154</v>
      </c>
      <c r="B163" s="17">
        <f t="shared" si="38"/>
        <v>217.89684311977462</v>
      </c>
      <c r="C163" s="17">
        <f t="shared" si="39"/>
        <v>256.15498432345976</v>
      </c>
      <c r="D163" s="17">
        <f t="shared" si="40"/>
        <v>218.66497315324233</v>
      </c>
      <c r="G163" s="1">
        <v>154</v>
      </c>
      <c r="H163" s="17">
        <v>47.669551535208122</v>
      </c>
      <c r="I163" s="17">
        <v>50.993725287113733</v>
      </c>
      <c r="J163" s="17">
        <v>49.011070506482042</v>
      </c>
      <c r="M163" s="17">
        <v>228.00185257771881</v>
      </c>
      <c r="N163" s="17">
        <v>6.7395897089818488</v>
      </c>
      <c r="O163" s="17">
        <v>6.986495798157641</v>
      </c>
      <c r="P163" s="17">
        <v>6.0713291671277112</v>
      </c>
      <c r="S163" s="5">
        <f t="shared" si="41"/>
        <v>213.02594350131039</v>
      </c>
      <c r="T163" s="17"/>
      <c r="U163" s="5">
        <f t="shared" si="42"/>
        <v>215.78110702043554</v>
      </c>
      <c r="W163" s="5">
        <f t="shared" si="43"/>
        <v>218.44744567460069</v>
      </c>
      <c r="Y163">
        <f t="shared" si="50"/>
        <v>154</v>
      </c>
      <c r="Z163" s="3">
        <f t="shared" si="51"/>
        <v>1607.6713050865976</v>
      </c>
      <c r="AA163" s="3">
        <f t="shared" si="52"/>
        <v>1484.3087641042985</v>
      </c>
      <c r="AB163" s="3">
        <f t="shared" si="53"/>
        <v>1464.8766485578051</v>
      </c>
      <c r="AC163" s="3">
        <f t="shared" si="54"/>
        <v>1470.9246693818159</v>
      </c>
      <c r="BC163" s="17">
        <f t="shared" si="55"/>
        <v>217.89684311977462</v>
      </c>
      <c r="BD163" s="3">
        <f t="shared" si="56"/>
        <v>1607.6713050865976</v>
      </c>
      <c r="BF163" s="5">
        <f t="shared" si="44"/>
        <v>213.02594350131039</v>
      </c>
      <c r="BG163">
        <f t="shared" si="45"/>
        <v>1484.3087641042985</v>
      </c>
      <c r="BI163" s="5">
        <f t="shared" si="46"/>
        <v>215.78110702043554</v>
      </c>
      <c r="BJ163">
        <f t="shared" si="47"/>
        <v>1464.8766485578051</v>
      </c>
      <c r="BL163" s="5">
        <f t="shared" si="48"/>
        <v>218.44744567460069</v>
      </c>
      <c r="BM163">
        <f t="shared" si="49"/>
        <v>1470.9246693818159</v>
      </c>
    </row>
    <row r="164" spans="1:65" x14ac:dyDescent="0.25">
      <c r="A164">
        <v>155</v>
      </c>
      <c r="B164" s="17">
        <f t="shared" si="38"/>
        <v>219.50581752100248</v>
      </c>
      <c r="C164" s="17">
        <f t="shared" si="39"/>
        <v>258.00722517422258</v>
      </c>
      <c r="D164" s="17">
        <f t="shared" si="40"/>
        <v>220.25093093479447</v>
      </c>
      <c r="G164" s="1">
        <v>155</v>
      </c>
      <c r="H164" s="17">
        <v>47.68737373481175</v>
      </c>
      <c r="I164" s="17">
        <v>51.020239121069338</v>
      </c>
      <c r="J164" s="17">
        <v>49.030791385460383</v>
      </c>
      <c r="M164" s="17">
        <v>229.1545846327891</v>
      </c>
      <c r="N164" s="17">
        <v>6.7581045102328261</v>
      </c>
      <c r="O164" s="17">
        <v>7.0057509928813237</v>
      </c>
      <c r="P164" s="17">
        <v>6.093240601743422</v>
      </c>
      <c r="S164" s="5">
        <f t="shared" si="41"/>
        <v>214.5125470377759</v>
      </c>
      <c r="T164" s="17"/>
      <c r="U164" s="5">
        <f t="shared" si="42"/>
        <v>217.24739868567889</v>
      </c>
      <c r="W164" s="5">
        <f t="shared" si="43"/>
        <v>219.91839090370627</v>
      </c>
      <c r="Y164">
        <f t="shared" si="50"/>
        <v>155</v>
      </c>
      <c r="Z164" s="3">
        <f t="shared" si="51"/>
        <v>1608.9744012278686</v>
      </c>
      <c r="AA164" s="3">
        <f t="shared" si="52"/>
        <v>1486.603536465509</v>
      </c>
      <c r="AB164" s="3">
        <f t="shared" si="53"/>
        <v>1466.2916652433466</v>
      </c>
      <c r="AC164" s="3">
        <f t="shared" si="54"/>
        <v>1470.9452291055811</v>
      </c>
      <c r="BC164" s="17">
        <f t="shared" si="55"/>
        <v>219.50581752100248</v>
      </c>
      <c r="BD164" s="3">
        <f t="shared" si="56"/>
        <v>1608.9744012278686</v>
      </c>
      <c r="BF164" s="5">
        <f t="shared" si="44"/>
        <v>214.5125470377759</v>
      </c>
      <c r="BG164">
        <f t="shared" si="45"/>
        <v>1486.603536465509</v>
      </c>
      <c r="BI164" s="5">
        <f t="shared" si="46"/>
        <v>217.24739868567889</v>
      </c>
      <c r="BJ164">
        <f t="shared" si="47"/>
        <v>1466.2916652433466</v>
      </c>
      <c r="BL164" s="5">
        <f t="shared" si="48"/>
        <v>219.91839090370627</v>
      </c>
      <c r="BM164">
        <f t="shared" si="49"/>
        <v>1470.9452291055811</v>
      </c>
    </row>
    <row r="165" spans="1:65" x14ac:dyDescent="0.25">
      <c r="A165">
        <v>156</v>
      </c>
      <c r="B165" s="17">
        <f t="shared" si="38"/>
        <v>221.11601766209438</v>
      </c>
      <c r="C165" s="17">
        <f t="shared" si="39"/>
        <v>259.86023531442743</v>
      </c>
      <c r="D165" s="17">
        <f t="shared" si="40"/>
        <v>221.83741226322562</v>
      </c>
      <c r="G165" s="1">
        <v>156</v>
      </c>
      <c r="H165" s="17">
        <v>47.705215247740028</v>
      </c>
      <c r="I165" s="17">
        <v>51.046850132921492</v>
      </c>
      <c r="J165" s="17">
        <v>49.050552399865708</v>
      </c>
      <c r="M165" s="17">
        <v>230.30731668785941</v>
      </c>
      <c r="N165" s="17">
        <v>6.7762821157384057</v>
      </c>
      <c r="O165" s="17">
        <v>7.0246843993595878</v>
      </c>
      <c r="P165" s="17">
        <v>6.1150967877166567</v>
      </c>
      <c r="S165" s="5">
        <f t="shared" si="41"/>
        <v>216.0013971104878</v>
      </c>
      <c r="T165" s="17"/>
      <c r="U165" s="5">
        <f t="shared" si="42"/>
        <v>218.71507124789844</v>
      </c>
      <c r="W165" s="5">
        <f t="shared" si="43"/>
        <v>221.38934053846697</v>
      </c>
      <c r="Y165">
        <f t="shared" si="50"/>
        <v>156</v>
      </c>
      <c r="Z165" s="3">
        <f t="shared" si="51"/>
        <v>1610.2001410918945</v>
      </c>
      <c r="AA165" s="3">
        <f t="shared" si="52"/>
        <v>1488.8500727118981</v>
      </c>
      <c r="AB165" s="3">
        <f t="shared" si="53"/>
        <v>1467.6725622195477</v>
      </c>
      <c r="AC165" s="3">
        <f t="shared" si="54"/>
        <v>1470.9496347607001</v>
      </c>
      <c r="BC165" s="17">
        <f t="shared" si="55"/>
        <v>221.11601766209438</v>
      </c>
      <c r="BD165" s="3">
        <f t="shared" si="56"/>
        <v>1610.2001410918945</v>
      </c>
      <c r="BF165" s="5">
        <f t="shared" si="44"/>
        <v>216.0013971104878</v>
      </c>
      <c r="BG165">
        <f t="shared" si="45"/>
        <v>1488.8500727118981</v>
      </c>
      <c r="BI165" s="5">
        <f t="shared" si="46"/>
        <v>218.71507124789844</v>
      </c>
      <c r="BJ165">
        <f t="shared" si="47"/>
        <v>1467.6725622195477</v>
      </c>
      <c r="BL165" s="5">
        <f t="shared" si="48"/>
        <v>221.38934053846697</v>
      </c>
      <c r="BM165">
        <f t="shared" si="49"/>
        <v>1470.9496347607001</v>
      </c>
    </row>
    <row r="166" spans="1:65" x14ac:dyDescent="0.25">
      <c r="A166">
        <v>157</v>
      </c>
      <c r="B166" s="17">
        <f t="shared" si="38"/>
        <v>222.72736672112049</v>
      </c>
      <c r="C166" s="17">
        <f t="shared" si="39"/>
        <v>261.71393257987904</v>
      </c>
      <c r="D166" s="17">
        <f t="shared" si="40"/>
        <v>223.42433808674238</v>
      </c>
      <c r="G166" s="1">
        <v>157</v>
      </c>
      <c r="H166" s="17">
        <v>47.723077651296322</v>
      </c>
      <c r="I166" s="17">
        <v>51.073557753239989</v>
      </c>
      <c r="J166" s="17">
        <v>49.070353749210831</v>
      </c>
      <c r="M166" s="17">
        <v>231.4600487429297</v>
      </c>
      <c r="N166" s="17">
        <v>6.7941274089948944</v>
      </c>
      <c r="O166" s="17">
        <v>7.043300350388467</v>
      </c>
      <c r="P166" s="17">
        <v>6.1368950249430467</v>
      </c>
      <c r="S166" s="5">
        <f t="shared" si="41"/>
        <v>217.4924454833313</v>
      </c>
      <c r="T166" s="17"/>
      <c r="U166" s="5">
        <f t="shared" si="42"/>
        <v>220.18409058738496</v>
      </c>
      <c r="W166" s="5">
        <f t="shared" si="43"/>
        <v>222.86027842481408</v>
      </c>
      <c r="Y166">
        <f t="shared" si="50"/>
        <v>157</v>
      </c>
      <c r="Z166" s="3">
        <f t="shared" si="51"/>
        <v>1611.3490590261108</v>
      </c>
      <c r="AA166" s="3">
        <f t="shared" si="52"/>
        <v>1491.048372843494</v>
      </c>
      <c r="AB166" s="3">
        <f t="shared" si="53"/>
        <v>1469.0193394865219</v>
      </c>
      <c r="AC166" s="3">
        <f t="shared" si="54"/>
        <v>1470.9378863471159</v>
      </c>
      <c r="BC166" s="17">
        <f t="shared" si="55"/>
        <v>222.72736672112049</v>
      </c>
      <c r="BD166" s="3">
        <f t="shared" si="56"/>
        <v>1611.3490590261108</v>
      </c>
      <c r="BF166" s="5">
        <f t="shared" si="44"/>
        <v>217.4924454833313</v>
      </c>
      <c r="BG166">
        <f t="shared" si="45"/>
        <v>1491.048372843494</v>
      </c>
      <c r="BI166" s="5">
        <f t="shared" si="46"/>
        <v>220.18409058738496</v>
      </c>
      <c r="BJ166">
        <f t="shared" si="47"/>
        <v>1469.0193394865219</v>
      </c>
      <c r="BL166" s="5">
        <f t="shared" si="48"/>
        <v>222.86027842481408</v>
      </c>
      <c r="BM166">
        <f t="shared" si="49"/>
        <v>1470.9378863471159</v>
      </c>
    </row>
    <row r="167" spans="1:65" x14ac:dyDescent="0.25">
      <c r="A167">
        <v>158</v>
      </c>
      <c r="B167" s="17">
        <f t="shared" si="38"/>
        <v>224.33978841049844</v>
      </c>
      <c r="C167" s="17">
        <f t="shared" si="39"/>
        <v>263.56823542731934</v>
      </c>
      <c r="D167" s="17">
        <f t="shared" si="40"/>
        <v>225.01162993857176</v>
      </c>
      <c r="G167" s="1">
        <v>158</v>
      </c>
      <c r="H167" s="17">
        <v>47.740962522783981</v>
      </c>
      <c r="I167" s="17">
        <v>51.100361412594701</v>
      </c>
      <c r="J167" s="17">
        <v>49.090195633008562</v>
      </c>
      <c r="M167" s="17">
        <v>232.61278079799999</v>
      </c>
      <c r="N167" s="17">
        <v>6.8116452734985984</v>
      </c>
      <c r="O167" s="17">
        <v>7.0616031787639963</v>
      </c>
      <c r="P167" s="17">
        <v>6.1586325715705028</v>
      </c>
      <c r="S167" s="5">
        <f t="shared" si="41"/>
        <v>218.98564392019154</v>
      </c>
      <c r="T167" s="17"/>
      <c r="U167" s="5">
        <f t="shared" si="42"/>
        <v>221.65442258442911</v>
      </c>
      <c r="W167" s="5">
        <f t="shared" si="43"/>
        <v>224.33118840867888</v>
      </c>
      <c r="Y167">
        <f t="shared" si="50"/>
        <v>158</v>
      </c>
      <c r="Z167" s="3">
        <f t="shared" si="51"/>
        <v>1612.4216893779533</v>
      </c>
      <c r="AA167" s="3">
        <f t="shared" si="52"/>
        <v>1493.19843686024</v>
      </c>
      <c r="AB167" s="3">
        <f t="shared" si="53"/>
        <v>1470.3319970441555</v>
      </c>
      <c r="AC167" s="3">
        <f t="shared" si="54"/>
        <v>1470.9099838648001</v>
      </c>
      <c r="BC167" s="17">
        <f t="shared" si="55"/>
        <v>224.33978841049844</v>
      </c>
      <c r="BD167" s="3">
        <f t="shared" si="56"/>
        <v>1612.4216893779533</v>
      </c>
      <c r="BF167" s="5">
        <f t="shared" si="44"/>
        <v>218.98564392019154</v>
      </c>
      <c r="BG167">
        <f t="shared" si="45"/>
        <v>1493.19843686024</v>
      </c>
      <c r="BI167" s="5">
        <f t="shared" si="46"/>
        <v>221.65442258442911</v>
      </c>
      <c r="BJ167">
        <f t="shared" si="47"/>
        <v>1470.3319970441555</v>
      </c>
      <c r="BL167" s="5">
        <f t="shared" si="48"/>
        <v>224.33118840867888</v>
      </c>
      <c r="BM167">
        <f t="shared" si="49"/>
        <v>1470.9099838648001</v>
      </c>
    </row>
    <row r="168" spans="1:65" x14ac:dyDescent="0.25">
      <c r="A168">
        <v>159</v>
      </c>
      <c r="B168" s="17">
        <f t="shared" si="38"/>
        <v>225.95320697699321</v>
      </c>
      <c r="C168" s="17">
        <f t="shared" si="39"/>
        <v>265.42306293442675</v>
      </c>
      <c r="D168" s="17">
        <f t="shared" si="40"/>
        <v>226.59920993696144</v>
      </c>
      <c r="G168" s="1">
        <v>159</v>
      </c>
      <c r="H168" s="17">
        <v>47.758871439506379</v>
      </c>
      <c r="I168" s="17">
        <v>51.127260541555451</v>
      </c>
      <c r="J168" s="17">
        <v>49.110078250771679</v>
      </c>
      <c r="M168" s="17">
        <v>233.76551285307031</v>
      </c>
      <c r="N168" s="17">
        <v>6.8288405927458209</v>
      </c>
      <c r="O168" s="17">
        <v>7.0795972172822124</v>
      </c>
      <c r="P168" s="17">
        <v>6.18030668574694</v>
      </c>
      <c r="S168" s="5">
        <f t="shared" si="41"/>
        <v>220.48094418495367</v>
      </c>
      <c r="T168" s="17"/>
      <c r="U168" s="5">
        <f t="shared" si="42"/>
        <v>223.12603311932165</v>
      </c>
      <c r="W168" s="5">
        <f t="shared" si="43"/>
        <v>225.80205433599269</v>
      </c>
      <c r="Y168">
        <f t="shared" si="50"/>
        <v>159</v>
      </c>
      <c r="Z168" s="3">
        <f t="shared" si="51"/>
        <v>1613.4185664947722</v>
      </c>
      <c r="AA168" s="3">
        <f t="shared" si="52"/>
        <v>1495.3002647621361</v>
      </c>
      <c r="AB168" s="3">
        <f t="shared" si="53"/>
        <v>1471.6105348925339</v>
      </c>
      <c r="AC168" s="3">
        <f t="shared" si="54"/>
        <v>1470.8659273138096</v>
      </c>
      <c r="BC168" s="17">
        <f t="shared" si="55"/>
        <v>225.95320697699321</v>
      </c>
      <c r="BD168" s="3">
        <f t="shared" si="56"/>
        <v>1613.4185664947722</v>
      </c>
      <c r="BF168" s="5">
        <f t="shared" si="44"/>
        <v>220.48094418495367</v>
      </c>
      <c r="BG168">
        <f t="shared" si="45"/>
        <v>1495.3002647621361</v>
      </c>
      <c r="BI168" s="5">
        <f t="shared" si="46"/>
        <v>223.12603311932165</v>
      </c>
      <c r="BJ168">
        <f t="shared" si="47"/>
        <v>1471.6105348925339</v>
      </c>
      <c r="BL168" s="5">
        <f t="shared" si="48"/>
        <v>225.80205433599269</v>
      </c>
      <c r="BM168">
        <f t="shared" si="49"/>
        <v>1470.8659273138096</v>
      </c>
    </row>
    <row r="169" spans="1:65" x14ac:dyDescent="0.25">
      <c r="A169">
        <v>160</v>
      </c>
      <c r="B169" s="17">
        <f t="shared" si="38"/>
        <v>227.56754720171733</v>
      </c>
      <c r="C169" s="17">
        <f t="shared" si="39"/>
        <v>267.27833479981598</v>
      </c>
      <c r="D169" s="17">
        <f t="shared" si="40"/>
        <v>228.18700078517981</v>
      </c>
      <c r="G169" s="1">
        <v>160</v>
      </c>
      <c r="H169" s="17">
        <v>47.776805978766873</v>
      </c>
      <c r="I169" s="17">
        <v>51.154254570692082</v>
      </c>
      <c r="J169" s="17">
        <v>49.130001802013012</v>
      </c>
      <c r="M169" s="17">
        <v>234.91824490814071</v>
      </c>
      <c r="N169" s="17">
        <v>6.8457182502328706</v>
      </c>
      <c r="O169" s="17">
        <v>7.0972867987391481</v>
      </c>
      <c r="P169" s="17">
        <v>6.2019146256202697</v>
      </c>
      <c r="S169" s="5">
        <f t="shared" si="41"/>
        <v>221.97829804150291</v>
      </c>
      <c r="T169" s="17"/>
      <c r="U169" s="5">
        <f t="shared" si="42"/>
        <v>224.59888807235325</v>
      </c>
      <c r="W169" s="5">
        <f t="shared" si="43"/>
        <v>227.27286005268687</v>
      </c>
      <c r="Y169">
        <f t="shared" si="50"/>
        <v>160</v>
      </c>
      <c r="Z169" s="3">
        <f t="shared" si="51"/>
        <v>1614.340224724117</v>
      </c>
      <c r="AA169" s="3">
        <f t="shared" si="52"/>
        <v>1497.353856549239</v>
      </c>
      <c r="AB169" s="3">
        <f t="shared" si="53"/>
        <v>1472.8549530316002</v>
      </c>
      <c r="AC169" s="3">
        <f t="shared" si="54"/>
        <v>1470.8057166941728</v>
      </c>
      <c r="BC169" s="17">
        <f t="shared" si="55"/>
        <v>227.56754720171733</v>
      </c>
      <c r="BD169" s="3">
        <f t="shared" si="56"/>
        <v>1614.340224724117</v>
      </c>
      <c r="BF169" s="5">
        <f t="shared" si="44"/>
        <v>221.97829804150291</v>
      </c>
      <c r="BG169">
        <f t="shared" si="45"/>
        <v>1497.353856549239</v>
      </c>
      <c r="BI169" s="5">
        <f t="shared" si="46"/>
        <v>224.59888807235325</v>
      </c>
      <c r="BJ169">
        <f t="shared" si="47"/>
        <v>1472.8549530316002</v>
      </c>
      <c r="BL169" s="5">
        <f t="shared" si="48"/>
        <v>227.27286005268687</v>
      </c>
      <c r="BM169">
        <f t="shared" si="49"/>
        <v>1470.8057166941728</v>
      </c>
    </row>
    <row r="170" spans="1:65" x14ac:dyDescent="0.25">
      <c r="A170">
        <v>161</v>
      </c>
      <c r="B170" s="17">
        <f t="shared" si="38"/>
        <v>229.18273440013056</v>
      </c>
      <c r="C170" s="17">
        <f t="shared" si="39"/>
        <v>269.1339713430387</v>
      </c>
      <c r="D170" s="17">
        <f t="shared" si="40"/>
        <v>229.77492577151568</v>
      </c>
      <c r="G170" s="1">
        <v>161</v>
      </c>
      <c r="H170" s="17">
        <v>47.794767717868801</v>
      </c>
      <c r="I170" s="17">
        <v>51.181342930574417</v>
      </c>
      <c r="J170" s="17">
        <v>49.149966486245347</v>
      </c>
      <c r="M170" s="17">
        <v>236.07097696321091</v>
      </c>
      <c r="N170" s="17">
        <v>6.8622831294560518</v>
      </c>
      <c r="O170" s="17">
        <v>7.1146762559308394</v>
      </c>
      <c r="P170" s="17">
        <v>6.2234536493384054</v>
      </c>
      <c r="S170" s="5">
        <f t="shared" si="41"/>
        <v>223.47765725372437</v>
      </c>
      <c r="T170" s="17"/>
      <c r="U170" s="5">
        <f t="shared" si="42"/>
        <v>226.07295332381457</v>
      </c>
      <c r="W170" s="5">
        <f t="shared" si="43"/>
        <v>228.74358940469261</v>
      </c>
      <c r="Y170">
        <f t="shared" si="50"/>
        <v>161</v>
      </c>
      <c r="Z170" s="3">
        <f t="shared" si="51"/>
        <v>1615.1871984132242</v>
      </c>
      <c r="AA170" s="3">
        <f t="shared" si="52"/>
        <v>1499.3592122214636</v>
      </c>
      <c r="AB170" s="3">
        <f t="shared" si="53"/>
        <v>1474.0652514613259</v>
      </c>
      <c r="AC170" s="3">
        <f t="shared" si="54"/>
        <v>1470.7293520057476</v>
      </c>
      <c r="BC170" s="17">
        <f t="shared" si="55"/>
        <v>229.18273440013056</v>
      </c>
      <c r="BD170" s="3">
        <f t="shared" si="56"/>
        <v>1615.1871984132242</v>
      </c>
      <c r="BF170" s="5">
        <f t="shared" si="44"/>
        <v>223.47765725372437</v>
      </c>
      <c r="BG170">
        <f t="shared" si="45"/>
        <v>1499.3592122214636</v>
      </c>
      <c r="BI170" s="5">
        <f t="shared" si="46"/>
        <v>226.07295332381457</v>
      </c>
      <c r="BJ170">
        <f t="shared" si="47"/>
        <v>1474.0652514613259</v>
      </c>
      <c r="BL170" s="5">
        <f t="shared" si="48"/>
        <v>228.74358940469261</v>
      </c>
      <c r="BM170">
        <f t="shared" si="49"/>
        <v>1470.7293520057476</v>
      </c>
    </row>
    <row r="171" spans="1:65" x14ac:dyDescent="0.25">
      <c r="A171">
        <v>162</v>
      </c>
      <c r="B171" s="17">
        <f t="shared" si="38"/>
        <v>230.79869442204037</v>
      </c>
      <c r="C171" s="17">
        <f t="shared" si="39"/>
        <v>270.98989350458294</v>
      </c>
      <c r="D171" s="17">
        <f t="shared" si="40"/>
        <v>231.36290876927865</v>
      </c>
      <c r="G171" s="1">
        <v>162</v>
      </c>
      <c r="H171" s="17">
        <v>47.812758234115563</v>
      </c>
      <c r="I171" s="17">
        <v>51.208525051772298</v>
      </c>
      <c r="J171" s="17">
        <v>49.169972502981508</v>
      </c>
      <c r="M171" s="17">
        <v>237.22370901828131</v>
      </c>
      <c r="N171" s="17">
        <v>6.8785401139116713</v>
      </c>
      <c r="O171" s="17">
        <v>7.1317699216533192</v>
      </c>
      <c r="P171" s="17">
        <v>6.2449210150492576</v>
      </c>
      <c r="S171" s="5">
        <f t="shared" si="41"/>
        <v>224.97897358550316</v>
      </c>
      <c r="T171" s="17"/>
      <c r="U171" s="5">
        <f t="shared" si="42"/>
        <v>227.54819475399646</v>
      </c>
      <c r="W171" s="5">
        <f t="shared" si="43"/>
        <v>230.21422623794126</v>
      </c>
      <c r="Y171">
        <f t="shared" si="50"/>
        <v>162</v>
      </c>
      <c r="Z171" s="3">
        <f t="shared" si="51"/>
        <v>1615.9600219098138</v>
      </c>
      <c r="AA171" s="3">
        <f t="shared" si="52"/>
        <v>1501.3163317787814</v>
      </c>
      <c r="AB171" s="3">
        <f t="shared" si="53"/>
        <v>1475.2414301818817</v>
      </c>
      <c r="AC171" s="3">
        <f t="shared" si="54"/>
        <v>1470.6368332486477</v>
      </c>
      <c r="BC171" s="17">
        <f t="shared" si="55"/>
        <v>230.79869442204037</v>
      </c>
      <c r="BD171" s="3">
        <f t="shared" si="56"/>
        <v>1615.9600219098138</v>
      </c>
      <c r="BF171" s="5">
        <f t="shared" si="44"/>
        <v>224.97897358550316</v>
      </c>
      <c r="BG171">
        <f t="shared" si="45"/>
        <v>1501.3163317787814</v>
      </c>
      <c r="BI171" s="5">
        <f t="shared" si="46"/>
        <v>227.54819475399646</v>
      </c>
      <c r="BJ171">
        <f t="shared" si="47"/>
        <v>1475.2414301818817</v>
      </c>
      <c r="BL171" s="5">
        <f t="shared" si="48"/>
        <v>230.21422623794126</v>
      </c>
      <c r="BM171">
        <f t="shared" si="49"/>
        <v>1470.6368332486477</v>
      </c>
    </row>
    <row r="172" spans="1:65" x14ac:dyDescent="0.25">
      <c r="A172">
        <v>163</v>
      </c>
      <c r="B172" s="17">
        <f t="shared" si="38"/>
        <v>232.41535365160112</v>
      </c>
      <c r="C172" s="17">
        <f t="shared" si="39"/>
        <v>272.84602284587368</v>
      </c>
      <c r="D172" s="17">
        <f t="shared" si="40"/>
        <v>232.95087423679882</v>
      </c>
      <c r="G172" s="1">
        <v>163</v>
      </c>
      <c r="H172" s="17">
        <v>47.830779104810482</v>
      </c>
      <c r="I172" s="17">
        <v>51.235800364855571</v>
      </c>
      <c r="J172" s="17">
        <v>49.190020051734287</v>
      </c>
      <c r="M172" s="17">
        <v>238.3764410733516</v>
      </c>
      <c r="N172" s="17">
        <v>6.8944940870960343</v>
      </c>
      <c r="O172" s="17">
        <v>7.148572128702626</v>
      </c>
      <c r="P172" s="17">
        <v>6.2663139809007413</v>
      </c>
      <c r="S172" s="5">
        <f t="shared" si="41"/>
        <v>226.4821988007246</v>
      </c>
      <c r="T172" s="17"/>
      <c r="U172" s="5">
        <f t="shared" si="42"/>
        <v>229.0245782431895</v>
      </c>
      <c r="W172" s="5">
        <f t="shared" si="43"/>
        <v>231.68475439836419</v>
      </c>
      <c r="Y172">
        <f t="shared" si="50"/>
        <v>163</v>
      </c>
      <c r="Z172" s="3">
        <f t="shared" si="51"/>
        <v>1616.6592295607529</v>
      </c>
      <c r="AA172" s="3">
        <f t="shared" si="52"/>
        <v>1503.2252152214483</v>
      </c>
      <c r="AB172" s="3">
        <f t="shared" si="53"/>
        <v>1476.3834891930401</v>
      </c>
      <c r="AC172" s="3">
        <f t="shared" si="54"/>
        <v>1470.5281604229299</v>
      </c>
      <c r="BC172" s="17">
        <f t="shared" si="55"/>
        <v>232.41535365160112</v>
      </c>
      <c r="BD172" s="3">
        <f t="shared" si="56"/>
        <v>1616.6592295607529</v>
      </c>
      <c r="BF172" s="5">
        <f t="shared" si="44"/>
        <v>226.4821988007246</v>
      </c>
      <c r="BG172">
        <f t="shared" si="45"/>
        <v>1503.2252152214483</v>
      </c>
      <c r="BI172" s="5">
        <f t="shared" si="46"/>
        <v>229.0245782431895</v>
      </c>
      <c r="BJ172">
        <f t="shared" si="47"/>
        <v>1476.3834891930401</v>
      </c>
      <c r="BL172" s="5">
        <f t="shared" si="48"/>
        <v>231.68475439836419</v>
      </c>
      <c r="BM172">
        <f t="shared" si="49"/>
        <v>1470.5281604229299</v>
      </c>
    </row>
    <row r="173" spans="1:65" x14ac:dyDescent="0.25">
      <c r="A173">
        <v>164</v>
      </c>
      <c r="B173" s="17">
        <f t="shared" si="38"/>
        <v>234.03263900731528</v>
      </c>
      <c r="C173" s="17">
        <f t="shared" si="39"/>
        <v>274.70228154927219</v>
      </c>
      <c r="D173" s="17">
        <f t="shared" si="40"/>
        <v>234.53874721742682</v>
      </c>
      <c r="G173" s="1">
        <v>164</v>
      </c>
      <c r="H173" s="17">
        <v>47.848831907256937</v>
      </c>
      <c r="I173" s="17">
        <v>51.263168300394057</v>
      </c>
      <c r="J173" s="17">
        <v>49.210109332016494</v>
      </c>
      <c r="M173" s="17">
        <v>239.52917312842189</v>
      </c>
      <c r="N173" s="17">
        <v>6.9101499325054476</v>
      </c>
      <c r="O173" s="17">
        <v>7.165087209874792</v>
      </c>
      <c r="P173" s="17">
        <v>6.2876298050407691</v>
      </c>
      <c r="S173" s="5">
        <f t="shared" si="41"/>
        <v>227.98728466327378</v>
      </c>
      <c r="T173" s="17"/>
      <c r="U173" s="5">
        <f t="shared" si="42"/>
        <v>230.50206967168447</v>
      </c>
      <c r="W173" s="5">
        <f t="shared" si="43"/>
        <v>233.15515773189261</v>
      </c>
      <c r="Y173">
        <f t="shared" si="50"/>
        <v>164</v>
      </c>
      <c r="Z173" s="3">
        <f t="shared" si="51"/>
        <v>1617.2853557141593</v>
      </c>
      <c r="AA173" s="3">
        <f t="shared" si="52"/>
        <v>1505.0858625491799</v>
      </c>
      <c r="AB173" s="3">
        <f t="shared" si="53"/>
        <v>1477.4914284949716</v>
      </c>
      <c r="AC173" s="3">
        <f t="shared" si="54"/>
        <v>1470.4033335284237</v>
      </c>
      <c r="BC173" s="17">
        <f t="shared" si="55"/>
        <v>234.03263900731528</v>
      </c>
      <c r="BD173" s="3">
        <f t="shared" si="56"/>
        <v>1617.2853557141593</v>
      </c>
      <c r="BF173" s="5">
        <f t="shared" si="44"/>
        <v>227.98728466327378</v>
      </c>
      <c r="BG173">
        <f t="shared" si="45"/>
        <v>1505.0858625491799</v>
      </c>
      <c r="BI173" s="5">
        <f t="shared" si="46"/>
        <v>230.50206967168447</v>
      </c>
      <c r="BJ173">
        <f t="shared" si="47"/>
        <v>1477.4914284949716</v>
      </c>
      <c r="BL173" s="5">
        <f t="shared" si="48"/>
        <v>233.15515773189261</v>
      </c>
      <c r="BM173">
        <f t="shared" si="49"/>
        <v>1470.4033335284237</v>
      </c>
    </row>
    <row r="174" spans="1:65" x14ac:dyDescent="0.25">
      <c r="A174">
        <v>165</v>
      </c>
      <c r="B174" s="17">
        <f t="shared" si="38"/>
        <v>235.65047794203232</v>
      </c>
      <c r="C174" s="17">
        <f t="shared" si="39"/>
        <v>276.55859241807639</v>
      </c>
      <c r="D174" s="17">
        <f t="shared" si="40"/>
        <v>236.12645333953404</v>
      </c>
      <c r="G174" s="1">
        <v>165</v>
      </c>
      <c r="H174" s="17">
        <v>47.866918218758293</v>
      </c>
      <c r="I174" s="17">
        <v>51.290628288957613</v>
      </c>
      <c r="J174" s="17">
        <v>49.230240543340933</v>
      </c>
      <c r="M174" s="17">
        <v>240.6819051834922</v>
      </c>
      <c r="N174" s="17">
        <v>6.9255125336362164</v>
      </c>
      <c r="O174" s="17">
        <v>7.1813194979658528</v>
      </c>
      <c r="P174" s="17">
        <v>6.3088657456172514</v>
      </c>
      <c r="S174" s="5">
        <f t="shared" si="41"/>
        <v>229.49418293703584</v>
      </c>
      <c r="T174" s="17"/>
      <c r="U174" s="5">
        <f t="shared" si="42"/>
        <v>231.98063491977206</v>
      </c>
      <c r="W174" s="5">
        <f t="shared" si="43"/>
        <v>234.62542008445791</v>
      </c>
      <c r="Y174">
        <f t="shared" si="50"/>
        <v>165</v>
      </c>
      <c r="Z174" s="3">
        <f t="shared" si="51"/>
        <v>1617.8389347170423</v>
      </c>
      <c r="AA174" s="3">
        <f t="shared" si="52"/>
        <v>1506.8982737620615</v>
      </c>
      <c r="AB174" s="3">
        <f t="shared" si="53"/>
        <v>1478.565248087591</v>
      </c>
      <c r="AC174" s="3">
        <f t="shared" si="54"/>
        <v>1470.2623525652996</v>
      </c>
      <c r="BC174" s="17">
        <f t="shared" si="55"/>
        <v>235.65047794203232</v>
      </c>
      <c r="BD174" s="3">
        <f t="shared" si="56"/>
        <v>1617.8389347170423</v>
      </c>
      <c r="BF174" s="5">
        <f t="shared" si="44"/>
        <v>229.49418293703584</v>
      </c>
      <c r="BG174">
        <f t="shared" si="45"/>
        <v>1506.8982737620615</v>
      </c>
      <c r="BI174" s="5">
        <f t="shared" si="46"/>
        <v>231.98063491977206</v>
      </c>
      <c r="BJ174">
        <f t="shared" si="47"/>
        <v>1478.565248087591</v>
      </c>
      <c r="BL174" s="5">
        <f t="shared" si="48"/>
        <v>234.62542008445791</v>
      </c>
      <c r="BM174">
        <f t="shared" si="49"/>
        <v>1470.2623525652996</v>
      </c>
    </row>
    <row r="175" spans="1:65" x14ac:dyDescent="0.25">
      <c r="A175">
        <v>166</v>
      </c>
      <c r="B175" s="17">
        <f t="shared" si="38"/>
        <v>237.26879844294916</v>
      </c>
      <c r="C175" s="17">
        <f t="shared" si="39"/>
        <v>278.41487887652102</v>
      </c>
      <c r="D175" s="17">
        <f t="shared" si="40"/>
        <v>237.71391881651249</v>
      </c>
      <c r="G175" s="1">
        <v>166</v>
      </c>
      <c r="H175" s="17">
        <v>47.885039616617888</v>
      </c>
      <c r="I175" s="17">
        <v>51.318179761116063</v>
      </c>
      <c r="J175" s="17">
        <v>49.250413885220411</v>
      </c>
      <c r="M175" s="17">
        <v>241.83463723856249</v>
      </c>
      <c r="N175" s="17">
        <v>6.940586773984645</v>
      </c>
      <c r="O175" s="17">
        <v>7.1972733257718424</v>
      </c>
      <c r="P175" s="17">
        <v>6.3300190607781044</v>
      </c>
      <c r="S175" s="5">
        <f t="shared" si="41"/>
        <v>231.00284538589602</v>
      </c>
      <c r="T175" s="17"/>
      <c r="U175" s="5">
        <f t="shared" si="42"/>
        <v>233.46023986774301</v>
      </c>
      <c r="W175" s="5">
        <f t="shared" si="43"/>
        <v>236.0955253019913</v>
      </c>
      <c r="Y175">
        <f t="shared" si="50"/>
        <v>166</v>
      </c>
      <c r="Z175" s="3">
        <f t="shared" si="51"/>
        <v>1618.3205009168375</v>
      </c>
      <c r="AA175" s="3">
        <f t="shared" si="52"/>
        <v>1508.6624488601785</v>
      </c>
      <c r="AB175" s="3">
        <f t="shared" si="53"/>
        <v>1479.6049479709552</v>
      </c>
      <c r="AC175" s="3">
        <f t="shared" si="54"/>
        <v>1470.1052175333871</v>
      </c>
      <c r="BC175" s="17">
        <f t="shared" si="55"/>
        <v>237.26879844294916</v>
      </c>
      <c r="BD175" s="3">
        <f t="shared" si="56"/>
        <v>1618.3205009168375</v>
      </c>
      <c r="BF175" s="5">
        <f t="shared" si="44"/>
        <v>231.00284538589602</v>
      </c>
      <c r="BG175">
        <f t="shared" si="45"/>
        <v>1508.6624488601785</v>
      </c>
      <c r="BI175" s="5">
        <f t="shared" si="46"/>
        <v>233.46023986774301</v>
      </c>
      <c r="BJ175">
        <f t="shared" si="47"/>
        <v>1479.6049479709552</v>
      </c>
      <c r="BL175" s="5">
        <f t="shared" si="48"/>
        <v>236.0955253019913</v>
      </c>
      <c r="BM175">
        <f t="shared" si="49"/>
        <v>1470.1052175333871</v>
      </c>
    </row>
    <row r="176" spans="1:65" x14ac:dyDescent="0.25">
      <c r="A176">
        <v>167</v>
      </c>
      <c r="B176" s="17">
        <f t="shared" si="38"/>
        <v>238.88752903161017</v>
      </c>
      <c r="C176" s="17">
        <f t="shared" si="39"/>
        <v>280.2710649697774</v>
      </c>
      <c r="D176" s="17">
        <f t="shared" si="40"/>
        <v>239.30107044677442</v>
      </c>
      <c r="G176" s="1">
        <v>167</v>
      </c>
      <c r="H176" s="17">
        <v>47.903197678139101</v>
      </c>
      <c r="I176" s="17">
        <v>51.345822147439229</v>
      </c>
      <c r="J176" s="17">
        <v>49.270629557167723</v>
      </c>
      <c r="M176" s="17">
        <v>242.98736929363281</v>
      </c>
      <c r="N176" s="17">
        <v>6.9553775370470419</v>
      </c>
      <c r="O176" s="17">
        <v>7.2129530260887966</v>
      </c>
      <c r="P176" s="17">
        <v>6.3510870086712368</v>
      </c>
      <c r="S176" s="5">
        <f t="shared" si="41"/>
        <v>232.51322377373941</v>
      </c>
      <c r="T176" s="17"/>
      <c r="U176" s="5">
        <f t="shared" si="42"/>
        <v>234.94085039588794</v>
      </c>
      <c r="W176" s="5">
        <f t="shared" si="43"/>
        <v>237.56545723042419</v>
      </c>
      <c r="Y176">
        <f t="shared" si="50"/>
        <v>167</v>
      </c>
      <c r="Z176" s="3">
        <f t="shared" si="51"/>
        <v>1618.7305886610091</v>
      </c>
      <c r="AA176" s="3">
        <f t="shared" si="52"/>
        <v>1510.3783878433887</v>
      </c>
      <c r="AB176" s="3">
        <f t="shared" si="53"/>
        <v>1480.610528144922</v>
      </c>
      <c r="AC176" s="3">
        <f t="shared" si="54"/>
        <v>1469.9319284328851</v>
      </c>
      <c r="BC176" s="17">
        <f t="shared" si="55"/>
        <v>238.88752903161017</v>
      </c>
      <c r="BD176" s="3">
        <f t="shared" si="56"/>
        <v>1618.7305886610091</v>
      </c>
      <c r="BF176" s="5">
        <f t="shared" si="44"/>
        <v>232.51322377373941</v>
      </c>
      <c r="BG176">
        <f t="shared" si="45"/>
        <v>1510.3783878433887</v>
      </c>
      <c r="BI176" s="5">
        <f t="shared" si="46"/>
        <v>234.94085039588794</v>
      </c>
      <c r="BJ176">
        <f t="shared" si="47"/>
        <v>1480.610528144922</v>
      </c>
      <c r="BL176" s="5">
        <f t="shared" si="48"/>
        <v>237.56545723042419</v>
      </c>
      <c r="BM176">
        <f t="shared" si="49"/>
        <v>1469.9319284328851</v>
      </c>
    </row>
    <row r="177" spans="1:65" x14ac:dyDescent="0.25">
      <c r="A177">
        <v>168</v>
      </c>
      <c r="B177" s="17">
        <f t="shared" si="38"/>
        <v>240.50659876390722</v>
      </c>
      <c r="C177" s="17">
        <f t="shared" si="39"/>
        <v>282.12707536395311</v>
      </c>
      <c r="D177" s="17">
        <f t="shared" si="40"/>
        <v>240.88783561375337</v>
      </c>
      <c r="G177" s="1">
        <v>168</v>
      </c>
      <c r="H177" s="17">
        <v>47.921393980625297</v>
      </c>
      <c r="I177" s="17">
        <v>51.373554878496968</v>
      </c>
      <c r="J177" s="17">
        <v>49.290887758695689</v>
      </c>
      <c r="M177" s="17">
        <v>244.1401013487031</v>
      </c>
      <c r="N177" s="17">
        <v>6.9698897063197114</v>
      </c>
      <c r="O177" s="17">
        <v>7.2283629317127502</v>
      </c>
      <c r="P177" s="17">
        <v>6.3720668474445636</v>
      </c>
      <c r="S177" s="5">
        <f t="shared" si="41"/>
        <v>234.02526986445125</v>
      </c>
      <c r="T177" s="17"/>
      <c r="U177" s="5">
        <f t="shared" si="42"/>
        <v>236.42243238449765</v>
      </c>
      <c r="W177" s="5">
        <f t="shared" si="43"/>
        <v>239.03519971568781</v>
      </c>
      <c r="Y177">
        <f t="shared" si="50"/>
        <v>168</v>
      </c>
      <c r="Z177" s="3">
        <f t="shared" si="51"/>
        <v>1619.0697322970493</v>
      </c>
      <c r="AA177" s="3">
        <f t="shared" si="52"/>
        <v>1512.0460907118343</v>
      </c>
      <c r="AB177" s="3">
        <f t="shared" si="53"/>
        <v>1481.5819886097188</v>
      </c>
      <c r="AC177" s="3">
        <f t="shared" si="54"/>
        <v>1469.7424852636232</v>
      </c>
      <c r="BC177" s="17">
        <f t="shared" si="55"/>
        <v>240.50659876390722</v>
      </c>
      <c r="BD177" s="3">
        <f t="shared" si="56"/>
        <v>1619.0697322970493</v>
      </c>
      <c r="BF177" s="5">
        <f t="shared" si="44"/>
        <v>234.02526986445125</v>
      </c>
      <c r="BG177">
        <f t="shared" si="45"/>
        <v>1512.0460907118343</v>
      </c>
      <c r="BI177" s="5">
        <f t="shared" si="46"/>
        <v>236.42243238449765</v>
      </c>
      <c r="BJ177">
        <f t="shared" si="47"/>
        <v>1481.5819886097188</v>
      </c>
      <c r="BL177" s="5">
        <f t="shared" si="48"/>
        <v>239.03519971568781</v>
      </c>
      <c r="BM177">
        <f t="shared" si="49"/>
        <v>1469.7424852636232</v>
      </c>
    </row>
    <row r="178" spans="1:65" x14ac:dyDescent="0.25">
      <c r="A178">
        <v>169</v>
      </c>
      <c r="B178" s="17">
        <f t="shared" si="38"/>
        <v>242.1259372300795</v>
      </c>
      <c r="C178" s="17">
        <f t="shared" si="39"/>
        <v>283.98283534609277</v>
      </c>
      <c r="D178" s="17">
        <f t="shared" si="40"/>
        <v>242.47414228590276</v>
      </c>
      <c r="G178" s="1">
        <v>169</v>
      </c>
      <c r="H178" s="17">
        <v>47.939630101379819</v>
      </c>
      <c r="I178" s="17">
        <v>51.401377384859117</v>
      </c>
      <c r="J178" s="17">
        <v>49.311188689317099</v>
      </c>
      <c r="M178" s="17">
        <v>245.29283340377339</v>
      </c>
      <c r="N178" s="17">
        <v>6.9841281652989604</v>
      </c>
      <c r="O178" s="17">
        <v>7.2435073754397381</v>
      </c>
      <c r="P178" s="17">
        <v>6.3929558352459983</v>
      </c>
      <c r="S178" s="5">
        <f t="shared" si="41"/>
        <v>235.53893542191662</v>
      </c>
      <c r="T178" s="17"/>
      <c r="U178" s="5">
        <f t="shared" si="42"/>
        <v>237.90495171386283</v>
      </c>
      <c r="W178" s="5">
        <f t="shared" si="43"/>
        <v>240.50473660371344</v>
      </c>
      <c r="Y178">
        <f t="shared" si="50"/>
        <v>169</v>
      </c>
      <c r="Z178" s="3">
        <f t="shared" si="51"/>
        <v>1619.3384661722803</v>
      </c>
      <c r="AA178" s="3">
        <f t="shared" si="52"/>
        <v>1513.665557465373</v>
      </c>
      <c r="AB178" s="3">
        <f t="shared" si="53"/>
        <v>1482.5193293651751</v>
      </c>
      <c r="AC178" s="3">
        <f t="shared" si="54"/>
        <v>1469.5368880256297</v>
      </c>
      <c r="BC178" s="17">
        <f t="shared" si="55"/>
        <v>242.1259372300795</v>
      </c>
      <c r="BD178" s="3">
        <f t="shared" si="56"/>
        <v>1619.3384661722803</v>
      </c>
      <c r="BF178" s="5">
        <f t="shared" si="44"/>
        <v>235.53893542191662</v>
      </c>
      <c r="BG178">
        <f t="shared" si="45"/>
        <v>1513.665557465373</v>
      </c>
      <c r="BI178" s="5">
        <f t="shared" si="46"/>
        <v>237.90495171386283</v>
      </c>
      <c r="BJ178">
        <f t="shared" si="47"/>
        <v>1482.5193293651751</v>
      </c>
      <c r="BL178" s="5">
        <f t="shared" si="48"/>
        <v>240.50473660371344</v>
      </c>
      <c r="BM178">
        <f t="shared" si="49"/>
        <v>1469.5368880256297</v>
      </c>
    </row>
    <row r="179" spans="1:65" x14ac:dyDescent="0.25">
      <c r="A179">
        <v>170</v>
      </c>
      <c r="B179" s="17">
        <f t="shared" si="38"/>
        <v>243.74547455471367</v>
      </c>
      <c r="C179" s="17">
        <f t="shared" si="39"/>
        <v>285.83827082417753</v>
      </c>
      <c r="D179" s="17">
        <f t="shared" si="40"/>
        <v>244.05991901669705</v>
      </c>
      <c r="G179" s="1">
        <v>170</v>
      </c>
      <c r="H179" s="17">
        <v>47.957907617706041</v>
      </c>
      <c r="I179" s="17">
        <v>51.429289097095513</v>
      </c>
      <c r="J179" s="17">
        <v>49.331532548544772</v>
      </c>
      <c r="M179" s="17">
        <v>246.44556545884379</v>
      </c>
      <c r="N179" s="17">
        <v>6.9980977974810923</v>
      </c>
      <c r="O179" s="17">
        <v>7.2583906900657951</v>
      </c>
      <c r="P179" s="17">
        <v>6.4137512302234514</v>
      </c>
      <c r="S179" s="5">
        <f t="shared" si="41"/>
        <v>237.05417221002074</v>
      </c>
      <c r="T179" s="17"/>
      <c r="U179" s="5">
        <f t="shared" si="42"/>
        <v>239.38837426427412</v>
      </c>
      <c r="W179" s="5">
        <f t="shared" si="43"/>
        <v>241.97405174043246</v>
      </c>
      <c r="Y179">
        <f t="shared" si="50"/>
        <v>170</v>
      </c>
      <c r="Z179" s="3">
        <f t="shared" si="51"/>
        <v>1619.537324634166</v>
      </c>
      <c r="AA179" s="3">
        <f t="shared" si="52"/>
        <v>1515.2367881041187</v>
      </c>
      <c r="AB179" s="3">
        <f t="shared" si="53"/>
        <v>1483.4225504112908</v>
      </c>
      <c r="AC179" s="3">
        <f t="shared" si="54"/>
        <v>1469.3151367190183</v>
      </c>
      <c r="BC179" s="17">
        <f t="shared" si="55"/>
        <v>243.74547455471367</v>
      </c>
      <c r="BD179" s="3">
        <f t="shared" si="56"/>
        <v>1619.537324634166</v>
      </c>
      <c r="BF179" s="5">
        <f t="shared" si="44"/>
        <v>237.05417221002074</v>
      </c>
      <c r="BG179">
        <f t="shared" si="45"/>
        <v>1515.2367881041187</v>
      </c>
      <c r="BI179" s="5">
        <f t="shared" si="46"/>
        <v>239.38837426427412</v>
      </c>
      <c r="BJ179">
        <f t="shared" si="47"/>
        <v>1483.4225504112908</v>
      </c>
      <c r="BL179" s="5">
        <f t="shared" si="48"/>
        <v>241.97405174043246</v>
      </c>
      <c r="BM179">
        <f t="shared" si="49"/>
        <v>1469.3151367190183</v>
      </c>
    </row>
    <row r="180" spans="1:65" x14ac:dyDescent="0.25">
      <c r="A180">
        <v>171</v>
      </c>
      <c r="B180" s="17">
        <f t="shared" si="38"/>
        <v>245.36514139674384</v>
      </c>
      <c r="C180" s="17">
        <f t="shared" si="39"/>
        <v>287.6933083271249</v>
      </c>
      <c r="D180" s="17">
        <f t="shared" si="40"/>
        <v>245.64509494463124</v>
      </c>
      <c r="G180" s="1">
        <v>171</v>
      </c>
      <c r="H180" s="17">
        <v>47.976228106907307</v>
      </c>
      <c r="I180" s="17">
        <v>51.457289445775963</v>
      </c>
      <c r="J180" s="17">
        <v>49.351919535891497</v>
      </c>
      <c r="M180" s="17">
        <v>247.5982975139141</v>
      </c>
      <c r="N180" s="17">
        <v>7.0118034863624157</v>
      </c>
      <c r="O180" s="17">
        <v>7.2730172083869551</v>
      </c>
      <c r="P180" s="17">
        <v>6.434450290524838</v>
      </c>
      <c r="S180" s="5">
        <f t="shared" si="41"/>
        <v>238.57093199264875</v>
      </c>
      <c r="T180" s="17"/>
      <c r="U180" s="5">
        <f t="shared" si="42"/>
        <v>240.87266591602233</v>
      </c>
      <c r="W180" s="5">
        <f t="shared" si="43"/>
        <v>243.44312897177613</v>
      </c>
      <c r="Y180">
        <f t="shared" si="50"/>
        <v>171</v>
      </c>
      <c r="Z180" s="3">
        <f t="shared" si="51"/>
        <v>1619.6668420301705</v>
      </c>
      <c r="AA180" s="3">
        <f t="shared" si="52"/>
        <v>1516.7597826280144</v>
      </c>
      <c r="AB180" s="3">
        <f t="shared" si="53"/>
        <v>1484.2916517482081</v>
      </c>
      <c r="AC180" s="3">
        <f t="shared" si="54"/>
        <v>1469.0772313436753</v>
      </c>
      <c r="BC180" s="17">
        <f t="shared" si="55"/>
        <v>245.36514139674384</v>
      </c>
      <c r="BD180" s="3">
        <f t="shared" si="56"/>
        <v>1619.6668420301705</v>
      </c>
      <c r="BF180" s="5">
        <f t="shared" si="44"/>
        <v>238.57093199264875</v>
      </c>
      <c r="BG180">
        <f t="shared" si="45"/>
        <v>1516.7597826280144</v>
      </c>
      <c r="BI180" s="5">
        <f t="shared" si="46"/>
        <v>240.87266591602233</v>
      </c>
      <c r="BJ180">
        <f t="shared" si="47"/>
        <v>1484.2916517482081</v>
      </c>
      <c r="BL180" s="5">
        <f t="shared" si="48"/>
        <v>243.44312897177613</v>
      </c>
      <c r="BM180">
        <f t="shared" si="49"/>
        <v>1469.0772313436753</v>
      </c>
    </row>
    <row r="181" spans="1:65" x14ac:dyDescent="0.25">
      <c r="A181">
        <v>172</v>
      </c>
      <c r="B181" s="17">
        <f t="shared" si="38"/>
        <v>246.98486894945145</v>
      </c>
      <c r="C181" s="17">
        <f t="shared" si="39"/>
        <v>289.5478750047892</v>
      </c>
      <c r="D181" s="17">
        <f t="shared" si="40"/>
        <v>247.22959979322084</v>
      </c>
      <c r="G181" s="1">
        <v>172</v>
      </c>
      <c r="H181" s="17">
        <v>47.994593146287002</v>
      </c>
      <c r="I181" s="17">
        <v>51.48537786147034</v>
      </c>
      <c r="J181" s="17">
        <v>49.372349850870101</v>
      </c>
      <c r="M181" s="17">
        <v>248.75102956898439</v>
      </c>
      <c r="N181" s="17">
        <v>7.0252501154392366</v>
      </c>
      <c r="O181" s="17">
        <v>7.2873912631992548</v>
      </c>
      <c r="P181" s="17">
        <v>6.4550502742980678</v>
      </c>
      <c r="S181" s="5">
        <f t="shared" si="41"/>
        <v>240.08916653368595</v>
      </c>
      <c r="T181" s="17"/>
      <c r="U181" s="5">
        <f t="shared" si="42"/>
        <v>242.35779254939808</v>
      </c>
      <c r="W181" s="5">
        <f t="shared" si="43"/>
        <v>244.91195214367579</v>
      </c>
      <c r="Y181">
        <f t="shared" si="50"/>
        <v>172</v>
      </c>
      <c r="Z181" s="3">
        <f t="shared" si="51"/>
        <v>1619.7275527076158</v>
      </c>
      <c r="AA181" s="3">
        <f t="shared" si="52"/>
        <v>1518.2345410372022</v>
      </c>
      <c r="AB181" s="3">
        <f t="shared" si="53"/>
        <v>1485.1266333757565</v>
      </c>
      <c r="AC181" s="3">
        <f t="shared" si="54"/>
        <v>1468.8231718996576</v>
      </c>
      <c r="BC181" s="17">
        <f t="shared" si="55"/>
        <v>246.98486894945145</v>
      </c>
      <c r="BD181" s="3">
        <f t="shared" si="56"/>
        <v>1619.7275527076158</v>
      </c>
      <c r="BF181" s="5">
        <f t="shared" si="44"/>
        <v>240.08916653368595</v>
      </c>
      <c r="BG181">
        <f t="shared" si="45"/>
        <v>1518.2345410372022</v>
      </c>
      <c r="BI181" s="5">
        <f t="shared" si="46"/>
        <v>242.35779254939808</v>
      </c>
      <c r="BJ181">
        <f t="shared" si="47"/>
        <v>1485.1266333757565</v>
      </c>
      <c r="BL181" s="5">
        <f t="shared" si="48"/>
        <v>244.91195214367579</v>
      </c>
      <c r="BM181">
        <f t="shared" si="49"/>
        <v>1468.8231718996576</v>
      </c>
    </row>
    <row r="182" spans="1:65" x14ac:dyDescent="0.25">
      <c r="A182">
        <v>173</v>
      </c>
      <c r="B182" s="17">
        <f t="shared" si="38"/>
        <v>248.60458894046539</v>
      </c>
      <c r="C182" s="17">
        <f t="shared" si="39"/>
        <v>291.40189862796132</v>
      </c>
      <c r="D182" s="17">
        <f t="shared" si="40"/>
        <v>248.81336387100194</v>
      </c>
      <c r="G182" s="1">
        <v>173</v>
      </c>
      <c r="H182" s="17">
        <v>48.013004313148457</v>
      </c>
      <c r="I182" s="17">
        <v>51.513553774748473</v>
      </c>
      <c r="J182" s="17">
        <v>49.392823692993368</v>
      </c>
      <c r="M182" s="17">
        <v>249.90376162405471</v>
      </c>
      <c r="N182" s="17">
        <v>7.0384425682078584</v>
      </c>
      <c r="O182" s="17">
        <v>7.3015171872987281</v>
      </c>
      <c r="P182" s="17">
        <v>6.4755484396910559</v>
      </c>
      <c r="S182" s="5">
        <f t="shared" si="41"/>
        <v>241.6088275970173</v>
      </c>
      <c r="T182" s="17"/>
      <c r="U182" s="5">
        <f t="shared" si="42"/>
        <v>243.84372004469219</v>
      </c>
      <c r="W182" s="5">
        <f t="shared" si="43"/>
        <v>246.38050510206267</v>
      </c>
      <c r="Y182">
        <f t="shared" si="50"/>
        <v>173</v>
      </c>
      <c r="Z182" s="3">
        <f t="shared" si="51"/>
        <v>1619.7199910139375</v>
      </c>
      <c r="AA182" s="3">
        <f t="shared" si="52"/>
        <v>1519.6610633313412</v>
      </c>
      <c r="AB182" s="3">
        <f t="shared" si="53"/>
        <v>1485.9274952941064</v>
      </c>
      <c r="AC182" s="3">
        <f t="shared" si="54"/>
        <v>1468.5529583868799</v>
      </c>
      <c r="BC182" s="17">
        <f t="shared" si="55"/>
        <v>248.60458894046539</v>
      </c>
      <c r="BD182" s="3">
        <f t="shared" si="56"/>
        <v>1619.7199910139375</v>
      </c>
      <c r="BF182" s="5">
        <f t="shared" si="44"/>
        <v>241.6088275970173</v>
      </c>
      <c r="BG182">
        <f t="shared" si="45"/>
        <v>1519.6610633313412</v>
      </c>
      <c r="BI182" s="5">
        <f t="shared" si="46"/>
        <v>243.84372004469219</v>
      </c>
      <c r="BJ182">
        <f t="shared" si="47"/>
        <v>1485.9274952941064</v>
      </c>
      <c r="BL182" s="5">
        <f t="shared" si="48"/>
        <v>246.38050510206267</v>
      </c>
      <c r="BM182">
        <f t="shared" si="49"/>
        <v>1468.5529583868799</v>
      </c>
    </row>
    <row r="183" spans="1:65" x14ac:dyDescent="0.25">
      <c r="A183">
        <v>174</v>
      </c>
      <c r="B183" s="17">
        <f t="shared" si="38"/>
        <v>250.22423363176213</v>
      </c>
      <c r="C183" s="17">
        <f t="shared" si="39"/>
        <v>293.25530758836902</v>
      </c>
      <c r="D183" s="17">
        <f t="shared" si="40"/>
        <v>250.39631807153148</v>
      </c>
      <c r="G183" s="1">
        <v>174</v>
      </c>
      <c r="H183" s="17">
        <v>48.031463184795072</v>
      </c>
      <c r="I183" s="17">
        <v>51.541816616180178</v>
      </c>
      <c r="J183" s="17">
        <v>49.413341261774107</v>
      </c>
      <c r="M183" s="17">
        <v>251.056493679125</v>
      </c>
      <c r="N183" s="17">
        <v>7.0513857281645889</v>
      </c>
      <c r="O183" s="17">
        <v>7.315399313481409</v>
      </c>
      <c r="P183" s="17">
        <v>6.4959420448517138</v>
      </c>
      <c r="S183" s="5">
        <f t="shared" si="41"/>
        <v>243.12986694652807</v>
      </c>
      <c r="T183" s="17"/>
      <c r="U183" s="5">
        <f t="shared" si="42"/>
        <v>245.33041428219525</v>
      </c>
      <c r="W183" s="5">
        <f t="shared" si="43"/>
        <v>247.84877169286813</v>
      </c>
      <c r="Y183">
        <f t="shared" si="50"/>
        <v>174</v>
      </c>
      <c r="Z183" s="3">
        <f t="shared" si="51"/>
        <v>1619.6446912967417</v>
      </c>
      <c r="AA183" s="3">
        <f t="shared" si="52"/>
        <v>1521.0393495107724</v>
      </c>
      <c r="AB183" s="3">
        <f t="shared" si="53"/>
        <v>1486.694237503059</v>
      </c>
      <c r="AC183" s="3">
        <f t="shared" si="54"/>
        <v>1468.266590805456</v>
      </c>
      <c r="BC183" s="17">
        <f t="shared" si="55"/>
        <v>250.22423363176213</v>
      </c>
      <c r="BD183" s="3">
        <f t="shared" si="56"/>
        <v>1619.6446912967417</v>
      </c>
      <c r="BF183" s="5">
        <f t="shared" si="44"/>
        <v>243.12986694652807</v>
      </c>
      <c r="BG183">
        <f t="shared" si="45"/>
        <v>1521.0393495107724</v>
      </c>
      <c r="BI183" s="5">
        <f t="shared" si="46"/>
        <v>245.33041428219525</v>
      </c>
      <c r="BJ183">
        <f t="shared" si="47"/>
        <v>1486.694237503059</v>
      </c>
      <c r="BL183" s="5">
        <f t="shared" si="48"/>
        <v>247.84877169286813</v>
      </c>
      <c r="BM183">
        <f t="shared" si="49"/>
        <v>1468.266590805456</v>
      </c>
    </row>
    <row r="184" spans="1:65" x14ac:dyDescent="0.25">
      <c r="A184">
        <v>175</v>
      </c>
      <c r="B184" s="17">
        <f t="shared" si="38"/>
        <v>251.84373581966528</v>
      </c>
      <c r="C184" s="17">
        <f t="shared" si="39"/>
        <v>295.10803089867619</v>
      </c>
      <c r="D184" s="17">
        <f t="shared" si="40"/>
        <v>251.97839387338664</v>
      </c>
      <c r="G184" s="1">
        <v>175</v>
      </c>
      <c r="H184" s="17">
        <v>48.049971338530163</v>
      </c>
      <c r="I184" s="17">
        <v>51.570165816335319</v>
      </c>
      <c r="J184" s="17">
        <v>49.433902756725132</v>
      </c>
      <c r="M184" s="17">
        <v>252.20922573419529</v>
      </c>
      <c r="N184" s="17">
        <v>7.0640844788057331</v>
      </c>
      <c r="O184" s="17">
        <v>7.3290419745433333</v>
      </c>
      <c r="P184" s="17">
        <v>6.5162283479279539</v>
      </c>
      <c r="S184" s="5">
        <f t="shared" si="41"/>
        <v>244.65223634610348</v>
      </c>
      <c r="T184" s="17"/>
      <c r="U184" s="5">
        <f t="shared" si="42"/>
        <v>246.81784114219806</v>
      </c>
      <c r="W184" s="5">
        <f t="shared" si="43"/>
        <v>249.31673576202348</v>
      </c>
      <c r="Y184">
        <f t="shared" si="50"/>
        <v>175</v>
      </c>
      <c r="Z184" s="3">
        <f t="shared" si="51"/>
        <v>1619.5021879031515</v>
      </c>
      <c r="AA184" s="3">
        <f t="shared" si="52"/>
        <v>1522.3693995754104</v>
      </c>
      <c r="AB184" s="3">
        <f t="shared" si="53"/>
        <v>1487.4268600028131</v>
      </c>
      <c r="AC184" s="3">
        <f t="shared" si="54"/>
        <v>1467.9640691553573</v>
      </c>
      <c r="BC184" s="17">
        <f t="shared" si="55"/>
        <v>251.84373581966528</v>
      </c>
      <c r="BD184" s="3">
        <f t="shared" si="56"/>
        <v>1619.5021879031515</v>
      </c>
      <c r="BF184" s="5">
        <f t="shared" si="44"/>
        <v>244.65223634610348</v>
      </c>
      <c r="BG184">
        <f t="shared" si="45"/>
        <v>1522.3693995754104</v>
      </c>
      <c r="BI184" s="5">
        <f t="shared" si="46"/>
        <v>246.81784114219806</v>
      </c>
      <c r="BJ184">
        <f t="shared" si="47"/>
        <v>1487.4268600028131</v>
      </c>
      <c r="BL184" s="5">
        <f t="shared" si="48"/>
        <v>249.31673576202348</v>
      </c>
      <c r="BM184">
        <f t="shared" si="49"/>
        <v>1467.9640691553573</v>
      </c>
    </row>
    <row r="185" spans="1:65" x14ac:dyDescent="0.25">
      <c r="A185">
        <v>176</v>
      </c>
      <c r="B185" s="17">
        <f t="shared" si="38"/>
        <v>253.46302883484606</v>
      </c>
      <c r="C185" s="17">
        <f t="shared" si="39"/>
        <v>296.95999819248362</v>
      </c>
      <c r="D185" s="17">
        <f t="shared" si="40"/>
        <v>253.55952334016544</v>
      </c>
      <c r="G185" s="1">
        <v>176</v>
      </c>
      <c r="H185" s="17">
        <v>48.068530351657117</v>
      </c>
      <c r="I185" s="17">
        <v>51.598600805783711</v>
      </c>
      <c r="J185" s="17">
        <v>49.45450837735924</v>
      </c>
      <c r="M185" s="17">
        <v>253.3619577892656</v>
      </c>
      <c r="N185" s="17">
        <v>7.0765437036275971</v>
      </c>
      <c r="O185" s="17">
        <v>7.3424495032805366</v>
      </c>
      <c r="P185" s="17">
        <v>6.5364046070676904</v>
      </c>
      <c r="S185" s="5">
        <f t="shared" si="41"/>
        <v>246.17588755962862</v>
      </c>
      <c r="T185" s="17"/>
      <c r="U185" s="5">
        <f t="shared" si="42"/>
        <v>248.30596650499126</v>
      </c>
      <c r="W185" s="5">
        <f t="shared" si="43"/>
        <v>250.78438115546007</v>
      </c>
      <c r="Y185">
        <f t="shared" si="50"/>
        <v>176</v>
      </c>
      <c r="Z185" s="3">
        <f t="shared" si="51"/>
        <v>1619.293015180773</v>
      </c>
      <c r="AA185" s="3">
        <f t="shared" si="52"/>
        <v>1523.6512135251417</v>
      </c>
      <c r="AB185" s="3">
        <f t="shared" si="53"/>
        <v>1488.1253627931983</v>
      </c>
      <c r="AC185" s="3">
        <f t="shared" si="54"/>
        <v>1467.6453934365838</v>
      </c>
      <c r="BC185" s="17">
        <f t="shared" si="55"/>
        <v>253.46302883484606</v>
      </c>
      <c r="BD185" s="3">
        <f t="shared" si="56"/>
        <v>1619.293015180773</v>
      </c>
      <c r="BF185" s="5">
        <f t="shared" si="44"/>
        <v>246.17588755962862</v>
      </c>
      <c r="BG185">
        <f t="shared" si="45"/>
        <v>1523.6512135251417</v>
      </c>
      <c r="BI185" s="5">
        <f t="shared" si="46"/>
        <v>248.30596650499126</v>
      </c>
      <c r="BJ185">
        <f t="shared" si="47"/>
        <v>1488.1253627931983</v>
      </c>
      <c r="BL185" s="5">
        <f t="shared" si="48"/>
        <v>250.78438115546007</v>
      </c>
      <c r="BM185">
        <f t="shared" si="49"/>
        <v>1467.6453934365838</v>
      </c>
    </row>
    <row r="186" spans="1:65" x14ac:dyDescent="0.25">
      <c r="A186">
        <v>177</v>
      </c>
      <c r="B186" s="17">
        <f t="shared" si="38"/>
        <v>255.08204654232304</v>
      </c>
      <c r="C186" s="17">
        <f t="shared" si="39"/>
        <v>298.81113972432871</v>
      </c>
      <c r="D186" s="17">
        <f t="shared" si="40"/>
        <v>255.13963912048658</v>
      </c>
      <c r="G186" s="1">
        <v>177</v>
      </c>
      <c r="H186" s="17">
        <v>48.087141801479277</v>
      </c>
      <c r="I186" s="17">
        <v>51.627121015095199</v>
      </c>
      <c r="J186" s="17">
        <v>49.475158323189241</v>
      </c>
      <c r="M186" s="17">
        <v>254.514689844336</v>
      </c>
      <c r="N186" s="17">
        <v>7.0887682861264869</v>
      </c>
      <c r="O186" s="17">
        <v>7.355626232489052</v>
      </c>
      <c r="P186" s="17">
        <v>6.5564680804188349</v>
      </c>
      <c r="S186" s="5">
        <f t="shared" si="41"/>
        <v>247.70077235098867</v>
      </c>
      <c r="T186" s="17"/>
      <c r="U186" s="5">
        <f t="shared" si="42"/>
        <v>249.79475625086562</v>
      </c>
      <c r="W186" s="5">
        <f t="shared" si="43"/>
        <v>252.25169171910903</v>
      </c>
      <c r="Y186">
        <f t="shared" si="50"/>
        <v>177</v>
      </c>
      <c r="Z186" s="3">
        <f t="shared" si="51"/>
        <v>1619.0177074769849</v>
      </c>
      <c r="AA186" s="3">
        <f t="shared" si="52"/>
        <v>1524.8847913600514</v>
      </c>
      <c r="AB186" s="3">
        <f t="shared" si="53"/>
        <v>1488.7897458743566</v>
      </c>
      <c r="AC186" s="3">
        <f t="shared" si="54"/>
        <v>1467.3105636489652</v>
      </c>
      <c r="BC186" s="17">
        <f t="shared" si="55"/>
        <v>255.08204654232304</v>
      </c>
      <c r="BD186" s="3">
        <f t="shared" si="56"/>
        <v>1619.0177074769849</v>
      </c>
      <c r="BF186" s="5">
        <f t="shared" si="44"/>
        <v>247.70077235098867</v>
      </c>
      <c r="BG186">
        <f t="shared" si="45"/>
        <v>1524.8847913600514</v>
      </c>
      <c r="BI186" s="5">
        <f t="shared" si="46"/>
        <v>249.79475625086562</v>
      </c>
      <c r="BJ186">
        <f t="shared" si="47"/>
        <v>1488.7897458743566</v>
      </c>
      <c r="BL186" s="5">
        <f t="shared" si="48"/>
        <v>252.25169171910903</v>
      </c>
      <c r="BM186">
        <f t="shared" si="49"/>
        <v>1467.3105636489652</v>
      </c>
    </row>
    <row r="187" spans="1:65" x14ac:dyDescent="0.25">
      <c r="A187">
        <v>178</v>
      </c>
      <c r="B187" s="17">
        <f t="shared" si="38"/>
        <v>256.70072334146232</v>
      </c>
      <c r="C187" s="17">
        <f t="shared" si="39"/>
        <v>300.66138636968537</v>
      </c>
      <c r="D187" s="17">
        <f t="shared" si="40"/>
        <v>256.71867444798909</v>
      </c>
      <c r="G187" s="1">
        <v>178</v>
      </c>
      <c r="H187" s="17">
        <v>48.105807265300022</v>
      </c>
      <c r="I187" s="17">
        <v>51.655725874839632</v>
      </c>
      <c r="J187" s="17">
        <v>49.495852793727927</v>
      </c>
      <c r="M187" s="17">
        <v>255.66742189940629</v>
      </c>
      <c r="N187" s="17">
        <v>7.1007631097987094</v>
      </c>
      <c r="O187" s="17">
        <v>7.3685764949649162</v>
      </c>
      <c r="P187" s="17">
        <v>6.5764160261292997</v>
      </c>
      <c r="S187" s="5">
        <f t="shared" si="41"/>
        <v>249.22684248406878</v>
      </c>
      <c r="T187" s="17"/>
      <c r="U187" s="5">
        <f t="shared" si="42"/>
        <v>251.28417626011174</v>
      </c>
      <c r="W187" s="5">
        <f t="shared" si="43"/>
        <v>253.7186512989019</v>
      </c>
      <c r="Y187">
        <f t="shared" si="50"/>
        <v>178</v>
      </c>
      <c r="Z187" s="3">
        <f t="shared" si="51"/>
        <v>1618.6767991392799</v>
      </c>
      <c r="AA187" s="3">
        <f t="shared" si="52"/>
        <v>1526.0701330801112</v>
      </c>
      <c r="AB187" s="3">
        <f t="shared" si="53"/>
        <v>1489.4200092461176</v>
      </c>
      <c r="AC187" s="3">
        <f t="shared" si="54"/>
        <v>1466.9595797928707</v>
      </c>
      <c r="BC187" s="17">
        <f t="shared" si="55"/>
        <v>256.70072334146232</v>
      </c>
      <c r="BD187" s="3">
        <f t="shared" si="56"/>
        <v>1618.6767991392799</v>
      </c>
      <c r="BF187" s="5">
        <f t="shared" si="44"/>
        <v>249.22684248406878</v>
      </c>
      <c r="BG187">
        <f t="shared" si="45"/>
        <v>1526.0701330801112</v>
      </c>
      <c r="BI187" s="5">
        <f t="shared" si="46"/>
        <v>251.28417626011174</v>
      </c>
      <c r="BJ187">
        <f t="shared" si="47"/>
        <v>1489.4200092461176</v>
      </c>
      <c r="BL187" s="5">
        <f t="shared" si="48"/>
        <v>253.7186512989019</v>
      </c>
      <c r="BM187">
        <f t="shared" si="49"/>
        <v>1466.9595797928707</v>
      </c>
    </row>
    <row r="188" spans="1:65" x14ac:dyDescent="0.25">
      <c r="A188">
        <v>179</v>
      </c>
      <c r="B188" s="17">
        <f t="shared" si="38"/>
        <v>258.31899416597724</v>
      </c>
      <c r="C188" s="17">
        <f t="shared" si="39"/>
        <v>302.51066962496429</v>
      </c>
      <c r="D188" s="17">
        <f t="shared" si="40"/>
        <v>258.29656314133285</v>
      </c>
      <c r="G188" s="1">
        <v>179</v>
      </c>
      <c r="H188" s="17">
        <v>48.124528320422712</v>
      </c>
      <c r="I188" s="17">
        <v>51.684414815586813</v>
      </c>
      <c r="J188" s="17">
        <v>49.51659198848813</v>
      </c>
      <c r="M188" s="17">
        <v>256.82015395447661</v>
      </c>
      <c r="N188" s="17">
        <v>7.112533058140567</v>
      </c>
      <c r="O188" s="17">
        <v>7.3813046235041622</v>
      </c>
      <c r="P188" s="17">
        <v>6.596245702346998</v>
      </c>
      <c r="S188" s="5">
        <f t="shared" si="41"/>
        <v>250.75404972275419</v>
      </c>
      <c r="T188" s="17"/>
      <c r="U188" s="5">
        <f t="shared" si="42"/>
        <v>252.7741924130205</v>
      </c>
      <c r="W188" s="5">
        <f t="shared" si="43"/>
        <v>255.18524374076978</v>
      </c>
      <c r="Y188">
        <f t="shared" si="50"/>
        <v>179</v>
      </c>
      <c r="Z188" s="3">
        <f t="shared" si="51"/>
        <v>1618.2708245149229</v>
      </c>
      <c r="AA188" s="3">
        <f t="shared" si="52"/>
        <v>1527.2072386854063</v>
      </c>
      <c r="AB188" s="3">
        <f t="shared" si="53"/>
        <v>1490.0161529087654</v>
      </c>
      <c r="AC188" s="3">
        <f t="shared" si="54"/>
        <v>1466.5924418678742</v>
      </c>
      <c r="BC188" s="17">
        <f t="shared" si="55"/>
        <v>258.31899416597724</v>
      </c>
      <c r="BD188" s="3">
        <f t="shared" si="56"/>
        <v>1618.2708245149229</v>
      </c>
      <c r="BF188" s="5">
        <f t="shared" si="44"/>
        <v>250.75404972275419</v>
      </c>
      <c r="BG188">
        <f t="shared" si="45"/>
        <v>1527.2072386854063</v>
      </c>
      <c r="BI188" s="5">
        <f t="shared" si="46"/>
        <v>252.7741924130205</v>
      </c>
      <c r="BJ188">
        <f t="shared" si="47"/>
        <v>1490.0161529087654</v>
      </c>
      <c r="BL188" s="5">
        <f t="shared" si="48"/>
        <v>255.18524374076978</v>
      </c>
      <c r="BM188">
        <f t="shared" si="49"/>
        <v>1466.5924418678742</v>
      </c>
    </row>
    <row r="189" spans="1:65" x14ac:dyDescent="0.25">
      <c r="A189">
        <v>180</v>
      </c>
      <c r="B189" s="17">
        <f t="shared" si="38"/>
        <v>259.93679448392868</v>
      </c>
      <c r="C189" s="17">
        <f t="shared" si="39"/>
        <v>304.35892160751274</v>
      </c>
      <c r="D189" s="17">
        <f t="shared" si="40"/>
        <v>259.8732396041982</v>
      </c>
      <c r="G189" s="1">
        <v>180</v>
      </c>
      <c r="H189" s="17">
        <v>48.143306544150683</v>
      </c>
      <c r="I189" s="17">
        <v>51.713187267906612</v>
      </c>
      <c r="J189" s="17">
        <v>49.537376106982627</v>
      </c>
      <c r="M189" s="17">
        <v>257.97288600954693</v>
      </c>
      <c r="N189" s="17">
        <v>7.1240830146483693</v>
      </c>
      <c r="O189" s="17">
        <v>7.3938149509028257</v>
      </c>
      <c r="P189" s="17">
        <v>6.6159543672198433</v>
      </c>
      <c r="S189" s="5">
        <f t="shared" si="41"/>
        <v>252.28234583092998</v>
      </c>
      <c r="T189" s="17"/>
      <c r="U189" s="5">
        <f t="shared" si="42"/>
        <v>254.26477058988246</v>
      </c>
      <c r="W189" s="5">
        <f t="shared" si="43"/>
        <v>256.65145289064407</v>
      </c>
      <c r="Y189">
        <f t="shared" si="50"/>
        <v>180</v>
      </c>
      <c r="Z189" s="3">
        <f t="shared" si="51"/>
        <v>1617.8003179514349</v>
      </c>
      <c r="AA189" s="3">
        <f t="shared" si="52"/>
        <v>1528.2961081757946</v>
      </c>
      <c r="AB189" s="3">
        <f t="shared" si="53"/>
        <v>1490.578176861959</v>
      </c>
      <c r="AC189" s="3">
        <f t="shared" si="54"/>
        <v>1466.2091498742882</v>
      </c>
      <c r="BC189" s="17">
        <f t="shared" si="55"/>
        <v>259.93679448392868</v>
      </c>
      <c r="BD189" s="3">
        <f t="shared" si="56"/>
        <v>1617.8003179514349</v>
      </c>
      <c r="BF189" s="5">
        <f t="shared" si="44"/>
        <v>252.28234583092998</v>
      </c>
      <c r="BG189">
        <f t="shared" si="45"/>
        <v>1528.2961081757946</v>
      </c>
      <c r="BI189" s="5">
        <f t="shared" si="46"/>
        <v>254.26477058988246</v>
      </c>
      <c r="BJ189">
        <f t="shared" si="47"/>
        <v>1490.578176861959</v>
      </c>
      <c r="BL189" s="5">
        <f t="shared" si="48"/>
        <v>256.65145289064407</v>
      </c>
      <c r="BM189">
        <f t="shared" si="49"/>
        <v>1466.2091498742882</v>
      </c>
    </row>
    <row r="190" spans="1:65" x14ac:dyDescent="0.25">
      <c r="A190">
        <v>181</v>
      </c>
      <c r="B190" s="17">
        <f t="shared" si="38"/>
        <v>261.55406029772496</v>
      </c>
      <c r="C190" s="17">
        <f t="shared" si="39"/>
        <v>306.20607505561435</v>
      </c>
      <c r="D190" s="17">
        <f t="shared" si="40"/>
        <v>261.44863882528614</v>
      </c>
      <c r="F190" s="5"/>
      <c r="G190" s="1">
        <v>181</v>
      </c>
      <c r="H190" s="17">
        <v>48.162143513787321</v>
      </c>
      <c r="I190" s="17">
        <v>51.742042662368853</v>
      </c>
      <c r="J190" s="17">
        <v>49.558205348724243</v>
      </c>
      <c r="M190" s="17">
        <v>259.12561806461719</v>
      </c>
      <c r="N190" s="17">
        <v>7.1354178628184206</v>
      </c>
      <c r="O190" s="17">
        <v>7.4061118099569434</v>
      </c>
      <c r="P190" s="17">
        <v>6.635539278895747</v>
      </c>
      <c r="S190" s="5">
        <f t="shared" si="41"/>
        <v>253.8116825724814</v>
      </c>
      <c r="T190" s="17"/>
      <c r="U190" s="5">
        <f t="shared" si="42"/>
        <v>255.75587667098847</v>
      </c>
      <c r="W190" s="5">
        <f t="shared" si="43"/>
        <v>258.11726259445612</v>
      </c>
      <c r="Y190">
        <f t="shared" si="50"/>
        <v>181</v>
      </c>
      <c r="Z190" s="3">
        <f t="shared" si="51"/>
        <v>1617.2658137962799</v>
      </c>
      <c r="AA190" s="3">
        <f t="shared" si="52"/>
        <v>1529.3367415514183</v>
      </c>
      <c r="AB190" s="3">
        <f t="shared" si="53"/>
        <v>1491.1060811060111</v>
      </c>
      <c r="AC190" s="3">
        <f t="shared" si="54"/>
        <v>1465.8097038120559</v>
      </c>
      <c r="BC190" s="17">
        <f t="shared" si="55"/>
        <v>261.55406029772496</v>
      </c>
      <c r="BD190" s="3">
        <f t="shared" si="56"/>
        <v>1617.2658137962799</v>
      </c>
      <c r="BF190" s="5">
        <f t="shared" si="44"/>
        <v>253.8116825724814</v>
      </c>
      <c r="BG190">
        <f t="shared" si="45"/>
        <v>1529.3367415514183</v>
      </c>
      <c r="BI190" s="5">
        <f t="shared" si="46"/>
        <v>255.75587667098847</v>
      </c>
      <c r="BJ190">
        <f t="shared" si="47"/>
        <v>1491.1060811060111</v>
      </c>
      <c r="BL190" s="5">
        <f t="shared" si="48"/>
        <v>258.11726259445612</v>
      </c>
      <c r="BM190">
        <f t="shared" si="49"/>
        <v>1465.8097038120559</v>
      </c>
    </row>
    <row r="191" spans="1:65" x14ac:dyDescent="0.25">
      <c r="A191">
        <v>182</v>
      </c>
      <c r="B191" s="17">
        <f t="shared" si="38"/>
        <v>263.17072814412171</v>
      </c>
      <c r="C191" s="17">
        <f t="shared" si="39"/>
        <v>308.05206332848962</v>
      </c>
      <c r="D191" s="17">
        <f t="shared" si="40"/>
        <v>263.0226963783183</v>
      </c>
      <c r="F191" s="5"/>
      <c r="G191" s="1">
        <v>182</v>
      </c>
      <c r="H191" s="17">
        <v>48.18104080663597</v>
      </c>
      <c r="I191" s="17">
        <v>51.770980429543371</v>
      </c>
      <c r="J191" s="17">
        <v>49.579079913225762</v>
      </c>
      <c r="M191" s="17">
        <v>260.2783501196875</v>
      </c>
      <c r="N191" s="17">
        <v>7.1465424861470259</v>
      </c>
      <c r="O191" s="17">
        <v>7.4181995334625457</v>
      </c>
      <c r="P191" s="17">
        <v>6.6549976955226224</v>
      </c>
      <c r="S191" s="5">
        <f t="shared" si="41"/>
        <v>255.34201171129354</v>
      </c>
      <c r="T191" s="17"/>
      <c r="U191" s="5">
        <f t="shared" si="42"/>
        <v>257.24747653662911</v>
      </c>
      <c r="W191" s="5">
        <f t="shared" si="43"/>
        <v>259.58265669813704</v>
      </c>
      <c r="Y191">
        <f t="shared" si="50"/>
        <v>182</v>
      </c>
      <c r="Z191" s="3">
        <f t="shared" si="51"/>
        <v>1616.6678463967514</v>
      </c>
      <c r="AA191" s="3">
        <f t="shared" si="52"/>
        <v>1530.3291388121352</v>
      </c>
      <c r="AB191" s="3">
        <f t="shared" si="53"/>
        <v>1491.5998656406373</v>
      </c>
      <c r="AC191" s="3">
        <f t="shared" si="54"/>
        <v>1465.3941036809215</v>
      </c>
      <c r="BC191" s="17">
        <f t="shared" si="55"/>
        <v>263.17072814412171</v>
      </c>
      <c r="BD191" s="3">
        <f t="shared" si="56"/>
        <v>1616.6678463967514</v>
      </c>
      <c r="BF191" s="5">
        <f t="shared" si="44"/>
        <v>255.34201171129354</v>
      </c>
      <c r="BG191">
        <f t="shared" si="45"/>
        <v>1530.3291388121352</v>
      </c>
      <c r="BI191" s="5">
        <f t="shared" si="46"/>
        <v>257.24747653662911</v>
      </c>
      <c r="BJ191">
        <f t="shared" si="47"/>
        <v>1491.5998656406373</v>
      </c>
      <c r="BL191" s="5">
        <f t="shared" si="48"/>
        <v>259.58265669813704</v>
      </c>
      <c r="BM191">
        <f t="shared" si="49"/>
        <v>1465.3941036809215</v>
      </c>
    </row>
    <row r="192" spans="1:65" x14ac:dyDescent="0.25">
      <c r="A192">
        <v>183</v>
      </c>
      <c r="B192" s="17">
        <f t="shared" si="38"/>
        <v>264.78673509422214</v>
      </c>
      <c r="C192" s="17">
        <f t="shared" si="39"/>
        <v>309.89682040629549</v>
      </c>
      <c r="D192" s="17">
        <f t="shared" si="40"/>
        <v>264.59534842203686</v>
      </c>
      <c r="G192" s="1">
        <v>183</v>
      </c>
      <c r="H192" s="17">
        <v>48.2</v>
      </c>
      <c r="I192" s="17">
        <v>51.8</v>
      </c>
      <c r="J192" s="17">
        <v>49.6</v>
      </c>
      <c r="M192" s="17">
        <v>261.43108217475782</v>
      </c>
      <c r="N192" s="17">
        <v>7.1574617681304922</v>
      </c>
      <c r="O192" s="17">
        <v>7.4300824542156718</v>
      </c>
      <c r="P192" s="17">
        <v>6.6743268752483811</v>
      </c>
      <c r="S192" s="5">
        <f t="shared" si="41"/>
        <v>256.87328501125165</v>
      </c>
      <c r="T192" s="17"/>
      <c r="U192" s="5">
        <f t="shared" si="42"/>
        <v>258.73953606709512</v>
      </c>
      <c r="W192" s="5">
        <f t="shared" si="43"/>
        <v>261.04761904761841</v>
      </c>
      <c r="Y192">
        <f t="shared" si="50"/>
        <v>183</v>
      </c>
      <c r="Z192" s="3">
        <f t="shared" si="51"/>
        <v>1616.0069501004273</v>
      </c>
      <c r="AA192" s="3">
        <f t="shared" si="52"/>
        <v>1531.2732999581158</v>
      </c>
      <c r="AB192" s="3">
        <f t="shared" si="53"/>
        <v>1492.0595304660083</v>
      </c>
      <c r="AC192" s="3">
        <f t="shared" si="54"/>
        <v>1464.9623494813682</v>
      </c>
      <c r="BC192" s="17">
        <f t="shared" si="55"/>
        <v>264.78673509422214</v>
      </c>
      <c r="BD192" s="3">
        <f t="shared" si="56"/>
        <v>1616.0069501004273</v>
      </c>
      <c r="BF192" s="5">
        <f t="shared" si="44"/>
        <v>256.87328501125165</v>
      </c>
      <c r="BG192">
        <f t="shared" si="45"/>
        <v>1531.2732999581158</v>
      </c>
      <c r="BI192" s="5">
        <f t="shared" si="46"/>
        <v>258.73953606709512</v>
      </c>
      <c r="BJ192">
        <f t="shared" si="47"/>
        <v>1492.0595304660083</v>
      </c>
      <c r="BL192" s="5">
        <f t="shared" si="48"/>
        <v>261.04761904761841</v>
      </c>
      <c r="BM192">
        <f t="shared" si="49"/>
        <v>1464.9623494813682</v>
      </c>
    </row>
    <row r="193" spans="1:65" x14ac:dyDescent="0.25">
      <c r="A193">
        <v>184</v>
      </c>
      <c r="B193" s="17">
        <f t="shared" si="38"/>
        <v>266.4020187534768</v>
      </c>
      <c r="C193" s="17">
        <f t="shared" si="39"/>
        <v>311.74028089012592</v>
      </c>
      <c r="D193" s="17">
        <f t="shared" si="40"/>
        <v>266.1665317002047</v>
      </c>
      <c r="E193" s="16"/>
      <c r="F193" s="16"/>
      <c r="G193" s="1">
        <v>184</v>
      </c>
      <c r="H193" s="17">
        <v>48.219021630562793</v>
      </c>
      <c r="I193" s="17">
        <v>51.829099472606089</v>
      </c>
      <c r="J193" s="17">
        <v>49.620965059022303</v>
      </c>
      <c r="M193" s="17">
        <v>262.58381422982808</v>
      </c>
      <c r="N193" s="17">
        <v>7.1681805922651254</v>
      </c>
      <c r="O193" s="17">
        <v>7.441764905012354</v>
      </c>
      <c r="P193" s="17">
        <v>6.6935240762209371</v>
      </c>
      <c r="S193" s="5">
        <f t="shared" si="41"/>
        <v>258.40545423624076</v>
      </c>
      <c r="T193" s="17"/>
      <c r="U193" s="5">
        <f t="shared" si="42"/>
        <v>260.23202114267724</v>
      </c>
      <c r="W193" s="5">
        <f t="shared" si="43"/>
        <v>262.5121334888313</v>
      </c>
      <c r="Y193">
        <f t="shared" si="50"/>
        <v>184</v>
      </c>
      <c r="Z193" s="3">
        <f t="shared" si="51"/>
        <v>1615.2836592546578</v>
      </c>
      <c r="AA193" s="3">
        <f t="shared" si="52"/>
        <v>1532.1692249891044</v>
      </c>
      <c r="AB193" s="3">
        <f t="shared" si="53"/>
        <v>1492.485075582124</v>
      </c>
      <c r="AC193" s="3">
        <f t="shared" si="54"/>
        <v>1464.5144412128843</v>
      </c>
      <c r="BC193" s="17">
        <f t="shared" si="55"/>
        <v>266.4020187534768</v>
      </c>
      <c r="BD193" s="3">
        <f t="shared" si="56"/>
        <v>1615.2836592546578</v>
      </c>
      <c r="BF193" s="5">
        <f t="shared" si="44"/>
        <v>258.40545423624076</v>
      </c>
      <c r="BG193">
        <f t="shared" si="45"/>
        <v>1532.1692249891044</v>
      </c>
      <c r="BI193" s="5">
        <f t="shared" si="46"/>
        <v>260.23202114267724</v>
      </c>
      <c r="BJ193">
        <f t="shared" si="47"/>
        <v>1492.485075582124</v>
      </c>
      <c r="BL193" s="5">
        <f t="shared" si="48"/>
        <v>262.5121334888313</v>
      </c>
      <c r="BM193">
        <f t="shared" si="49"/>
        <v>1464.5144412128843</v>
      </c>
    </row>
    <row r="194" spans="1:65" x14ac:dyDescent="0.25">
      <c r="A194">
        <v>185</v>
      </c>
      <c r="B194" s="17">
        <f t="shared" si="38"/>
        <v>268.01651726168336</v>
      </c>
      <c r="C194" s="17">
        <f t="shared" si="39"/>
        <v>313.58238000201084</v>
      </c>
      <c r="D194" s="17">
        <f t="shared" si="40"/>
        <v>267.73618354160516</v>
      </c>
      <c r="G194" s="1">
        <v>185</v>
      </c>
      <c r="H194" s="17">
        <v>48.238102072527802</v>
      </c>
      <c r="I194" s="17">
        <v>51.858271619419021</v>
      </c>
      <c r="J194" s="17">
        <v>49.641971542118128</v>
      </c>
      <c r="M194" s="17">
        <v>263.73654628489851</v>
      </c>
      <c r="N194" s="17">
        <v>7.1787038420472324</v>
      </c>
      <c r="O194" s="17">
        <v>7.4532512186486288</v>
      </c>
      <c r="P194" s="17">
        <v>6.712586556588203</v>
      </c>
      <c r="S194" s="5">
        <f t="shared" si="41"/>
        <v>259.9384711501462</v>
      </c>
      <c r="T194" s="17"/>
      <c r="U194" s="5">
        <f t="shared" si="42"/>
        <v>261.72489764366611</v>
      </c>
      <c r="W194" s="5">
        <f t="shared" si="43"/>
        <v>263.97618386770716</v>
      </c>
      <c r="Y194">
        <f t="shared" si="50"/>
        <v>185</v>
      </c>
      <c r="Z194" s="3">
        <f t="shared" si="51"/>
        <v>1614.4985082065659</v>
      </c>
      <c r="AA194" s="3">
        <f t="shared" si="52"/>
        <v>1533.0169139054419</v>
      </c>
      <c r="AB194" s="3">
        <f t="shared" si="53"/>
        <v>1492.8765009888707</v>
      </c>
      <c r="AC194" s="3">
        <f t="shared" si="54"/>
        <v>1464.0503788758679</v>
      </c>
      <c r="BC194" s="17">
        <f t="shared" si="55"/>
        <v>268.01651726168336</v>
      </c>
      <c r="BD194" s="3">
        <f t="shared" si="56"/>
        <v>1614.4985082065659</v>
      </c>
      <c r="BF194" s="5">
        <f t="shared" si="44"/>
        <v>259.9384711501462</v>
      </c>
      <c r="BG194">
        <f t="shared" si="45"/>
        <v>1533.0169139054419</v>
      </c>
      <c r="BI194" s="5">
        <f t="shared" si="46"/>
        <v>261.72489764366611</v>
      </c>
      <c r="BJ194">
        <f t="shared" si="47"/>
        <v>1492.8765009888707</v>
      </c>
      <c r="BL194" s="5">
        <f t="shared" si="48"/>
        <v>263.97618386770716</v>
      </c>
      <c r="BM194">
        <f t="shared" si="49"/>
        <v>1464.0503788758679</v>
      </c>
    </row>
    <row r="195" spans="1:65" x14ac:dyDescent="0.25">
      <c r="A195">
        <v>186</v>
      </c>
      <c r="B195" s="17">
        <f t="shared" si="38"/>
        <v>269.63016929298755</v>
      </c>
      <c r="C195" s="17">
        <f t="shared" si="39"/>
        <v>315.4230535849174</v>
      </c>
      <c r="D195" s="17">
        <f t="shared" si="40"/>
        <v>269.30424186004223</v>
      </c>
      <c r="G195" s="1">
        <v>186</v>
      </c>
      <c r="H195" s="17">
        <v>48.257236659478522</v>
      </c>
      <c r="I195" s="17">
        <v>51.887507880793692</v>
      </c>
      <c r="J195" s="17">
        <v>49.663015151575472</v>
      </c>
      <c r="M195" s="17">
        <v>264.88927833996883</v>
      </c>
      <c r="N195" s="17">
        <v>7.1890364009731158</v>
      </c>
      <c r="O195" s="17">
        <v>7.4645457279205303</v>
      </c>
      <c r="P195" s="17">
        <v>6.7315115744980911</v>
      </c>
      <c r="S195" s="5">
        <f t="shared" si="41"/>
        <v>261.47228751685304</v>
      </c>
      <c r="T195" s="17"/>
      <c r="U195" s="5">
        <f t="shared" si="42"/>
        <v>263.21813145035253</v>
      </c>
      <c r="W195" s="5">
        <f t="shared" si="43"/>
        <v>265.43975403017726</v>
      </c>
      <c r="Y195">
        <f t="shared" si="50"/>
        <v>186</v>
      </c>
      <c r="Z195" s="3">
        <f t="shared" si="51"/>
        <v>1613.6520313041842</v>
      </c>
      <c r="AA195" s="3">
        <f t="shared" si="52"/>
        <v>1533.8163667068443</v>
      </c>
      <c r="AB195" s="3">
        <f t="shared" si="53"/>
        <v>1493.233806686419</v>
      </c>
      <c r="AC195" s="3">
        <f t="shared" si="54"/>
        <v>1463.5701624700914</v>
      </c>
      <c r="BC195" s="17">
        <f t="shared" si="55"/>
        <v>269.63016929298755</v>
      </c>
      <c r="BD195" s="3">
        <f t="shared" si="56"/>
        <v>1613.6520313041842</v>
      </c>
      <c r="BF195" s="5">
        <f t="shared" si="44"/>
        <v>261.47228751685304</v>
      </c>
      <c r="BG195">
        <f t="shared" si="45"/>
        <v>1533.8163667068443</v>
      </c>
      <c r="BI195" s="5">
        <f t="shared" si="46"/>
        <v>263.21813145035253</v>
      </c>
      <c r="BJ195">
        <f t="shared" si="47"/>
        <v>1493.233806686419</v>
      </c>
      <c r="BL195" s="5">
        <f t="shared" si="48"/>
        <v>265.43975403017726</v>
      </c>
      <c r="BM195">
        <f t="shared" si="49"/>
        <v>1463.5701624700914</v>
      </c>
    </row>
    <row r="196" spans="1:65" x14ac:dyDescent="0.25">
      <c r="A196">
        <v>187</v>
      </c>
      <c r="B196" s="17">
        <f t="shared" si="38"/>
        <v>271.24291405588201</v>
      </c>
      <c r="C196" s="17">
        <f t="shared" si="39"/>
        <v>317.26223810274888</v>
      </c>
      <c r="D196" s="17">
        <f t="shared" si="40"/>
        <v>270.87064515434054</v>
      </c>
      <c r="G196" s="1">
        <v>187</v>
      </c>
      <c r="H196" s="17">
        <v>48.276420724998417</v>
      </c>
      <c r="I196" s="17">
        <v>51.916799697084983</v>
      </c>
      <c r="J196" s="17">
        <v>49.684091589682339</v>
      </c>
      <c r="M196" s="17">
        <v>266.04201039503909</v>
      </c>
      <c r="N196" s="17">
        <v>7.1991831525390841</v>
      </c>
      <c r="O196" s="17">
        <v>7.4756527656240941</v>
      </c>
      <c r="P196" s="17">
        <v>6.750296388098513</v>
      </c>
      <c r="S196" s="5">
        <f t="shared" si="41"/>
        <v>263.00685510024653</v>
      </c>
      <c r="T196" s="17"/>
      <c r="U196" s="5">
        <f t="shared" si="42"/>
        <v>264.71168844302724</v>
      </c>
      <c r="W196" s="5">
        <f t="shared" si="43"/>
        <v>266.90282782217281</v>
      </c>
      <c r="Y196">
        <f t="shared" si="50"/>
        <v>187</v>
      </c>
      <c r="Z196" s="3">
        <f t="shared" si="51"/>
        <v>1612.7447628944651</v>
      </c>
      <c r="AA196" s="3">
        <f t="shared" si="52"/>
        <v>1534.567583393482</v>
      </c>
      <c r="AB196" s="3">
        <f t="shared" si="53"/>
        <v>1493.5569926747121</v>
      </c>
      <c r="AC196" s="3">
        <f t="shared" si="54"/>
        <v>1463.073791995555</v>
      </c>
      <c r="BC196" s="17">
        <f t="shared" si="55"/>
        <v>271.24291405588201</v>
      </c>
      <c r="BD196" s="3">
        <f t="shared" si="56"/>
        <v>1612.7447628944651</v>
      </c>
      <c r="BF196" s="5">
        <f t="shared" si="44"/>
        <v>263.00685510024653</v>
      </c>
      <c r="BG196">
        <f t="shared" si="45"/>
        <v>1534.567583393482</v>
      </c>
      <c r="BI196" s="5">
        <f t="shared" si="46"/>
        <v>264.71168844302724</v>
      </c>
      <c r="BJ196">
        <f t="shared" si="47"/>
        <v>1493.5569926747121</v>
      </c>
      <c r="BL196" s="5">
        <f t="shared" si="48"/>
        <v>266.90282782217281</v>
      </c>
      <c r="BM196">
        <f t="shared" si="49"/>
        <v>1463.073791995555</v>
      </c>
    </row>
    <row r="197" spans="1:65" x14ac:dyDescent="0.25">
      <c r="A197">
        <v>188</v>
      </c>
      <c r="B197" s="17">
        <f t="shared" si="38"/>
        <v>272.854691293207</v>
      </c>
      <c r="C197" s="17">
        <f t="shared" si="39"/>
        <v>319.09987064034556</v>
      </c>
      <c r="D197" s="17">
        <f t="shared" si="40"/>
        <v>272.43533250834543</v>
      </c>
      <c r="G197" s="1">
        <v>188</v>
      </c>
      <c r="H197" s="17">
        <v>48.295649602671013</v>
      </c>
      <c r="I197" s="17">
        <v>51.946138508647792</v>
      </c>
      <c r="J197" s="17">
        <v>49.705196558726733</v>
      </c>
      <c r="M197" s="17">
        <v>267.1947424501094</v>
      </c>
      <c r="N197" s="17">
        <v>7.2091489802414426</v>
      </c>
      <c r="O197" s="17">
        <v>7.4865766645553524</v>
      </c>
      <c r="P197" s="17">
        <v>6.7689382555373836</v>
      </c>
      <c r="S197" s="5">
        <f t="shared" si="41"/>
        <v>264.54212566421171</v>
      </c>
      <c r="T197" s="17"/>
      <c r="U197" s="5">
        <f t="shared" si="42"/>
        <v>266.20553450198082</v>
      </c>
      <c r="W197" s="5">
        <f t="shared" si="43"/>
        <v>268.36538908962524</v>
      </c>
      <c r="Y197">
        <f t="shared" si="50"/>
        <v>188</v>
      </c>
      <c r="Z197" s="3">
        <f t="shared" si="51"/>
        <v>1611.7772373249863</v>
      </c>
      <c r="AA197" s="3">
        <f t="shared" si="52"/>
        <v>1535.2705639651845</v>
      </c>
      <c r="AB197" s="3">
        <f t="shared" si="53"/>
        <v>1493.8460589535794</v>
      </c>
      <c r="AC197" s="3">
        <f t="shared" si="54"/>
        <v>1462.5612674524291</v>
      </c>
      <c r="BC197" s="17">
        <f t="shared" si="55"/>
        <v>272.854691293207</v>
      </c>
      <c r="BD197" s="3">
        <f t="shared" si="56"/>
        <v>1611.7772373249863</v>
      </c>
      <c r="BF197" s="5">
        <f t="shared" si="44"/>
        <v>264.54212566421171</v>
      </c>
      <c r="BG197">
        <f t="shared" si="45"/>
        <v>1535.2705639651845</v>
      </c>
      <c r="BI197" s="5">
        <f t="shared" si="46"/>
        <v>266.20553450198082</v>
      </c>
      <c r="BJ197">
        <f t="shared" si="47"/>
        <v>1493.8460589535794</v>
      </c>
      <c r="BL197" s="5">
        <f t="shared" si="48"/>
        <v>268.36538908962524</v>
      </c>
      <c r="BM197">
        <f t="shared" si="49"/>
        <v>1462.5612674524291</v>
      </c>
    </row>
    <row r="198" spans="1:65" x14ac:dyDescent="0.25">
      <c r="A198">
        <v>189</v>
      </c>
      <c r="B198" s="17">
        <f t="shared" si="38"/>
        <v>274.4654412821501</v>
      </c>
      <c r="C198" s="17">
        <f t="shared" si="39"/>
        <v>320.93588890348417</v>
      </c>
      <c r="D198" s="17">
        <f t="shared" si="40"/>
        <v>273.99824359092258</v>
      </c>
      <c r="G198" s="1">
        <v>189</v>
      </c>
      <c r="H198" s="17">
        <v>48.314918626079752</v>
      </c>
      <c r="I198" s="17">
        <v>51.975515755836987</v>
      </c>
      <c r="J198" s="17">
        <v>49.726325760996637</v>
      </c>
      <c r="M198" s="17">
        <v>268.34747450517972</v>
      </c>
      <c r="N198" s="17">
        <v>7.2189387675764962</v>
      </c>
      <c r="O198" s="17">
        <v>7.4973217575103437</v>
      </c>
      <c r="P198" s="17">
        <v>6.7874344349626146</v>
      </c>
      <c r="S198" s="5">
        <f t="shared" si="41"/>
        <v>266.07805097263383</v>
      </c>
      <c r="T198" s="17"/>
      <c r="U198" s="5">
        <f t="shared" si="42"/>
        <v>267.69963550750407</v>
      </c>
      <c r="W198" s="5">
        <f t="shared" si="43"/>
        <v>269.82742167846578</v>
      </c>
      <c r="Y198">
        <f t="shared" si="50"/>
        <v>189</v>
      </c>
      <c r="Z198" s="3">
        <f t="shared" si="51"/>
        <v>1610.7499889430983</v>
      </c>
      <c r="AA198" s="3">
        <f t="shared" si="52"/>
        <v>1535.9253084221223</v>
      </c>
      <c r="AB198" s="3">
        <f t="shared" si="53"/>
        <v>1494.1010055232482</v>
      </c>
      <c r="AC198" s="3">
        <f t="shared" si="54"/>
        <v>1462.0325888405432</v>
      </c>
      <c r="BC198" s="17">
        <f t="shared" si="55"/>
        <v>274.4654412821501</v>
      </c>
      <c r="BD198" s="3">
        <f t="shared" si="56"/>
        <v>1610.7499889430983</v>
      </c>
      <c r="BF198" s="5">
        <f t="shared" si="44"/>
        <v>266.07805097263383</v>
      </c>
      <c r="BG198">
        <f t="shared" si="45"/>
        <v>1535.9253084221223</v>
      </c>
      <c r="BI198" s="5">
        <f t="shared" si="46"/>
        <v>267.69963550750407</v>
      </c>
      <c r="BJ198">
        <f t="shared" si="47"/>
        <v>1494.1010055232482</v>
      </c>
      <c r="BL198" s="5">
        <f t="shared" si="48"/>
        <v>269.82742167846578</v>
      </c>
      <c r="BM198">
        <f t="shared" si="49"/>
        <v>1462.0325888405432</v>
      </c>
    </row>
    <row r="199" spans="1:65" x14ac:dyDescent="0.25">
      <c r="A199">
        <v>190</v>
      </c>
      <c r="B199" s="17">
        <f t="shared" si="38"/>
        <v>276.07510483424636</v>
      </c>
      <c r="C199" s="17">
        <f t="shared" si="39"/>
        <v>322.77023121887788</v>
      </c>
      <c r="D199" s="17">
        <f t="shared" si="40"/>
        <v>275.55931865595852</v>
      </c>
      <c r="G199" s="1">
        <v>190</v>
      </c>
      <c r="H199" s="17">
        <v>48.334223128808141</v>
      </c>
      <c r="I199" s="17">
        <v>52.004922879007488</v>
      </c>
      <c r="J199" s="17">
        <v>49.747474898780077</v>
      </c>
      <c r="M199" s="17">
        <v>269.50020656024998</v>
      </c>
      <c r="N199" s="17">
        <v>7.2285573980405529</v>
      </c>
      <c r="O199" s="17">
        <v>7.5078923772851009</v>
      </c>
      <c r="P199" s="17">
        <v>6.8057821845221174</v>
      </c>
      <c r="S199" s="5">
        <f t="shared" si="41"/>
        <v>267.61458278939807</v>
      </c>
      <c r="T199" s="17"/>
      <c r="U199" s="5">
        <f t="shared" si="42"/>
        <v>269.19395733988767</v>
      </c>
      <c r="W199" s="5">
        <f t="shared" si="43"/>
        <v>271.28890943462579</v>
      </c>
      <c r="Y199">
        <f t="shared" si="50"/>
        <v>190</v>
      </c>
      <c r="Z199" s="3">
        <f t="shared" si="51"/>
        <v>1609.663552096265</v>
      </c>
      <c r="AA199" s="3">
        <f t="shared" si="52"/>
        <v>1536.5318167642386</v>
      </c>
      <c r="AB199" s="3">
        <f t="shared" si="53"/>
        <v>1494.3218323836049</v>
      </c>
      <c r="AC199" s="3">
        <f t="shared" si="54"/>
        <v>1461.487756160011</v>
      </c>
      <c r="BC199" s="17">
        <f t="shared" si="55"/>
        <v>276.07510483424636</v>
      </c>
      <c r="BD199" s="3">
        <f t="shared" si="56"/>
        <v>1609.663552096265</v>
      </c>
      <c r="BF199" s="5">
        <f t="shared" si="44"/>
        <v>267.61458278939807</v>
      </c>
      <c r="BG199">
        <f t="shared" si="45"/>
        <v>1536.5318167642386</v>
      </c>
      <c r="BI199" s="5">
        <f t="shared" si="46"/>
        <v>269.19395733988767</v>
      </c>
      <c r="BJ199">
        <f t="shared" si="47"/>
        <v>1494.3218323836049</v>
      </c>
      <c r="BL199" s="5">
        <f t="shared" si="48"/>
        <v>271.28890943462579</v>
      </c>
      <c r="BM199">
        <f t="shared" si="49"/>
        <v>1461.487756160011</v>
      </c>
    </row>
    <row r="200" spans="1:65" x14ac:dyDescent="0.25">
      <c r="A200">
        <v>191</v>
      </c>
      <c r="B200" s="17">
        <f t="shared" si="38"/>
        <v>277.68362329537837</v>
      </c>
      <c r="C200" s="17">
        <f t="shared" si="39"/>
        <v>324.60283653417673</v>
      </c>
      <c r="D200" s="17">
        <f t="shared" si="40"/>
        <v>277.11849854236027</v>
      </c>
      <c r="G200" s="1">
        <v>191</v>
      </c>
      <c r="H200" s="17">
        <v>48.353558444439663</v>
      </c>
      <c r="I200" s="17">
        <v>52.034351318514183</v>
      </c>
      <c r="J200" s="17">
        <v>49.768639674365033</v>
      </c>
      <c r="M200" s="17">
        <v>270.65293861532041</v>
      </c>
      <c r="N200" s="17">
        <v>7.2380097551299158</v>
      </c>
      <c r="O200" s="17">
        <v>7.5182928566756591</v>
      </c>
      <c r="P200" s="17">
        <v>6.8239787623638071</v>
      </c>
      <c r="S200" s="5">
        <f t="shared" si="41"/>
        <v>269.15167287838949</v>
      </c>
      <c r="T200" s="17"/>
      <c r="U200" s="5">
        <f t="shared" si="42"/>
        <v>270.68846587942232</v>
      </c>
      <c r="W200" s="5">
        <f t="shared" si="43"/>
        <v>272.74983620403651</v>
      </c>
      <c r="Y200">
        <f t="shared" si="50"/>
        <v>191</v>
      </c>
      <c r="Z200" s="3">
        <f t="shared" si="51"/>
        <v>1608.5184611320074</v>
      </c>
      <c r="AA200" s="3">
        <f t="shared" si="52"/>
        <v>1537.0900889914196</v>
      </c>
      <c r="AB200" s="3">
        <f t="shared" si="53"/>
        <v>1494.5085395346496</v>
      </c>
      <c r="AC200" s="3">
        <f t="shared" si="54"/>
        <v>1460.9267694107189</v>
      </c>
      <c r="BC200" s="17">
        <f t="shared" si="55"/>
        <v>277.68362329537837</v>
      </c>
      <c r="BD200" s="3">
        <f t="shared" si="56"/>
        <v>1608.5184611320074</v>
      </c>
      <c r="BF200" s="5">
        <f t="shared" si="44"/>
        <v>269.15167287838949</v>
      </c>
      <c r="BG200">
        <f t="shared" si="45"/>
        <v>1537.0900889914196</v>
      </c>
      <c r="BI200" s="5">
        <f t="shared" si="46"/>
        <v>270.68846587942232</v>
      </c>
      <c r="BJ200">
        <f t="shared" si="47"/>
        <v>1494.5085395346496</v>
      </c>
      <c r="BL200" s="5">
        <f t="shared" si="48"/>
        <v>272.74983620403651</v>
      </c>
      <c r="BM200">
        <f t="shared" si="49"/>
        <v>1460.9267694107189</v>
      </c>
    </row>
    <row r="201" spans="1:65" x14ac:dyDescent="0.25">
      <c r="A201">
        <v>192</v>
      </c>
      <c r="B201" s="17">
        <f t="shared" si="38"/>
        <v>279.29093854577599</v>
      </c>
      <c r="C201" s="17">
        <f t="shared" si="39"/>
        <v>326.43364441796729</v>
      </c>
      <c r="D201" s="17">
        <f t="shared" si="40"/>
        <v>278.67572467405552</v>
      </c>
      <c r="G201" s="1">
        <v>192</v>
      </c>
      <c r="H201" s="17">
        <v>48.37291990655779</v>
      </c>
      <c r="I201" s="17">
        <v>52.063792514711942</v>
      </c>
      <c r="J201" s="17">
        <v>49.789815790039491</v>
      </c>
      <c r="M201" s="17">
        <v>271.80567067039073</v>
      </c>
      <c r="N201" s="17">
        <v>7.247300722340893</v>
      </c>
      <c r="O201" s="17">
        <v>7.5285275284780528</v>
      </c>
      <c r="P201" s="17">
        <v>6.8420214266355934</v>
      </c>
      <c r="S201" s="5">
        <f t="shared" si="41"/>
        <v>270.6892730034935</v>
      </c>
      <c r="T201" s="17"/>
      <c r="U201" s="5">
        <f t="shared" si="42"/>
        <v>272.18312700639876</v>
      </c>
      <c r="W201" s="5">
        <f t="shared" si="43"/>
        <v>274.21018583262935</v>
      </c>
      <c r="Y201">
        <f t="shared" si="50"/>
        <v>192</v>
      </c>
      <c r="Z201" s="3">
        <f t="shared" si="51"/>
        <v>1607.3152503976189</v>
      </c>
      <c r="AA201" s="3">
        <f t="shared" si="52"/>
        <v>1537.6001251040066</v>
      </c>
      <c r="AB201" s="3">
        <f t="shared" si="53"/>
        <v>1494.6611269764389</v>
      </c>
      <c r="AC201" s="3">
        <f t="shared" si="54"/>
        <v>1460.3496285928372</v>
      </c>
      <c r="BC201" s="17">
        <f t="shared" si="55"/>
        <v>279.29093854577599</v>
      </c>
      <c r="BD201" s="3">
        <f t="shared" si="56"/>
        <v>1607.3152503976189</v>
      </c>
      <c r="BF201" s="5">
        <f t="shared" si="44"/>
        <v>270.6892730034935</v>
      </c>
      <c r="BG201">
        <f t="shared" si="45"/>
        <v>1537.6001251040066</v>
      </c>
      <c r="BI201" s="5">
        <f t="shared" si="46"/>
        <v>272.18312700639876</v>
      </c>
      <c r="BJ201">
        <f t="shared" si="47"/>
        <v>1494.6611269764389</v>
      </c>
      <c r="BL201" s="5">
        <f t="shared" si="48"/>
        <v>274.21018583262935</v>
      </c>
      <c r="BM201">
        <f t="shared" si="49"/>
        <v>1460.3496285928372</v>
      </c>
    </row>
    <row r="202" spans="1:65" x14ac:dyDescent="0.25">
      <c r="A202">
        <v>193</v>
      </c>
      <c r="B202" s="17">
        <f t="shared" ref="B202:B265" si="57">$B$2+$B$3*A202+$B$4*A202^2+$B$5*A202^3+$B$6*A202^4</f>
        <v>280.89699300001649</v>
      </c>
      <c r="C202" s="17">
        <f t="shared" ref="C202:C265" si="58">$C$2+$C$3*A202+$C$4*A202^2+$C$5*A202^3+$C$6*A202^4</f>
        <v>328.26259505977276</v>
      </c>
      <c r="D202" s="17">
        <f t="shared" ref="D202:D265" si="59">$D$2+$D$3*A202+$D$4*A202^2+$D$5*A202^3+$D$6*A202^4</f>
        <v>280.23093905999241</v>
      </c>
      <c r="G202" s="1">
        <v>193</v>
      </c>
      <c r="H202" s="17">
        <v>48.392302848746013</v>
      </c>
      <c r="I202" s="17">
        <v>52.093237907955661</v>
      </c>
      <c r="J202" s="17">
        <v>49.810998948091473</v>
      </c>
      <c r="M202" s="17">
        <v>272.95840272546099</v>
      </c>
      <c r="N202" s="17">
        <v>7.2564351831697893</v>
      </c>
      <c r="O202" s="17">
        <v>7.5386007254883181</v>
      </c>
      <c r="P202" s="17">
        <v>6.8599074354853924</v>
      </c>
      <c r="S202" s="5">
        <f t="shared" ref="S202:S265" si="60">$R$8+$R$9*A202+$R$10*A202*A202+$R$11*A202*A202*A202</f>
        <v>272.22733492859493</v>
      </c>
      <c r="T202" s="17"/>
      <c r="U202" s="5">
        <f t="shared" ref="U202:U265" si="61">$T$8+$T$9*A202+$T$10*A202*A202+$T$11*A202*A202*A202</f>
        <v>273.67790660110762</v>
      </c>
      <c r="W202" s="5">
        <f t="shared" ref="W202:W265" si="62">$V$8+$V$9*A202+$V$10*A202*A202+$V$11*A202*A202*A202</f>
        <v>275.66994216633543</v>
      </c>
      <c r="Y202">
        <f t="shared" si="50"/>
        <v>193</v>
      </c>
      <c r="Z202" s="3">
        <f t="shared" si="51"/>
        <v>1606.0544542405069</v>
      </c>
      <c r="AA202" s="3">
        <f t="shared" si="52"/>
        <v>1538.0619251014309</v>
      </c>
      <c r="AB202" s="3">
        <f t="shared" si="53"/>
        <v>1494.7795947088593</v>
      </c>
      <c r="AC202" s="3">
        <f t="shared" si="54"/>
        <v>1459.7563337060819</v>
      </c>
      <c r="BC202" s="17">
        <f t="shared" si="55"/>
        <v>280.89699300001649</v>
      </c>
      <c r="BD202" s="3">
        <f t="shared" si="56"/>
        <v>1606.0544542405069</v>
      </c>
      <c r="BF202" s="5">
        <f t="shared" ref="BF202:BF265" si="63">S202</f>
        <v>272.22733492859493</v>
      </c>
      <c r="BG202">
        <f t="shared" ref="BG202:BG265" si="64">AA202</f>
        <v>1538.0619251014309</v>
      </c>
      <c r="BI202" s="5">
        <f t="shared" ref="BI202:BI265" si="65">U202</f>
        <v>273.67790660110762</v>
      </c>
      <c r="BJ202">
        <f t="shared" ref="BJ202:BJ265" si="66">AB202</f>
        <v>1494.7795947088593</v>
      </c>
      <c r="BL202" s="5">
        <f t="shared" ref="BL202:BL265" si="67">W202</f>
        <v>275.66994216633543</v>
      </c>
      <c r="BM202">
        <f t="shared" ref="BM202:BM265" si="68">AC202</f>
        <v>1459.7563337060819</v>
      </c>
    </row>
    <row r="203" spans="1:65" x14ac:dyDescent="0.25">
      <c r="A203">
        <v>194</v>
      </c>
      <c r="B203" s="17">
        <f t="shared" si="57"/>
        <v>282.50172960702463</v>
      </c>
      <c r="C203" s="17">
        <f t="shared" si="58"/>
        <v>330.08962927005291</v>
      </c>
      <c r="D203" s="17">
        <f t="shared" si="59"/>
        <v>281.78408429413986</v>
      </c>
      <c r="G203" s="1">
        <v>194</v>
      </c>
      <c r="H203" s="17">
        <v>48.411702604587823</v>
      </c>
      <c r="I203" s="17">
        <v>52.122678938600238</v>
      </c>
      <c r="J203" s="17">
        <v>49.832184850808979</v>
      </c>
      <c r="M203" s="17">
        <v>274.1111347805313</v>
      </c>
      <c r="N203" s="17">
        <v>7.2654180211129109</v>
      </c>
      <c r="O203" s="17">
        <v>7.5485167805024878</v>
      </c>
      <c r="P203" s="17">
        <v>6.8776340470611137</v>
      </c>
      <c r="S203" s="5">
        <f t="shared" si="60"/>
        <v>273.76581041757919</v>
      </c>
      <c r="T203" s="17"/>
      <c r="U203" s="5">
        <f t="shared" si="61"/>
        <v>275.1727705438397</v>
      </c>
      <c r="W203" s="5">
        <f t="shared" si="62"/>
        <v>277.12908905108623</v>
      </c>
      <c r="Y203">
        <f t="shared" ref="Y203:Y266" si="69">A203</f>
        <v>194</v>
      </c>
      <c r="Z203" s="3">
        <f t="shared" ref="Z203:Z266" si="70">(B203-B202)*1000</f>
        <v>1604.7366070081353</v>
      </c>
      <c r="AA203" s="3">
        <f t="shared" ref="AA203:AA266" si="71">(S203-S202)*1000</f>
        <v>1538.4754889842611</v>
      </c>
      <c r="AB203" s="3">
        <f t="shared" ref="AB203:AB266" si="72">(U203-U202)*1000</f>
        <v>1494.8639427320813</v>
      </c>
      <c r="AC203" s="3">
        <f t="shared" ref="AC203:AC266" si="73">(W203-W202)*1000</f>
        <v>1459.146884750794</v>
      </c>
      <c r="BC203" s="17">
        <f t="shared" ref="BC203:BC266" si="74">B203</f>
        <v>282.50172960702463</v>
      </c>
      <c r="BD203" s="3">
        <f t="shared" ref="BD203:BD266" si="75">Z203</f>
        <v>1604.7366070081353</v>
      </c>
      <c r="BF203" s="5">
        <f t="shared" si="63"/>
        <v>273.76581041757919</v>
      </c>
      <c r="BG203">
        <f t="shared" si="64"/>
        <v>1538.4754889842611</v>
      </c>
      <c r="BI203" s="5">
        <f t="shared" si="65"/>
        <v>275.1727705438397</v>
      </c>
      <c r="BJ203">
        <f t="shared" si="66"/>
        <v>1494.8639427320813</v>
      </c>
      <c r="BL203" s="5">
        <f t="shared" si="67"/>
        <v>277.12908905108623</v>
      </c>
      <c r="BM203">
        <f t="shared" si="68"/>
        <v>1459.146884750794</v>
      </c>
    </row>
    <row r="204" spans="1:65" x14ac:dyDescent="0.25">
      <c r="A204">
        <v>195</v>
      </c>
      <c r="B204" s="17">
        <f t="shared" si="57"/>
        <v>284.1050918500726</v>
      </c>
      <c r="C204" s="17">
        <f t="shared" si="58"/>
        <v>331.91468848020406</v>
      </c>
      <c r="D204" s="17">
        <f t="shared" si="59"/>
        <v>283.33510355548736</v>
      </c>
      <c r="G204" s="1">
        <v>195</v>
      </c>
      <c r="H204" s="17">
        <v>48.431114507666699</v>
      </c>
      <c r="I204" s="17">
        <v>52.15210704700057</v>
      </c>
      <c r="J204" s="17">
        <v>49.853369200480003</v>
      </c>
      <c r="M204" s="17">
        <v>275.26386683560162</v>
      </c>
      <c r="N204" s="17">
        <v>7.2742541196665638</v>
      </c>
      <c r="O204" s="17">
        <v>7.5582800263165986</v>
      </c>
      <c r="P204" s="17">
        <v>6.8951985195106706</v>
      </c>
      <c r="S204" s="5">
        <f t="shared" si="60"/>
        <v>275.3046512343314</v>
      </c>
      <c r="T204" s="17"/>
      <c r="U204" s="5">
        <f t="shared" si="61"/>
        <v>276.6676847148857</v>
      </c>
      <c r="W204" s="5">
        <f t="shared" si="62"/>
        <v>278.58761033281303</v>
      </c>
      <c r="Y204">
        <f t="shared" si="69"/>
        <v>195</v>
      </c>
      <c r="Z204" s="3">
        <f t="shared" si="70"/>
        <v>1603.3622430479681</v>
      </c>
      <c r="AA204" s="3">
        <f t="shared" si="71"/>
        <v>1538.840816752213</v>
      </c>
      <c r="AB204" s="3">
        <f t="shared" si="72"/>
        <v>1494.9141710459912</v>
      </c>
      <c r="AC204" s="3">
        <f t="shared" si="73"/>
        <v>1458.521281726803</v>
      </c>
      <c r="BC204" s="17">
        <f t="shared" si="74"/>
        <v>284.1050918500726</v>
      </c>
      <c r="BD204" s="3">
        <f t="shared" si="75"/>
        <v>1603.3622430479681</v>
      </c>
      <c r="BF204" s="5">
        <f t="shared" si="63"/>
        <v>275.3046512343314</v>
      </c>
      <c r="BG204">
        <f t="shared" si="64"/>
        <v>1538.840816752213</v>
      </c>
      <c r="BI204" s="5">
        <f t="shared" si="65"/>
        <v>276.6676847148857</v>
      </c>
      <c r="BJ204">
        <f t="shared" si="66"/>
        <v>1494.9141710459912</v>
      </c>
      <c r="BL204" s="5">
        <f t="shared" si="67"/>
        <v>278.58761033281303</v>
      </c>
      <c r="BM204">
        <f t="shared" si="68"/>
        <v>1458.521281726803</v>
      </c>
    </row>
    <row r="205" spans="1:65" x14ac:dyDescent="0.25">
      <c r="A205">
        <v>196</v>
      </c>
      <c r="B205" s="17">
        <f t="shared" si="57"/>
        <v>285.7070237467799</v>
      </c>
      <c r="C205" s="17">
        <f t="shared" si="58"/>
        <v>333.73771474255955</v>
      </c>
      <c r="D205" s="17">
        <f t="shared" si="59"/>
        <v>284.8839406080449</v>
      </c>
      <c r="G205" s="1">
        <v>196</v>
      </c>
      <c r="H205" s="17">
        <v>48.450533891566117</v>
      </c>
      <c r="I205" s="17">
        <v>52.181513673511532</v>
      </c>
      <c r="J205" s="17">
        <v>49.874547699392529</v>
      </c>
      <c r="M205" s="17">
        <v>276.41659889067188</v>
      </c>
      <c r="N205" s="17">
        <v>7.2829483623270521</v>
      </c>
      <c r="O205" s="17">
        <v>7.5678947957266853</v>
      </c>
      <c r="P205" s="17">
        <v>6.9125981109819774</v>
      </c>
      <c r="S205" s="5">
        <f t="shared" si="60"/>
        <v>276.84380914273669</v>
      </c>
      <c r="T205" s="17"/>
      <c r="U205" s="5">
        <f t="shared" si="61"/>
        <v>278.16261499453634</v>
      </c>
      <c r="W205" s="5">
        <f t="shared" si="62"/>
        <v>280.04548985744702</v>
      </c>
      <c r="Y205">
        <f t="shared" si="69"/>
        <v>196</v>
      </c>
      <c r="Z205" s="3">
        <f t="shared" si="70"/>
        <v>1601.9318967072991</v>
      </c>
      <c r="AA205" s="3">
        <f t="shared" si="71"/>
        <v>1539.1579084052864</v>
      </c>
      <c r="AB205" s="3">
        <f t="shared" si="72"/>
        <v>1494.9302796506458</v>
      </c>
      <c r="AC205" s="3">
        <f t="shared" si="73"/>
        <v>1457.8795246339951</v>
      </c>
      <c r="BC205" s="17">
        <f t="shared" si="74"/>
        <v>285.7070237467799</v>
      </c>
      <c r="BD205" s="3">
        <f t="shared" si="75"/>
        <v>1601.9318967072991</v>
      </c>
      <c r="BF205" s="5">
        <f t="shared" si="63"/>
        <v>276.84380914273669</v>
      </c>
      <c r="BG205">
        <f t="shared" si="64"/>
        <v>1539.1579084052864</v>
      </c>
      <c r="BI205" s="5">
        <f t="shared" si="65"/>
        <v>278.16261499453634</v>
      </c>
      <c r="BJ205">
        <f t="shared" si="66"/>
        <v>1494.9302796506458</v>
      </c>
      <c r="BL205" s="5">
        <f t="shared" si="67"/>
        <v>280.04548985744702</v>
      </c>
      <c r="BM205">
        <f t="shared" si="68"/>
        <v>1457.8795246339951</v>
      </c>
    </row>
    <row r="206" spans="1:65" x14ac:dyDescent="0.25">
      <c r="A206">
        <v>197</v>
      </c>
      <c r="B206" s="17">
        <f t="shared" si="57"/>
        <v>287.3074698491136</v>
      </c>
      <c r="C206" s="17">
        <f t="shared" si="58"/>
        <v>335.55865073038859</v>
      </c>
      <c r="D206" s="17">
        <f t="shared" si="59"/>
        <v>286.43053980084318</v>
      </c>
      <c r="G206" s="1">
        <v>197</v>
      </c>
      <c r="H206" s="17">
        <v>48.469956089869576</v>
      </c>
      <c r="I206" s="17">
        <v>52.210890258488028</v>
      </c>
      <c r="J206" s="17">
        <v>49.895716049834583</v>
      </c>
      <c r="M206" s="17">
        <v>277.56933094574219</v>
      </c>
      <c r="N206" s="17">
        <v>7.2915056325906846</v>
      </c>
      <c r="O206" s="17">
        <v>7.577365421528782</v>
      </c>
      <c r="P206" s="17">
        <v>6.9298300796229464</v>
      </c>
      <c r="S206" s="5">
        <f t="shared" si="60"/>
        <v>278.38323590668034</v>
      </c>
      <c r="T206" s="17"/>
      <c r="U206" s="5">
        <f t="shared" si="61"/>
        <v>279.65752726308227</v>
      </c>
      <c r="W206" s="5">
        <f t="shared" si="62"/>
        <v>281.50271147091962</v>
      </c>
      <c r="Y206">
        <f t="shared" si="69"/>
        <v>197</v>
      </c>
      <c r="Z206" s="3">
        <f t="shared" si="70"/>
        <v>1600.4461023337058</v>
      </c>
      <c r="AA206" s="3">
        <f t="shared" si="71"/>
        <v>1539.4267639436521</v>
      </c>
      <c r="AB206" s="3">
        <f t="shared" si="72"/>
        <v>1494.9122685459315</v>
      </c>
      <c r="AC206" s="3">
        <f t="shared" si="73"/>
        <v>1457.2216134725977</v>
      </c>
      <c r="BC206" s="17">
        <f t="shared" si="74"/>
        <v>287.3074698491136</v>
      </c>
      <c r="BD206" s="3">
        <f t="shared" si="75"/>
        <v>1600.4461023337058</v>
      </c>
      <c r="BF206" s="5">
        <f t="shared" si="63"/>
        <v>278.38323590668034</v>
      </c>
      <c r="BG206">
        <f t="shared" si="64"/>
        <v>1539.4267639436521</v>
      </c>
      <c r="BI206" s="5">
        <f t="shared" si="65"/>
        <v>279.65752726308227</v>
      </c>
      <c r="BJ206">
        <f t="shared" si="66"/>
        <v>1494.9122685459315</v>
      </c>
      <c r="BL206" s="5">
        <f t="shared" si="67"/>
        <v>281.50271147091962</v>
      </c>
      <c r="BM206">
        <f t="shared" si="68"/>
        <v>1457.2216134725977</v>
      </c>
    </row>
    <row r="207" spans="1:65" x14ac:dyDescent="0.25">
      <c r="A207">
        <v>198</v>
      </c>
      <c r="B207" s="17">
        <f t="shared" si="57"/>
        <v>288.90637524338814</v>
      </c>
      <c r="C207" s="17">
        <f t="shared" si="58"/>
        <v>337.37743973789765</v>
      </c>
      <c r="D207" s="17">
        <f t="shared" si="59"/>
        <v>287.97484606793347</v>
      </c>
      <c r="G207" s="1">
        <v>198</v>
      </c>
      <c r="H207" s="17">
        <v>48.489376436160562</v>
      </c>
      <c r="I207" s="17">
        <v>52.240228242284942</v>
      </c>
      <c r="J207" s="17">
        <v>49.916869954094132</v>
      </c>
      <c r="M207" s="17">
        <v>278.72206300081251</v>
      </c>
      <c r="N207" s="17">
        <v>7.2999308139537664</v>
      </c>
      <c r="O207" s="17">
        <v>7.5866962365189234</v>
      </c>
      <c r="P207" s="17">
        <v>6.9468916835814891</v>
      </c>
      <c r="S207" s="5">
        <f t="shared" si="60"/>
        <v>279.92288329004737</v>
      </c>
      <c r="T207" s="17"/>
      <c r="U207" s="5">
        <f t="shared" si="61"/>
        <v>281.15238740081418</v>
      </c>
      <c r="W207" s="5">
        <f t="shared" si="62"/>
        <v>282.959259019162</v>
      </c>
      <c r="Y207">
        <f t="shared" si="69"/>
        <v>198</v>
      </c>
      <c r="Z207" s="3">
        <f t="shared" si="70"/>
        <v>1598.9053942745386</v>
      </c>
      <c r="AA207" s="3">
        <f t="shared" si="71"/>
        <v>1539.6473833670257</v>
      </c>
      <c r="AB207" s="3">
        <f t="shared" si="72"/>
        <v>1494.8601377319051</v>
      </c>
      <c r="AC207" s="3">
        <f t="shared" si="73"/>
        <v>1456.5475482423835</v>
      </c>
      <c r="BC207" s="17">
        <f t="shared" si="74"/>
        <v>288.90637524338814</v>
      </c>
      <c r="BD207" s="3">
        <f t="shared" si="75"/>
        <v>1598.9053942745386</v>
      </c>
      <c r="BF207" s="5">
        <f t="shared" si="63"/>
        <v>279.92288329004737</v>
      </c>
      <c r="BG207">
        <f t="shared" si="64"/>
        <v>1539.6473833670257</v>
      </c>
      <c r="BI207" s="5">
        <f t="shared" si="65"/>
        <v>281.15238740081418</v>
      </c>
      <c r="BJ207">
        <f t="shared" si="66"/>
        <v>1494.8601377319051</v>
      </c>
      <c r="BL207" s="5">
        <f t="shared" si="67"/>
        <v>282.959259019162</v>
      </c>
      <c r="BM207">
        <f t="shared" si="68"/>
        <v>1456.5475482423835</v>
      </c>
    </row>
    <row r="208" spans="1:65" x14ac:dyDescent="0.25">
      <c r="A208">
        <v>199</v>
      </c>
      <c r="B208" s="17">
        <f t="shared" si="57"/>
        <v>290.50368555026535</v>
      </c>
      <c r="C208" s="17">
        <f t="shared" si="58"/>
        <v>339.19402568022952</v>
      </c>
      <c r="D208" s="17">
        <f t="shared" si="59"/>
        <v>289.51680492838767</v>
      </c>
      <c r="G208" s="1">
        <v>199</v>
      </c>
      <c r="H208" s="17">
        <v>48.508790264022551</v>
      </c>
      <c r="I208" s="17">
        <v>52.269519065257157</v>
      </c>
      <c r="J208" s="17">
        <v>49.938005114459209</v>
      </c>
      <c r="M208" s="17">
        <v>279.87479505588283</v>
      </c>
      <c r="N208" s="17">
        <v>7.3082287899125999</v>
      </c>
      <c r="O208" s="17">
        <v>7.5958915734931454</v>
      </c>
      <c r="P208" s="17">
        <v>6.963780181005518</v>
      </c>
      <c r="S208" s="5">
        <f t="shared" si="60"/>
        <v>281.46270305672294</v>
      </c>
      <c r="T208" s="17"/>
      <c r="U208" s="5">
        <f t="shared" si="61"/>
        <v>282.64716128802286</v>
      </c>
      <c r="W208" s="5">
        <f t="shared" si="62"/>
        <v>284.41511634810564</v>
      </c>
      <c r="Y208">
        <f t="shared" si="69"/>
        <v>199</v>
      </c>
      <c r="Z208" s="3">
        <f t="shared" si="70"/>
        <v>1597.3103068772048</v>
      </c>
      <c r="AA208" s="3">
        <f t="shared" si="71"/>
        <v>1539.8197666755777</v>
      </c>
      <c r="AB208" s="3">
        <f t="shared" si="72"/>
        <v>1494.7738872086802</v>
      </c>
      <c r="AC208" s="3">
        <f t="shared" si="73"/>
        <v>1455.8573289436367</v>
      </c>
      <c r="BC208" s="17">
        <f t="shared" si="74"/>
        <v>290.50368555026535</v>
      </c>
      <c r="BD208" s="3">
        <f t="shared" si="75"/>
        <v>1597.3103068772048</v>
      </c>
      <c r="BF208" s="5">
        <f t="shared" si="63"/>
        <v>281.46270305672294</v>
      </c>
      <c r="BG208">
        <f t="shared" si="64"/>
        <v>1539.8197666755777</v>
      </c>
      <c r="BI208" s="5">
        <f t="shared" si="65"/>
        <v>282.64716128802286</v>
      </c>
      <c r="BJ208">
        <f t="shared" si="66"/>
        <v>1494.7738872086802</v>
      </c>
      <c r="BL208" s="5">
        <f t="shared" si="67"/>
        <v>284.41511634810564</v>
      </c>
      <c r="BM208">
        <f t="shared" si="68"/>
        <v>1455.8573289436367</v>
      </c>
    </row>
    <row r="209" spans="1:65" x14ac:dyDescent="0.25">
      <c r="A209">
        <v>200</v>
      </c>
      <c r="B209" s="17">
        <f t="shared" si="57"/>
        <v>292.09934692475451</v>
      </c>
      <c r="C209" s="17">
        <f t="shared" si="58"/>
        <v>341.00835309346365</v>
      </c>
      <c r="D209" s="17">
        <f t="shared" si="59"/>
        <v>291.05636248629821</v>
      </c>
      <c r="G209" s="1">
        <v>200</v>
      </c>
      <c r="H209" s="17">
        <v>48.528192907039021</v>
      </c>
      <c r="I209" s="17">
        <v>52.298754167759583</v>
      </c>
      <c r="J209" s="17">
        <v>49.959117233217789</v>
      </c>
      <c r="M209" s="17">
        <v>281.02752711095309</v>
      </c>
      <c r="N209" s="17">
        <v>7.3164044439634957</v>
      </c>
      <c r="O209" s="17">
        <v>7.60495576524748</v>
      </c>
      <c r="P209" s="17">
        <v>6.9804928300429481</v>
      </c>
      <c r="S209" s="5">
        <f t="shared" si="60"/>
        <v>283.00264697059231</v>
      </c>
      <c r="T209" s="17"/>
      <c r="U209" s="5">
        <f t="shared" si="61"/>
        <v>284.14181480499906</v>
      </c>
      <c r="W209" s="5">
        <f t="shared" si="62"/>
        <v>285.87026730368177</v>
      </c>
      <c r="Y209">
        <f t="shared" si="69"/>
        <v>200</v>
      </c>
      <c r="Z209" s="3">
        <f t="shared" si="70"/>
        <v>1595.6613744891683</v>
      </c>
      <c r="AA209" s="3">
        <f t="shared" si="71"/>
        <v>1539.9439138693651</v>
      </c>
      <c r="AB209" s="3">
        <f t="shared" si="72"/>
        <v>1494.6535169762001</v>
      </c>
      <c r="AC209" s="3">
        <f t="shared" si="73"/>
        <v>1455.1509555761299</v>
      </c>
      <c r="BC209" s="17">
        <f t="shared" si="74"/>
        <v>292.09934692475451</v>
      </c>
      <c r="BD209" s="3">
        <f t="shared" si="75"/>
        <v>1595.6613744891683</v>
      </c>
      <c r="BF209" s="5">
        <f t="shared" si="63"/>
        <v>283.00264697059231</v>
      </c>
      <c r="BG209">
        <f t="shared" si="64"/>
        <v>1539.9439138693651</v>
      </c>
      <c r="BI209" s="5">
        <f t="shared" si="65"/>
        <v>284.14181480499906</v>
      </c>
      <c r="BJ209">
        <f t="shared" si="66"/>
        <v>1494.6535169762001</v>
      </c>
      <c r="BL209" s="5">
        <f t="shared" si="67"/>
        <v>285.87026730368177</v>
      </c>
      <c r="BM209">
        <f t="shared" si="68"/>
        <v>1455.1509555761299</v>
      </c>
    </row>
    <row r="210" spans="1:65" x14ac:dyDescent="0.25">
      <c r="A210">
        <v>201</v>
      </c>
      <c r="B210" s="17">
        <f t="shared" si="57"/>
        <v>293.69330605621207</v>
      </c>
      <c r="C210" s="17">
        <f t="shared" si="58"/>
        <v>342.82036713461639</v>
      </c>
      <c r="D210" s="17">
        <f t="shared" si="59"/>
        <v>292.59346543077828</v>
      </c>
      <c r="G210" s="1">
        <v>201</v>
      </c>
      <c r="H210" s="17">
        <v>48.547579698793463</v>
      </c>
      <c r="I210" s="17">
        <v>52.327924990147082</v>
      </c>
      <c r="J210" s="17">
        <v>49.980202012657877</v>
      </c>
      <c r="M210" s="17">
        <v>282.18025916602352</v>
      </c>
      <c r="N210" s="17">
        <v>7.3244626596027569</v>
      </c>
      <c r="O210" s="17">
        <v>7.6138931445779674</v>
      </c>
      <c r="P210" s="17">
        <v>6.9970268888416891</v>
      </c>
      <c r="S210" s="5">
        <f t="shared" si="60"/>
        <v>284.5426667955407</v>
      </c>
      <c r="T210" s="17"/>
      <c r="U210" s="5">
        <f t="shared" si="61"/>
        <v>285.63631383203335</v>
      </c>
      <c r="W210" s="5">
        <f t="shared" si="62"/>
        <v>287.32469573182163</v>
      </c>
      <c r="Y210">
        <f t="shared" si="69"/>
        <v>201</v>
      </c>
      <c r="Z210" s="3">
        <f t="shared" si="70"/>
        <v>1593.9591314575523</v>
      </c>
      <c r="AA210" s="3">
        <f t="shared" si="71"/>
        <v>1540.0198249483878</v>
      </c>
      <c r="AB210" s="3">
        <f t="shared" si="72"/>
        <v>1494.4990270342942</v>
      </c>
      <c r="AC210" s="3">
        <f t="shared" si="73"/>
        <v>1454.4284281398632</v>
      </c>
      <c r="BC210" s="17">
        <f t="shared" si="74"/>
        <v>293.69330605621207</v>
      </c>
      <c r="BD210" s="3">
        <f t="shared" si="75"/>
        <v>1593.9591314575523</v>
      </c>
      <c r="BF210" s="5">
        <f t="shared" si="63"/>
        <v>284.5426667955407</v>
      </c>
      <c r="BG210">
        <f t="shared" si="64"/>
        <v>1540.0198249483878</v>
      </c>
      <c r="BI210" s="5">
        <f t="shared" si="65"/>
        <v>285.63631383203335</v>
      </c>
      <c r="BJ210">
        <f t="shared" si="66"/>
        <v>1494.4990270342942</v>
      </c>
      <c r="BL210" s="5">
        <f t="shared" si="67"/>
        <v>287.32469573182163</v>
      </c>
      <c r="BM210">
        <f t="shared" si="68"/>
        <v>1454.4284281398632</v>
      </c>
    </row>
    <row r="211" spans="1:65" x14ac:dyDescent="0.25">
      <c r="A211">
        <v>202</v>
      </c>
      <c r="B211" s="17">
        <f t="shared" si="57"/>
        <v>295.28551016834251</v>
      </c>
      <c r="C211" s="17">
        <f t="shared" si="58"/>
        <v>344.63001358164001</v>
      </c>
      <c r="D211" s="17">
        <f t="shared" si="59"/>
        <v>294.12806103596142</v>
      </c>
      <c r="G211" s="1">
        <v>202</v>
      </c>
      <c r="H211" s="17">
        <v>48.566945972869362</v>
      </c>
      <c r="I211" s="17">
        <v>52.357022972774573</v>
      </c>
      <c r="J211" s="17">
        <v>50.00125515506749</v>
      </c>
      <c r="M211" s="17">
        <v>283.33299122109378</v>
      </c>
      <c r="N211" s="17">
        <v>7.3324083203266914</v>
      </c>
      <c r="O211" s="17">
        <v>7.6227080442806363</v>
      </c>
      <c r="P211" s="17">
        <v>7.0133796155496562</v>
      </c>
      <c r="S211" s="5">
        <f t="shared" si="60"/>
        <v>286.08271429545306</v>
      </c>
      <c r="T211" s="17"/>
      <c r="U211" s="5">
        <f t="shared" si="61"/>
        <v>287.13062424941648</v>
      </c>
      <c r="W211" s="5">
        <f t="shared" si="62"/>
        <v>288.77838547845658</v>
      </c>
      <c r="Y211">
        <f t="shared" si="69"/>
        <v>202</v>
      </c>
      <c r="Z211" s="3">
        <f t="shared" si="70"/>
        <v>1592.204112130446</v>
      </c>
      <c r="AA211" s="3">
        <f t="shared" si="71"/>
        <v>1540.0474999123617</v>
      </c>
      <c r="AB211" s="3">
        <f t="shared" si="72"/>
        <v>1494.310417383133</v>
      </c>
      <c r="AC211" s="3">
        <f t="shared" si="73"/>
        <v>1453.6897466349501</v>
      </c>
      <c r="BC211" s="17">
        <f t="shared" si="74"/>
        <v>295.28551016834251</v>
      </c>
      <c r="BD211" s="3">
        <f t="shared" si="75"/>
        <v>1592.204112130446</v>
      </c>
      <c r="BF211" s="5">
        <f t="shared" si="63"/>
        <v>286.08271429545306</v>
      </c>
      <c r="BG211">
        <f t="shared" si="64"/>
        <v>1540.0474999123617</v>
      </c>
      <c r="BI211" s="5">
        <f t="shared" si="65"/>
        <v>287.13062424941648</v>
      </c>
      <c r="BJ211">
        <f t="shared" si="66"/>
        <v>1494.310417383133</v>
      </c>
      <c r="BL211" s="5">
        <f t="shared" si="67"/>
        <v>288.77838547845658</v>
      </c>
      <c r="BM211">
        <f t="shared" si="68"/>
        <v>1453.6897466349501</v>
      </c>
    </row>
    <row r="212" spans="1:65" x14ac:dyDescent="0.25">
      <c r="A212">
        <v>203</v>
      </c>
      <c r="B212" s="17">
        <f t="shared" si="57"/>
        <v>296.87590701919714</v>
      </c>
      <c r="C212" s="17">
        <f t="shared" si="58"/>
        <v>346.43723883342409</v>
      </c>
      <c r="D212" s="17">
        <f t="shared" si="59"/>
        <v>295.660097161002</v>
      </c>
      <c r="G212" s="1">
        <v>203</v>
      </c>
      <c r="H212" s="17">
        <v>48.586287062850197</v>
      </c>
      <c r="I212" s="17">
        <v>52.386039555996923</v>
      </c>
      <c r="J212" s="17">
        <v>50.022272362734597</v>
      </c>
      <c r="M212" s="17">
        <v>284.48572327616409</v>
      </c>
      <c r="N212" s="17">
        <v>7.3402463096316017</v>
      </c>
      <c r="O212" s="17">
        <v>7.631404797151526</v>
      </c>
      <c r="P212" s="17">
        <v>7.0295482683147599</v>
      </c>
      <c r="S212" s="5">
        <f t="shared" si="60"/>
        <v>287.62274123421474</v>
      </c>
      <c r="T212" s="17"/>
      <c r="U212" s="5">
        <f t="shared" si="61"/>
        <v>288.6247119374392</v>
      </c>
      <c r="W212" s="5">
        <f t="shared" si="62"/>
        <v>290.23132038951798</v>
      </c>
      <c r="Y212">
        <f t="shared" si="69"/>
        <v>203</v>
      </c>
      <c r="Z212" s="3">
        <f t="shared" si="70"/>
        <v>1590.3968508546313</v>
      </c>
      <c r="AA212" s="3">
        <f t="shared" si="71"/>
        <v>1540.0269387616845</v>
      </c>
      <c r="AB212" s="3">
        <f t="shared" si="72"/>
        <v>1494.0876880227165</v>
      </c>
      <c r="AC212" s="3">
        <f t="shared" si="73"/>
        <v>1452.9349110613907</v>
      </c>
      <c r="BC212" s="17">
        <f t="shared" si="74"/>
        <v>296.87590701919714</v>
      </c>
      <c r="BD212" s="3">
        <f t="shared" si="75"/>
        <v>1590.3968508546313</v>
      </c>
      <c r="BF212" s="5">
        <f t="shared" si="63"/>
        <v>287.62274123421474</v>
      </c>
      <c r="BG212">
        <f t="shared" si="64"/>
        <v>1540.0269387616845</v>
      </c>
      <c r="BI212" s="5">
        <f t="shared" si="65"/>
        <v>288.6247119374392</v>
      </c>
      <c r="BJ212">
        <f t="shared" si="66"/>
        <v>1494.0876880227165</v>
      </c>
      <c r="BL212" s="5">
        <f t="shared" si="67"/>
        <v>290.23132038951798</v>
      </c>
      <c r="BM212">
        <f t="shared" si="68"/>
        <v>1452.9349110613907</v>
      </c>
    </row>
    <row r="213" spans="1:65" x14ac:dyDescent="0.25">
      <c r="A213">
        <v>204</v>
      </c>
      <c r="B213" s="17">
        <f t="shared" si="57"/>
        <v>298.46444490117494</v>
      </c>
      <c r="C213" s="17">
        <f t="shared" si="58"/>
        <v>348.24198990979465</v>
      </c>
      <c r="D213" s="17">
        <f t="shared" si="59"/>
        <v>297.18952225007496</v>
      </c>
      <c r="G213" s="1">
        <v>204</v>
      </c>
      <c r="H213" s="17">
        <v>48.605598302319471</v>
      </c>
      <c r="I213" s="17">
        <v>52.414966180169039</v>
      </c>
      <c r="J213" s="17">
        <v>50.043249337947231</v>
      </c>
      <c r="M213" s="17">
        <v>285.63845533123441</v>
      </c>
      <c r="N213" s="17">
        <v>7.3479815110137974</v>
      </c>
      <c r="O213" s="17">
        <v>7.6399877359866704</v>
      </c>
      <c r="P213" s="17">
        <v>7.0455301052849144</v>
      </c>
      <c r="S213" s="5">
        <f t="shared" si="60"/>
        <v>289.16269937571082</v>
      </c>
      <c r="T213" s="17"/>
      <c r="U213" s="5">
        <f t="shared" si="61"/>
        <v>290.11854277639225</v>
      </c>
      <c r="W213" s="5">
        <f t="shared" si="62"/>
        <v>291.68348431093699</v>
      </c>
      <c r="Y213">
        <f t="shared" si="69"/>
        <v>204</v>
      </c>
      <c r="Z213" s="3">
        <f t="shared" si="70"/>
        <v>1588.5378819777998</v>
      </c>
      <c r="AA213" s="3">
        <f t="shared" si="71"/>
        <v>1539.9581414960721</v>
      </c>
      <c r="AB213" s="3">
        <f t="shared" si="72"/>
        <v>1493.8308389530448</v>
      </c>
      <c r="AC213" s="3">
        <f t="shared" si="73"/>
        <v>1452.1639214190145</v>
      </c>
      <c r="BC213" s="17">
        <f t="shared" si="74"/>
        <v>298.46444490117494</v>
      </c>
      <c r="BD213" s="3">
        <f t="shared" si="75"/>
        <v>1588.5378819777998</v>
      </c>
      <c r="BF213" s="5">
        <f t="shared" si="63"/>
        <v>289.16269937571082</v>
      </c>
      <c r="BG213">
        <f t="shared" si="64"/>
        <v>1539.9581414960721</v>
      </c>
      <c r="BI213" s="5">
        <f t="shared" si="65"/>
        <v>290.11854277639225</v>
      </c>
      <c r="BJ213">
        <f t="shared" si="66"/>
        <v>1493.8308389530448</v>
      </c>
      <c r="BL213" s="5">
        <f t="shared" si="67"/>
        <v>291.68348431093699</v>
      </c>
      <c r="BM213">
        <f t="shared" si="68"/>
        <v>1452.1639214190145</v>
      </c>
    </row>
    <row r="214" spans="1:65" x14ac:dyDescent="0.25">
      <c r="A214">
        <v>205</v>
      </c>
      <c r="B214" s="17">
        <f t="shared" si="57"/>
        <v>300.05107264102224</v>
      </c>
      <c r="C214" s="17">
        <f t="shared" si="58"/>
        <v>350.04421445151394</v>
      </c>
      <c r="D214" s="17">
        <f t="shared" si="59"/>
        <v>298.71628533237572</v>
      </c>
      <c r="G214" s="1">
        <v>205</v>
      </c>
      <c r="H214" s="17">
        <v>48.62487502486065</v>
      </c>
      <c r="I214" s="17">
        <v>52.443794285645808</v>
      </c>
      <c r="J214" s="17">
        <v>50.064181782993359</v>
      </c>
      <c r="M214" s="17">
        <v>286.79118738630473</v>
      </c>
      <c r="N214" s="17">
        <v>7.3556188079695808</v>
      </c>
      <c r="O214" s="17">
        <v>7.6484611935821034</v>
      </c>
      <c r="P214" s="17">
        <v>7.0613223846080322</v>
      </c>
      <c r="S214" s="5">
        <f t="shared" si="60"/>
        <v>290.70254048382657</v>
      </c>
      <c r="T214" s="17"/>
      <c r="U214" s="5">
        <f t="shared" si="61"/>
        <v>291.61208264656625</v>
      </c>
      <c r="W214" s="5">
        <f t="shared" si="62"/>
        <v>293.1348610886451</v>
      </c>
      <c r="Y214">
        <f t="shared" si="69"/>
        <v>205</v>
      </c>
      <c r="Z214" s="3">
        <f t="shared" si="70"/>
        <v>1586.6277398473017</v>
      </c>
      <c r="AA214" s="3">
        <f t="shared" si="71"/>
        <v>1539.8411081157519</v>
      </c>
      <c r="AB214" s="3">
        <f t="shared" si="72"/>
        <v>1493.5398701740041</v>
      </c>
      <c r="AC214" s="3">
        <f t="shared" si="73"/>
        <v>1451.3767777081057</v>
      </c>
      <c r="BC214" s="17">
        <f t="shared" si="74"/>
        <v>300.05107264102224</v>
      </c>
      <c r="BD214" s="3">
        <f t="shared" si="75"/>
        <v>1586.6277398473017</v>
      </c>
      <c r="BF214" s="5">
        <f t="shared" si="63"/>
        <v>290.70254048382657</v>
      </c>
      <c r="BG214">
        <f t="shared" si="64"/>
        <v>1539.8411081157519</v>
      </c>
      <c r="BI214" s="5">
        <f t="shared" si="65"/>
        <v>291.61208264656625</v>
      </c>
      <c r="BJ214">
        <f t="shared" si="66"/>
        <v>1493.5398701740041</v>
      </c>
      <c r="BL214" s="5">
        <f t="shared" si="67"/>
        <v>293.1348610886451</v>
      </c>
      <c r="BM214">
        <f t="shared" si="68"/>
        <v>1451.3767777081057</v>
      </c>
    </row>
    <row r="215" spans="1:65" x14ac:dyDescent="0.25">
      <c r="A215">
        <v>206</v>
      </c>
      <c r="B215" s="17">
        <f t="shared" si="57"/>
        <v>301.6357395998329</v>
      </c>
      <c r="C215" s="17">
        <f t="shared" si="58"/>
        <v>351.84386072028121</v>
      </c>
      <c r="D215" s="17">
        <f t="shared" si="59"/>
        <v>300.24033602212046</v>
      </c>
      <c r="G215" s="1">
        <v>206</v>
      </c>
      <c r="H215" s="17">
        <v>48.644112564057217</v>
      </c>
      <c r="I215" s="17">
        <v>52.472515312782107</v>
      </c>
      <c r="J215" s="17">
        <v>50.085065400161</v>
      </c>
      <c r="M215" s="17">
        <v>287.94391944137499</v>
      </c>
      <c r="N215" s="17">
        <v>7.3631630839952624</v>
      </c>
      <c r="O215" s="17">
        <v>7.65682950273386</v>
      </c>
      <c r="P215" s="17">
        <v>7.0769223644320256</v>
      </c>
      <c r="S215" s="5">
        <f t="shared" si="60"/>
        <v>292.24221632244718</v>
      </c>
      <c r="T215" s="17"/>
      <c r="U215" s="5">
        <f t="shared" si="61"/>
        <v>293.1052974282519</v>
      </c>
      <c r="W215" s="5">
        <f t="shared" si="62"/>
        <v>294.58543456857342</v>
      </c>
      <c r="Y215">
        <f t="shared" si="69"/>
        <v>206</v>
      </c>
      <c r="Z215" s="3">
        <f t="shared" si="70"/>
        <v>1584.6669588106579</v>
      </c>
      <c r="AA215" s="3">
        <f t="shared" si="71"/>
        <v>1539.6758386206102</v>
      </c>
      <c r="AB215" s="3">
        <f t="shared" si="72"/>
        <v>1493.2147816856514</v>
      </c>
      <c r="AC215" s="3">
        <f t="shared" si="73"/>
        <v>1450.5734799283232</v>
      </c>
      <c r="BC215" s="17">
        <f t="shared" si="74"/>
        <v>301.6357395998329</v>
      </c>
      <c r="BD215" s="3">
        <f t="shared" si="75"/>
        <v>1584.6669588106579</v>
      </c>
      <c r="BF215" s="5">
        <f t="shared" si="63"/>
        <v>292.24221632244718</v>
      </c>
      <c r="BG215">
        <f t="shared" si="64"/>
        <v>1539.6758386206102</v>
      </c>
      <c r="BI215" s="5">
        <f t="shared" si="65"/>
        <v>293.1052974282519</v>
      </c>
      <c r="BJ215">
        <f t="shared" si="66"/>
        <v>1493.2147816856514</v>
      </c>
      <c r="BL215" s="5">
        <f t="shared" si="67"/>
        <v>294.58543456857342</v>
      </c>
      <c r="BM215">
        <f t="shared" si="68"/>
        <v>1450.5734799283232</v>
      </c>
    </row>
    <row r="216" spans="1:65" x14ac:dyDescent="0.25">
      <c r="A216">
        <v>207</v>
      </c>
      <c r="B216" s="17">
        <f t="shared" si="57"/>
        <v>303.21839567304806</v>
      </c>
      <c r="C216" s="17">
        <f t="shared" si="58"/>
        <v>353.64087759873252</v>
      </c>
      <c r="D216" s="17">
        <f t="shared" si="59"/>
        <v>301.76162451854589</v>
      </c>
      <c r="G216" s="1">
        <v>207</v>
      </c>
      <c r="H216" s="17">
        <v>48.663306253492678</v>
      </c>
      <c r="I216" s="17">
        <v>52.501120701932862</v>
      </c>
      <c r="J216" s="17">
        <v>50.105895891738143</v>
      </c>
      <c r="M216" s="17">
        <v>289.09665149644542</v>
      </c>
      <c r="N216" s="17">
        <v>7.3706192225871421</v>
      </c>
      <c r="O216" s="17">
        <v>7.6650969962379758</v>
      </c>
      <c r="P216" s="17">
        <v>7.0923273029048062</v>
      </c>
      <c r="S216" s="5">
        <f t="shared" si="60"/>
        <v>293.7816786554576</v>
      </c>
      <c r="T216" s="17"/>
      <c r="U216" s="5">
        <f t="shared" si="61"/>
        <v>294.59815300174012</v>
      </c>
      <c r="W216" s="5">
        <f t="shared" si="62"/>
        <v>296.03518859665337</v>
      </c>
      <c r="Y216">
        <f t="shared" si="69"/>
        <v>207</v>
      </c>
      <c r="Z216" s="3">
        <f t="shared" si="70"/>
        <v>1582.656073215162</v>
      </c>
      <c r="AA216" s="3">
        <f t="shared" si="71"/>
        <v>1539.4623330104196</v>
      </c>
      <c r="AB216" s="3">
        <f t="shared" si="72"/>
        <v>1492.8555734882138</v>
      </c>
      <c r="AC216" s="3">
        <f t="shared" si="73"/>
        <v>1449.7540280799512</v>
      </c>
      <c r="BC216" s="17">
        <f t="shared" si="74"/>
        <v>303.21839567304806</v>
      </c>
      <c r="BD216" s="3">
        <f t="shared" si="75"/>
        <v>1582.656073215162</v>
      </c>
      <c r="BF216" s="5">
        <f t="shared" si="63"/>
        <v>293.7816786554576</v>
      </c>
      <c r="BG216">
        <f t="shared" si="64"/>
        <v>1539.4623330104196</v>
      </c>
      <c r="BI216" s="5">
        <f t="shared" si="65"/>
        <v>294.59815300174012</v>
      </c>
      <c r="BJ216">
        <f t="shared" si="66"/>
        <v>1492.8555734882138</v>
      </c>
      <c r="BL216" s="5">
        <f t="shared" si="67"/>
        <v>296.03518859665337</v>
      </c>
      <c r="BM216">
        <f t="shared" si="68"/>
        <v>1449.7540280799512</v>
      </c>
    </row>
    <row r="217" spans="1:65" x14ac:dyDescent="0.25">
      <c r="A217">
        <v>208</v>
      </c>
      <c r="B217" s="17">
        <f t="shared" si="57"/>
        <v>304.79899129045634</v>
      </c>
      <c r="C217" s="17">
        <f t="shared" si="58"/>
        <v>355.43521459043978</v>
      </c>
      <c r="D217" s="17">
        <f t="shared" si="59"/>
        <v>303.28010160590924</v>
      </c>
      <c r="G217" s="1">
        <v>208</v>
      </c>
      <c r="H217" s="17">
        <v>48.68245142675049</v>
      </c>
      <c r="I217" s="17">
        <v>52.52960189345292</v>
      </c>
      <c r="J217" s="17">
        <v>50.126668960012793</v>
      </c>
      <c r="M217" s="17">
        <v>290.24938355151568</v>
      </c>
      <c r="N217" s="17">
        <v>7.3779921072415302</v>
      </c>
      <c r="O217" s="17">
        <v>7.6732680068904857</v>
      </c>
      <c r="P217" s="17">
        <v>7.107534458174289</v>
      </c>
      <c r="S217" s="5">
        <f t="shared" si="60"/>
        <v>295.32087924674312</v>
      </c>
      <c r="T217" s="17"/>
      <c r="U217" s="5">
        <f t="shared" si="61"/>
        <v>296.09061524732135</v>
      </c>
      <c r="W217" s="5">
        <f t="shared" si="62"/>
        <v>297.48410701881625</v>
      </c>
      <c r="Y217">
        <f t="shared" si="69"/>
        <v>208</v>
      </c>
      <c r="Z217" s="3">
        <f t="shared" si="70"/>
        <v>1580.595617408278</v>
      </c>
      <c r="AA217" s="3">
        <f t="shared" si="71"/>
        <v>1539.2005912855211</v>
      </c>
      <c r="AB217" s="3">
        <f t="shared" si="72"/>
        <v>1492.4622455812369</v>
      </c>
      <c r="AC217" s="3">
        <f t="shared" si="73"/>
        <v>1448.9184221628761</v>
      </c>
      <c r="BC217" s="17">
        <f t="shared" si="74"/>
        <v>304.79899129045634</v>
      </c>
      <c r="BD217" s="3">
        <f t="shared" si="75"/>
        <v>1580.595617408278</v>
      </c>
      <c r="BF217" s="5">
        <f t="shared" si="63"/>
        <v>295.32087924674312</v>
      </c>
      <c r="BG217">
        <f t="shared" si="64"/>
        <v>1539.2005912855211</v>
      </c>
      <c r="BI217" s="5">
        <f t="shared" si="65"/>
        <v>296.09061524732135</v>
      </c>
      <c r="BJ217">
        <f t="shared" si="66"/>
        <v>1492.4622455812369</v>
      </c>
      <c r="BL217" s="5">
        <f t="shared" si="67"/>
        <v>297.48410701881625</v>
      </c>
      <c r="BM217">
        <f t="shared" si="68"/>
        <v>1448.9184221628761</v>
      </c>
    </row>
    <row r="218" spans="1:65" x14ac:dyDescent="0.25">
      <c r="A218">
        <v>209</v>
      </c>
      <c r="B218" s="17">
        <f t="shared" si="57"/>
        <v>306.37747741619387</v>
      </c>
      <c r="C218" s="17">
        <f t="shared" si="58"/>
        <v>357.22682181991235</v>
      </c>
      <c r="D218" s="17">
        <f t="shared" si="59"/>
        <v>304.79571865348839</v>
      </c>
      <c r="G218" s="1">
        <v>209</v>
      </c>
      <c r="H218" s="17">
        <v>48.70154341741415</v>
      </c>
      <c r="I218" s="17">
        <v>52.557950327697199</v>
      </c>
      <c r="J218" s="17">
        <v>50.147380307272947</v>
      </c>
      <c r="M218" s="17">
        <v>291.40211560658599</v>
      </c>
      <c r="N218" s="17">
        <v>7.3852866214547319</v>
      </c>
      <c r="O218" s="17">
        <v>7.6813468674874237</v>
      </c>
      <c r="P218" s="17">
        <v>7.1225410883883864</v>
      </c>
      <c r="S218" s="5">
        <f t="shared" si="60"/>
        <v>296.85976986018892</v>
      </c>
      <c r="T218" s="17"/>
      <c r="U218" s="5">
        <f t="shared" si="61"/>
        <v>297.58265004528636</v>
      </c>
      <c r="W218" s="5">
        <f t="shared" si="62"/>
        <v>298.93217368099334</v>
      </c>
      <c r="Y218">
        <f t="shared" si="69"/>
        <v>209</v>
      </c>
      <c r="Z218" s="3">
        <f t="shared" si="70"/>
        <v>1578.4861257375269</v>
      </c>
      <c r="AA218" s="3">
        <f t="shared" si="71"/>
        <v>1538.8906134458011</v>
      </c>
      <c r="AB218" s="3">
        <f t="shared" si="72"/>
        <v>1492.0347979650046</v>
      </c>
      <c r="AC218" s="3">
        <f t="shared" si="73"/>
        <v>1448.0666621770979</v>
      </c>
      <c r="BC218" s="17">
        <f t="shared" si="74"/>
        <v>306.37747741619387</v>
      </c>
      <c r="BD218" s="3">
        <f t="shared" si="75"/>
        <v>1578.4861257375269</v>
      </c>
      <c r="BF218" s="5">
        <f t="shared" si="63"/>
        <v>296.85976986018892</v>
      </c>
      <c r="BG218">
        <f t="shared" si="64"/>
        <v>1538.8906134458011</v>
      </c>
      <c r="BI218" s="5">
        <f t="shared" si="65"/>
        <v>297.58265004528636</v>
      </c>
      <c r="BJ218">
        <f t="shared" si="66"/>
        <v>1492.0347979650046</v>
      </c>
      <c r="BL218" s="5">
        <f t="shared" si="67"/>
        <v>298.93217368099334</v>
      </c>
      <c r="BM218">
        <f t="shared" si="68"/>
        <v>1448.0666621770979</v>
      </c>
    </row>
    <row r="219" spans="1:65" x14ac:dyDescent="0.25">
      <c r="A219">
        <v>210</v>
      </c>
      <c r="B219" s="17">
        <f t="shared" si="57"/>
        <v>307.95380554874401</v>
      </c>
      <c r="C219" s="17">
        <f t="shared" si="58"/>
        <v>359.0156500325956</v>
      </c>
      <c r="D219" s="17">
        <f t="shared" si="59"/>
        <v>306.3084276155821</v>
      </c>
      <c r="G219" s="1">
        <v>210</v>
      </c>
      <c r="H219" s="17">
        <v>48.720577559067152</v>
      </c>
      <c r="I219" s="17">
        <v>52.586157445020582</v>
      </c>
      <c r="J219" s="17">
        <v>50.1680256358066</v>
      </c>
      <c r="M219" s="17">
        <v>292.55484766165631</v>
      </c>
      <c r="N219" s="17">
        <v>7.3925076487230514</v>
      </c>
      <c r="O219" s="17">
        <v>7.6893379108248254</v>
      </c>
      <c r="P219" s="17">
        <v>7.1373444516950073</v>
      </c>
      <c r="S219" s="5">
        <f t="shared" si="60"/>
        <v>298.39830225968024</v>
      </c>
      <c r="T219" s="17"/>
      <c r="U219" s="5">
        <f t="shared" si="61"/>
        <v>299.07422327592599</v>
      </c>
      <c r="W219" s="5">
        <f t="shared" si="62"/>
        <v>300.37937242911596</v>
      </c>
      <c r="Y219">
        <f t="shared" si="69"/>
        <v>210</v>
      </c>
      <c r="Z219" s="3">
        <f t="shared" si="70"/>
        <v>1576.3281325501453</v>
      </c>
      <c r="AA219" s="3">
        <f t="shared" si="71"/>
        <v>1538.5323994913165</v>
      </c>
      <c r="AB219" s="3">
        <f t="shared" si="72"/>
        <v>1491.5732306396308</v>
      </c>
      <c r="AC219" s="3">
        <f t="shared" si="73"/>
        <v>1447.1987481226165</v>
      </c>
      <c r="BC219" s="17">
        <f t="shared" si="74"/>
        <v>307.95380554874401</v>
      </c>
      <c r="BD219" s="3">
        <f t="shared" si="75"/>
        <v>1576.3281325501453</v>
      </c>
      <c r="BF219" s="5">
        <f t="shared" si="63"/>
        <v>298.39830225968024</v>
      </c>
      <c r="BG219">
        <f t="shared" si="64"/>
        <v>1538.5323994913165</v>
      </c>
      <c r="BI219" s="5">
        <f t="shared" si="65"/>
        <v>299.07422327592599</v>
      </c>
      <c r="BJ219">
        <f t="shared" si="66"/>
        <v>1491.5732306396308</v>
      </c>
      <c r="BL219" s="5">
        <f t="shared" si="67"/>
        <v>300.37937242911596</v>
      </c>
      <c r="BM219">
        <f t="shared" si="68"/>
        <v>1447.1987481226165</v>
      </c>
    </row>
    <row r="220" spans="1:65" x14ac:dyDescent="0.25">
      <c r="A220">
        <v>211</v>
      </c>
      <c r="B220" s="17">
        <f t="shared" si="57"/>
        <v>309.52792772093761</v>
      </c>
      <c r="C220" s="17">
        <f t="shared" si="58"/>
        <v>360.80165059487183</v>
      </c>
      <c r="D220" s="17">
        <f t="shared" si="59"/>
        <v>307.81818103150931</v>
      </c>
      <c r="G220" s="1">
        <v>211</v>
      </c>
      <c r="H220" s="17">
        <v>48.739549185292958</v>
      </c>
      <c r="I220" s="17">
        <v>52.614214685777959</v>
      </c>
      <c r="J220" s="17">
        <v>50.188600647901772</v>
      </c>
      <c r="M220" s="17">
        <v>293.70757971672663</v>
      </c>
      <c r="N220" s="17">
        <v>7.3996600725427957</v>
      </c>
      <c r="O220" s="17">
        <v>7.6972454696987249</v>
      </c>
      <c r="P220" s="17">
        <v>7.1519418062420694</v>
      </c>
      <c r="S220" s="5">
        <f t="shared" si="60"/>
        <v>299.93642820910213</v>
      </c>
      <c r="T220" s="17"/>
      <c r="U220" s="5">
        <f t="shared" si="61"/>
        <v>300.56530081953082</v>
      </c>
      <c r="W220" s="5">
        <f t="shared" si="62"/>
        <v>301.82568710911539</v>
      </c>
      <c r="Y220">
        <f t="shared" si="69"/>
        <v>211</v>
      </c>
      <c r="Z220" s="3">
        <f t="shared" si="70"/>
        <v>1574.1221721935972</v>
      </c>
      <c r="AA220" s="3">
        <f t="shared" si="71"/>
        <v>1538.1259494218966</v>
      </c>
      <c r="AB220" s="3">
        <f t="shared" si="72"/>
        <v>1491.0775436048311</v>
      </c>
      <c r="AC220" s="3">
        <f t="shared" si="73"/>
        <v>1446.314679999432</v>
      </c>
      <c r="BC220" s="17">
        <f t="shared" si="74"/>
        <v>309.52792772093761</v>
      </c>
      <c r="BD220" s="3">
        <f t="shared" si="75"/>
        <v>1574.1221721935972</v>
      </c>
      <c r="BF220" s="5">
        <f t="shared" si="63"/>
        <v>299.93642820910213</v>
      </c>
      <c r="BG220">
        <f t="shared" si="64"/>
        <v>1538.1259494218966</v>
      </c>
      <c r="BI220" s="5">
        <f t="shared" si="65"/>
        <v>300.56530081953082</v>
      </c>
      <c r="BJ220">
        <f t="shared" si="66"/>
        <v>1491.0775436048311</v>
      </c>
      <c r="BL220" s="5">
        <f t="shared" si="67"/>
        <v>301.82568710911539</v>
      </c>
      <c r="BM220">
        <f t="shared" si="68"/>
        <v>1446.314679999432</v>
      </c>
    </row>
    <row r="221" spans="1:65" x14ac:dyDescent="0.25">
      <c r="A221">
        <v>212</v>
      </c>
      <c r="B221" s="17">
        <f t="shared" si="57"/>
        <v>311.09979649995336</v>
      </c>
      <c r="C221" s="17">
        <f t="shared" si="58"/>
        <v>362.58477549406001</v>
      </c>
      <c r="D221" s="17">
        <f t="shared" si="59"/>
        <v>309.32493202560983</v>
      </c>
      <c r="G221" s="1">
        <v>212</v>
      </c>
      <c r="H221" s="17">
        <v>48.758453629675067</v>
      </c>
      <c r="I221" s="17">
        <v>52.642113490324213</v>
      </c>
      <c r="J221" s="17">
        <v>50.209101045846417</v>
      </c>
      <c r="M221" s="17">
        <v>294.86031177179689</v>
      </c>
      <c r="N221" s="17">
        <v>7.4067487764102706</v>
      </c>
      <c r="O221" s="17">
        <v>7.705073876905157</v>
      </c>
      <c r="P221" s="17">
        <v>7.1663304101774834</v>
      </c>
      <c r="S221" s="5">
        <f t="shared" si="60"/>
        <v>301.47409947233984</v>
      </c>
      <c r="T221" s="17"/>
      <c r="U221" s="5">
        <f t="shared" si="61"/>
        <v>302.05584855639165</v>
      </c>
      <c r="W221" s="5">
        <f t="shared" si="62"/>
        <v>303.27110156692299</v>
      </c>
      <c r="Y221">
        <f t="shared" si="69"/>
        <v>212</v>
      </c>
      <c r="Z221" s="3">
        <f t="shared" si="70"/>
        <v>1571.8687790157446</v>
      </c>
      <c r="AA221" s="3">
        <f t="shared" si="71"/>
        <v>1537.6712632377121</v>
      </c>
      <c r="AB221" s="3">
        <f t="shared" si="72"/>
        <v>1490.5477368608331</v>
      </c>
      <c r="AC221" s="3">
        <f t="shared" si="73"/>
        <v>1445.4144578076011</v>
      </c>
      <c r="BC221" s="17">
        <f t="shared" si="74"/>
        <v>311.09979649995336</v>
      </c>
      <c r="BD221" s="3">
        <f t="shared" si="75"/>
        <v>1571.8687790157446</v>
      </c>
      <c r="BF221" s="5">
        <f t="shared" si="63"/>
        <v>301.47409947233984</v>
      </c>
      <c r="BG221">
        <f t="shared" si="64"/>
        <v>1537.6712632377121</v>
      </c>
      <c r="BI221" s="5">
        <f t="shared" si="65"/>
        <v>302.05584855639165</v>
      </c>
      <c r="BJ221">
        <f t="shared" si="66"/>
        <v>1490.5477368608331</v>
      </c>
      <c r="BL221" s="5">
        <f t="shared" si="67"/>
        <v>303.27110156692299</v>
      </c>
      <c r="BM221">
        <f t="shared" si="68"/>
        <v>1445.4144578076011</v>
      </c>
    </row>
    <row r="222" spans="1:65" x14ac:dyDescent="0.25">
      <c r="A222">
        <v>213</v>
      </c>
      <c r="B222" s="17">
        <f t="shared" si="57"/>
        <v>312.6693649873165</v>
      </c>
      <c r="C222" s="17">
        <f t="shared" si="58"/>
        <v>364.36497733841543</v>
      </c>
      <c r="D222" s="17">
        <f t="shared" si="59"/>
        <v>310.82863430724404</v>
      </c>
      <c r="G222" s="1">
        <v>213</v>
      </c>
      <c r="H222" s="17">
        <v>48.777286225796963</v>
      </c>
      <c r="I222" s="17">
        <v>52.669845299014248</v>
      </c>
      <c r="J222" s="17">
        <v>50.229522531928588</v>
      </c>
      <c r="M222" s="17">
        <v>296.0130438268672</v>
      </c>
      <c r="N222" s="17">
        <v>7.4137786438217823</v>
      </c>
      <c r="O222" s="17">
        <v>7.7128274652401583</v>
      </c>
      <c r="P222" s="17">
        <v>7.1805075216491598</v>
      </c>
      <c r="S222" s="5">
        <f t="shared" si="60"/>
        <v>303.01126781327838</v>
      </c>
      <c r="T222" s="17"/>
      <c r="U222" s="5">
        <f t="shared" si="61"/>
        <v>303.54583236679917</v>
      </c>
      <c r="W222" s="5">
        <f t="shared" si="62"/>
        <v>304.71559964846995</v>
      </c>
      <c r="Y222">
        <f t="shared" si="69"/>
        <v>213</v>
      </c>
      <c r="Z222" s="3">
        <f t="shared" si="70"/>
        <v>1569.5684873631421</v>
      </c>
      <c r="AA222" s="3">
        <f t="shared" si="71"/>
        <v>1537.1683409385355</v>
      </c>
      <c r="AB222" s="3">
        <f t="shared" si="72"/>
        <v>1489.9838104075229</v>
      </c>
      <c r="AC222" s="3">
        <f t="shared" si="73"/>
        <v>1444.4980815469535</v>
      </c>
      <c r="BC222" s="17">
        <f t="shared" si="74"/>
        <v>312.6693649873165</v>
      </c>
      <c r="BD222" s="3">
        <f t="shared" si="75"/>
        <v>1569.5684873631421</v>
      </c>
      <c r="BF222" s="5">
        <f t="shared" si="63"/>
        <v>303.01126781327838</v>
      </c>
      <c r="BG222">
        <f t="shared" si="64"/>
        <v>1537.1683409385355</v>
      </c>
      <c r="BI222" s="5">
        <f t="shared" si="65"/>
        <v>303.54583236679917</v>
      </c>
      <c r="BJ222">
        <f t="shared" si="66"/>
        <v>1489.9838104075229</v>
      </c>
      <c r="BL222" s="5">
        <f t="shared" si="67"/>
        <v>304.71559964846995</v>
      </c>
      <c r="BM222">
        <f t="shared" si="68"/>
        <v>1444.4980815469535</v>
      </c>
    </row>
    <row r="223" spans="1:65" x14ac:dyDescent="0.25">
      <c r="A223">
        <v>214</v>
      </c>
      <c r="B223" s="17">
        <f t="shared" si="57"/>
        <v>314.23658681890038</v>
      </c>
      <c r="C223" s="17">
        <f t="shared" si="58"/>
        <v>366.14220935713007</v>
      </c>
      <c r="D223" s="17">
        <f t="shared" si="59"/>
        <v>312.32924217079261</v>
      </c>
      <c r="G223" s="1">
        <v>214</v>
      </c>
      <c r="H223" s="17">
        <v>48.796042307242132</v>
      </c>
      <c r="I223" s="17">
        <v>52.697401552202948</v>
      </c>
      <c r="J223" s="17">
        <v>50.249860808436253</v>
      </c>
      <c r="M223" s="17">
        <v>297.16577588193752</v>
      </c>
      <c r="N223" s="17">
        <v>7.4207545582736358</v>
      </c>
      <c r="O223" s="17">
        <v>7.7205105674997618</v>
      </c>
      <c r="P223" s="17">
        <v>7.1944703988050156</v>
      </c>
      <c r="S223" s="5">
        <f t="shared" si="60"/>
        <v>304.54788499580309</v>
      </c>
      <c r="T223" s="17"/>
      <c r="U223" s="5">
        <f t="shared" si="61"/>
        <v>305.03521813104402</v>
      </c>
      <c r="W223" s="5">
        <f t="shared" si="62"/>
        <v>306.15916519968766</v>
      </c>
      <c r="Y223">
        <f t="shared" si="69"/>
        <v>214</v>
      </c>
      <c r="Z223" s="3">
        <f t="shared" si="70"/>
        <v>1567.2218315838791</v>
      </c>
      <c r="AA223" s="3">
        <f t="shared" si="71"/>
        <v>1536.6171825247079</v>
      </c>
      <c r="AB223" s="3">
        <f t="shared" si="72"/>
        <v>1489.3857642448438</v>
      </c>
      <c r="AC223" s="3">
        <f t="shared" si="73"/>
        <v>1443.5655512177163</v>
      </c>
      <c r="BC223" s="17">
        <f t="shared" si="74"/>
        <v>314.23658681890038</v>
      </c>
      <c r="BD223" s="3">
        <f t="shared" si="75"/>
        <v>1567.2218315838791</v>
      </c>
      <c r="BF223" s="5">
        <f t="shared" si="63"/>
        <v>304.54788499580309</v>
      </c>
      <c r="BG223">
        <f t="shared" si="64"/>
        <v>1536.6171825247079</v>
      </c>
      <c r="BI223" s="5">
        <f t="shared" si="65"/>
        <v>305.03521813104402</v>
      </c>
      <c r="BJ223">
        <f t="shared" si="66"/>
        <v>1489.3857642448438</v>
      </c>
      <c r="BL223" s="5">
        <f t="shared" si="67"/>
        <v>306.15916519968766</v>
      </c>
      <c r="BM223">
        <f t="shared" si="68"/>
        <v>1443.5655512177163</v>
      </c>
    </row>
    <row r="224" spans="1:65" x14ac:dyDescent="0.25">
      <c r="A224">
        <v>215</v>
      </c>
      <c r="B224" s="17">
        <f t="shared" si="57"/>
        <v>315.80141616492557</v>
      </c>
      <c r="C224" s="17">
        <f t="shared" si="58"/>
        <v>367.9164254003328</v>
      </c>
      <c r="D224" s="17">
        <f t="shared" si="59"/>
        <v>313.82671049565744</v>
      </c>
      <c r="G224" s="1">
        <v>215</v>
      </c>
      <c r="H224" s="17">
        <v>48.81471720759405</v>
      </c>
      <c r="I224" s="17">
        <v>52.7247736902452</v>
      </c>
      <c r="J224" s="17">
        <v>50.270111577657417</v>
      </c>
      <c r="M224" s="17">
        <v>298.31850793700778</v>
      </c>
      <c r="N224" s="17">
        <v>7.4276814032621381</v>
      </c>
      <c r="O224" s="17">
        <v>7.7281275164800034</v>
      </c>
      <c r="P224" s="17">
        <v>7.2082162997929604</v>
      </c>
      <c r="S224" s="5">
        <f t="shared" si="60"/>
        <v>306.08390278379915</v>
      </c>
      <c r="T224" s="17"/>
      <c r="U224" s="5">
        <f t="shared" si="61"/>
        <v>306.52397172941704</v>
      </c>
      <c r="W224" s="5">
        <f t="shared" si="62"/>
        <v>307.60178206650744</v>
      </c>
      <c r="Y224">
        <f t="shared" si="69"/>
        <v>215</v>
      </c>
      <c r="Z224" s="3">
        <f t="shared" si="70"/>
        <v>1564.8293460251921</v>
      </c>
      <c r="AA224" s="3">
        <f t="shared" si="71"/>
        <v>1536.0177879960588</v>
      </c>
      <c r="AB224" s="3">
        <f t="shared" si="72"/>
        <v>1488.7535983730231</v>
      </c>
      <c r="AC224" s="3">
        <f t="shared" si="73"/>
        <v>1442.6168668197761</v>
      </c>
      <c r="BC224" s="17">
        <f t="shared" si="74"/>
        <v>315.80141616492557</v>
      </c>
      <c r="BD224" s="3">
        <f t="shared" si="75"/>
        <v>1564.8293460251921</v>
      </c>
      <c r="BF224" s="5">
        <f t="shared" si="63"/>
        <v>306.08390278379915</v>
      </c>
      <c r="BG224">
        <f t="shared" si="64"/>
        <v>1536.0177879960588</v>
      </c>
      <c r="BI224" s="5">
        <f t="shared" si="65"/>
        <v>306.52397172941704</v>
      </c>
      <c r="BJ224">
        <f t="shared" si="66"/>
        <v>1488.7535983730231</v>
      </c>
      <c r="BL224" s="5">
        <f t="shared" si="67"/>
        <v>307.60178206650744</v>
      </c>
      <c r="BM224">
        <f t="shared" si="68"/>
        <v>1442.6168668197761</v>
      </c>
    </row>
    <row r="225" spans="1:65" x14ac:dyDescent="0.25">
      <c r="A225">
        <v>216</v>
      </c>
      <c r="B225" s="17">
        <f t="shared" si="57"/>
        <v>317.36380772996006</v>
      </c>
      <c r="C225" s="17">
        <f t="shared" si="58"/>
        <v>369.68757993908878</v>
      </c>
      <c r="D225" s="17">
        <f t="shared" si="59"/>
        <v>315.32099474626057</v>
      </c>
      <c r="G225" s="1">
        <v>216</v>
      </c>
      <c r="H225" s="17">
        <v>48.83330626043621</v>
      </c>
      <c r="I225" s="17">
        <v>52.751953153495897</v>
      </c>
      <c r="J225" s="17">
        <v>50.290270541880083</v>
      </c>
      <c r="M225" s="17">
        <v>299.47123999207821</v>
      </c>
      <c r="N225" s="17">
        <v>7.4345640622835933</v>
      </c>
      <c r="O225" s="17">
        <v>7.7356826449769169</v>
      </c>
      <c r="P225" s="17">
        <v>7.2217424827609067</v>
      </c>
      <c r="S225" s="5">
        <f t="shared" si="60"/>
        <v>307.61927294115156</v>
      </c>
      <c r="T225" s="17"/>
      <c r="U225" s="5">
        <f t="shared" si="61"/>
        <v>308.01205904220876</v>
      </c>
      <c r="W225" s="5">
        <f t="shared" si="62"/>
        <v>309.04343409486057</v>
      </c>
      <c r="Y225">
        <f t="shared" si="69"/>
        <v>216</v>
      </c>
      <c r="Z225" s="3">
        <f t="shared" si="70"/>
        <v>1562.3915650344884</v>
      </c>
      <c r="AA225" s="3">
        <f t="shared" si="71"/>
        <v>1535.3701573524177</v>
      </c>
      <c r="AB225" s="3">
        <f t="shared" si="72"/>
        <v>1488.0873127917198</v>
      </c>
      <c r="AC225" s="3">
        <f t="shared" si="73"/>
        <v>1441.6520283531327</v>
      </c>
      <c r="BC225" s="17">
        <f t="shared" si="74"/>
        <v>317.36380772996006</v>
      </c>
      <c r="BD225" s="3">
        <f t="shared" si="75"/>
        <v>1562.3915650344884</v>
      </c>
      <c r="BF225" s="5">
        <f t="shared" si="63"/>
        <v>307.61927294115156</v>
      </c>
      <c r="BG225">
        <f t="shared" si="64"/>
        <v>1535.3701573524177</v>
      </c>
      <c r="BI225" s="5">
        <f t="shared" si="65"/>
        <v>308.01205904220876</v>
      </c>
      <c r="BJ225">
        <f t="shared" si="66"/>
        <v>1488.0873127917198</v>
      </c>
      <c r="BL225" s="5">
        <f t="shared" si="67"/>
        <v>309.04343409486057</v>
      </c>
      <c r="BM225">
        <f t="shared" si="68"/>
        <v>1441.6520283531327</v>
      </c>
    </row>
    <row r="226" spans="1:65" x14ac:dyDescent="0.25">
      <c r="A226">
        <v>217</v>
      </c>
      <c r="B226" s="17">
        <f t="shared" si="57"/>
        <v>318.92371675291918</v>
      </c>
      <c r="C226" s="17">
        <f t="shared" si="58"/>
        <v>371.45562806539999</v>
      </c>
      <c r="D226" s="17">
        <f t="shared" si="59"/>
        <v>316.81205097204457</v>
      </c>
      <c r="G226" s="1">
        <v>217</v>
      </c>
      <c r="H226" s="17">
        <v>48.851804799352088</v>
      </c>
      <c r="I226" s="17">
        <v>52.778931382309942</v>
      </c>
      <c r="J226" s="17">
        <v>50.310333403392242</v>
      </c>
      <c r="M226" s="17">
        <v>300.62397204714853</v>
      </c>
      <c r="N226" s="17">
        <v>7.4414074188343093</v>
      </c>
      <c r="O226" s="17">
        <v>7.7431802857865382</v>
      </c>
      <c r="P226" s="17">
        <v>7.2350462058567686</v>
      </c>
      <c r="S226" s="5">
        <f t="shared" si="60"/>
        <v>309.15394723174563</v>
      </c>
      <c r="T226" s="17"/>
      <c r="U226" s="5">
        <f t="shared" si="61"/>
        <v>309.49944594970998</v>
      </c>
      <c r="W226" s="5">
        <f t="shared" si="62"/>
        <v>310.4841051306783</v>
      </c>
      <c r="Y226">
        <f t="shared" si="69"/>
        <v>217</v>
      </c>
      <c r="Z226" s="3">
        <f t="shared" si="70"/>
        <v>1559.9090229591184</v>
      </c>
      <c r="AA226" s="3">
        <f t="shared" si="71"/>
        <v>1534.6742905940687</v>
      </c>
      <c r="AB226" s="3">
        <f t="shared" si="72"/>
        <v>1487.386907501218</v>
      </c>
      <c r="AC226" s="3">
        <f t="shared" si="73"/>
        <v>1440.6710358177293</v>
      </c>
      <c r="BC226" s="17">
        <f t="shared" si="74"/>
        <v>318.92371675291918</v>
      </c>
      <c r="BD226" s="3">
        <f t="shared" si="75"/>
        <v>1559.9090229591184</v>
      </c>
      <c r="BF226" s="5">
        <f t="shared" si="63"/>
        <v>309.15394723174563</v>
      </c>
      <c r="BG226">
        <f t="shared" si="64"/>
        <v>1534.6742905940687</v>
      </c>
      <c r="BI226" s="5">
        <f t="shared" si="65"/>
        <v>309.49944594970998</v>
      </c>
      <c r="BJ226">
        <f t="shared" si="66"/>
        <v>1487.386907501218</v>
      </c>
      <c r="BL226" s="5">
        <f t="shared" si="67"/>
        <v>310.4841051306783</v>
      </c>
      <c r="BM226">
        <f t="shared" si="68"/>
        <v>1440.6710358177293</v>
      </c>
    </row>
    <row r="227" spans="1:65" x14ac:dyDescent="0.25">
      <c r="A227">
        <v>218</v>
      </c>
      <c r="B227" s="17">
        <f t="shared" si="57"/>
        <v>320.48109900706595</v>
      </c>
      <c r="C227" s="17">
        <f t="shared" si="58"/>
        <v>373.22052549220501</v>
      </c>
      <c r="D227" s="17">
        <f t="shared" si="59"/>
        <v>318.29983580747307</v>
      </c>
      <c r="G227" s="1">
        <v>218</v>
      </c>
      <c r="H227" s="17">
        <v>48.870208157925177</v>
      </c>
      <c r="I227" s="17">
        <v>52.80569981704221</v>
      </c>
      <c r="J227" s="17">
        <v>50.330295864481897</v>
      </c>
      <c r="M227" s="17">
        <v>301.77670410221879</v>
      </c>
      <c r="N227" s="17">
        <v>7.4482163564105894</v>
      </c>
      <c r="O227" s="17">
        <v>7.7506247717049011</v>
      </c>
      <c r="P227" s="17">
        <v>7.2481247272284577</v>
      </c>
      <c r="S227" s="5">
        <f t="shared" si="60"/>
        <v>310.68787741946647</v>
      </c>
      <c r="T227" s="17"/>
      <c r="U227" s="5">
        <f t="shared" si="61"/>
        <v>310.9860983322115</v>
      </c>
      <c r="W227" s="5">
        <f t="shared" si="62"/>
        <v>311.92377901989204</v>
      </c>
      <c r="Y227">
        <f t="shared" si="69"/>
        <v>218</v>
      </c>
      <c r="Z227" s="3">
        <f t="shared" si="70"/>
        <v>1557.3822541467734</v>
      </c>
      <c r="AA227" s="3">
        <f t="shared" si="71"/>
        <v>1533.9301877208413</v>
      </c>
      <c r="AB227" s="3">
        <f t="shared" si="72"/>
        <v>1486.6523825015179</v>
      </c>
      <c r="AC227" s="3">
        <f t="shared" si="73"/>
        <v>1439.6738892137364</v>
      </c>
      <c r="BC227" s="17">
        <f t="shared" si="74"/>
        <v>320.48109900706595</v>
      </c>
      <c r="BD227" s="3">
        <f t="shared" si="75"/>
        <v>1557.3822541467734</v>
      </c>
      <c r="BF227" s="5">
        <f t="shared" si="63"/>
        <v>310.68787741946647</v>
      </c>
      <c r="BG227">
        <f t="shared" si="64"/>
        <v>1533.9301877208413</v>
      </c>
      <c r="BI227" s="5">
        <f t="shared" si="65"/>
        <v>310.9860983322115</v>
      </c>
      <c r="BJ227">
        <f t="shared" si="66"/>
        <v>1486.6523825015179</v>
      </c>
      <c r="BL227" s="5">
        <f t="shared" si="67"/>
        <v>311.92377901989204</v>
      </c>
      <c r="BM227">
        <f t="shared" si="68"/>
        <v>1439.6738892137364</v>
      </c>
    </row>
    <row r="228" spans="1:65" x14ac:dyDescent="0.25">
      <c r="A228">
        <v>219</v>
      </c>
      <c r="B228" s="17">
        <f t="shared" si="57"/>
        <v>322.03591080001041</v>
      </c>
      <c r="C228" s="17">
        <f t="shared" si="58"/>
        <v>374.98222855337883</v>
      </c>
      <c r="D228" s="17">
        <f t="shared" si="59"/>
        <v>319.78430647202998</v>
      </c>
      <c r="G228" s="1">
        <v>219</v>
      </c>
      <c r="H228" s="17">
        <v>48.888511669738953</v>
      </c>
      <c r="I228" s="17">
        <v>52.832249898047593</v>
      </c>
      <c r="J228" s="17">
        <v>50.350153627437059</v>
      </c>
      <c r="M228" s="17">
        <v>302.9294361572891</v>
      </c>
      <c r="N228" s="17">
        <v>7.4549957585087423</v>
      </c>
      <c r="O228" s="17">
        <v>7.7580204355280422</v>
      </c>
      <c r="P228" s="17">
        <v>7.2609753050238881</v>
      </c>
      <c r="S228" s="5">
        <f t="shared" si="60"/>
        <v>312.22101526819932</v>
      </c>
      <c r="T228" s="17"/>
      <c r="U228" s="5">
        <f t="shared" si="61"/>
        <v>312.47198207000389</v>
      </c>
      <c r="W228" s="5">
        <f t="shared" si="62"/>
        <v>313.36243960843296</v>
      </c>
      <c r="Y228">
        <f t="shared" si="69"/>
        <v>219</v>
      </c>
      <c r="Z228" s="3">
        <f t="shared" si="70"/>
        <v>1554.8117929444629</v>
      </c>
      <c r="AA228" s="3">
        <f t="shared" si="71"/>
        <v>1533.1378487328493</v>
      </c>
      <c r="AB228" s="3">
        <f t="shared" si="72"/>
        <v>1485.8837377923919</v>
      </c>
      <c r="AC228" s="3">
        <f t="shared" si="73"/>
        <v>1438.6605885409267</v>
      </c>
      <c r="BC228" s="17">
        <f t="shared" si="74"/>
        <v>322.03591080001041</v>
      </c>
      <c r="BD228" s="3">
        <f t="shared" si="75"/>
        <v>1554.8117929444629</v>
      </c>
      <c r="BF228" s="5">
        <f t="shared" si="63"/>
        <v>312.22101526819932</v>
      </c>
      <c r="BG228">
        <f t="shared" si="64"/>
        <v>1533.1378487328493</v>
      </c>
      <c r="BI228" s="5">
        <f t="shared" si="65"/>
        <v>312.47198207000389</v>
      </c>
      <c r="BJ228">
        <f t="shared" si="66"/>
        <v>1485.8837377923919</v>
      </c>
      <c r="BL228" s="5">
        <f t="shared" si="67"/>
        <v>313.36243960843296</v>
      </c>
      <c r="BM228">
        <f t="shared" si="68"/>
        <v>1438.6605885409267</v>
      </c>
    </row>
    <row r="229" spans="1:65" x14ac:dyDescent="0.25">
      <c r="A229">
        <v>220</v>
      </c>
      <c r="B229" s="17">
        <f t="shared" si="57"/>
        <v>323.58810897371023</v>
      </c>
      <c r="C229" s="17">
        <f t="shared" si="58"/>
        <v>376.7406942037332</v>
      </c>
      <c r="D229" s="17">
        <f t="shared" si="59"/>
        <v>321.26542077021975</v>
      </c>
      <c r="G229" s="1">
        <v>220</v>
      </c>
      <c r="H229" s="17">
        <v>48.90671066837691</v>
      </c>
      <c r="I229" s="17">
        <v>52.858573065680993</v>
      </c>
      <c r="J229" s="17">
        <v>50.369902394545711</v>
      </c>
      <c r="M229" s="17">
        <v>304.08216821235942</v>
      </c>
      <c r="N229" s="17">
        <v>7.4617504995271329</v>
      </c>
      <c r="O229" s="17">
        <v>7.7653716100519947</v>
      </c>
      <c r="P229" s="17">
        <v>7.2735951973909714</v>
      </c>
      <c r="S229" s="5">
        <f t="shared" si="60"/>
        <v>313.75331254182919</v>
      </c>
      <c r="T229" s="17"/>
      <c r="U229" s="5">
        <f t="shared" si="61"/>
        <v>313.95706304337796</v>
      </c>
      <c r="W229" s="5">
        <f t="shared" si="62"/>
        <v>314.80007074223255</v>
      </c>
      <c r="Y229">
        <f t="shared" si="69"/>
        <v>220</v>
      </c>
      <c r="Z229" s="3">
        <f t="shared" si="70"/>
        <v>1552.1981736998214</v>
      </c>
      <c r="AA229" s="3">
        <f t="shared" si="71"/>
        <v>1532.2972736298652</v>
      </c>
      <c r="AB229" s="3">
        <f t="shared" si="72"/>
        <v>1485.0809733740675</v>
      </c>
      <c r="AC229" s="3">
        <f t="shared" si="73"/>
        <v>1437.6311337995844</v>
      </c>
      <c r="BC229" s="17">
        <f t="shared" si="74"/>
        <v>323.58810897371023</v>
      </c>
      <c r="BD229" s="3">
        <f t="shared" si="75"/>
        <v>1552.1981736998214</v>
      </c>
      <c r="BF229" s="5">
        <f t="shared" si="63"/>
        <v>313.75331254182919</v>
      </c>
      <c r="BG229">
        <f t="shared" si="64"/>
        <v>1532.2972736298652</v>
      </c>
      <c r="BI229" s="5">
        <f t="shared" si="65"/>
        <v>313.95706304337796</v>
      </c>
      <c r="BJ229">
        <f t="shared" si="66"/>
        <v>1485.0809733740675</v>
      </c>
      <c r="BL229" s="5">
        <f t="shared" si="67"/>
        <v>314.80007074223255</v>
      </c>
      <c r="BM229">
        <f t="shared" si="68"/>
        <v>1437.6311337995844</v>
      </c>
    </row>
    <row r="230" spans="1:65" x14ac:dyDescent="0.25">
      <c r="A230">
        <v>221</v>
      </c>
      <c r="B230" s="17">
        <f t="shared" si="57"/>
        <v>325.13765090447066</v>
      </c>
      <c r="C230" s="17">
        <f t="shared" si="58"/>
        <v>378.49588001901651</v>
      </c>
      <c r="D230" s="17">
        <f t="shared" si="59"/>
        <v>322.74313709156752</v>
      </c>
      <c r="G230" s="1">
        <v>221</v>
      </c>
      <c r="H230" s="17">
        <v>48.924800487422523</v>
      </c>
      <c r="I230" s="17">
        <v>52.884660760297272</v>
      </c>
      <c r="J230" s="17">
        <v>50.389537868095857</v>
      </c>
      <c r="M230" s="17">
        <v>305.23490026742968</v>
      </c>
      <c r="N230" s="17">
        <v>7.4684844496776037</v>
      </c>
      <c r="O230" s="17">
        <v>7.7726826280727943</v>
      </c>
      <c r="P230" s="17">
        <v>7.2859816624776199</v>
      </c>
      <c r="S230" s="5">
        <f t="shared" si="60"/>
        <v>315.28472100424142</v>
      </c>
      <c r="T230" s="17"/>
      <c r="U230" s="5">
        <f t="shared" si="61"/>
        <v>315.44130713262427</v>
      </c>
      <c r="W230" s="5">
        <f t="shared" si="62"/>
        <v>316.23665626722192</v>
      </c>
      <c r="Y230">
        <f t="shared" si="69"/>
        <v>221</v>
      </c>
      <c r="Z230" s="3">
        <f t="shared" si="70"/>
        <v>1549.5419307604266</v>
      </c>
      <c r="AA230" s="3">
        <f t="shared" si="71"/>
        <v>1531.4084624122302</v>
      </c>
      <c r="AB230" s="3">
        <f t="shared" si="72"/>
        <v>1484.2440892463173</v>
      </c>
      <c r="AC230" s="3">
        <f t="shared" si="73"/>
        <v>1436.5855249893684</v>
      </c>
      <c r="BC230" s="17">
        <f t="shared" si="74"/>
        <v>325.13765090447066</v>
      </c>
      <c r="BD230" s="3">
        <f t="shared" si="75"/>
        <v>1549.5419307604266</v>
      </c>
      <c r="BF230" s="5">
        <f t="shared" si="63"/>
        <v>315.28472100424142</v>
      </c>
      <c r="BG230">
        <f t="shared" si="64"/>
        <v>1531.4084624122302</v>
      </c>
      <c r="BI230" s="5">
        <f t="shared" si="65"/>
        <v>315.44130713262427</v>
      </c>
      <c r="BJ230">
        <f t="shared" si="66"/>
        <v>1484.2440892463173</v>
      </c>
      <c r="BL230" s="5">
        <f t="shared" si="67"/>
        <v>316.23665626722192</v>
      </c>
      <c r="BM230">
        <f t="shared" si="68"/>
        <v>1436.5855249893684</v>
      </c>
    </row>
    <row r="231" spans="1:65" x14ac:dyDescent="0.25">
      <c r="A231">
        <v>222</v>
      </c>
      <c r="B231" s="17">
        <f t="shared" si="57"/>
        <v>326.68449450294423</v>
      </c>
      <c r="C231" s="17">
        <f t="shared" si="58"/>
        <v>380.2477441959137</v>
      </c>
      <c r="D231" s="17">
        <f t="shared" si="59"/>
        <v>324.2174144106192</v>
      </c>
      <c r="G231" s="1">
        <v>222</v>
      </c>
      <c r="H231" s="17">
        <v>48.942776460459292</v>
      </c>
      <c r="I231" s="17">
        <v>52.91050442225135</v>
      </c>
      <c r="J231" s="17">
        <v>50.409055750375487</v>
      </c>
      <c r="M231" s="17">
        <v>306.38763232250011</v>
      </c>
      <c r="N231" s="17">
        <v>7.4751995788352943</v>
      </c>
      <c r="O231" s="17">
        <v>7.7799578223864758</v>
      </c>
      <c r="P231" s="17">
        <v>7.2981319584317479</v>
      </c>
      <c r="S231" s="5">
        <f t="shared" si="60"/>
        <v>316.81519241932108</v>
      </c>
      <c r="T231" s="17"/>
      <c r="U231" s="5">
        <f t="shared" si="61"/>
        <v>316.9246802180337</v>
      </c>
      <c r="W231" s="5">
        <f t="shared" si="62"/>
        <v>317.67218002933254</v>
      </c>
      <c r="Y231">
        <f t="shared" si="69"/>
        <v>222</v>
      </c>
      <c r="Z231" s="3">
        <f t="shared" si="70"/>
        <v>1546.843598473572</v>
      </c>
      <c r="AA231" s="3">
        <f t="shared" si="71"/>
        <v>1530.4714150796599</v>
      </c>
      <c r="AB231" s="3">
        <f t="shared" si="72"/>
        <v>1483.3730854094256</v>
      </c>
      <c r="AC231" s="3">
        <f t="shared" si="73"/>
        <v>1435.5237621106198</v>
      </c>
      <c r="BC231" s="17">
        <f t="shared" si="74"/>
        <v>326.68449450294423</v>
      </c>
      <c r="BD231" s="3">
        <f t="shared" si="75"/>
        <v>1546.843598473572</v>
      </c>
      <c r="BF231" s="5">
        <f t="shared" si="63"/>
        <v>316.81519241932108</v>
      </c>
      <c r="BG231">
        <f t="shared" si="64"/>
        <v>1530.4714150796599</v>
      </c>
      <c r="BI231" s="5">
        <f t="shared" si="65"/>
        <v>316.9246802180337</v>
      </c>
      <c r="BJ231">
        <f t="shared" si="66"/>
        <v>1483.3730854094256</v>
      </c>
      <c r="BL231" s="5">
        <f t="shared" si="67"/>
        <v>317.67218002933254</v>
      </c>
      <c r="BM231">
        <f t="shared" si="68"/>
        <v>1435.5237621106198</v>
      </c>
    </row>
    <row r="232" spans="1:65" x14ac:dyDescent="0.25">
      <c r="A232">
        <v>223</v>
      </c>
      <c r="B232" s="17">
        <f t="shared" si="57"/>
        <v>328.22859821413067</v>
      </c>
      <c r="C232" s="17">
        <f t="shared" si="58"/>
        <v>381.99624555204656</v>
      </c>
      <c r="D232" s="17">
        <f t="shared" si="59"/>
        <v>325.68821228694128</v>
      </c>
      <c r="G232" s="1">
        <v>223</v>
      </c>
      <c r="H232" s="17">
        <v>48.960633921070666</v>
      </c>
      <c r="I232" s="17">
        <v>52.936095491898108</v>
      </c>
      <c r="J232" s="17">
        <v>50.428451743672632</v>
      </c>
      <c r="M232" s="17">
        <v>307.54036437757031</v>
      </c>
      <c r="N232" s="17">
        <v>7.4818976453511583</v>
      </c>
      <c r="O232" s="17">
        <v>7.7872012609782777</v>
      </c>
      <c r="P232" s="17">
        <v>7.3100433434012659</v>
      </c>
      <c r="S232" s="5">
        <f t="shared" si="60"/>
        <v>318.34467855095335</v>
      </c>
      <c r="T232" s="17"/>
      <c r="U232" s="5">
        <f t="shared" si="61"/>
        <v>318.40714817989692</v>
      </c>
      <c r="W232" s="5">
        <f t="shared" si="62"/>
        <v>319.10662587449553</v>
      </c>
      <c r="Y232">
        <f t="shared" si="69"/>
        <v>223</v>
      </c>
      <c r="Z232" s="3">
        <f t="shared" si="70"/>
        <v>1544.1037111864375</v>
      </c>
      <c r="AA232" s="3">
        <f t="shared" si="71"/>
        <v>1529.4861316322681</v>
      </c>
      <c r="AB232" s="3">
        <f t="shared" si="72"/>
        <v>1482.4679618632217</v>
      </c>
      <c r="AC232" s="3">
        <f t="shared" si="73"/>
        <v>1434.4458451629976</v>
      </c>
      <c r="BC232" s="17">
        <f t="shared" si="74"/>
        <v>328.22859821413067</v>
      </c>
      <c r="BD232" s="3">
        <f t="shared" si="75"/>
        <v>1544.1037111864375</v>
      </c>
      <c r="BF232" s="5">
        <f t="shared" si="63"/>
        <v>318.34467855095335</v>
      </c>
      <c r="BG232">
        <f t="shared" si="64"/>
        <v>1529.4861316322681</v>
      </c>
      <c r="BI232" s="5">
        <f t="shared" si="65"/>
        <v>318.40714817989692</v>
      </c>
      <c r="BJ232">
        <f t="shared" si="66"/>
        <v>1482.4679618632217</v>
      </c>
      <c r="BL232" s="5">
        <f t="shared" si="67"/>
        <v>319.10662587449553</v>
      </c>
      <c r="BM232">
        <f t="shared" si="68"/>
        <v>1434.4458451629976</v>
      </c>
    </row>
    <row r="233" spans="1:65" x14ac:dyDescent="0.25">
      <c r="A233">
        <v>224</v>
      </c>
      <c r="B233" s="17">
        <f t="shared" si="57"/>
        <v>329.76992101737738</v>
      </c>
      <c r="C233" s="17">
        <f t="shared" si="58"/>
        <v>383.74134352597287</v>
      </c>
      <c r="D233" s="17">
        <f t="shared" si="59"/>
        <v>327.15549086512038</v>
      </c>
      <c r="G233" s="1">
        <v>224</v>
      </c>
      <c r="H233" s="17">
        <v>48.97836820284018</v>
      </c>
      <c r="I233" s="17">
        <v>52.961425409592437</v>
      </c>
      <c r="J233" s="17">
        <v>50.447721550275247</v>
      </c>
      <c r="M233" s="17">
        <v>308.69309643264057</v>
      </c>
      <c r="N233" s="17">
        <v>7.4885804075761504</v>
      </c>
      <c r="O233" s="17">
        <v>7.7944159339632293</v>
      </c>
      <c r="P233" s="17">
        <v>7.3217130755340882</v>
      </c>
      <c r="S233" s="5">
        <f t="shared" si="60"/>
        <v>319.87313116302334</v>
      </c>
      <c r="T233" s="17"/>
      <c r="U233" s="5">
        <f t="shared" si="61"/>
        <v>319.88867689850451</v>
      </c>
      <c r="W233" s="5">
        <f t="shared" si="62"/>
        <v>320.53997764864238</v>
      </c>
      <c r="Y233">
        <f t="shared" si="69"/>
        <v>224</v>
      </c>
      <c r="Z233" s="3">
        <f t="shared" si="70"/>
        <v>1541.3228032467146</v>
      </c>
      <c r="AA233" s="3">
        <f t="shared" si="71"/>
        <v>1528.4526120699979</v>
      </c>
      <c r="AB233" s="3">
        <f t="shared" si="72"/>
        <v>1481.5287186075921</v>
      </c>
      <c r="AC233" s="3">
        <f t="shared" si="73"/>
        <v>1433.3517741468427</v>
      </c>
      <c r="BC233" s="17">
        <f t="shared" si="74"/>
        <v>329.76992101737738</v>
      </c>
      <c r="BD233" s="3">
        <f t="shared" si="75"/>
        <v>1541.3228032467146</v>
      </c>
      <c r="BF233" s="5">
        <f t="shared" si="63"/>
        <v>319.87313116302334</v>
      </c>
      <c r="BG233">
        <f t="shared" si="64"/>
        <v>1528.4526120699979</v>
      </c>
      <c r="BI233" s="5">
        <f t="shared" si="65"/>
        <v>319.88867689850451</v>
      </c>
      <c r="BJ233">
        <f t="shared" si="66"/>
        <v>1481.5287186075921</v>
      </c>
      <c r="BL233" s="5">
        <f t="shared" si="67"/>
        <v>320.53997764864238</v>
      </c>
      <c r="BM233">
        <f t="shared" si="68"/>
        <v>1433.3517741468427</v>
      </c>
    </row>
    <row r="234" spans="1:65" x14ac:dyDescent="0.25">
      <c r="A234">
        <v>225</v>
      </c>
      <c r="B234" s="17">
        <f t="shared" si="57"/>
        <v>331.30842242637937</v>
      </c>
      <c r="C234" s="17">
        <f t="shared" si="58"/>
        <v>385.48299817718771</v>
      </c>
      <c r="D234" s="17">
        <f t="shared" si="59"/>
        <v>328.61921087476441</v>
      </c>
      <c r="G234" s="1">
        <v>225</v>
      </c>
      <c r="H234" s="17">
        <v>48.995974639351282</v>
      </c>
      <c r="I234" s="17">
        <v>52.986485615689233</v>
      </c>
      <c r="J234" s="17">
        <v>50.466860872471372</v>
      </c>
      <c r="M234" s="17">
        <v>309.845828487711</v>
      </c>
      <c r="N234" s="17">
        <v>7.4952496238612234</v>
      </c>
      <c r="O234" s="17">
        <v>7.8016045572504584</v>
      </c>
      <c r="P234" s="17">
        <v>7.3331384129781272</v>
      </c>
      <c r="S234" s="5">
        <f t="shared" si="60"/>
        <v>321.40050201941648</v>
      </c>
      <c r="T234" s="17"/>
      <c r="U234" s="5">
        <f t="shared" si="61"/>
        <v>321.36923225414739</v>
      </c>
      <c r="W234" s="5">
        <f t="shared" si="62"/>
        <v>321.97221919770425</v>
      </c>
      <c r="Y234">
        <f t="shared" si="69"/>
        <v>225</v>
      </c>
      <c r="Z234" s="3">
        <f t="shared" si="70"/>
        <v>1538.5014090019808</v>
      </c>
      <c r="AA234" s="3">
        <f t="shared" si="71"/>
        <v>1527.3708563931336</v>
      </c>
      <c r="AB234" s="3">
        <f t="shared" si="72"/>
        <v>1480.5553556428777</v>
      </c>
      <c r="AC234" s="3">
        <f t="shared" si="73"/>
        <v>1432.241549061871</v>
      </c>
      <c r="BC234" s="17">
        <f t="shared" si="74"/>
        <v>331.30842242637937</v>
      </c>
      <c r="BD234" s="3">
        <f t="shared" si="75"/>
        <v>1538.5014090019808</v>
      </c>
      <c r="BF234" s="5">
        <f t="shared" si="63"/>
        <v>321.40050201941648</v>
      </c>
      <c r="BG234">
        <f t="shared" si="64"/>
        <v>1527.3708563931336</v>
      </c>
      <c r="BI234" s="5">
        <f t="shared" si="65"/>
        <v>321.36923225414739</v>
      </c>
      <c r="BJ234">
        <f t="shared" si="66"/>
        <v>1480.5553556428777</v>
      </c>
      <c r="BL234" s="5">
        <f t="shared" si="67"/>
        <v>321.97221919770425</v>
      </c>
      <c r="BM234">
        <f t="shared" si="68"/>
        <v>1432.241549061871</v>
      </c>
    </row>
    <row r="235" spans="1:65" x14ac:dyDescent="0.25">
      <c r="A235">
        <v>226</v>
      </c>
      <c r="B235" s="17">
        <f t="shared" si="57"/>
        <v>332.84406248917844</v>
      </c>
      <c r="C235" s="17">
        <f t="shared" si="58"/>
        <v>387.22117018612255</v>
      </c>
      <c r="D235" s="17">
        <f t="shared" si="59"/>
        <v>330.07933363050154</v>
      </c>
      <c r="G235" s="1">
        <v>226</v>
      </c>
      <c r="H235" s="17">
        <v>49.013448564187463</v>
      </c>
      <c r="I235" s="17">
        <v>53.011267550543373</v>
      </c>
      <c r="J235" s="17">
        <v>50.485865412548982</v>
      </c>
      <c r="M235" s="17">
        <v>310.99856054278132</v>
      </c>
      <c r="N235" s="17">
        <v>7.5019070525573293</v>
      </c>
      <c r="O235" s="17">
        <v>7.808769846749037</v>
      </c>
      <c r="P235" s="17">
        <v>7.3443166138812952</v>
      </c>
      <c r="S235" s="5">
        <f t="shared" si="60"/>
        <v>322.92674288401759</v>
      </c>
      <c r="T235" s="17"/>
      <c r="U235" s="5">
        <f t="shared" si="61"/>
        <v>322.84878012711613</v>
      </c>
      <c r="W235" s="5">
        <f t="shared" si="62"/>
        <v>323.4033343676125</v>
      </c>
      <c r="Y235">
        <f t="shared" si="69"/>
        <v>226</v>
      </c>
      <c r="Z235" s="3">
        <f t="shared" si="70"/>
        <v>1535.6400627990752</v>
      </c>
      <c r="AA235" s="3">
        <f t="shared" si="71"/>
        <v>1526.2408646011068</v>
      </c>
      <c r="AB235" s="3">
        <f t="shared" si="72"/>
        <v>1479.5478729687375</v>
      </c>
      <c r="AC235" s="3">
        <f t="shared" si="73"/>
        <v>1431.1151699082529</v>
      </c>
      <c r="BC235" s="17">
        <f t="shared" si="74"/>
        <v>332.84406248917844</v>
      </c>
      <c r="BD235" s="3">
        <f t="shared" si="75"/>
        <v>1535.6400627990752</v>
      </c>
      <c r="BF235" s="5">
        <f t="shared" si="63"/>
        <v>322.92674288401759</v>
      </c>
      <c r="BG235">
        <f t="shared" si="64"/>
        <v>1526.2408646011068</v>
      </c>
      <c r="BI235" s="5">
        <f t="shared" si="65"/>
        <v>322.84878012711613</v>
      </c>
      <c r="BJ235">
        <f t="shared" si="66"/>
        <v>1479.5478729687375</v>
      </c>
      <c r="BL235" s="5">
        <f t="shared" si="67"/>
        <v>323.4033343676125</v>
      </c>
      <c r="BM235">
        <f t="shared" si="68"/>
        <v>1431.1151699082529</v>
      </c>
    </row>
    <row r="236" spans="1:65" x14ac:dyDescent="0.25">
      <c r="A236">
        <v>227</v>
      </c>
      <c r="B236" s="17">
        <f t="shared" si="57"/>
        <v>334.37680178816458</v>
      </c>
      <c r="C236" s="17">
        <f t="shared" si="58"/>
        <v>388.95582085414532</v>
      </c>
      <c r="D236" s="17">
        <f t="shared" si="59"/>
        <v>331.53582103198045</v>
      </c>
      <c r="G236" s="1">
        <v>227</v>
      </c>
      <c r="H236" s="17">
        <v>49.03078531093221</v>
      </c>
      <c r="I236" s="17">
        <v>53.035762654509753</v>
      </c>
      <c r="J236" s="17">
        <v>50.504730872796081</v>
      </c>
      <c r="M236" s="17">
        <v>312.15129259785158</v>
      </c>
      <c r="N236" s="17">
        <v>7.5085544520154244</v>
      </c>
      <c r="O236" s="17">
        <v>7.8159145183680376</v>
      </c>
      <c r="P236" s="17">
        <v>7.3552449363915047</v>
      </c>
      <c r="S236" s="5">
        <f t="shared" si="60"/>
        <v>324.45180552071201</v>
      </c>
      <c r="T236" s="17"/>
      <c r="U236" s="5">
        <f t="shared" si="61"/>
        <v>324.32728639770147</v>
      </c>
      <c r="W236" s="5">
        <f t="shared" si="62"/>
        <v>324.83330700429849</v>
      </c>
      <c r="Y236">
        <f t="shared" si="69"/>
        <v>227</v>
      </c>
      <c r="Z236" s="3">
        <f t="shared" si="70"/>
        <v>1532.7392989861437</v>
      </c>
      <c r="AA236" s="3">
        <f t="shared" si="71"/>
        <v>1525.0626366944289</v>
      </c>
      <c r="AB236" s="3">
        <f t="shared" si="72"/>
        <v>1478.506270585342</v>
      </c>
      <c r="AC236" s="3">
        <f t="shared" si="73"/>
        <v>1429.9726366859886</v>
      </c>
      <c r="BC236" s="17">
        <f t="shared" si="74"/>
        <v>334.37680178816458</v>
      </c>
      <c r="BD236" s="3">
        <f t="shared" si="75"/>
        <v>1532.7392989861437</v>
      </c>
      <c r="BF236" s="5">
        <f t="shared" si="63"/>
        <v>324.45180552071201</v>
      </c>
      <c r="BG236">
        <f t="shared" si="64"/>
        <v>1525.0626366944289</v>
      </c>
      <c r="BI236" s="5">
        <f t="shared" si="65"/>
        <v>324.32728639770147</v>
      </c>
      <c r="BJ236">
        <f t="shared" si="66"/>
        <v>1478.506270585342</v>
      </c>
      <c r="BL236" s="5">
        <f t="shared" si="67"/>
        <v>324.83330700429849</v>
      </c>
      <c r="BM236">
        <f t="shared" si="68"/>
        <v>1429.9726366859886</v>
      </c>
    </row>
    <row r="237" spans="1:65" x14ac:dyDescent="0.25">
      <c r="A237">
        <v>228</v>
      </c>
      <c r="B237" s="17">
        <f t="shared" si="57"/>
        <v>335.90660144007461</v>
      </c>
      <c r="C237" s="17">
        <f t="shared" si="58"/>
        <v>390.68691210356059</v>
      </c>
      <c r="D237" s="17">
        <f t="shared" si="59"/>
        <v>332.98863556387062</v>
      </c>
      <c r="G237" s="1">
        <v>228</v>
      </c>
      <c r="H237" s="17">
        <v>49.047980213169012</v>
      </c>
      <c r="I237" s="17">
        <v>53.059962367943257</v>
      </c>
      <c r="J237" s="17">
        <v>50.523452955500673</v>
      </c>
      <c r="M237" s="17">
        <v>313.3040246529219</v>
      </c>
      <c r="N237" s="17">
        <v>7.5151935805864598</v>
      </c>
      <c r="O237" s="17">
        <v>7.8230412880165341</v>
      </c>
      <c r="P237" s="17">
        <v>7.3659206386566689</v>
      </c>
      <c r="S237" s="5">
        <f t="shared" si="60"/>
        <v>325.97564169338489</v>
      </c>
      <c r="T237" s="17"/>
      <c r="U237" s="5">
        <f t="shared" si="61"/>
        <v>325.80471694619416</v>
      </c>
      <c r="W237" s="5">
        <f t="shared" si="62"/>
        <v>326.26212095369345</v>
      </c>
      <c r="Y237">
        <f t="shared" si="69"/>
        <v>228</v>
      </c>
      <c r="Z237" s="3">
        <f t="shared" si="70"/>
        <v>1529.7996519100252</v>
      </c>
      <c r="AA237" s="3">
        <f t="shared" si="71"/>
        <v>1523.8361726728726</v>
      </c>
      <c r="AB237" s="3">
        <f t="shared" si="72"/>
        <v>1477.4305484926913</v>
      </c>
      <c r="AC237" s="3">
        <f t="shared" si="73"/>
        <v>1428.8139493949643</v>
      </c>
      <c r="BC237" s="17">
        <f t="shared" si="74"/>
        <v>335.90660144007461</v>
      </c>
      <c r="BD237" s="3">
        <f t="shared" si="75"/>
        <v>1529.7996519100252</v>
      </c>
      <c r="BF237" s="5">
        <f t="shared" si="63"/>
        <v>325.97564169338489</v>
      </c>
      <c r="BG237">
        <f t="shared" si="64"/>
        <v>1523.8361726728726</v>
      </c>
      <c r="BI237" s="5">
        <f t="shared" si="65"/>
        <v>325.80471694619416</v>
      </c>
      <c r="BJ237">
        <f t="shared" si="66"/>
        <v>1477.4305484926913</v>
      </c>
      <c r="BL237" s="5">
        <f t="shared" si="67"/>
        <v>326.26212095369345</v>
      </c>
      <c r="BM237">
        <f t="shared" si="68"/>
        <v>1428.8139493949643</v>
      </c>
    </row>
    <row r="238" spans="1:65" x14ac:dyDescent="0.25">
      <c r="A238">
        <v>229</v>
      </c>
      <c r="B238" s="17">
        <f t="shared" si="57"/>
        <v>337.43342309599291</v>
      </c>
      <c r="C238" s="17">
        <f t="shared" si="58"/>
        <v>392.41440647760982</v>
      </c>
      <c r="D238" s="17">
        <f t="shared" si="59"/>
        <v>334.437740295862</v>
      </c>
      <c r="G238" s="1">
        <v>229</v>
      </c>
      <c r="H238" s="17">
        <v>49.065028604481348</v>
      </c>
      <c r="I238" s="17">
        <v>53.083858131198802</v>
      </c>
      <c r="J238" s="17">
        <v>50.542027362950748</v>
      </c>
      <c r="M238" s="17">
        <v>314.45675670799221</v>
      </c>
      <c r="N238" s="17">
        <v>7.5218261966213902</v>
      </c>
      <c r="O238" s="17">
        <v>7.8301528716035991</v>
      </c>
      <c r="P238" s="17">
        <v>7.3763409788247003</v>
      </c>
      <c r="S238" s="5">
        <f t="shared" si="60"/>
        <v>327.49820316592138</v>
      </c>
      <c r="T238" s="17"/>
      <c r="U238" s="5">
        <f t="shared" si="61"/>
        <v>327.28103765288472</v>
      </c>
      <c r="W238" s="5">
        <f t="shared" si="62"/>
        <v>327.68976006172869</v>
      </c>
      <c r="Y238">
        <f t="shared" si="69"/>
        <v>229</v>
      </c>
      <c r="Z238" s="3">
        <f t="shared" si="70"/>
        <v>1526.8216559182974</v>
      </c>
      <c r="AA238" s="3">
        <f t="shared" si="71"/>
        <v>1522.5614725364949</v>
      </c>
      <c r="AB238" s="3">
        <f t="shared" si="72"/>
        <v>1476.3207066905579</v>
      </c>
      <c r="AC238" s="3">
        <f t="shared" si="73"/>
        <v>1427.6391080352369</v>
      </c>
      <c r="BC238" s="17">
        <f t="shared" si="74"/>
        <v>337.43342309599291</v>
      </c>
      <c r="BD238" s="3">
        <f t="shared" si="75"/>
        <v>1526.8216559182974</v>
      </c>
      <c r="BF238" s="5">
        <f t="shared" si="63"/>
        <v>327.49820316592138</v>
      </c>
      <c r="BG238">
        <f t="shared" si="64"/>
        <v>1522.5614725364949</v>
      </c>
      <c r="BI238" s="5">
        <f t="shared" si="65"/>
        <v>327.28103765288472</v>
      </c>
      <c r="BJ238">
        <f t="shared" si="66"/>
        <v>1476.3207066905579</v>
      </c>
      <c r="BL238" s="5">
        <f t="shared" si="67"/>
        <v>327.68976006172869</v>
      </c>
      <c r="BM238">
        <f t="shared" si="68"/>
        <v>1427.6391080352369</v>
      </c>
    </row>
    <row r="239" spans="1:65" x14ac:dyDescent="0.25">
      <c r="A239">
        <v>230</v>
      </c>
      <c r="B239" s="17">
        <f t="shared" si="57"/>
        <v>338.95722894135167</v>
      </c>
      <c r="C239" s="17">
        <f t="shared" si="58"/>
        <v>394.1382671404707</v>
      </c>
      <c r="D239" s="17">
        <f t="shared" si="59"/>
        <v>335.88309888266525</v>
      </c>
      <c r="G239" s="1">
        <v>230</v>
      </c>
      <c r="H239" s="17">
        <v>49.081925818452703</v>
      </c>
      <c r="I239" s="17">
        <v>53.107441384631237</v>
      </c>
      <c r="J239" s="17">
        <v>50.560449797434323</v>
      </c>
      <c r="M239" s="17">
        <v>315.60948876306247</v>
      </c>
      <c r="N239" s="17">
        <v>7.5284540584711701</v>
      </c>
      <c r="O239" s="17">
        <v>7.8372519850383053</v>
      </c>
      <c r="P239" s="17">
        <v>7.3865032150435113</v>
      </c>
      <c r="S239" s="5">
        <f t="shared" si="60"/>
        <v>329.01944170220668</v>
      </c>
      <c r="T239" s="17"/>
      <c r="U239" s="5">
        <f t="shared" si="61"/>
        <v>328.75621439806417</v>
      </c>
      <c r="W239" s="5">
        <f t="shared" si="62"/>
        <v>329.11620817433555</v>
      </c>
      <c r="Y239">
        <f t="shared" si="69"/>
        <v>230</v>
      </c>
      <c r="Z239" s="3">
        <f t="shared" si="70"/>
        <v>1523.8058453587655</v>
      </c>
      <c r="AA239" s="3">
        <f t="shared" si="71"/>
        <v>1521.2385362852956</v>
      </c>
      <c r="AB239" s="3">
        <f t="shared" si="72"/>
        <v>1475.1767451794535</v>
      </c>
      <c r="AC239" s="3">
        <f t="shared" si="73"/>
        <v>1426.4481126068631</v>
      </c>
      <c r="BC239" s="17">
        <f t="shared" si="74"/>
        <v>338.95722894135167</v>
      </c>
      <c r="BD239" s="3">
        <f t="shared" si="75"/>
        <v>1523.8058453587655</v>
      </c>
      <c r="BF239" s="5">
        <f t="shared" si="63"/>
        <v>329.01944170220668</v>
      </c>
      <c r="BG239">
        <f t="shared" si="64"/>
        <v>1521.2385362852956</v>
      </c>
      <c r="BI239" s="5">
        <f t="shared" si="65"/>
        <v>328.75621439806417</v>
      </c>
      <c r="BJ239">
        <f t="shared" si="66"/>
        <v>1475.1767451794535</v>
      </c>
      <c r="BL239" s="5">
        <f t="shared" si="67"/>
        <v>329.11620817433555</v>
      </c>
      <c r="BM239">
        <f t="shared" si="68"/>
        <v>1426.4481126068631</v>
      </c>
    </row>
    <row r="240" spans="1:65" x14ac:dyDescent="0.25">
      <c r="A240">
        <v>231</v>
      </c>
      <c r="B240" s="17">
        <f t="shared" si="57"/>
        <v>340.47798169592988</v>
      </c>
      <c r="C240" s="17">
        <f t="shared" si="58"/>
        <v>395.85845787725788</v>
      </c>
      <c r="D240" s="17">
        <f t="shared" si="59"/>
        <v>337.32467556401161</v>
      </c>
      <c r="G240" s="1">
        <v>231</v>
      </c>
      <c r="H240" s="17">
        <v>49.09866718866656</v>
      </c>
      <c r="I240" s="17">
        <v>53.130703568595493</v>
      </c>
      <c r="J240" s="17">
        <v>50.578715961239368</v>
      </c>
      <c r="M240" s="17">
        <v>316.7622208181329</v>
      </c>
      <c r="N240" s="17">
        <v>7.5350789244867524</v>
      </c>
      <c r="O240" s="17">
        <v>7.8443413442297274</v>
      </c>
      <c r="P240" s="17">
        <v>7.3964046054610151</v>
      </c>
      <c r="S240" s="5">
        <f t="shared" si="60"/>
        <v>330.53930906612595</v>
      </c>
      <c r="T240" s="17"/>
      <c r="U240" s="5">
        <f t="shared" si="61"/>
        <v>330.23021306202304</v>
      </c>
      <c r="W240" s="5">
        <f t="shared" si="62"/>
        <v>330.5414491374454</v>
      </c>
      <c r="Y240">
        <f t="shared" si="69"/>
        <v>231</v>
      </c>
      <c r="Z240" s="3">
        <f t="shared" si="70"/>
        <v>1520.7527545782114</v>
      </c>
      <c r="AA240" s="3">
        <f t="shared" si="71"/>
        <v>1519.8673639192748</v>
      </c>
      <c r="AB240" s="3">
        <f t="shared" si="72"/>
        <v>1473.9986639588665</v>
      </c>
      <c r="AC240" s="3">
        <f t="shared" si="73"/>
        <v>1425.2409631098431</v>
      </c>
      <c r="BC240" s="17">
        <f t="shared" si="74"/>
        <v>340.47798169592988</v>
      </c>
      <c r="BD240" s="3">
        <f t="shared" si="75"/>
        <v>1520.7527545782114</v>
      </c>
      <c r="BF240" s="5">
        <f t="shared" si="63"/>
        <v>330.53930906612595</v>
      </c>
      <c r="BG240">
        <f t="shared" si="64"/>
        <v>1519.8673639192748</v>
      </c>
      <c r="BI240" s="5">
        <f t="shared" si="65"/>
        <v>330.23021306202304</v>
      </c>
      <c r="BJ240">
        <f t="shared" si="66"/>
        <v>1473.9986639588665</v>
      </c>
      <c r="BL240" s="5">
        <f t="shared" si="67"/>
        <v>330.5414491374454</v>
      </c>
      <c r="BM240">
        <f t="shared" si="68"/>
        <v>1425.2409631098431</v>
      </c>
    </row>
    <row r="241" spans="1:65" x14ac:dyDescent="0.25">
      <c r="A241">
        <v>232</v>
      </c>
      <c r="B241" s="17">
        <f t="shared" si="57"/>
        <v>341.99564461385449</v>
      </c>
      <c r="C241" s="17">
        <f t="shared" si="58"/>
        <v>397.5749430940225</v>
      </c>
      <c r="D241" s="17">
        <f t="shared" si="59"/>
        <v>338.76243516465286</v>
      </c>
      <c r="G241" s="1">
        <v>232</v>
      </c>
      <c r="H241" s="17">
        <v>49.115248048706412</v>
      </c>
      <c r="I241" s="17">
        <v>53.153636123446432</v>
      </c>
      <c r="J241" s="17">
        <v>50.596821556653907</v>
      </c>
      <c r="M241" s="17">
        <v>317.91495287320322</v>
      </c>
      <c r="N241" s="17">
        <v>7.5417025530190891</v>
      </c>
      <c r="O241" s="17">
        <v>7.8514236650869353</v>
      </c>
      <c r="P241" s="17">
        <v>7.4060424082251242</v>
      </c>
      <c r="S241" s="5">
        <f t="shared" si="60"/>
        <v>332.05775702156433</v>
      </c>
      <c r="T241" s="17"/>
      <c r="U241" s="5">
        <f t="shared" si="61"/>
        <v>331.70299952505195</v>
      </c>
      <c r="W241" s="5">
        <f t="shared" si="62"/>
        <v>331.9654667969894</v>
      </c>
      <c r="Y241">
        <f t="shared" si="69"/>
        <v>232</v>
      </c>
      <c r="Z241" s="3">
        <f t="shared" si="70"/>
        <v>1517.6629179246106</v>
      </c>
      <c r="AA241" s="3">
        <f t="shared" si="71"/>
        <v>1518.4479554383756</v>
      </c>
      <c r="AB241" s="3">
        <f t="shared" si="72"/>
        <v>1472.7864630289105</v>
      </c>
      <c r="AC241" s="3">
        <f t="shared" si="73"/>
        <v>1424.0176595440062</v>
      </c>
      <c r="BC241" s="17">
        <f t="shared" si="74"/>
        <v>341.99564461385449</v>
      </c>
      <c r="BD241" s="3">
        <f t="shared" si="75"/>
        <v>1517.6629179246106</v>
      </c>
      <c r="BF241" s="5">
        <f t="shared" si="63"/>
        <v>332.05775702156433</v>
      </c>
      <c r="BG241">
        <f t="shared" si="64"/>
        <v>1518.4479554383756</v>
      </c>
      <c r="BI241" s="5">
        <f t="shared" si="65"/>
        <v>331.70299952505195</v>
      </c>
      <c r="BJ241">
        <f t="shared" si="66"/>
        <v>1472.7864630289105</v>
      </c>
      <c r="BL241" s="5">
        <f t="shared" si="67"/>
        <v>331.9654667969894</v>
      </c>
      <c r="BM241">
        <f t="shared" si="68"/>
        <v>1424.0176595440062</v>
      </c>
    </row>
    <row r="242" spans="1:65" x14ac:dyDescent="0.25">
      <c r="A242">
        <v>233</v>
      </c>
      <c r="B242" s="17">
        <f t="shared" si="57"/>
        <v>343.51018148359935</v>
      </c>
      <c r="C242" s="17">
        <f t="shared" si="58"/>
        <v>399.28768781775193</v>
      </c>
      <c r="D242" s="17">
        <f t="shared" si="59"/>
        <v>340.1963430943614</v>
      </c>
      <c r="G242" s="1">
        <v>233</v>
      </c>
      <c r="H242" s="17">
        <v>49.131663732155729</v>
      </c>
      <c r="I242" s="17">
        <v>53.176230489538973</v>
      </c>
      <c r="J242" s="17">
        <v>50.614762285965931</v>
      </c>
      <c r="M242" s="17">
        <v>319.06768492827348</v>
      </c>
      <c r="N242" s="17">
        <v>7.5483267024191356</v>
      </c>
      <c r="O242" s="17">
        <v>7.8585016635190019</v>
      </c>
      <c r="P242" s="17">
        <v>7.4154138814837509</v>
      </c>
      <c r="S242" s="5">
        <f t="shared" si="60"/>
        <v>333.57473733240704</v>
      </c>
      <c r="T242" s="17"/>
      <c r="U242" s="5">
        <f t="shared" si="61"/>
        <v>333.17453966744182</v>
      </c>
      <c r="W242" s="5">
        <f t="shared" si="62"/>
        <v>333.38824499889893</v>
      </c>
      <c r="Y242">
        <f t="shared" si="69"/>
        <v>233</v>
      </c>
      <c r="Z242" s="3">
        <f t="shared" si="70"/>
        <v>1514.5368697448589</v>
      </c>
      <c r="AA242" s="3">
        <f t="shared" si="71"/>
        <v>1516.9803108427118</v>
      </c>
      <c r="AB242" s="3">
        <f t="shared" si="72"/>
        <v>1471.5401423898697</v>
      </c>
      <c r="AC242" s="3">
        <f t="shared" si="73"/>
        <v>1422.778201909523</v>
      </c>
      <c r="BC242" s="17">
        <f t="shared" si="74"/>
        <v>343.51018148359935</v>
      </c>
      <c r="BD242" s="3">
        <f t="shared" si="75"/>
        <v>1514.5368697448589</v>
      </c>
      <c r="BF242" s="5">
        <f t="shared" si="63"/>
        <v>333.57473733240704</v>
      </c>
      <c r="BG242">
        <f t="shared" si="64"/>
        <v>1516.9803108427118</v>
      </c>
      <c r="BI242" s="5">
        <f t="shared" si="65"/>
        <v>333.17453966744182</v>
      </c>
      <c r="BJ242">
        <f t="shared" si="66"/>
        <v>1471.5401423898697</v>
      </c>
      <c r="BL242" s="5">
        <f t="shared" si="67"/>
        <v>333.38824499889893</v>
      </c>
      <c r="BM242">
        <f t="shared" si="68"/>
        <v>1422.778201909523</v>
      </c>
    </row>
    <row r="243" spans="1:65" x14ac:dyDescent="0.25">
      <c r="A243">
        <v>234</v>
      </c>
      <c r="B243" s="17">
        <f t="shared" si="57"/>
        <v>345.02155662798623</v>
      </c>
      <c r="C243" s="17">
        <f t="shared" si="58"/>
        <v>400.99665769637079</v>
      </c>
      <c r="D243" s="17">
        <f t="shared" si="59"/>
        <v>341.62636534793046</v>
      </c>
      <c r="G243" s="1">
        <v>234</v>
      </c>
      <c r="H243" s="17">
        <v>49.14790957259801</v>
      </c>
      <c r="I243" s="17">
        <v>53.19847810722797</v>
      </c>
      <c r="J243" s="17">
        <v>50.632533851463442</v>
      </c>
      <c r="M243" s="17">
        <v>320.2204169833438</v>
      </c>
      <c r="N243" s="17">
        <v>7.5549531310378448</v>
      </c>
      <c r="O243" s="17">
        <v>7.8655780554350034</v>
      </c>
      <c r="P243" s="17">
        <v>7.4245162833848077</v>
      </c>
      <c r="S243" s="5">
        <f t="shared" si="60"/>
        <v>335.09020176253921</v>
      </c>
      <c r="T243" s="17"/>
      <c r="U243" s="5">
        <f t="shared" si="61"/>
        <v>334.64479936948328</v>
      </c>
      <c r="W243" s="5">
        <f t="shared" si="62"/>
        <v>334.80976758910515</v>
      </c>
      <c r="Y243">
        <f t="shared" si="69"/>
        <v>234</v>
      </c>
      <c r="Z243" s="3">
        <f t="shared" si="70"/>
        <v>1511.375144386875</v>
      </c>
      <c r="AA243" s="3">
        <f t="shared" si="71"/>
        <v>1515.4644301321696</v>
      </c>
      <c r="AB243" s="3">
        <f t="shared" si="72"/>
        <v>1470.2597020414601</v>
      </c>
      <c r="AC243" s="3">
        <f t="shared" si="73"/>
        <v>1421.522590206223</v>
      </c>
      <c r="BC243" s="17">
        <f t="shared" si="74"/>
        <v>345.02155662798623</v>
      </c>
      <c r="BD243" s="3">
        <f t="shared" si="75"/>
        <v>1511.375144386875</v>
      </c>
      <c r="BF243" s="5">
        <f t="shared" si="63"/>
        <v>335.09020176253921</v>
      </c>
      <c r="BG243">
        <f t="shared" si="64"/>
        <v>1515.4644301321696</v>
      </c>
      <c r="BI243" s="5">
        <f t="shared" si="65"/>
        <v>334.64479936948328</v>
      </c>
      <c r="BJ243">
        <f t="shared" si="66"/>
        <v>1470.2597020414601</v>
      </c>
      <c r="BL243" s="5">
        <f t="shared" si="67"/>
        <v>334.80976758910515</v>
      </c>
      <c r="BM243">
        <f t="shared" si="68"/>
        <v>1421.522590206223</v>
      </c>
    </row>
    <row r="244" spans="1:65" x14ac:dyDescent="0.25">
      <c r="A244">
        <v>235</v>
      </c>
      <c r="B244" s="17">
        <f t="shared" si="57"/>
        <v>346.52973490418401</v>
      </c>
      <c r="C244" s="17">
        <f t="shared" si="58"/>
        <v>402.70181899874024</v>
      </c>
      <c r="D244" s="17">
        <f t="shared" si="59"/>
        <v>343.05246850517335</v>
      </c>
      <c r="G244" s="1">
        <v>235</v>
      </c>
      <c r="H244" s="17">
        <v>49.163980903616732</v>
      </c>
      <c r="I244" s="17">
        <v>53.220370416868327</v>
      </c>
      <c r="J244" s="17">
        <v>50.650131955434432</v>
      </c>
      <c r="M244" s="17">
        <v>321.37314903841411</v>
      </c>
      <c r="N244" s="17">
        <v>7.5615835972261713</v>
      </c>
      <c r="O244" s="17">
        <v>7.8726555567440109</v>
      </c>
      <c r="P244" s="17">
        <v>7.4333468720762079</v>
      </c>
      <c r="S244" s="5">
        <f t="shared" si="60"/>
        <v>336.60410207584596</v>
      </c>
      <c r="T244" s="17"/>
      <c r="U244" s="5">
        <f t="shared" si="61"/>
        <v>336.11374451146685</v>
      </c>
      <c r="W244" s="5">
        <f t="shared" si="62"/>
        <v>336.23001841353965</v>
      </c>
      <c r="Y244">
        <f t="shared" si="69"/>
        <v>235</v>
      </c>
      <c r="Z244" s="3">
        <f t="shared" si="70"/>
        <v>1508.178276197782</v>
      </c>
      <c r="AA244" s="3">
        <f t="shared" si="71"/>
        <v>1513.900313306749</v>
      </c>
      <c r="AB244" s="3">
        <f t="shared" si="72"/>
        <v>1468.9451419835677</v>
      </c>
      <c r="AC244" s="3">
        <f t="shared" si="73"/>
        <v>1420.250824434504</v>
      </c>
      <c r="BC244" s="17">
        <f t="shared" si="74"/>
        <v>346.52973490418401</v>
      </c>
      <c r="BD244" s="3">
        <f t="shared" si="75"/>
        <v>1508.178276197782</v>
      </c>
      <c r="BF244" s="5">
        <f t="shared" si="63"/>
        <v>336.60410207584596</v>
      </c>
      <c r="BG244">
        <f t="shared" si="64"/>
        <v>1513.900313306749</v>
      </c>
      <c r="BI244" s="5">
        <f t="shared" si="65"/>
        <v>336.11374451146685</v>
      </c>
      <c r="BJ244">
        <f t="shared" si="66"/>
        <v>1468.9451419835677</v>
      </c>
      <c r="BL244" s="5">
        <f t="shared" si="67"/>
        <v>336.23001841353965</v>
      </c>
      <c r="BM244">
        <f t="shared" si="68"/>
        <v>1420.250824434504</v>
      </c>
    </row>
    <row r="245" spans="1:65" x14ac:dyDescent="0.25">
      <c r="A245">
        <v>236</v>
      </c>
      <c r="B245" s="17">
        <f t="shared" si="57"/>
        <v>348.03468170370917</v>
      </c>
      <c r="C245" s="17">
        <f t="shared" si="58"/>
        <v>404.40313861465734</v>
      </c>
      <c r="D245" s="17">
        <f t="shared" si="59"/>
        <v>344.4746197309247</v>
      </c>
      <c r="G245" s="1">
        <v>236</v>
      </c>
      <c r="H245" s="17">
        <v>49.179873058795373</v>
      </c>
      <c r="I245" s="17">
        <v>53.241898858814963</v>
      </c>
      <c r="J245" s="17">
        <v>50.667552300166903</v>
      </c>
      <c r="M245" s="17">
        <v>322.52588109348437</v>
      </c>
      <c r="N245" s="17">
        <v>7.5682198593350662</v>
      </c>
      <c r="O245" s="17">
        <v>7.8797368833550969</v>
      </c>
      <c r="P245" s="17">
        <v>7.4419029210690724</v>
      </c>
      <c r="S245" s="5">
        <f t="shared" si="60"/>
        <v>338.11639003621247</v>
      </c>
      <c r="T245" s="17"/>
      <c r="U245" s="5">
        <f t="shared" si="61"/>
        <v>337.5813409736835</v>
      </c>
      <c r="W245" s="5">
        <f t="shared" si="62"/>
        <v>337.64898131813345</v>
      </c>
      <c r="Y245">
        <f t="shared" si="69"/>
        <v>236</v>
      </c>
      <c r="Z245" s="3">
        <f t="shared" si="70"/>
        <v>1504.9467995251575</v>
      </c>
      <c r="AA245" s="3">
        <f t="shared" si="71"/>
        <v>1512.2879603665069</v>
      </c>
      <c r="AB245" s="3">
        <f t="shared" si="72"/>
        <v>1467.5964622166475</v>
      </c>
      <c r="AC245" s="3">
        <f t="shared" si="73"/>
        <v>1418.9629045937977</v>
      </c>
      <c r="BC245" s="17">
        <f t="shared" si="74"/>
        <v>348.03468170370917</v>
      </c>
      <c r="BD245" s="3">
        <f t="shared" si="75"/>
        <v>1504.9467995251575</v>
      </c>
      <c r="BF245" s="5">
        <f t="shared" si="63"/>
        <v>338.11639003621247</v>
      </c>
      <c r="BG245">
        <f t="shared" si="64"/>
        <v>1512.2879603665069</v>
      </c>
      <c r="BI245" s="5">
        <f t="shared" si="65"/>
        <v>337.5813409736835</v>
      </c>
      <c r="BJ245">
        <f t="shared" si="66"/>
        <v>1467.5964622166475</v>
      </c>
      <c r="BL245" s="5">
        <f t="shared" si="67"/>
        <v>337.64898131813345</v>
      </c>
      <c r="BM245">
        <f t="shared" si="68"/>
        <v>1418.9629045937977</v>
      </c>
    </row>
    <row r="246" spans="1:65" x14ac:dyDescent="0.25">
      <c r="A246">
        <v>237</v>
      </c>
      <c r="B246" s="17">
        <f t="shared" si="57"/>
        <v>349.53636295242541</v>
      </c>
      <c r="C246" s="17">
        <f t="shared" si="58"/>
        <v>406.10058405485637</v>
      </c>
      <c r="D246" s="17">
        <f t="shared" si="59"/>
        <v>345.89278677503893</v>
      </c>
      <c r="G246" s="1">
        <v>237</v>
      </c>
      <c r="H246" s="17">
        <v>49.195581371717431</v>
      </c>
      <c r="I246" s="17">
        <v>53.263054873422732</v>
      </c>
      <c r="J246" s="17">
        <v>50.684790587948861</v>
      </c>
      <c r="M246" s="17">
        <v>323.67861314855469</v>
      </c>
      <c r="N246" s="17">
        <v>7.5748636757154859</v>
      </c>
      <c r="O246" s="17">
        <v>7.8868247511773353</v>
      </c>
      <c r="P246" s="17">
        <v>7.4501841158354507</v>
      </c>
      <c r="S246" s="5">
        <f t="shared" si="60"/>
        <v>339.62701740752402</v>
      </c>
      <c r="T246" s="17"/>
      <c r="U246" s="5">
        <f t="shared" si="61"/>
        <v>339.0475546364238</v>
      </c>
      <c r="W246" s="5">
        <f t="shared" si="62"/>
        <v>339.06664014881807</v>
      </c>
      <c r="Y246">
        <f t="shared" si="69"/>
        <v>237</v>
      </c>
      <c r="Z246" s="3">
        <f t="shared" si="70"/>
        <v>1501.6812487162383</v>
      </c>
      <c r="AA246" s="3">
        <f t="shared" si="71"/>
        <v>1510.627371311557</v>
      </c>
      <c r="AB246" s="3">
        <f t="shared" si="72"/>
        <v>1466.2136627403015</v>
      </c>
      <c r="AC246" s="3">
        <f t="shared" si="73"/>
        <v>1417.6588306846156</v>
      </c>
      <c r="BC246" s="17">
        <f t="shared" si="74"/>
        <v>349.53636295242541</v>
      </c>
      <c r="BD246" s="3">
        <f t="shared" si="75"/>
        <v>1501.6812487162383</v>
      </c>
      <c r="BF246" s="5">
        <f t="shared" si="63"/>
        <v>339.62701740752402</v>
      </c>
      <c r="BG246">
        <f t="shared" si="64"/>
        <v>1510.627371311557</v>
      </c>
      <c r="BI246" s="5">
        <f t="shared" si="65"/>
        <v>339.0475546364238</v>
      </c>
      <c r="BJ246">
        <f t="shared" si="66"/>
        <v>1466.2136627403015</v>
      </c>
      <c r="BL246" s="5">
        <f t="shared" si="67"/>
        <v>339.06664014881807</v>
      </c>
      <c r="BM246">
        <f t="shared" si="68"/>
        <v>1417.6588306846156</v>
      </c>
    </row>
    <row r="247" spans="1:65" x14ac:dyDescent="0.25">
      <c r="A247">
        <v>238</v>
      </c>
      <c r="B247" s="17">
        <f t="shared" si="57"/>
        <v>351.03474511054412</v>
      </c>
      <c r="C247" s="17">
        <f t="shared" si="58"/>
        <v>407.79412345100832</v>
      </c>
      <c r="D247" s="17">
        <f t="shared" si="59"/>
        <v>347.30693797239184</v>
      </c>
      <c r="G247" s="1">
        <v>238</v>
      </c>
      <c r="H247" s="17">
        <v>49.211101175966377</v>
      </c>
      <c r="I247" s="17">
        <v>53.283829901046538</v>
      </c>
      <c r="J247" s="17">
        <v>50.701842521068301</v>
      </c>
      <c r="M247" s="17">
        <v>324.83134520362501</v>
      </c>
      <c r="N247" s="17">
        <v>7.5815168047183832</v>
      </c>
      <c r="O247" s="17">
        <v>7.8939218761197987</v>
      </c>
      <c r="P247" s="17">
        <v>7.4581951577968431</v>
      </c>
      <c r="S247" s="5">
        <f t="shared" si="60"/>
        <v>341.13593595366569</v>
      </c>
      <c r="T247" s="17"/>
      <c r="U247" s="5">
        <f t="shared" si="61"/>
        <v>340.51235137997867</v>
      </c>
      <c r="W247" s="5">
        <f t="shared" si="62"/>
        <v>340.48297875152468</v>
      </c>
      <c r="Y247">
        <f t="shared" si="69"/>
        <v>238</v>
      </c>
      <c r="Z247" s="3">
        <f t="shared" si="70"/>
        <v>1498.3821581187158</v>
      </c>
      <c r="AA247" s="3">
        <f t="shared" si="71"/>
        <v>1508.9185461416719</v>
      </c>
      <c r="AB247" s="3">
        <f t="shared" si="72"/>
        <v>1464.7967435548708</v>
      </c>
      <c r="AC247" s="3">
        <f t="shared" si="73"/>
        <v>1416.3386027066167</v>
      </c>
      <c r="BC247" s="17">
        <f t="shared" si="74"/>
        <v>351.03474511054412</v>
      </c>
      <c r="BD247" s="3">
        <f t="shared" si="75"/>
        <v>1498.3821581187158</v>
      </c>
      <c r="BF247" s="5">
        <f t="shared" si="63"/>
        <v>341.13593595366569</v>
      </c>
      <c r="BG247">
        <f t="shared" si="64"/>
        <v>1508.9185461416719</v>
      </c>
      <c r="BI247" s="5">
        <f t="shared" si="65"/>
        <v>340.51235137997867</v>
      </c>
      <c r="BJ247">
        <f t="shared" si="66"/>
        <v>1464.7967435548708</v>
      </c>
      <c r="BL247" s="5">
        <f t="shared" si="67"/>
        <v>340.48297875152468</v>
      </c>
      <c r="BM247">
        <f t="shared" si="68"/>
        <v>1416.3386027066167</v>
      </c>
    </row>
    <row r="248" spans="1:65" x14ac:dyDescent="0.25">
      <c r="A248">
        <v>239</v>
      </c>
      <c r="B248" s="17">
        <f t="shared" si="57"/>
        <v>352.52979517262384</v>
      </c>
      <c r="C248" s="17">
        <f t="shared" si="58"/>
        <v>409.48372555572064</v>
      </c>
      <c r="D248" s="17">
        <f t="shared" si="59"/>
        <v>348.7170422428793</v>
      </c>
      <c r="G248" s="1">
        <v>239</v>
      </c>
      <c r="H248" s="17">
        <v>49.226427805125716</v>
      </c>
      <c r="I248" s="17">
        <v>53.304215382041271</v>
      </c>
      <c r="J248" s="17">
        <v>50.71870380181322</v>
      </c>
      <c r="M248" s="17">
        <v>325.98407725869532</v>
      </c>
      <c r="N248" s="17">
        <v>7.5881810046947109</v>
      </c>
      <c r="O248" s="17">
        <v>7.901030974091559</v>
      </c>
      <c r="P248" s="17">
        <v>7.4659413738151796</v>
      </c>
      <c r="S248" s="5">
        <f t="shared" si="60"/>
        <v>342.64309743852266</v>
      </c>
      <c r="T248" s="17"/>
      <c r="U248" s="5">
        <f t="shared" si="61"/>
        <v>341.97569708463845</v>
      </c>
      <c r="W248" s="5">
        <f t="shared" si="62"/>
        <v>341.89798097218466</v>
      </c>
      <c r="Y248">
        <f t="shared" si="69"/>
        <v>239</v>
      </c>
      <c r="Z248" s="3">
        <f t="shared" si="70"/>
        <v>1495.0500620797129</v>
      </c>
      <c r="AA248" s="3">
        <f t="shared" si="71"/>
        <v>1507.1614848569652</v>
      </c>
      <c r="AB248" s="3">
        <f t="shared" si="72"/>
        <v>1463.3457046597869</v>
      </c>
      <c r="AC248" s="3">
        <f t="shared" si="73"/>
        <v>1415.0022206599715</v>
      </c>
      <c r="BC248" s="17">
        <f t="shared" si="74"/>
        <v>352.52979517262384</v>
      </c>
      <c r="BD248" s="3">
        <f t="shared" si="75"/>
        <v>1495.0500620797129</v>
      </c>
      <c r="BF248" s="5">
        <f t="shared" si="63"/>
        <v>342.64309743852266</v>
      </c>
      <c r="BG248">
        <f t="shared" si="64"/>
        <v>1507.1614848569652</v>
      </c>
      <c r="BI248" s="5">
        <f t="shared" si="65"/>
        <v>341.97569708463845</v>
      </c>
      <c r="BJ248">
        <f t="shared" si="66"/>
        <v>1463.3457046597869</v>
      </c>
      <c r="BL248" s="5">
        <f t="shared" si="67"/>
        <v>341.89798097218466</v>
      </c>
      <c r="BM248">
        <f t="shared" si="68"/>
        <v>1415.0022206599715</v>
      </c>
    </row>
    <row r="249" spans="1:65" x14ac:dyDescent="0.25">
      <c r="A249">
        <v>240</v>
      </c>
      <c r="B249" s="17">
        <f t="shared" si="57"/>
        <v>354.02148066757053</v>
      </c>
      <c r="C249" s="17">
        <f t="shared" si="58"/>
        <v>411.16935974253704</v>
      </c>
      <c r="D249" s="17">
        <f t="shared" si="59"/>
        <v>350.1230690914179</v>
      </c>
      <c r="G249" s="1">
        <v>240</v>
      </c>
      <c r="H249" s="17">
        <v>49.241556592778913</v>
      </c>
      <c r="I249" s="17">
        <v>53.324202756761821</v>
      </c>
      <c r="J249" s="17">
        <v>50.735370132471623</v>
      </c>
      <c r="M249" s="17">
        <v>327.13680931376558</v>
      </c>
      <c r="N249" s="17">
        <v>7.5948580339954228</v>
      </c>
      <c r="O249" s="17">
        <v>7.9081547610016907</v>
      </c>
      <c r="P249" s="17">
        <v>7.4734280907523951</v>
      </c>
      <c r="S249" s="5">
        <f t="shared" si="60"/>
        <v>344.14845362598004</v>
      </c>
      <c r="T249" s="17"/>
      <c r="U249" s="5">
        <f t="shared" si="61"/>
        <v>343.43755763069419</v>
      </c>
      <c r="W249" s="5">
        <f t="shared" si="62"/>
        <v>343.31163065672928</v>
      </c>
      <c r="Y249">
        <f t="shared" si="69"/>
        <v>240</v>
      </c>
      <c r="Z249" s="3">
        <f t="shared" si="70"/>
        <v>1491.6854949466938</v>
      </c>
      <c r="AA249" s="3">
        <f t="shared" si="71"/>
        <v>1505.3561874573802</v>
      </c>
      <c r="AB249" s="3">
        <f t="shared" si="72"/>
        <v>1461.8605460557319</v>
      </c>
      <c r="AC249" s="3">
        <f t="shared" si="73"/>
        <v>1413.6496845446231</v>
      </c>
      <c r="BC249" s="17">
        <f t="shared" si="74"/>
        <v>354.02148066757053</v>
      </c>
      <c r="BD249" s="3">
        <f t="shared" si="75"/>
        <v>1491.6854949466938</v>
      </c>
      <c r="BF249" s="5">
        <f t="shared" si="63"/>
        <v>344.14845362598004</v>
      </c>
      <c r="BG249">
        <f t="shared" si="64"/>
        <v>1505.3561874573802</v>
      </c>
      <c r="BI249" s="5">
        <f t="shared" si="65"/>
        <v>343.43755763069419</v>
      </c>
      <c r="BJ249">
        <f t="shared" si="66"/>
        <v>1461.8605460557319</v>
      </c>
      <c r="BL249" s="5">
        <f t="shared" si="67"/>
        <v>343.31163065672928</v>
      </c>
      <c r="BM249">
        <f t="shared" si="68"/>
        <v>1413.6496845446231</v>
      </c>
    </row>
    <row r="250" spans="1:65" x14ac:dyDescent="0.25">
      <c r="A250">
        <v>241</v>
      </c>
      <c r="B250" s="17">
        <f t="shared" si="57"/>
        <v>355.50976965863811</v>
      </c>
      <c r="C250" s="17">
        <f t="shared" si="58"/>
        <v>412.85099600593833</v>
      </c>
      <c r="D250" s="17">
        <f t="shared" si="59"/>
        <v>351.52498860794515</v>
      </c>
      <c r="G250" s="1">
        <v>241</v>
      </c>
      <c r="H250" s="17">
        <v>49.256482872509451</v>
      </c>
      <c r="I250" s="17">
        <v>53.343783465563078</v>
      </c>
      <c r="J250" s="17">
        <v>50.751837215331498</v>
      </c>
      <c r="M250" s="17">
        <v>328.28954136883601</v>
      </c>
      <c r="N250" s="17">
        <v>7.6015496509714744</v>
      </c>
      <c r="O250" s="17">
        <v>7.9152959527592666</v>
      </c>
      <c r="P250" s="17">
        <v>7.4806606354704241</v>
      </c>
      <c r="S250" s="5">
        <f t="shared" si="60"/>
        <v>345.65195627992307</v>
      </c>
      <c r="T250" s="17"/>
      <c r="U250" s="5">
        <f t="shared" si="61"/>
        <v>344.89789889843638</v>
      </c>
      <c r="W250" s="5">
        <f t="shared" si="62"/>
        <v>344.72391165108979</v>
      </c>
      <c r="Y250">
        <f t="shared" si="69"/>
        <v>241</v>
      </c>
      <c r="Z250" s="3">
        <f t="shared" si="70"/>
        <v>1488.2889910675772</v>
      </c>
      <c r="AA250" s="3">
        <f t="shared" si="71"/>
        <v>1503.5026539430305</v>
      </c>
      <c r="AB250" s="3">
        <f t="shared" si="72"/>
        <v>1460.3412677421943</v>
      </c>
      <c r="AC250" s="3">
        <f t="shared" si="73"/>
        <v>1412.2809943605148</v>
      </c>
      <c r="BC250" s="17">
        <f t="shared" si="74"/>
        <v>355.50976965863811</v>
      </c>
      <c r="BD250" s="3">
        <f t="shared" si="75"/>
        <v>1488.2889910675772</v>
      </c>
      <c r="BF250" s="5">
        <f t="shared" si="63"/>
        <v>345.65195627992307</v>
      </c>
      <c r="BG250">
        <f t="shared" si="64"/>
        <v>1503.5026539430305</v>
      </c>
      <c r="BI250" s="5">
        <f t="shared" si="65"/>
        <v>344.89789889843638</v>
      </c>
      <c r="BJ250">
        <f t="shared" si="66"/>
        <v>1460.3412677421943</v>
      </c>
      <c r="BL250" s="5">
        <f t="shared" si="67"/>
        <v>344.72391165108979</v>
      </c>
      <c r="BM250">
        <f t="shared" si="68"/>
        <v>1412.2809943605148</v>
      </c>
    </row>
    <row r="251" spans="1:65" x14ac:dyDescent="0.25">
      <c r="A251">
        <v>242</v>
      </c>
      <c r="B251" s="17">
        <f t="shared" si="57"/>
        <v>356.99463074342702</v>
      </c>
      <c r="C251" s="17">
        <f t="shared" si="58"/>
        <v>414.52860496134184</v>
      </c>
      <c r="D251" s="17">
        <f t="shared" si="59"/>
        <v>352.92277146741873</v>
      </c>
      <c r="G251" s="1">
        <v>242</v>
      </c>
      <c r="H251" s="17">
        <v>49.271201977900823</v>
      </c>
      <c r="I251" s="17">
        <v>53.362948948799939</v>
      </c>
      <c r="J251" s="17">
        <v>50.768100752680851</v>
      </c>
      <c r="M251" s="17">
        <v>329.44227342390627</v>
      </c>
      <c r="N251" s="17">
        <v>7.6082576139738149</v>
      </c>
      <c r="O251" s="17">
        <v>7.9224572652733594</v>
      </c>
      <c r="P251" s="17">
        <v>7.4876443348311978</v>
      </c>
      <c r="S251" s="5">
        <f t="shared" si="60"/>
        <v>347.15355716423699</v>
      </c>
      <c r="T251" s="17"/>
      <c r="U251" s="5">
        <f t="shared" si="61"/>
        <v>346.35668676815584</v>
      </c>
      <c r="W251" s="5">
        <f t="shared" si="62"/>
        <v>346.13480780119755</v>
      </c>
      <c r="Y251">
        <f t="shared" si="69"/>
        <v>242</v>
      </c>
      <c r="Z251" s="3">
        <f t="shared" si="70"/>
        <v>1484.8610847889177</v>
      </c>
      <c r="AA251" s="3">
        <f t="shared" si="71"/>
        <v>1501.6008843139161</v>
      </c>
      <c r="AB251" s="3">
        <f t="shared" si="72"/>
        <v>1458.7878697194583</v>
      </c>
      <c r="AC251" s="3">
        <f t="shared" si="73"/>
        <v>1410.8961501077601</v>
      </c>
      <c r="BC251" s="17">
        <f t="shared" si="74"/>
        <v>356.99463074342702</v>
      </c>
      <c r="BD251" s="3">
        <f t="shared" si="75"/>
        <v>1484.8610847889177</v>
      </c>
      <c r="BF251" s="5">
        <f t="shared" si="63"/>
        <v>347.15355716423699</v>
      </c>
      <c r="BG251">
        <f t="shared" si="64"/>
        <v>1501.6008843139161</v>
      </c>
      <c r="BI251" s="5">
        <f t="shared" si="65"/>
        <v>346.35668676815584</v>
      </c>
      <c r="BJ251">
        <f t="shared" si="66"/>
        <v>1458.7878697194583</v>
      </c>
      <c r="BL251" s="5">
        <f t="shared" si="67"/>
        <v>346.13480780119755</v>
      </c>
      <c r="BM251">
        <f t="shared" si="68"/>
        <v>1410.8961501077601</v>
      </c>
    </row>
    <row r="252" spans="1:65" x14ac:dyDescent="0.25">
      <c r="A252">
        <v>243</v>
      </c>
      <c r="B252" s="17">
        <f t="shared" si="57"/>
        <v>358.47603305388589</v>
      </c>
      <c r="C252" s="17">
        <f t="shared" si="58"/>
        <v>416.20215784510106</v>
      </c>
      <c r="D252" s="17">
        <f t="shared" si="59"/>
        <v>354.31638892981726</v>
      </c>
      <c r="G252" s="1">
        <v>243</v>
      </c>
      <c r="H252" s="17">
        <v>49.28570924253652</v>
      </c>
      <c r="I252" s="17">
        <v>53.38169064682728</v>
      </c>
      <c r="J252" s="17">
        <v>50.784156446807692</v>
      </c>
      <c r="M252" s="17">
        <v>330.59500547897659</v>
      </c>
      <c r="N252" s="17">
        <v>7.6149836813534018</v>
      </c>
      <c r="O252" s="17">
        <v>7.92964141445304</v>
      </c>
      <c r="P252" s="17">
        <v>7.4943845156966509</v>
      </c>
      <c r="S252" s="5">
        <f t="shared" si="60"/>
        <v>348.65320804280674</v>
      </c>
      <c r="T252" s="17"/>
      <c r="U252" s="5">
        <f t="shared" si="61"/>
        <v>347.81388712014325</v>
      </c>
      <c r="W252" s="5">
        <f t="shared" si="62"/>
        <v>347.54430295298391</v>
      </c>
      <c r="Y252">
        <f t="shared" si="69"/>
        <v>243</v>
      </c>
      <c r="Z252" s="3">
        <f t="shared" si="70"/>
        <v>1481.4023104588614</v>
      </c>
      <c r="AA252" s="3">
        <f t="shared" si="71"/>
        <v>1499.6508785697529</v>
      </c>
      <c r="AB252" s="3">
        <f t="shared" si="72"/>
        <v>1457.2003519874102</v>
      </c>
      <c r="AC252" s="3">
        <f t="shared" si="73"/>
        <v>1409.4951517863592</v>
      </c>
      <c r="BC252" s="17">
        <f t="shared" si="74"/>
        <v>358.47603305388589</v>
      </c>
      <c r="BD252" s="3">
        <f t="shared" si="75"/>
        <v>1481.4023104588614</v>
      </c>
      <c r="BF252" s="5">
        <f t="shared" si="63"/>
        <v>348.65320804280674</v>
      </c>
      <c r="BG252">
        <f t="shared" si="64"/>
        <v>1499.6508785697529</v>
      </c>
      <c r="BI252" s="5">
        <f t="shared" si="65"/>
        <v>347.81388712014325</v>
      </c>
      <c r="BJ252">
        <f t="shared" si="66"/>
        <v>1457.2003519874102</v>
      </c>
      <c r="BL252" s="5">
        <f t="shared" si="67"/>
        <v>347.54430295298391</v>
      </c>
      <c r="BM252">
        <f t="shared" si="68"/>
        <v>1409.4951517863592</v>
      </c>
    </row>
    <row r="253" spans="1:65" x14ac:dyDescent="0.25">
      <c r="A253">
        <v>244</v>
      </c>
      <c r="B253" s="17">
        <f t="shared" si="57"/>
        <v>359.9539462563103</v>
      </c>
      <c r="C253" s="17">
        <f t="shared" si="58"/>
        <v>417.87162651450694</v>
      </c>
      <c r="D253" s="17">
        <f t="shared" si="59"/>
        <v>355.70581284013969</v>
      </c>
      <c r="G253" s="1">
        <v>244</v>
      </c>
      <c r="H253" s="17">
        <v>49.300000000000011</v>
      </c>
      <c r="I253" s="17">
        <v>53.400000000000013</v>
      </c>
      <c r="J253" s="17">
        <v>50.8</v>
      </c>
      <c r="M253" s="17">
        <v>331.74773753404691</v>
      </c>
      <c r="N253" s="17">
        <v>7.6217296114611868</v>
      </c>
      <c r="O253" s="17">
        <v>7.936851116207384</v>
      </c>
      <c r="P253" s="17">
        <v>7.5008865049287161</v>
      </c>
      <c r="S253" s="5">
        <f t="shared" si="60"/>
        <v>350.15086067951779</v>
      </c>
      <c r="T253" s="17"/>
      <c r="U253" s="5">
        <f t="shared" si="61"/>
        <v>349.26946583468936</v>
      </c>
      <c r="W253" s="5">
        <f t="shared" si="62"/>
        <v>348.95238095238011</v>
      </c>
      <c r="Y253">
        <f t="shared" si="69"/>
        <v>244</v>
      </c>
      <c r="Z253" s="3">
        <f t="shared" si="70"/>
        <v>1477.9132024244177</v>
      </c>
      <c r="AA253" s="3">
        <f t="shared" si="71"/>
        <v>1497.6526367110523</v>
      </c>
      <c r="AB253" s="3">
        <f t="shared" si="72"/>
        <v>1455.5787145461068</v>
      </c>
      <c r="AC253" s="3">
        <f t="shared" si="73"/>
        <v>1408.0779993961983</v>
      </c>
      <c r="BC253" s="17">
        <f t="shared" si="74"/>
        <v>359.9539462563103</v>
      </c>
      <c r="BD253" s="3">
        <f t="shared" si="75"/>
        <v>1477.9132024244177</v>
      </c>
      <c r="BF253" s="5">
        <f t="shared" si="63"/>
        <v>350.15086067951779</v>
      </c>
      <c r="BG253">
        <f t="shared" si="64"/>
        <v>1497.6526367110523</v>
      </c>
      <c r="BI253" s="5">
        <f t="shared" si="65"/>
        <v>349.26946583468936</v>
      </c>
      <c r="BJ253">
        <f t="shared" si="66"/>
        <v>1455.5787145461068</v>
      </c>
      <c r="BL253" s="5">
        <f t="shared" si="67"/>
        <v>348.95238095238011</v>
      </c>
      <c r="BM253">
        <f t="shared" si="68"/>
        <v>1408.0779993961983</v>
      </c>
    </row>
    <row r="254" spans="1:65" x14ac:dyDescent="0.25">
      <c r="A254">
        <v>245</v>
      </c>
      <c r="B254" s="17">
        <f t="shared" si="57"/>
        <v>361.42834055134375</v>
      </c>
      <c r="C254" s="17">
        <f t="shared" si="58"/>
        <v>419.53698344778616</v>
      </c>
      <c r="D254" s="17">
        <f t="shared" si="59"/>
        <v>357.09101562840578</v>
      </c>
      <c r="G254" s="1">
        <v>245</v>
      </c>
      <c r="H254" s="17">
        <v>49.314071006843761</v>
      </c>
      <c r="I254" s="17">
        <v>53.417871270960511</v>
      </c>
      <c r="J254" s="17">
        <v>50.815628459892757</v>
      </c>
      <c r="M254" s="17">
        <v>332.90046958911722</v>
      </c>
      <c r="N254" s="17">
        <v>7.6284971626481246</v>
      </c>
      <c r="O254" s="17">
        <v>7.9440890864454632</v>
      </c>
      <c r="P254" s="17">
        <v>7.5071556293893273</v>
      </c>
      <c r="S254" s="5">
        <f t="shared" si="60"/>
        <v>351.64646683825498</v>
      </c>
      <c r="T254" s="17"/>
      <c r="U254" s="5">
        <f t="shared" si="61"/>
        <v>350.72338879208485</v>
      </c>
      <c r="W254" s="5">
        <f t="shared" si="62"/>
        <v>350.3590256453175</v>
      </c>
      <c r="Y254">
        <f t="shared" si="69"/>
        <v>245</v>
      </c>
      <c r="Z254" s="3">
        <f t="shared" si="70"/>
        <v>1474.3942950334485</v>
      </c>
      <c r="AA254" s="3">
        <f t="shared" si="71"/>
        <v>1495.6061587371892</v>
      </c>
      <c r="AB254" s="3">
        <f t="shared" si="72"/>
        <v>1453.9229573954913</v>
      </c>
      <c r="AC254" s="3">
        <f t="shared" si="73"/>
        <v>1406.644692937391</v>
      </c>
      <c r="BC254" s="17">
        <f t="shared" si="74"/>
        <v>361.42834055134375</v>
      </c>
      <c r="BD254" s="3">
        <f t="shared" si="75"/>
        <v>1474.3942950334485</v>
      </c>
      <c r="BF254" s="5">
        <f t="shared" si="63"/>
        <v>351.64646683825498</v>
      </c>
      <c r="BG254">
        <f t="shared" si="64"/>
        <v>1495.6061587371892</v>
      </c>
      <c r="BI254" s="5">
        <f t="shared" si="65"/>
        <v>350.72338879208485</v>
      </c>
      <c r="BJ254">
        <f t="shared" si="66"/>
        <v>1453.9229573954913</v>
      </c>
      <c r="BL254" s="5">
        <f t="shared" si="67"/>
        <v>350.3590256453175</v>
      </c>
      <c r="BM254">
        <f t="shared" si="68"/>
        <v>1406.644692937391</v>
      </c>
    </row>
    <row r="255" spans="1:65" x14ac:dyDescent="0.25">
      <c r="A255">
        <v>246</v>
      </c>
      <c r="B255" s="17">
        <f t="shared" si="57"/>
        <v>362.89918667397632</v>
      </c>
      <c r="C255" s="17">
        <f t="shared" si="58"/>
        <v>421.19820174410256</v>
      </c>
      <c r="D255" s="17">
        <f t="shared" si="59"/>
        <v>358.47197030965566</v>
      </c>
      <c r="G255" s="1">
        <v>246</v>
      </c>
      <c r="H255" s="17">
        <v>49.327924711496223</v>
      </c>
      <c r="I255" s="17">
        <v>53.435310011501308</v>
      </c>
      <c r="J255" s="17">
        <v>50.831044255508907</v>
      </c>
      <c r="M255" s="17">
        <v>334.05320164418748</v>
      </c>
      <c r="N255" s="17">
        <v>7.6352880932651681</v>
      </c>
      <c r="O255" s="17">
        <v>7.9513580410763511</v>
      </c>
      <c r="P255" s="17">
        <v>7.5131972159404183</v>
      </c>
      <c r="S255" s="5">
        <f t="shared" si="60"/>
        <v>353.13997828290377</v>
      </c>
      <c r="T255" s="17"/>
      <c r="U255" s="5">
        <f t="shared" si="61"/>
        <v>352.17562187262035</v>
      </c>
      <c r="W255" s="5">
        <f t="shared" si="62"/>
        <v>351.76422087772738</v>
      </c>
      <c r="Y255">
        <f t="shared" si="69"/>
        <v>246</v>
      </c>
      <c r="Z255" s="3">
        <f t="shared" si="70"/>
        <v>1470.8461226325653</v>
      </c>
      <c r="AA255" s="3">
        <f t="shared" si="71"/>
        <v>1493.5114446487887</v>
      </c>
      <c r="AB255" s="3">
        <f t="shared" si="72"/>
        <v>1452.2330805355068</v>
      </c>
      <c r="AC255" s="3">
        <f t="shared" si="73"/>
        <v>1405.1952324098806</v>
      </c>
      <c r="BC255" s="17">
        <f t="shared" si="74"/>
        <v>362.89918667397632</v>
      </c>
      <c r="BD255" s="3">
        <f t="shared" si="75"/>
        <v>1470.8461226325653</v>
      </c>
      <c r="BF255" s="5">
        <f t="shared" si="63"/>
        <v>353.13997828290377</v>
      </c>
      <c r="BG255">
        <f t="shared" si="64"/>
        <v>1493.5114446487887</v>
      </c>
      <c r="BI255" s="5">
        <f t="shared" si="65"/>
        <v>352.17562187262035</v>
      </c>
      <c r="BJ255">
        <f t="shared" si="66"/>
        <v>1452.2330805355068</v>
      </c>
      <c r="BL255" s="5">
        <f t="shared" si="67"/>
        <v>351.76422087772738</v>
      </c>
      <c r="BM255">
        <f t="shared" si="68"/>
        <v>1405.1952324098806</v>
      </c>
    </row>
    <row r="256" spans="1:65" x14ac:dyDescent="0.25">
      <c r="A256">
        <v>247</v>
      </c>
      <c r="B256" s="17">
        <f t="shared" si="57"/>
        <v>364.36645589354657</v>
      </c>
      <c r="C256" s="17">
        <f t="shared" si="58"/>
        <v>422.8552551235565</v>
      </c>
      <c r="D256" s="17">
        <f t="shared" si="59"/>
        <v>359.84865048395045</v>
      </c>
      <c r="G256" s="1">
        <v>247</v>
      </c>
      <c r="H256" s="17">
        <v>49.341564985354772</v>
      </c>
      <c r="I256" s="17">
        <v>53.452324595702393</v>
      </c>
      <c r="J256" s="17">
        <v>50.846251161218341</v>
      </c>
      <c r="M256" s="17">
        <v>335.20593369925791</v>
      </c>
      <c r="N256" s="17">
        <v>7.642104161663271</v>
      </c>
      <c r="O256" s="17">
        <v>7.9586606960091197</v>
      </c>
      <c r="P256" s="17">
        <v>7.5190165914439202</v>
      </c>
      <c r="S256" s="5">
        <f t="shared" si="60"/>
        <v>354.63134677734922</v>
      </c>
      <c r="T256" s="17"/>
      <c r="U256" s="5">
        <f t="shared" si="61"/>
        <v>353.62613095658662</v>
      </c>
      <c r="W256" s="5">
        <f t="shared" si="62"/>
        <v>353.16795049554094</v>
      </c>
      <c r="Y256">
        <f t="shared" si="69"/>
        <v>247</v>
      </c>
      <c r="Z256" s="3">
        <f t="shared" si="70"/>
        <v>1467.2692195702552</v>
      </c>
      <c r="AA256" s="3">
        <f t="shared" si="71"/>
        <v>1491.3684944454531</v>
      </c>
      <c r="AB256" s="3">
        <f t="shared" si="72"/>
        <v>1450.5090839662671</v>
      </c>
      <c r="AC256" s="3">
        <f t="shared" si="73"/>
        <v>1403.7296178135534</v>
      </c>
      <c r="BC256" s="17">
        <f t="shared" si="74"/>
        <v>364.36645589354657</v>
      </c>
      <c r="BD256" s="3">
        <f t="shared" si="75"/>
        <v>1467.2692195702552</v>
      </c>
      <c r="BF256" s="5">
        <f t="shared" si="63"/>
        <v>354.63134677734922</v>
      </c>
      <c r="BG256">
        <f t="shared" si="64"/>
        <v>1491.3684944454531</v>
      </c>
      <c r="BI256" s="5">
        <f t="shared" si="65"/>
        <v>353.62613095658662</v>
      </c>
      <c r="BJ256">
        <f t="shared" si="66"/>
        <v>1450.5090839662671</v>
      </c>
      <c r="BL256" s="5">
        <f t="shared" si="67"/>
        <v>353.16795049554094</v>
      </c>
      <c r="BM256">
        <f t="shared" si="68"/>
        <v>1403.7296178135534</v>
      </c>
    </row>
    <row r="257" spans="1:65" x14ac:dyDescent="0.25">
      <c r="A257">
        <v>248</v>
      </c>
      <c r="B257" s="17">
        <f t="shared" si="57"/>
        <v>365.83012001373959</v>
      </c>
      <c r="C257" s="17">
        <f t="shared" si="58"/>
        <v>424.50811792718468</v>
      </c>
      <c r="D257" s="17">
        <f t="shared" si="59"/>
        <v>361.22103033637154</v>
      </c>
      <c r="G257" s="1">
        <v>248</v>
      </c>
      <c r="H257" s="17">
        <v>49.354995699816833</v>
      </c>
      <c r="I257" s="17">
        <v>53.468923397643763</v>
      </c>
      <c r="J257" s="17">
        <v>50.861252951390952</v>
      </c>
      <c r="M257" s="17">
        <v>336.35866575432817</v>
      </c>
      <c r="N257" s="17">
        <v>7.648947126193387</v>
      </c>
      <c r="O257" s="17">
        <v>7.9659997671528444</v>
      </c>
      <c r="P257" s="17">
        <v>7.5246190827617694</v>
      </c>
      <c r="S257" s="5">
        <f t="shared" si="60"/>
        <v>356.12052408547629</v>
      </c>
      <c r="T257" s="17"/>
      <c r="U257" s="5">
        <f t="shared" si="61"/>
        <v>355.07488192427439</v>
      </c>
      <c r="W257" s="5">
        <f t="shared" si="62"/>
        <v>354.57019834468963</v>
      </c>
      <c r="Y257">
        <f t="shared" si="69"/>
        <v>248</v>
      </c>
      <c r="Z257" s="3">
        <f t="shared" si="70"/>
        <v>1463.6641201930161</v>
      </c>
      <c r="AA257" s="3">
        <f t="shared" si="71"/>
        <v>1489.1773081270685</v>
      </c>
      <c r="AB257" s="3">
        <f t="shared" si="72"/>
        <v>1448.7509676877721</v>
      </c>
      <c r="AC257" s="3">
        <f t="shared" si="73"/>
        <v>1402.2478491486936</v>
      </c>
      <c r="BC257" s="17">
        <f t="shared" si="74"/>
        <v>365.83012001373959</v>
      </c>
      <c r="BD257" s="3">
        <f t="shared" si="75"/>
        <v>1463.6641201930161</v>
      </c>
      <c r="BF257" s="5">
        <f t="shared" si="63"/>
        <v>356.12052408547629</v>
      </c>
      <c r="BG257">
        <f t="shared" si="64"/>
        <v>1489.1773081270685</v>
      </c>
      <c r="BI257" s="5">
        <f t="shared" si="65"/>
        <v>355.07488192427439</v>
      </c>
      <c r="BJ257">
        <f t="shared" si="66"/>
        <v>1448.7509676877721</v>
      </c>
      <c r="BL257" s="5">
        <f t="shared" si="67"/>
        <v>354.57019834468963</v>
      </c>
      <c r="BM257">
        <f t="shared" si="68"/>
        <v>1402.2478491486936</v>
      </c>
    </row>
    <row r="258" spans="1:65" x14ac:dyDescent="0.25">
      <c r="A258">
        <v>249</v>
      </c>
      <c r="B258" s="17">
        <f t="shared" si="57"/>
        <v>367.29015137258835</v>
      </c>
      <c r="C258" s="17">
        <f t="shared" si="58"/>
        <v>426.15676511696097</v>
      </c>
      <c r="D258" s="17">
        <f t="shared" si="59"/>
        <v>362.5890846370209</v>
      </c>
      <c r="G258" s="1">
        <v>249</v>
      </c>
      <c r="H258" s="17">
        <v>49.368220726279787</v>
      </c>
      <c r="I258" s="17">
        <v>53.485114791405437</v>
      </c>
      <c r="J258" s="17">
        <v>50.876053400396643</v>
      </c>
      <c r="M258" s="17">
        <v>337.51139780939837</v>
      </c>
      <c r="N258" s="17">
        <v>7.6558187452064699</v>
      </c>
      <c r="O258" s="17">
        <v>7.9733779704165944</v>
      </c>
      <c r="P258" s="17">
        <v>7.5300100167558961</v>
      </c>
      <c r="S258" s="5">
        <f t="shared" si="60"/>
        <v>357.60746197117055</v>
      </c>
      <c r="T258" s="17"/>
      <c r="U258" s="5">
        <f t="shared" si="61"/>
        <v>356.52184065597442</v>
      </c>
      <c r="W258" s="5">
        <f t="shared" si="62"/>
        <v>355.9709482711047</v>
      </c>
      <c r="Y258">
        <f t="shared" si="69"/>
        <v>249</v>
      </c>
      <c r="Z258" s="3">
        <f t="shared" si="70"/>
        <v>1460.0313588487666</v>
      </c>
      <c r="AA258" s="3">
        <f t="shared" si="71"/>
        <v>1486.9378856942603</v>
      </c>
      <c r="AB258" s="3">
        <f t="shared" si="72"/>
        <v>1446.9587317000219</v>
      </c>
      <c r="AC258" s="3">
        <f t="shared" si="73"/>
        <v>1400.7499264150738</v>
      </c>
      <c r="BC258" s="17">
        <f t="shared" si="74"/>
        <v>367.29015137258835</v>
      </c>
      <c r="BD258" s="3">
        <f t="shared" si="75"/>
        <v>1460.0313588487666</v>
      </c>
      <c r="BF258" s="5">
        <f t="shared" si="63"/>
        <v>357.60746197117055</v>
      </c>
      <c r="BG258">
        <f t="shared" si="64"/>
        <v>1486.9378856942603</v>
      </c>
      <c r="BI258" s="5">
        <f t="shared" si="65"/>
        <v>356.52184065597442</v>
      </c>
      <c r="BJ258">
        <f t="shared" si="66"/>
        <v>1446.9587317000219</v>
      </c>
      <c r="BL258" s="5">
        <f t="shared" si="67"/>
        <v>355.9709482711047</v>
      </c>
      <c r="BM258">
        <f t="shared" si="68"/>
        <v>1400.7499264150738</v>
      </c>
    </row>
    <row r="259" spans="1:65" x14ac:dyDescent="0.25">
      <c r="A259">
        <v>250</v>
      </c>
      <c r="B259" s="17">
        <f t="shared" si="57"/>
        <v>368.74652284247293</v>
      </c>
      <c r="C259" s="17">
        <f t="shared" si="58"/>
        <v>427.80117227579535</v>
      </c>
      <c r="D259" s="17">
        <f t="shared" si="59"/>
        <v>363.95278874102155</v>
      </c>
      <c r="G259" s="1">
        <v>250</v>
      </c>
      <c r="H259" s="17">
        <v>49.381243936141068</v>
      </c>
      <c r="I259" s="17">
        <v>53.500907151067423</v>
      </c>
      <c r="J259" s="17">
        <v>50.890656282605313</v>
      </c>
      <c r="M259" s="17">
        <v>338.6641298644688</v>
      </c>
      <c r="N259" s="17">
        <v>7.6627207770534724</v>
      </c>
      <c r="O259" s="17">
        <v>7.9807980217094441</v>
      </c>
      <c r="P259" s="17">
        <v>7.5351947202882359</v>
      </c>
      <c r="S259" s="5">
        <f t="shared" si="60"/>
        <v>359.09211219831684</v>
      </c>
      <c r="T259" s="17"/>
      <c r="U259" s="5">
        <f t="shared" si="61"/>
        <v>357.96697303197737</v>
      </c>
      <c r="W259" s="5">
        <f t="shared" si="62"/>
        <v>357.37018412071745</v>
      </c>
      <c r="Y259">
        <f t="shared" si="69"/>
        <v>250</v>
      </c>
      <c r="Z259" s="3">
        <f t="shared" si="70"/>
        <v>1456.3714698845729</v>
      </c>
      <c r="AA259" s="3">
        <f t="shared" si="71"/>
        <v>1484.6502271462896</v>
      </c>
      <c r="AB259" s="3">
        <f t="shared" si="72"/>
        <v>1445.1323760029595</v>
      </c>
      <c r="AC259" s="3">
        <f t="shared" si="73"/>
        <v>1399.2358496127508</v>
      </c>
      <c r="BC259" s="17">
        <f t="shared" si="74"/>
        <v>368.74652284247293</v>
      </c>
      <c r="BD259" s="3">
        <f t="shared" si="75"/>
        <v>1456.3714698845729</v>
      </c>
      <c r="BF259" s="5">
        <f t="shared" si="63"/>
        <v>359.09211219831684</v>
      </c>
      <c r="BG259">
        <f t="shared" si="64"/>
        <v>1484.6502271462896</v>
      </c>
      <c r="BI259" s="5">
        <f t="shared" si="65"/>
        <v>357.96697303197737</v>
      </c>
      <c r="BJ259">
        <f t="shared" si="66"/>
        <v>1445.1323760029595</v>
      </c>
      <c r="BL259" s="5">
        <f t="shared" si="67"/>
        <v>357.37018412071745</v>
      </c>
      <c r="BM259">
        <f t="shared" si="68"/>
        <v>1399.2358496127508</v>
      </c>
    </row>
    <row r="260" spans="1:65" x14ac:dyDescent="0.25">
      <c r="A260">
        <v>251</v>
      </c>
      <c r="B260" s="17">
        <f t="shared" si="57"/>
        <v>370.19920783012157</v>
      </c>
      <c r="C260" s="17">
        <f t="shared" si="58"/>
        <v>429.44131560753448</v>
      </c>
      <c r="D260" s="17">
        <f t="shared" si="59"/>
        <v>365.3121185885164</v>
      </c>
      <c r="G260" s="1">
        <v>251</v>
      </c>
      <c r="H260" s="17">
        <v>49.394069200798057</v>
      </c>
      <c r="I260" s="17">
        <v>53.516308850709727</v>
      </c>
      <c r="J260" s="17">
        <v>50.905065372386872</v>
      </c>
      <c r="M260" s="17">
        <v>339.81686191953912</v>
      </c>
      <c r="N260" s="17">
        <v>7.6696549800853493</v>
      </c>
      <c r="O260" s="17">
        <v>7.9882626369404681</v>
      </c>
      <c r="P260" s="17">
        <v>7.5401785202207208</v>
      </c>
      <c r="S260" s="5">
        <f t="shared" si="60"/>
        <v>360.57442653080045</v>
      </c>
      <c r="T260" s="17"/>
      <c r="U260" s="5">
        <f t="shared" si="61"/>
        <v>359.4102449325739</v>
      </c>
      <c r="W260" s="5">
        <f t="shared" si="62"/>
        <v>358.76788973945918</v>
      </c>
      <c r="Y260">
        <f t="shared" si="69"/>
        <v>251</v>
      </c>
      <c r="Z260" s="3">
        <f t="shared" si="70"/>
        <v>1452.6849876486381</v>
      </c>
      <c r="AA260" s="3">
        <f t="shared" si="71"/>
        <v>1482.314332483611</v>
      </c>
      <c r="AB260" s="3">
        <f t="shared" si="72"/>
        <v>1443.2719005965282</v>
      </c>
      <c r="AC260" s="3">
        <f t="shared" si="73"/>
        <v>1397.7056187417247</v>
      </c>
      <c r="BC260" s="17">
        <f t="shared" si="74"/>
        <v>370.19920783012157</v>
      </c>
      <c r="BD260" s="3">
        <f t="shared" si="75"/>
        <v>1452.6849876486381</v>
      </c>
      <c r="BF260" s="5">
        <f t="shared" si="63"/>
        <v>360.57442653080045</v>
      </c>
      <c r="BG260">
        <f t="shared" si="64"/>
        <v>1482.314332483611</v>
      </c>
      <c r="BI260" s="5">
        <f t="shared" si="65"/>
        <v>359.4102449325739</v>
      </c>
      <c r="BJ260">
        <f t="shared" si="66"/>
        <v>1443.2719005965282</v>
      </c>
      <c r="BL260" s="5">
        <f t="shared" si="67"/>
        <v>358.76788973945918</v>
      </c>
      <c r="BM260">
        <f t="shared" si="68"/>
        <v>1397.7056187417247</v>
      </c>
    </row>
    <row r="261" spans="1:65" x14ac:dyDescent="0.25">
      <c r="A261">
        <v>252</v>
      </c>
      <c r="B261" s="17">
        <f t="shared" si="57"/>
        <v>371.64818027660874</v>
      </c>
      <c r="C261" s="17">
        <f t="shared" si="58"/>
        <v>431.0771719369618</v>
      </c>
      <c r="D261" s="17">
        <f t="shared" si="59"/>
        <v>366.66705070466963</v>
      </c>
      <c r="G261" s="1">
        <v>252</v>
      </c>
      <c r="H261" s="17">
        <v>49.40670039164818</v>
      </c>
      <c r="I261" s="17">
        <v>53.531328264412373</v>
      </c>
      <c r="J261" s="17">
        <v>50.91928444411122</v>
      </c>
      <c r="M261" s="17">
        <v>340.96959397460938</v>
      </c>
      <c r="N261" s="17">
        <v>7.6766231126530533</v>
      </c>
      <c r="O261" s="17">
        <v>7.9957745320187366</v>
      </c>
      <c r="P261" s="17">
        <v>7.5449667434152863</v>
      </c>
      <c r="S261" s="5">
        <f t="shared" si="60"/>
        <v>362.05435673250645</v>
      </c>
      <c r="T261" s="17"/>
      <c r="U261" s="5">
        <f t="shared" si="61"/>
        <v>360.8516222380548</v>
      </c>
      <c r="W261" s="5">
        <f t="shared" si="62"/>
        <v>360.16404897326129</v>
      </c>
      <c r="Y261">
        <f t="shared" si="69"/>
        <v>252</v>
      </c>
      <c r="Z261" s="3">
        <f t="shared" si="70"/>
        <v>1448.9724464871756</v>
      </c>
      <c r="AA261" s="3">
        <f t="shared" si="71"/>
        <v>1479.9302017059972</v>
      </c>
      <c r="AB261" s="3">
        <f t="shared" si="72"/>
        <v>1441.3773054808985</v>
      </c>
      <c r="AC261" s="3">
        <f t="shared" si="73"/>
        <v>1396.1592338021092</v>
      </c>
      <c r="BC261" s="17">
        <f t="shared" si="74"/>
        <v>371.64818027660874</v>
      </c>
      <c r="BD261" s="3">
        <f t="shared" si="75"/>
        <v>1448.9724464871756</v>
      </c>
      <c r="BF261" s="5">
        <f t="shared" si="63"/>
        <v>362.05435673250645</v>
      </c>
      <c r="BG261">
        <f t="shared" si="64"/>
        <v>1479.9302017059972</v>
      </c>
      <c r="BI261" s="5">
        <f t="shared" si="65"/>
        <v>360.8516222380548</v>
      </c>
      <c r="BJ261">
        <f t="shared" si="66"/>
        <v>1441.3773054808985</v>
      </c>
      <c r="BL261" s="5">
        <f t="shared" si="67"/>
        <v>360.16404897326129</v>
      </c>
      <c r="BM261">
        <f t="shared" si="68"/>
        <v>1396.1592338021092</v>
      </c>
    </row>
    <row r="262" spans="1:65" x14ac:dyDescent="0.25">
      <c r="A262">
        <v>253</v>
      </c>
      <c r="B262" s="17">
        <f t="shared" si="57"/>
        <v>373.09341465735736</v>
      </c>
      <c r="C262" s="17">
        <f t="shared" si="58"/>
        <v>432.70871870979732</v>
      </c>
      <c r="D262" s="17">
        <f t="shared" si="59"/>
        <v>368.0175621996658</v>
      </c>
      <c r="G262" s="1">
        <v>253</v>
      </c>
      <c r="H262" s="17">
        <v>49.419141380088831</v>
      </c>
      <c r="I262" s="17">
        <v>53.545973766255337</v>
      </c>
      <c r="J262" s="17">
        <v>50.933317272148251</v>
      </c>
      <c r="M262" s="17">
        <v>342.1223260296797</v>
      </c>
      <c r="N262" s="17">
        <v>7.6836269331075382</v>
      </c>
      <c r="O262" s="17">
        <v>8.0033364228533266</v>
      </c>
      <c r="P262" s="17">
        <v>7.5495647167338644</v>
      </c>
      <c r="S262" s="5">
        <f t="shared" si="60"/>
        <v>363.53185456732018</v>
      </c>
      <c r="T262" s="17"/>
      <c r="U262" s="5">
        <f t="shared" si="61"/>
        <v>362.2910708287107</v>
      </c>
      <c r="W262" s="5">
        <f t="shared" si="62"/>
        <v>361.55864566805491</v>
      </c>
      <c r="Y262">
        <f t="shared" si="69"/>
        <v>253</v>
      </c>
      <c r="Z262" s="3">
        <f t="shared" si="70"/>
        <v>1445.2343807486159</v>
      </c>
      <c r="AA262" s="3">
        <f t="shared" si="71"/>
        <v>1477.4978348137324</v>
      </c>
      <c r="AB262" s="3">
        <f t="shared" si="72"/>
        <v>1439.4485906558998</v>
      </c>
      <c r="AC262" s="3">
        <f t="shared" si="73"/>
        <v>1394.5966947936199</v>
      </c>
      <c r="BC262" s="17">
        <f t="shared" si="74"/>
        <v>373.09341465735736</v>
      </c>
      <c r="BD262" s="3">
        <f t="shared" si="75"/>
        <v>1445.2343807486159</v>
      </c>
      <c r="BF262" s="5">
        <f t="shared" si="63"/>
        <v>363.53185456732018</v>
      </c>
      <c r="BG262">
        <f t="shared" si="64"/>
        <v>1477.4978348137324</v>
      </c>
      <c r="BI262" s="5">
        <f t="shared" si="65"/>
        <v>362.2910708287107</v>
      </c>
      <c r="BJ262">
        <f t="shared" si="66"/>
        <v>1439.4485906558998</v>
      </c>
      <c r="BL262" s="5">
        <f t="shared" si="67"/>
        <v>361.55864566805491</v>
      </c>
      <c r="BM262">
        <f t="shared" si="68"/>
        <v>1394.5966947936199</v>
      </c>
    </row>
    <row r="263" spans="1:65" x14ac:dyDescent="0.25">
      <c r="A263">
        <v>254</v>
      </c>
      <c r="B263" s="17">
        <f t="shared" si="57"/>
        <v>374.5348859821375</v>
      </c>
      <c r="C263" s="17">
        <f t="shared" si="58"/>
        <v>434.33593399269773</v>
      </c>
      <c r="D263" s="17">
        <f t="shared" si="59"/>
        <v>369.36363076870975</v>
      </c>
      <c r="G263" s="1">
        <v>254</v>
      </c>
      <c r="H263" s="17">
        <v>49.431396037517423</v>
      </c>
      <c r="I263" s="17">
        <v>53.560253730318657</v>
      </c>
      <c r="J263" s="17">
        <v>50.947167630867881</v>
      </c>
      <c r="M263" s="17">
        <v>343.27505808475001</v>
      </c>
      <c r="N263" s="17">
        <v>7.6906681997997568</v>
      </c>
      <c r="O263" s="17">
        <v>8.0109510253533074</v>
      </c>
      <c r="P263" s="17">
        <v>7.5539777670383863</v>
      </c>
      <c r="S263" s="5">
        <f t="shared" si="60"/>
        <v>365.00687179912677</v>
      </c>
      <c r="T263" s="17"/>
      <c r="U263" s="5">
        <f t="shared" si="61"/>
        <v>363.72855658483235</v>
      </c>
      <c r="W263" s="5">
        <f t="shared" si="62"/>
        <v>362.95166366977139</v>
      </c>
      <c r="Y263">
        <f t="shared" si="69"/>
        <v>254</v>
      </c>
      <c r="Z263" s="3">
        <f t="shared" si="70"/>
        <v>1441.4713247801387</v>
      </c>
      <c r="AA263" s="3">
        <f t="shared" si="71"/>
        <v>1475.0172318065893</v>
      </c>
      <c r="AB263" s="3">
        <f t="shared" si="72"/>
        <v>1437.4857561216459</v>
      </c>
      <c r="AC263" s="3">
        <f t="shared" si="73"/>
        <v>1393.0180017164844</v>
      </c>
      <c r="BC263" s="17">
        <f t="shared" si="74"/>
        <v>374.5348859821375</v>
      </c>
      <c r="BD263" s="3">
        <f t="shared" si="75"/>
        <v>1441.4713247801387</v>
      </c>
      <c r="BF263" s="5">
        <f t="shared" si="63"/>
        <v>365.00687179912677</v>
      </c>
      <c r="BG263">
        <f t="shared" si="64"/>
        <v>1475.0172318065893</v>
      </c>
      <c r="BI263" s="5">
        <f t="shared" si="65"/>
        <v>363.72855658483235</v>
      </c>
      <c r="BJ263">
        <f t="shared" si="66"/>
        <v>1437.4857561216459</v>
      </c>
      <c r="BL263" s="5">
        <f t="shared" si="67"/>
        <v>362.95166366977139</v>
      </c>
      <c r="BM263">
        <f t="shared" si="68"/>
        <v>1393.0180017164844</v>
      </c>
    </row>
    <row r="264" spans="1:65" x14ac:dyDescent="0.25">
      <c r="A264">
        <v>255</v>
      </c>
      <c r="B264" s="17">
        <f t="shared" si="57"/>
        <v>375.97256979506619</v>
      </c>
      <c r="C264" s="17">
        <f t="shared" si="58"/>
        <v>435.95879647325603</v>
      </c>
      <c r="D264" s="17">
        <f t="shared" si="59"/>
        <v>370.70523469202772</v>
      </c>
      <c r="G264" s="1">
        <v>255</v>
      </c>
      <c r="H264" s="17">
        <v>49.443468235331352</v>
      </c>
      <c r="I264" s="17">
        <v>53.57417653068233</v>
      </c>
      <c r="J264" s="17">
        <v>50.960839294640003</v>
      </c>
      <c r="M264" s="17">
        <v>344.42779013982027</v>
      </c>
      <c r="N264" s="17">
        <v>7.6977486710806646</v>
      </c>
      <c r="O264" s="17">
        <v>8.0186210554277526</v>
      </c>
      <c r="P264" s="17">
        <v>7.5582112211907893</v>
      </c>
      <c r="S264" s="5">
        <f t="shared" si="60"/>
        <v>366.47936019181117</v>
      </c>
      <c r="T264" s="17"/>
      <c r="U264" s="5">
        <f t="shared" si="61"/>
        <v>365.16404538671048</v>
      </c>
      <c r="W264" s="5">
        <f t="shared" si="62"/>
        <v>364.34308682434215</v>
      </c>
      <c r="Y264">
        <f t="shared" si="69"/>
        <v>255</v>
      </c>
      <c r="Z264" s="3">
        <f t="shared" si="70"/>
        <v>1437.6838129286966</v>
      </c>
      <c r="AA264" s="3">
        <f t="shared" si="71"/>
        <v>1472.4883926843972</v>
      </c>
      <c r="AB264" s="3">
        <f t="shared" si="72"/>
        <v>1435.4888018781367</v>
      </c>
      <c r="AC264" s="3">
        <f t="shared" si="73"/>
        <v>1391.4231545707594</v>
      </c>
      <c r="BC264" s="17">
        <f t="shared" si="74"/>
        <v>375.97256979506619</v>
      </c>
      <c r="BD264" s="3">
        <f t="shared" si="75"/>
        <v>1437.6838129286966</v>
      </c>
      <c r="BF264" s="5">
        <f t="shared" si="63"/>
        <v>366.47936019181117</v>
      </c>
      <c r="BG264">
        <f t="shared" si="64"/>
        <v>1472.4883926843972</v>
      </c>
      <c r="BI264" s="5">
        <f t="shared" si="65"/>
        <v>365.16404538671048</v>
      </c>
      <c r="BJ264">
        <f t="shared" si="66"/>
        <v>1435.4888018781367</v>
      </c>
      <c r="BL264" s="5">
        <f t="shared" si="67"/>
        <v>364.34308682434215</v>
      </c>
      <c r="BM264">
        <f t="shared" si="68"/>
        <v>1391.4231545707594</v>
      </c>
    </row>
    <row r="265" spans="1:65" x14ac:dyDescent="0.25">
      <c r="A265">
        <v>256</v>
      </c>
      <c r="B265" s="17">
        <f t="shared" si="57"/>
        <v>377.40644217460846</v>
      </c>
      <c r="C265" s="17">
        <f t="shared" si="58"/>
        <v>437.57728546000226</v>
      </c>
      <c r="D265" s="17">
        <f t="shared" si="59"/>
        <v>372.04235283486537</v>
      </c>
      <c r="G265" s="1">
        <v>256</v>
      </c>
      <c r="H265" s="17">
        <v>49.455361844928007</v>
      </c>
      <c r="I265" s="17">
        <v>53.58775054142636</v>
      </c>
      <c r="J265" s="17">
        <v>50.974336037834512</v>
      </c>
      <c r="M265" s="17">
        <v>345.5805221948907</v>
      </c>
      <c r="N265" s="17">
        <v>7.7048701053012136</v>
      </c>
      <c r="O265" s="17">
        <v>8.026349228985735</v>
      </c>
      <c r="P265" s="17">
        <v>7.5622704060530044</v>
      </c>
      <c r="S265" s="5">
        <f t="shared" si="60"/>
        <v>367.94927150925878</v>
      </c>
      <c r="T265" s="17"/>
      <c r="U265" s="5">
        <f t="shared" si="61"/>
        <v>366.59750311463586</v>
      </c>
      <c r="W265" s="5">
        <f t="shared" si="62"/>
        <v>365.73289897769837</v>
      </c>
      <c r="Y265">
        <f t="shared" si="69"/>
        <v>256</v>
      </c>
      <c r="Z265" s="3">
        <f t="shared" si="70"/>
        <v>1433.8723795422652</v>
      </c>
      <c r="AA265" s="3">
        <f t="shared" si="71"/>
        <v>1469.9113174476111</v>
      </c>
      <c r="AB265" s="3">
        <f t="shared" si="72"/>
        <v>1433.4577279253722</v>
      </c>
      <c r="AC265" s="3">
        <f t="shared" si="73"/>
        <v>1389.8121533562176</v>
      </c>
      <c r="BC265" s="17">
        <f t="shared" si="74"/>
        <v>377.40644217460846</v>
      </c>
      <c r="BD265" s="3">
        <f t="shared" si="75"/>
        <v>1433.8723795422652</v>
      </c>
      <c r="BF265" s="5">
        <f t="shared" si="63"/>
        <v>367.94927150925878</v>
      </c>
      <c r="BG265">
        <f t="shared" si="64"/>
        <v>1469.9113174476111</v>
      </c>
      <c r="BI265" s="5">
        <f t="shared" si="65"/>
        <v>366.59750311463586</v>
      </c>
      <c r="BJ265">
        <f t="shared" si="66"/>
        <v>1433.4577279253722</v>
      </c>
      <c r="BL265" s="5">
        <f t="shared" si="67"/>
        <v>365.73289897769837</v>
      </c>
      <c r="BM265">
        <f t="shared" si="68"/>
        <v>1389.8121533562176</v>
      </c>
    </row>
    <row r="266" spans="1:65" x14ac:dyDescent="0.25">
      <c r="A266">
        <v>257</v>
      </c>
      <c r="B266" s="17">
        <f t="shared" ref="B266:B329" si="76">$B$2+$B$3*A266+$B$4*A266^2+$B$5*A266^3+$B$6*A266^4</f>
        <v>378.83647973357654</v>
      </c>
      <c r="C266" s="17">
        <f t="shared" ref="C266:C329" si="77">$C$2+$C$3*A266+$C$4*A266^2+$C$5*A266^3+$C$6*A266^4</f>
        <v>439.19138088240271</v>
      </c>
      <c r="D266" s="17">
        <f t="shared" ref="D266:D329" si="78">$D$2+$D$3*A266+$D$4*A266^2+$D$5*A266^3+$D$6*A266^4</f>
        <v>373.37496464749006</v>
      </c>
      <c r="G266" s="1">
        <v>257</v>
      </c>
      <c r="H266" s="17">
        <v>49.46708073770484</v>
      </c>
      <c r="I266" s="17">
        <v>53.600984136630757</v>
      </c>
      <c r="J266" s="17">
        <v>50.987661634821322</v>
      </c>
      <c r="M266" s="17">
        <v>346.73325424996102</v>
      </c>
      <c r="N266" s="17">
        <v>7.7120342608123584</v>
      </c>
      <c r="O266" s="17">
        <v>8.0341382619363291</v>
      </c>
      <c r="P266" s="17">
        <v>7.5661606484869663</v>
      </c>
      <c r="S266" s="5">
        <f t="shared" ref="S266:S329" si="79">$R$8+$R$9*A266+$R$10*A266*A266+$R$11*A266*A266*A266</f>
        <v>369.41655751535473</v>
      </c>
      <c r="T266" s="17"/>
      <c r="U266" s="5">
        <f t="shared" ref="U266:U329" si="80">$T$8+$T$9*A266+$T$10*A266*A266+$T$11*A266*A266*A266</f>
        <v>368.02889564889904</v>
      </c>
      <c r="W266" s="5">
        <f t="shared" ref="W266:W329" si="81">$V$8+$V$9*A266+$V$10*A266*A266+$V$11*A266*A266*A266</f>
        <v>367.1210839757714</v>
      </c>
      <c r="Y266">
        <f t="shared" si="69"/>
        <v>257</v>
      </c>
      <c r="Z266" s="3">
        <f t="shared" si="70"/>
        <v>1430.0375589680812</v>
      </c>
      <c r="AA266" s="3">
        <f t="shared" si="71"/>
        <v>1467.2860060959465</v>
      </c>
      <c r="AB266" s="3">
        <f t="shared" si="72"/>
        <v>1431.3925342631819</v>
      </c>
      <c r="AC266" s="3">
        <f t="shared" si="73"/>
        <v>1388.1849980730294</v>
      </c>
      <c r="BC266" s="17">
        <f t="shared" si="74"/>
        <v>378.83647973357654</v>
      </c>
      <c r="BD266" s="3">
        <f t="shared" si="75"/>
        <v>1430.0375589680812</v>
      </c>
      <c r="BF266" s="5">
        <f t="shared" ref="BF266:BF329" si="82">S266</f>
        <v>369.41655751535473</v>
      </c>
      <c r="BG266">
        <f t="shared" ref="BG266:BG329" si="83">AA266</f>
        <v>1467.2860060959465</v>
      </c>
      <c r="BI266" s="5">
        <f t="shared" ref="BI266:BI329" si="84">U266</f>
        <v>368.02889564889904</v>
      </c>
      <c r="BJ266">
        <f t="shared" ref="BJ266:BJ329" si="85">AB266</f>
        <v>1431.3925342631819</v>
      </c>
      <c r="BL266" s="5">
        <f t="shared" ref="BL266:BL329" si="86">W266</f>
        <v>367.1210839757714</v>
      </c>
      <c r="BM266">
        <f t="shared" ref="BM266:BM329" si="87">AC266</f>
        <v>1388.1849980730294</v>
      </c>
    </row>
    <row r="267" spans="1:65" x14ac:dyDescent="0.25">
      <c r="A267">
        <v>258</v>
      </c>
      <c r="B267" s="17">
        <f t="shared" si="76"/>
        <v>380.26265961912986</v>
      </c>
      <c r="C267" s="17">
        <f t="shared" si="77"/>
        <v>440.8010632908605</v>
      </c>
      <c r="D267" s="17">
        <f t="shared" si="78"/>
        <v>374.70305016518927</v>
      </c>
      <c r="G267" s="1">
        <v>258</v>
      </c>
      <c r="H267" s="17">
        <v>49.478628785059222</v>
      </c>
      <c r="I267" s="17">
        <v>53.61388569037554</v>
      </c>
      <c r="J267" s="17">
        <v>51.000819859970328</v>
      </c>
      <c r="M267" s="17">
        <v>347.88598630503128</v>
      </c>
      <c r="N267" s="17">
        <v>7.719242895965051</v>
      </c>
      <c r="O267" s="17">
        <v>8.0419908701886058</v>
      </c>
      <c r="P267" s="17">
        <v>7.5698872753546054</v>
      </c>
      <c r="S267" s="5">
        <f t="shared" si="79"/>
        <v>370.88116997398424</v>
      </c>
      <c r="T267" s="17"/>
      <c r="U267" s="5">
        <f t="shared" si="80"/>
        <v>369.45818886979083</v>
      </c>
      <c r="W267" s="5">
        <f t="shared" si="81"/>
        <v>368.50762566449259</v>
      </c>
      <c r="Y267">
        <f t="shared" ref="Y267:Y330" si="88">A267</f>
        <v>258</v>
      </c>
      <c r="Z267" s="3">
        <f t="shared" ref="Z267:Z330" si="89">(B267-B266)*1000</f>
        <v>1426.1798855533243</v>
      </c>
      <c r="AA267" s="3">
        <f t="shared" ref="AA267:AA330" si="90">(S267-S266)*1000</f>
        <v>1464.6124586295173</v>
      </c>
      <c r="AB267" s="3">
        <f t="shared" ref="AB267:AB330" si="91">(U267-U266)*1000</f>
        <v>1429.2932208917932</v>
      </c>
      <c r="AC267" s="3">
        <f t="shared" ref="AC267:AC330" si="92">(W267-W266)*1000</f>
        <v>1386.541688721195</v>
      </c>
      <c r="BC267" s="17">
        <f t="shared" ref="BC267:BC317" si="93">B267</f>
        <v>380.26265961912986</v>
      </c>
      <c r="BD267" s="3">
        <f t="shared" ref="BD267:BD317" si="94">Z267</f>
        <v>1426.1798855533243</v>
      </c>
      <c r="BF267" s="5">
        <f t="shared" si="82"/>
        <v>370.88116997398424</v>
      </c>
      <c r="BG267">
        <f t="shared" si="83"/>
        <v>1464.6124586295173</v>
      </c>
      <c r="BI267" s="5">
        <f t="shared" si="84"/>
        <v>369.45818886979083</v>
      </c>
      <c r="BJ267">
        <f t="shared" si="85"/>
        <v>1429.2932208917932</v>
      </c>
      <c r="BL267" s="5">
        <f t="shared" si="86"/>
        <v>368.50762566449259</v>
      </c>
      <c r="BM267">
        <f t="shared" si="87"/>
        <v>1386.541688721195</v>
      </c>
    </row>
    <row r="268" spans="1:65" x14ac:dyDescent="0.25">
      <c r="A268">
        <v>259</v>
      </c>
      <c r="B268" s="17">
        <f t="shared" si="76"/>
        <v>381.68495951277566</v>
      </c>
      <c r="C268" s="17">
        <f t="shared" si="77"/>
        <v>442.40631385671509</v>
      </c>
      <c r="D268" s="17">
        <f t="shared" si="78"/>
        <v>376.02659000827111</v>
      </c>
      <c r="G268" s="1">
        <v>259</v>
      </c>
      <c r="H268" s="17">
        <v>49.490009858388568</v>
      </c>
      <c r="I268" s="17">
        <v>53.626463576740697</v>
      </c>
      <c r="J268" s="17">
        <v>51.01381448765143</v>
      </c>
      <c r="M268" s="17">
        <v>349.0387183601016</v>
      </c>
      <c r="N268" s="17">
        <v>7.7264977691102468</v>
      </c>
      <c r="O268" s="17">
        <v>8.0499097696516397</v>
      </c>
      <c r="P268" s="17">
        <v>7.5734556135178579</v>
      </c>
      <c r="S268" s="5">
        <f t="shared" si="79"/>
        <v>372.34306064903228</v>
      </c>
      <c r="T268" s="17"/>
      <c r="U268" s="5">
        <f t="shared" si="80"/>
        <v>370.88534865760192</v>
      </c>
      <c r="W268" s="5">
        <f t="shared" si="81"/>
        <v>369.89250788979314</v>
      </c>
      <c r="Y268">
        <f t="shared" si="88"/>
        <v>259</v>
      </c>
      <c r="Z268" s="3">
        <f t="shared" si="89"/>
        <v>1422.2998936457998</v>
      </c>
      <c r="AA268" s="3">
        <f t="shared" si="90"/>
        <v>1461.8906750480392</v>
      </c>
      <c r="AB268" s="3">
        <f t="shared" si="91"/>
        <v>1427.1597878110924</v>
      </c>
      <c r="AC268" s="3">
        <f t="shared" si="92"/>
        <v>1384.8822253005437</v>
      </c>
      <c r="BC268" s="17">
        <f t="shared" si="93"/>
        <v>381.68495951277566</v>
      </c>
      <c r="BD268" s="3">
        <f t="shared" si="94"/>
        <v>1422.2998936457998</v>
      </c>
      <c r="BF268" s="5">
        <f t="shared" si="82"/>
        <v>372.34306064903228</v>
      </c>
      <c r="BG268">
        <f t="shared" si="83"/>
        <v>1461.8906750480392</v>
      </c>
      <c r="BI268" s="5">
        <f t="shared" si="84"/>
        <v>370.88534865760192</v>
      </c>
      <c r="BJ268">
        <f t="shared" si="85"/>
        <v>1427.1597878110924</v>
      </c>
      <c r="BL268" s="5">
        <f t="shared" si="86"/>
        <v>369.89250788979314</v>
      </c>
      <c r="BM268">
        <f t="shared" si="87"/>
        <v>1384.8822253005437</v>
      </c>
    </row>
    <row r="269" spans="1:65" x14ac:dyDescent="0.25">
      <c r="A269">
        <v>260</v>
      </c>
      <c r="B269" s="17">
        <f t="shared" si="76"/>
        <v>383.10335763036846</v>
      </c>
      <c r="C269" s="17">
        <f t="shared" si="77"/>
        <v>444.00711437224317</v>
      </c>
      <c r="D269" s="17">
        <f t="shared" si="78"/>
        <v>377.34556538206436</v>
      </c>
      <c r="G269" s="1">
        <v>260</v>
      </c>
      <c r="H269" s="17">
        <v>49.501227829090283</v>
      </c>
      <c r="I269" s="17">
        <v>53.638726169806262</v>
      </c>
      <c r="J269" s="17">
        <v>51.026649292234538</v>
      </c>
      <c r="M269" s="17">
        <v>350.19145041517191</v>
      </c>
      <c r="N269" s="17">
        <v>7.7338006385988978</v>
      </c>
      <c r="O269" s="17">
        <v>8.0578976762345018</v>
      </c>
      <c r="P269" s="17">
        <v>7.5768709898386568</v>
      </c>
      <c r="S269" s="5">
        <f t="shared" si="79"/>
        <v>373.80218130438425</v>
      </c>
      <c r="T269" s="17"/>
      <c r="U269" s="5">
        <f t="shared" si="80"/>
        <v>372.310340892623</v>
      </c>
      <c r="W269" s="5">
        <f t="shared" si="81"/>
        <v>371.27571449760444</v>
      </c>
      <c r="Y269">
        <f t="shared" si="88"/>
        <v>260</v>
      </c>
      <c r="Z269" s="3">
        <f t="shared" si="89"/>
        <v>1418.3981175928011</v>
      </c>
      <c r="AA269" s="3">
        <f t="shared" si="90"/>
        <v>1459.1206553519669</v>
      </c>
      <c r="AB269" s="3">
        <f t="shared" si="91"/>
        <v>1424.9922350210795</v>
      </c>
      <c r="AC269" s="3">
        <f t="shared" si="92"/>
        <v>1383.206607811303</v>
      </c>
      <c r="BC269" s="17">
        <f t="shared" si="93"/>
        <v>383.10335763036846</v>
      </c>
      <c r="BD269" s="3">
        <f t="shared" si="94"/>
        <v>1418.3981175928011</v>
      </c>
      <c r="BF269" s="5">
        <f t="shared" si="82"/>
        <v>373.80218130438425</v>
      </c>
      <c r="BG269">
        <f t="shared" si="83"/>
        <v>1459.1206553519669</v>
      </c>
      <c r="BI269" s="5">
        <f t="shared" si="84"/>
        <v>372.310340892623</v>
      </c>
      <c r="BJ269">
        <f t="shared" si="85"/>
        <v>1424.9922350210795</v>
      </c>
      <c r="BL269" s="5">
        <f t="shared" si="86"/>
        <v>371.27571449760444</v>
      </c>
      <c r="BM269">
        <f t="shared" si="87"/>
        <v>1383.206607811303</v>
      </c>
    </row>
    <row r="270" spans="1:65" x14ac:dyDescent="0.25">
      <c r="A270">
        <v>261</v>
      </c>
      <c r="B270" s="17">
        <f t="shared" si="76"/>
        <v>384.51783272211014</v>
      </c>
      <c r="C270" s="17">
        <f t="shared" si="77"/>
        <v>445.60344725065744</v>
      </c>
      <c r="D270" s="17">
        <f t="shared" si="78"/>
        <v>378.65995807691826</v>
      </c>
      <c r="G270" s="1">
        <v>261</v>
      </c>
      <c r="H270" s="17">
        <v>49.51228656856177</v>
      </c>
      <c r="I270" s="17">
        <v>53.650681843652229</v>
      </c>
      <c r="J270" s="17">
        <v>51.039328048089537</v>
      </c>
      <c r="M270" s="17">
        <v>351.34418247024217</v>
      </c>
      <c r="N270" s="17">
        <v>7.7411532627819604</v>
      </c>
      <c r="O270" s="17">
        <v>8.0659573058462684</v>
      </c>
      <c r="P270" s="17">
        <v>7.5801387311789341</v>
      </c>
      <c r="S270" s="5">
        <f t="shared" si="79"/>
        <v>375.25848370392509</v>
      </c>
      <c r="T270" s="17"/>
      <c r="U270" s="5">
        <f t="shared" si="80"/>
        <v>373.73313145514481</v>
      </c>
      <c r="W270" s="5">
        <f t="shared" si="81"/>
        <v>372.6572293338578</v>
      </c>
      <c r="Y270">
        <f t="shared" si="88"/>
        <v>261</v>
      </c>
      <c r="Z270" s="3">
        <f t="shared" si="89"/>
        <v>1414.4750917416786</v>
      </c>
      <c r="AA270" s="3">
        <f t="shared" si="90"/>
        <v>1456.3023995408457</v>
      </c>
      <c r="AB270" s="3">
        <f t="shared" si="91"/>
        <v>1422.7905625218114</v>
      </c>
      <c r="AC270" s="3">
        <f t="shared" si="92"/>
        <v>1381.5148362533591</v>
      </c>
      <c r="BC270" s="17">
        <f t="shared" si="93"/>
        <v>384.51783272211014</v>
      </c>
      <c r="BD270" s="3">
        <f t="shared" si="94"/>
        <v>1414.4750917416786</v>
      </c>
      <c r="BF270" s="5">
        <f t="shared" si="82"/>
        <v>375.25848370392509</v>
      </c>
      <c r="BG270">
        <f t="shared" si="83"/>
        <v>1456.3023995408457</v>
      </c>
      <c r="BI270" s="5">
        <f t="shared" si="84"/>
        <v>373.73313145514481</v>
      </c>
      <c r="BJ270">
        <f t="shared" si="85"/>
        <v>1422.7905625218114</v>
      </c>
      <c r="BL270" s="5">
        <f t="shared" si="86"/>
        <v>372.6572293338578</v>
      </c>
      <c r="BM270">
        <f t="shared" si="87"/>
        <v>1381.5148362533591</v>
      </c>
    </row>
    <row r="271" spans="1:65" x14ac:dyDescent="0.25">
      <c r="A271">
        <v>262</v>
      </c>
      <c r="B271" s="17">
        <f t="shared" si="76"/>
        <v>385.92836407254998</v>
      </c>
      <c r="C271" s="17">
        <f t="shared" si="77"/>
        <v>447.19529552610726</v>
      </c>
      <c r="D271" s="17">
        <f t="shared" si="78"/>
        <v>379.96975046820296</v>
      </c>
      <c r="G271" s="1">
        <v>262</v>
      </c>
      <c r="H271" s="17">
        <v>49.523189948200439</v>
      </c>
      <c r="I271" s="17">
        <v>53.662338972358597</v>
      </c>
      <c r="J271" s="17">
        <v>51.05185452958635</v>
      </c>
      <c r="M271" s="17">
        <v>352.4969145253126</v>
      </c>
      <c r="N271" s="17">
        <v>7.748557400010383</v>
      </c>
      <c r="O271" s="17">
        <v>8.0740913743960085</v>
      </c>
      <c r="P271" s="17">
        <v>7.5832641644006253</v>
      </c>
      <c r="S271" s="5">
        <f t="shared" si="79"/>
        <v>376.71191961154011</v>
      </c>
      <c r="T271" s="17"/>
      <c r="U271" s="5">
        <f t="shared" si="80"/>
        <v>375.1536862254581</v>
      </c>
      <c r="W271" s="5">
        <f t="shared" si="81"/>
        <v>374.03703624448445</v>
      </c>
      <c r="Y271">
        <f t="shared" si="88"/>
        <v>262</v>
      </c>
      <c r="Z271" s="3">
        <f t="shared" si="89"/>
        <v>1410.5313504398396</v>
      </c>
      <c r="AA271" s="3">
        <f t="shared" si="90"/>
        <v>1453.4359076150167</v>
      </c>
      <c r="AB271" s="3">
        <f t="shared" si="91"/>
        <v>1420.5547703132879</v>
      </c>
      <c r="AC271" s="3">
        <f t="shared" si="92"/>
        <v>1379.8069106266553</v>
      </c>
      <c r="BC271" s="17">
        <f t="shared" si="93"/>
        <v>385.92836407254998</v>
      </c>
      <c r="BD271" s="3">
        <f t="shared" si="94"/>
        <v>1410.5313504398396</v>
      </c>
      <c r="BF271" s="5">
        <f t="shared" si="82"/>
        <v>376.71191961154011</v>
      </c>
      <c r="BG271">
        <f t="shared" si="83"/>
        <v>1453.4359076150167</v>
      </c>
      <c r="BI271" s="5">
        <f t="shared" si="84"/>
        <v>375.1536862254581</v>
      </c>
      <c r="BJ271">
        <f t="shared" si="85"/>
        <v>1420.5547703132879</v>
      </c>
      <c r="BL271" s="5">
        <f t="shared" si="86"/>
        <v>374.03703624448445</v>
      </c>
      <c r="BM271">
        <f t="shared" si="87"/>
        <v>1379.8069106266553</v>
      </c>
    </row>
    <row r="272" spans="1:65" x14ac:dyDescent="0.25">
      <c r="A272">
        <v>263</v>
      </c>
      <c r="B272" s="17">
        <f t="shared" si="76"/>
        <v>387.33493150058462</v>
      </c>
      <c r="C272" s="17">
        <f t="shared" si="77"/>
        <v>448.78264285367885</v>
      </c>
      <c r="D272" s="17">
        <f t="shared" si="78"/>
        <v>381.27492551630888</v>
      </c>
      <c r="G272" s="1">
        <v>263</v>
      </c>
      <c r="H272" s="17">
        <v>49.533941839403703</v>
      </c>
      <c r="I272" s="17">
        <v>53.673705930005397</v>
      </c>
      <c r="J272" s="17">
        <v>51.064232511094872</v>
      </c>
      <c r="M272" s="17">
        <v>353.64964658038292</v>
      </c>
      <c r="N272" s="17">
        <v>7.7560148086351237</v>
      </c>
      <c r="O272" s="17">
        <v>8.0823025977927987</v>
      </c>
      <c r="P272" s="17">
        <v>7.5862526163656616</v>
      </c>
      <c r="S272" s="5">
        <f t="shared" si="79"/>
        <v>378.16244079111442</v>
      </c>
      <c r="T272" s="17"/>
      <c r="U272" s="5">
        <f t="shared" si="80"/>
        <v>376.57197108385344</v>
      </c>
      <c r="W272" s="5">
        <f t="shared" si="81"/>
        <v>375.41511907541576</v>
      </c>
      <c r="Y272">
        <f t="shared" si="88"/>
        <v>263</v>
      </c>
      <c r="Z272" s="3">
        <f t="shared" si="89"/>
        <v>1406.5674280346343</v>
      </c>
      <c r="AA272" s="3">
        <f t="shared" si="90"/>
        <v>1450.5211795743094</v>
      </c>
      <c r="AB272" s="3">
        <f t="shared" si="91"/>
        <v>1418.2848583953387</v>
      </c>
      <c r="AC272" s="3">
        <f t="shared" si="92"/>
        <v>1378.0828309313051</v>
      </c>
      <c r="BC272" s="17">
        <f t="shared" si="93"/>
        <v>387.33493150058462</v>
      </c>
      <c r="BD272" s="3">
        <f t="shared" si="94"/>
        <v>1406.5674280346343</v>
      </c>
      <c r="BF272" s="5">
        <f t="shared" si="82"/>
        <v>378.16244079111442</v>
      </c>
      <c r="BG272">
        <f t="shared" si="83"/>
        <v>1450.5211795743094</v>
      </c>
      <c r="BI272" s="5">
        <f t="shared" si="84"/>
        <v>376.57197108385344</v>
      </c>
      <c r="BJ272">
        <f t="shared" si="85"/>
        <v>1418.2848583953387</v>
      </c>
      <c r="BL272" s="5">
        <f t="shared" si="86"/>
        <v>375.41511907541576</v>
      </c>
      <c r="BM272">
        <f t="shared" si="87"/>
        <v>1378.0828309313051</v>
      </c>
    </row>
    <row r="273" spans="1:65" x14ac:dyDescent="0.25">
      <c r="A273">
        <v>264</v>
      </c>
      <c r="B273" s="17">
        <f t="shared" si="76"/>
        <v>388.73751535945854</v>
      </c>
      <c r="C273" s="17">
        <f t="shared" si="77"/>
        <v>450.36547350939497</v>
      </c>
      <c r="D273" s="17">
        <f t="shared" si="78"/>
        <v>382.57546676664725</v>
      </c>
      <c r="G273" s="1">
        <v>264</v>
      </c>
      <c r="H273" s="17">
        <v>49.544546113568927</v>
      </c>
      <c r="I273" s="17">
        <v>53.684791090672618</v>
      </c>
      <c r="J273" s="17">
        <v>51.076465766985002</v>
      </c>
      <c r="M273" s="17">
        <v>354.80237863545312</v>
      </c>
      <c r="N273" s="17">
        <v>7.7635272470071346</v>
      </c>
      <c r="O273" s="17">
        <v>8.090593691945708</v>
      </c>
      <c r="P273" s="17">
        <v>7.5891094139359776</v>
      </c>
      <c r="S273" s="5">
        <f t="shared" si="79"/>
        <v>379.60999900653337</v>
      </c>
      <c r="T273" s="17"/>
      <c r="U273" s="5">
        <f t="shared" si="80"/>
        <v>377.98795191062163</v>
      </c>
      <c r="W273" s="5">
        <f t="shared" si="81"/>
        <v>376.79146167258301</v>
      </c>
      <c r="Y273">
        <f t="shared" si="88"/>
        <v>264</v>
      </c>
      <c r="Z273" s="3">
        <f t="shared" si="89"/>
        <v>1402.5838588739248</v>
      </c>
      <c r="AA273" s="3">
        <f t="shared" si="90"/>
        <v>1447.558215418951</v>
      </c>
      <c r="AB273" s="3">
        <f t="shared" si="91"/>
        <v>1415.980826768191</v>
      </c>
      <c r="AC273" s="3">
        <f t="shared" si="92"/>
        <v>1376.3425971672518</v>
      </c>
      <c r="BC273" s="17">
        <f t="shared" si="93"/>
        <v>388.73751535945854</v>
      </c>
      <c r="BD273" s="3">
        <f t="shared" si="94"/>
        <v>1402.5838588739248</v>
      </c>
      <c r="BF273" s="5">
        <f t="shared" si="82"/>
        <v>379.60999900653337</v>
      </c>
      <c r="BG273">
        <f t="shared" si="83"/>
        <v>1447.558215418951</v>
      </c>
      <c r="BI273" s="5">
        <f t="shared" si="84"/>
        <v>377.98795191062163</v>
      </c>
      <c r="BJ273">
        <f t="shared" si="85"/>
        <v>1415.980826768191</v>
      </c>
      <c r="BL273" s="5">
        <f t="shared" si="86"/>
        <v>376.79146167258301</v>
      </c>
      <c r="BM273">
        <f t="shared" si="87"/>
        <v>1376.3425971672518</v>
      </c>
    </row>
    <row r="274" spans="1:65" x14ac:dyDescent="0.25">
      <c r="A274">
        <v>265</v>
      </c>
      <c r="B274" s="17">
        <f t="shared" si="76"/>
        <v>390.13609653676292</v>
      </c>
      <c r="C274" s="17">
        <f t="shared" si="77"/>
        <v>451.94377239021492</v>
      </c>
      <c r="D274" s="17">
        <f t="shared" si="78"/>
        <v>383.87135834964965</v>
      </c>
      <c r="G274" s="1">
        <v>265</v>
      </c>
      <c r="H274" s="17">
        <v>49.555006642093581</v>
      </c>
      <c r="I274" s="17">
        <v>53.695602828440272</v>
      </c>
      <c r="J274" s="17">
        <v>51.088558071626629</v>
      </c>
      <c r="M274" s="17">
        <v>355.95511069052338</v>
      </c>
      <c r="N274" s="17">
        <v>7.7710964734773702</v>
      </c>
      <c r="O274" s="17">
        <v>8.0989673727638127</v>
      </c>
      <c r="P274" s="17">
        <v>7.5918398839735062</v>
      </c>
      <c r="S274" s="5">
        <f t="shared" si="79"/>
        <v>381.05454602168169</v>
      </c>
      <c r="T274" s="17"/>
      <c r="U274" s="5">
        <f t="shared" si="80"/>
        <v>379.40159458605342</v>
      </c>
      <c r="W274" s="5">
        <f t="shared" si="81"/>
        <v>378.16604788191751</v>
      </c>
      <c r="Y274">
        <f t="shared" si="88"/>
        <v>265</v>
      </c>
      <c r="Z274" s="3">
        <f t="shared" si="89"/>
        <v>1398.5811773043793</v>
      </c>
      <c r="AA274" s="3">
        <f t="shared" si="90"/>
        <v>1444.5470151483164</v>
      </c>
      <c r="AB274" s="3">
        <f t="shared" si="91"/>
        <v>1413.6426754317881</v>
      </c>
      <c r="AC274" s="3">
        <f t="shared" si="92"/>
        <v>1374.5862093344954</v>
      </c>
      <c r="BC274" s="17">
        <f t="shared" si="93"/>
        <v>390.13609653676292</v>
      </c>
      <c r="BD274" s="3">
        <f t="shared" si="94"/>
        <v>1398.5811773043793</v>
      </c>
      <c r="BF274" s="5">
        <f t="shared" si="82"/>
        <v>381.05454602168169</v>
      </c>
      <c r="BG274">
        <f t="shared" si="83"/>
        <v>1444.5470151483164</v>
      </c>
      <c r="BI274" s="5">
        <f t="shared" si="84"/>
        <v>379.40159458605342</v>
      </c>
      <c r="BJ274">
        <f t="shared" si="85"/>
        <v>1413.6426754317881</v>
      </c>
      <c r="BL274" s="5">
        <f t="shared" si="86"/>
        <v>378.16604788191751</v>
      </c>
      <c r="BM274">
        <f t="shared" si="87"/>
        <v>1374.5862093344954</v>
      </c>
    </row>
    <row r="275" spans="1:65" x14ac:dyDescent="0.25">
      <c r="A275">
        <v>266</v>
      </c>
      <c r="B275" s="17">
        <f t="shared" si="76"/>
        <v>391.53065645443712</v>
      </c>
      <c r="C275" s="17">
        <f t="shared" si="77"/>
        <v>453.51752501403485</v>
      </c>
      <c r="D275" s="17">
        <f t="shared" si="78"/>
        <v>385.16258498076883</v>
      </c>
      <c r="G275" s="1">
        <v>266</v>
      </c>
      <c r="H275" s="17">
        <v>49.565327296375017</v>
      </c>
      <c r="I275" s="17">
        <v>53.706149517388383</v>
      </c>
      <c r="J275" s="17">
        <v>51.100513199389667</v>
      </c>
      <c r="M275" s="17">
        <v>357.10784274559381</v>
      </c>
      <c r="N275" s="17">
        <v>7.7787242463967834</v>
      </c>
      <c r="O275" s="17">
        <v>8.1074263561561857</v>
      </c>
      <c r="P275" s="17">
        <v>7.5944493533401802</v>
      </c>
      <c r="S275" s="5">
        <f t="shared" si="79"/>
        <v>382.49603360044506</v>
      </c>
      <c r="T275" s="17"/>
      <c r="U275" s="5">
        <f t="shared" si="80"/>
        <v>380.81286499043949</v>
      </c>
      <c r="W275" s="5">
        <f t="shared" si="81"/>
        <v>379.53886154935049</v>
      </c>
      <c r="Y275">
        <f t="shared" si="88"/>
        <v>266</v>
      </c>
      <c r="Z275" s="3">
        <f t="shared" si="89"/>
        <v>1394.5599176742007</v>
      </c>
      <c r="AA275" s="3">
        <f t="shared" si="90"/>
        <v>1441.4875787633719</v>
      </c>
      <c r="AB275" s="3">
        <f t="shared" si="91"/>
        <v>1411.2704043860731</v>
      </c>
      <c r="AC275" s="3">
        <f t="shared" si="92"/>
        <v>1372.8136674329789</v>
      </c>
      <c r="BC275" s="17">
        <f t="shared" si="93"/>
        <v>391.53065645443712</v>
      </c>
      <c r="BD275" s="3">
        <f t="shared" si="94"/>
        <v>1394.5599176742007</v>
      </c>
      <c r="BF275" s="5">
        <f t="shared" si="82"/>
        <v>382.49603360044506</v>
      </c>
      <c r="BG275">
        <f t="shared" si="83"/>
        <v>1441.4875787633719</v>
      </c>
      <c r="BI275" s="5">
        <f t="shared" si="84"/>
        <v>380.81286499043949</v>
      </c>
      <c r="BJ275">
        <f t="shared" si="85"/>
        <v>1411.2704043860731</v>
      </c>
      <c r="BL275" s="5">
        <f t="shared" si="86"/>
        <v>379.53886154935049</v>
      </c>
      <c r="BM275">
        <f t="shared" si="87"/>
        <v>1372.8136674329789</v>
      </c>
    </row>
    <row r="276" spans="1:65" x14ac:dyDescent="0.25">
      <c r="A276">
        <v>267</v>
      </c>
      <c r="B276" s="17">
        <f t="shared" si="76"/>
        <v>392.92117706876729</v>
      </c>
      <c r="C276" s="17">
        <f t="shared" si="77"/>
        <v>455.086717519687</v>
      </c>
      <c r="D276" s="17">
        <f t="shared" si="78"/>
        <v>386.44913196047742</v>
      </c>
      <c r="G276" s="1">
        <v>267</v>
      </c>
      <c r="H276" s="17">
        <v>49.575511947810682</v>
      </c>
      <c r="I276" s="17">
        <v>53.716439531596933</v>
      </c>
      <c r="J276" s="17">
        <v>51.112334924644017</v>
      </c>
      <c r="M276" s="17">
        <v>358.26057480066407</v>
      </c>
      <c r="N276" s="17">
        <v>7.7864123241163261</v>
      </c>
      <c r="O276" s="17">
        <v>8.115973358031896</v>
      </c>
      <c r="P276" s="17">
        <v>7.5969431488979344</v>
      </c>
      <c r="S276" s="5">
        <f t="shared" si="79"/>
        <v>383.93441350670844</v>
      </c>
      <c r="T276" s="17"/>
      <c r="U276" s="5">
        <f t="shared" si="80"/>
        <v>382.22172900407048</v>
      </c>
      <c r="W276" s="5">
        <f t="shared" si="81"/>
        <v>380.90988652081342</v>
      </c>
      <c r="Y276">
        <f t="shared" si="88"/>
        <v>267</v>
      </c>
      <c r="Z276" s="3">
        <f t="shared" si="89"/>
        <v>1390.5206143301712</v>
      </c>
      <c r="AA276" s="3">
        <f t="shared" si="90"/>
        <v>1438.3799062633784</v>
      </c>
      <c r="AB276" s="3">
        <f t="shared" si="91"/>
        <v>1408.8640136309891</v>
      </c>
      <c r="AC276" s="3">
        <f t="shared" si="92"/>
        <v>1371.0249714629299</v>
      </c>
      <c r="BC276" s="17">
        <f t="shared" si="93"/>
        <v>392.92117706876729</v>
      </c>
      <c r="BD276" s="3">
        <f t="shared" si="94"/>
        <v>1390.5206143301712</v>
      </c>
      <c r="BF276" s="5">
        <f t="shared" si="82"/>
        <v>383.93441350670844</v>
      </c>
      <c r="BG276">
        <f t="shared" si="83"/>
        <v>1438.3799062633784</v>
      </c>
      <c r="BI276" s="5">
        <f t="shared" si="84"/>
        <v>382.22172900407048</v>
      </c>
      <c r="BJ276">
        <f t="shared" si="85"/>
        <v>1408.8640136309891</v>
      </c>
      <c r="BL276" s="5">
        <f t="shared" si="86"/>
        <v>380.90988652081342</v>
      </c>
      <c r="BM276">
        <f t="shared" si="87"/>
        <v>1371.0249714629299</v>
      </c>
    </row>
    <row r="277" spans="1:65" x14ac:dyDescent="0.25">
      <c r="A277">
        <v>268</v>
      </c>
      <c r="B277" s="17">
        <f t="shared" si="76"/>
        <v>394.30764087038756</v>
      </c>
      <c r="C277" s="17">
        <f t="shared" si="77"/>
        <v>456.65133666694078</v>
      </c>
      <c r="D277" s="17">
        <f t="shared" si="78"/>
        <v>387.73098517426934</v>
      </c>
      <c r="G277" s="1">
        <v>268</v>
      </c>
      <c r="H277" s="17">
        <v>49.585564467797937</v>
      </c>
      <c r="I277" s="17">
        <v>53.726481245145962</v>
      </c>
      <c r="J277" s="17">
        <v>51.124027021759588</v>
      </c>
      <c r="M277" s="17">
        <v>359.41330685573439</v>
      </c>
      <c r="N277" s="17">
        <v>7.7941624649869548</v>
      </c>
      <c r="O277" s="17">
        <v>8.1246110943000218</v>
      </c>
      <c r="P277" s="17">
        <v>7.5993265975087008</v>
      </c>
      <c r="S277" s="5">
        <f t="shared" si="79"/>
        <v>385.36963750435677</v>
      </c>
      <c r="T277" s="17"/>
      <c r="U277" s="5">
        <f t="shared" si="80"/>
        <v>383.62815250723719</v>
      </c>
      <c r="W277" s="5">
        <f t="shared" si="81"/>
        <v>382.27910664223742</v>
      </c>
      <c r="Y277">
        <f t="shared" si="88"/>
        <v>268</v>
      </c>
      <c r="Z277" s="3">
        <f t="shared" si="89"/>
        <v>1386.4638016202662</v>
      </c>
      <c r="AA277" s="3">
        <f t="shared" si="90"/>
        <v>1435.2239976483361</v>
      </c>
      <c r="AB277" s="3">
        <f t="shared" si="91"/>
        <v>1406.4235031667067</v>
      </c>
      <c r="AC277" s="3">
        <f t="shared" si="92"/>
        <v>1369.2201214240072</v>
      </c>
      <c r="BC277" s="17">
        <f t="shared" si="93"/>
        <v>394.30764087038756</v>
      </c>
      <c r="BD277" s="3">
        <f t="shared" si="94"/>
        <v>1386.4638016202662</v>
      </c>
      <c r="BF277" s="5">
        <f t="shared" si="82"/>
        <v>385.36963750435677</v>
      </c>
      <c r="BG277">
        <f t="shared" si="83"/>
        <v>1435.2239976483361</v>
      </c>
      <c r="BI277" s="5">
        <f t="shared" si="84"/>
        <v>383.62815250723719</v>
      </c>
      <c r="BJ277">
        <f t="shared" si="85"/>
        <v>1406.4235031667067</v>
      </c>
      <c r="BL277" s="5">
        <f t="shared" si="86"/>
        <v>382.27910664223742</v>
      </c>
      <c r="BM277">
        <f t="shared" si="87"/>
        <v>1369.2201214240072</v>
      </c>
    </row>
    <row r="278" spans="1:65" x14ac:dyDescent="0.25">
      <c r="A278">
        <v>269</v>
      </c>
      <c r="B278" s="17">
        <f t="shared" si="76"/>
        <v>395.69003088427894</v>
      </c>
      <c r="C278" s="17">
        <f t="shared" si="77"/>
        <v>458.21136983650206</v>
      </c>
      <c r="D278" s="17">
        <f t="shared" si="78"/>
        <v>389.00813109265852</v>
      </c>
      <c r="G278" s="1">
        <v>269</v>
      </c>
      <c r="H278" s="17">
        <v>49.595488727734221</v>
      </c>
      <c r="I278" s="17">
        <v>53.736283032115438</v>
      </c>
      <c r="J278" s="17">
        <v>51.135593265106273</v>
      </c>
      <c r="M278" s="17">
        <v>360.56603891080471</v>
      </c>
      <c r="N278" s="17">
        <v>7.8019764273596204</v>
      </c>
      <c r="O278" s="17">
        <v>8.1333422808696323</v>
      </c>
      <c r="P278" s="17">
        <v>7.6016050260344139</v>
      </c>
      <c r="S278" s="5">
        <f t="shared" si="79"/>
        <v>386.80165735727564</v>
      </c>
      <c r="T278" s="17"/>
      <c r="U278" s="5">
        <f t="shared" si="80"/>
        <v>385.0321013802303</v>
      </c>
      <c r="W278" s="5">
        <f t="shared" si="81"/>
        <v>383.64650575955397</v>
      </c>
      <c r="Y278">
        <f t="shared" si="88"/>
        <v>269</v>
      </c>
      <c r="Z278" s="3">
        <f t="shared" si="89"/>
        <v>1382.3900138913814</v>
      </c>
      <c r="AA278" s="3">
        <f t="shared" si="90"/>
        <v>1432.0198529188701</v>
      </c>
      <c r="AB278" s="3">
        <f t="shared" si="91"/>
        <v>1403.9488729931122</v>
      </c>
      <c r="AC278" s="3">
        <f t="shared" si="92"/>
        <v>1367.3991173165518</v>
      </c>
      <c r="BC278" s="17">
        <f t="shared" si="93"/>
        <v>395.69003088427894</v>
      </c>
      <c r="BD278" s="3">
        <f t="shared" si="94"/>
        <v>1382.3900138913814</v>
      </c>
      <c r="BF278" s="5">
        <f t="shared" si="82"/>
        <v>386.80165735727564</v>
      </c>
      <c r="BG278">
        <f t="shared" si="83"/>
        <v>1432.0198529188701</v>
      </c>
      <c r="BI278" s="5">
        <f t="shared" si="84"/>
        <v>385.0321013802303</v>
      </c>
      <c r="BJ278">
        <f t="shared" si="85"/>
        <v>1403.9488729931122</v>
      </c>
      <c r="BL278" s="5">
        <f t="shared" si="86"/>
        <v>383.64650575955397</v>
      </c>
      <c r="BM278">
        <f t="shared" si="87"/>
        <v>1367.3991173165518</v>
      </c>
    </row>
    <row r="279" spans="1:65" x14ac:dyDescent="0.25">
      <c r="A279">
        <v>270</v>
      </c>
      <c r="B279" s="17">
        <f t="shared" si="76"/>
        <v>397.06833066977038</v>
      </c>
      <c r="C279" s="17">
        <f t="shared" si="77"/>
        <v>459.76680503001302</v>
      </c>
      <c r="D279" s="17">
        <f t="shared" si="78"/>
        <v>390.28055677117993</v>
      </c>
      <c r="G279" s="1">
        <v>270</v>
      </c>
      <c r="H279" s="17">
        <v>49.605288599016923</v>
      </c>
      <c r="I279" s="17">
        <v>53.745853266585407</v>
      </c>
      <c r="J279" s="17">
        <v>51.147037429053967</v>
      </c>
      <c r="M279" s="17">
        <v>361.71877096587502</v>
      </c>
      <c r="N279" s="17">
        <v>7.8098559695852794</v>
      </c>
      <c r="O279" s="17">
        <v>8.142169633649802</v>
      </c>
      <c r="P279" s="17">
        <v>7.6037837613370058</v>
      </c>
      <c r="S279" s="5">
        <f t="shared" si="79"/>
        <v>388.23042482934977</v>
      </c>
      <c r="T279" s="17"/>
      <c r="U279" s="5">
        <f t="shared" si="80"/>
        <v>386.43354150334051</v>
      </c>
      <c r="W279" s="5">
        <f t="shared" si="81"/>
        <v>385.0120677186942</v>
      </c>
      <c r="Y279">
        <f t="shared" si="88"/>
        <v>270</v>
      </c>
      <c r="Z279" s="3">
        <f t="shared" si="89"/>
        <v>1378.2997854914356</v>
      </c>
      <c r="AA279" s="3">
        <f t="shared" si="90"/>
        <v>1428.7674720741279</v>
      </c>
      <c r="AB279" s="3">
        <f t="shared" si="91"/>
        <v>1401.4401231102056</v>
      </c>
      <c r="AC279" s="3">
        <f t="shared" si="92"/>
        <v>1365.5619591402228</v>
      </c>
      <c r="BC279" s="17">
        <f t="shared" si="93"/>
        <v>397.06833066977038</v>
      </c>
      <c r="BD279" s="3">
        <f t="shared" si="94"/>
        <v>1378.2997854914356</v>
      </c>
      <c r="BF279" s="5">
        <f t="shared" si="82"/>
        <v>388.23042482934977</v>
      </c>
      <c r="BG279">
        <f t="shared" si="83"/>
        <v>1428.7674720741279</v>
      </c>
      <c r="BI279" s="5">
        <f t="shared" si="84"/>
        <v>386.43354150334051</v>
      </c>
      <c r="BJ279">
        <f t="shared" si="85"/>
        <v>1401.4401231102056</v>
      </c>
      <c r="BL279" s="5">
        <f t="shared" si="86"/>
        <v>385.0120677186942</v>
      </c>
      <c r="BM279">
        <f t="shared" si="87"/>
        <v>1365.5619591402228</v>
      </c>
    </row>
    <row r="280" spans="1:65" x14ac:dyDescent="0.25">
      <c r="A280">
        <v>271</v>
      </c>
      <c r="B280" s="17">
        <f t="shared" si="76"/>
        <v>398.44252432053759</v>
      </c>
      <c r="C280" s="17">
        <f t="shared" si="77"/>
        <v>461.31763087005288</v>
      </c>
      <c r="D280" s="17">
        <f t="shared" si="78"/>
        <v>391.54824985038863</v>
      </c>
      <c r="G280" s="1">
        <v>271</v>
      </c>
      <c r="H280" s="17">
        <v>49.614967953043461</v>
      </c>
      <c r="I280" s="17">
        <v>53.755200322635858</v>
      </c>
      <c r="J280" s="17">
        <v>51.158363287972591</v>
      </c>
      <c r="M280" s="17">
        <v>362.87150302094528</v>
      </c>
      <c r="N280" s="17">
        <v>7.817802850014882</v>
      </c>
      <c r="O280" s="17">
        <v>8.1510958685496036</v>
      </c>
      <c r="P280" s="17">
        <v>7.6058681302784112</v>
      </c>
      <c r="S280" s="5">
        <f t="shared" si="79"/>
        <v>389.6558916844649</v>
      </c>
      <c r="T280" s="17"/>
      <c r="U280" s="5">
        <f t="shared" si="80"/>
        <v>387.83243875685855</v>
      </c>
      <c r="W280" s="5">
        <f t="shared" si="81"/>
        <v>386.37577636558962</v>
      </c>
      <c r="Y280">
        <f t="shared" si="88"/>
        <v>271</v>
      </c>
      <c r="Z280" s="3">
        <f t="shared" si="89"/>
        <v>1374.1936507672108</v>
      </c>
      <c r="AA280" s="3">
        <f t="shared" si="90"/>
        <v>1425.4668551151326</v>
      </c>
      <c r="AB280" s="3">
        <f t="shared" si="91"/>
        <v>1398.8972535180437</v>
      </c>
      <c r="AC280" s="3">
        <f t="shared" si="92"/>
        <v>1363.708646895418</v>
      </c>
      <c r="BC280" s="17">
        <f t="shared" si="93"/>
        <v>398.44252432053759</v>
      </c>
      <c r="BD280" s="3">
        <f t="shared" si="94"/>
        <v>1374.1936507672108</v>
      </c>
      <c r="BF280" s="5">
        <f t="shared" si="82"/>
        <v>389.6558916844649</v>
      </c>
      <c r="BG280">
        <f t="shared" si="83"/>
        <v>1425.4668551151326</v>
      </c>
      <c r="BI280" s="5">
        <f t="shared" si="84"/>
        <v>387.83243875685855</v>
      </c>
      <c r="BJ280">
        <f t="shared" si="85"/>
        <v>1398.8972535180437</v>
      </c>
      <c r="BL280" s="5">
        <f t="shared" si="86"/>
        <v>386.37577636558962</v>
      </c>
      <c r="BM280">
        <f t="shared" si="87"/>
        <v>1363.708646895418</v>
      </c>
    </row>
    <row r="281" spans="1:65" x14ac:dyDescent="0.25">
      <c r="A281">
        <v>272</v>
      </c>
      <c r="B281" s="17">
        <f t="shared" si="76"/>
        <v>399.81259646460461</v>
      </c>
      <c r="C281" s="17">
        <f t="shared" si="77"/>
        <v>462.86383660013701</v>
      </c>
      <c r="D281" s="17">
        <f t="shared" si="78"/>
        <v>392.81119855586076</v>
      </c>
      <c r="G281" s="1">
        <v>272</v>
      </c>
      <c r="H281" s="17">
        <v>49.624530661211232</v>
      </c>
      <c r="I281" s="17">
        <v>53.764332574346803</v>
      </c>
      <c r="J281" s="17">
        <v>51.169574616232033</v>
      </c>
      <c r="M281" s="17">
        <v>364.02423507601571</v>
      </c>
      <c r="N281" s="17">
        <v>7.8258188269993854</v>
      </c>
      <c r="O281" s="17">
        <v>8.1601237014781081</v>
      </c>
      <c r="P281" s="17">
        <v>7.6078634597205621</v>
      </c>
      <c r="S281" s="5">
        <f t="shared" si="79"/>
        <v>391.07800968650554</v>
      </c>
      <c r="T281" s="17"/>
      <c r="U281" s="5">
        <f t="shared" si="80"/>
        <v>389.22875902107512</v>
      </c>
      <c r="W281" s="5">
        <f t="shared" si="81"/>
        <v>387.7376155461713</v>
      </c>
      <c r="Y281">
        <f t="shared" si="88"/>
        <v>272</v>
      </c>
      <c r="Z281" s="3">
        <f t="shared" si="89"/>
        <v>1370.0721440670236</v>
      </c>
      <c r="AA281" s="3">
        <f t="shared" si="90"/>
        <v>1422.1180020406337</v>
      </c>
      <c r="AB281" s="3">
        <f t="shared" si="91"/>
        <v>1396.3202642165697</v>
      </c>
      <c r="AC281" s="3">
        <f t="shared" si="92"/>
        <v>1361.8391805816827</v>
      </c>
      <c r="BC281" s="17">
        <f t="shared" si="93"/>
        <v>399.81259646460461</v>
      </c>
      <c r="BD281" s="3">
        <f t="shared" si="94"/>
        <v>1370.0721440670236</v>
      </c>
      <c r="BF281" s="5">
        <f t="shared" si="82"/>
        <v>391.07800968650554</v>
      </c>
      <c r="BG281">
        <f t="shared" si="83"/>
        <v>1422.1180020406337</v>
      </c>
      <c r="BI281" s="5">
        <f t="shared" si="84"/>
        <v>389.22875902107512</v>
      </c>
      <c r="BJ281">
        <f t="shared" si="85"/>
        <v>1396.3202642165697</v>
      </c>
      <c r="BL281" s="5">
        <f t="shared" si="86"/>
        <v>387.7376155461713</v>
      </c>
      <c r="BM281">
        <f t="shared" si="87"/>
        <v>1361.8391805816827</v>
      </c>
    </row>
    <row r="282" spans="1:65" x14ac:dyDescent="0.25">
      <c r="A282">
        <v>273</v>
      </c>
      <c r="B282" s="17">
        <f t="shared" si="76"/>
        <v>401.17853226434192</v>
      </c>
      <c r="C282" s="17">
        <f t="shared" si="77"/>
        <v>464.40541208471802</v>
      </c>
      <c r="D282" s="17">
        <f t="shared" si="78"/>
        <v>394.06939169819327</v>
      </c>
      <c r="G282" s="1">
        <v>273</v>
      </c>
      <c r="H282" s="17">
        <v>49.633980594917652</v>
      </c>
      <c r="I282" s="17">
        <v>53.773258395798251</v>
      </c>
      <c r="J282" s="17">
        <v>51.180675188202187</v>
      </c>
      <c r="M282" s="17">
        <v>365.17696713108597</v>
      </c>
      <c r="N282" s="17">
        <v>7.8339056588897398</v>
      </c>
      <c r="O282" s="17">
        <v>8.1692558483443918</v>
      </c>
      <c r="P282" s="17">
        <v>7.6097750765253922</v>
      </c>
      <c r="S282" s="5">
        <f t="shared" si="79"/>
        <v>392.49673059935714</v>
      </c>
      <c r="T282" s="17"/>
      <c r="U282" s="5">
        <f t="shared" si="80"/>
        <v>390.6224681762809</v>
      </c>
      <c r="W282" s="5">
        <f t="shared" si="81"/>
        <v>389.09756910637066</v>
      </c>
      <c r="Y282">
        <f t="shared" si="88"/>
        <v>273</v>
      </c>
      <c r="Z282" s="3">
        <f t="shared" si="89"/>
        <v>1365.9357997373149</v>
      </c>
      <c r="AA282" s="3">
        <f t="shared" si="90"/>
        <v>1418.7209128515974</v>
      </c>
      <c r="AB282" s="3">
        <f t="shared" si="91"/>
        <v>1393.7091552057836</v>
      </c>
      <c r="AC282" s="3">
        <f t="shared" si="92"/>
        <v>1359.953560199358</v>
      </c>
      <c r="BC282" s="17">
        <f t="shared" si="93"/>
        <v>401.17853226434192</v>
      </c>
      <c r="BD282" s="3">
        <f t="shared" si="94"/>
        <v>1365.9357997373149</v>
      </c>
      <c r="BF282" s="5">
        <f t="shared" si="82"/>
        <v>392.49673059935714</v>
      </c>
      <c r="BG282">
        <f t="shared" si="83"/>
        <v>1418.7209128515974</v>
      </c>
      <c r="BI282" s="5">
        <f t="shared" si="84"/>
        <v>390.6224681762809</v>
      </c>
      <c r="BJ282">
        <f t="shared" si="85"/>
        <v>1393.7091552057836</v>
      </c>
      <c r="BL282" s="5">
        <f t="shared" si="86"/>
        <v>389.09756910637066</v>
      </c>
      <c r="BM282">
        <f t="shared" si="87"/>
        <v>1359.953560199358</v>
      </c>
    </row>
    <row r="283" spans="1:65" x14ac:dyDescent="0.25">
      <c r="A283">
        <v>274</v>
      </c>
      <c r="B283" s="17">
        <f t="shared" si="76"/>
        <v>402.54031741646827</v>
      </c>
      <c r="C283" s="17">
        <f t="shared" si="77"/>
        <v>465.94234780918475</v>
      </c>
      <c r="D283" s="17">
        <f t="shared" si="78"/>
        <v>395.32281867300298</v>
      </c>
      <c r="G283" s="1">
        <v>274</v>
      </c>
      <c r="H283" s="17">
        <v>49.643321625560112</v>
      </c>
      <c r="I283" s="17">
        <v>53.781986161070208</v>
      </c>
      <c r="J283" s="17">
        <v>51.191668778252982</v>
      </c>
      <c r="M283" s="17">
        <v>366.32969918615629</v>
      </c>
      <c r="N283" s="17">
        <v>7.8420651040369007</v>
      </c>
      <c r="O283" s="17">
        <v>8.1784950250575257</v>
      </c>
      <c r="P283" s="17">
        <v>7.6116083075548353</v>
      </c>
      <c r="S283" s="5">
        <f t="shared" si="79"/>
        <v>393.91200618690505</v>
      </c>
      <c r="T283" s="17"/>
      <c r="U283" s="5">
        <f t="shared" si="80"/>
        <v>392.01353210276659</v>
      </c>
      <c r="W283" s="5">
        <f t="shared" si="81"/>
        <v>390.45562089211904</v>
      </c>
      <c r="Y283">
        <f t="shared" si="88"/>
        <v>274</v>
      </c>
      <c r="Z283" s="3">
        <f t="shared" si="89"/>
        <v>1361.7851521263447</v>
      </c>
      <c r="AA283" s="3">
        <f t="shared" si="90"/>
        <v>1415.2755875479102</v>
      </c>
      <c r="AB283" s="3">
        <f t="shared" si="91"/>
        <v>1391.0639264856854</v>
      </c>
      <c r="AC283" s="3">
        <f t="shared" si="92"/>
        <v>1358.0517857483869</v>
      </c>
      <c r="BC283" s="17">
        <f t="shared" si="93"/>
        <v>402.54031741646827</v>
      </c>
      <c r="BD283" s="3">
        <f t="shared" si="94"/>
        <v>1361.7851521263447</v>
      </c>
      <c r="BF283" s="5">
        <f t="shared" si="82"/>
        <v>393.91200618690505</v>
      </c>
      <c r="BG283">
        <f t="shared" si="83"/>
        <v>1415.2755875479102</v>
      </c>
      <c r="BI283" s="5">
        <f t="shared" si="84"/>
        <v>392.01353210276659</v>
      </c>
      <c r="BJ283">
        <f t="shared" si="85"/>
        <v>1391.0639264856854</v>
      </c>
      <c r="BL283" s="5">
        <f t="shared" si="86"/>
        <v>390.45562089211904</v>
      </c>
      <c r="BM283">
        <f t="shared" si="87"/>
        <v>1358.0517857483869</v>
      </c>
    </row>
    <row r="284" spans="1:65" x14ac:dyDescent="0.25">
      <c r="A284">
        <v>275</v>
      </c>
      <c r="B284" s="17">
        <f t="shared" si="76"/>
        <v>403.89793815204905</v>
      </c>
      <c r="C284" s="17">
        <f t="shared" si="77"/>
        <v>467.47463487986238</v>
      </c>
      <c r="D284" s="17">
        <f t="shared" si="78"/>
        <v>396.57146946092786</v>
      </c>
      <c r="G284" s="1">
        <v>275</v>
      </c>
      <c r="H284" s="17">
        <v>49.652557624536023</v>
      </c>
      <c r="I284" s="17">
        <v>53.79052424424269</v>
      </c>
      <c r="J284" s="17">
        <v>51.202559160754291</v>
      </c>
      <c r="M284" s="17">
        <v>367.48243124122661</v>
      </c>
      <c r="N284" s="17">
        <v>7.8502989207918219</v>
      </c>
      <c r="O284" s="17">
        <v>8.1878439475265843</v>
      </c>
      <c r="P284" s="17">
        <v>7.6133684796708252</v>
      </c>
      <c r="S284" s="5">
        <f t="shared" si="79"/>
        <v>395.32378821303422</v>
      </c>
      <c r="T284" s="17"/>
      <c r="U284" s="5">
        <f t="shared" si="80"/>
        <v>393.40191668082298</v>
      </c>
      <c r="W284" s="5">
        <f t="shared" si="81"/>
        <v>391.81175474934776</v>
      </c>
      <c r="Y284">
        <f t="shared" si="88"/>
        <v>275</v>
      </c>
      <c r="Z284" s="3">
        <f t="shared" si="89"/>
        <v>1357.620735580781</v>
      </c>
      <c r="AA284" s="3">
        <f t="shared" si="90"/>
        <v>1411.782026129174</v>
      </c>
      <c r="AB284" s="3">
        <f t="shared" si="91"/>
        <v>1388.3845780563888</v>
      </c>
      <c r="AC284" s="3">
        <f t="shared" si="92"/>
        <v>1356.1338572287127</v>
      </c>
      <c r="BC284" s="17">
        <f t="shared" si="93"/>
        <v>403.89793815204905</v>
      </c>
      <c r="BD284" s="3">
        <f t="shared" si="94"/>
        <v>1357.620735580781</v>
      </c>
      <c r="BF284" s="5">
        <f t="shared" si="82"/>
        <v>395.32378821303422</v>
      </c>
      <c r="BG284">
        <f t="shared" si="83"/>
        <v>1411.782026129174</v>
      </c>
      <c r="BI284" s="5">
        <f t="shared" si="84"/>
        <v>393.40191668082298</v>
      </c>
      <c r="BJ284">
        <f t="shared" si="85"/>
        <v>1388.3845780563888</v>
      </c>
      <c r="BL284" s="5">
        <f t="shared" si="86"/>
        <v>391.81175474934776</v>
      </c>
      <c r="BM284">
        <f t="shared" si="87"/>
        <v>1356.1338572287127</v>
      </c>
    </row>
    <row r="285" spans="1:65" x14ac:dyDescent="0.25">
      <c r="A285">
        <v>276</v>
      </c>
      <c r="B285" s="17">
        <f t="shared" si="76"/>
        <v>405.25138123649788</v>
      </c>
      <c r="C285" s="17">
        <f t="shared" si="77"/>
        <v>469.00226502401301</v>
      </c>
      <c r="D285" s="17">
        <f t="shared" si="78"/>
        <v>397.81533462762638</v>
      </c>
      <c r="G285" s="1">
        <v>276</v>
      </c>
      <c r="H285" s="17">
        <v>49.661692463242787</v>
      </c>
      <c r="I285" s="17">
        <v>53.798881019395687</v>
      </c>
      <c r="J285" s="17">
        <v>51.213350110076028</v>
      </c>
      <c r="M285" s="17">
        <v>368.63516329629692</v>
      </c>
      <c r="N285" s="17">
        <v>7.8586088675054553</v>
      </c>
      <c r="O285" s="17">
        <v>8.1973053316606368</v>
      </c>
      <c r="P285" s="17">
        <v>7.6150609197352939</v>
      </c>
      <c r="S285" s="5">
        <f t="shared" si="79"/>
        <v>396.73202844163006</v>
      </c>
      <c r="T285" s="17"/>
      <c r="U285" s="5">
        <f t="shared" si="80"/>
        <v>394.7875877907407</v>
      </c>
      <c r="W285" s="5">
        <f t="shared" si="81"/>
        <v>393.16595452398798</v>
      </c>
      <c r="Y285">
        <f t="shared" si="88"/>
        <v>276</v>
      </c>
      <c r="Z285" s="3">
        <f t="shared" si="89"/>
        <v>1353.443084448827</v>
      </c>
      <c r="AA285" s="3">
        <f t="shared" si="90"/>
        <v>1408.2402285958437</v>
      </c>
      <c r="AB285" s="3">
        <f t="shared" si="91"/>
        <v>1385.6711099177232</v>
      </c>
      <c r="AC285" s="3">
        <f t="shared" si="92"/>
        <v>1354.1997746402217</v>
      </c>
      <c r="BC285" s="17">
        <f t="shared" si="93"/>
        <v>405.25138123649788</v>
      </c>
      <c r="BD285" s="3">
        <f t="shared" si="94"/>
        <v>1353.443084448827</v>
      </c>
      <c r="BF285" s="5">
        <f t="shared" si="82"/>
        <v>396.73202844163006</v>
      </c>
      <c r="BG285">
        <f t="shared" si="83"/>
        <v>1408.2402285958437</v>
      </c>
      <c r="BI285" s="5">
        <f t="shared" si="84"/>
        <v>394.7875877907407</v>
      </c>
      <c r="BJ285">
        <f t="shared" si="85"/>
        <v>1385.6711099177232</v>
      </c>
      <c r="BL285" s="5">
        <f t="shared" si="86"/>
        <v>393.16595452398798</v>
      </c>
      <c r="BM285">
        <f t="shared" si="87"/>
        <v>1354.1997746402217</v>
      </c>
    </row>
    <row r="286" spans="1:65" x14ac:dyDescent="0.25">
      <c r="A286">
        <v>277</v>
      </c>
      <c r="B286" s="17">
        <f t="shared" si="76"/>
        <v>406.60063396957503</v>
      </c>
      <c r="C286" s="17">
        <f t="shared" si="77"/>
        <v>470.52523058983581</v>
      </c>
      <c r="D286" s="17">
        <f t="shared" si="78"/>
        <v>399.0544053237777</v>
      </c>
      <c r="G286" s="1">
        <v>277</v>
      </c>
      <c r="H286" s="17">
        <v>49.670730013077822</v>
      </c>
      <c r="I286" s="17">
        <v>53.807064860609238</v>
      </c>
      <c r="J286" s="17">
        <v>51.224045400588103</v>
      </c>
      <c r="M286" s="17">
        <v>369.78789535136718</v>
      </c>
      <c r="N286" s="17">
        <v>7.8669967025287564</v>
      </c>
      <c r="O286" s="17">
        <v>8.2068818933687613</v>
      </c>
      <c r="P286" s="17">
        <v>7.6166909546101751</v>
      </c>
      <c r="S286" s="5">
        <f t="shared" si="79"/>
        <v>398.13667863657741</v>
      </c>
      <c r="T286" s="17"/>
      <c r="U286" s="5">
        <f t="shared" si="80"/>
        <v>396.17051131281045</v>
      </c>
      <c r="W286" s="5">
        <f t="shared" si="81"/>
        <v>394.51820406197112</v>
      </c>
      <c r="Y286">
        <f t="shared" si="88"/>
        <v>277</v>
      </c>
      <c r="Z286" s="3">
        <f t="shared" si="89"/>
        <v>1349.2527330771509</v>
      </c>
      <c r="AA286" s="3">
        <f t="shared" si="90"/>
        <v>1404.6501949473509</v>
      </c>
      <c r="AB286" s="3">
        <f t="shared" si="91"/>
        <v>1382.9235220697456</v>
      </c>
      <c r="AC286" s="3">
        <f t="shared" si="92"/>
        <v>1352.2495379831412</v>
      </c>
      <c r="BC286" s="17">
        <f t="shared" si="93"/>
        <v>406.60063396957503</v>
      </c>
      <c r="BD286" s="3">
        <f t="shared" si="94"/>
        <v>1349.2527330771509</v>
      </c>
      <c r="BF286" s="5">
        <f t="shared" si="82"/>
        <v>398.13667863657741</v>
      </c>
      <c r="BG286">
        <f t="shared" si="83"/>
        <v>1404.6501949473509</v>
      </c>
      <c r="BI286" s="5">
        <f t="shared" si="84"/>
        <v>396.17051131281045</v>
      </c>
      <c r="BJ286">
        <f t="shared" si="85"/>
        <v>1382.9235220697456</v>
      </c>
      <c r="BL286" s="5">
        <f t="shared" si="86"/>
        <v>394.51820406197112</v>
      </c>
      <c r="BM286">
        <f t="shared" si="87"/>
        <v>1352.2495379831412</v>
      </c>
    </row>
    <row r="287" spans="1:65" x14ac:dyDescent="0.25">
      <c r="A287">
        <v>278</v>
      </c>
      <c r="B287" s="17">
        <f t="shared" si="76"/>
        <v>407.94568418538887</v>
      </c>
      <c r="C287" s="17">
        <f t="shared" si="77"/>
        <v>472.04352454646568</v>
      </c>
      <c r="D287" s="17">
        <f t="shared" si="78"/>
        <v>400.28867328508079</v>
      </c>
      <c r="G287" s="1">
        <v>278</v>
      </c>
      <c r="H287" s="17">
        <v>49.679674145438518</v>
      </c>
      <c r="I287" s="17">
        <v>53.815084141963332</v>
      </c>
      <c r="J287" s="17">
        <v>51.234648806660388</v>
      </c>
      <c r="M287" s="17">
        <v>370.9406274064375</v>
      </c>
      <c r="N287" s="17">
        <v>7.8754641842126771</v>
      </c>
      <c r="O287" s="17">
        <v>8.2165763485600269</v>
      </c>
      <c r="P287" s="17">
        <v>7.6182639111574044</v>
      </c>
      <c r="S287" s="5">
        <f t="shared" si="79"/>
        <v>399.53769056176156</v>
      </c>
      <c r="T287" s="17"/>
      <c r="U287" s="5">
        <f t="shared" si="80"/>
        <v>397.55065312732307</v>
      </c>
      <c r="W287" s="5">
        <f t="shared" si="81"/>
        <v>395.86848720922842</v>
      </c>
      <c r="Y287">
        <f t="shared" si="88"/>
        <v>278</v>
      </c>
      <c r="Z287" s="3">
        <f t="shared" si="89"/>
        <v>1345.050215813842</v>
      </c>
      <c r="AA287" s="3">
        <f t="shared" si="90"/>
        <v>1401.0119251841502</v>
      </c>
      <c r="AB287" s="3">
        <f t="shared" si="91"/>
        <v>1380.1418145126263</v>
      </c>
      <c r="AC287" s="3">
        <f t="shared" si="92"/>
        <v>1350.2831472573007</v>
      </c>
      <c r="BC287" s="17">
        <f t="shared" si="93"/>
        <v>407.94568418538887</v>
      </c>
      <c r="BD287" s="3">
        <f t="shared" si="94"/>
        <v>1345.050215813842</v>
      </c>
      <c r="BF287" s="5">
        <f t="shared" si="82"/>
        <v>399.53769056176156</v>
      </c>
      <c r="BG287">
        <f t="shared" si="83"/>
        <v>1401.0119251841502</v>
      </c>
      <c r="BI287" s="5">
        <f t="shared" si="84"/>
        <v>397.55065312732307</v>
      </c>
      <c r="BJ287">
        <f t="shared" si="85"/>
        <v>1380.1418145126263</v>
      </c>
      <c r="BL287" s="5">
        <f t="shared" si="86"/>
        <v>395.86848720922842</v>
      </c>
      <c r="BM287">
        <f t="shared" si="87"/>
        <v>1350.2831472573007</v>
      </c>
    </row>
    <row r="288" spans="1:65" x14ac:dyDescent="0.25">
      <c r="A288">
        <v>279</v>
      </c>
      <c r="B288" s="17">
        <f t="shared" si="76"/>
        <v>409.28652025239467</v>
      </c>
      <c r="C288" s="17">
        <f t="shared" si="77"/>
        <v>473.55714048397476</v>
      </c>
      <c r="D288" s="17">
        <f t="shared" si="78"/>
        <v>401.51813083225676</v>
      </c>
      <c r="G288" s="1">
        <v>279</v>
      </c>
      <c r="H288" s="17">
        <v>49.688528731722293</v>
      </c>
      <c r="I288" s="17">
        <v>53.822947237537967</v>
      </c>
      <c r="J288" s="17">
        <v>51.24516410266282</v>
      </c>
      <c r="M288" s="17">
        <v>372.09335946150782</v>
      </c>
      <c r="N288" s="17">
        <v>7.8840130709081722</v>
      </c>
      <c r="O288" s="17">
        <v>8.2263914131435083</v>
      </c>
      <c r="P288" s="17">
        <v>7.6197851162389103</v>
      </c>
      <c r="S288" s="5">
        <f t="shared" si="79"/>
        <v>400.93501598106769</v>
      </c>
      <c r="T288" s="17"/>
      <c r="U288" s="5">
        <f t="shared" si="80"/>
        <v>398.9279791145691</v>
      </c>
      <c r="W288" s="5">
        <f t="shared" si="81"/>
        <v>397.21678781169123</v>
      </c>
      <c r="Y288">
        <f t="shared" si="88"/>
        <v>279</v>
      </c>
      <c r="Z288" s="3">
        <f t="shared" si="89"/>
        <v>1340.8360670057959</v>
      </c>
      <c r="AA288" s="3">
        <f t="shared" si="90"/>
        <v>1397.325419306128</v>
      </c>
      <c r="AB288" s="3">
        <f t="shared" si="91"/>
        <v>1377.3259872460244</v>
      </c>
      <c r="AC288" s="3">
        <f t="shared" si="92"/>
        <v>1348.3006024628139</v>
      </c>
      <c r="BC288" s="17">
        <f t="shared" si="93"/>
        <v>409.28652025239467</v>
      </c>
      <c r="BD288" s="3">
        <f t="shared" si="94"/>
        <v>1340.8360670057959</v>
      </c>
      <c r="BF288" s="5">
        <f t="shared" si="82"/>
        <v>400.93501598106769</v>
      </c>
      <c r="BG288">
        <f t="shared" si="83"/>
        <v>1397.325419306128</v>
      </c>
      <c r="BI288" s="5">
        <f t="shared" si="84"/>
        <v>398.9279791145691</v>
      </c>
      <c r="BJ288">
        <f t="shared" si="85"/>
        <v>1377.3259872460244</v>
      </c>
      <c r="BL288" s="5">
        <f t="shared" si="86"/>
        <v>397.21678781169123</v>
      </c>
      <c r="BM288">
        <f t="shared" si="87"/>
        <v>1348.3006024628139</v>
      </c>
    </row>
    <row r="289" spans="1:65" x14ac:dyDescent="0.25">
      <c r="A289">
        <v>280</v>
      </c>
      <c r="B289" s="17">
        <f t="shared" si="76"/>
        <v>410.62313107339548</v>
      </c>
      <c r="C289" s="17">
        <f t="shared" si="77"/>
        <v>475.06607261337138</v>
      </c>
      <c r="D289" s="17">
        <f t="shared" si="78"/>
        <v>402.74277087104576</v>
      </c>
      <c r="G289" s="1">
        <v>280</v>
      </c>
      <c r="H289" s="17">
        <v>49.697297643326543</v>
      </c>
      <c r="I289" s="17">
        <v>53.830662521413167</v>
      </c>
      <c r="J289" s="17">
        <v>51.255595062965277</v>
      </c>
      <c r="M289" s="17">
        <v>373.24609151657808</v>
      </c>
      <c r="N289" s="17">
        <v>7.8926451209661952</v>
      </c>
      <c r="O289" s="17">
        <v>8.2363298030282763</v>
      </c>
      <c r="P289" s="17">
        <v>7.621259896716631</v>
      </c>
      <c r="S289" s="5">
        <f t="shared" si="79"/>
        <v>402.32860665838109</v>
      </c>
      <c r="T289" s="17"/>
      <c r="U289" s="5">
        <f t="shared" si="80"/>
        <v>400.30245515483938</v>
      </c>
      <c r="W289" s="5">
        <f t="shared" si="81"/>
        <v>398.56308971529097</v>
      </c>
      <c r="Y289">
        <f t="shared" si="88"/>
        <v>280</v>
      </c>
      <c r="Z289" s="3">
        <f t="shared" si="89"/>
        <v>1336.6108210008179</v>
      </c>
      <c r="AA289" s="3">
        <f t="shared" si="90"/>
        <v>1393.5906773133979</v>
      </c>
      <c r="AB289" s="3">
        <f t="shared" si="91"/>
        <v>1374.4760402702809</v>
      </c>
      <c r="AC289" s="3">
        <f t="shared" si="92"/>
        <v>1346.3019035997377</v>
      </c>
      <c r="BC289" s="17">
        <f t="shared" si="93"/>
        <v>410.62313107339548</v>
      </c>
      <c r="BD289" s="3">
        <f t="shared" si="94"/>
        <v>1336.6108210008179</v>
      </c>
      <c r="BF289" s="5">
        <f t="shared" si="82"/>
        <v>402.32860665838109</v>
      </c>
      <c r="BG289">
        <f t="shared" si="83"/>
        <v>1393.5906773133979</v>
      </c>
      <c r="BI289" s="5">
        <f t="shared" si="84"/>
        <v>400.30245515483938</v>
      </c>
      <c r="BJ289">
        <f t="shared" si="85"/>
        <v>1374.4760402702809</v>
      </c>
      <c r="BL289" s="5">
        <f t="shared" si="86"/>
        <v>398.56308971529097</v>
      </c>
      <c r="BM289">
        <f t="shared" si="87"/>
        <v>1346.3019035997377</v>
      </c>
    </row>
    <row r="290" spans="1:65" x14ac:dyDescent="0.25">
      <c r="A290">
        <v>281</v>
      </c>
      <c r="B290" s="17">
        <f t="shared" si="76"/>
        <v>411.9555060855414</v>
      </c>
      <c r="C290" s="17">
        <f t="shared" si="77"/>
        <v>476.5703157666008</v>
      </c>
      <c r="D290" s="17">
        <f t="shared" si="78"/>
        <v>403.96258689220963</v>
      </c>
      <c r="G290" s="1">
        <v>281</v>
      </c>
      <c r="H290" s="17">
        <v>49.705984751648693</v>
      </c>
      <c r="I290" s="17">
        <v>53.838238367668943</v>
      </c>
      <c r="J290" s="17">
        <v>51.265945461937683</v>
      </c>
      <c r="M290" s="17">
        <v>374.39882357164851</v>
      </c>
      <c r="N290" s="17">
        <v>7.9013620927376991</v>
      </c>
      <c r="O290" s="17">
        <v>8.2463942341234073</v>
      </c>
      <c r="P290" s="17">
        <v>7.6226935794524984</v>
      </c>
      <c r="S290" s="5">
        <f t="shared" si="79"/>
        <v>403.71841435758677</v>
      </c>
      <c r="T290" s="17"/>
      <c r="U290" s="5">
        <f t="shared" si="80"/>
        <v>401.67404712842449</v>
      </c>
      <c r="W290" s="5">
        <f t="shared" si="81"/>
        <v>399.9073767659587</v>
      </c>
      <c r="Y290">
        <f t="shared" si="88"/>
        <v>281</v>
      </c>
      <c r="Z290" s="3">
        <f t="shared" si="89"/>
        <v>1332.375012145917</v>
      </c>
      <c r="AA290" s="3">
        <f t="shared" si="90"/>
        <v>1389.8076992056758</v>
      </c>
      <c r="AB290" s="3">
        <f t="shared" si="91"/>
        <v>1371.5919735851116</v>
      </c>
      <c r="AC290" s="3">
        <f t="shared" si="92"/>
        <v>1344.2870506677309</v>
      </c>
      <c r="BC290" s="17">
        <f t="shared" si="93"/>
        <v>411.9555060855414</v>
      </c>
      <c r="BD290" s="3">
        <f t="shared" si="94"/>
        <v>1332.375012145917</v>
      </c>
      <c r="BF290" s="5">
        <f t="shared" si="82"/>
        <v>403.71841435758677</v>
      </c>
      <c r="BG290">
        <f t="shared" si="83"/>
        <v>1389.8076992056758</v>
      </c>
      <c r="BI290" s="5">
        <f t="shared" si="84"/>
        <v>401.67404712842449</v>
      </c>
      <c r="BJ290">
        <f t="shared" si="85"/>
        <v>1371.5919735851116</v>
      </c>
      <c r="BL290" s="5">
        <f t="shared" si="86"/>
        <v>399.9073767659587</v>
      </c>
      <c r="BM290">
        <f t="shared" si="87"/>
        <v>1344.2870506677309</v>
      </c>
    </row>
    <row r="291" spans="1:65" x14ac:dyDescent="0.25">
      <c r="A291">
        <v>282</v>
      </c>
      <c r="B291" s="17">
        <f t="shared" si="76"/>
        <v>413.28363526033036</v>
      </c>
      <c r="C291" s="17">
        <f t="shared" si="77"/>
        <v>478.06986539654503</v>
      </c>
      <c r="D291" s="17">
        <f t="shared" si="78"/>
        <v>405.17757297153014</v>
      </c>
      <c r="G291" s="1">
        <v>282</v>
      </c>
      <c r="H291" s="17">
        <v>49.71459392808611</v>
      </c>
      <c r="I291" s="17">
        <v>53.845683150385291</v>
      </c>
      <c r="J291" s="17">
        <v>51.276219073949903</v>
      </c>
      <c r="M291" s="17">
        <v>375.55155562671882</v>
      </c>
      <c r="N291" s="17">
        <v>7.9101657445736384</v>
      </c>
      <c r="O291" s="17">
        <v>8.2565874223379723</v>
      </c>
      <c r="P291" s="17">
        <v>7.6240914913084437</v>
      </c>
      <c r="S291" s="5">
        <f t="shared" si="79"/>
        <v>405.10439084256996</v>
      </c>
      <c r="T291" s="17"/>
      <c r="U291" s="5">
        <f t="shared" si="80"/>
        <v>403.04272091561529</v>
      </c>
      <c r="W291" s="5">
        <f t="shared" si="81"/>
        <v>401.24963280962595</v>
      </c>
      <c r="Y291">
        <f t="shared" si="88"/>
        <v>282</v>
      </c>
      <c r="Z291" s="3">
        <f t="shared" si="89"/>
        <v>1328.1291747889554</v>
      </c>
      <c r="AA291" s="3">
        <f t="shared" si="90"/>
        <v>1385.976484983189</v>
      </c>
      <c r="AB291" s="3">
        <f t="shared" si="91"/>
        <v>1368.6737871908008</v>
      </c>
      <c r="AC291" s="3">
        <f t="shared" si="92"/>
        <v>1342.2560436672484</v>
      </c>
      <c r="BC291" s="17">
        <f t="shared" si="93"/>
        <v>413.28363526033036</v>
      </c>
      <c r="BD291" s="3">
        <f t="shared" si="94"/>
        <v>1328.1291747889554</v>
      </c>
      <c r="BF291" s="5">
        <f t="shared" si="82"/>
        <v>405.10439084256996</v>
      </c>
      <c r="BG291">
        <f t="shared" si="83"/>
        <v>1385.976484983189</v>
      </c>
      <c r="BI291" s="5">
        <f t="shared" si="84"/>
        <v>403.04272091561529</v>
      </c>
      <c r="BJ291">
        <f t="shared" si="85"/>
        <v>1368.6737871908008</v>
      </c>
      <c r="BL291" s="5">
        <f t="shared" si="86"/>
        <v>401.24963280962595</v>
      </c>
      <c r="BM291">
        <f t="shared" si="87"/>
        <v>1342.2560436672484</v>
      </c>
    </row>
    <row r="292" spans="1:65" x14ac:dyDescent="0.25">
      <c r="A292">
        <v>283</v>
      </c>
      <c r="B292" s="17">
        <f t="shared" si="76"/>
        <v>414.6075091036073</v>
      </c>
      <c r="C292" s="17">
        <f t="shared" si="77"/>
        <v>479.56471757702218</v>
      </c>
      <c r="D292" s="17">
        <f t="shared" si="78"/>
        <v>406.38772376981035</v>
      </c>
      <c r="G292" s="1">
        <v>283</v>
      </c>
      <c r="H292" s="17">
        <v>49.723129044036241</v>
      </c>
      <c r="I292" s="17">
        <v>53.85300524364223</v>
      </c>
      <c r="J292" s="17">
        <v>51.286419673371881</v>
      </c>
      <c r="M292" s="17">
        <v>376.70428768178908</v>
      </c>
      <c r="N292" s="17">
        <v>7.9190578348249652</v>
      </c>
      <c r="O292" s="17">
        <v>8.2669120835810439</v>
      </c>
      <c r="P292" s="17">
        <v>7.6254589591464024</v>
      </c>
      <c r="S292" s="5">
        <f t="shared" si="79"/>
        <v>406.48648787721572</v>
      </c>
      <c r="T292" s="17"/>
      <c r="U292" s="5">
        <f t="shared" si="80"/>
        <v>404.40844239670241</v>
      </c>
      <c r="W292" s="5">
        <f t="shared" si="81"/>
        <v>402.58984169222384</v>
      </c>
      <c r="Y292">
        <f t="shared" si="88"/>
        <v>283</v>
      </c>
      <c r="Z292" s="3">
        <f t="shared" si="89"/>
        <v>1323.8738432769424</v>
      </c>
      <c r="AA292" s="3">
        <f t="shared" si="90"/>
        <v>1382.0970346457671</v>
      </c>
      <c r="AB292" s="3">
        <f t="shared" si="91"/>
        <v>1365.721481087121</v>
      </c>
      <c r="AC292" s="3">
        <f t="shared" si="92"/>
        <v>1340.2088825978922</v>
      </c>
      <c r="BC292" s="17">
        <f t="shared" si="93"/>
        <v>414.6075091036073</v>
      </c>
      <c r="BD292" s="3">
        <f t="shared" si="94"/>
        <v>1323.8738432769424</v>
      </c>
      <c r="BF292" s="5">
        <f t="shared" si="82"/>
        <v>406.48648787721572</v>
      </c>
      <c r="BG292">
        <f t="shared" si="83"/>
        <v>1382.0970346457671</v>
      </c>
      <c r="BI292" s="5">
        <f t="shared" si="84"/>
        <v>404.40844239670241</v>
      </c>
      <c r="BJ292">
        <f t="shared" si="85"/>
        <v>1365.721481087121</v>
      </c>
      <c r="BL292" s="5">
        <f t="shared" si="86"/>
        <v>402.58984169222384</v>
      </c>
      <c r="BM292">
        <f t="shared" si="87"/>
        <v>1340.2088825978922</v>
      </c>
    </row>
    <row r="293" spans="1:65" x14ac:dyDescent="0.25">
      <c r="A293">
        <v>284</v>
      </c>
      <c r="B293" s="17">
        <f t="shared" si="76"/>
        <v>415.92711865556487</v>
      </c>
      <c r="C293" s="17">
        <f t="shared" si="77"/>
        <v>481.0548690027872</v>
      </c>
      <c r="D293" s="17">
        <f t="shared" si="78"/>
        <v>407.59303453287305</v>
      </c>
      <c r="G293" s="1">
        <v>284</v>
      </c>
      <c r="H293" s="17">
        <v>49.731593970896469</v>
      </c>
      <c r="I293" s="17">
        <v>53.860213021519762</v>
      </c>
      <c r="J293" s="17">
        <v>51.29655103457349</v>
      </c>
      <c r="M293" s="17">
        <v>377.8570197368594</v>
      </c>
      <c r="N293" s="17">
        <v>7.928040121842634</v>
      </c>
      <c r="O293" s="17">
        <v>8.277370933761695</v>
      </c>
      <c r="P293" s="17">
        <v>7.6268013098283083</v>
      </c>
      <c r="S293" s="5">
        <f t="shared" si="79"/>
        <v>407.86465722540947</v>
      </c>
      <c r="T293" s="17"/>
      <c r="U293" s="5">
        <f t="shared" si="80"/>
        <v>405.77117745197654</v>
      </c>
      <c r="W293" s="5">
        <f t="shared" si="81"/>
        <v>403.92798725968373</v>
      </c>
      <c r="Y293">
        <f t="shared" si="88"/>
        <v>284</v>
      </c>
      <c r="Z293" s="3">
        <f t="shared" si="89"/>
        <v>1319.6095519575692</v>
      </c>
      <c r="AA293" s="3">
        <f t="shared" si="90"/>
        <v>1378.1693481937509</v>
      </c>
      <c r="AB293" s="3">
        <f t="shared" si="91"/>
        <v>1362.7350552741291</v>
      </c>
      <c r="AC293" s="3">
        <f t="shared" si="92"/>
        <v>1338.1455674598897</v>
      </c>
      <c r="BC293" s="17">
        <f t="shared" si="93"/>
        <v>415.92711865556487</v>
      </c>
      <c r="BD293" s="3">
        <f t="shared" si="94"/>
        <v>1319.6095519575692</v>
      </c>
      <c r="BF293" s="5">
        <f t="shared" si="82"/>
        <v>407.86465722540947</v>
      </c>
      <c r="BG293">
        <f t="shared" si="83"/>
        <v>1378.1693481937509</v>
      </c>
      <c r="BI293" s="5">
        <f t="shared" si="84"/>
        <v>405.77117745197654</v>
      </c>
      <c r="BJ293">
        <f t="shared" si="85"/>
        <v>1362.7350552741291</v>
      </c>
      <c r="BL293" s="5">
        <f t="shared" si="86"/>
        <v>403.92798725968373</v>
      </c>
      <c r="BM293">
        <f t="shared" si="87"/>
        <v>1338.1455674598897</v>
      </c>
    </row>
    <row r="294" spans="1:65" x14ac:dyDescent="0.25">
      <c r="A294">
        <v>285</v>
      </c>
      <c r="B294" s="17">
        <f t="shared" si="76"/>
        <v>417.2424554907434</v>
      </c>
      <c r="C294" s="17">
        <f t="shared" si="77"/>
        <v>482.54031698953213</v>
      </c>
      <c r="D294" s="17">
        <f t="shared" si="78"/>
        <v>408.79350109156246</v>
      </c>
      <c r="G294" s="1">
        <v>285</v>
      </c>
      <c r="H294" s="17">
        <v>49.739992580064197</v>
      </c>
      <c r="I294" s="17">
        <v>53.867314858097892</v>
      </c>
      <c r="J294" s="17">
        <v>51.306616931924637</v>
      </c>
      <c r="M294" s="17">
        <v>379.00975179192972</v>
      </c>
      <c r="N294" s="17">
        <v>7.9371143639775976</v>
      </c>
      <c r="O294" s="17">
        <v>8.287966688789</v>
      </c>
      <c r="P294" s="17">
        <v>7.6281238702160934</v>
      </c>
      <c r="S294" s="5">
        <f t="shared" si="79"/>
        <v>409.23885065103605</v>
      </c>
      <c r="T294" s="17"/>
      <c r="U294" s="5">
        <f t="shared" si="80"/>
        <v>407.13089196172848</v>
      </c>
      <c r="W294" s="5">
        <f t="shared" si="81"/>
        <v>405.26405335793697</v>
      </c>
      <c r="Y294">
        <f t="shared" si="88"/>
        <v>285</v>
      </c>
      <c r="Z294" s="3">
        <f t="shared" si="89"/>
        <v>1315.3368351785275</v>
      </c>
      <c r="AA294" s="3">
        <f t="shared" si="90"/>
        <v>1374.1934256265722</v>
      </c>
      <c r="AB294" s="3">
        <f t="shared" si="91"/>
        <v>1359.7145097519387</v>
      </c>
      <c r="AC294" s="3">
        <f t="shared" si="92"/>
        <v>1336.0660982532409</v>
      </c>
      <c r="BC294" s="17">
        <f t="shared" si="93"/>
        <v>417.2424554907434</v>
      </c>
      <c r="BD294" s="3">
        <f t="shared" si="94"/>
        <v>1315.3368351785275</v>
      </c>
      <c r="BF294" s="5">
        <f t="shared" si="82"/>
        <v>409.23885065103605</v>
      </c>
      <c r="BG294">
        <f t="shared" si="83"/>
        <v>1374.1934256265722</v>
      </c>
      <c r="BI294" s="5">
        <f t="shared" si="84"/>
        <v>407.13089196172848</v>
      </c>
      <c r="BJ294">
        <f t="shared" si="85"/>
        <v>1359.7145097519387</v>
      </c>
      <c r="BL294" s="5">
        <f t="shared" si="86"/>
        <v>405.26405335793697</v>
      </c>
      <c r="BM294">
        <f t="shared" si="87"/>
        <v>1336.0660982532409</v>
      </c>
    </row>
    <row r="295" spans="1:65" x14ac:dyDescent="0.25">
      <c r="A295">
        <v>286</v>
      </c>
      <c r="B295" s="17">
        <f t="shared" si="76"/>
        <v>418.55351171802977</v>
      </c>
      <c r="C295" s="17">
        <f t="shared" si="77"/>
        <v>484.02105947388441</v>
      </c>
      <c r="D295" s="17">
        <f t="shared" si="78"/>
        <v>409.98911986174278</v>
      </c>
      <c r="G295" s="1">
        <v>286</v>
      </c>
      <c r="H295" s="17">
        <v>49.748328742936849</v>
      </c>
      <c r="I295" s="17">
        <v>53.874319127456637</v>
      </c>
      <c r="J295" s="17">
        <v>51.316621139795238</v>
      </c>
      <c r="M295" s="17">
        <v>380.16248384699998</v>
      </c>
      <c r="N295" s="17">
        <v>7.9462823195808117</v>
      </c>
      <c r="O295" s="17">
        <v>8.29870206457203</v>
      </c>
      <c r="P295" s="17">
        <v>7.6294319671716906</v>
      </c>
      <c r="S295" s="5">
        <f t="shared" si="79"/>
        <v>410.60901991798096</v>
      </c>
      <c r="T295" s="17"/>
      <c r="U295" s="5">
        <f t="shared" si="80"/>
        <v>408.4875518062488</v>
      </c>
      <c r="W295" s="5">
        <f t="shared" si="81"/>
        <v>406.59802383291481</v>
      </c>
      <c r="Y295">
        <f t="shared" si="88"/>
        <v>286</v>
      </c>
      <c r="Z295" s="3">
        <f t="shared" si="89"/>
        <v>1311.0562272863717</v>
      </c>
      <c r="AA295" s="3">
        <f t="shared" si="90"/>
        <v>1370.169266944913</v>
      </c>
      <c r="AB295" s="3">
        <f t="shared" si="91"/>
        <v>1356.6598445203226</v>
      </c>
      <c r="AC295" s="3">
        <f t="shared" si="92"/>
        <v>1333.9704749778321</v>
      </c>
      <c r="BC295" s="17">
        <f t="shared" si="93"/>
        <v>418.55351171802977</v>
      </c>
      <c r="BD295" s="3">
        <f t="shared" si="94"/>
        <v>1311.0562272863717</v>
      </c>
      <c r="BF295" s="5">
        <f t="shared" si="82"/>
        <v>410.60901991798096</v>
      </c>
      <c r="BG295">
        <f t="shared" si="83"/>
        <v>1370.169266944913</v>
      </c>
      <c r="BI295" s="5">
        <f t="shared" si="84"/>
        <v>408.4875518062488</v>
      </c>
      <c r="BJ295">
        <f t="shared" si="85"/>
        <v>1356.6598445203226</v>
      </c>
      <c r="BL295" s="5">
        <f t="shared" si="86"/>
        <v>406.59802383291481</v>
      </c>
      <c r="BM295">
        <f t="shared" si="87"/>
        <v>1333.9704749778321</v>
      </c>
    </row>
    <row r="296" spans="1:65" x14ac:dyDescent="0.25">
      <c r="A296">
        <v>287</v>
      </c>
      <c r="B296" s="17">
        <f t="shared" si="76"/>
        <v>419.86027998065913</v>
      </c>
      <c r="C296" s="17">
        <f t="shared" si="77"/>
        <v>485.49709501340988</v>
      </c>
      <c r="D296" s="17">
        <f t="shared" si="78"/>
        <v>411.17988784429929</v>
      </c>
      <c r="G296" s="1">
        <v>287</v>
      </c>
      <c r="H296" s="17">
        <v>49.756606330911822</v>
      </c>
      <c r="I296" s="17">
        <v>53.881234203676001</v>
      </c>
      <c r="J296" s="17">
        <v>51.32656743255518</v>
      </c>
      <c r="M296" s="17">
        <v>381.31521590207041</v>
      </c>
      <c r="N296" s="17">
        <v>7.9555457470032271</v>
      </c>
      <c r="O296" s="17">
        <v>8.3095797770198594</v>
      </c>
      <c r="P296" s="17">
        <v>7.6307309275570354</v>
      </c>
      <c r="S296" s="5">
        <f t="shared" si="79"/>
        <v>411.97511679012905</v>
      </c>
      <c r="T296" s="17"/>
      <c r="U296" s="5">
        <f t="shared" si="80"/>
        <v>409.8411228658282</v>
      </c>
      <c r="W296" s="5">
        <f t="shared" si="81"/>
        <v>407.92988253054864</v>
      </c>
      <c r="Y296">
        <f t="shared" si="88"/>
        <v>287</v>
      </c>
      <c r="Z296" s="3">
        <f t="shared" si="89"/>
        <v>1306.7682626293617</v>
      </c>
      <c r="AA296" s="3">
        <f t="shared" si="90"/>
        <v>1366.0968721480913</v>
      </c>
      <c r="AB296" s="3">
        <f t="shared" si="91"/>
        <v>1353.5710595793944</v>
      </c>
      <c r="AC296" s="3">
        <f t="shared" si="92"/>
        <v>1331.8586976338338</v>
      </c>
      <c r="BC296" s="17">
        <f t="shared" si="93"/>
        <v>419.86027998065913</v>
      </c>
      <c r="BD296" s="3">
        <f t="shared" si="94"/>
        <v>1306.7682626293617</v>
      </c>
      <c r="BF296" s="5">
        <f t="shared" si="82"/>
        <v>411.97511679012905</v>
      </c>
      <c r="BG296">
        <f t="shared" si="83"/>
        <v>1366.0968721480913</v>
      </c>
      <c r="BI296" s="5">
        <f t="shared" si="84"/>
        <v>409.8411228658282</v>
      </c>
      <c r="BJ296">
        <f t="shared" si="85"/>
        <v>1353.5710595793944</v>
      </c>
      <c r="BL296" s="5">
        <f t="shared" si="86"/>
        <v>407.92988253054864</v>
      </c>
      <c r="BM296">
        <f t="shared" si="87"/>
        <v>1331.8586976338338</v>
      </c>
    </row>
    <row r="297" spans="1:65" x14ac:dyDescent="0.25">
      <c r="A297">
        <v>288</v>
      </c>
      <c r="B297" s="17">
        <f t="shared" si="76"/>
        <v>421.16275345621369</v>
      </c>
      <c r="C297" s="17">
        <f t="shared" si="77"/>
        <v>486.96842278660927</v>
      </c>
      <c r="D297" s="17">
        <f t="shared" si="78"/>
        <v>412.36580262513752</v>
      </c>
      <c r="G297" s="1">
        <v>288</v>
      </c>
      <c r="H297" s="17">
        <v>49.764829215386513</v>
      </c>
      <c r="I297" s="17">
        <v>53.888068460836003</v>
      </c>
      <c r="J297" s="17">
        <v>51.336459584574371</v>
      </c>
      <c r="M297" s="17">
        <v>382.46794795714072</v>
      </c>
      <c r="N297" s="17">
        <v>7.9649064045957996</v>
      </c>
      <c r="O297" s="17">
        <v>8.3206025420415592</v>
      </c>
      <c r="P297" s="17">
        <v>7.632026078234059</v>
      </c>
      <c r="S297" s="5">
        <f t="shared" si="79"/>
        <v>413.33709303136584</v>
      </c>
      <c r="T297" s="17"/>
      <c r="U297" s="5">
        <f t="shared" si="80"/>
        <v>411.19157102075758</v>
      </c>
      <c r="W297" s="5">
        <f t="shared" si="81"/>
        <v>409.25961329676966</v>
      </c>
      <c r="Y297">
        <f t="shared" si="88"/>
        <v>288</v>
      </c>
      <c r="Z297" s="3">
        <f t="shared" si="89"/>
        <v>1302.4734755545637</v>
      </c>
      <c r="AA297" s="3">
        <f t="shared" si="90"/>
        <v>1361.9762412367891</v>
      </c>
      <c r="AB297" s="3">
        <f t="shared" si="91"/>
        <v>1350.4481549293814</v>
      </c>
      <c r="AC297" s="3">
        <f t="shared" si="92"/>
        <v>1329.7307662210187</v>
      </c>
      <c r="BC297" s="17">
        <f t="shared" si="93"/>
        <v>421.16275345621369</v>
      </c>
      <c r="BD297" s="3">
        <f t="shared" si="94"/>
        <v>1302.4734755545637</v>
      </c>
      <c r="BF297" s="5">
        <f t="shared" si="82"/>
        <v>413.33709303136584</v>
      </c>
      <c r="BG297">
        <f t="shared" si="83"/>
        <v>1361.9762412367891</v>
      </c>
      <c r="BI297" s="5">
        <f t="shared" si="84"/>
        <v>411.19157102075758</v>
      </c>
      <c r="BJ297">
        <f t="shared" si="85"/>
        <v>1350.4481549293814</v>
      </c>
      <c r="BL297" s="5">
        <f t="shared" si="86"/>
        <v>409.25961329676966</v>
      </c>
      <c r="BM297">
        <f t="shared" si="87"/>
        <v>1329.7307662210187</v>
      </c>
    </row>
    <row r="298" spans="1:65" x14ac:dyDescent="0.25">
      <c r="A298">
        <v>289</v>
      </c>
      <c r="B298" s="17">
        <f t="shared" si="76"/>
        <v>422.46092585662313</v>
      </c>
      <c r="C298" s="17">
        <f t="shared" si="77"/>
        <v>488.43504259292092</v>
      </c>
      <c r="D298" s="17">
        <f t="shared" si="78"/>
        <v>413.54686237518376</v>
      </c>
      <c r="G298" s="1">
        <v>289</v>
      </c>
      <c r="H298" s="17">
        <v>49.773001267758332</v>
      </c>
      <c r="I298" s="17">
        <v>53.894830273016623</v>
      </c>
      <c r="J298" s="17">
        <v>51.346301370222697</v>
      </c>
      <c r="M298" s="17">
        <v>383.62068001221098</v>
      </c>
      <c r="N298" s="17">
        <v>7.9743660507094818</v>
      </c>
      <c r="O298" s="17">
        <v>8.3317730755462041</v>
      </c>
      <c r="P298" s="17">
        <v>7.633322746064696</v>
      </c>
      <c r="S298" s="5">
        <f t="shared" si="79"/>
        <v>414.69490040557611</v>
      </c>
      <c r="T298" s="17"/>
      <c r="U298" s="5">
        <f t="shared" si="80"/>
        <v>412.53886215132758</v>
      </c>
      <c r="W298" s="5">
        <f t="shared" si="81"/>
        <v>410.58719997750921</v>
      </c>
      <c r="Y298">
        <f t="shared" si="88"/>
        <v>289</v>
      </c>
      <c r="Z298" s="3">
        <f t="shared" si="89"/>
        <v>1298.1724004094417</v>
      </c>
      <c r="AA298" s="3">
        <f t="shared" si="90"/>
        <v>1357.8073742102674</v>
      </c>
      <c r="AB298" s="3">
        <f t="shared" si="91"/>
        <v>1347.2911305699995</v>
      </c>
      <c r="AC298" s="3">
        <f t="shared" si="92"/>
        <v>1327.5866807395573</v>
      </c>
      <c r="BC298" s="17">
        <f t="shared" si="93"/>
        <v>422.46092585662313</v>
      </c>
      <c r="BD298" s="3">
        <f t="shared" si="94"/>
        <v>1298.1724004094417</v>
      </c>
      <c r="BF298" s="5">
        <f t="shared" si="82"/>
        <v>414.69490040557611</v>
      </c>
      <c r="BG298">
        <f t="shared" si="83"/>
        <v>1357.8073742102674</v>
      </c>
      <c r="BI298" s="5">
        <f t="shared" si="84"/>
        <v>412.53886215132758</v>
      </c>
      <c r="BJ298">
        <f t="shared" si="85"/>
        <v>1347.2911305699995</v>
      </c>
      <c r="BL298" s="5">
        <f t="shared" si="86"/>
        <v>410.58719997750921</v>
      </c>
      <c r="BM298">
        <f t="shared" si="87"/>
        <v>1327.5866807395573</v>
      </c>
    </row>
    <row r="299" spans="1:65" x14ac:dyDescent="0.25">
      <c r="A299">
        <v>290</v>
      </c>
      <c r="B299" s="17">
        <f t="shared" si="76"/>
        <v>423.75479142816442</v>
      </c>
      <c r="C299" s="17">
        <f t="shared" si="77"/>
        <v>489.89695485271949</v>
      </c>
      <c r="D299" s="17">
        <f t="shared" si="78"/>
        <v>414.72306585038496</v>
      </c>
      <c r="G299" s="1">
        <v>290</v>
      </c>
      <c r="H299" s="17">
        <v>49.781126359424682</v>
      </c>
      <c r="I299" s="17">
        <v>53.901528014297902</v>
      </c>
      <c r="J299" s="17">
        <v>51.356096563870089</v>
      </c>
      <c r="M299" s="17">
        <v>384.7734120672813</v>
      </c>
      <c r="N299" s="17">
        <v>7.9839264436952284</v>
      </c>
      <c r="O299" s="17">
        <v>8.3430940934428666</v>
      </c>
      <c r="P299" s="17">
        <v>7.6346262579108792</v>
      </c>
      <c r="S299" s="5">
        <f t="shared" si="79"/>
        <v>416.04849067664537</v>
      </c>
      <c r="T299" s="17"/>
      <c r="U299" s="5">
        <f t="shared" si="80"/>
        <v>413.88296213782883</v>
      </c>
      <c r="W299" s="5">
        <f t="shared" si="81"/>
        <v>411.91262641869866</v>
      </c>
      <c r="Y299">
        <f t="shared" si="88"/>
        <v>290</v>
      </c>
      <c r="Z299" s="3">
        <f t="shared" si="89"/>
        <v>1293.8655715412892</v>
      </c>
      <c r="AA299" s="3">
        <f t="shared" si="90"/>
        <v>1353.5902710692653</v>
      </c>
      <c r="AB299" s="3">
        <f t="shared" si="91"/>
        <v>1344.0999865012486</v>
      </c>
      <c r="AC299" s="3">
        <f t="shared" si="92"/>
        <v>1325.4264411894496</v>
      </c>
      <c r="BC299" s="17">
        <f t="shared" si="93"/>
        <v>423.75479142816442</v>
      </c>
      <c r="BD299" s="3">
        <f t="shared" si="94"/>
        <v>1293.8655715412892</v>
      </c>
      <c r="BF299" s="5">
        <f t="shared" si="82"/>
        <v>416.04849067664537</v>
      </c>
      <c r="BG299">
        <f t="shared" si="83"/>
        <v>1353.5902710692653</v>
      </c>
      <c r="BI299" s="5">
        <f t="shared" si="84"/>
        <v>413.88296213782883</v>
      </c>
      <c r="BJ299">
        <f t="shared" si="85"/>
        <v>1344.0999865012486</v>
      </c>
      <c r="BL299" s="5">
        <f t="shared" si="86"/>
        <v>411.91262641869866</v>
      </c>
      <c r="BM299">
        <f t="shared" si="87"/>
        <v>1325.4264411894496</v>
      </c>
    </row>
    <row r="300" spans="1:65" x14ac:dyDescent="0.25">
      <c r="A300">
        <v>291</v>
      </c>
      <c r="B300" s="17">
        <f t="shared" si="76"/>
        <v>425.04434495146228</v>
      </c>
      <c r="C300" s="17">
        <f t="shared" si="77"/>
        <v>491.35416060731598</v>
      </c>
      <c r="D300" s="17">
        <f t="shared" si="78"/>
        <v>415.89441239170861</v>
      </c>
      <c r="G300" s="1">
        <v>291</v>
      </c>
      <c r="H300" s="17">
        <v>49.789208361782983</v>
      </c>
      <c r="I300" s="17">
        <v>53.908170058759822</v>
      </c>
      <c r="J300" s="17">
        <v>51.365848939886433</v>
      </c>
      <c r="M300" s="17">
        <v>385.92614412235162</v>
      </c>
      <c r="N300" s="17">
        <v>7.9935893419039896</v>
      </c>
      <c r="O300" s="17">
        <v>8.3545683116406195</v>
      </c>
      <c r="P300" s="17">
        <v>7.6359419406345417</v>
      </c>
      <c r="S300" s="5">
        <f t="shared" si="79"/>
        <v>417.39781560845847</v>
      </c>
      <c r="T300" s="17"/>
      <c r="U300" s="5">
        <f t="shared" si="80"/>
        <v>415.22383686055207</v>
      </c>
      <c r="W300" s="5">
        <f t="shared" si="81"/>
        <v>413.23587646626925</v>
      </c>
      <c r="Y300">
        <f t="shared" si="88"/>
        <v>291</v>
      </c>
      <c r="Z300" s="3">
        <f t="shared" si="89"/>
        <v>1289.5535232978546</v>
      </c>
      <c r="AA300" s="3">
        <f t="shared" si="90"/>
        <v>1349.3249318131006</v>
      </c>
      <c r="AB300" s="3">
        <f t="shared" si="91"/>
        <v>1340.8747227232425</v>
      </c>
      <c r="AC300" s="3">
        <f t="shared" si="92"/>
        <v>1323.250047570582</v>
      </c>
      <c r="BC300" s="17">
        <f t="shared" si="93"/>
        <v>425.04434495146228</v>
      </c>
      <c r="BD300" s="3">
        <f t="shared" si="94"/>
        <v>1289.5535232978546</v>
      </c>
      <c r="BF300" s="5">
        <f t="shared" si="82"/>
        <v>417.39781560845847</v>
      </c>
      <c r="BG300">
        <f t="shared" si="83"/>
        <v>1349.3249318131006</v>
      </c>
      <c r="BI300" s="5">
        <f t="shared" si="84"/>
        <v>415.22383686055207</v>
      </c>
      <c r="BJ300">
        <f t="shared" si="85"/>
        <v>1340.8747227232425</v>
      </c>
      <c r="BL300" s="5">
        <f t="shared" si="86"/>
        <v>413.23587646626925</v>
      </c>
      <c r="BM300">
        <f t="shared" si="87"/>
        <v>1323.250047570582</v>
      </c>
    </row>
    <row r="301" spans="1:65" x14ac:dyDescent="0.25">
      <c r="A301">
        <v>292</v>
      </c>
      <c r="B301" s="17">
        <f t="shared" si="76"/>
        <v>426.32958174148848</v>
      </c>
      <c r="C301" s="17">
        <f t="shared" si="77"/>
        <v>492.806661518959</v>
      </c>
      <c r="D301" s="17">
        <f t="shared" si="78"/>
        <v>417.06090192514284</v>
      </c>
      <c r="G301" s="1">
        <v>292</v>
      </c>
      <c r="H301" s="17">
        <v>49.797251146230622</v>
      </c>
      <c r="I301" s="17">
        <v>53.914764780482408</v>
      </c>
      <c r="J301" s="17">
        <v>51.375562272641623</v>
      </c>
      <c r="M301" s="17">
        <v>387.07887617742188</v>
      </c>
      <c r="N301" s="17">
        <v>8.0033565036867227</v>
      </c>
      <c r="O301" s="17">
        <v>8.3661984460485375</v>
      </c>
      <c r="P301" s="17">
        <v>7.637275121097618</v>
      </c>
      <c r="S301" s="5">
        <f t="shared" si="79"/>
        <v>418.74282696490081</v>
      </c>
      <c r="T301" s="17"/>
      <c r="U301" s="5">
        <f t="shared" si="80"/>
        <v>416.56145219978794</v>
      </c>
      <c r="W301" s="5">
        <f t="shared" si="81"/>
        <v>414.55693396615231</v>
      </c>
      <c r="Y301">
        <f t="shared" si="88"/>
        <v>292</v>
      </c>
      <c r="Z301" s="3">
        <f t="shared" si="89"/>
        <v>1285.2367900262038</v>
      </c>
      <c r="AA301" s="3">
        <f t="shared" si="90"/>
        <v>1345.0113564423418</v>
      </c>
      <c r="AB301" s="3">
        <f t="shared" si="91"/>
        <v>1337.6153392358674</v>
      </c>
      <c r="AC301" s="3">
        <f t="shared" si="92"/>
        <v>1321.057499883068</v>
      </c>
      <c r="BC301" s="17">
        <f t="shared" si="93"/>
        <v>426.32958174148848</v>
      </c>
      <c r="BD301" s="3">
        <f t="shared" si="94"/>
        <v>1285.2367900262038</v>
      </c>
      <c r="BF301" s="5">
        <f t="shared" si="82"/>
        <v>418.74282696490081</v>
      </c>
      <c r="BG301">
        <f t="shared" si="83"/>
        <v>1345.0113564423418</v>
      </c>
      <c r="BI301" s="5">
        <f t="shared" si="84"/>
        <v>416.56145219978794</v>
      </c>
      <c r="BJ301">
        <f t="shared" si="85"/>
        <v>1337.6153392358674</v>
      </c>
      <c r="BL301" s="5">
        <f t="shared" si="86"/>
        <v>414.55693396615231</v>
      </c>
      <c r="BM301">
        <f t="shared" si="87"/>
        <v>1321.057499883068</v>
      </c>
    </row>
    <row r="302" spans="1:65" x14ac:dyDescent="0.25">
      <c r="A302">
        <v>293</v>
      </c>
      <c r="B302" s="17">
        <f t="shared" si="76"/>
        <v>427.61049764756251</v>
      </c>
      <c r="C302" s="17">
        <f t="shared" si="77"/>
        <v>494.25445987083242</v>
      </c>
      <c r="D302" s="17">
        <f t="shared" si="78"/>
        <v>418.22253496169617</v>
      </c>
      <c r="G302" s="1">
        <v>293</v>
      </c>
      <c r="H302" s="17">
        <v>49.805258584165017</v>
      </c>
      <c r="I302" s="17">
        <v>53.921320553545662</v>
      </c>
      <c r="J302" s="17">
        <v>51.385240336505561</v>
      </c>
      <c r="M302" s="17">
        <v>388.23160823249219</v>
      </c>
      <c r="N302" s="17">
        <v>8.0132296873943787</v>
      </c>
      <c r="O302" s="17">
        <v>8.3779872125756896</v>
      </c>
      <c r="P302" s="17">
        <v>7.638631126162041</v>
      </c>
      <c r="S302" s="5">
        <f t="shared" si="79"/>
        <v>420.08347650985746</v>
      </c>
      <c r="T302" s="17"/>
      <c r="U302" s="5">
        <f t="shared" si="80"/>
        <v>417.89577403582734</v>
      </c>
      <c r="W302" s="5">
        <f t="shared" si="81"/>
        <v>415.87578276427905</v>
      </c>
      <c r="Y302">
        <f t="shared" si="88"/>
        <v>293</v>
      </c>
      <c r="Z302" s="3">
        <f t="shared" si="89"/>
        <v>1280.9159060740285</v>
      </c>
      <c r="AA302" s="3">
        <f t="shared" si="90"/>
        <v>1340.6495449566478</v>
      </c>
      <c r="AB302" s="3">
        <f t="shared" si="91"/>
        <v>1334.3218360394076</v>
      </c>
      <c r="AC302" s="3">
        <f t="shared" si="92"/>
        <v>1318.8487981267372</v>
      </c>
      <c r="BC302" s="17">
        <f t="shared" si="93"/>
        <v>427.61049764756251</v>
      </c>
      <c r="BD302" s="3">
        <f t="shared" si="94"/>
        <v>1280.9159060740285</v>
      </c>
      <c r="BF302" s="5">
        <f t="shared" si="82"/>
        <v>420.08347650985746</v>
      </c>
      <c r="BG302">
        <f t="shared" si="83"/>
        <v>1340.6495449566478</v>
      </c>
      <c r="BI302" s="5">
        <f t="shared" si="84"/>
        <v>417.89577403582734</v>
      </c>
      <c r="BJ302">
        <f t="shared" si="85"/>
        <v>1334.3218360394076</v>
      </c>
      <c r="BL302" s="5">
        <f t="shared" si="86"/>
        <v>415.87578276427905</v>
      </c>
      <c r="BM302">
        <f t="shared" si="87"/>
        <v>1318.8487981267372</v>
      </c>
    </row>
    <row r="303" spans="1:65" x14ac:dyDescent="0.25">
      <c r="A303">
        <v>294</v>
      </c>
      <c r="B303" s="17">
        <f t="shared" si="76"/>
        <v>428.88708905335091</v>
      </c>
      <c r="C303" s="17">
        <f t="shared" si="77"/>
        <v>495.69755856705768</v>
      </c>
      <c r="D303" s="17">
        <f t="shared" si="78"/>
        <v>419.37931259739798</v>
      </c>
      <c r="G303" s="1">
        <v>294</v>
      </c>
      <c r="H303" s="17">
        <v>49.813234546983573</v>
      </c>
      <c r="I303" s="17">
        <v>53.927845752029597</v>
      </c>
      <c r="J303" s="17">
        <v>51.394886905848168</v>
      </c>
      <c r="M303" s="17">
        <v>389.38434028756251</v>
      </c>
      <c r="N303" s="17">
        <v>8.023210651377914</v>
      </c>
      <c r="O303" s="17">
        <v>8.3899373271311521</v>
      </c>
      <c r="P303" s="17">
        <v>7.6400152826897427</v>
      </c>
      <c r="S303" s="5">
        <f t="shared" si="79"/>
        <v>421.41971600721376</v>
      </c>
      <c r="T303" s="17"/>
      <c r="U303" s="5">
        <f t="shared" si="80"/>
        <v>419.22676824896081</v>
      </c>
      <c r="W303" s="5">
        <f t="shared" si="81"/>
        <v>417.19240670658093</v>
      </c>
      <c r="Y303">
        <f t="shared" si="88"/>
        <v>294</v>
      </c>
      <c r="Z303" s="3">
        <f t="shared" si="89"/>
        <v>1276.5914057883947</v>
      </c>
      <c r="AA303" s="3">
        <f t="shared" si="90"/>
        <v>1336.2394973563028</v>
      </c>
      <c r="AB303" s="3">
        <f t="shared" si="91"/>
        <v>1330.9942131334651</v>
      </c>
      <c r="AC303" s="3">
        <f t="shared" si="92"/>
        <v>1316.6239423018737</v>
      </c>
      <c r="BC303" s="17">
        <f t="shared" si="93"/>
        <v>428.88708905335091</v>
      </c>
      <c r="BD303" s="3">
        <f t="shared" si="94"/>
        <v>1276.5914057883947</v>
      </c>
      <c r="BF303" s="5">
        <f t="shared" si="82"/>
        <v>421.41971600721376</v>
      </c>
      <c r="BG303">
        <f t="shared" si="83"/>
        <v>1336.2394973563028</v>
      </c>
      <c r="BI303" s="5">
        <f t="shared" si="84"/>
        <v>419.22676824896081</v>
      </c>
      <c r="BJ303">
        <f t="shared" si="85"/>
        <v>1330.9942131334651</v>
      </c>
      <c r="BL303" s="5">
        <f t="shared" si="86"/>
        <v>417.19240670658093</v>
      </c>
      <c r="BM303">
        <f t="shared" si="87"/>
        <v>1316.6239423018737</v>
      </c>
    </row>
    <row r="304" spans="1:65" x14ac:dyDescent="0.25">
      <c r="A304">
        <v>295</v>
      </c>
      <c r="B304" s="17">
        <f t="shared" si="76"/>
        <v>430.15935287686807</v>
      </c>
      <c r="C304" s="17">
        <f t="shared" si="77"/>
        <v>497.13596113269239</v>
      </c>
      <c r="D304" s="17">
        <f t="shared" si="78"/>
        <v>420.53123651329827</v>
      </c>
      <c r="G304" s="1">
        <v>295</v>
      </c>
      <c r="H304" s="17">
        <v>49.821182906083678</v>
      </c>
      <c r="I304" s="17">
        <v>53.934348750014223</v>
      </c>
      <c r="J304" s="17">
        <v>51.404505755039317</v>
      </c>
      <c r="M304" s="17">
        <v>390.53707234263283</v>
      </c>
      <c r="N304" s="17">
        <v>8.0333011539882797</v>
      </c>
      <c r="O304" s="17">
        <v>8.4020515056239962</v>
      </c>
      <c r="P304" s="17">
        <v>7.6414329175426579</v>
      </c>
      <c r="S304" s="5">
        <f t="shared" si="79"/>
        <v>422.75149722085462</v>
      </c>
      <c r="T304" s="17"/>
      <c r="U304" s="5">
        <f t="shared" si="80"/>
        <v>420.5544007194793</v>
      </c>
      <c r="W304" s="5">
        <f t="shared" si="81"/>
        <v>418.50678963898918</v>
      </c>
      <c r="Y304">
        <f t="shared" si="88"/>
        <v>295</v>
      </c>
      <c r="Z304" s="3">
        <f t="shared" si="89"/>
        <v>1272.2638235171644</v>
      </c>
      <c r="AA304" s="3">
        <f t="shared" si="90"/>
        <v>1331.781213640852</v>
      </c>
      <c r="AB304" s="3">
        <f t="shared" si="91"/>
        <v>1327.6324705184948</v>
      </c>
      <c r="AC304" s="3">
        <f t="shared" si="92"/>
        <v>1314.3829324082503</v>
      </c>
      <c r="BC304" s="17">
        <f t="shared" si="93"/>
        <v>430.15935287686807</v>
      </c>
      <c r="BD304" s="3">
        <f t="shared" si="94"/>
        <v>1272.2638235171644</v>
      </c>
      <c r="BF304" s="5">
        <f t="shared" si="82"/>
        <v>422.75149722085462</v>
      </c>
      <c r="BG304">
        <f t="shared" si="83"/>
        <v>1331.781213640852</v>
      </c>
      <c r="BI304" s="5">
        <f t="shared" si="84"/>
        <v>420.5544007194793</v>
      </c>
      <c r="BJ304">
        <f t="shared" si="85"/>
        <v>1327.6324705184948</v>
      </c>
      <c r="BL304" s="5">
        <f t="shared" si="86"/>
        <v>418.50678963898918</v>
      </c>
      <c r="BM304">
        <f t="shared" si="87"/>
        <v>1314.3829324082503</v>
      </c>
    </row>
    <row r="305" spans="1:65" x14ac:dyDescent="0.25">
      <c r="A305">
        <v>296</v>
      </c>
      <c r="B305" s="17">
        <f t="shared" si="76"/>
        <v>431.42728657047576</v>
      </c>
      <c r="C305" s="17">
        <f t="shared" si="77"/>
        <v>498.56967171373111</v>
      </c>
      <c r="D305" s="17">
        <f t="shared" si="78"/>
        <v>421.67830897546742</v>
      </c>
      <c r="G305" s="1">
        <v>296</v>
      </c>
      <c r="H305" s="17">
        <v>49.829107532862757</v>
      </c>
      <c r="I305" s="17">
        <v>53.940837921579543</v>
      </c>
      <c r="J305" s="17">
        <v>51.414100658448952</v>
      </c>
      <c r="M305" s="17">
        <v>391.68980439770309</v>
      </c>
      <c r="N305" s="17">
        <v>8.0435029535764304</v>
      </c>
      <c r="O305" s="17">
        <v>8.4143324639632961</v>
      </c>
      <c r="P305" s="17">
        <v>7.6428893575827193</v>
      </c>
      <c r="S305" s="5">
        <f t="shared" si="79"/>
        <v>424.07877191466531</v>
      </c>
      <c r="T305" s="17"/>
      <c r="U305" s="5">
        <f t="shared" si="80"/>
        <v>421.87863732767312</v>
      </c>
      <c r="W305" s="5">
        <f t="shared" si="81"/>
        <v>419.81891540743504</v>
      </c>
      <c r="Y305">
        <f t="shared" si="88"/>
        <v>296</v>
      </c>
      <c r="Z305" s="3">
        <f t="shared" si="89"/>
        <v>1267.9336936076879</v>
      </c>
      <c r="AA305" s="3">
        <f t="shared" si="90"/>
        <v>1327.2746938106934</v>
      </c>
      <c r="AB305" s="3">
        <f t="shared" si="91"/>
        <v>1324.2366081938144</v>
      </c>
      <c r="AC305" s="3">
        <f t="shared" si="92"/>
        <v>1312.1257684458669</v>
      </c>
      <c r="BC305" s="17">
        <f t="shared" si="93"/>
        <v>431.42728657047576</v>
      </c>
      <c r="BD305" s="3">
        <f t="shared" si="94"/>
        <v>1267.9336936076879</v>
      </c>
      <c r="BF305" s="5">
        <f t="shared" si="82"/>
        <v>424.07877191466531</v>
      </c>
      <c r="BG305">
        <f t="shared" si="83"/>
        <v>1327.2746938106934</v>
      </c>
      <c r="BI305" s="5">
        <f t="shared" si="84"/>
        <v>421.87863732767312</v>
      </c>
      <c r="BJ305">
        <f t="shared" si="85"/>
        <v>1324.2366081938144</v>
      </c>
      <c r="BL305" s="5">
        <f t="shared" si="86"/>
        <v>419.81891540743504</v>
      </c>
      <c r="BM305">
        <f t="shared" si="87"/>
        <v>1312.1257684458669</v>
      </c>
    </row>
    <row r="306" spans="1:65" x14ac:dyDescent="0.25">
      <c r="A306">
        <v>297</v>
      </c>
      <c r="B306" s="17">
        <f t="shared" si="76"/>
        <v>432.69088812088262</v>
      </c>
      <c r="C306" s="17">
        <f t="shared" si="77"/>
        <v>499.99869507710463</v>
      </c>
      <c r="D306" s="17">
        <f t="shared" si="78"/>
        <v>422.8205328349967</v>
      </c>
      <c r="G306" s="1">
        <v>297</v>
      </c>
      <c r="H306" s="17">
        <v>49.837012298718207</v>
      </c>
      <c r="I306" s="17">
        <v>53.947321640805548</v>
      </c>
      <c r="J306" s="17">
        <v>51.423675390446931</v>
      </c>
      <c r="M306" s="17">
        <v>392.84253645277352</v>
      </c>
      <c r="N306" s="17">
        <v>8.0538178084933207</v>
      </c>
      <c r="O306" s="17">
        <v>8.4267829180581248</v>
      </c>
      <c r="P306" s="17">
        <v>7.6443899296718607</v>
      </c>
      <c r="S306" s="5">
        <f t="shared" si="79"/>
        <v>425.40149185253108</v>
      </c>
      <c r="T306" s="17"/>
      <c r="U306" s="5">
        <f t="shared" si="80"/>
        <v>423.19944395383334</v>
      </c>
      <c r="W306" s="5">
        <f t="shared" si="81"/>
        <v>421.12876785784994</v>
      </c>
      <c r="Y306">
        <f t="shared" si="88"/>
        <v>297</v>
      </c>
      <c r="Z306" s="3">
        <f t="shared" si="89"/>
        <v>1263.601550406861</v>
      </c>
      <c r="AA306" s="3">
        <f t="shared" si="90"/>
        <v>1322.7199378657701</v>
      </c>
      <c r="AB306" s="3">
        <f t="shared" si="91"/>
        <v>1320.8066261602198</v>
      </c>
      <c r="AC306" s="3">
        <f t="shared" si="92"/>
        <v>1309.8524504148941</v>
      </c>
      <c r="BC306" s="17">
        <f t="shared" si="93"/>
        <v>432.69088812088262</v>
      </c>
      <c r="BD306" s="3">
        <f t="shared" si="94"/>
        <v>1263.601550406861</v>
      </c>
      <c r="BF306" s="5">
        <f t="shared" si="82"/>
        <v>425.40149185253108</v>
      </c>
      <c r="BG306">
        <f t="shared" si="83"/>
        <v>1322.7199378657701</v>
      </c>
      <c r="BI306" s="5">
        <f t="shared" si="84"/>
        <v>423.19944395383334</v>
      </c>
      <c r="BJ306">
        <f t="shared" si="85"/>
        <v>1320.8066261602198</v>
      </c>
      <c r="BL306" s="5">
        <f t="shared" si="86"/>
        <v>421.12876785784994</v>
      </c>
      <c r="BM306">
        <f t="shared" si="87"/>
        <v>1309.8524504148941</v>
      </c>
    </row>
    <row r="307" spans="1:65" x14ac:dyDescent="0.25">
      <c r="A307">
        <v>298</v>
      </c>
      <c r="B307" s="17">
        <f t="shared" si="76"/>
        <v>433.95015604914545</v>
      </c>
      <c r="C307" s="17">
        <f t="shared" si="77"/>
        <v>501.42303661068036</v>
      </c>
      <c r="D307" s="17">
        <f t="shared" si="78"/>
        <v>423.95791152799779</v>
      </c>
      <c r="G307" s="1">
        <v>298</v>
      </c>
      <c r="H307" s="17">
        <v>49.844901075047453</v>
      </c>
      <c r="I307" s="17">
        <v>53.953808281772282</v>
      </c>
      <c r="J307" s="17">
        <v>51.43323372540317</v>
      </c>
      <c r="M307" s="17">
        <v>393.99526850784378</v>
      </c>
      <c r="N307" s="17">
        <v>8.0642474770899017</v>
      </c>
      <c r="O307" s="17">
        <v>8.4394055838175532</v>
      </c>
      <c r="P307" s="17">
        <v>7.645939960672016</v>
      </c>
      <c r="S307" s="5">
        <f t="shared" si="79"/>
        <v>426.71960879833694</v>
      </c>
      <c r="T307" s="17"/>
      <c r="U307" s="5">
        <f t="shared" si="80"/>
        <v>424.51678647825031</v>
      </c>
      <c r="W307" s="5">
        <f t="shared" si="81"/>
        <v>422.4363308361651</v>
      </c>
      <c r="Y307">
        <f t="shared" si="88"/>
        <v>298</v>
      </c>
      <c r="Z307" s="3">
        <f t="shared" si="89"/>
        <v>1259.2679282628296</v>
      </c>
      <c r="AA307" s="3">
        <f t="shared" si="90"/>
        <v>1318.1169458058548</v>
      </c>
      <c r="AB307" s="3">
        <f t="shared" si="91"/>
        <v>1317.3425244169721</v>
      </c>
      <c r="AC307" s="3">
        <f t="shared" si="92"/>
        <v>1307.5629783151612</v>
      </c>
      <c r="BC307" s="17">
        <f t="shared" si="93"/>
        <v>433.95015604914545</v>
      </c>
      <c r="BD307" s="3">
        <f t="shared" si="94"/>
        <v>1259.2679282628296</v>
      </c>
      <c r="BF307" s="5">
        <f t="shared" si="82"/>
        <v>426.71960879833694</v>
      </c>
      <c r="BG307">
        <f t="shared" si="83"/>
        <v>1318.1169458058548</v>
      </c>
      <c r="BI307" s="5">
        <f t="shared" si="84"/>
        <v>424.51678647825031</v>
      </c>
      <c r="BJ307">
        <f t="shared" si="85"/>
        <v>1317.3425244169721</v>
      </c>
      <c r="BL307" s="5">
        <f t="shared" si="86"/>
        <v>422.4363308361651</v>
      </c>
      <c r="BM307">
        <f t="shared" si="87"/>
        <v>1307.5629783151612</v>
      </c>
    </row>
    <row r="308" spans="1:65" x14ac:dyDescent="0.25">
      <c r="A308">
        <v>299</v>
      </c>
      <c r="B308" s="17">
        <f t="shared" si="76"/>
        <v>435.20508941066811</v>
      </c>
      <c r="C308" s="17">
        <f t="shared" si="77"/>
        <v>502.84270232326298</v>
      </c>
      <c r="D308" s="17">
        <f t="shared" si="78"/>
        <v>425.09044907560286</v>
      </c>
      <c r="G308" s="1">
        <v>299</v>
      </c>
      <c r="H308" s="17">
        <v>49.852777733247883</v>
      </c>
      <c r="I308" s="17">
        <v>53.96030621855973</v>
      </c>
      <c r="J308" s="17">
        <v>51.442779437687577</v>
      </c>
      <c r="M308" s="17">
        <v>395.14800056291409</v>
      </c>
      <c r="N308" s="17">
        <v>8.0747936634198627</v>
      </c>
      <c r="O308" s="17">
        <v>8.4522031726752598</v>
      </c>
      <c r="P308" s="17">
        <v>7.6475447774451171</v>
      </c>
      <c r="S308" s="5">
        <f t="shared" si="79"/>
        <v>428.03307451596811</v>
      </c>
      <c r="T308" s="17"/>
      <c r="U308" s="5">
        <f t="shared" si="80"/>
        <v>425.83063078121512</v>
      </c>
      <c r="W308" s="5">
        <f t="shared" si="81"/>
        <v>423.74158818831188</v>
      </c>
      <c r="Y308">
        <f t="shared" si="88"/>
        <v>299</v>
      </c>
      <c r="Z308" s="3">
        <f t="shared" si="89"/>
        <v>1254.9333615226601</v>
      </c>
      <c r="AA308" s="3">
        <f t="shared" si="90"/>
        <v>1313.4657176311748</v>
      </c>
      <c r="AB308" s="3">
        <f t="shared" si="91"/>
        <v>1313.8443029648101</v>
      </c>
      <c r="AC308" s="3">
        <f t="shared" si="92"/>
        <v>1305.2573521467821</v>
      </c>
      <c r="BC308" s="17">
        <f t="shared" si="93"/>
        <v>435.20508941066811</v>
      </c>
      <c r="BD308" s="3">
        <f t="shared" si="94"/>
        <v>1254.9333615226601</v>
      </c>
      <c r="BF308" s="5">
        <f t="shared" si="82"/>
        <v>428.03307451596811</v>
      </c>
      <c r="BG308">
        <f t="shared" si="83"/>
        <v>1313.4657176311748</v>
      </c>
      <c r="BI308" s="5">
        <f t="shared" si="84"/>
        <v>425.83063078121512</v>
      </c>
      <c r="BJ308">
        <f t="shared" si="85"/>
        <v>1313.8443029648101</v>
      </c>
      <c r="BL308" s="5">
        <f t="shared" si="86"/>
        <v>423.74158818831188</v>
      </c>
      <c r="BM308">
        <f t="shared" si="87"/>
        <v>1305.2573521467821</v>
      </c>
    </row>
    <row r="309" spans="1:65" x14ac:dyDescent="0.25">
      <c r="A309">
        <v>300</v>
      </c>
      <c r="B309" s="17">
        <f t="shared" si="76"/>
        <v>436.45568779520164</v>
      </c>
      <c r="C309" s="17">
        <f t="shared" si="77"/>
        <v>504.25769884459305</v>
      </c>
      <c r="D309" s="17">
        <f t="shared" si="78"/>
        <v>426.21815008396482</v>
      </c>
      <c r="G309" s="1">
        <v>300</v>
      </c>
      <c r="H309" s="17">
        <v>49.860646144716888</v>
      </c>
      <c r="I309" s="17">
        <v>53.966823825247907</v>
      </c>
      <c r="J309" s="17">
        <v>51.452316301670059</v>
      </c>
      <c r="M309" s="17">
        <v>396.30073261798441</v>
      </c>
      <c r="N309" s="17">
        <v>8.0854564982914923</v>
      </c>
      <c r="O309" s="17">
        <v>8.4651769805771604</v>
      </c>
      <c r="P309" s="17">
        <v>7.6492097068530978</v>
      </c>
      <c r="S309" s="5">
        <f t="shared" si="79"/>
        <v>429.3418407693099</v>
      </c>
      <c r="T309" s="17"/>
      <c r="U309" s="5">
        <f t="shared" si="80"/>
        <v>427.14094274301817</v>
      </c>
      <c r="W309" s="5">
        <f t="shared" si="81"/>
        <v>425.04452376022141</v>
      </c>
      <c r="Y309">
        <f t="shared" si="88"/>
        <v>300</v>
      </c>
      <c r="Z309" s="3">
        <f t="shared" si="89"/>
        <v>1250.5983845335322</v>
      </c>
      <c r="AA309" s="3">
        <f t="shared" si="90"/>
        <v>1308.766253341787</v>
      </c>
      <c r="AB309" s="3">
        <f t="shared" si="91"/>
        <v>1310.3119618030519</v>
      </c>
      <c r="AC309" s="3">
        <f t="shared" si="92"/>
        <v>1302.9355719095292</v>
      </c>
      <c r="BC309" s="17">
        <f t="shared" si="93"/>
        <v>436.45568779520164</v>
      </c>
      <c r="BD309" s="3">
        <f t="shared" si="94"/>
        <v>1250.5983845335322</v>
      </c>
      <c r="BF309" s="5">
        <f t="shared" si="82"/>
        <v>429.3418407693099</v>
      </c>
      <c r="BG309">
        <f t="shared" si="83"/>
        <v>1308.766253341787</v>
      </c>
      <c r="BI309" s="5">
        <f t="shared" si="84"/>
        <v>427.14094274301817</v>
      </c>
      <c r="BJ309">
        <f t="shared" si="85"/>
        <v>1310.3119618030519</v>
      </c>
      <c r="BL309" s="5">
        <f t="shared" si="86"/>
        <v>425.04452376022141</v>
      </c>
      <c r="BM309">
        <f t="shared" si="87"/>
        <v>1302.9355719095292</v>
      </c>
    </row>
    <row r="310" spans="1:65" x14ac:dyDescent="0.25">
      <c r="A310">
        <v>301</v>
      </c>
      <c r="B310" s="17">
        <f t="shared" si="76"/>
        <v>437.70195132684483</v>
      </c>
      <c r="C310" s="17">
        <f t="shared" si="77"/>
        <v>505.66803342534786</v>
      </c>
      <c r="D310" s="17">
        <f t="shared" si="78"/>
        <v>427.34101974425766</v>
      </c>
      <c r="G310" s="1">
        <v>301</v>
      </c>
      <c r="H310" s="17">
        <v>49.868510180851892</v>
      </c>
      <c r="I310" s="17">
        <v>53.973369475916819</v>
      </c>
      <c r="J310" s="17">
        <v>51.461848091720498</v>
      </c>
      <c r="M310" s="17">
        <v>397.45346467305473</v>
      </c>
      <c r="N310" s="17">
        <v>8.0962343346670025</v>
      </c>
      <c r="O310" s="17">
        <v>8.4783248778278875</v>
      </c>
      <c r="P310" s="17">
        <v>7.6509400757578918</v>
      </c>
      <c r="S310" s="5">
        <f t="shared" si="79"/>
        <v>430.64585932224736</v>
      </c>
      <c r="T310" s="17"/>
      <c r="U310" s="5">
        <f t="shared" si="80"/>
        <v>428.44768824395055</v>
      </c>
      <c r="W310" s="5">
        <f t="shared" si="81"/>
        <v>426.34512139782527</v>
      </c>
      <c r="Y310">
        <f t="shared" si="88"/>
        <v>301</v>
      </c>
      <c r="Z310" s="3">
        <f t="shared" si="89"/>
        <v>1246.2635316431943</v>
      </c>
      <c r="AA310" s="3">
        <f t="shared" si="90"/>
        <v>1304.0185529374639</v>
      </c>
      <c r="AB310" s="3">
        <f t="shared" si="91"/>
        <v>1306.7455009323794</v>
      </c>
      <c r="AC310" s="3">
        <f t="shared" si="92"/>
        <v>1300.5976376038575</v>
      </c>
      <c r="BC310" s="17">
        <f t="shared" si="93"/>
        <v>437.70195132684483</v>
      </c>
      <c r="BD310" s="3">
        <f t="shared" si="94"/>
        <v>1246.2635316431943</v>
      </c>
      <c r="BF310" s="5">
        <f t="shared" si="82"/>
        <v>430.64585932224736</v>
      </c>
      <c r="BG310">
        <f t="shared" si="83"/>
        <v>1304.0185529374639</v>
      </c>
      <c r="BI310" s="5">
        <f t="shared" si="84"/>
        <v>428.44768824395055</v>
      </c>
      <c r="BJ310">
        <f t="shared" si="85"/>
        <v>1306.7455009323794</v>
      </c>
      <c r="BL310" s="5">
        <f t="shared" si="86"/>
        <v>426.34512139782527</v>
      </c>
      <c r="BM310">
        <f t="shared" si="87"/>
        <v>1300.5976376038575</v>
      </c>
    </row>
    <row r="311" spans="1:65" x14ac:dyDescent="0.25">
      <c r="A311">
        <v>302</v>
      </c>
      <c r="B311" s="17">
        <f t="shared" si="76"/>
        <v>438.94388066404417</v>
      </c>
      <c r="C311" s="17">
        <f t="shared" si="77"/>
        <v>507.07371393714163</v>
      </c>
      <c r="D311" s="17">
        <f t="shared" si="78"/>
        <v>428.45906383267493</v>
      </c>
      <c r="G311" s="1">
        <v>302</v>
      </c>
      <c r="H311" s="17">
        <v>49.876373713050299</v>
      </c>
      <c r="I311" s="17">
        <v>53.979951544646482</v>
      </c>
      <c r="J311" s="17">
        <v>51.471378582208807</v>
      </c>
      <c r="M311" s="17">
        <v>398.60619672812498</v>
      </c>
      <c r="N311" s="17">
        <v>8.107125430099364</v>
      </c>
      <c r="O311" s="17">
        <v>8.4916442267100312</v>
      </c>
      <c r="P311" s="17">
        <v>7.6527412110214321</v>
      </c>
      <c r="S311" s="5">
        <f t="shared" si="79"/>
        <v>431.94508193866568</v>
      </c>
      <c r="T311" s="17"/>
      <c r="U311" s="5">
        <f t="shared" si="80"/>
        <v>429.75083316430255</v>
      </c>
      <c r="W311" s="5">
        <f t="shared" si="81"/>
        <v>427.64336494705458</v>
      </c>
      <c r="Y311">
        <f t="shared" si="88"/>
        <v>302</v>
      </c>
      <c r="Z311" s="3">
        <f t="shared" si="89"/>
        <v>1241.9293371993376</v>
      </c>
      <c r="AA311" s="3">
        <f t="shared" si="90"/>
        <v>1299.2226164183194</v>
      </c>
      <c r="AB311" s="3">
        <f t="shared" si="91"/>
        <v>1303.1449203519969</v>
      </c>
      <c r="AC311" s="3">
        <f t="shared" si="92"/>
        <v>1298.2435492293121</v>
      </c>
      <c r="BC311" s="17">
        <f t="shared" si="93"/>
        <v>438.94388066404417</v>
      </c>
      <c r="BD311" s="3">
        <f t="shared" si="94"/>
        <v>1241.9293371993376</v>
      </c>
      <c r="BF311" s="5">
        <f t="shared" si="82"/>
        <v>431.94508193866568</v>
      </c>
      <c r="BG311">
        <f t="shared" si="83"/>
        <v>1299.2226164183194</v>
      </c>
      <c r="BI311" s="5">
        <f t="shared" si="84"/>
        <v>429.75083316430255</v>
      </c>
      <c r="BJ311">
        <f t="shared" si="85"/>
        <v>1303.1449203519969</v>
      </c>
      <c r="BL311" s="5">
        <f t="shared" si="86"/>
        <v>427.64336494705458</v>
      </c>
      <c r="BM311">
        <f t="shared" si="87"/>
        <v>1298.2435492293121</v>
      </c>
    </row>
    <row r="312" spans="1:65" x14ac:dyDescent="0.25">
      <c r="A312">
        <v>303</v>
      </c>
      <c r="B312" s="17">
        <f t="shared" si="76"/>
        <v>440.18147699959258</v>
      </c>
      <c r="C312" s="17">
        <f t="shared" si="77"/>
        <v>508.4747488725252</v>
      </c>
      <c r="D312" s="17">
        <f t="shared" si="78"/>
        <v>429.57228871043162</v>
      </c>
      <c r="G312" s="1">
        <v>303</v>
      </c>
      <c r="H312" s="17">
        <v>49.884240612709519</v>
      </c>
      <c r="I312" s="17">
        <v>53.98657840551688</v>
      </c>
      <c r="J312" s="17">
        <v>51.480911547504903</v>
      </c>
      <c r="M312" s="17">
        <v>399.75892878319542</v>
      </c>
      <c r="N312" s="17">
        <v>8.1181280421415529</v>
      </c>
      <c r="O312" s="17">
        <v>8.5051323895061905</v>
      </c>
      <c r="P312" s="17">
        <v>7.6546184395056533</v>
      </c>
      <c r="S312" s="5">
        <f t="shared" si="79"/>
        <v>433.23946038244992</v>
      </c>
      <c r="T312" s="17"/>
      <c r="U312" s="5">
        <f t="shared" si="80"/>
        <v>431.05034338436519</v>
      </c>
      <c r="W312" s="5">
        <f t="shared" si="81"/>
        <v>428.9392382538407</v>
      </c>
      <c r="Y312">
        <f t="shared" si="88"/>
        <v>303</v>
      </c>
      <c r="Z312" s="3">
        <f t="shared" si="89"/>
        <v>1237.5963355484032</v>
      </c>
      <c r="AA312" s="3">
        <f t="shared" si="90"/>
        <v>1294.3784437842396</v>
      </c>
      <c r="AB312" s="3">
        <f t="shared" si="91"/>
        <v>1299.5102200626434</v>
      </c>
      <c r="AC312" s="3">
        <f t="shared" si="92"/>
        <v>1295.8733067861203</v>
      </c>
      <c r="BC312" s="17">
        <f t="shared" si="93"/>
        <v>440.18147699959258</v>
      </c>
      <c r="BD312" s="3">
        <f t="shared" si="94"/>
        <v>1237.5963355484032</v>
      </c>
      <c r="BF312" s="5">
        <f t="shared" si="82"/>
        <v>433.23946038244992</v>
      </c>
      <c r="BG312">
        <f t="shared" si="83"/>
        <v>1294.3784437842396</v>
      </c>
      <c r="BI312" s="5">
        <f t="shared" si="84"/>
        <v>431.05034338436519</v>
      </c>
      <c r="BJ312">
        <f t="shared" si="85"/>
        <v>1299.5102200626434</v>
      </c>
      <c r="BL312" s="5">
        <f t="shared" si="86"/>
        <v>428.9392382538407</v>
      </c>
      <c r="BM312">
        <f t="shared" si="87"/>
        <v>1295.8733067861203</v>
      </c>
    </row>
    <row r="313" spans="1:65" x14ac:dyDescent="0.25">
      <c r="A313">
        <v>304</v>
      </c>
      <c r="B313" s="17">
        <f t="shared" si="76"/>
        <v>441.41474206063174</v>
      </c>
      <c r="C313" s="17">
        <f t="shared" si="77"/>
        <v>509.87114734498545</v>
      </c>
      <c r="D313" s="17">
        <f t="shared" si="78"/>
        <v>430.68070132376323</v>
      </c>
      <c r="G313" s="1">
        <v>304</v>
      </c>
      <c r="H313" s="17">
        <v>49.892114751226948</v>
      </c>
      <c r="I313" s="17">
        <v>53.993258432608052</v>
      </c>
      <c r="J313" s="17">
        <v>51.490450761978657</v>
      </c>
      <c r="M313" s="17">
        <v>400.91166083826568</v>
      </c>
      <c r="N313" s="17">
        <v>8.1292404283465345</v>
      </c>
      <c r="O313" s="17">
        <v>8.518786728498954</v>
      </c>
      <c r="P313" s="17">
        <v>7.6565770880724866</v>
      </c>
      <c r="S313" s="5">
        <f t="shared" si="79"/>
        <v>434.52894641748549</v>
      </c>
      <c r="T313" s="17"/>
      <c r="U313" s="5">
        <f t="shared" si="80"/>
        <v>432.34618478442906</v>
      </c>
      <c r="W313" s="5">
        <f t="shared" si="81"/>
        <v>430.23272516411492</v>
      </c>
      <c r="Y313">
        <f t="shared" si="88"/>
        <v>304</v>
      </c>
      <c r="Z313" s="3">
        <f t="shared" si="89"/>
        <v>1233.2650610391624</v>
      </c>
      <c r="AA313" s="3">
        <f t="shared" si="90"/>
        <v>1289.4860350355657</v>
      </c>
      <c r="AB313" s="3">
        <f t="shared" si="91"/>
        <v>1295.8414000638641</v>
      </c>
      <c r="AC313" s="3">
        <f t="shared" si="92"/>
        <v>1293.4869102742255</v>
      </c>
      <c r="BC313" s="17">
        <f t="shared" si="93"/>
        <v>441.41474206063174</v>
      </c>
      <c r="BD313" s="3">
        <f t="shared" si="94"/>
        <v>1233.2650610391624</v>
      </c>
      <c r="BF313" s="5">
        <f t="shared" si="82"/>
        <v>434.52894641748549</v>
      </c>
      <c r="BG313">
        <f t="shared" si="83"/>
        <v>1289.4860350355657</v>
      </c>
      <c r="BI313" s="5">
        <f t="shared" si="84"/>
        <v>432.34618478442906</v>
      </c>
      <c r="BJ313">
        <f t="shared" si="85"/>
        <v>1295.8414000638641</v>
      </c>
      <c r="BL313" s="5">
        <f t="shared" si="86"/>
        <v>430.23272516411492</v>
      </c>
      <c r="BM313">
        <f t="shared" si="87"/>
        <v>1293.4869102742255</v>
      </c>
    </row>
    <row r="314" spans="1:65" x14ac:dyDescent="0.25">
      <c r="A314">
        <v>305</v>
      </c>
      <c r="B314" s="17">
        <f t="shared" si="76"/>
        <v>442.64367810864962</v>
      </c>
      <c r="C314" s="17">
        <f t="shared" si="77"/>
        <v>511.2629190889466</v>
      </c>
      <c r="D314" s="17">
        <f t="shared" si="78"/>
        <v>431.78430920392543</v>
      </c>
      <c r="G314" s="1">
        <v>305</v>
      </c>
      <c r="H314" s="17">
        <v>49.899999999999991</v>
      </c>
      <c r="I314" s="17">
        <v>53.999999999999993</v>
      </c>
      <c r="J314" s="17">
        <v>51.499999999999993</v>
      </c>
      <c r="M314" s="17">
        <v>402.06439289333599</v>
      </c>
      <c r="N314" s="17">
        <v>8.1404608462672847</v>
      </c>
      <c r="O314" s="17">
        <v>8.5326046059709189</v>
      </c>
      <c r="P314" s="17">
        <v>7.6586224835838674</v>
      </c>
      <c r="S314" s="5">
        <f t="shared" si="79"/>
        <v>435.81349180765721</v>
      </c>
      <c r="T314" s="17"/>
      <c r="U314" s="5">
        <f t="shared" si="80"/>
        <v>433.63832324478483</v>
      </c>
      <c r="W314" s="5">
        <f t="shared" si="81"/>
        <v>431.52380952380855</v>
      </c>
      <c r="Y314">
        <f t="shared" si="88"/>
        <v>305</v>
      </c>
      <c r="Z314" s="3">
        <f t="shared" si="89"/>
        <v>1228.9360480178857</v>
      </c>
      <c r="AA314" s="3">
        <f t="shared" si="90"/>
        <v>1284.5453901717292</v>
      </c>
      <c r="AB314" s="3">
        <f t="shared" si="91"/>
        <v>1292.1384603557726</v>
      </c>
      <c r="AC314" s="3">
        <f t="shared" si="92"/>
        <v>1291.0843596936274</v>
      </c>
      <c r="BC314" s="17">
        <f t="shared" si="93"/>
        <v>442.64367810864962</v>
      </c>
      <c r="BD314" s="3">
        <f t="shared" si="94"/>
        <v>1228.9360480178857</v>
      </c>
      <c r="BF314" s="5">
        <f t="shared" si="82"/>
        <v>435.81349180765721</v>
      </c>
      <c r="BG314">
        <f t="shared" si="83"/>
        <v>1284.5453901717292</v>
      </c>
      <c r="BI314" s="5">
        <f t="shared" si="84"/>
        <v>433.63832324478483</v>
      </c>
      <c r="BJ314">
        <f t="shared" si="85"/>
        <v>1292.1384603557726</v>
      </c>
      <c r="BL314" s="5">
        <f t="shared" si="86"/>
        <v>431.52380952380855</v>
      </c>
      <c r="BM314">
        <f t="shared" si="87"/>
        <v>1291.0843596936274</v>
      </c>
    </row>
    <row r="315" spans="1:65" x14ac:dyDescent="0.25">
      <c r="A315">
        <v>306</v>
      </c>
      <c r="B315" s="17">
        <f t="shared" si="76"/>
        <v>443.86828793948217</v>
      </c>
      <c r="C315" s="17">
        <f t="shared" si="77"/>
        <v>512.6500744597688</v>
      </c>
      <c r="D315" s="17">
        <f t="shared" si="78"/>
        <v>432.88312046719483</v>
      </c>
      <c r="G315" s="1">
        <v>306</v>
      </c>
      <c r="H315" s="17">
        <v>49.907899544259692</v>
      </c>
      <c r="I315" s="17">
        <v>54.006809895069821</v>
      </c>
      <c r="J315" s="17">
        <v>51.509562369177928</v>
      </c>
      <c r="M315" s="17">
        <v>403.21712494840631</v>
      </c>
      <c r="N315" s="17">
        <v>8.1517875534567743</v>
      </c>
      <c r="O315" s="17">
        <v>8.5465833842046752</v>
      </c>
      <c r="P315" s="17">
        <v>7.660759952901727</v>
      </c>
      <c r="S315" s="5">
        <f t="shared" si="79"/>
        <v>437.09304831685063</v>
      </c>
      <c r="T315" s="17"/>
      <c r="U315" s="5">
        <f t="shared" si="80"/>
        <v>434.92672464572314</v>
      </c>
      <c r="W315" s="5">
        <f t="shared" si="81"/>
        <v>432.81247517885288</v>
      </c>
      <c r="Y315">
        <f t="shared" si="88"/>
        <v>306</v>
      </c>
      <c r="Z315" s="3">
        <f t="shared" si="89"/>
        <v>1224.6098308325486</v>
      </c>
      <c r="AA315" s="3">
        <f t="shared" si="90"/>
        <v>1279.5565091934122</v>
      </c>
      <c r="AB315" s="3">
        <f t="shared" si="91"/>
        <v>1288.4014009383122</v>
      </c>
      <c r="AC315" s="3">
        <f t="shared" si="92"/>
        <v>1288.6656550443263</v>
      </c>
      <c r="BC315" s="17">
        <f t="shared" si="93"/>
        <v>443.86828793948217</v>
      </c>
      <c r="BD315" s="3">
        <f t="shared" si="94"/>
        <v>1224.6098308325486</v>
      </c>
      <c r="BF315" s="5">
        <f t="shared" si="82"/>
        <v>437.09304831685063</v>
      </c>
      <c r="BG315">
        <f t="shared" si="83"/>
        <v>1279.5565091934122</v>
      </c>
      <c r="BI315" s="5">
        <f t="shared" si="84"/>
        <v>434.92672464572314</v>
      </c>
      <c r="BJ315">
        <f t="shared" si="85"/>
        <v>1288.4014009383122</v>
      </c>
      <c r="BL315" s="5">
        <f t="shared" si="86"/>
        <v>432.81247517885288</v>
      </c>
      <c r="BM315">
        <f t="shared" si="87"/>
        <v>1288.6656550443263</v>
      </c>
    </row>
    <row r="316" spans="1:65" x14ac:dyDescent="0.25">
      <c r="A316">
        <v>307</v>
      </c>
      <c r="B316" s="17">
        <f t="shared" si="76"/>
        <v>445.08857488331256</v>
      </c>
      <c r="C316" s="17">
        <f t="shared" si="77"/>
        <v>514.03262443374956</v>
      </c>
      <c r="D316" s="17">
        <f t="shared" si="78"/>
        <v>433.97714381486878</v>
      </c>
      <c r="G316" s="1">
        <v>307</v>
      </c>
      <c r="H316" s="17">
        <v>49.915813824571543</v>
      </c>
      <c r="I316" s="17">
        <v>54.013688558383024</v>
      </c>
      <c r="J316" s="17">
        <v>51.51913831007797</v>
      </c>
      <c r="M316" s="17">
        <v>404.36985700347662</v>
      </c>
      <c r="N316" s="17">
        <v>8.1632188074679739</v>
      </c>
      <c r="O316" s="17">
        <v>8.5607204254828186</v>
      </c>
      <c r="P316" s="17">
        <v>7.6629948228880007</v>
      </c>
      <c r="S316" s="5">
        <f t="shared" si="79"/>
        <v>438.36756770895067</v>
      </c>
      <c r="T316" s="17"/>
      <c r="U316" s="5">
        <f t="shared" si="80"/>
        <v>436.21135486753496</v>
      </c>
      <c r="W316" s="5">
        <f t="shared" si="81"/>
        <v>434.0987059751792</v>
      </c>
      <c r="Y316">
        <f t="shared" si="88"/>
        <v>307</v>
      </c>
      <c r="Z316" s="3">
        <f t="shared" si="89"/>
        <v>1220.2869438303878</v>
      </c>
      <c r="AA316" s="3">
        <f t="shared" si="90"/>
        <v>1274.5193921000464</v>
      </c>
      <c r="AB316" s="3">
        <f t="shared" si="91"/>
        <v>1284.630221811824</v>
      </c>
      <c r="AC316" s="3">
        <f t="shared" si="92"/>
        <v>1286.230796326322</v>
      </c>
      <c r="BC316" s="17">
        <f t="shared" si="93"/>
        <v>445.08857488331256</v>
      </c>
      <c r="BD316" s="3">
        <f t="shared" si="94"/>
        <v>1220.2869438303878</v>
      </c>
      <c r="BF316" s="5">
        <f t="shared" si="82"/>
        <v>438.36756770895067</v>
      </c>
      <c r="BG316">
        <f t="shared" si="83"/>
        <v>1274.5193921000464</v>
      </c>
      <c r="BI316" s="5">
        <f t="shared" si="84"/>
        <v>436.21135486753496</v>
      </c>
      <c r="BJ316">
        <f t="shared" si="85"/>
        <v>1284.630221811824</v>
      </c>
      <c r="BL316" s="5">
        <f t="shared" si="86"/>
        <v>434.0987059751792</v>
      </c>
      <c r="BM316">
        <f t="shared" si="87"/>
        <v>1286.230796326322</v>
      </c>
    </row>
    <row r="317" spans="1:65" x14ac:dyDescent="0.25">
      <c r="A317">
        <v>308</v>
      </c>
      <c r="B317" s="17">
        <f t="shared" si="76"/>
        <v>446.30454280467154</v>
      </c>
      <c r="C317" s="17">
        <f t="shared" si="77"/>
        <v>515.41058060812247</v>
      </c>
      <c r="D317" s="17">
        <f t="shared" si="78"/>
        <v>435.06638853326479</v>
      </c>
      <c r="G317" s="1">
        <v>308</v>
      </c>
      <c r="H317" s="17">
        <v>49.923742595334673</v>
      </c>
      <c r="I317" s="17">
        <v>54.020634843802227</v>
      </c>
      <c r="J317" s="17">
        <v>51.528727596504737</v>
      </c>
      <c r="M317" s="17">
        <v>405.52258905854688</v>
      </c>
      <c r="N317" s="17">
        <v>8.1747528658538542</v>
      </c>
      <c r="O317" s="17">
        <v>8.5750130920879446</v>
      </c>
      <c r="P317" s="17">
        <v>7.6653324204046207</v>
      </c>
      <c r="S317" s="5">
        <f t="shared" si="79"/>
        <v>439.63700174784242</v>
      </c>
      <c r="T317" s="17"/>
      <c r="U317" s="5">
        <f t="shared" si="80"/>
        <v>437.49217979051065</v>
      </c>
      <c r="W317" s="5">
        <f t="shared" si="81"/>
        <v>435.38248575871887</v>
      </c>
      <c r="Y317">
        <f t="shared" si="88"/>
        <v>308</v>
      </c>
      <c r="Z317" s="3">
        <f t="shared" si="89"/>
        <v>1215.9679213589811</v>
      </c>
      <c r="AA317" s="3">
        <f t="shared" si="90"/>
        <v>1269.4340388917453</v>
      </c>
      <c r="AB317" s="3">
        <f t="shared" si="91"/>
        <v>1280.8249229756825</v>
      </c>
      <c r="AC317" s="3">
        <f t="shared" si="92"/>
        <v>1283.7797835396714</v>
      </c>
      <c r="BC317" s="17">
        <f t="shared" si="93"/>
        <v>446.30454280467154</v>
      </c>
      <c r="BD317" s="3">
        <f t="shared" si="94"/>
        <v>1215.9679213589811</v>
      </c>
      <c r="BF317" s="5">
        <f t="shared" si="82"/>
        <v>439.63700174784242</v>
      </c>
      <c r="BG317">
        <f t="shared" si="83"/>
        <v>1269.4340388917453</v>
      </c>
      <c r="BI317" s="5">
        <f t="shared" si="84"/>
        <v>437.49217979051065</v>
      </c>
      <c r="BJ317">
        <f t="shared" si="85"/>
        <v>1280.8249229756825</v>
      </c>
      <c r="BL317" s="5">
        <f t="shared" si="86"/>
        <v>435.38248575871887</v>
      </c>
      <c r="BM317">
        <f t="shared" si="87"/>
        <v>1283.7797835396714</v>
      </c>
    </row>
    <row r="318" spans="1:65" x14ac:dyDescent="0.25">
      <c r="A318">
        <v>309</v>
      </c>
      <c r="B318" s="17">
        <f t="shared" si="76"/>
        <v>447.51619610243716</v>
      </c>
      <c r="C318" s="17">
        <f t="shared" si="77"/>
        <v>516.78395520105767</v>
      </c>
      <c r="D318" s="17">
        <f t="shared" si="78"/>
        <v>436.15086449372149</v>
      </c>
      <c r="G318" s="1">
        <v>309</v>
      </c>
      <c r="H318" s="17">
        <v>49.931685610948222</v>
      </c>
      <c r="I318" s="17">
        <v>54.02764760519004</v>
      </c>
      <c r="J318" s="17">
        <v>51.538330002262903</v>
      </c>
      <c r="M318" s="17">
        <v>406.6753211136172</v>
      </c>
      <c r="N318" s="17">
        <v>8.1863879861673876</v>
      </c>
      <c r="O318" s="17">
        <v>8.5894587463026415</v>
      </c>
      <c r="P318" s="17">
        <v>7.6677780723135207</v>
      </c>
      <c r="S318" s="5">
        <f t="shared" si="79"/>
        <v>440.90130219741138</v>
      </c>
      <c r="T318" s="17"/>
      <c r="U318" s="5">
        <f t="shared" si="80"/>
        <v>438.76916529494127</v>
      </c>
      <c r="W318" s="5">
        <f t="shared" si="81"/>
        <v>436.66379837540313</v>
      </c>
      <c r="Y318">
        <f t="shared" si="88"/>
        <v>309</v>
      </c>
      <c r="Z318" s="3">
        <f t="shared" si="89"/>
        <v>1211.653297765622</v>
      </c>
      <c r="AA318" s="3">
        <f t="shared" si="90"/>
        <v>1264.3004495689638</v>
      </c>
      <c r="AB318" s="3">
        <f t="shared" si="91"/>
        <v>1276.9855044306269</v>
      </c>
      <c r="AC318" s="3">
        <f t="shared" si="92"/>
        <v>1281.3126166842608</v>
      </c>
      <c r="BC318" s="17">
        <f t="shared" ref="BC318:BC373" si="95">B318</f>
        <v>447.51619610243716</v>
      </c>
      <c r="BD318" s="3">
        <f t="shared" ref="BD318:BD373" si="96">Z318</f>
        <v>1211.653297765622</v>
      </c>
      <c r="BF318" s="5">
        <f t="shared" si="82"/>
        <v>440.90130219741138</v>
      </c>
      <c r="BG318">
        <f t="shared" si="83"/>
        <v>1264.3004495689638</v>
      </c>
      <c r="BI318" s="5">
        <f t="shared" si="84"/>
        <v>438.76916529494127</v>
      </c>
      <c r="BJ318">
        <f t="shared" si="85"/>
        <v>1276.9855044306269</v>
      </c>
      <c r="BL318" s="5">
        <f t="shared" si="86"/>
        <v>436.66379837540313</v>
      </c>
      <c r="BM318">
        <f t="shared" si="87"/>
        <v>1281.3126166842608</v>
      </c>
    </row>
    <row r="319" spans="1:65" x14ac:dyDescent="0.25">
      <c r="A319">
        <v>310</v>
      </c>
      <c r="B319" s="17">
        <f t="shared" si="76"/>
        <v>448.72353970983477</v>
      </c>
      <c r="C319" s="17">
        <f t="shared" si="77"/>
        <v>518.15276105166208</v>
      </c>
      <c r="D319" s="17">
        <f t="shared" si="78"/>
        <v>437.23058215259772</v>
      </c>
      <c r="G319" s="1">
        <v>310</v>
      </c>
      <c r="H319" s="17">
        <v>49.93964262581131</v>
      </c>
      <c r="I319" s="17">
        <v>54.034725696409069</v>
      </c>
      <c r="J319" s="17">
        <v>51.547945301157043</v>
      </c>
      <c r="M319" s="17">
        <v>407.82805316868752</v>
      </c>
      <c r="N319" s="17">
        <v>8.1981224259615466</v>
      </c>
      <c r="O319" s="17">
        <v>8.6040547504095084</v>
      </c>
      <c r="P319" s="17">
        <v>7.6703371028081717</v>
      </c>
      <c r="S319" s="5">
        <f t="shared" si="79"/>
        <v>442.16042082154252</v>
      </c>
      <c r="T319" s="17"/>
      <c r="U319" s="5">
        <f t="shared" si="80"/>
        <v>440.04227726111731</v>
      </c>
      <c r="W319" s="5">
        <f t="shared" si="81"/>
        <v>437.94262767116339</v>
      </c>
      <c r="Y319">
        <f t="shared" si="88"/>
        <v>310</v>
      </c>
      <c r="Z319" s="3">
        <f t="shared" si="89"/>
        <v>1207.343607397604</v>
      </c>
      <c r="AA319" s="3">
        <f t="shared" si="90"/>
        <v>1259.1186241311334</v>
      </c>
      <c r="AB319" s="3">
        <f t="shared" si="91"/>
        <v>1273.1119661760317</v>
      </c>
      <c r="AC319" s="3">
        <f t="shared" si="92"/>
        <v>1278.8292957602607</v>
      </c>
      <c r="BC319" s="17">
        <f t="shared" si="95"/>
        <v>448.72353970983477</v>
      </c>
      <c r="BD319" s="3">
        <f t="shared" si="96"/>
        <v>1207.343607397604</v>
      </c>
      <c r="BF319" s="5">
        <f t="shared" si="82"/>
        <v>442.16042082154252</v>
      </c>
      <c r="BG319">
        <f t="shared" si="83"/>
        <v>1259.1186241311334</v>
      </c>
      <c r="BI319" s="5">
        <f t="shared" si="84"/>
        <v>440.04227726111731</v>
      </c>
      <c r="BJ319">
        <f t="shared" si="85"/>
        <v>1273.1119661760317</v>
      </c>
      <c r="BL319" s="5">
        <f t="shared" si="86"/>
        <v>437.94262767116339</v>
      </c>
      <c r="BM319">
        <f t="shared" si="87"/>
        <v>1278.8292957602607</v>
      </c>
    </row>
    <row r="320" spans="1:65" x14ac:dyDescent="0.25">
      <c r="A320">
        <v>311</v>
      </c>
      <c r="B320" s="17">
        <f t="shared" si="76"/>
        <v>449.92657909443767</v>
      </c>
      <c r="C320" s="17">
        <f t="shared" si="77"/>
        <v>519.51701161997948</v>
      </c>
      <c r="D320" s="17">
        <f t="shared" si="78"/>
        <v>438.30555255127319</v>
      </c>
      <c r="G320" s="1">
        <v>311</v>
      </c>
      <c r="H320" s="17">
        <v>49.947613394323092</v>
      </c>
      <c r="I320" s="17">
        <v>54.041867971321942</v>
      </c>
      <c r="J320" s="17">
        <v>51.557573266991831</v>
      </c>
      <c r="M320" s="17">
        <v>408.98078522375778</v>
      </c>
      <c r="N320" s="17">
        <v>8.2099544427893019</v>
      </c>
      <c r="O320" s="17">
        <v>8.6187984666911355</v>
      </c>
      <c r="P320" s="17">
        <v>7.6730130640351284</v>
      </c>
      <c r="S320" s="5">
        <f t="shared" si="79"/>
        <v>443.41430938412094</v>
      </c>
      <c r="T320" s="17"/>
      <c r="U320" s="5">
        <f t="shared" si="80"/>
        <v>441.31148156932949</v>
      </c>
      <c r="W320" s="5">
        <f t="shared" si="81"/>
        <v>439.21895749193089</v>
      </c>
      <c r="Y320">
        <f t="shared" si="88"/>
        <v>311</v>
      </c>
      <c r="Z320" s="3">
        <f t="shared" si="89"/>
        <v>1203.0393846029028</v>
      </c>
      <c r="AA320" s="3">
        <f t="shared" si="90"/>
        <v>1253.8885625784246</v>
      </c>
      <c r="AB320" s="3">
        <f t="shared" si="91"/>
        <v>1269.2043082121813</v>
      </c>
      <c r="AC320" s="3">
        <f t="shared" si="92"/>
        <v>1276.3298207675007</v>
      </c>
      <c r="BC320" s="17">
        <f t="shared" si="95"/>
        <v>449.92657909443767</v>
      </c>
      <c r="BD320" s="3">
        <f t="shared" si="96"/>
        <v>1203.0393846029028</v>
      </c>
      <c r="BF320" s="5">
        <f t="shared" si="82"/>
        <v>443.41430938412094</v>
      </c>
      <c r="BG320">
        <f t="shared" si="83"/>
        <v>1253.8885625784246</v>
      </c>
      <c r="BI320" s="5">
        <f t="shared" si="84"/>
        <v>441.31148156932949</v>
      </c>
      <c r="BJ320">
        <f t="shared" si="85"/>
        <v>1269.2043082121813</v>
      </c>
      <c r="BL320" s="5">
        <f t="shared" si="86"/>
        <v>439.21895749193089</v>
      </c>
      <c r="BM320">
        <f t="shared" si="87"/>
        <v>1276.3298207675007</v>
      </c>
    </row>
    <row r="321" spans="1:65" x14ac:dyDescent="0.25">
      <c r="A321">
        <v>312</v>
      </c>
      <c r="B321" s="17">
        <f t="shared" si="76"/>
        <v>451.12532025816586</v>
      </c>
      <c r="C321" s="17">
        <f t="shared" si="77"/>
        <v>520.87672098699022</v>
      </c>
      <c r="D321" s="17">
        <f t="shared" si="78"/>
        <v>439.37578731614758</v>
      </c>
      <c r="G321" s="1">
        <v>312</v>
      </c>
      <c r="H321" s="17">
        <v>49.955597670882661</v>
      </c>
      <c r="I321" s="17">
        <v>54.04907328379123</v>
      </c>
      <c r="J321" s="17">
        <v>51.567213673571878</v>
      </c>
      <c r="M321" s="17">
        <v>410.13351727882821</v>
      </c>
      <c r="N321" s="17">
        <v>8.2218822942036258</v>
      </c>
      <c r="O321" s="17">
        <v>8.6336872574301164</v>
      </c>
      <c r="P321" s="17">
        <v>7.6758046710810834</v>
      </c>
      <c r="S321" s="5">
        <f t="shared" si="79"/>
        <v>444.66291964903195</v>
      </c>
      <c r="T321" s="17"/>
      <c r="U321" s="5">
        <f t="shared" si="80"/>
        <v>442.57674409986868</v>
      </c>
      <c r="W321" s="5">
        <f t="shared" si="81"/>
        <v>440.49277168363687</v>
      </c>
      <c r="Y321">
        <f t="shared" si="88"/>
        <v>312</v>
      </c>
      <c r="Z321" s="3">
        <f t="shared" si="89"/>
        <v>1198.7411637281866</v>
      </c>
      <c r="AA321" s="3">
        <f t="shared" si="90"/>
        <v>1248.610264911008</v>
      </c>
      <c r="AB321" s="3">
        <f t="shared" si="91"/>
        <v>1265.2625305391894</v>
      </c>
      <c r="AC321" s="3">
        <f t="shared" si="92"/>
        <v>1273.8141917059806</v>
      </c>
      <c r="BC321" s="17">
        <f t="shared" si="95"/>
        <v>451.12532025816586</v>
      </c>
      <c r="BD321" s="3">
        <f t="shared" si="96"/>
        <v>1198.7411637281866</v>
      </c>
      <c r="BF321" s="5">
        <f t="shared" si="82"/>
        <v>444.66291964903195</v>
      </c>
      <c r="BG321">
        <f t="shared" si="83"/>
        <v>1248.610264911008</v>
      </c>
      <c r="BI321" s="5">
        <f t="shared" si="84"/>
        <v>442.57674409986868</v>
      </c>
      <c r="BJ321">
        <f t="shared" si="85"/>
        <v>1265.2625305391894</v>
      </c>
      <c r="BL321" s="5">
        <f t="shared" si="86"/>
        <v>440.49277168363687</v>
      </c>
      <c r="BM321">
        <f t="shared" si="87"/>
        <v>1273.8141917059806</v>
      </c>
    </row>
    <row r="322" spans="1:65" x14ac:dyDescent="0.25">
      <c r="A322">
        <v>313</v>
      </c>
      <c r="B322" s="17">
        <f t="shared" si="76"/>
        <v>452.31976973728717</v>
      </c>
      <c r="C322" s="17">
        <f t="shared" si="77"/>
        <v>522.23190385461089</v>
      </c>
      <c r="D322" s="17">
        <f t="shared" si="78"/>
        <v>440.44129865864221</v>
      </c>
      <c r="G322" s="1">
        <v>313</v>
      </c>
      <c r="H322" s="17">
        <v>49.963595209889192</v>
      </c>
      <c r="I322" s="17">
        <v>54.056340487679577</v>
      </c>
      <c r="J322" s="17">
        <v>51.576866294701823</v>
      </c>
      <c r="M322" s="17">
        <v>411.28624933389852</v>
      </c>
      <c r="N322" s="17">
        <v>8.2339042377574874</v>
      </c>
      <c r="O322" s="17">
        <v>8.6487184849090468</v>
      </c>
      <c r="P322" s="17">
        <v>7.6787098212947811</v>
      </c>
      <c r="S322" s="5">
        <f t="shared" si="79"/>
        <v>445.90620338016043</v>
      </c>
      <c r="T322" s="17"/>
      <c r="U322" s="5">
        <f t="shared" si="80"/>
        <v>443.83803073302539</v>
      </c>
      <c r="W322" s="5">
        <f t="shared" si="81"/>
        <v>441.76405409221275</v>
      </c>
      <c r="Y322">
        <f t="shared" si="88"/>
        <v>313</v>
      </c>
      <c r="Z322" s="3">
        <f t="shared" si="89"/>
        <v>1194.4494791213174</v>
      </c>
      <c r="AA322" s="3">
        <f t="shared" si="90"/>
        <v>1243.2837311284857</v>
      </c>
      <c r="AB322" s="3">
        <f t="shared" si="91"/>
        <v>1261.2866331567147</v>
      </c>
      <c r="AC322" s="3">
        <f t="shared" si="92"/>
        <v>1271.2824085758712</v>
      </c>
      <c r="BC322" s="17">
        <f t="shared" si="95"/>
        <v>452.31976973728717</v>
      </c>
      <c r="BD322" s="3">
        <f t="shared" si="96"/>
        <v>1194.4494791213174</v>
      </c>
      <c r="BF322" s="5">
        <f t="shared" si="82"/>
        <v>445.90620338016043</v>
      </c>
      <c r="BG322">
        <f t="shared" si="83"/>
        <v>1243.2837311284857</v>
      </c>
      <c r="BI322" s="5">
        <f t="shared" si="84"/>
        <v>443.83803073302539</v>
      </c>
      <c r="BJ322">
        <f t="shared" si="85"/>
        <v>1261.2866331567147</v>
      </c>
      <c r="BL322" s="5">
        <f t="shared" si="86"/>
        <v>441.76405409221275</v>
      </c>
      <c r="BM322">
        <f t="shared" si="87"/>
        <v>1271.2824085758712</v>
      </c>
    </row>
    <row r="323" spans="1:65" x14ac:dyDescent="0.25">
      <c r="A323">
        <v>314</v>
      </c>
      <c r="B323" s="17">
        <f t="shared" si="76"/>
        <v>453.50993460241676</v>
      </c>
      <c r="C323" s="17">
        <f t="shared" si="77"/>
        <v>523.58257554569491</v>
      </c>
      <c r="D323" s="17">
        <f t="shared" si="78"/>
        <v>441.50209937519855</v>
      </c>
      <c r="G323" s="1">
        <v>314</v>
      </c>
      <c r="H323" s="17">
        <v>49.971605765741771</v>
      </c>
      <c r="I323" s="17">
        <v>54.063668436849589</v>
      </c>
      <c r="J323" s="17">
        <v>51.586530904186297</v>
      </c>
      <c r="M323" s="17">
        <v>412.43898138896878</v>
      </c>
      <c r="N323" s="17">
        <v>8.2460185310038607</v>
      </c>
      <c r="O323" s="17">
        <v>8.6638895114105186</v>
      </c>
      <c r="P323" s="17">
        <v>7.6817264120249682</v>
      </c>
      <c r="S323" s="5">
        <f t="shared" si="79"/>
        <v>447.14411234139192</v>
      </c>
      <c r="T323" s="17"/>
      <c r="U323" s="5">
        <f t="shared" si="80"/>
        <v>445.09530734909032</v>
      </c>
      <c r="W323" s="5">
        <f t="shared" si="81"/>
        <v>443.03278856358963</v>
      </c>
      <c r="Y323">
        <f t="shared" si="88"/>
        <v>314</v>
      </c>
      <c r="Z323" s="3">
        <f t="shared" si="89"/>
        <v>1190.1648651295886</v>
      </c>
      <c r="AA323" s="3">
        <f t="shared" si="90"/>
        <v>1237.9089612314829</v>
      </c>
      <c r="AB323" s="3">
        <f t="shared" si="91"/>
        <v>1257.276616064928</v>
      </c>
      <c r="AC323" s="3">
        <f t="shared" si="92"/>
        <v>1268.734471376888</v>
      </c>
      <c r="BC323" s="17">
        <f t="shared" si="95"/>
        <v>453.50993460241676</v>
      </c>
      <c r="BD323" s="3">
        <f t="shared" si="96"/>
        <v>1190.1648651295886</v>
      </c>
      <c r="BF323" s="5">
        <f t="shared" si="82"/>
        <v>447.14411234139192</v>
      </c>
      <c r="BG323">
        <f t="shared" si="83"/>
        <v>1237.9089612314829</v>
      </c>
      <c r="BI323" s="5">
        <f t="shared" si="84"/>
        <v>445.09530734909032</v>
      </c>
      <c r="BJ323">
        <f t="shared" si="85"/>
        <v>1257.276616064928</v>
      </c>
      <c r="BL323" s="5">
        <f t="shared" si="86"/>
        <v>443.03278856358963</v>
      </c>
      <c r="BM323">
        <f t="shared" si="87"/>
        <v>1268.734471376888</v>
      </c>
    </row>
    <row r="324" spans="1:65" x14ac:dyDescent="0.25">
      <c r="A324">
        <v>315</v>
      </c>
      <c r="B324" s="17">
        <f t="shared" si="76"/>
        <v>454.69582245851757</v>
      </c>
      <c r="C324" s="17">
        <f t="shared" si="77"/>
        <v>524.92875200403171</v>
      </c>
      <c r="D324" s="17">
        <f t="shared" si="78"/>
        <v>442.55820284727804</v>
      </c>
      <c r="G324" s="1">
        <v>315</v>
      </c>
      <c r="H324" s="17">
        <v>49.979629092839559</v>
      </c>
      <c r="I324" s="17">
        <v>54.071055985163873</v>
      </c>
      <c r="J324" s="17">
        <v>51.59620727582994</v>
      </c>
      <c r="M324" s="17">
        <v>413.5917134440391</v>
      </c>
      <c r="N324" s="17">
        <v>8.2582234314957148</v>
      </c>
      <c r="O324" s="17">
        <v>8.6791976992171254</v>
      </c>
      <c r="P324" s="17">
        <v>7.6848523406203908</v>
      </c>
      <c r="S324" s="5">
        <f t="shared" si="79"/>
        <v>448.37659829661146</v>
      </c>
      <c r="T324" s="17"/>
      <c r="U324" s="5">
        <f t="shared" si="80"/>
        <v>446.34853982835443</v>
      </c>
      <c r="W324" s="5">
        <f t="shared" si="81"/>
        <v>444.29895894369912</v>
      </c>
      <c r="Y324">
        <f t="shared" si="88"/>
        <v>315</v>
      </c>
      <c r="Z324" s="3">
        <f t="shared" si="89"/>
        <v>1185.8878561008055</v>
      </c>
      <c r="AA324" s="3">
        <f t="shared" si="90"/>
        <v>1232.4859552195448</v>
      </c>
      <c r="AB324" s="3">
        <f t="shared" si="91"/>
        <v>1253.2324792641134</v>
      </c>
      <c r="AC324" s="3">
        <f t="shared" si="92"/>
        <v>1266.1703801094859</v>
      </c>
      <c r="BC324" s="17">
        <f t="shared" si="95"/>
        <v>454.69582245851757</v>
      </c>
      <c r="BD324" s="3">
        <f t="shared" si="96"/>
        <v>1185.8878561008055</v>
      </c>
      <c r="BF324" s="5">
        <f t="shared" si="82"/>
        <v>448.37659829661146</v>
      </c>
      <c r="BG324">
        <f t="shared" si="83"/>
        <v>1232.4859552195448</v>
      </c>
      <c r="BI324" s="5">
        <f t="shared" si="84"/>
        <v>446.34853982835443</v>
      </c>
      <c r="BJ324">
        <f t="shared" si="85"/>
        <v>1253.2324792641134</v>
      </c>
      <c r="BL324" s="5">
        <f t="shared" si="86"/>
        <v>444.29895894369912</v>
      </c>
      <c r="BM324">
        <f t="shared" si="87"/>
        <v>1266.1703801094859</v>
      </c>
    </row>
    <row r="325" spans="1:65" x14ac:dyDescent="0.25">
      <c r="A325">
        <v>316</v>
      </c>
      <c r="B325" s="17">
        <f t="shared" si="76"/>
        <v>455.87744144489915</v>
      </c>
      <c r="C325" s="17">
        <f t="shared" si="77"/>
        <v>526.27044979434891</v>
      </c>
      <c r="D325" s="17">
        <f t="shared" si="78"/>
        <v>443.60962304136382</v>
      </c>
      <c r="G325" s="1">
        <v>316</v>
      </c>
      <c r="H325" s="17">
        <v>49.987664945581692</v>
      </c>
      <c r="I325" s="17">
        <v>54.078501986485023</v>
      </c>
      <c r="J325" s="17">
        <v>51.605895183437362</v>
      </c>
      <c r="M325" s="17">
        <v>414.74444549910942</v>
      </c>
      <c r="N325" s="17">
        <v>8.2705171967860238</v>
      </c>
      <c r="O325" s="17">
        <v>8.694640410611461</v>
      </c>
      <c r="P325" s="17">
        <v>7.6880855044297931</v>
      </c>
      <c r="S325" s="5">
        <f t="shared" si="79"/>
        <v>449.60361300970419</v>
      </c>
      <c r="T325" s="17"/>
      <c r="U325" s="5">
        <f t="shared" si="80"/>
        <v>447.59769405110819</v>
      </c>
      <c r="W325" s="5">
        <f t="shared" si="81"/>
        <v>445.56254907847233</v>
      </c>
      <c r="Y325">
        <f t="shared" si="88"/>
        <v>316</v>
      </c>
      <c r="Z325" s="3">
        <f t="shared" si="89"/>
        <v>1181.6189863815794</v>
      </c>
      <c r="AA325" s="3">
        <f t="shared" si="90"/>
        <v>1227.0147130927285</v>
      </c>
      <c r="AB325" s="3">
        <f t="shared" si="91"/>
        <v>1249.1542227537593</v>
      </c>
      <c r="AC325" s="3">
        <f t="shared" si="92"/>
        <v>1263.5901347732101</v>
      </c>
      <c r="BC325" s="17">
        <f t="shared" si="95"/>
        <v>455.87744144489915</v>
      </c>
      <c r="BD325" s="3">
        <f t="shared" si="96"/>
        <v>1181.6189863815794</v>
      </c>
      <c r="BF325" s="5">
        <f t="shared" si="82"/>
        <v>449.60361300970419</v>
      </c>
      <c r="BG325">
        <f t="shared" si="83"/>
        <v>1227.0147130927285</v>
      </c>
      <c r="BI325" s="5">
        <f t="shared" si="84"/>
        <v>447.59769405110819</v>
      </c>
      <c r="BJ325">
        <f t="shared" si="85"/>
        <v>1249.1542227537593</v>
      </c>
      <c r="BL325" s="5">
        <f t="shared" si="86"/>
        <v>445.56254907847233</v>
      </c>
      <c r="BM325">
        <f t="shared" si="87"/>
        <v>1263.5901347732101</v>
      </c>
    </row>
    <row r="326" spans="1:65" x14ac:dyDescent="0.25">
      <c r="A326">
        <v>317</v>
      </c>
      <c r="B326" s="17">
        <f t="shared" si="76"/>
        <v>457.05480023521932</v>
      </c>
      <c r="C326" s="17">
        <f t="shared" si="77"/>
        <v>527.60768610230934</v>
      </c>
      <c r="D326" s="17">
        <f t="shared" si="78"/>
        <v>444.65637450895883</v>
      </c>
      <c r="G326" s="1">
        <v>317</v>
      </c>
      <c r="H326" s="17">
        <v>49.995713078367267</v>
      </c>
      <c r="I326" s="17">
        <v>54.086005294675672</v>
      </c>
      <c r="J326" s="17">
        <v>51.615594400813222</v>
      </c>
      <c r="M326" s="17">
        <v>415.89717755417968</v>
      </c>
      <c r="N326" s="17">
        <v>8.2828980844277584</v>
      </c>
      <c r="O326" s="17">
        <v>8.7102150078761191</v>
      </c>
      <c r="P326" s="17">
        <v>7.691423800801922</v>
      </c>
      <c r="S326" s="5">
        <f t="shared" si="79"/>
        <v>450.82510824455517</v>
      </c>
      <c r="T326" s="17"/>
      <c r="U326" s="5">
        <f t="shared" si="80"/>
        <v>448.84273589764257</v>
      </c>
      <c r="W326" s="5">
        <f t="shared" si="81"/>
        <v>446.82354281384056</v>
      </c>
      <c r="Y326">
        <f t="shared" si="88"/>
        <v>317</v>
      </c>
      <c r="Z326" s="3">
        <f t="shared" si="89"/>
        <v>1177.3587903201701</v>
      </c>
      <c r="AA326" s="3">
        <f t="shared" si="90"/>
        <v>1221.4952348509769</v>
      </c>
      <c r="AB326" s="3">
        <f t="shared" si="91"/>
        <v>1245.0418465343773</v>
      </c>
      <c r="AC326" s="3">
        <f t="shared" si="92"/>
        <v>1260.9937353682312</v>
      </c>
      <c r="BC326" s="17">
        <f t="shared" si="95"/>
        <v>457.05480023521932</v>
      </c>
      <c r="BD326" s="3">
        <f t="shared" si="96"/>
        <v>1177.3587903201701</v>
      </c>
      <c r="BF326" s="5">
        <f t="shared" si="82"/>
        <v>450.82510824455517</v>
      </c>
      <c r="BG326">
        <f t="shared" si="83"/>
        <v>1221.4952348509769</v>
      </c>
      <c r="BI326" s="5">
        <f t="shared" si="84"/>
        <v>448.84273589764257</v>
      </c>
      <c r="BJ326">
        <f t="shared" si="85"/>
        <v>1245.0418465343773</v>
      </c>
      <c r="BL326" s="5">
        <f t="shared" si="86"/>
        <v>446.82354281384056</v>
      </c>
      <c r="BM326">
        <f t="shared" si="87"/>
        <v>1260.9937353682312</v>
      </c>
    </row>
    <row r="327" spans="1:65" x14ac:dyDescent="0.25">
      <c r="A327">
        <v>318</v>
      </c>
      <c r="B327" s="17">
        <f t="shared" si="76"/>
        <v>458.22790803748256</v>
      </c>
      <c r="C327" s="17">
        <f t="shared" si="77"/>
        <v>528.94047873451291</v>
      </c>
      <c r="D327" s="17">
        <f t="shared" si="78"/>
        <v>445.6984723865869</v>
      </c>
      <c r="G327" s="1">
        <v>318</v>
      </c>
      <c r="H327" s="17">
        <v>50.00377324559544</v>
      </c>
      <c r="I327" s="17">
        <v>54.093564763598422</v>
      </c>
      <c r="J327" s="17">
        <v>51.625304701762118</v>
      </c>
      <c r="M327" s="17">
        <v>417.04990960925011</v>
      </c>
      <c r="N327" s="17">
        <v>8.2953643519738893</v>
      </c>
      <c r="O327" s="17">
        <v>8.7259188532936918</v>
      </c>
      <c r="P327" s="17">
        <v>7.6948651270855217</v>
      </c>
      <c r="S327" s="5">
        <f t="shared" si="79"/>
        <v>452.04103576504986</v>
      </c>
      <c r="T327" s="17"/>
      <c r="U327" s="5">
        <f t="shared" si="80"/>
        <v>450.08363124824803</v>
      </c>
      <c r="W327" s="5">
        <f t="shared" si="81"/>
        <v>448.08192399573511</v>
      </c>
      <c r="Y327">
        <f t="shared" si="88"/>
        <v>318</v>
      </c>
      <c r="Z327" s="3">
        <f t="shared" si="89"/>
        <v>1173.107802263246</v>
      </c>
      <c r="AA327" s="3">
        <f t="shared" si="90"/>
        <v>1215.927520494688</v>
      </c>
      <c r="AB327" s="3">
        <f t="shared" si="91"/>
        <v>1240.8953506054559</v>
      </c>
      <c r="AC327" s="3">
        <f t="shared" si="92"/>
        <v>1258.3811818945492</v>
      </c>
      <c r="BC327" s="17">
        <f t="shared" si="95"/>
        <v>458.22790803748256</v>
      </c>
      <c r="BD327" s="3">
        <f t="shared" si="96"/>
        <v>1173.107802263246</v>
      </c>
      <c r="BF327" s="5">
        <f t="shared" si="82"/>
        <v>452.04103576504986</v>
      </c>
      <c r="BG327">
        <f t="shared" si="83"/>
        <v>1215.927520494688</v>
      </c>
      <c r="BI327" s="5">
        <f t="shared" si="84"/>
        <v>450.08363124824803</v>
      </c>
      <c r="BJ327">
        <f t="shared" si="85"/>
        <v>1240.8953506054559</v>
      </c>
      <c r="BL327" s="5">
        <f t="shared" si="86"/>
        <v>448.08192399573511</v>
      </c>
      <c r="BM327">
        <f t="shared" si="87"/>
        <v>1258.3811818945492</v>
      </c>
    </row>
    <row r="328" spans="1:65" x14ac:dyDescent="0.25">
      <c r="A328">
        <v>319</v>
      </c>
      <c r="B328" s="17">
        <f t="shared" si="76"/>
        <v>459.3967745940414</v>
      </c>
      <c r="C328" s="17">
        <f t="shared" si="77"/>
        <v>530.26884611849584</v>
      </c>
      <c r="D328" s="17">
        <f t="shared" si="78"/>
        <v>446.73593239579236</v>
      </c>
      <c r="G328" s="1">
        <v>319</v>
      </c>
      <c r="H328" s="17">
        <v>50.011845201665352</v>
      </c>
      <c r="I328" s="17">
        <v>54.101179247115873</v>
      </c>
      <c r="J328" s="17">
        <v>51.63502586008871</v>
      </c>
      <c r="M328" s="17">
        <v>418.20264166432042</v>
      </c>
      <c r="N328" s="17">
        <v>8.3079142569773872</v>
      </c>
      <c r="O328" s="17">
        <v>8.7417493091467762</v>
      </c>
      <c r="P328" s="17">
        <v>7.6984073806293374</v>
      </c>
      <c r="S328" s="5">
        <f t="shared" si="79"/>
        <v>453.25134733507309</v>
      </c>
      <c r="T328" s="17"/>
      <c r="U328" s="5">
        <f t="shared" si="80"/>
        <v>451.32034598321525</v>
      </c>
      <c r="W328" s="5">
        <f t="shared" si="81"/>
        <v>449.33767647008733</v>
      </c>
      <c r="Y328">
        <f t="shared" si="88"/>
        <v>319</v>
      </c>
      <c r="Z328" s="3">
        <f t="shared" si="89"/>
        <v>1168.8665565588394</v>
      </c>
      <c r="AA328" s="3">
        <f t="shared" si="90"/>
        <v>1210.3115700232365</v>
      </c>
      <c r="AB328" s="3">
        <f t="shared" si="91"/>
        <v>1236.7147349672223</v>
      </c>
      <c r="AC328" s="3">
        <f t="shared" si="92"/>
        <v>1255.7524743522208</v>
      </c>
      <c r="BC328" s="17">
        <f t="shared" si="95"/>
        <v>459.3967745940414</v>
      </c>
      <c r="BD328" s="3">
        <f t="shared" si="96"/>
        <v>1168.8665565588394</v>
      </c>
      <c r="BF328" s="5">
        <f t="shared" si="82"/>
        <v>453.25134733507309</v>
      </c>
      <c r="BG328">
        <f t="shared" si="83"/>
        <v>1210.3115700232365</v>
      </c>
      <c r="BI328" s="5">
        <f t="shared" si="84"/>
        <v>451.32034598321525</v>
      </c>
      <c r="BJ328">
        <f t="shared" si="85"/>
        <v>1236.7147349672223</v>
      </c>
      <c r="BL328" s="5">
        <f t="shared" si="86"/>
        <v>449.33767647008733</v>
      </c>
      <c r="BM328">
        <f t="shared" si="87"/>
        <v>1255.7524743522208</v>
      </c>
    </row>
    <row r="329" spans="1:65" x14ac:dyDescent="0.25">
      <c r="A329">
        <v>320</v>
      </c>
      <c r="B329" s="17">
        <f t="shared" si="76"/>
        <v>460.56141018159565</v>
      </c>
      <c r="C329" s="17">
        <f t="shared" si="77"/>
        <v>531.59280730273144</v>
      </c>
      <c r="D329" s="17">
        <f t="shared" si="78"/>
        <v>447.76877084314026</v>
      </c>
      <c r="G329" s="1">
        <v>320</v>
      </c>
      <c r="H329" s="17">
        <v>50.019928700976102</v>
      </c>
      <c r="I329" s="17">
        <v>54.108847599090652</v>
      </c>
      <c r="J329" s="17">
        <v>51.644757649597622</v>
      </c>
      <c r="M329" s="17">
        <v>419.35537371939068</v>
      </c>
      <c r="N329" s="17">
        <v>8.3205460569912262</v>
      </c>
      <c r="O329" s="17">
        <v>8.7577037377179625</v>
      </c>
      <c r="P329" s="17">
        <v>7.7020484587821167</v>
      </c>
      <c r="S329" s="5">
        <f t="shared" si="79"/>
        <v>454.45599471851028</v>
      </c>
      <c r="T329" s="17"/>
      <c r="U329" s="5">
        <f t="shared" si="80"/>
        <v>452.55284598283509</v>
      </c>
      <c r="W329" s="5">
        <f t="shared" si="81"/>
        <v>450.59078408282863</v>
      </c>
      <c r="Y329">
        <f t="shared" si="88"/>
        <v>320</v>
      </c>
      <c r="Z329" s="3">
        <f t="shared" si="89"/>
        <v>1164.635587554244</v>
      </c>
      <c r="AA329" s="3">
        <f t="shared" si="90"/>
        <v>1204.6473834371909</v>
      </c>
      <c r="AB329" s="3">
        <f t="shared" si="91"/>
        <v>1232.4999996198471</v>
      </c>
      <c r="AC329" s="3">
        <f t="shared" si="92"/>
        <v>1253.107612741303</v>
      </c>
      <c r="BC329" s="17">
        <f t="shared" si="95"/>
        <v>460.56141018159565</v>
      </c>
      <c r="BD329" s="3">
        <f t="shared" si="96"/>
        <v>1164.635587554244</v>
      </c>
      <c r="BF329" s="5">
        <f t="shared" si="82"/>
        <v>454.45599471851028</v>
      </c>
      <c r="BG329">
        <f t="shared" si="83"/>
        <v>1204.6473834371909</v>
      </c>
      <c r="BI329" s="5">
        <f t="shared" si="84"/>
        <v>452.55284598283509</v>
      </c>
      <c r="BJ329">
        <f t="shared" si="85"/>
        <v>1232.4999996198471</v>
      </c>
      <c r="BL329" s="5">
        <f t="shared" si="86"/>
        <v>450.59078408282863</v>
      </c>
      <c r="BM329">
        <f t="shared" si="87"/>
        <v>1253.107612741303</v>
      </c>
    </row>
    <row r="330" spans="1:65" x14ac:dyDescent="0.25">
      <c r="A330">
        <v>321</v>
      </c>
      <c r="B330" s="17">
        <f t="shared" ref="B330:B375" si="97">$B$2+$B$3*A330+$B$4*A330^2+$B$5*A330^3+$B$6*A330^4</f>
        <v>461.72182561119229</v>
      </c>
      <c r="C330" s="17">
        <f t="shared" ref="C330:C375" si="98">$C$2+$C$3*A330+$C$4*A330^2+$C$5*A330^3+$C$6*A330^4</f>
        <v>532.91238195662959</v>
      </c>
      <c r="D330" s="17">
        <f t="shared" ref="D330:D375" si="99">$D$2+$D$3*A330+$D$4*A330^2+$D$5*A330^3+$D$6*A330^4</f>
        <v>448.79700462021651</v>
      </c>
      <c r="G330" s="1">
        <v>321</v>
      </c>
      <c r="H330" s="17">
        <v>50.028023497926839</v>
      </c>
      <c r="I330" s="17">
        <v>54.116568673385359</v>
      </c>
      <c r="J330" s="17">
        <v>51.654499844093479</v>
      </c>
      <c r="M330" s="17">
        <v>420.50810577446089</v>
      </c>
      <c r="N330" s="17">
        <v>8.3332580095683753</v>
      </c>
      <c r="O330" s="17">
        <v>8.7737795012898445</v>
      </c>
      <c r="P330" s="17">
        <v>7.7057862588926032</v>
      </c>
      <c r="S330" s="5">
        <f t="shared" ref="S330:S375" si="100">$R$8+$R$9*A330+$R$10*A330*A330+$R$11*A330*A330*A330</f>
        <v>455.65492967924644</v>
      </c>
      <c r="T330" s="17"/>
      <c r="U330" s="5">
        <f t="shared" ref="U330:U375" si="101">$T$8+$T$9*A330+$T$10*A330*A330+$T$11*A330*A330*A330</f>
        <v>453.78109712739808</v>
      </c>
      <c r="W330" s="5">
        <f t="shared" ref="W330:W375" si="102">$V$8+$V$9*A330+$V$10*A330*A330+$V$11*A330*A330*A330</f>
        <v>451.84123067989015</v>
      </c>
      <c r="Y330">
        <f t="shared" si="88"/>
        <v>321</v>
      </c>
      <c r="Z330" s="3">
        <f t="shared" si="89"/>
        <v>1160.4154295966396</v>
      </c>
      <c r="AA330" s="3">
        <f t="shared" si="90"/>
        <v>1198.9349607361532</v>
      </c>
      <c r="AB330" s="3">
        <f t="shared" si="91"/>
        <v>1228.2511445629893</v>
      </c>
      <c r="AC330" s="3">
        <f t="shared" si="92"/>
        <v>1250.4465970615115</v>
      </c>
      <c r="BC330" s="17">
        <f t="shared" si="95"/>
        <v>461.72182561119229</v>
      </c>
      <c r="BD330" s="3">
        <f t="shared" si="96"/>
        <v>1160.4154295966396</v>
      </c>
      <c r="BF330" s="5">
        <f t="shared" ref="BF330:BF375" si="103">S330</f>
        <v>455.65492967924644</v>
      </c>
      <c r="BG330">
        <f t="shared" ref="BG330:BG375" si="104">AA330</f>
        <v>1198.9349607361532</v>
      </c>
      <c r="BI330" s="5">
        <f t="shared" ref="BI330:BI375" si="105">U330</f>
        <v>453.78109712739808</v>
      </c>
      <c r="BJ330">
        <f t="shared" ref="BJ330:BJ375" si="106">AB330</f>
        <v>1228.2511445629893</v>
      </c>
      <c r="BL330" s="5">
        <f t="shared" ref="BL330:BL375" si="107">W330</f>
        <v>451.84123067989015</v>
      </c>
      <c r="BM330">
        <f t="shared" ref="BM330:BM375" si="108">AC330</f>
        <v>1250.4465970615115</v>
      </c>
    </row>
    <row r="331" spans="1:65" x14ac:dyDescent="0.25">
      <c r="A331">
        <v>322</v>
      </c>
      <c r="B331" s="17">
        <f t="shared" si="97"/>
        <v>462.87803222822583</v>
      </c>
      <c r="C331" s="17">
        <f t="shared" si="98"/>
        <v>534.22759037053606</v>
      </c>
      <c r="D331" s="17">
        <f t="shared" si="99"/>
        <v>449.82065120362694</v>
      </c>
      <c r="G331" s="1">
        <v>322</v>
      </c>
      <c r="H331" s="17">
        <v>50.036129346916702</v>
      </c>
      <c r="I331" s="17">
        <v>54.124341323862609</v>
      </c>
      <c r="J331" s="17">
        <v>51.66425221738092</v>
      </c>
      <c r="M331" s="17">
        <v>421.66083782953132</v>
      </c>
      <c r="N331" s="17">
        <v>8.3460483722618086</v>
      </c>
      <c r="O331" s="17">
        <v>8.7899739621450177</v>
      </c>
      <c r="P331" s="17">
        <v>7.7096186783095426</v>
      </c>
      <c r="S331" s="5">
        <f t="shared" si="100"/>
        <v>456.84810398116679</v>
      </c>
      <c r="T331" s="17"/>
      <c r="U331" s="5">
        <f t="shared" si="101"/>
        <v>455.00506529719519</v>
      </c>
      <c r="W331" s="5">
        <f t="shared" si="102"/>
        <v>453.08900010720322</v>
      </c>
      <c r="Y331">
        <f t="shared" ref="Y331:Y375" si="109">A331</f>
        <v>322</v>
      </c>
      <c r="Z331" s="3">
        <f t="shared" ref="Z331:Z375" si="110">(B331-B330)*1000</f>
        <v>1156.206617033547</v>
      </c>
      <c r="AA331" s="3">
        <f t="shared" ref="AA331:AA375" si="111">(S331-S330)*1000</f>
        <v>1193.1743019203509</v>
      </c>
      <c r="AB331" s="3">
        <f t="shared" ref="AB331:AB375" si="112">(U331-U330)*1000</f>
        <v>1223.9681697971037</v>
      </c>
      <c r="AC331" s="3">
        <f t="shared" ref="AC331:AC375" si="113">(W331-W330)*1000</f>
        <v>1247.7694273130737</v>
      </c>
      <c r="BC331" s="17">
        <f t="shared" si="95"/>
        <v>462.87803222822583</v>
      </c>
      <c r="BD331" s="3">
        <f t="shared" si="96"/>
        <v>1156.206617033547</v>
      </c>
      <c r="BF331" s="5">
        <f t="shared" si="103"/>
        <v>456.84810398116679</v>
      </c>
      <c r="BG331">
        <f t="shared" si="104"/>
        <v>1193.1743019203509</v>
      </c>
      <c r="BI331" s="5">
        <f t="shared" si="105"/>
        <v>455.00506529719519</v>
      </c>
      <c r="BJ331">
        <f t="shared" si="106"/>
        <v>1223.9681697971037</v>
      </c>
      <c r="BL331" s="5">
        <f t="shared" si="107"/>
        <v>453.08900010720322</v>
      </c>
      <c r="BM331">
        <f t="shared" si="108"/>
        <v>1247.7694273130737</v>
      </c>
    </row>
    <row r="332" spans="1:65" x14ac:dyDescent="0.25">
      <c r="A332">
        <v>323</v>
      </c>
      <c r="B332" s="17">
        <f t="shared" si="97"/>
        <v>464.03004191243838</v>
      </c>
      <c r="C332" s="17">
        <f t="shared" si="98"/>
        <v>535.53845345573438</v>
      </c>
      <c r="D332" s="17">
        <f t="shared" si="99"/>
        <v>450.83972865499879</v>
      </c>
      <c r="G332" s="1">
        <v>323</v>
      </c>
      <c r="H332" s="17">
        <v>50.044246002344792</v>
      </c>
      <c r="I332" s="17">
        <v>54.132164404385009</v>
      </c>
      <c r="J332" s="17">
        <v>51.674014543264569</v>
      </c>
      <c r="M332" s="17">
        <v>422.81356988460158</v>
      </c>
      <c r="N332" s="17">
        <v>8.3589154026244952</v>
      </c>
      <c r="O332" s="17">
        <v>8.8062844825660758</v>
      </c>
      <c r="P332" s="17">
        <v>7.7135436143816802</v>
      </c>
      <c r="S332" s="5">
        <f t="shared" si="100"/>
        <v>458.03546938815651</v>
      </c>
      <c r="T332" s="17"/>
      <c r="U332" s="5">
        <f t="shared" si="101"/>
        <v>456.22471637251704</v>
      </c>
      <c r="W332" s="5">
        <f t="shared" si="102"/>
        <v>454.33407621069915</v>
      </c>
      <c r="Y332">
        <f t="shared" si="109"/>
        <v>323</v>
      </c>
      <c r="Z332" s="3">
        <f t="shared" si="110"/>
        <v>1152.009684212544</v>
      </c>
      <c r="AA332" s="3">
        <f t="shared" si="111"/>
        <v>1187.365406989727</v>
      </c>
      <c r="AB332" s="3">
        <f t="shared" si="112"/>
        <v>1219.651075321849</v>
      </c>
      <c r="AC332" s="3">
        <f t="shared" si="113"/>
        <v>1245.0761034959328</v>
      </c>
      <c r="BC332" s="17">
        <f t="shared" si="95"/>
        <v>464.03004191243838</v>
      </c>
      <c r="BD332" s="3">
        <f t="shared" si="96"/>
        <v>1152.009684212544</v>
      </c>
      <c r="BF332" s="5">
        <f t="shared" si="103"/>
        <v>458.03546938815651</v>
      </c>
      <c r="BG332">
        <f t="shared" si="104"/>
        <v>1187.365406989727</v>
      </c>
      <c r="BI332" s="5">
        <f t="shared" si="105"/>
        <v>456.22471637251704</v>
      </c>
      <c r="BJ332">
        <f t="shared" si="106"/>
        <v>1219.651075321849</v>
      </c>
      <c r="BL332" s="5">
        <f t="shared" si="107"/>
        <v>454.33407621069915</v>
      </c>
      <c r="BM332">
        <f t="shared" si="108"/>
        <v>1245.0761034959328</v>
      </c>
    </row>
    <row r="333" spans="1:65" x14ac:dyDescent="0.25">
      <c r="A333">
        <v>324</v>
      </c>
      <c r="B333" s="17">
        <f t="shared" si="97"/>
        <v>465.17786707791942</v>
      </c>
      <c r="C333" s="17">
        <f t="shared" si="98"/>
        <v>536.84499274444352</v>
      </c>
      <c r="D333" s="17">
        <f t="shared" si="99"/>
        <v>451.85425562097879</v>
      </c>
      <c r="G333" s="1">
        <v>324</v>
      </c>
      <c r="H333" s="17">
        <v>50.052373218610278</v>
      </c>
      <c r="I333" s="17">
        <v>54.140036768815172</v>
      </c>
      <c r="J333" s="17">
        <v>51.683786595549073</v>
      </c>
      <c r="M333" s="17">
        <v>423.96630193967189</v>
      </c>
      <c r="N333" s="17">
        <v>8.3718573582094074</v>
      </c>
      <c r="O333" s="17">
        <v>8.8227084248356089</v>
      </c>
      <c r="P333" s="17">
        <v>7.7175589644577629</v>
      </c>
      <c r="S333" s="5">
        <f t="shared" si="100"/>
        <v>459.21697766410068</v>
      </c>
      <c r="T333" s="17"/>
      <c r="U333" s="5">
        <f t="shared" si="101"/>
        <v>457.44001623365421</v>
      </c>
      <c r="W333" s="5">
        <f t="shared" si="102"/>
        <v>455.57644283630935</v>
      </c>
      <c r="Y333">
        <f t="shared" si="109"/>
        <v>324</v>
      </c>
      <c r="Z333" s="3">
        <f t="shared" si="110"/>
        <v>1147.8251654810379</v>
      </c>
      <c r="AA333" s="3">
        <f t="shared" si="111"/>
        <v>1181.508275944168</v>
      </c>
      <c r="AB333" s="3">
        <f t="shared" si="112"/>
        <v>1215.2998611371686</v>
      </c>
      <c r="AC333" s="3">
        <f t="shared" si="113"/>
        <v>1242.3666256102024</v>
      </c>
      <c r="BC333" s="17">
        <f t="shared" si="95"/>
        <v>465.17786707791942</v>
      </c>
      <c r="BD333" s="3">
        <f t="shared" si="96"/>
        <v>1147.8251654810379</v>
      </c>
      <c r="BF333" s="5">
        <f t="shared" si="103"/>
        <v>459.21697766410068</v>
      </c>
      <c r="BG333">
        <f t="shared" si="104"/>
        <v>1181.508275944168</v>
      </c>
      <c r="BI333" s="5">
        <f t="shared" si="105"/>
        <v>457.44001623365421</v>
      </c>
      <c r="BJ333">
        <f t="shared" si="106"/>
        <v>1215.2998611371686</v>
      </c>
      <c r="BL333" s="5">
        <f t="shared" si="107"/>
        <v>455.57644283630935</v>
      </c>
      <c r="BM333">
        <f t="shared" si="108"/>
        <v>1242.3666256102024</v>
      </c>
    </row>
    <row r="334" spans="1:65" x14ac:dyDescent="0.25">
      <c r="A334">
        <v>325</v>
      </c>
      <c r="B334" s="17">
        <f t="shared" si="97"/>
        <v>466.32152067310523</v>
      </c>
      <c r="C334" s="17">
        <f t="shared" si="98"/>
        <v>538.14723038982027</v>
      </c>
      <c r="D334" s="17">
        <f t="shared" si="99"/>
        <v>452.86425133323598</v>
      </c>
      <c r="G334" s="1">
        <v>325</v>
      </c>
      <c r="H334" s="17">
        <v>50.060510750112272</v>
      </c>
      <c r="I334" s="17">
        <v>54.147957271015713</v>
      </c>
      <c r="J334" s="17">
        <v>51.693568148039027</v>
      </c>
      <c r="M334" s="17">
        <v>425.11903399474221</v>
      </c>
      <c r="N334" s="17">
        <v>8.3848724965695158</v>
      </c>
      <c r="O334" s="17">
        <v>8.8392431512362144</v>
      </c>
      <c r="P334" s="17">
        <v>7.7216626258865348</v>
      </c>
      <c r="S334" s="5">
        <f t="shared" si="100"/>
        <v>460.39258057288475</v>
      </c>
      <c r="T334" s="17"/>
      <c r="U334" s="5">
        <f t="shared" si="101"/>
        <v>458.65093076089761</v>
      </c>
      <c r="W334" s="5">
        <f t="shared" si="102"/>
        <v>456.8160838299649</v>
      </c>
      <c r="Y334">
        <f t="shared" si="109"/>
        <v>325</v>
      </c>
      <c r="Z334" s="3">
        <f t="shared" si="110"/>
        <v>1143.6535951858104</v>
      </c>
      <c r="AA334" s="3">
        <f t="shared" si="111"/>
        <v>1175.6029087840716</v>
      </c>
      <c r="AB334" s="3">
        <f t="shared" si="112"/>
        <v>1210.9145272434034</v>
      </c>
      <c r="AC334" s="3">
        <f t="shared" si="113"/>
        <v>1239.6409936555415</v>
      </c>
      <c r="BC334" s="17">
        <f t="shared" si="95"/>
        <v>466.32152067310523</v>
      </c>
      <c r="BD334" s="3">
        <f t="shared" si="96"/>
        <v>1143.6535951858104</v>
      </c>
      <c r="BF334" s="5">
        <f t="shared" si="103"/>
        <v>460.39258057288475</v>
      </c>
      <c r="BG334">
        <f t="shared" si="104"/>
        <v>1175.6029087840716</v>
      </c>
      <c r="BI334" s="5">
        <f t="shared" si="105"/>
        <v>458.65093076089761</v>
      </c>
      <c r="BJ334">
        <f t="shared" si="106"/>
        <v>1210.9145272434034</v>
      </c>
      <c r="BL334" s="5">
        <f t="shared" si="107"/>
        <v>456.8160838299649</v>
      </c>
      <c r="BM334">
        <f t="shared" si="108"/>
        <v>1239.6409936555415</v>
      </c>
    </row>
    <row r="335" spans="1:65" x14ac:dyDescent="0.25">
      <c r="A335">
        <v>326</v>
      </c>
      <c r="B335" s="17">
        <f t="shared" si="97"/>
        <v>467.4610161807804</v>
      </c>
      <c r="C335" s="17">
        <f t="shared" si="98"/>
        <v>539.44518916595678</v>
      </c>
      <c r="D335" s="17">
        <f t="shared" si="99"/>
        <v>453.86973560845814</v>
      </c>
      <c r="G335" s="1">
        <v>326</v>
      </c>
      <c r="H335" s="17">
        <v>50.068658351249887</v>
      </c>
      <c r="I335" s="17">
        <v>54.155924764849217</v>
      </c>
      <c r="J335" s="17">
        <v>51.703358974539107</v>
      </c>
      <c r="M335" s="17">
        <v>426.27176604981253</v>
      </c>
      <c r="N335" s="17">
        <v>8.3979590752577948</v>
      </c>
      <c r="O335" s="17">
        <v>8.8558860240504824</v>
      </c>
      <c r="P335" s="17">
        <v>7.7258524960167421</v>
      </c>
      <c r="S335" s="5">
        <f t="shared" si="100"/>
        <v>461.56222987839345</v>
      </c>
      <c r="T335" s="17"/>
      <c r="U335" s="5">
        <f t="shared" si="101"/>
        <v>459.85742583453782</v>
      </c>
      <c r="W335" s="5">
        <f t="shared" si="102"/>
        <v>458.05298303759736</v>
      </c>
      <c r="Y335">
        <f t="shared" si="109"/>
        <v>326</v>
      </c>
      <c r="Z335" s="3">
        <f t="shared" si="110"/>
        <v>1139.4955076751785</v>
      </c>
      <c r="AA335" s="3">
        <f t="shared" si="111"/>
        <v>1169.6493055086989</v>
      </c>
      <c r="AB335" s="3">
        <f t="shared" si="112"/>
        <v>1206.4950736402125</v>
      </c>
      <c r="AC335" s="3">
        <f t="shared" si="113"/>
        <v>1236.8992076324616</v>
      </c>
      <c r="BC335" s="17">
        <f t="shared" si="95"/>
        <v>467.4610161807804</v>
      </c>
      <c r="BD335" s="3">
        <f t="shared" si="96"/>
        <v>1139.4955076751785</v>
      </c>
      <c r="BF335" s="5">
        <f t="shared" si="103"/>
        <v>461.56222987839345</v>
      </c>
      <c r="BG335">
        <f t="shared" si="104"/>
        <v>1169.6493055086989</v>
      </c>
      <c r="BI335" s="5">
        <f t="shared" si="105"/>
        <v>459.85742583453782</v>
      </c>
      <c r="BJ335">
        <f t="shared" si="106"/>
        <v>1206.4950736402125</v>
      </c>
      <c r="BL335" s="5">
        <f t="shared" si="107"/>
        <v>458.05298303759736</v>
      </c>
      <c r="BM335">
        <f t="shared" si="108"/>
        <v>1236.8992076324616</v>
      </c>
    </row>
    <row r="336" spans="1:65" x14ac:dyDescent="0.25">
      <c r="A336">
        <v>327</v>
      </c>
      <c r="B336" s="17">
        <f t="shared" si="97"/>
        <v>468.59636761807667</v>
      </c>
      <c r="C336" s="17">
        <f t="shared" si="98"/>
        <v>540.73889246788281</v>
      </c>
      <c r="D336" s="17">
        <f t="shared" si="99"/>
        <v>454.87072884835504</v>
      </c>
      <c r="G336" s="1">
        <v>327</v>
      </c>
      <c r="H336" s="17">
        <v>50.076815776422293</v>
      </c>
      <c r="I336" s="17">
        <v>54.163938104178328</v>
      </c>
      <c r="J336" s="17">
        <v>51.713158848853929</v>
      </c>
      <c r="M336" s="17">
        <v>427.42449810488279</v>
      </c>
      <c r="N336" s="17">
        <v>8.4111153518272133</v>
      </c>
      <c r="O336" s="17">
        <v>8.8726344055610102</v>
      </c>
      <c r="P336" s="17">
        <v>7.7301264721971297</v>
      </c>
      <c r="S336" s="5">
        <f t="shared" si="100"/>
        <v>462.7258773445123</v>
      </c>
      <c r="T336" s="17"/>
      <c r="U336" s="5">
        <f t="shared" si="101"/>
        <v>461.05946733486547</v>
      </c>
      <c r="W336" s="5">
        <f t="shared" si="102"/>
        <v>459.28712430513798</v>
      </c>
      <c r="Y336">
        <f t="shared" si="109"/>
        <v>327</v>
      </c>
      <c r="Z336" s="3">
        <f t="shared" si="110"/>
        <v>1135.351437296265</v>
      </c>
      <c r="AA336" s="3">
        <f t="shared" si="111"/>
        <v>1163.6474661188458</v>
      </c>
      <c r="AB336" s="3">
        <f t="shared" si="112"/>
        <v>1202.0415003276526</v>
      </c>
      <c r="AC336" s="3">
        <f t="shared" si="113"/>
        <v>1234.1412675406218</v>
      </c>
      <c r="BC336" s="17">
        <f t="shared" si="95"/>
        <v>468.59636761807667</v>
      </c>
      <c r="BD336" s="3">
        <f t="shared" si="96"/>
        <v>1135.351437296265</v>
      </c>
      <c r="BF336" s="5">
        <f t="shared" si="103"/>
        <v>462.7258773445123</v>
      </c>
      <c r="BG336">
        <f t="shared" si="104"/>
        <v>1163.6474661188458</v>
      </c>
      <c r="BI336" s="5">
        <f t="shared" si="105"/>
        <v>461.05946733486547</v>
      </c>
      <c r="BJ336">
        <f t="shared" si="106"/>
        <v>1202.0415003276526</v>
      </c>
      <c r="BL336" s="5">
        <f t="shared" si="107"/>
        <v>459.28712430513798</v>
      </c>
      <c r="BM336">
        <f t="shared" si="108"/>
        <v>1234.1412675406218</v>
      </c>
    </row>
    <row r="337" spans="1:65" x14ac:dyDescent="0.25">
      <c r="A337">
        <v>328</v>
      </c>
      <c r="B337" s="17">
        <f t="shared" si="97"/>
        <v>469.72758953647315</v>
      </c>
      <c r="C337" s="17">
        <f t="shared" si="98"/>
        <v>542.02836431156402</v>
      </c>
      <c r="D337" s="17">
        <f t="shared" si="99"/>
        <v>455.86725203965625</v>
      </c>
      <c r="G337" s="1">
        <v>328</v>
      </c>
      <c r="H337" s="17">
        <v>50.084982780028582</v>
      </c>
      <c r="I337" s="17">
        <v>54.171996142865638</v>
      </c>
      <c r="J337" s="17">
        <v>51.722967544788119</v>
      </c>
      <c r="M337" s="17">
        <v>428.57723015995322</v>
      </c>
      <c r="N337" s="17">
        <v>8.4243395838307435</v>
      </c>
      <c r="O337" s="17">
        <v>8.889485658050388</v>
      </c>
      <c r="P337" s="17">
        <v>7.7344824517764437</v>
      </c>
      <c r="S337" s="5">
        <f t="shared" si="100"/>
        <v>463.88347473512636</v>
      </c>
      <c r="T337" s="17"/>
      <c r="U337" s="5">
        <f t="shared" si="101"/>
        <v>462.25702114217148</v>
      </c>
      <c r="W337" s="5">
        <f t="shared" si="102"/>
        <v>460.51849147851789</v>
      </c>
      <c r="Y337">
        <f t="shared" si="109"/>
        <v>328</v>
      </c>
      <c r="Z337" s="3">
        <f t="shared" si="110"/>
        <v>1131.2219183964771</v>
      </c>
      <c r="AA337" s="3">
        <f t="shared" si="111"/>
        <v>1157.5973906140575</v>
      </c>
      <c r="AB337" s="3">
        <f t="shared" si="112"/>
        <v>1197.5538073060079</v>
      </c>
      <c r="AC337" s="3">
        <f t="shared" si="113"/>
        <v>1231.3671733799083</v>
      </c>
      <c r="BC337" s="17">
        <f t="shared" si="95"/>
        <v>469.72758953647315</v>
      </c>
      <c r="BD337" s="3">
        <f t="shared" si="96"/>
        <v>1131.2219183964771</v>
      </c>
      <c r="BF337" s="5">
        <f t="shared" si="103"/>
        <v>463.88347473512636</v>
      </c>
      <c r="BG337">
        <f t="shared" si="104"/>
        <v>1157.5973906140575</v>
      </c>
      <c r="BI337" s="5">
        <f t="shared" si="105"/>
        <v>462.25702114217148</v>
      </c>
      <c r="BJ337">
        <f t="shared" si="106"/>
        <v>1197.5538073060079</v>
      </c>
      <c r="BL337" s="5">
        <f t="shared" si="107"/>
        <v>460.51849147851789</v>
      </c>
      <c r="BM337">
        <f t="shared" si="108"/>
        <v>1231.3671733799083</v>
      </c>
    </row>
    <row r="338" spans="1:65" x14ac:dyDescent="0.25">
      <c r="A338">
        <v>329</v>
      </c>
      <c r="B338" s="17">
        <f t="shared" si="97"/>
        <v>470.8546970217962</v>
      </c>
      <c r="C338" s="17">
        <f t="shared" si="98"/>
        <v>543.31362933390369</v>
      </c>
      <c r="D338" s="17">
        <f t="shared" si="99"/>
        <v>456.85932675411232</v>
      </c>
      <c r="G338" s="1">
        <v>329</v>
      </c>
      <c r="H338" s="17">
        <v>50.093159116467909</v>
      </c>
      <c r="I338" s="17">
        <v>54.18009773477376</v>
      </c>
      <c r="J338" s="17">
        <v>51.732784836146308</v>
      </c>
      <c r="M338" s="17">
        <v>429.72996221502348</v>
      </c>
      <c r="N338" s="17">
        <v>8.4376300288213564</v>
      </c>
      <c r="O338" s="17">
        <v>8.9064371438012113</v>
      </c>
      <c r="P338" s="17">
        <v>7.7389183321034292</v>
      </c>
      <c r="S338" s="5">
        <f t="shared" si="100"/>
        <v>465.0349738141208</v>
      </c>
      <c r="T338" s="17"/>
      <c r="U338" s="5">
        <f t="shared" si="101"/>
        <v>463.45005313674642</v>
      </c>
      <c r="W338" s="5">
        <f t="shared" si="102"/>
        <v>461.74706840366849</v>
      </c>
      <c r="Y338">
        <f t="shared" si="109"/>
        <v>329</v>
      </c>
      <c r="Z338" s="3">
        <f t="shared" si="110"/>
        <v>1127.1074853230516</v>
      </c>
      <c r="AA338" s="3">
        <f t="shared" si="111"/>
        <v>1151.4990789944477</v>
      </c>
      <c r="AB338" s="3">
        <f t="shared" si="112"/>
        <v>1193.0319945749375</v>
      </c>
      <c r="AC338" s="3">
        <f t="shared" si="113"/>
        <v>1228.5769251506053</v>
      </c>
      <c r="BC338" s="17">
        <f t="shared" si="95"/>
        <v>470.8546970217962</v>
      </c>
      <c r="BD338" s="3">
        <f t="shared" si="96"/>
        <v>1127.1074853230516</v>
      </c>
      <c r="BF338" s="5">
        <f t="shared" si="103"/>
        <v>465.0349738141208</v>
      </c>
      <c r="BG338">
        <f t="shared" si="104"/>
        <v>1151.4990789944477</v>
      </c>
      <c r="BI338" s="5">
        <f t="shared" si="105"/>
        <v>463.45005313674642</v>
      </c>
      <c r="BJ338">
        <f t="shared" si="106"/>
        <v>1193.0319945749375</v>
      </c>
      <c r="BL338" s="5">
        <f t="shared" si="107"/>
        <v>461.74706840366849</v>
      </c>
      <c r="BM338">
        <f t="shared" si="108"/>
        <v>1228.5769251506053</v>
      </c>
    </row>
    <row r="339" spans="1:65" x14ac:dyDescent="0.25">
      <c r="A339">
        <v>330</v>
      </c>
      <c r="B339" s="17">
        <f t="shared" si="97"/>
        <v>471.97770569421954</v>
      </c>
      <c r="C339" s="17">
        <f t="shared" si="98"/>
        <v>544.59471279274021</v>
      </c>
      <c r="D339" s="17">
        <f t="shared" si="99"/>
        <v>457.84697514849444</v>
      </c>
      <c r="G339" s="1">
        <v>330</v>
      </c>
      <c r="H339" s="17">
        <v>50.101344540139401</v>
      </c>
      <c r="I339" s="17">
        <v>54.188241733765302</v>
      </c>
      <c r="J339" s="17">
        <v>51.742610496733128</v>
      </c>
      <c r="M339" s="17">
        <v>430.88269427009379</v>
      </c>
      <c r="N339" s="17">
        <v>8.4509849443520242</v>
      </c>
      <c r="O339" s="17">
        <v>8.9234862250960738</v>
      </c>
      <c r="P339" s="17">
        <v>7.7434320105268322</v>
      </c>
      <c r="S339" s="5">
        <f t="shared" si="100"/>
        <v>466.18032634538065</v>
      </c>
      <c r="T339" s="17"/>
      <c r="U339" s="5">
        <f t="shared" si="101"/>
        <v>464.63852919888097</v>
      </c>
      <c r="W339" s="5">
        <f t="shared" si="102"/>
        <v>462.97283892652115</v>
      </c>
      <c r="Y339">
        <f t="shared" si="109"/>
        <v>330</v>
      </c>
      <c r="Z339" s="3">
        <f t="shared" si="110"/>
        <v>1123.0086724233388</v>
      </c>
      <c r="AA339" s="3">
        <f t="shared" si="111"/>
        <v>1145.3525312598458</v>
      </c>
      <c r="AB339" s="3">
        <f t="shared" si="112"/>
        <v>1188.4760621345549</v>
      </c>
      <c r="AC339" s="3">
        <f t="shared" si="113"/>
        <v>1225.7705228526561</v>
      </c>
      <c r="BC339" s="17">
        <f t="shared" si="95"/>
        <v>471.97770569421954</v>
      </c>
      <c r="BD339" s="3">
        <f t="shared" si="96"/>
        <v>1123.0086724233388</v>
      </c>
      <c r="BF339" s="5">
        <f t="shared" si="103"/>
        <v>466.18032634538065</v>
      </c>
      <c r="BG339">
        <f t="shared" si="104"/>
        <v>1145.3525312598458</v>
      </c>
      <c r="BI339" s="5">
        <f t="shared" si="105"/>
        <v>464.63852919888097</v>
      </c>
      <c r="BJ339">
        <f t="shared" si="106"/>
        <v>1188.4760621345549</v>
      </c>
      <c r="BL339" s="5">
        <f t="shared" si="107"/>
        <v>462.97283892652115</v>
      </c>
      <c r="BM339">
        <f t="shared" si="108"/>
        <v>1225.7705228526561</v>
      </c>
    </row>
    <row r="340" spans="1:65" x14ac:dyDescent="0.25">
      <c r="A340">
        <v>331</v>
      </c>
      <c r="B340" s="17">
        <f t="shared" si="97"/>
        <v>473.09663170826457</v>
      </c>
      <c r="C340" s="17">
        <f t="shared" si="98"/>
        <v>545.87164056684992</v>
      </c>
      <c r="D340" s="17">
        <f t="shared" si="99"/>
        <v>458.83021996459399</v>
      </c>
      <c r="G340" s="1">
        <v>331</v>
      </c>
      <c r="H340" s="17">
        <v>50.109538805442192</v>
      </c>
      <c r="I340" s="17">
        <v>54.196426993702879</v>
      </c>
      <c r="J340" s="17">
        <v>51.752444300353211</v>
      </c>
      <c r="M340" s="17">
        <v>432.03542632516411</v>
      </c>
      <c r="N340" s="17">
        <v>8.4644025879757177</v>
      </c>
      <c r="O340" s="17">
        <v>8.9406302642175692</v>
      </c>
      <c r="P340" s="17">
        <v>7.7480213843953969</v>
      </c>
      <c r="S340" s="5">
        <f t="shared" si="100"/>
        <v>467.31948409279141</v>
      </c>
      <c r="T340" s="17"/>
      <c r="U340" s="5">
        <f t="shared" si="101"/>
        <v>465.822415208866</v>
      </c>
      <c r="W340" s="5">
        <f t="shared" si="102"/>
        <v>464.1957868930071</v>
      </c>
      <c r="Y340">
        <f t="shared" si="109"/>
        <v>331</v>
      </c>
      <c r="Z340" s="3">
        <f t="shared" si="110"/>
        <v>1118.9260140450301</v>
      </c>
      <c r="AA340" s="3">
        <f t="shared" si="111"/>
        <v>1139.1577474107635</v>
      </c>
      <c r="AB340" s="3">
        <f t="shared" si="112"/>
        <v>1183.8860099850308</v>
      </c>
      <c r="AC340" s="3">
        <f t="shared" si="113"/>
        <v>1222.9479664859468</v>
      </c>
      <c r="BC340" s="17">
        <f t="shared" si="95"/>
        <v>473.09663170826457</v>
      </c>
      <c r="BD340" s="3">
        <f t="shared" si="96"/>
        <v>1118.9260140450301</v>
      </c>
      <c r="BF340" s="5">
        <f t="shared" si="103"/>
        <v>467.31948409279141</v>
      </c>
      <c r="BG340">
        <f t="shared" si="104"/>
        <v>1139.1577474107635</v>
      </c>
      <c r="BI340" s="5">
        <f t="shared" si="105"/>
        <v>465.822415208866</v>
      </c>
      <c r="BJ340">
        <f t="shared" si="106"/>
        <v>1183.8860099850308</v>
      </c>
      <c r="BL340" s="5">
        <f t="shared" si="107"/>
        <v>464.1957868930071</v>
      </c>
      <c r="BM340">
        <f t="shared" si="108"/>
        <v>1222.9479664859468</v>
      </c>
    </row>
    <row r="341" spans="1:65" x14ac:dyDescent="0.25">
      <c r="A341">
        <v>332</v>
      </c>
      <c r="B341" s="17">
        <f t="shared" si="97"/>
        <v>474.21149175280061</v>
      </c>
      <c r="C341" s="17">
        <f t="shared" si="98"/>
        <v>547.14443915594518</v>
      </c>
      <c r="D341" s="17">
        <f t="shared" si="99"/>
        <v>459.80908452922358</v>
      </c>
      <c r="G341" s="1">
        <v>332</v>
      </c>
      <c r="H341" s="17">
        <v>50.117741666775387</v>
      </c>
      <c r="I341" s="17">
        <v>54.204652368449104</v>
      </c>
      <c r="J341" s="17">
        <v>51.762286020811203</v>
      </c>
      <c r="M341" s="17">
        <v>433.18815838023443</v>
      </c>
      <c r="N341" s="17">
        <v>8.4778812172454092</v>
      </c>
      <c r="O341" s="17">
        <v>8.9578666234482878</v>
      </c>
      <c r="P341" s="17">
        <v>7.7526843510578702</v>
      </c>
      <c r="S341" s="5">
        <f t="shared" si="100"/>
        <v>468.45239882023782</v>
      </c>
      <c r="T341" s="17"/>
      <c r="U341" s="5">
        <f t="shared" si="101"/>
        <v>467.00167704699197</v>
      </c>
      <c r="W341" s="5">
        <f t="shared" si="102"/>
        <v>465.41589614905769</v>
      </c>
      <c r="Y341">
        <f t="shared" si="109"/>
        <v>332</v>
      </c>
      <c r="Z341" s="3">
        <f t="shared" si="110"/>
        <v>1114.8600445360444</v>
      </c>
      <c r="AA341" s="3">
        <f t="shared" si="111"/>
        <v>1132.9147274464049</v>
      </c>
      <c r="AB341" s="3">
        <f t="shared" si="112"/>
        <v>1179.2618381259672</v>
      </c>
      <c r="AC341" s="3">
        <f t="shared" si="113"/>
        <v>1220.1092560505913</v>
      </c>
      <c r="BC341" s="17">
        <f t="shared" si="95"/>
        <v>474.21149175280061</v>
      </c>
      <c r="BD341" s="3">
        <f t="shared" si="96"/>
        <v>1114.8600445360444</v>
      </c>
      <c r="BF341" s="5">
        <f t="shared" si="103"/>
        <v>468.45239882023782</v>
      </c>
      <c r="BG341">
        <f t="shared" si="104"/>
        <v>1132.9147274464049</v>
      </c>
      <c r="BI341" s="5">
        <f t="shared" si="105"/>
        <v>467.00167704699197</v>
      </c>
      <c r="BJ341">
        <f t="shared" si="106"/>
        <v>1179.2618381259672</v>
      </c>
      <c r="BL341" s="5">
        <f t="shared" si="107"/>
        <v>465.41589614905769</v>
      </c>
      <c r="BM341">
        <f t="shared" si="108"/>
        <v>1220.1092560505913</v>
      </c>
    </row>
    <row r="342" spans="1:65" x14ac:dyDescent="0.25">
      <c r="A342">
        <v>333</v>
      </c>
      <c r="B342" s="17">
        <f t="shared" si="97"/>
        <v>475.32230305104292</v>
      </c>
      <c r="C342" s="17">
        <f t="shared" si="98"/>
        <v>548.41313568067517</v>
      </c>
      <c r="D342" s="17">
        <f t="shared" si="99"/>
        <v>460.78359275421559</v>
      </c>
      <c r="G342" s="1">
        <v>333</v>
      </c>
      <c r="H342" s="17">
        <v>50.125952878538151</v>
      </c>
      <c r="I342" s="17">
        <v>54.212916711866583</v>
      </c>
      <c r="J342" s="17">
        <v>51.772135431911707</v>
      </c>
      <c r="M342" s="17">
        <v>434.34089043530469</v>
      </c>
      <c r="N342" s="17">
        <v>8.4914190897140696</v>
      </c>
      <c r="O342" s="17">
        <v>8.9751926650708267</v>
      </c>
      <c r="P342" s="17">
        <v>7.7574188078629964</v>
      </c>
      <c r="S342" s="5">
        <f t="shared" si="100"/>
        <v>469.5790222916055</v>
      </c>
      <c r="T342" s="17"/>
      <c r="U342" s="5">
        <f t="shared" si="101"/>
        <v>468.17628059354973</v>
      </c>
      <c r="W342" s="5">
        <f t="shared" si="102"/>
        <v>466.63315054060428</v>
      </c>
      <c r="Y342">
        <f t="shared" si="109"/>
        <v>333</v>
      </c>
      <c r="Z342" s="3">
        <f t="shared" si="110"/>
        <v>1110.8112982423108</v>
      </c>
      <c r="AA342" s="3">
        <f t="shared" si="111"/>
        <v>1126.6234713676795</v>
      </c>
      <c r="AB342" s="3">
        <f t="shared" si="112"/>
        <v>1174.603546557762</v>
      </c>
      <c r="AC342" s="3">
        <f t="shared" si="113"/>
        <v>1217.2543915465894</v>
      </c>
      <c r="BC342" s="17">
        <f t="shared" si="95"/>
        <v>475.32230305104292</v>
      </c>
      <c r="BD342" s="3">
        <f t="shared" si="96"/>
        <v>1110.8112982423108</v>
      </c>
      <c r="BF342" s="5">
        <f t="shared" si="103"/>
        <v>469.5790222916055</v>
      </c>
      <c r="BG342">
        <f t="shared" si="104"/>
        <v>1126.6234713676795</v>
      </c>
      <c r="BI342" s="5">
        <f t="shared" si="105"/>
        <v>468.17628059354973</v>
      </c>
      <c r="BJ342">
        <f t="shared" si="106"/>
        <v>1174.603546557762</v>
      </c>
      <c r="BL342" s="5">
        <f t="shared" si="107"/>
        <v>466.63315054060428</v>
      </c>
      <c r="BM342">
        <f t="shared" si="108"/>
        <v>1217.2543915465894</v>
      </c>
    </row>
    <row r="343" spans="1:65" x14ac:dyDescent="0.25">
      <c r="A343">
        <v>334</v>
      </c>
      <c r="B343" s="17">
        <f t="shared" si="97"/>
        <v>476.42908336055569</v>
      </c>
      <c r="C343" s="17">
        <f t="shared" si="98"/>
        <v>549.6777578826252</v>
      </c>
      <c r="D343" s="17">
        <f t="shared" si="99"/>
        <v>461.75376913642395</v>
      </c>
      <c r="G343" s="1">
        <v>334</v>
      </c>
      <c r="H343" s="17">
        <v>50.134172195129587</v>
      </c>
      <c r="I343" s="17">
        <v>54.221218877817911</v>
      </c>
      <c r="J343" s="17">
        <v>51.781992307459383</v>
      </c>
      <c r="M343" s="17">
        <v>435.49362249037512</v>
      </c>
      <c r="N343" s="17">
        <v>8.5050144629346711</v>
      </c>
      <c r="O343" s="17">
        <v>8.9926057513677797</v>
      </c>
      <c r="P343" s="17">
        <v>7.7622226521595223</v>
      </c>
      <c r="S343" s="5">
        <f t="shared" si="100"/>
        <v>470.69930627077923</v>
      </c>
      <c r="T343" s="17"/>
      <c r="U343" s="5">
        <f t="shared" si="101"/>
        <v>469.34619172883004</v>
      </c>
      <c r="W343" s="5">
        <f t="shared" si="102"/>
        <v>467.84753391357805</v>
      </c>
      <c r="Y343">
        <f t="shared" si="109"/>
        <v>334</v>
      </c>
      <c r="Z343" s="3">
        <f t="shared" si="110"/>
        <v>1106.7803095127715</v>
      </c>
      <c r="AA343" s="3">
        <f t="shared" si="111"/>
        <v>1120.2839791737347</v>
      </c>
      <c r="AB343" s="3">
        <f t="shared" si="112"/>
        <v>1169.9111352803016</v>
      </c>
      <c r="AC343" s="3">
        <f t="shared" si="113"/>
        <v>1214.3833729737707</v>
      </c>
      <c r="BC343" s="17">
        <f t="shared" si="95"/>
        <v>476.42908336055569</v>
      </c>
      <c r="BD343" s="3">
        <f t="shared" si="96"/>
        <v>1106.7803095127715</v>
      </c>
      <c r="BF343" s="5">
        <f t="shared" si="103"/>
        <v>470.69930627077923</v>
      </c>
      <c r="BG343">
        <f t="shared" si="104"/>
        <v>1120.2839791737347</v>
      </c>
      <c r="BI343" s="5">
        <f t="shared" si="105"/>
        <v>469.34619172883004</v>
      </c>
      <c r="BJ343">
        <f t="shared" si="106"/>
        <v>1169.9111352803016</v>
      </c>
      <c r="BL343" s="5">
        <f t="shared" si="107"/>
        <v>467.84753391357805</v>
      </c>
      <c r="BM343">
        <f t="shared" si="108"/>
        <v>1214.3833729737707</v>
      </c>
    </row>
    <row r="344" spans="1:65" x14ac:dyDescent="0.25">
      <c r="A344">
        <v>335</v>
      </c>
      <c r="B344" s="17">
        <f t="shared" si="97"/>
        <v>477.53185097324962</v>
      </c>
      <c r="C344" s="17">
        <f t="shared" si="98"/>
        <v>550.93833412431786</v>
      </c>
      <c r="D344" s="17">
        <f t="shared" si="99"/>
        <v>462.71963875772269</v>
      </c>
      <c r="G344" s="1">
        <v>335</v>
      </c>
      <c r="H344" s="17">
        <v>50.142399370948858</v>
      </c>
      <c r="I344" s="17">
        <v>54.229557720165722</v>
      </c>
      <c r="J344" s="17">
        <v>51.791856421258842</v>
      </c>
      <c r="M344" s="17">
        <v>436.64635454544532</v>
      </c>
      <c r="N344" s="17">
        <v>8.5186655944601846</v>
      </c>
      <c r="O344" s="17">
        <v>9.0101032446217371</v>
      </c>
      <c r="P344" s="17">
        <v>7.7670937812961922</v>
      </c>
      <c r="S344" s="5">
        <f t="shared" si="100"/>
        <v>471.81320252164426</v>
      </c>
      <c r="T344" s="17"/>
      <c r="U344" s="5">
        <f t="shared" si="101"/>
        <v>470.51137633312362</v>
      </c>
      <c r="W344" s="5">
        <f t="shared" si="102"/>
        <v>469.05903011391024</v>
      </c>
      <c r="Y344">
        <f t="shared" si="109"/>
        <v>335</v>
      </c>
      <c r="Z344" s="3">
        <f t="shared" si="110"/>
        <v>1102.7676126939241</v>
      </c>
      <c r="AA344" s="3">
        <f t="shared" si="111"/>
        <v>1113.8962508650252</v>
      </c>
      <c r="AB344" s="3">
        <f t="shared" si="112"/>
        <v>1165.1846042935858</v>
      </c>
      <c r="AC344" s="3">
        <f t="shared" si="113"/>
        <v>1211.4962003321921</v>
      </c>
      <c r="BC344" s="17">
        <f t="shared" si="95"/>
        <v>477.53185097324962</v>
      </c>
      <c r="BD344" s="3">
        <f t="shared" si="96"/>
        <v>1102.7676126939241</v>
      </c>
      <c r="BF344" s="5">
        <f t="shared" si="103"/>
        <v>471.81320252164426</v>
      </c>
      <c r="BG344">
        <f t="shared" si="104"/>
        <v>1113.8962508650252</v>
      </c>
      <c r="BI344" s="5">
        <f t="shared" si="105"/>
        <v>470.51137633312362</v>
      </c>
      <c r="BJ344">
        <f t="shared" si="106"/>
        <v>1165.1846042935858</v>
      </c>
      <c r="BL344" s="5">
        <f t="shared" si="107"/>
        <v>469.05903011391024</v>
      </c>
      <c r="BM344">
        <f t="shared" si="108"/>
        <v>1211.4962003321921</v>
      </c>
    </row>
    <row r="345" spans="1:65" x14ac:dyDescent="0.25">
      <c r="A345">
        <v>336</v>
      </c>
      <c r="B345" s="17">
        <f t="shared" si="97"/>
        <v>478.63062471538382</v>
      </c>
      <c r="C345" s="17">
        <f t="shared" si="98"/>
        <v>552.19489338921176</v>
      </c>
      <c r="D345" s="17">
        <f t="shared" si="99"/>
        <v>463.68122728500651</v>
      </c>
      <c r="G345" s="1">
        <v>336</v>
      </c>
      <c r="H345" s="17">
        <v>50.150634160395057</v>
      </c>
      <c r="I345" s="17">
        <v>54.237932092772617</v>
      </c>
      <c r="J345" s="17">
        <v>51.801727547114723</v>
      </c>
      <c r="M345" s="17">
        <v>437.79908660051558</v>
      </c>
      <c r="N345" s="17">
        <v>8.5323707418435806</v>
      </c>
      <c r="O345" s="17">
        <v>9.027682507115296</v>
      </c>
      <c r="P345" s="17">
        <v>7.7720300926217529</v>
      </c>
      <c r="S345" s="5">
        <f t="shared" si="100"/>
        <v>472.92066280808604</v>
      </c>
      <c r="T345" s="17"/>
      <c r="U345" s="5">
        <f t="shared" si="101"/>
        <v>471.67180028672101</v>
      </c>
      <c r="W345" s="5">
        <f t="shared" si="102"/>
        <v>470.26762298753232</v>
      </c>
      <c r="Y345">
        <f t="shared" si="109"/>
        <v>336</v>
      </c>
      <c r="Z345" s="3">
        <f t="shared" si="110"/>
        <v>1098.773742134199</v>
      </c>
      <c r="AA345" s="3">
        <f t="shared" si="111"/>
        <v>1107.4602864417784</v>
      </c>
      <c r="AB345" s="3">
        <f t="shared" si="112"/>
        <v>1160.4239535973875</v>
      </c>
      <c r="AC345" s="3">
        <f t="shared" si="113"/>
        <v>1208.5928736220808</v>
      </c>
      <c r="BC345" s="17">
        <f t="shared" si="95"/>
        <v>478.63062471538382</v>
      </c>
      <c r="BD345" s="3">
        <f t="shared" si="96"/>
        <v>1098.773742134199</v>
      </c>
      <c r="BF345" s="5">
        <f t="shared" si="103"/>
        <v>472.92066280808604</v>
      </c>
      <c r="BG345">
        <f t="shared" si="104"/>
        <v>1107.4602864417784</v>
      </c>
      <c r="BI345" s="5">
        <f t="shared" si="105"/>
        <v>471.67180028672101</v>
      </c>
      <c r="BJ345">
        <f t="shared" si="106"/>
        <v>1160.4239535973875</v>
      </c>
      <c r="BL345" s="5">
        <f t="shared" si="107"/>
        <v>470.26762298753232</v>
      </c>
      <c r="BM345">
        <f t="shared" si="108"/>
        <v>1208.5928736220808</v>
      </c>
    </row>
    <row r="346" spans="1:65" x14ac:dyDescent="0.25">
      <c r="A346">
        <v>337</v>
      </c>
      <c r="B346" s="17">
        <f t="shared" si="97"/>
        <v>479.72542394756317</v>
      </c>
      <c r="C346" s="17">
        <f t="shared" si="98"/>
        <v>553.44746528170276</v>
      </c>
      <c r="D346" s="17">
        <f t="shared" si="99"/>
        <v>464.63856097019044</v>
      </c>
      <c r="G346" s="1">
        <v>337</v>
      </c>
      <c r="H346" s="17">
        <v>50.158876317867353</v>
      </c>
      <c r="I346" s="17">
        <v>54.246340849501202</v>
      </c>
      <c r="J346" s="17">
        <v>51.811605458831657</v>
      </c>
      <c r="M346" s="17">
        <v>438.95181865558601</v>
      </c>
      <c r="N346" s="17">
        <v>8.5461281626378334</v>
      </c>
      <c r="O346" s="17">
        <v>9.0453409011310466</v>
      </c>
      <c r="P346" s="17">
        <v>7.7770294834849487</v>
      </c>
      <c r="S346" s="5">
        <f t="shared" si="100"/>
        <v>474.02163889398935</v>
      </c>
      <c r="T346" s="17"/>
      <c r="U346" s="5">
        <f t="shared" si="101"/>
        <v>472.82742946991311</v>
      </c>
      <c r="W346" s="5">
        <f t="shared" si="102"/>
        <v>471.47329638037559</v>
      </c>
      <c r="Y346">
        <f t="shared" si="109"/>
        <v>337</v>
      </c>
      <c r="Z346" s="3">
        <f t="shared" si="110"/>
        <v>1094.7992321793549</v>
      </c>
      <c r="AA346" s="3">
        <f t="shared" si="111"/>
        <v>1100.9760859033122</v>
      </c>
      <c r="AB346" s="3">
        <f t="shared" si="112"/>
        <v>1155.6291831921044</v>
      </c>
      <c r="AC346" s="3">
        <f t="shared" si="113"/>
        <v>1205.6733928432664</v>
      </c>
      <c r="BC346" s="17">
        <f t="shared" si="95"/>
        <v>479.72542394756317</v>
      </c>
      <c r="BD346" s="3">
        <f t="shared" si="96"/>
        <v>1094.7992321793549</v>
      </c>
      <c r="BF346" s="5">
        <f t="shared" si="103"/>
        <v>474.02163889398935</v>
      </c>
      <c r="BG346">
        <f t="shared" si="104"/>
        <v>1100.9760859033122</v>
      </c>
      <c r="BI346" s="5">
        <f t="shared" si="105"/>
        <v>472.82742946991311</v>
      </c>
      <c r="BJ346">
        <f t="shared" si="106"/>
        <v>1155.6291831921044</v>
      </c>
      <c r="BL346" s="5">
        <f t="shared" si="107"/>
        <v>471.47329638037559</v>
      </c>
      <c r="BM346">
        <f t="shared" si="108"/>
        <v>1205.6733928432664</v>
      </c>
    </row>
    <row r="347" spans="1:65" x14ac:dyDescent="0.25">
      <c r="A347">
        <v>338</v>
      </c>
      <c r="B347" s="17">
        <f t="shared" si="97"/>
        <v>480.81626856474145</v>
      </c>
      <c r="C347" s="17">
        <f t="shared" si="98"/>
        <v>554.69608002712312</v>
      </c>
      <c r="D347" s="17">
        <f t="shared" si="99"/>
        <v>465.5916666502107</v>
      </c>
      <c r="G347" s="1">
        <v>338</v>
      </c>
      <c r="H347" s="17">
        <v>50.167125597764837</v>
      </c>
      <c r="I347" s="17">
        <v>54.254782844214098</v>
      </c>
      <c r="J347" s="17">
        <v>51.821489930214277</v>
      </c>
      <c r="M347" s="17">
        <v>440.10455071065633</v>
      </c>
      <c r="N347" s="17">
        <v>8.5599361143959118</v>
      </c>
      <c r="O347" s="17">
        <v>9.0630757889515863</v>
      </c>
      <c r="P347" s="17">
        <v>7.7820898512345247</v>
      </c>
      <c r="S347" s="5">
        <f t="shared" si="100"/>
        <v>475.11608254323949</v>
      </c>
      <c r="T347" s="17"/>
      <c r="U347" s="5">
        <f t="shared" si="101"/>
        <v>473.97822976299068</v>
      </c>
      <c r="W347" s="5">
        <f t="shared" si="102"/>
        <v>472.67603413837128</v>
      </c>
      <c r="Y347">
        <f t="shared" si="109"/>
        <v>338</v>
      </c>
      <c r="Z347" s="3">
        <f t="shared" si="110"/>
        <v>1090.8446171782771</v>
      </c>
      <c r="AA347" s="3">
        <f t="shared" si="111"/>
        <v>1094.4436492501382</v>
      </c>
      <c r="AB347" s="3">
        <f t="shared" si="112"/>
        <v>1150.800293077566</v>
      </c>
      <c r="AC347" s="3">
        <f t="shared" si="113"/>
        <v>1202.7377579956919</v>
      </c>
      <c r="BC347" s="17">
        <f t="shared" si="95"/>
        <v>480.81626856474145</v>
      </c>
      <c r="BD347" s="3">
        <f t="shared" si="96"/>
        <v>1090.8446171782771</v>
      </c>
      <c r="BF347" s="5">
        <f t="shared" si="103"/>
        <v>475.11608254323949</v>
      </c>
      <c r="BG347">
        <f t="shared" si="104"/>
        <v>1094.4436492501382</v>
      </c>
      <c r="BI347" s="5">
        <f t="shared" si="105"/>
        <v>473.97822976299068</v>
      </c>
      <c r="BJ347">
        <f t="shared" si="106"/>
        <v>1150.800293077566</v>
      </c>
      <c r="BL347" s="5">
        <f t="shared" si="107"/>
        <v>472.67603413837128</v>
      </c>
      <c r="BM347">
        <f t="shared" si="108"/>
        <v>1202.7377579956919</v>
      </c>
    </row>
    <row r="348" spans="1:65" x14ac:dyDescent="0.25">
      <c r="A348">
        <v>339</v>
      </c>
      <c r="B348" s="17">
        <f t="shared" si="97"/>
        <v>481.9031789962192</v>
      </c>
      <c r="C348" s="17">
        <f t="shared" si="98"/>
        <v>555.94076847174074</v>
      </c>
      <c r="D348" s="17">
        <f t="shared" si="99"/>
        <v>466.54057174702365</v>
      </c>
      <c r="G348" s="1">
        <v>339</v>
      </c>
      <c r="H348" s="17">
        <v>50.175381754486679</v>
      </c>
      <c r="I348" s="17">
        <v>54.263256930773913</v>
      </c>
      <c r="J348" s="17">
        <v>51.831380735067214</v>
      </c>
      <c r="M348" s="17">
        <v>441.25728276572659</v>
      </c>
      <c r="N348" s="17">
        <v>8.5737928546707884</v>
      </c>
      <c r="O348" s="17">
        <v>9.0808845328595051</v>
      </c>
      <c r="P348" s="17">
        <v>7.7872090932192277</v>
      </c>
      <c r="S348" s="5">
        <f t="shared" si="100"/>
        <v>476.20394551972186</v>
      </c>
      <c r="T348" s="17"/>
      <c r="U348" s="5">
        <f t="shared" si="101"/>
        <v>475.12416704624411</v>
      </c>
      <c r="W348" s="5">
        <f t="shared" si="102"/>
        <v>473.87582010745075</v>
      </c>
      <c r="Y348">
        <f t="shared" si="109"/>
        <v>339</v>
      </c>
      <c r="Z348" s="3">
        <f t="shared" si="110"/>
        <v>1086.9104314777474</v>
      </c>
      <c r="AA348" s="3">
        <f t="shared" si="111"/>
        <v>1087.86297648237</v>
      </c>
      <c r="AB348" s="3">
        <f t="shared" si="112"/>
        <v>1145.9372832534314</v>
      </c>
      <c r="AC348" s="3">
        <f t="shared" si="113"/>
        <v>1199.7859690794712</v>
      </c>
      <c r="BC348" s="17">
        <f t="shared" si="95"/>
        <v>481.9031789962192</v>
      </c>
      <c r="BD348" s="3">
        <f t="shared" si="96"/>
        <v>1086.9104314777474</v>
      </c>
      <c r="BF348" s="5">
        <f t="shared" si="103"/>
        <v>476.20394551972186</v>
      </c>
      <c r="BG348">
        <f t="shared" si="104"/>
        <v>1087.86297648237</v>
      </c>
      <c r="BI348" s="5">
        <f t="shared" si="105"/>
        <v>475.12416704624411</v>
      </c>
      <c r="BJ348">
        <f t="shared" si="106"/>
        <v>1145.9372832534314</v>
      </c>
      <c r="BL348" s="5">
        <f t="shared" si="107"/>
        <v>473.87582010745075</v>
      </c>
      <c r="BM348">
        <f t="shared" si="108"/>
        <v>1199.7859690794712</v>
      </c>
    </row>
    <row r="349" spans="1:65" x14ac:dyDescent="0.25">
      <c r="A349">
        <v>340</v>
      </c>
      <c r="B349" s="17">
        <f t="shared" si="97"/>
        <v>482.98617620564482</v>
      </c>
      <c r="C349" s="17">
        <f t="shared" si="98"/>
        <v>557.18156208276218</v>
      </c>
      <c r="D349" s="17">
        <f t="shared" si="99"/>
        <v>467.48530426760607</v>
      </c>
      <c r="G349" s="1">
        <v>340</v>
      </c>
      <c r="H349" s="17">
        <v>50.183644542431978</v>
      </c>
      <c r="I349" s="17">
        <v>54.271761963043232</v>
      </c>
      <c r="J349" s="17">
        <v>51.841277647195099</v>
      </c>
      <c r="M349" s="17">
        <v>442.4100148207969</v>
      </c>
      <c r="N349" s="17">
        <v>8.5876966410154356</v>
      </c>
      <c r="O349" s="17">
        <v>9.0987644951373987</v>
      </c>
      <c r="P349" s="17">
        <v>7.7923851067878029</v>
      </c>
      <c r="S349" s="5">
        <f t="shared" si="100"/>
        <v>477.2851795873213</v>
      </c>
      <c r="T349" s="17"/>
      <c r="U349" s="5">
        <f t="shared" si="101"/>
        <v>476.26520719996438</v>
      </c>
      <c r="W349" s="5">
        <f t="shared" si="102"/>
        <v>475.07263813354518</v>
      </c>
      <c r="Y349">
        <f t="shared" si="109"/>
        <v>340</v>
      </c>
      <c r="Z349" s="3">
        <f t="shared" si="110"/>
        <v>1082.9972094256277</v>
      </c>
      <c r="AA349" s="3">
        <f t="shared" si="111"/>
        <v>1081.2340675994392</v>
      </c>
      <c r="AB349" s="3">
        <f t="shared" si="112"/>
        <v>1141.0401537202688</v>
      </c>
      <c r="AC349" s="3">
        <f t="shared" si="113"/>
        <v>1196.8180260944337</v>
      </c>
      <c r="BC349" s="17">
        <f t="shared" si="95"/>
        <v>482.98617620564482</v>
      </c>
      <c r="BD349" s="3">
        <f t="shared" si="96"/>
        <v>1082.9972094256277</v>
      </c>
      <c r="BF349" s="5">
        <f t="shared" si="103"/>
        <v>477.2851795873213</v>
      </c>
      <c r="BG349">
        <f t="shared" si="104"/>
        <v>1081.2340675994392</v>
      </c>
      <c r="BI349" s="5">
        <f t="shared" si="105"/>
        <v>476.26520719996438</v>
      </c>
      <c r="BJ349">
        <f t="shared" si="106"/>
        <v>1141.0401537202688</v>
      </c>
      <c r="BL349" s="5">
        <f t="shared" si="107"/>
        <v>475.07263813354518</v>
      </c>
      <c r="BM349">
        <f t="shared" si="108"/>
        <v>1196.8180260944337</v>
      </c>
    </row>
    <row r="350" spans="1:65" x14ac:dyDescent="0.25">
      <c r="A350">
        <v>341</v>
      </c>
      <c r="B350" s="17">
        <f t="shared" si="97"/>
        <v>484.06528169101387</v>
      </c>
      <c r="C350" s="17">
        <f t="shared" si="98"/>
        <v>558.41849294832843</v>
      </c>
      <c r="D350" s="17">
        <f t="shared" si="99"/>
        <v>468.42589280395646</v>
      </c>
      <c r="G350" s="1">
        <v>341</v>
      </c>
      <c r="H350" s="17">
        <v>50.191913715999881</v>
      </c>
      <c r="I350" s="17">
        <v>54.280296794884713</v>
      </c>
      <c r="J350" s="17">
        <v>51.851180440402572</v>
      </c>
      <c r="M350" s="17">
        <v>443.56274687586722</v>
      </c>
      <c r="N350" s="17">
        <v>8.601645730982824</v>
      </c>
      <c r="O350" s="17">
        <v>9.1167130380678572</v>
      </c>
      <c r="P350" s="17">
        <v>7.7976157892889963</v>
      </c>
      <c r="S350" s="5">
        <f t="shared" si="100"/>
        <v>478.35973650992321</v>
      </c>
      <c r="T350" s="17"/>
      <c r="U350" s="5">
        <f t="shared" si="101"/>
        <v>477.40131610444223</v>
      </c>
      <c r="W350" s="5">
        <f t="shared" si="102"/>
        <v>476.26647206258605</v>
      </c>
      <c r="Y350">
        <f t="shared" si="109"/>
        <v>341</v>
      </c>
      <c r="Z350" s="3">
        <f t="shared" si="110"/>
        <v>1079.1054853690412</v>
      </c>
      <c r="AA350" s="3">
        <f t="shared" si="111"/>
        <v>1074.5569226019143</v>
      </c>
      <c r="AB350" s="3">
        <f t="shared" si="112"/>
        <v>1136.108904477851</v>
      </c>
      <c r="AC350" s="3">
        <f t="shared" si="113"/>
        <v>1193.8339290408635</v>
      </c>
      <c r="BC350" s="17">
        <f t="shared" si="95"/>
        <v>484.06528169101387</v>
      </c>
      <c r="BD350" s="3">
        <f t="shared" si="96"/>
        <v>1079.1054853690412</v>
      </c>
      <c r="BF350" s="5">
        <f t="shared" si="103"/>
        <v>478.35973650992321</v>
      </c>
      <c r="BG350">
        <f t="shared" si="104"/>
        <v>1074.5569226019143</v>
      </c>
      <c r="BI350" s="5">
        <f t="shared" si="105"/>
        <v>477.40131610444223</v>
      </c>
      <c r="BJ350">
        <f t="shared" si="106"/>
        <v>1136.108904477851</v>
      </c>
      <c r="BL350" s="5">
        <f t="shared" si="107"/>
        <v>476.26647206258605</v>
      </c>
      <c r="BM350">
        <f t="shared" si="108"/>
        <v>1193.8339290408635</v>
      </c>
    </row>
    <row r="351" spans="1:65" x14ac:dyDescent="0.25">
      <c r="A351">
        <v>342</v>
      </c>
      <c r="B351" s="17">
        <f t="shared" si="97"/>
        <v>485.14051748466898</v>
      </c>
      <c r="C351" s="17">
        <f t="shared" si="98"/>
        <v>559.65159377751843</v>
      </c>
      <c r="D351" s="17">
        <f t="shared" si="99"/>
        <v>469.36236653309231</v>
      </c>
      <c r="G351" s="1">
        <v>342</v>
      </c>
      <c r="H351" s="17">
        <v>50.200189029589517</v>
      </c>
      <c r="I351" s="17">
        <v>54.288860280160911</v>
      </c>
      <c r="J351" s="17">
        <v>51.861088888494251</v>
      </c>
      <c r="M351" s="17">
        <v>444.71547893093748</v>
      </c>
      <c r="N351" s="17">
        <v>8.6156383821259244</v>
      </c>
      <c r="O351" s="17">
        <v>9.1347275239334795</v>
      </c>
      <c r="P351" s="17">
        <v>7.8028990380715504</v>
      </c>
      <c r="S351" s="5">
        <f t="shared" si="100"/>
        <v>479.42756805141255</v>
      </c>
      <c r="T351" s="17"/>
      <c r="U351" s="5">
        <f t="shared" si="101"/>
        <v>478.53245963996801</v>
      </c>
      <c r="W351" s="5">
        <f t="shared" si="102"/>
        <v>477.45730574050452</v>
      </c>
      <c r="Y351">
        <f t="shared" si="109"/>
        <v>342</v>
      </c>
      <c r="Z351" s="3">
        <f t="shared" si="110"/>
        <v>1075.2357936551107</v>
      </c>
      <c r="AA351" s="3">
        <f t="shared" si="111"/>
        <v>1067.8315414893405</v>
      </c>
      <c r="AB351" s="3">
        <f t="shared" si="112"/>
        <v>1131.14353552578</v>
      </c>
      <c r="AC351" s="3">
        <f t="shared" si="113"/>
        <v>1190.8336779184765</v>
      </c>
      <c r="BC351" s="17">
        <f t="shared" si="95"/>
        <v>485.14051748466898</v>
      </c>
      <c r="BD351" s="3">
        <f t="shared" si="96"/>
        <v>1075.2357936551107</v>
      </c>
      <c r="BF351" s="5">
        <f t="shared" si="103"/>
        <v>479.42756805141255</v>
      </c>
      <c r="BG351">
        <f t="shared" si="104"/>
        <v>1067.8315414893405</v>
      </c>
      <c r="BI351" s="5">
        <f t="shared" si="105"/>
        <v>478.53245963996801</v>
      </c>
      <c r="BJ351">
        <f t="shared" si="106"/>
        <v>1131.14353552578</v>
      </c>
      <c r="BL351" s="5">
        <f t="shared" si="107"/>
        <v>477.45730574050452</v>
      </c>
      <c r="BM351">
        <f t="shared" si="108"/>
        <v>1190.8336779184765</v>
      </c>
    </row>
    <row r="352" spans="1:65" x14ac:dyDescent="0.25">
      <c r="A352">
        <v>343</v>
      </c>
      <c r="B352" s="17">
        <f t="shared" si="97"/>
        <v>486.21190615330062</v>
      </c>
      <c r="C352" s="17">
        <f t="shared" si="98"/>
        <v>560.88089790034746</v>
      </c>
      <c r="D352" s="17">
        <f t="shared" si="99"/>
        <v>470.29475521705291</v>
      </c>
      <c r="G352" s="1">
        <v>343</v>
      </c>
      <c r="H352" s="17">
        <v>50.208470237600011</v>
      </c>
      <c r="I352" s="17">
        <v>54.297451272734477</v>
      </c>
      <c r="J352" s="17">
        <v>51.871002765274767</v>
      </c>
      <c r="M352" s="17">
        <v>445.86821098600791</v>
      </c>
      <c r="N352" s="17">
        <v>8.6296728519977073</v>
      </c>
      <c r="O352" s="17">
        <v>9.152805315016856</v>
      </c>
      <c r="P352" s="17">
        <v>7.8082327504842137</v>
      </c>
      <c r="S352" s="5">
        <f t="shared" si="100"/>
        <v>480.48862597567467</v>
      </c>
      <c r="T352" s="17"/>
      <c r="U352" s="5">
        <f t="shared" si="101"/>
        <v>479.65860368683292</v>
      </c>
      <c r="W352" s="5">
        <f t="shared" si="102"/>
        <v>478.64512301323202</v>
      </c>
      <c r="Y352">
        <f t="shared" si="109"/>
        <v>343</v>
      </c>
      <c r="Z352" s="3">
        <f t="shared" si="110"/>
        <v>1071.3886686316414</v>
      </c>
      <c r="AA352" s="3">
        <f t="shared" si="111"/>
        <v>1061.0579242621156</v>
      </c>
      <c r="AB352" s="3">
        <f t="shared" si="112"/>
        <v>1126.1440468649084</v>
      </c>
      <c r="AC352" s="3">
        <f t="shared" si="113"/>
        <v>1187.8172727275</v>
      </c>
      <c r="BC352" s="17">
        <f t="shared" si="95"/>
        <v>486.21190615330062</v>
      </c>
      <c r="BD352" s="3">
        <f t="shared" si="96"/>
        <v>1071.3886686316414</v>
      </c>
      <c r="BF352" s="5">
        <f t="shared" si="103"/>
        <v>480.48862597567467</v>
      </c>
      <c r="BG352">
        <f t="shared" si="104"/>
        <v>1061.0579242621156</v>
      </c>
      <c r="BI352" s="5">
        <f t="shared" si="105"/>
        <v>479.65860368683292</v>
      </c>
      <c r="BJ352">
        <f t="shared" si="106"/>
        <v>1126.1440468649084</v>
      </c>
      <c r="BL352" s="5">
        <f t="shared" si="107"/>
        <v>478.64512301323202</v>
      </c>
      <c r="BM352">
        <f t="shared" si="108"/>
        <v>1187.8172727275</v>
      </c>
    </row>
    <row r="353" spans="1:65" x14ac:dyDescent="0.25">
      <c r="A353">
        <v>344</v>
      </c>
      <c r="B353" s="17">
        <f t="shared" si="97"/>
        <v>487.27947079794632</v>
      </c>
      <c r="C353" s="17">
        <f t="shared" si="98"/>
        <v>562.10643926776697</v>
      </c>
      <c r="D353" s="17">
        <f t="shared" si="99"/>
        <v>471.22308920289805</v>
      </c>
      <c r="G353" s="1">
        <v>344</v>
      </c>
      <c r="H353" s="17">
        <v>50.216757094430498</v>
      </c>
      <c r="I353" s="17">
        <v>54.306068626468011</v>
      </c>
      <c r="J353" s="17">
        <v>51.880921844548773</v>
      </c>
      <c r="M353" s="17">
        <v>447.02094304107823</v>
      </c>
      <c r="N353" s="17">
        <v>8.6437473981511488</v>
      </c>
      <c r="O353" s="17">
        <v>9.1709437736005821</v>
      </c>
      <c r="P353" s="17">
        <v>7.8136148238757324</v>
      </c>
      <c r="S353" s="5">
        <f t="shared" si="100"/>
        <v>481.54286204659473</v>
      </c>
      <c r="T353" s="17"/>
      <c r="U353" s="5">
        <f t="shared" si="101"/>
        <v>480.77971412532719</v>
      </c>
      <c r="W353" s="5">
        <f t="shared" si="102"/>
        <v>479.82990772669962</v>
      </c>
      <c r="Y353">
        <f t="shared" si="109"/>
        <v>344</v>
      </c>
      <c r="Z353" s="3">
        <f t="shared" si="110"/>
        <v>1067.5646446456994</v>
      </c>
      <c r="AA353" s="3">
        <f t="shared" si="111"/>
        <v>1054.2360709200693</v>
      </c>
      <c r="AB353" s="3">
        <f t="shared" si="112"/>
        <v>1121.1104384942701</v>
      </c>
      <c r="AC353" s="3">
        <f t="shared" si="113"/>
        <v>1184.7847134675931</v>
      </c>
      <c r="BC353" s="17">
        <f t="shared" si="95"/>
        <v>487.27947079794632</v>
      </c>
      <c r="BD353" s="3">
        <f t="shared" si="96"/>
        <v>1067.5646446456994</v>
      </c>
      <c r="BF353" s="5">
        <f t="shared" si="103"/>
        <v>481.54286204659473</v>
      </c>
      <c r="BG353">
        <f t="shared" si="104"/>
        <v>1054.2360709200693</v>
      </c>
      <c r="BI353" s="5">
        <f t="shared" si="105"/>
        <v>480.77971412532719</v>
      </c>
      <c r="BJ353">
        <f t="shared" si="106"/>
        <v>1121.1104384942701</v>
      </c>
      <c r="BL353" s="5">
        <f t="shared" si="107"/>
        <v>479.82990772669962</v>
      </c>
      <c r="BM353">
        <f t="shared" si="108"/>
        <v>1184.7847134675931</v>
      </c>
    </row>
    <row r="354" spans="1:65" x14ac:dyDescent="0.25">
      <c r="A354">
        <v>345</v>
      </c>
      <c r="B354" s="17">
        <f t="shared" si="97"/>
        <v>488.3432350539922</v>
      </c>
      <c r="C354" s="17">
        <f t="shared" si="98"/>
        <v>563.328252451666</v>
      </c>
      <c r="D354" s="17">
        <f t="shared" si="99"/>
        <v>472.14739942270745</v>
      </c>
      <c r="G354" s="1">
        <v>345</v>
      </c>
      <c r="H354" s="17">
        <v>50.225049354480113</v>
      </c>
      <c r="I354" s="17">
        <v>54.31471119522412</v>
      </c>
      <c r="J354" s="17">
        <v>51.890845900120873</v>
      </c>
      <c r="M354" s="17">
        <v>448.17367509614849</v>
      </c>
      <c r="N354" s="17">
        <v>8.6578602781392142</v>
      </c>
      <c r="O354" s="17">
        <v>9.189140261967248</v>
      </c>
      <c r="P354" s="17">
        <v>7.8190431555948479</v>
      </c>
      <c r="S354" s="5">
        <f t="shared" si="100"/>
        <v>482.59022802805777</v>
      </c>
      <c r="T354" s="17"/>
      <c r="U354" s="5">
        <f t="shared" si="101"/>
        <v>481.89575683574196</v>
      </c>
      <c r="W354" s="5">
        <f t="shared" si="102"/>
        <v>481.01164372683911</v>
      </c>
      <c r="Y354">
        <f t="shared" si="109"/>
        <v>345</v>
      </c>
      <c r="Z354" s="3">
        <f t="shared" si="110"/>
        <v>1063.7642560458858</v>
      </c>
      <c r="AA354" s="3">
        <f t="shared" si="111"/>
        <v>1047.3659814630309</v>
      </c>
      <c r="AB354" s="3">
        <f t="shared" si="112"/>
        <v>1116.0427104147743</v>
      </c>
      <c r="AC354" s="3">
        <f t="shared" si="113"/>
        <v>1181.7360001394945</v>
      </c>
      <c r="BC354" s="17">
        <f t="shared" si="95"/>
        <v>488.3432350539922</v>
      </c>
      <c r="BD354" s="3">
        <f t="shared" si="96"/>
        <v>1063.7642560458858</v>
      </c>
      <c r="BF354" s="5">
        <f t="shared" si="103"/>
        <v>482.59022802805777</v>
      </c>
      <c r="BG354">
        <f t="shared" si="104"/>
        <v>1047.3659814630309</v>
      </c>
      <c r="BI354" s="5">
        <f t="shared" si="105"/>
        <v>481.89575683574196</v>
      </c>
      <c r="BJ354">
        <f t="shared" si="106"/>
        <v>1116.0427104147743</v>
      </c>
      <c r="BL354" s="5">
        <f t="shared" si="107"/>
        <v>481.01164372683911</v>
      </c>
      <c r="BM354">
        <f t="shared" si="108"/>
        <v>1181.7360001394945</v>
      </c>
    </row>
    <row r="355" spans="1:65" x14ac:dyDescent="0.25">
      <c r="A355">
        <v>346</v>
      </c>
      <c r="B355" s="17">
        <f t="shared" si="97"/>
        <v>489.40322309116954</v>
      </c>
      <c r="C355" s="17">
        <f t="shared" si="98"/>
        <v>564.54637264486882</v>
      </c>
      <c r="D355" s="17">
        <f t="shared" si="99"/>
        <v>473.06771739358169</v>
      </c>
      <c r="G355" s="1">
        <v>346</v>
      </c>
      <c r="H355" s="17">
        <v>50.233346772147968</v>
      </c>
      <c r="I355" s="17">
        <v>54.323377832865411</v>
      </c>
      <c r="J355" s="17">
        <v>51.900774705795712</v>
      </c>
      <c r="M355" s="17">
        <v>449.3264071512188</v>
      </c>
      <c r="N355" s="17">
        <v>8.6720097495148813</v>
      </c>
      <c r="O355" s="17">
        <v>9.2073921423994491</v>
      </c>
      <c r="P355" s="17">
        <v>7.8245156429903098</v>
      </c>
      <c r="S355" s="5">
        <f t="shared" si="100"/>
        <v>483.63067568394905</v>
      </c>
      <c r="T355" s="17"/>
      <c r="U355" s="5">
        <f t="shared" si="101"/>
        <v>483.00669769836765</v>
      </c>
      <c r="W355" s="5">
        <f t="shared" si="102"/>
        <v>482.19031485958124</v>
      </c>
      <c r="Y355">
        <f t="shared" si="109"/>
        <v>346</v>
      </c>
      <c r="Z355" s="3">
        <f t="shared" si="110"/>
        <v>1059.9880371773338</v>
      </c>
      <c r="AA355" s="3">
        <f t="shared" si="111"/>
        <v>1040.4476558912847</v>
      </c>
      <c r="AB355" s="3">
        <f t="shared" si="112"/>
        <v>1110.9408626256823</v>
      </c>
      <c r="AC355" s="3">
        <f t="shared" si="113"/>
        <v>1178.6711327421244</v>
      </c>
      <c r="BC355" s="17">
        <f t="shared" si="95"/>
        <v>489.40322309116954</v>
      </c>
      <c r="BD355" s="3">
        <f t="shared" si="96"/>
        <v>1059.9880371773338</v>
      </c>
      <c r="BF355" s="5">
        <f t="shared" si="103"/>
        <v>483.63067568394905</v>
      </c>
      <c r="BG355">
        <f t="shared" si="104"/>
        <v>1040.4476558912847</v>
      </c>
      <c r="BI355" s="5">
        <f t="shared" si="105"/>
        <v>483.00669769836765</v>
      </c>
      <c r="BJ355">
        <f t="shared" si="106"/>
        <v>1110.9408626256823</v>
      </c>
      <c r="BL355" s="5">
        <f t="shared" si="107"/>
        <v>482.19031485958124</v>
      </c>
      <c r="BM355">
        <f t="shared" si="108"/>
        <v>1178.6711327421244</v>
      </c>
    </row>
    <row r="356" spans="1:65" x14ac:dyDescent="0.25">
      <c r="A356">
        <v>347</v>
      </c>
      <c r="B356" s="17">
        <f t="shared" si="97"/>
        <v>490.45945961355983</v>
      </c>
      <c r="C356" s="17">
        <f t="shared" si="98"/>
        <v>565.76083566113789</v>
      </c>
      <c r="D356" s="17">
        <f t="shared" si="99"/>
        <v>473.98407521764295</v>
      </c>
      <c r="G356" s="1">
        <v>347</v>
      </c>
      <c r="H356" s="17">
        <v>50.241649101833218</v>
      </c>
      <c r="I356" s="17">
        <v>54.332067393254512</v>
      </c>
      <c r="J356" s="17">
        <v>51.910708035377922</v>
      </c>
      <c r="M356" s="17">
        <v>450.47913920628912</v>
      </c>
      <c r="N356" s="17">
        <v>8.6861940698311173</v>
      </c>
      <c r="O356" s="17">
        <v>9.2256967771797811</v>
      </c>
      <c r="P356" s="17">
        <v>7.8300301834108614</v>
      </c>
      <c r="S356" s="5">
        <f t="shared" si="100"/>
        <v>484.66415677815365</v>
      </c>
      <c r="T356" s="17"/>
      <c r="U356" s="5">
        <f t="shared" si="101"/>
        <v>484.11250259349504</v>
      </c>
      <c r="W356" s="5">
        <f t="shared" si="102"/>
        <v>483.36590497085751</v>
      </c>
      <c r="Y356">
        <f t="shared" si="109"/>
        <v>347</v>
      </c>
      <c r="Z356" s="3">
        <f t="shared" si="110"/>
        <v>1056.236522390293</v>
      </c>
      <c r="AA356" s="3">
        <f t="shared" si="111"/>
        <v>1033.4810942046033</v>
      </c>
      <c r="AB356" s="3">
        <f t="shared" si="112"/>
        <v>1105.8048951273918</v>
      </c>
      <c r="AC356" s="3">
        <f t="shared" si="113"/>
        <v>1175.5901112762785</v>
      </c>
      <c r="BC356" s="17">
        <f t="shared" si="95"/>
        <v>490.45945961355983</v>
      </c>
      <c r="BD356" s="3">
        <f t="shared" si="96"/>
        <v>1056.236522390293</v>
      </c>
      <c r="BF356" s="5">
        <f t="shared" si="103"/>
        <v>484.66415677815365</v>
      </c>
      <c r="BG356">
        <f t="shared" si="104"/>
        <v>1033.4810942046033</v>
      </c>
      <c r="BI356" s="5">
        <f t="shared" si="105"/>
        <v>484.11250259349504</v>
      </c>
      <c r="BJ356">
        <f t="shared" si="106"/>
        <v>1105.8048951273918</v>
      </c>
      <c r="BL356" s="5">
        <f t="shared" si="107"/>
        <v>483.36590497085751</v>
      </c>
      <c r="BM356">
        <f t="shared" si="108"/>
        <v>1175.5901112762785</v>
      </c>
    </row>
    <row r="357" spans="1:65" x14ac:dyDescent="0.25">
      <c r="A357">
        <v>348</v>
      </c>
      <c r="B357" s="17">
        <f t="shared" si="97"/>
        <v>491.51196985958927</v>
      </c>
      <c r="C357" s="17">
        <f t="shared" si="98"/>
        <v>566.97167793517087</v>
      </c>
      <c r="D357" s="17">
        <f t="shared" si="99"/>
        <v>474.89650558203209</v>
      </c>
      <c r="G357" s="1">
        <v>348</v>
      </c>
      <c r="H357" s="17">
        <v>50.249956097934977</v>
      </c>
      <c r="I357" s="17">
        <v>54.340778730253987</v>
      </c>
      <c r="J357" s="17">
        <v>51.920645662672129</v>
      </c>
      <c r="M357" s="17">
        <v>451.63187126135938</v>
      </c>
      <c r="N357" s="17">
        <v>8.7004114966408945</v>
      </c>
      <c r="O357" s="17">
        <v>9.244051528590834</v>
      </c>
      <c r="P357" s="17">
        <v>7.8355846742052497</v>
      </c>
      <c r="S357" s="5">
        <f t="shared" si="100"/>
        <v>485.69062307455681</v>
      </c>
      <c r="T357" s="17"/>
      <c r="U357" s="5">
        <f t="shared" si="101"/>
        <v>485.21313740141494</v>
      </c>
      <c r="W357" s="5">
        <f t="shared" si="102"/>
        <v>484.53839790659941</v>
      </c>
      <c r="Y357">
        <f t="shared" si="109"/>
        <v>348</v>
      </c>
      <c r="Z357" s="3">
        <f t="shared" si="110"/>
        <v>1052.510246029442</v>
      </c>
      <c r="AA357" s="3">
        <f t="shared" si="111"/>
        <v>1026.4662964031572</v>
      </c>
      <c r="AB357" s="3">
        <f t="shared" si="112"/>
        <v>1100.6348079199029</v>
      </c>
      <c r="AC357" s="3">
        <f t="shared" si="113"/>
        <v>1172.4929357419001</v>
      </c>
      <c r="BC357" s="17">
        <f t="shared" si="95"/>
        <v>491.51196985958927</v>
      </c>
      <c r="BD357" s="3">
        <f t="shared" si="96"/>
        <v>1052.510246029442</v>
      </c>
      <c r="BF357" s="5">
        <f t="shared" si="103"/>
        <v>485.69062307455681</v>
      </c>
      <c r="BG357">
        <f t="shared" si="104"/>
        <v>1026.4662964031572</v>
      </c>
      <c r="BI357" s="5">
        <f t="shared" si="105"/>
        <v>485.21313740141494</v>
      </c>
      <c r="BJ357">
        <f t="shared" si="106"/>
        <v>1100.6348079199029</v>
      </c>
      <c r="BL357" s="5">
        <f t="shared" si="107"/>
        <v>484.53839790659941</v>
      </c>
      <c r="BM357">
        <f t="shared" si="108"/>
        <v>1172.4929357419001</v>
      </c>
    </row>
    <row r="358" spans="1:65" x14ac:dyDescent="0.25">
      <c r="A358">
        <v>349</v>
      </c>
      <c r="B358" s="17">
        <f t="shared" si="97"/>
        <v>492.56077960203362</v>
      </c>
      <c r="C358" s="17">
        <f t="shared" si="98"/>
        <v>568.17893652260273</v>
      </c>
      <c r="D358" s="17">
        <f t="shared" si="99"/>
        <v>475.8050417589123</v>
      </c>
      <c r="G358" s="1">
        <v>349</v>
      </c>
      <c r="H358" s="17">
        <v>50.258267514852399</v>
      </c>
      <c r="I358" s="17">
        <v>54.349510697726508</v>
      </c>
      <c r="J358" s="17">
        <v>51.930587361482971</v>
      </c>
      <c r="M358" s="17">
        <v>452.7846033164297</v>
      </c>
      <c r="N358" s="17">
        <v>8.7146602874971837</v>
      </c>
      <c r="O358" s="17">
        <v>9.2624537589152052</v>
      </c>
      <c r="P358" s="17">
        <v>7.841177012722218</v>
      </c>
      <c r="S358" s="5">
        <f t="shared" si="100"/>
        <v>486.7100263370437</v>
      </c>
      <c r="T358" s="17"/>
      <c r="U358" s="5">
        <f t="shared" si="101"/>
        <v>486.30856800241804</v>
      </c>
      <c r="W358" s="5">
        <f t="shared" si="102"/>
        <v>485.70777751273806</v>
      </c>
      <c r="Y358">
        <f t="shared" si="109"/>
        <v>349</v>
      </c>
      <c r="Z358" s="3">
        <f t="shared" si="110"/>
        <v>1048.8097424443481</v>
      </c>
      <c r="AA358" s="3">
        <f t="shared" si="111"/>
        <v>1019.4032624868896</v>
      </c>
      <c r="AB358" s="3">
        <f t="shared" si="112"/>
        <v>1095.4306010031019</v>
      </c>
      <c r="AC358" s="3">
        <f t="shared" si="113"/>
        <v>1169.3796061386479</v>
      </c>
      <c r="BC358" s="17">
        <f t="shared" si="95"/>
        <v>492.56077960203362</v>
      </c>
      <c r="BD358" s="3">
        <f t="shared" si="96"/>
        <v>1048.8097424443481</v>
      </c>
      <c r="BF358" s="5">
        <f t="shared" si="103"/>
        <v>486.7100263370437</v>
      </c>
      <c r="BG358">
        <f t="shared" si="104"/>
        <v>1019.4032624868896</v>
      </c>
      <c r="BI358" s="5">
        <f t="shared" si="105"/>
        <v>486.30856800241804</v>
      </c>
      <c r="BJ358">
        <f t="shared" si="106"/>
        <v>1095.4306010031019</v>
      </c>
      <c r="BL358" s="5">
        <f t="shared" si="107"/>
        <v>485.70777751273806</v>
      </c>
      <c r="BM358">
        <f t="shared" si="108"/>
        <v>1169.3796061386479</v>
      </c>
    </row>
    <row r="359" spans="1:65" x14ac:dyDescent="0.25">
      <c r="A359">
        <v>350</v>
      </c>
      <c r="B359" s="17">
        <f t="shared" si="97"/>
        <v>493.60591514801501</v>
      </c>
      <c r="C359" s="17">
        <f t="shared" si="98"/>
        <v>569.38264910000498</v>
      </c>
      <c r="D359" s="17">
        <f t="shared" si="99"/>
        <v>476.70971760546701</v>
      </c>
      <c r="G359" s="1">
        <v>350</v>
      </c>
      <c r="H359" s="17">
        <v>50.266583106984577</v>
      </c>
      <c r="I359" s="17">
        <v>54.358262149534653</v>
      </c>
      <c r="J359" s="17">
        <v>51.940532905615079</v>
      </c>
      <c r="M359" s="17">
        <v>453.93733537150001</v>
      </c>
      <c r="N359" s="17">
        <v>8.728938699952959</v>
      </c>
      <c r="O359" s="17">
        <v>9.2809008304354847</v>
      </c>
      <c r="P359" s="17">
        <v>7.846805096310514</v>
      </c>
      <c r="S359" s="5">
        <f t="shared" si="100"/>
        <v>487.7223183294995</v>
      </c>
      <c r="T359" s="17"/>
      <c r="U359" s="5">
        <f t="shared" si="101"/>
        <v>487.39876027679486</v>
      </c>
      <c r="W359" s="5">
        <f t="shared" si="102"/>
        <v>486.8740276352047</v>
      </c>
      <c r="Y359">
        <f t="shared" si="109"/>
        <v>350</v>
      </c>
      <c r="Z359" s="3">
        <f t="shared" si="110"/>
        <v>1045.1355459813954</v>
      </c>
      <c r="AA359" s="3">
        <f t="shared" si="111"/>
        <v>1012.2919924558005</v>
      </c>
      <c r="AB359" s="3">
        <f t="shared" si="112"/>
        <v>1090.1922743768182</v>
      </c>
      <c r="AC359" s="3">
        <f t="shared" si="113"/>
        <v>1166.2501224666357</v>
      </c>
      <c r="BC359" s="17">
        <f t="shared" si="95"/>
        <v>493.60591514801501</v>
      </c>
      <c r="BD359" s="3">
        <f t="shared" si="96"/>
        <v>1045.1355459813954</v>
      </c>
      <c r="BF359" s="5">
        <f t="shared" si="103"/>
        <v>487.7223183294995</v>
      </c>
      <c r="BG359">
        <f t="shared" si="104"/>
        <v>1012.2919924558005</v>
      </c>
      <c r="BI359" s="5">
        <f t="shared" si="105"/>
        <v>487.39876027679486</v>
      </c>
      <c r="BJ359">
        <f t="shared" si="106"/>
        <v>1090.1922743768182</v>
      </c>
      <c r="BL359" s="5">
        <f t="shared" si="107"/>
        <v>486.8740276352047</v>
      </c>
      <c r="BM359">
        <f t="shared" si="108"/>
        <v>1166.2501224666357</v>
      </c>
    </row>
    <row r="360" spans="1:65" x14ac:dyDescent="0.25">
      <c r="A360">
        <v>351</v>
      </c>
      <c r="B360" s="17">
        <f t="shared" si="97"/>
        <v>494.64740333900289</v>
      </c>
      <c r="C360" s="17">
        <f t="shared" si="98"/>
        <v>570.58285396488623</v>
      </c>
      <c r="D360" s="17">
        <f t="shared" si="99"/>
        <v>477.61056756389911</v>
      </c>
      <c r="G360" s="1">
        <v>351</v>
      </c>
      <c r="H360" s="17">
        <v>50.274902628730693</v>
      </c>
      <c r="I360" s="17">
        <v>54.367031939541022</v>
      </c>
      <c r="J360" s="17">
        <v>51.950482068873093</v>
      </c>
      <c r="M360" s="17">
        <v>455.09006742657027</v>
      </c>
      <c r="N360" s="17">
        <v>8.7432449915611894</v>
      </c>
      <c r="O360" s="17">
        <v>9.2993901054342665</v>
      </c>
      <c r="P360" s="17">
        <v>7.852466822318882</v>
      </c>
      <c r="S360" s="5">
        <f t="shared" si="100"/>
        <v>488.72745081580928</v>
      </c>
      <c r="T360" s="17"/>
      <c r="U360" s="5">
        <f t="shared" si="101"/>
        <v>488.48368010483631</v>
      </c>
      <c r="W360" s="5">
        <f t="shared" si="102"/>
        <v>488.0371321199309</v>
      </c>
      <c r="Y360">
        <f t="shared" si="109"/>
        <v>351</v>
      </c>
      <c r="Z360" s="3">
        <f t="shared" si="110"/>
        <v>1041.4881909878773</v>
      </c>
      <c r="AA360" s="3">
        <f t="shared" si="111"/>
        <v>1005.1324863097761</v>
      </c>
      <c r="AB360" s="3">
        <f t="shared" si="112"/>
        <v>1084.9198280414498</v>
      </c>
      <c r="AC360" s="3">
        <f t="shared" si="113"/>
        <v>1163.1044847262046</v>
      </c>
      <c r="BC360" s="17">
        <f t="shared" si="95"/>
        <v>494.64740333900289</v>
      </c>
      <c r="BD360" s="3">
        <f t="shared" si="96"/>
        <v>1041.4881909878773</v>
      </c>
      <c r="BF360" s="5">
        <f t="shared" si="103"/>
        <v>488.72745081580928</v>
      </c>
      <c r="BG360">
        <f t="shared" si="104"/>
        <v>1005.1324863097761</v>
      </c>
      <c r="BI360" s="5">
        <f t="shared" si="105"/>
        <v>488.48368010483631</v>
      </c>
      <c r="BJ360">
        <f t="shared" si="106"/>
        <v>1084.9198280414498</v>
      </c>
      <c r="BL360" s="5">
        <f t="shared" si="107"/>
        <v>488.0371321199309</v>
      </c>
      <c r="BM360">
        <f t="shared" si="108"/>
        <v>1163.1044847262046</v>
      </c>
    </row>
    <row r="361" spans="1:65" x14ac:dyDescent="0.25">
      <c r="A361">
        <v>352</v>
      </c>
      <c r="B361" s="17">
        <f t="shared" si="97"/>
        <v>495.6852715508146</v>
      </c>
      <c r="C361" s="17">
        <f t="shared" si="98"/>
        <v>571.77959003569026</v>
      </c>
      <c r="D361" s="17">
        <f t="shared" si="99"/>
        <v>478.50762666143368</v>
      </c>
      <c r="G361" s="1">
        <v>352</v>
      </c>
      <c r="H361" s="17">
        <v>50.283225834489819</v>
      </c>
      <c r="I361" s="17">
        <v>54.375818921608243</v>
      </c>
      <c r="J361" s="17">
        <v>51.960434625061609</v>
      </c>
      <c r="M361" s="17">
        <v>456.2427994816407</v>
      </c>
      <c r="N361" s="17">
        <v>8.7575774198748473</v>
      </c>
      <c r="O361" s="17">
        <v>9.3179189461941458</v>
      </c>
      <c r="P361" s="17">
        <v>7.858160088096068</v>
      </c>
      <c r="S361" s="5">
        <f t="shared" si="100"/>
        <v>489.72537555985832</v>
      </c>
      <c r="T361" s="17"/>
      <c r="U361" s="5">
        <f t="shared" si="101"/>
        <v>489.56329336683302</v>
      </c>
      <c r="W361" s="5">
        <f t="shared" si="102"/>
        <v>489.19707481284763</v>
      </c>
      <c r="Y361">
        <f t="shared" si="109"/>
        <v>352</v>
      </c>
      <c r="Z361" s="3">
        <f t="shared" si="110"/>
        <v>1037.8682118117126</v>
      </c>
      <c r="AA361" s="3">
        <f t="shared" si="111"/>
        <v>997.92474404904397</v>
      </c>
      <c r="AB361" s="3">
        <f t="shared" si="112"/>
        <v>1079.6132619967125</v>
      </c>
      <c r="AC361" s="3">
        <f t="shared" si="113"/>
        <v>1159.9426929167294</v>
      </c>
      <c r="BC361" s="17">
        <f t="shared" si="95"/>
        <v>495.6852715508146</v>
      </c>
      <c r="BD361" s="3">
        <f t="shared" si="96"/>
        <v>1037.8682118117126</v>
      </c>
      <c r="BF361" s="5">
        <f t="shared" si="103"/>
        <v>489.72537555985832</v>
      </c>
      <c r="BG361">
        <f t="shared" si="104"/>
        <v>997.92474404904397</v>
      </c>
      <c r="BI361" s="5">
        <f t="shared" si="105"/>
        <v>489.56329336683302</v>
      </c>
      <c r="BJ361">
        <f t="shared" si="106"/>
        <v>1079.6132619967125</v>
      </c>
      <c r="BL361" s="5">
        <f t="shared" si="107"/>
        <v>489.19707481284763</v>
      </c>
      <c r="BM361">
        <f t="shared" si="108"/>
        <v>1159.9426929167294</v>
      </c>
    </row>
    <row r="362" spans="1:65" x14ac:dyDescent="0.25">
      <c r="A362">
        <v>353</v>
      </c>
      <c r="B362" s="17">
        <f t="shared" si="97"/>
        <v>496.71954769361508</v>
      </c>
      <c r="C362" s="17">
        <f t="shared" si="98"/>
        <v>572.97289685179953</v>
      </c>
      <c r="D362" s="17">
        <f t="shared" si="99"/>
        <v>479.40093051031516</v>
      </c>
      <c r="G362" s="1">
        <v>353</v>
      </c>
      <c r="H362" s="17">
        <v>50.291552478661117</v>
      </c>
      <c r="I362" s="17">
        <v>54.384621949598923</v>
      </c>
      <c r="J362" s="17">
        <v>51.970390347985301</v>
      </c>
      <c r="M362" s="17">
        <v>457.39553153671102</v>
      </c>
      <c r="N362" s="17">
        <v>8.7719342424469051</v>
      </c>
      <c r="O362" s="17">
        <v>9.3364847149977148</v>
      </c>
      <c r="P362" s="17">
        <v>7.8638827909908162</v>
      </c>
      <c r="S362" s="5">
        <f t="shared" si="100"/>
        <v>490.7160443255317</v>
      </c>
      <c r="T362" s="17"/>
      <c r="U362" s="5">
        <f t="shared" si="101"/>
        <v>490.63756594307586</v>
      </c>
      <c r="W362" s="5">
        <f t="shared" si="102"/>
        <v>490.35383955988652</v>
      </c>
      <c r="Y362">
        <f t="shared" si="109"/>
        <v>353</v>
      </c>
      <c r="Z362" s="3">
        <f t="shared" si="110"/>
        <v>1034.2761428004792</v>
      </c>
      <c r="AA362" s="3">
        <f t="shared" si="111"/>
        <v>990.66876567337658</v>
      </c>
      <c r="AB362" s="3">
        <f t="shared" si="112"/>
        <v>1074.2725762428336</v>
      </c>
      <c r="AC362" s="3">
        <f t="shared" si="113"/>
        <v>1156.764747038892</v>
      </c>
      <c r="BC362" s="17">
        <f t="shared" si="95"/>
        <v>496.71954769361508</v>
      </c>
      <c r="BD362" s="3">
        <f t="shared" si="96"/>
        <v>1034.2761428004792</v>
      </c>
      <c r="BF362" s="5">
        <f t="shared" si="103"/>
        <v>490.7160443255317</v>
      </c>
      <c r="BG362">
        <f t="shared" si="104"/>
        <v>990.66876567337658</v>
      </c>
      <c r="BI362" s="5">
        <f t="shared" si="105"/>
        <v>490.63756594307586</v>
      </c>
      <c r="BJ362">
        <f t="shared" si="106"/>
        <v>1074.2725762428336</v>
      </c>
      <c r="BL362" s="5">
        <f t="shared" si="107"/>
        <v>490.35383955988652</v>
      </c>
      <c r="BM362">
        <f t="shared" si="108"/>
        <v>1156.764747038892</v>
      </c>
    </row>
    <row r="363" spans="1:65" x14ac:dyDescent="0.25">
      <c r="A363">
        <v>354</v>
      </c>
      <c r="B363" s="17">
        <f t="shared" si="97"/>
        <v>497.75026021191559</v>
      </c>
      <c r="C363" s="17">
        <f t="shared" si="98"/>
        <v>574.1628145735308</v>
      </c>
      <c r="D363" s="17">
        <f t="shared" si="99"/>
        <v>480.29051530780987</v>
      </c>
      <c r="G363" s="1">
        <v>354</v>
      </c>
      <c r="H363" s="17">
        <v>50.299882315643728</v>
      </c>
      <c r="I363" s="17">
        <v>54.39343987737567</v>
      </c>
      <c r="J363" s="17">
        <v>51.98034901144878</v>
      </c>
      <c r="M363" s="17">
        <v>458.54826359178128</v>
      </c>
      <c r="N363" s="17">
        <v>8.7863137168303336</v>
      </c>
      <c r="O363" s="17">
        <v>9.3550847741275671</v>
      </c>
      <c r="P363" s="17">
        <v>7.8696328283518744</v>
      </c>
      <c r="S363" s="5">
        <f t="shared" si="100"/>
        <v>491.69940887671487</v>
      </c>
      <c r="T363" s="17"/>
      <c r="U363" s="5">
        <f t="shared" si="101"/>
        <v>491.70646371385521</v>
      </c>
      <c r="W363" s="5">
        <f t="shared" si="102"/>
        <v>491.50741020697853</v>
      </c>
      <c r="Y363">
        <f t="shared" si="109"/>
        <v>354</v>
      </c>
      <c r="Z363" s="3">
        <f t="shared" si="110"/>
        <v>1030.7125183005041</v>
      </c>
      <c r="AA363" s="3">
        <f t="shared" si="111"/>
        <v>983.3645511831719</v>
      </c>
      <c r="AB363" s="3">
        <f t="shared" si="112"/>
        <v>1068.8977707793583</v>
      </c>
      <c r="AC363" s="3">
        <f t="shared" si="113"/>
        <v>1153.5706470920104</v>
      </c>
      <c r="BC363" s="17">
        <f t="shared" si="95"/>
        <v>497.75026021191559</v>
      </c>
      <c r="BD363" s="3">
        <f t="shared" si="96"/>
        <v>1030.7125183005041</v>
      </c>
      <c r="BF363" s="5">
        <f t="shared" si="103"/>
        <v>491.69940887671487</v>
      </c>
      <c r="BG363">
        <f t="shared" si="104"/>
        <v>983.3645511831719</v>
      </c>
      <c r="BI363" s="5">
        <f t="shared" si="105"/>
        <v>491.70646371385521</v>
      </c>
      <c r="BJ363">
        <f t="shared" si="106"/>
        <v>1068.8977707793583</v>
      </c>
      <c r="BL363" s="5">
        <f t="shared" si="107"/>
        <v>491.50741020697853</v>
      </c>
      <c r="BM363">
        <f t="shared" si="108"/>
        <v>1153.5706470920104</v>
      </c>
    </row>
    <row r="364" spans="1:65" x14ac:dyDescent="0.25">
      <c r="A364">
        <v>355</v>
      </c>
      <c r="B364" s="17">
        <f t="shared" si="97"/>
        <v>498.77743808457609</v>
      </c>
      <c r="C364" s="17">
        <f t="shared" si="98"/>
        <v>575.34938398213944</v>
      </c>
      <c r="D364" s="17">
        <f t="shared" si="99"/>
        <v>481.17641783620303</v>
      </c>
      <c r="G364" s="1">
        <v>355</v>
      </c>
      <c r="H364" s="17">
        <v>50.308215099836772</v>
      </c>
      <c r="I364" s="17">
        <v>54.402271558801097</v>
      </c>
      <c r="J364" s="17">
        <v>51.990310389256678</v>
      </c>
      <c r="M364" s="17">
        <v>459.7009956468516</v>
      </c>
      <c r="N364" s="17">
        <v>8.8007141005781033</v>
      </c>
      <c r="O364" s="17">
        <v>9.3737164858662982</v>
      </c>
      <c r="P364" s="17">
        <v>7.8754080975279859</v>
      </c>
      <c r="S364" s="5">
        <f t="shared" si="100"/>
        <v>492.67542097729239</v>
      </c>
      <c r="T364" s="17"/>
      <c r="U364" s="5">
        <f t="shared" si="101"/>
        <v>492.76995255946201</v>
      </c>
      <c r="W364" s="5">
        <f t="shared" si="102"/>
        <v>492.65777060005541</v>
      </c>
      <c r="Y364">
        <f t="shared" si="109"/>
        <v>355</v>
      </c>
      <c r="Z364" s="3">
        <f t="shared" si="110"/>
        <v>1027.1778726605021</v>
      </c>
      <c r="AA364" s="3">
        <f t="shared" si="111"/>
        <v>976.01210057752041</v>
      </c>
      <c r="AB364" s="3">
        <f t="shared" si="112"/>
        <v>1063.4888456067983</v>
      </c>
      <c r="AC364" s="3">
        <f t="shared" si="113"/>
        <v>1150.3603930768804</v>
      </c>
      <c r="BC364" s="17">
        <f t="shared" si="95"/>
        <v>498.77743808457609</v>
      </c>
      <c r="BD364" s="3">
        <f t="shared" si="96"/>
        <v>1027.1778726605021</v>
      </c>
      <c r="BF364" s="5">
        <f t="shared" si="103"/>
        <v>492.67542097729239</v>
      </c>
      <c r="BG364">
        <f t="shared" si="104"/>
        <v>976.01210057752041</v>
      </c>
      <c r="BI364" s="5">
        <f t="shared" si="105"/>
        <v>492.76995255946201</v>
      </c>
      <c r="BJ364">
        <f t="shared" si="106"/>
        <v>1063.4888456067983</v>
      </c>
      <c r="BL364" s="5">
        <f t="shared" si="107"/>
        <v>492.65777060005541</v>
      </c>
      <c r="BM364">
        <f t="shared" si="108"/>
        <v>1150.3603930768804</v>
      </c>
    </row>
    <row r="365" spans="1:65" x14ac:dyDescent="0.25">
      <c r="A365">
        <v>356</v>
      </c>
      <c r="B365" s="17">
        <f t="shared" si="97"/>
        <v>499.80111082480329</v>
      </c>
      <c r="C365" s="17">
        <f t="shared" si="98"/>
        <v>576.53264647981655</v>
      </c>
      <c r="D365" s="17">
        <f t="shared" si="99"/>
        <v>482.05867546280228</v>
      </c>
      <c r="G365" s="1">
        <v>356</v>
      </c>
      <c r="H365" s="17">
        <v>50.316550585639362</v>
      </c>
      <c r="I365" s="17">
        <v>54.411115847737797</v>
      </c>
      <c r="J365" s="17">
        <v>52.000274255213633</v>
      </c>
      <c r="M365" s="17">
        <v>460.85372770192191</v>
      </c>
      <c r="N365" s="17">
        <v>8.8151336512431886</v>
      </c>
      <c r="O365" s="17">
        <v>9.3923772124965001</v>
      </c>
      <c r="P365" s="17">
        <v>7.8812064958678976</v>
      </c>
      <c r="S365" s="5">
        <f t="shared" si="100"/>
        <v>493.64403239114995</v>
      </c>
      <c r="T365" s="17"/>
      <c r="U365" s="5">
        <f t="shared" si="101"/>
        <v>493.82799836018677</v>
      </c>
      <c r="W365" s="5">
        <f t="shared" si="102"/>
        <v>493.80490458504801</v>
      </c>
      <c r="Y365">
        <f t="shared" si="109"/>
        <v>356</v>
      </c>
      <c r="Z365" s="3">
        <f t="shared" si="110"/>
        <v>1023.6727402271981</v>
      </c>
      <c r="AA365" s="3">
        <f t="shared" si="111"/>
        <v>968.611413857559</v>
      </c>
      <c r="AB365" s="3">
        <f t="shared" si="112"/>
        <v>1058.0458007247557</v>
      </c>
      <c r="AC365" s="3">
        <f t="shared" si="113"/>
        <v>1147.1339849925926</v>
      </c>
      <c r="BC365" s="17">
        <f t="shared" si="95"/>
        <v>499.80111082480329</v>
      </c>
      <c r="BD365" s="3">
        <f t="shared" si="96"/>
        <v>1023.6727402271981</v>
      </c>
      <c r="BF365" s="5">
        <f t="shared" si="103"/>
        <v>493.64403239114995</v>
      </c>
      <c r="BG365">
        <f t="shared" si="104"/>
        <v>968.611413857559</v>
      </c>
      <c r="BI365" s="5">
        <f t="shared" si="105"/>
        <v>493.82799836018677</v>
      </c>
      <c r="BJ365">
        <f t="shared" si="106"/>
        <v>1058.0458007247557</v>
      </c>
      <c r="BL365" s="5">
        <f t="shared" si="107"/>
        <v>493.80490458504801</v>
      </c>
      <c r="BM365">
        <f t="shared" si="108"/>
        <v>1147.1339849925926</v>
      </c>
    </row>
    <row r="366" spans="1:65" x14ac:dyDescent="0.25">
      <c r="A366">
        <v>357</v>
      </c>
      <c r="B366" s="17">
        <f t="shared" si="97"/>
        <v>500.82130848015134</v>
      </c>
      <c r="C366" s="17">
        <f t="shared" si="98"/>
        <v>577.71264408968943</v>
      </c>
      <c r="D366" s="17">
        <f t="shared" si="99"/>
        <v>482.93732613993416</v>
      </c>
      <c r="G366" s="1">
        <v>357</v>
      </c>
      <c r="H366" s="17">
        <v>50.324888527450653</v>
      </c>
      <c r="I366" s="17">
        <v>54.41997159804842</v>
      </c>
      <c r="J366" s="17">
        <v>52.01024038312427</v>
      </c>
      <c r="M366" s="17">
        <v>462.00645975699217</v>
      </c>
      <c r="N366" s="17">
        <v>8.8295706263785565</v>
      </c>
      <c r="O366" s="17">
        <v>9.4110643163007666</v>
      </c>
      <c r="P366" s="17">
        <v>7.8870259207203546</v>
      </c>
      <c r="S366" s="5">
        <f t="shared" si="100"/>
        <v>494.60519488217267</v>
      </c>
      <c r="T366" s="17"/>
      <c r="U366" s="5">
        <f t="shared" si="101"/>
        <v>494.88056699632062</v>
      </c>
      <c r="W366" s="5">
        <f t="shared" si="102"/>
        <v>494.94879600788795</v>
      </c>
      <c r="Y366">
        <f t="shared" si="109"/>
        <v>357</v>
      </c>
      <c r="Z366" s="3">
        <f t="shared" si="110"/>
        <v>1020.1976553480563</v>
      </c>
      <c r="AA366" s="3">
        <f t="shared" si="111"/>
        <v>961.16249102271922</v>
      </c>
      <c r="AB366" s="3">
        <f t="shared" si="112"/>
        <v>1052.5686361338558</v>
      </c>
      <c r="AC366" s="3">
        <f t="shared" si="113"/>
        <v>1143.8914228399426</v>
      </c>
      <c r="BC366" s="17">
        <f t="shared" si="95"/>
        <v>500.82130848015134</v>
      </c>
      <c r="BD366" s="3">
        <f t="shared" si="96"/>
        <v>1020.1976553480563</v>
      </c>
      <c r="BF366" s="5">
        <f t="shared" si="103"/>
        <v>494.60519488217267</v>
      </c>
      <c r="BG366">
        <f t="shared" si="104"/>
        <v>961.16249102271922</v>
      </c>
      <c r="BI366" s="5">
        <f t="shared" si="105"/>
        <v>494.88056699632062</v>
      </c>
      <c r="BJ366">
        <f t="shared" si="106"/>
        <v>1052.5686361338558</v>
      </c>
      <c r="BL366" s="5">
        <f t="shared" si="107"/>
        <v>494.94879600788795</v>
      </c>
      <c r="BM366">
        <f t="shared" si="108"/>
        <v>1143.8914228399426</v>
      </c>
    </row>
    <row r="367" spans="1:65" x14ac:dyDescent="0.25">
      <c r="A367">
        <v>358</v>
      </c>
      <c r="B367" s="17">
        <f t="shared" si="97"/>
        <v>501.83806163252228</v>
      </c>
      <c r="C367" s="17">
        <f t="shared" si="98"/>
        <v>578.88941945582303</v>
      </c>
      <c r="D367" s="17">
        <f t="shared" si="99"/>
        <v>483.81240840494752</v>
      </c>
      <c r="G367" s="1">
        <v>358</v>
      </c>
      <c r="H367" s="17">
        <v>50.333228679669773</v>
      </c>
      <c r="I367" s="17">
        <v>54.428837663595537</v>
      </c>
      <c r="J367" s="17">
        <v>52.020208546793221</v>
      </c>
      <c r="M367" s="17">
        <v>463.1591918120626</v>
      </c>
      <c r="N367" s="17">
        <v>8.8440232835371813</v>
      </c>
      <c r="O367" s="17">
        <v>9.4297751595616912</v>
      </c>
      <c r="P367" s="17">
        <v>7.8928642694341011</v>
      </c>
      <c r="S367" s="5">
        <f t="shared" si="100"/>
        <v>495.55886021424561</v>
      </c>
      <c r="T367" s="17"/>
      <c r="U367" s="5">
        <f t="shared" si="101"/>
        <v>495.92762434815376</v>
      </c>
      <c r="W367" s="5">
        <f t="shared" si="102"/>
        <v>496.08942871450625</v>
      </c>
      <c r="Y367">
        <f t="shared" si="109"/>
        <v>358</v>
      </c>
      <c r="Z367" s="3">
        <f t="shared" si="110"/>
        <v>1016.7531523709386</v>
      </c>
      <c r="AA367" s="3">
        <f t="shared" si="111"/>
        <v>953.66533207294424</v>
      </c>
      <c r="AB367" s="3">
        <f t="shared" si="112"/>
        <v>1047.0573518331321</v>
      </c>
      <c r="AC367" s="3">
        <f t="shared" si="113"/>
        <v>1140.6327066183053</v>
      </c>
      <c r="BC367" s="17">
        <f t="shared" si="95"/>
        <v>501.83806163252228</v>
      </c>
      <c r="BD367" s="3">
        <f t="shared" si="96"/>
        <v>1016.7531523709386</v>
      </c>
      <c r="BF367" s="5">
        <f t="shared" si="103"/>
        <v>495.55886021424561</v>
      </c>
      <c r="BG367">
        <f t="shared" si="104"/>
        <v>953.66533207294424</v>
      </c>
      <c r="BI367" s="5">
        <f t="shared" si="105"/>
        <v>495.92762434815376</v>
      </c>
      <c r="BJ367">
        <f t="shared" si="106"/>
        <v>1047.0573518331321</v>
      </c>
      <c r="BL367" s="5">
        <f t="shared" si="107"/>
        <v>496.08942871450625</v>
      </c>
      <c r="BM367">
        <f t="shared" si="108"/>
        <v>1140.6327066183053</v>
      </c>
    </row>
    <row r="368" spans="1:65" x14ac:dyDescent="0.25">
      <c r="A368">
        <v>359</v>
      </c>
      <c r="B368" s="17">
        <f t="shared" si="97"/>
        <v>502.85140139816474</v>
      </c>
      <c r="C368" s="17">
        <f t="shared" si="98"/>
        <v>580.06301584321773</v>
      </c>
      <c r="D368" s="17">
        <f t="shared" si="99"/>
        <v>484.68396138021052</v>
      </c>
      <c r="G368" s="1">
        <v>359</v>
      </c>
      <c r="H368" s="17">
        <v>50.341570796695827</v>
      </c>
      <c r="I368" s="17">
        <v>54.43771289824177</v>
      </c>
      <c r="J368" s="17">
        <v>52.030178520025117</v>
      </c>
      <c r="M368" s="17">
        <v>464.31192386713292</v>
      </c>
      <c r="N368" s="17">
        <v>8.8584898802720353</v>
      </c>
      <c r="O368" s="17">
        <v>9.448507104561866</v>
      </c>
      <c r="P368" s="17">
        <v>7.898719439357885</v>
      </c>
      <c r="S368" s="5">
        <f t="shared" si="100"/>
        <v>496.50498015125373</v>
      </c>
      <c r="T368" s="17"/>
      <c r="U368" s="5">
        <f t="shared" si="101"/>
        <v>496.96913629597731</v>
      </c>
      <c r="W368" s="5">
        <f t="shared" si="102"/>
        <v>497.2267865508345</v>
      </c>
      <c r="Y368">
        <f t="shared" si="109"/>
        <v>359</v>
      </c>
      <c r="Z368" s="3">
        <f t="shared" si="110"/>
        <v>1013.3397656424563</v>
      </c>
      <c r="AA368" s="3">
        <f t="shared" si="111"/>
        <v>946.11993700812036</v>
      </c>
      <c r="AB368" s="3">
        <f t="shared" si="112"/>
        <v>1041.5119478235511</v>
      </c>
      <c r="AC368" s="3">
        <f t="shared" si="113"/>
        <v>1137.357836328249</v>
      </c>
      <c r="BC368" s="17">
        <f t="shared" si="95"/>
        <v>502.85140139816474</v>
      </c>
      <c r="BD368" s="3">
        <f t="shared" si="96"/>
        <v>1013.3397656424563</v>
      </c>
      <c r="BF368" s="5">
        <f t="shared" si="103"/>
        <v>496.50498015125373</v>
      </c>
      <c r="BG368">
        <f t="shared" si="104"/>
        <v>946.11993700812036</v>
      </c>
      <c r="BI368" s="5">
        <f t="shared" si="105"/>
        <v>496.96913629597731</v>
      </c>
      <c r="BJ368">
        <f t="shared" si="106"/>
        <v>1041.5119478235511</v>
      </c>
      <c r="BL368" s="5">
        <f t="shared" si="107"/>
        <v>497.2267865508345</v>
      </c>
      <c r="BM368">
        <f t="shared" si="108"/>
        <v>1137.357836328249</v>
      </c>
    </row>
    <row r="369" spans="1:65" x14ac:dyDescent="0.25">
      <c r="A369">
        <v>360</v>
      </c>
      <c r="B369" s="17">
        <f t="shared" si="97"/>
        <v>503.86135942767538</v>
      </c>
      <c r="C369" s="17">
        <f t="shared" si="98"/>
        <v>581.23347713781209</v>
      </c>
      <c r="D369" s="17">
        <f t="shared" si="99"/>
        <v>485.55202477311229</v>
      </c>
      <c r="G369" s="1">
        <v>360</v>
      </c>
      <c r="H369" s="17">
        <v>50.349914632927977</v>
      </c>
      <c r="I369" s="17">
        <v>54.44659615584974</v>
      </c>
      <c r="J369" s="17">
        <v>52.040150076624599</v>
      </c>
      <c r="M369" s="17">
        <v>465.46465592220318</v>
      </c>
      <c r="N369" s="17">
        <v>8.8729686741360876</v>
      </c>
      <c r="O369" s="17">
        <v>9.4672575135838866</v>
      </c>
      <c r="P369" s="17">
        <v>7.9045893278404504</v>
      </c>
      <c r="S369" s="5">
        <f t="shared" si="100"/>
        <v>497.44350645708261</v>
      </c>
      <c r="T369" s="17"/>
      <c r="U369" s="5">
        <f t="shared" si="101"/>
        <v>498.00506872008174</v>
      </c>
      <c r="W369" s="5">
        <f t="shared" si="102"/>
        <v>498.36085336280382</v>
      </c>
      <c r="Y369">
        <f t="shared" si="109"/>
        <v>360</v>
      </c>
      <c r="Z369" s="3">
        <f t="shared" si="110"/>
        <v>1009.9580295106421</v>
      </c>
      <c r="AA369" s="3">
        <f t="shared" si="111"/>
        <v>938.52630582887286</v>
      </c>
      <c r="AB369" s="3">
        <f t="shared" si="112"/>
        <v>1035.9324241044305</v>
      </c>
      <c r="AC369" s="3">
        <f t="shared" si="113"/>
        <v>1134.0668119693191</v>
      </c>
      <c r="BC369" s="17">
        <f t="shared" si="95"/>
        <v>503.86135942767538</v>
      </c>
      <c r="BD369" s="3">
        <f t="shared" si="96"/>
        <v>1009.9580295106421</v>
      </c>
      <c r="BF369" s="5">
        <f t="shared" si="103"/>
        <v>497.44350645708261</v>
      </c>
      <c r="BG369">
        <f t="shared" si="104"/>
        <v>938.52630582887286</v>
      </c>
      <c r="BI369" s="5">
        <f t="shared" si="105"/>
        <v>498.00506872008174</v>
      </c>
      <c r="BJ369">
        <f t="shared" si="106"/>
        <v>1035.9324241044305</v>
      </c>
      <c r="BL369" s="5">
        <f t="shared" si="107"/>
        <v>498.36085336280382</v>
      </c>
      <c r="BM369">
        <f t="shared" si="108"/>
        <v>1134.0668119693191</v>
      </c>
    </row>
    <row r="370" spans="1:65" x14ac:dyDescent="0.25">
      <c r="A370">
        <v>361</v>
      </c>
      <c r="B370" s="17">
        <f t="shared" si="97"/>
        <v>504.86796790599868</v>
      </c>
      <c r="C370" s="17">
        <f t="shared" si="98"/>
        <v>582.40084784647934</v>
      </c>
      <c r="D370" s="17">
        <f t="shared" si="99"/>
        <v>486.4166388760629</v>
      </c>
      <c r="G370" s="1">
        <v>361</v>
      </c>
      <c r="H370" s="17">
        <v>50.358259942765351</v>
      </c>
      <c r="I370" s="17">
        <v>54.455486290282039</v>
      </c>
      <c r="J370" s="17">
        <v>52.050122990396289</v>
      </c>
      <c r="M370" s="17">
        <v>466.61738797727349</v>
      </c>
      <c r="N370" s="17">
        <v>8.8874579226823123</v>
      </c>
      <c r="O370" s="17">
        <v>9.4860237489103465</v>
      </c>
      <c r="P370" s="17">
        <v>7.9104718322305416</v>
      </c>
      <c r="S370" s="5">
        <f t="shared" si="100"/>
        <v>498.37439089561707</v>
      </c>
      <c r="T370" s="17"/>
      <c r="U370" s="5">
        <f t="shared" si="101"/>
        <v>499.03538750075791</v>
      </c>
      <c r="W370" s="5">
        <f t="shared" si="102"/>
        <v>499.49161299634574</v>
      </c>
      <c r="Y370">
        <f t="shared" si="109"/>
        <v>361</v>
      </c>
      <c r="Z370" s="3">
        <f t="shared" si="110"/>
        <v>1006.6084783233009</v>
      </c>
      <c r="AA370" s="3">
        <f t="shared" si="111"/>
        <v>930.88443853446279</v>
      </c>
      <c r="AB370" s="3">
        <f t="shared" si="112"/>
        <v>1030.3187806761684</v>
      </c>
      <c r="AC370" s="3">
        <f t="shared" si="113"/>
        <v>1130.7596335419134</v>
      </c>
      <c r="BC370" s="17">
        <f t="shared" si="95"/>
        <v>504.86796790599868</v>
      </c>
      <c r="BD370" s="3">
        <f t="shared" si="96"/>
        <v>1006.6084783233009</v>
      </c>
      <c r="BF370" s="5">
        <f t="shared" si="103"/>
        <v>498.37439089561707</v>
      </c>
      <c r="BG370">
        <f t="shared" si="104"/>
        <v>930.88443853446279</v>
      </c>
      <c r="BI370" s="5">
        <f t="shared" si="105"/>
        <v>499.03538750075791</v>
      </c>
      <c r="BJ370">
        <f t="shared" si="106"/>
        <v>1030.3187806761684</v>
      </c>
      <c r="BL370" s="5">
        <f t="shared" si="107"/>
        <v>499.49161299634574</v>
      </c>
      <c r="BM370">
        <f t="shared" si="108"/>
        <v>1130.7596335419134</v>
      </c>
    </row>
    <row r="371" spans="1:65" x14ac:dyDescent="0.25">
      <c r="A371">
        <v>362</v>
      </c>
      <c r="B371" s="17">
        <f t="shared" si="97"/>
        <v>505.87125955242504</v>
      </c>
      <c r="C371" s="17">
        <f t="shared" si="98"/>
        <v>583.56517309703099</v>
      </c>
      <c r="D371" s="17">
        <f t="shared" si="99"/>
        <v>487.27784456649204</v>
      </c>
      <c r="G371" s="1">
        <v>362</v>
      </c>
      <c r="H371" s="17">
        <v>50.366606480607061</v>
      </c>
      <c r="I371" s="17">
        <v>54.464382155401303</v>
      </c>
      <c r="J371" s="17">
        <v>52.060097035144821</v>
      </c>
      <c r="M371" s="17">
        <v>467.77012003234381</v>
      </c>
      <c r="N371" s="17">
        <v>8.9019558834636783</v>
      </c>
      <c r="O371" s="17">
        <v>9.5048031728238378</v>
      </c>
      <c r="P371" s="17">
        <v>7.9163648498769064</v>
      </c>
      <c r="S371" s="5">
        <f t="shared" si="100"/>
        <v>499.29758523074247</v>
      </c>
      <c r="T371" s="17"/>
      <c r="U371" s="5">
        <f t="shared" si="101"/>
        <v>500.06005851829633</v>
      </c>
      <c r="W371" s="5">
        <f t="shared" si="102"/>
        <v>500.6190492973912</v>
      </c>
      <c r="Y371">
        <f t="shared" si="109"/>
        <v>362</v>
      </c>
      <c r="Z371" s="3">
        <f t="shared" si="110"/>
        <v>1003.2916464263621</v>
      </c>
      <c r="AA371" s="3">
        <f t="shared" si="111"/>
        <v>923.19433512540172</v>
      </c>
      <c r="AB371" s="3">
        <f t="shared" si="112"/>
        <v>1024.6710175384237</v>
      </c>
      <c r="AC371" s="3">
        <f t="shared" si="113"/>
        <v>1127.4363010454636</v>
      </c>
      <c r="BC371" s="17">
        <f t="shared" si="95"/>
        <v>505.87125955242504</v>
      </c>
      <c r="BD371" s="3">
        <f t="shared" si="96"/>
        <v>1003.2916464263621</v>
      </c>
      <c r="BF371" s="5">
        <f t="shared" si="103"/>
        <v>499.29758523074247</v>
      </c>
      <c r="BG371">
        <f t="shared" si="104"/>
        <v>923.19433512540172</v>
      </c>
      <c r="BI371" s="5">
        <f t="shared" si="105"/>
        <v>500.06005851829633</v>
      </c>
      <c r="BJ371">
        <f t="shared" si="106"/>
        <v>1024.6710175384237</v>
      </c>
      <c r="BL371" s="5">
        <f t="shared" si="107"/>
        <v>500.6190492973912</v>
      </c>
      <c r="BM371">
        <f t="shared" si="108"/>
        <v>1127.4363010454636</v>
      </c>
    </row>
    <row r="372" spans="1:65" x14ac:dyDescent="0.25">
      <c r="A372">
        <v>363</v>
      </c>
      <c r="B372" s="17">
        <f t="shared" si="97"/>
        <v>506.87126762059376</v>
      </c>
      <c r="C372" s="17">
        <f t="shared" si="98"/>
        <v>584.72649863821403</v>
      </c>
      <c r="D372" s="17">
        <f t="shared" si="99"/>
        <v>488.13568330685189</v>
      </c>
      <c r="G372" s="1">
        <v>363</v>
      </c>
      <c r="H372" s="17">
        <v>50.374954000852263</v>
      </c>
      <c r="I372" s="17">
        <v>54.473282605070096</v>
      </c>
      <c r="J372" s="17">
        <v>52.070071984674833</v>
      </c>
      <c r="M372" s="17">
        <v>468.92285208741413</v>
      </c>
      <c r="N372" s="17">
        <v>8.916460814033158</v>
      </c>
      <c r="O372" s="17">
        <v>9.523593147606956</v>
      </c>
      <c r="P372" s="17">
        <v>7.9222662781282889</v>
      </c>
      <c r="S372" s="5">
        <f t="shared" si="100"/>
        <v>500.21304122634399</v>
      </c>
      <c r="T372" s="17"/>
      <c r="U372" s="5">
        <f t="shared" si="101"/>
        <v>501.07904765298781</v>
      </c>
      <c r="W372" s="5">
        <f t="shared" si="102"/>
        <v>501.74314611187185</v>
      </c>
      <c r="Y372">
        <f t="shared" si="109"/>
        <v>363</v>
      </c>
      <c r="Z372" s="3">
        <f t="shared" si="110"/>
        <v>1000.0080681687109</v>
      </c>
      <c r="AA372" s="3">
        <f t="shared" si="111"/>
        <v>915.45599560151913</v>
      </c>
      <c r="AB372" s="3">
        <f t="shared" si="112"/>
        <v>1018.9891346914806</v>
      </c>
      <c r="AC372" s="3">
        <f t="shared" si="113"/>
        <v>1124.0968144806516</v>
      </c>
      <c r="BC372" s="17">
        <f t="shared" si="95"/>
        <v>506.87126762059376</v>
      </c>
      <c r="BD372" s="3">
        <f t="shared" si="96"/>
        <v>1000.0080681687109</v>
      </c>
      <c r="BF372" s="5">
        <f t="shared" si="103"/>
        <v>500.21304122634399</v>
      </c>
      <c r="BG372">
        <f t="shared" si="104"/>
        <v>915.45599560151913</v>
      </c>
      <c r="BI372" s="5">
        <f t="shared" si="105"/>
        <v>501.07904765298781</v>
      </c>
      <c r="BJ372">
        <f t="shared" si="106"/>
        <v>1018.9891346914806</v>
      </c>
      <c r="BL372" s="5">
        <f t="shared" si="107"/>
        <v>501.74314611187185</v>
      </c>
      <c r="BM372">
        <f t="shared" si="108"/>
        <v>1124.0968144806516</v>
      </c>
    </row>
    <row r="373" spans="1:65" x14ac:dyDescent="0.25">
      <c r="A373">
        <v>364</v>
      </c>
      <c r="B373" s="17">
        <f t="shared" si="97"/>
        <v>507.86802589849077</v>
      </c>
      <c r="C373" s="17">
        <f t="shared" si="98"/>
        <v>585.88487083971336</v>
      </c>
      <c r="D373" s="17">
        <f t="shared" si="99"/>
        <v>488.99019714461309</v>
      </c>
      <c r="G373" s="1">
        <v>364</v>
      </c>
      <c r="H373" s="17">
        <v>50.383302257900063</v>
      </c>
      <c r="I373" s="17">
        <v>54.48218649315109</v>
      </c>
      <c r="J373" s="17">
        <v>52.080047612790942</v>
      </c>
      <c r="M373" s="17">
        <v>470.07558414248439</v>
      </c>
      <c r="N373" s="17">
        <v>8.930970971943724</v>
      </c>
      <c r="O373" s="17">
        <v>9.5423910355422912</v>
      </c>
      <c r="P373" s="17">
        <v>7.9281740143334352</v>
      </c>
      <c r="S373" s="5">
        <f t="shared" si="100"/>
        <v>501.12071064630669</v>
      </c>
      <c r="T373" s="17"/>
      <c r="U373" s="5">
        <f t="shared" si="101"/>
        <v>502.09232078512321</v>
      </c>
      <c r="W373" s="5">
        <f t="shared" si="102"/>
        <v>502.86388728571876</v>
      </c>
      <c r="Y373">
        <f t="shared" si="109"/>
        <v>364</v>
      </c>
      <c r="Z373" s="3">
        <f t="shared" si="110"/>
        <v>996.75827789701543</v>
      </c>
      <c r="AA373" s="3">
        <f t="shared" si="111"/>
        <v>907.66941996270134</v>
      </c>
      <c r="AB373" s="3">
        <f t="shared" si="112"/>
        <v>1013.2731321353958</v>
      </c>
      <c r="AC373" s="3">
        <f t="shared" si="113"/>
        <v>1120.7411738469091</v>
      </c>
      <c r="BC373" s="17">
        <f t="shared" si="95"/>
        <v>507.86802589849077</v>
      </c>
      <c r="BD373" s="3">
        <f t="shared" si="96"/>
        <v>996.75827789701543</v>
      </c>
      <c r="BF373" s="5">
        <f t="shared" si="103"/>
        <v>501.12071064630669</v>
      </c>
      <c r="BG373">
        <f t="shared" si="104"/>
        <v>907.66941996270134</v>
      </c>
      <c r="BI373" s="5">
        <f t="shared" si="105"/>
        <v>502.09232078512321</v>
      </c>
      <c r="BJ373">
        <f t="shared" si="106"/>
        <v>1013.2731321353958</v>
      </c>
      <c r="BL373" s="5">
        <f t="shared" si="107"/>
        <v>502.86388728571876</v>
      </c>
      <c r="BM373">
        <f t="shared" si="108"/>
        <v>1120.7411738469091</v>
      </c>
    </row>
    <row r="374" spans="1:65" x14ac:dyDescent="0.25">
      <c r="A374">
        <v>365</v>
      </c>
      <c r="B374" s="17">
        <f>$B$2+$B$3*A374+$B$4*A374^2+$B$5*A374^3+$B$6*A374^4</f>
        <v>508.86156870845036</v>
      </c>
      <c r="C374" s="17">
        <f t="shared" si="98"/>
        <v>587.04033669214868</v>
      </c>
      <c r="D374" s="17">
        <f t="shared" si="99"/>
        <v>489.84142871226834</v>
      </c>
      <c r="G374" s="1">
        <v>365</v>
      </c>
      <c r="H374" s="17">
        <v>50.391651006149587</v>
      </c>
      <c r="I374" s="17">
        <v>54.491092673506849</v>
      </c>
      <c r="J374" s="17">
        <v>52.090023693297802</v>
      </c>
      <c r="M374" s="17">
        <v>471.2283161975547</v>
      </c>
      <c r="N374" s="17">
        <v>8.9454846147483469</v>
      </c>
      <c r="O374" s="17">
        <v>9.5611941989124425</v>
      </c>
      <c r="P374" s="17">
        <v>7.9340859558410912</v>
      </c>
      <c r="S374" s="5">
        <f t="shared" si="100"/>
        <v>502.02054525451575</v>
      </c>
      <c r="T374" s="17"/>
      <c r="U374" s="5">
        <f t="shared" si="101"/>
        <v>503.09984379499303</v>
      </c>
      <c r="W374" s="5">
        <f t="shared" si="102"/>
        <v>503.98125666486334</v>
      </c>
      <c r="Y374">
        <f t="shared" si="109"/>
        <v>365</v>
      </c>
      <c r="Z374" s="3">
        <f t="shared" si="110"/>
        <v>993.54280995959243</v>
      </c>
      <c r="AA374" s="3">
        <f t="shared" si="111"/>
        <v>899.83460820906203</v>
      </c>
      <c r="AB374" s="3">
        <f t="shared" si="112"/>
        <v>1007.5230098698285</v>
      </c>
      <c r="AC374" s="3">
        <f t="shared" si="113"/>
        <v>1117.3693791445771</v>
      </c>
      <c r="BC374" s="17">
        <f t="shared" ref="BC374:BC375" si="114">B374</f>
        <v>508.86156870845036</v>
      </c>
      <c r="BD374" s="3">
        <f t="shared" ref="BD374:BD375" si="115">Z374</f>
        <v>993.54280995959243</v>
      </c>
      <c r="BF374" s="5">
        <f t="shared" si="103"/>
        <v>502.02054525451575</v>
      </c>
      <c r="BG374">
        <f t="shared" si="104"/>
        <v>899.83460820906203</v>
      </c>
      <c r="BI374" s="5">
        <f t="shared" si="105"/>
        <v>503.09984379499303</v>
      </c>
      <c r="BJ374">
        <f t="shared" si="106"/>
        <v>1007.5230098698285</v>
      </c>
      <c r="BL374" s="5">
        <f t="shared" si="107"/>
        <v>503.98125666486334</v>
      </c>
      <c r="BM374">
        <f t="shared" si="108"/>
        <v>1117.3693791445771</v>
      </c>
    </row>
    <row r="375" spans="1:65" x14ac:dyDescent="0.25">
      <c r="A375">
        <v>366</v>
      </c>
      <c r="B375" s="17">
        <f t="shared" si="97"/>
        <v>509.85193090715325</v>
      </c>
      <c r="C375" s="17">
        <f t="shared" si="98"/>
        <v>588.19294380707765</v>
      </c>
      <c r="D375" s="17">
        <f t="shared" si="99"/>
        <v>490.68942122733006</v>
      </c>
      <c r="G375" s="1">
        <v>366</v>
      </c>
      <c r="H375" s="17">
        <v>50.399999999999991</v>
      </c>
      <c r="I375" s="17">
        <v>54.5</v>
      </c>
      <c r="J375" s="17">
        <v>52.100000000000009</v>
      </c>
      <c r="M375" s="17">
        <v>472.38104825262502</v>
      </c>
      <c r="N375" s="17">
        <v>8.9599999999999991</v>
      </c>
      <c r="O375" s="17">
        <v>9.5799999999999983</v>
      </c>
      <c r="P375" s="17">
        <v>7.94</v>
      </c>
      <c r="S375" s="5">
        <f t="shared" si="100"/>
        <v>502.91249681485647</v>
      </c>
      <c r="T375" s="17"/>
      <c r="U375" s="5">
        <f t="shared" si="101"/>
        <v>504.10158256288793</v>
      </c>
      <c r="W375" s="5">
        <f t="shared" si="102"/>
        <v>505.09523809523682</v>
      </c>
      <c r="Y375">
        <f t="shared" si="109"/>
        <v>366</v>
      </c>
      <c r="Z375" s="3">
        <f t="shared" si="110"/>
        <v>990.36219870288278</v>
      </c>
      <c r="AA375" s="3">
        <f t="shared" si="111"/>
        <v>891.95156034071488</v>
      </c>
      <c r="AB375" s="3">
        <f t="shared" si="112"/>
        <v>1001.7387678948921</v>
      </c>
      <c r="AC375" s="3">
        <f t="shared" si="113"/>
        <v>1113.9814303734852</v>
      </c>
      <c r="BC375" s="17">
        <f t="shared" si="114"/>
        <v>509.85193090715325</v>
      </c>
      <c r="BD375" s="3">
        <f t="shared" si="115"/>
        <v>990.36219870288278</v>
      </c>
      <c r="BF375" s="5">
        <f t="shared" si="103"/>
        <v>502.91249681485647</v>
      </c>
      <c r="BG375">
        <f t="shared" si="104"/>
        <v>891.95156034071488</v>
      </c>
      <c r="BI375" s="5">
        <f t="shared" si="105"/>
        <v>504.10158256288793</v>
      </c>
      <c r="BJ375">
        <f t="shared" si="106"/>
        <v>1001.7387678948921</v>
      </c>
      <c r="BL375" s="5">
        <f t="shared" si="107"/>
        <v>505.09523809523682</v>
      </c>
      <c r="BM375">
        <f t="shared" si="108"/>
        <v>1113.9814303734852</v>
      </c>
    </row>
    <row r="376" spans="1:65" x14ac:dyDescent="0.25">
      <c r="BC376" s="17"/>
      <c r="BD376" s="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Introduktion og vejledning</vt:lpstr>
      <vt:lpstr>Forudsætninger</vt:lpstr>
      <vt:lpstr>Resultat</vt:lpstr>
      <vt:lpstr>Vækstfunktion, hol</vt:lpstr>
      <vt:lpstr>Vækstfunktion, kry tyr</vt:lpstr>
      <vt:lpstr>Vækstfunktion, kry kvie</vt:lpstr>
      <vt:lpstr>Model tilvækst, slagteform, fe</vt:lpstr>
    </vt:vector>
  </TitlesOfParts>
  <Company>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Morten Nyland Christensen</dc:creator>
  <cp:lastModifiedBy>Sanne Trampedach</cp:lastModifiedBy>
  <dcterms:created xsi:type="dcterms:W3CDTF">2015-02-24T13:53:46Z</dcterms:created>
  <dcterms:modified xsi:type="dcterms:W3CDTF">2023-12-11T09:29:09Z</dcterms:modified>
</cp:coreProperties>
</file>